
<file path=[Content_Types].xml><?xml version="1.0" encoding="utf-8"?>
<ns0:Types xmlns:ns0="http://schemas.openxmlformats.org/package/2006/content-types">
  <ns0:Default Extension="rels" ContentType="application/vnd.openxmlformats-package.relationships+xml"/>
  <ns0:Default Extension="vml" ContentType="application/vnd.openxmlformats-officedocument.vmlDrawing"/>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sheets/sheet29.xml" ContentType="application/vnd.openxmlformats-officedocument.spreadsheetml.worksheet+xml"/>
  <ns0:Override PartName="/xl/worksheets/sheet30.xml" ContentType="application/vnd.openxmlformats-officedocument.spreadsheetml.worksheet+xml"/>
  <ns0:Override PartName="/xl/worksheets/sheet31.xml" ContentType="application/vnd.openxmlformats-officedocument.spreadsheetml.worksheet+xml"/>
  <ns0:Override PartName="/xl/worksheets/sheet32.xml" ContentType="application/vnd.openxmlformats-officedocument.spreadsheetml.worksheet+xml"/>
  <ns0:Override PartName="/xl/worksheets/sheet33.xml" ContentType="application/vnd.openxmlformats-officedocument.spreadsheetml.worksheet+xml"/>
  <ns0:Override PartName="/xl/worksheets/sheet34.xml" ContentType="application/vnd.openxmlformats-officedocument.spreadsheetml.worksheet+xml"/>
  <ns0:Override PartName="/xl/worksheets/sheet35.xml" ContentType="application/vnd.openxmlformats-officedocument.spreadsheetml.worksheet+xml"/>
  <ns0:Override PartName="/xl/worksheets/sheet36.xml" ContentType="application/vnd.openxmlformats-officedocument.spreadsheetml.worksheet+xml"/>
  <ns0:Override PartName="/xl/worksheets/sheet37.xml" ContentType="application/vnd.openxmlformats-officedocument.spreadsheetml.worksheet+xml"/>
  <ns0:Override PartName="/xl/worksheets/sheet38.xml" ContentType="application/vnd.openxmlformats-officedocument.spreadsheetml.worksheet+xml"/>
  <ns0:Override PartName="/xl/worksheets/sheet39.xml" ContentType="application/vnd.openxmlformats-officedocument.spreadsheetml.worksheet+xml"/>
  <ns0:Override PartName="/xl/worksheets/sheet40.xml" ContentType="application/vnd.openxmlformats-officedocument.spreadsheetml.worksheet+xml"/>
  <ns0:Override PartName="/xl/worksheets/sheet41.xml" ContentType="application/vnd.openxmlformats-officedocument.spreadsheetml.worksheet+xml"/>
  <ns0:Override PartName="/xl/worksheets/sheet42.xml" ContentType="application/vnd.openxmlformats-officedocument.spreadsheetml.worksheet+xml"/>
  <ns0:Override PartName="/xl/worksheets/sheet43.xml" ContentType="application/vnd.openxmlformats-officedocument.spreadsheetml.worksheet+xml"/>
  <ns0:Override PartName="/xl/worksheets/sheet44.xml" ContentType="application/vnd.openxmlformats-officedocument.spreadsheetml.worksheet+xml"/>
  <ns0:Override PartName="/xl/worksheets/sheet45.xml" ContentType="application/vnd.openxmlformats-officedocument.spreadsheetml.worksheet+xml"/>
  <ns0:Override PartName="/xl/worksheets/sheet46.xml" ContentType="application/vnd.openxmlformats-officedocument.spreadsheetml.worksheet+xml"/>
  <ns0:Override PartName="/xl/worksheets/sheet47.xml" ContentType="application/vnd.openxmlformats-officedocument.spreadsheetml.worksheet+xml"/>
  <ns0:Override PartName="/xl/worksheets/sheet48.xml" ContentType="application/vnd.openxmlformats-officedocument.spreadsheetml.worksheet+xml"/>
  <ns0:Override PartName="/xl/worksheets/sheet49.xml" ContentType="application/vnd.openxmlformats-officedocument.spreadsheetml.worksheet+xml"/>
  <ns0:Override PartName="/xl/worksheets/sheet50.xml" ContentType="application/vnd.openxmlformats-officedocument.spreadsheetml.worksheet+xml"/>
  <ns0:Override PartName="/xl/worksheets/sheet51.xml" ContentType="application/vnd.openxmlformats-officedocument.spreadsheetml.worksheet+xml"/>
  <ns0:Override PartName="/xl/worksheets/sheet52.xml" ContentType="application/vnd.openxmlformats-officedocument.spreadsheetml.worksheet+xml"/>
  <ns0:Override PartName="/xl/worksheets/sheet53.xml" ContentType="application/vnd.openxmlformats-officedocument.spreadsheetml.worksheet+xml"/>
  <ns0:Override PartName="/xl/worksheets/sheet54.xml" ContentType="application/vnd.openxmlformats-officedocument.spreadsheetml.worksheet+xml"/>
  <ns0:Override PartName="/xl/worksheets/sheet55.xml" ContentType="application/vnd.openxmlformats-officedocument.spreadsheetml.worksheet+xml"/>
  <ns0:Override PartName="/xl/worksheets/sheet56.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xl/drawings/drawing1.xml" ContentType="application/vnd.openxmlformats-officedocument.drawing+xml"/>
  <ns0:Override PartName="/xl/comments1.xml" ContentType="application/vnd.openxmlformats-officedocument.spreadsheetml.comments+xml"/>
  <ns0:Override PartName="/xl/charts/chart1.xml" ContentType="application/vnd.openxmlformats-officedocument.drawingml.chart+xml"/>
  <ns0:Override PartName="/xl/comments2.xml" ContentType="application/vnd.openxmlformats-officedocument.spreadsheetml.comments+xml"/>
  <ns0:Override PartName="/xl/comments3.xml" ContentType="application/vnd.openxmlformats-officedocument.spreadsheetml.comments+xml"/>
  <ns0:Override PartName="/xl/drawings/drawing2.xml" ContentType="application/vnd.openxmlformats-officedocument.drawing+xml"/>
  <ns0:Override PartName="/xl/comments4.xml" ContentType="application/vnd.openxmlformats-officedocument.spreadsheetml.comments+xml"/>
  <ns0:Override PartName="/xl/charts/chart2.xml" ContentType="application/vnd.openxmlformats-officedocument.drawingml.chart+xml"/>
  <ns0:Override PartName="/xl/drawings/drawing3.xml" ContentType="application/vnd.openxmlformats-officedocument.drawing+xml"/>
  <ns0:Override PartName="/xl/charts/chart3.xml" ContentType="application/vnd.openxmlformats-officedocument.drawingml.chart+xml"/>
  <ns0:Override PartName="/xl/drawings/drawing4.xml" ContentType="application/vnd.openxmlformats-officedocument.drawing+xml"/>
  <ns0:Override PartName="/xl/tables/table1.xml" ContentType="application/vnd.openxmlformats-officedocument.spreadsheetml.table+xml"/>
  <ns0:Override PartName="/xl/charts/chart4.xml" ContentType="application/vnd.openxmlformats-officedocument.drawingml.chart+xml"/>
  <ns0:Override PartName="/xl/charts/chart5.xml" ContentType="application/vnd.openxmlformats-officedocument.drawingml.chart+xml"/>
  <ns0:Override PartName="/xl/drawings/drawing5.xml" ContentType="application/vnd.openxmlformats-officedocument.drawing+xml"/>
  <ns0:Override PartName="/xl/charts/chart6.xml" ContentType="application/vnd.openxmlformats-officedocument.drawingml.chart+xml"/>
  <ns0:Override PartName="/xl/comments5.xml" ContentType="application/vnd.openxmlformats-officedocument.spreadsheetml.comments+xml"/>
  <ns0:Override PartName="/xl/comments6.xml" ContentType="application/vnd.openxmlformats-officedocument.spreadsheetml.comments+xml"/>
  <ns0:Override PartName="/xl/comments7.xml" ContentType="application/vnd.openxmlformats-officedocument.spreadsheetml.comments+xml"/>
  <ns0:Override PartName="/xl/drawings/drawing6.xml" ContentType="application/vnd.openxmlformats-officedocument.drawing+xml"/>
  <ns0:Override PartName="/xl/tables/table2.xml" ContentType="application/vnd.openxmlformats-officedocument.spreadsheetml.table+xml"/>
  <ns0:Override PartName="/xl/comments8.xml" ContentType="application/vnd.openxmlformats-officedocument.spreadsheetml.comments+xml"/>
  <ns0:Override PartName="/xl/charts/chart7.xml" ContentType="application/vnd.openxmlformats-officedocument.drawingml.chart+xml"/>
  <ns0:Override PartName="/xl/drawings/drawing7.xml" ContentType="application/vnd.openxmlformats-officedocument.drawing+xml"/>
  <ns0:Override PartName="/xl/tables/table3.xml" ContentType="application/vnd.openxmlformats-officedocument.spreadsheetml.table+xml"/>
  <ns0:Override PartName="/xl/comments9.xml" ContentType="application/vnd.openxmlformats-officedocument.spreadsheetml.comments+xml"/>
  <ns0:Override PartName="/xl/charts/chart8.xml" ContentType="application/vnd.openxmlformats-officedocument.drawingml.chart+xml"/>
  <ns0:Override PartName="/xl/drawings/drawing8.xml" ContentType="application/vnd.openxmlformats-officedocument.drawing+xml"/>
  <ns0:Override PartName="/xl/tables/table4.xml" ContentType="application/vnd.openxmlformats-officedocument.spreadsheetml.table+xml"/>
  <ns0:Override PartName="/xl/comments10.xml" ContentType="application/vnd.openxmlformats-officedocument.spreadsheetml.comments+xml"/>
  <ns0:Override PartName="/xl/charts/chart9.xml" ContentType="application/vnd.openxmlformats-officedocument.drawingml.chart+xml"/>
  <ns0:Override PartName="/xl/drawings/drawing9.xml" ContentType="application/vnd.openxmlformats-officedocument.drawing+xml"/>
  <ns0:Override PartName="/xl/tables/table5.xml" ContentType="application/vnd.openxmlformats-officedocument.spreadsheetml.table+xml"/>
  <ns0:Override PartName="/xl/comments11.xml" ContentType="application/vnd.openxmlformats-officedocument.spreadsheetml.comments+xml"/>
  <ns0:Override PartName="/xl/charts/chart10.xml" ContentType="application/vnd.openxmlformats-officedocument.drawingml.chart+xml"/>
  <ns0:Override PartName="/xl/drawings/drawing10.xml" ContentType="application/vnd.openxmlformats-officedocument.drawing+xml"/>
  <ns0:Override PartName="/xl/tables/table6.xml" ContentType="application/vnd.openxmlformats-officedocument.spreadsheetml.table+xml"/>
  <ns0:Override PartName="/xl/comments12.xml" ContentType="application/vnd.openxmlformats-officedocument.spreadsheetml.comments+xml"/>
  <ns0:Override PartName="/xl/charts/chart11.xml" ContentType="application/vnd.openxmlformats-officedocument.drawingml.chart+xml"/>
  <ns0:Override PartName="/xl/drawings/drawing11.xml" ContentType="application/vnd.openxmlformats-officedocument.drawing+xml"/>
  <ns0:Override PartName="/xl/tables/table7.xml" ContentType="application/vnd.openxmlformats-officedocument.spreadsheetml.table+xml"/>
  <ns0:Override PartName="/xl/comments13.xml" ContentType="application/vnd.openxmlformats-officedocument.spreadsheetml.comments+xml"/>
  <ns0:Override PartName="/xl/charts/chart12.xml" ContentType="application/vnd.openxmlformats-officedocument.drawingml.chart+xml"/>
  <ns0:Override PartName="/xl/drawings/drawing12.xml" ContentType="application/vnd.openxmlformats-officedocument.drawing+xml"/>
  <ns0:Override PartName="/xl/tables/table8.xml" ContentType="application/vnd.openxmlformats-officedocument.spreadsheetml.table+xml"/>
  <ns0:Override PartName="/xl/comments14.xml" ContentType="application/vnd.openxmlformats-officedocument.spreadsheetml.comments+xml"/>
  <ns0:Override PartName="/xl/charts/chart13.xml" ContentType="application/vnd.openxmlformats-officedocument.drawingml.chart+xml"/>
  <ns0:Override PartName="/xl/drawings/drawing13.xml" ContentType="application/vnd.openxmlformats-officedocument.drawing+xml"/>
  <ns0:Override PartName="/xl/tables/table9.xml" ContentType="application/vnd.openxmlformats-officedocument.spreadsheetml.table+xml"/>
  <ns0:Override PartName="/xl/comments15.xml" ContentType="application/vnd.openxmlformats-officedocument.spreadsheetml.comments+xml"/>
  <ns0:Override PartName="/xl/charts/chart14.xml" ContentType="application/vnd.openxmlformats-officedocument.drawingml.chart+xml"/>
  <ns0:Override PartName="/xl/drawings/drawing14.xml" ContentType="application/vnd.openxmlformats-officedocument.drawing+xml"/>
  <ns0:Override PartName="/xl/tables/table10.xml" ContentType="application/vnd.openxmlformats-officedocument.spreadsheetml.table+xml"/>
  <ns0:Override PartName="/xl/comments16.xml" ContentType="application/vnd.openxmlformats-officedocument.spreadsheetml.comments+xml"/>
  <ns0:Override PartName="/xl/charts/chart15.xml" ContentType="application/vnd.openxmlformats-officedocument.drawingml.chart+xml"/>
  <ns0:Override PartName="/xl/drawings/drawing15.xml" ContentType="application/vnd.openxmlformats-officedocument.drawing+xml"/>
  <ns0:Override PartName="/xl/tables/table11.xml" ContentType="application/vnd.openxmlformats-officedocument.spreadsheetml.table+xml"/>
  <ns0:Override PartName="/xl/comments17.xml" ContentType="application/vnd.openxmlformats-officedocument.spreadsheetml.comments+xml"/>
  <ns0:Override PartName="/xl/charts/chart16.xml" ContentType="application/vnd.openxmlformats-officedocument.drawingml.chart+xml"/>
  <ns0:Override PartName="/xl/drawings/drawing16.xml" ContentType="application/vnd.openxmlformats-officedocument.drawing+xml"/>
  <ns0:Override PartName="/xl/tables/table12.xml" ContentType="application/vnd.openxmlformats-officedocument.spreadsheetml.table+xml"/>
  <ns0:Override PartName="/xl/comments18.xml" ContentType="application/vnd.openxmlformats-officedocument.spreadsheetml.comments+xml"/>
  <ns0:Override PartName="/xl/charts/chart17.xml" ContentType="application/vnd.openxmlformats-officedocument.drawingml.chart+xml"/>
  <ns0:Override PartName="/xl/drawings/drawing17.xml" ContentType="application/vnd.openxmlformats-officedocument.drawing+xml"/>
  <ns0:Override PartName="/xl/tables/table13.xml" ContentType="application/vnd.openxmlformats-officedocument.spreadsheetml.table+xml"/>
  <ns0:Override PartName="/xl/comments19.xml" ContentType="application/vnd.openxmlformats-officedocument.spreadsheetml.comments+xml"/>
  <ns0:Override PartName="/xl/charts/chart18.xml" ContentType="application/vnd.openxmlformats-officedocument.drawingml.chart+xml"/>
  <ns0:Override PartName="/xl/drawings/drawing18.xml" ContentType="application/vnd.openxmlformats-officedocument.drawing+xml"/>
  <ns0:Override PartName="/xl/tables/table14.xml" ContentType="application/vnd.openxmlformats-officedocument.spreadsheetml.table+xml"/>
  <ns0:Override PartName="/xl/comments20.xml" ContentType="application/vnd.openxmlformats-officedocument.spreadsheetml.comments+xml"/>
  <ns0:Override PartName="/xl/charts/chart19.xml" ContentType="application/vnd.openxmlformats-officedocument.drawingml.chart+xml"/>
  <ns0:Override PartName="/xl/drawings/drawing19.xml" ContentType="application/vnd.openxmlformats-officedocument.drawing+xml"/>
  <ns0:Override PartName="/xl/tables/table15.xml" ContentType="application/vnd.openxmlformats-officedocument.spreadsheetml.table+xml"/>
  <ns0:Override PartName="/xl/comments21.xml" ContentType="application/vnd.openxmlformats-officedocument.spreadsheetml.comments+xml"/>
  <ns0:Override PartName="/xl/charts/chart20.xml" ContentType="application/vnd.openxmlformats-officedocument.drawingml.chart+xml"/>
  <ns0:Override PartName="/xl/drawings/drawing20.xml" ContentType="application/vnd.openxmlformats-officedocument.drawing+xml"/>
  <ns0:Override PartName="/xl/tables/table16.xml" ContentType="application/vnd.openxmlformats-officedocument.spreadsheetml.table+xml"/>
  <ns0:Override PartName="/xl/comments22.xml" ContentType="application/vnd.openxmlformats-officedocument.spreadsheetml.comments+xml"/>
  <ns0:Override PartName="/xl/charts/chart21.xml" ContentType="application/vnd.openxmlformats-officedocument.drawingml.chart+xml"/>
  <ns0:Override PartName="/xl/drawings/drawing21.xml" ContentType="application/vnd.openxmlformats-officedocument.drawing+xml"/>
  <ns0:Override PartName="/xl/tables/table17.xml" ContentType="application/vnd.openxmlformats-officedocument.spreadsheetml.table+xml"/>
  <ns0:Override PartName="/xl/comments23.xml" ContentType="application/vnd.openxmlformats-officedocument.spreadsheetml.comments+xml"/>
  <ns0:Override PartName="/xl/charts/chart22.xml" ContentType="application/vnd.openxmlformats-officedocument.drawingml.chart+xml"/>
  <ns0:Override PartName="/xl/drawings/drawing22.xml" ContentType="application/vnd.openxmlformats-officedocument.drawing+xml"/>
  <ns0:Override PartName="/xl/tables/table18.xml" ContentType="application/vnd.openxmlformats-officedocument.spreadsheetml.table+xml"/>
  <ns0:Override PartName="/xl/comments24.xml" ContentType="application/vnd.openxmlformats-officedocument.spreadsheetml.comments+xml"/>
  <ns0:Override PartName="/xl/charts/chart23.xml" ContentType="application/vnd.openxmlformats-officedocument.drawingml.chart+xml"/>
  <ns0:Override PartName="/xl/drawings/drawing23.xml" ContentType="application/vnd.openxmlformats-officedocument.drawing+xml"/>
  <ns0:Override PartName="/xl/charts/chart24.xml" ContentType="application/vnd.openxmlformats-officedocument.drawingml.chart+xml"/>
  <ns0:Override PartName="/xl/charts/chart25.xml" ContentType="application/vnd.openxmlformats-officedocument.drawingml.chart+xml"/>
  <ns0:Override PartName="/xl/tables/table19.xml" ContentType="application/vnd.openxmlformats-officedocument.spreadsheetml.table+xml"/>
  <ns0:Override PartName="/xl/tables/table20.xml" ContentType="application/vnd.openxmlformats-officedocument.spreadsheetml.table+xml"/>
  <ns0:Override PartName="/xl/drawings/drawing24.xml" ContentType="application/vnd.openxmlformats-officedocument.drawing+xml"/>
  <ns0:Override PartName="/xl/charts/chart26.xml" ContentType="application/vnd.openxmlformats-officedocument.drawingml.chart+xml"/>
  <ns0:Override PartName="/xl/drawings/drawing25.xml" ContentType="application/vnd.openxmlformats-officedocument.drawing+xml"/>
  <ns0:Override PartName="/xl/charts/chart27.xml" ContentType="application/vnd.openxmlformats-officedocument.drawingml.chart+xml"/>
  <ns0:Override PartName="/docProps/core.xml" ContentType="application/vnd.openxmlformats-package.core-properties+xml"/>
  <ns0:Override PartName="/docProps/app.xml" ContentType="application/vnd.openxmlformats-officedocument.extended-properties+xml"/>
  <ns0:Override PartName="/xl/worksheets/sheet57.xml" ContentType="application/vnd.openxmlformats-officedocument.spreadsheetml.worksheet+xml"/>
  <ns0:Override PartName="/docProps/custom.xml" ContentType="application/vnd.openxmlformats-officedocument.custom-properties+xml"/>
</ns0:Types>
</file>

<file path=_rels/.rels><?xml version='1.0' encoding='utf-8'?>
<ns0:Relationships xmlns:ns0="http://schemas.openxmlformats.org/package/2006/relationships"><ns0:Relationship Id="rId3" Type="http://schemas.openxmlformats.org/officeDocument/2006/relationships/extended-properties" Target="docProps/app.xml" /><ns0:Relationship Id="rId2" Type="http://schemas.openxmlformats.org/package/2006/relationships/metadata/core-properties" Target="docProps/core.xml" /><ns0:Relationship Id="rId1" Type="http://schemas.openxmlformats.org/officeDocument/2006/relationships/officeDocument" Target="xl/workbook.xml" /><ns0:Relationship Id="rId4" Type="http://schemas.openxmlformats.org/officeDocument/2006/relationships/custom-properties" Target="docProps/custom.xml" /></ns0: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18/calcfeatures" xmlns:r="http://schemas.openxmlformats.org/officeDocument/2006/relationships" ns1:Ignorable="x15 xr xr6 xr10 xr2">
  <fileVersion appName="xl" lastEdited="7" lowestEdited="7" rupBuild="30026"/>
  <workbookPr/>
  <ns1:AlternateContent>
    <ns1:Choice Requires="x15">
      <ns2:absPath url="C:\Users\rezni\OneDrive\Desktop\Business Resilience Concept\"/>
    </ns1:Choice>
  </ns1:AlternateContent>
  <ns3:revisionPtr revIDLastSave="0" documentId="8_{97BE9A07-77C9-4663-9F00-AC91C66BAD90}" ns4:coauthVersionLast="47" ns4:coauthVersionMax="47" ns5:uidLastSave="{00000000-0000-0000-0000-000000000000}"/>
  <workbookProtection lockStructure="1"/>
  <bookViews>
    <workbookView xWindow="-120" yWindow="-120" windowWidth="21840" windowHeight="13020" ns6:uid="{00000000-000D-0000-FFFF-FFFF00000000}"/>
  </bookViews>
  <sheets>
    <sheet name="① START HERE" sheetId="1" r:id="rId1"/>
    <sheet name="Dashboard" sheetId="2" r:id="rId2"/>
    <sheet name="Heatmaps" sheetId="3" r:id="rId3"/>
    <sheet name="Resilience Engine (Cascade)" sheetId="4" r:id="rId4"/>
    <sheet name="Resilience Stress Test" sheetId="5" r:id="rId5"/>
    <sheet name="Scoring Guide" sheetId="6" r:id="rId6"/>
    <sheet name="Company Profile" sheetId="7" r:id="rId7"/>
    <sheet name="Crisis Scenarios" sheetId="8" r:id="rId8"/>
    <sheet name="Industry Template Summary" sheetId="9" r:id="rId9"/>
    <sheet name="Crisis Simulator" sheetId="10" r:id="rId10"/>
    <sheet name="Strategy Selection" sheetId="11" r:id="rId11"/>
    <sheet name="Initiatives Roadmap" sheetId="12" r:id="rId12"/>
    <sheet name="Improved Scoring Model" sheetId="13" r:id="rId13"/>
    <sheet name="Scoring Model v2" sheetId="14" r:id="rId14"/>
    <sheet name="AHP Domain Weights" sheetId="15" r:id="rId15"/>
    <sheet name="Initiative Economics" sheetId="16" r:id="rId16"/>
    <sheet name="Scoring v2 Methodology" sheetId="17" r:id="rId17"/>
    <sheet name="_TECH_Initiative_Library" sheetId="18" state="veryHidden" r:id="rId18"/>
    <sheet name="Standards Map" sheetId="19" r:id="rId19"/>
    <sheet name="Company Geography" sheetId="20" r:id="rId20"/>
    <sheet name="Strategy GTM" sheetId="21" r:id="rId21"/>
    <sheet name="Governance Crisis" sheetId="22" r:id="rId22"/>
    <sheet name="HR Workforce" sheetId="23" r:id="rId23"/>
    <sheet name="Finance Procurement" sheetId="24" r:id="rId24"/>
    <sheet name="Legal Risk" sheetId="25" r:id="rId25"/>
    <sheet name="Physical Safety" sheetId="26" r:id="rId26"/>
    <sheet name="Delivery Ops" sheetId="27" r:id="rId27"/>
    <sheet name="Supply Chain" sheetId="28" r:id="rId28"/>
    <sheet name="Manufacturing MES" sheetId="29" r:id="rId29"/>
    <sheet name="Sales CRM" sheetId="30" r:id="rId30"/>
    <sheet name="Marketing Comms" sheetId="31" r:id="rId31"/>
    <sheet name="IT Cloud DR" sheetId="32" r:id="rId32"/>
    <sheet name="Business Systems" sheetId="33" r:id="rId33"/>
    <sheet name="Data BI AI" sheetId="34" r:id="rId34"/>
    <sheet name="Cyber Privacy" sheetId="35" r:id="rId35"/>
    <sheet name="Quality Portfolio" sheetId="36" r:id="rId36"/>
    <sheet name="Spider Dashboards" sheetId="37" r:id="rId37"/>
    <sheet name="Recommendation Matrix" sheetId="38" state="hidden" r:id="rId38"/>
    <sheet name="Executive Recommendations" sheetId="39" r:id="rId39"/>
    <sheet name="Risk Summary" sheetId="40" r:id="rId40"/>
    <sheet name="Risk Library" sheetId="41" state="veryHidden" r:id="rId41"/>
    <sheet name="_TECH_Crisis_Model" sheetId="42" state="veryHidden" r:id="rId42"/>
    <sheet name="_TECH_Strategy_Library" sheetId="43" state="veryHidden" r:id="rId43"/>
    <sheet name="Standards per Question" sheetId="44" r:id="rId44"/>
    <sheet name="Quality Control" sheetId="45" r:id="rId45"/>
    <sheet name="Gantt Roadmap" sheetId="46" r:id="rId46"/>
    <sheet name="_TECH_Industry_Templates" sheetId="47" state="hidden" r:id="rId47"/>
    <sheet name="_TECH_Scoring_Settings" sheetId="48" state="hidden" r:id="rId48"/>
    <sheet name="_TECH_Industry_Strategy_Fit" sheetId="49" state="hidden" r:id="rId49"/>
    <sheet name="_TECH_Profile_Lists" sheetId="50" state="hidden" r:id="rId50"/>
    <sheet name="_TECH_Strategy_Packages" sheetId="51" state="hidden" r:id="rId51"/>
    <sheet name="Executive Strategy Packages" sheetId="52" r:id="rId52"/>
    <sheet name="Methodology &amp; Logic" sheetId="53" r:id="rId53"/>
    <sheet name="Cascade Engine Methodology" sheetId="54" r:id="rId54"/>
    <sheet name="_TECH_Dependency_Map" sheetId="55" state="hidden" r:id="rId55"/>
    <sheet name="_TECH_Cascade_Engine" sheetId="56" state="hidden" r:id="rId56"/>
    <sheet name="Version History" sheetId="57" r:id="rId60"/>
  </sheets>
  <definedNames>
    <definedName name="_xlnm._FilterDatabase" localSheetId="41" hidden="1">_TECH_Crisis_Model!$A$4:$J$191</definedName>
    <definedName name="_xlnm._FilterDatabase" localSheetId="42" hidden="1">_TECH_Strategy_Library!$A$4:$AR$18</definedName>
    <definedName name="_xlnm._FilterDatabase" localSheetId="6" hidden="1">'Company Profile'!$A$4:$D$36</definedName>
    <definedName name="_xlnm._FilterDatabase" localSheetId="9" hidden="1">'Crisis Simulator'!$A$8:$L$25</definedName>
    <definedName name="_xlnm._FilterDatabase" localSheetId="45" hidden="1">'Gantt Roadmap'!$A$13:$AJ$85</definedName>
    <definedName name="_xlnm._FilterDatabase" localSheetId="52" hidden="1">'Methodology &amp; Logic'!$A$3:$G$77</definedName>
    <definedName name="_xlnm._FilterDatabase" localSheetId="44" hidden="1">'Quality Control'!$A$19:$N$426</definedName>
    <definedName name="_xlnm._FilterDatabase" localSheetId="40" hidden="1">'Risk Library'!$A$4:$AD$411</definedName>
    <definedName name="_xlnm._FilterDatabase" localSheetId="39" hidden="1">'Risk Summary'!$A$7:$AF$414</definedName>
    <definedName name="_xlnm._FilterDatabase" localSheetId="43" hidden="1">'Standards per Question'!$A$4:$S$411</definedName>
    <definedName name="_xlnm._FilterDatabase" localSheetId="10" hidden="1">'Strategy Selection'!$A$9:$S$23</definedName>
  </definedNames>
  <calcPr calcId="191029" calcMode="auto" fullCalcOnLoad="1" forceFullCalc="1"/>
  <fileRecoveryPr repairLoad="1"/>
  <extLst>
    <ext uri="{B58B0392-4F1F-4190-BB64-5DF3571DCE5F}">
      <ns8:calcFeatures>
        <ns8:feature name="microsoft.com:RD"/>
        <ns8:feature name="microsoft.com:Single"/>
        <ns8:feature name="microsoft.com:FV"/>
        <ns8:feature name="microsoft.com:CNMTM"/>
        <ns8:feature name="microsoft.com:LET_WF"/>
        <ns8:feature name="microsoft.com:LAMBDA_WF"/>
        <ns8:feature name="microsoft.com:ARRAYTEXT_WF"/>
      </ns8: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0100-000001000000}">
      <text>
        <r>
          <rPr>
            <sz val="11"/>
            <rFont val="Carlito"/>
          </rPr>
          <t>EXECUTIVE OUTPUT (read-only). Updates automatically from the domain tabs. Don't type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0300-000001000000}">
      <text>
        <r>
          <rPr>
            <sz val="11"/>
            <rFont val="Carlito"/>
          </rPr>
          <t>EXECUTIVE OUTPUT. Cascade &amp; nonlinear risk view. Tune behaviour in the grey _TECH_Dependency_Map.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0600-000001000000}">
      <text>
        <r>
          <rPr>
            <sz val="11"/>
            <rFont val="Carlito"/>
          </rPr>
          <t>INPUT TAB — fill once per organisation.
Yellow cells in the 'Value / input' column are your inputs; column C explains each one. These drive industry targets, SPOF, strategy logic and crisis exposure.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B4" authorId="0" shapeId="0" xr:uid="{00000000-0006-0000-0900-000001000000}">
      <text>
        <r>
          <rPr>
            <sz val="11"/>
            <rFont val="Carlito"/>
          </rPr>
          <t>SELECT the crisis scenario to test (dropdown). Drives the whole crisis/cascade view.</t>
        </r>
      </text>
    </comment>
    <comment ref="B5" authorId="0" shapeId="0" xr:uid="{00000000-0006-0000-0900-000002000000}">
      <text>
        <r>
          <rPr>
            <sz val="11"/>
            <rFont val="Carlito"/>
          </rPr>
          <t>SET severity 1–5.  1=mild · 3=base case · 5=severe. Severity is bounded so it modifies — not overpowers — base maturity.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0D00-000001000000}">
      <text>
        <r>
          <rPr>
            <sz val="11"/>
            <rFont val="Carlito"/>
          </rPr>
          <t>EXECUTIVE OUTPUT. Confidence-adjusted scoring + 3 aggregation methods. Inputs are the domain tabs; only the small orange parameter cells are editable.</t>
        </r>
      </text>
    </comment>
    <comment ref="P5" authorId="0" shapeId="0" xr:uid="{00000000-0006-0000-0D00-000002000000}">
      <text>
        <r>
          <rPr>
            <sz val="11"/>
            <rFont val="Carlito"/>
          </rPr>
          <t>Penalty strength (0–1). Higher = harsher penalty for an uneven profile in the 'Penalty index'.</t>
        </r>
      </text>
    </comment>
    <comment ref="P6" authorId="0" shapeId="0" xr:uid="{00000000-0006-0000-0D00-000003000000}">
      <text>
        <r>
          <rPr>
            <sz val="11"/>
            <rFont val="Carlito"/>
          </rPr>
          <t>Maturity-level cut-off: below this the org is 'Low'. Legacy default 0.45.</t>
        </r>
      </text>
    </comment>
    <comment ref="P7" authorId="0" shapeId="0" xr:uid="{00000000-0006-0000-0D00-000004000000}">
      <text>
        <r>
          <rPr>
            <sz val="11"/>
            <rFont val="Carlito"/>
          </rPr>
          <t>Maturity-level cut-off: at/above this the org is 'High'. Legacy default 0.70.</t>
        </r>
      </text>
    </comment>
    <comment ref="C9" authorId="0" shapeId="0" xr:uid="{00000000-0006-0000-0D00-000005000000}">
      <text>
        <r>
          <rPr>
            <sz val="11"/>
            <rFont val="Carlito"/>
          </rPr>
          <t>Confidence-ADJUSTED maturity (single discount). This is the conservative figure used for gaps &amp; decisions.</t>
        </r>
      </text>
    </comment>
    <comment ref="D9" authorId="0" shapeId="0" xr:uid="{00000000-0006-0000-0D00-000006000000}">
      <text>
        <r>
          <rPr>
            <sz val="11"/>
            <rFont val="Carlito"/>
          </rPr>
          <t>Confidence shown as its OWN dimension (0–100). A high maturity with low confidence raises a 'Validate' flag.</t>
        </r>
      </text>
    </comment>
    <comment ref="A29" authorId="0" shapeId="0" xr:uid="{00000000-0006-0000-0D00-000007000000}">
      <text>
        <r>
          <rPr>
            <sz val="11"/>
            <rFont val="Carlito"/>
          </rPr>
          <t>Three views: Additive = classic weighted score. Geometric &amp; Penalty punish weak links — if they sit well below Additive, your profile is uneven (a weak domain is dragging you down).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4" authorId="0" shapeId="0" xr:uid="{00000000-0006-0000-0E00-000001000000}">
      <text>
        <r>
          <rPr>
            <sz val="11"/>
            <rFont val="Carlito"/>
          </rPr>
          <t>CALIBRATION TAB (careful). Compare the 6 business pillars pairwise in the orange upper triangle using Saaty 1–9 (how much more important is the row vs the column). The lower triangle and weights update automatically.</t>
        </r>
      </text>
    </comment>
    <comment ref="C15" authorId="0" shapeId="0" xr:uid="{00000000-0006-0000-0E00-000002000000}">
      <text>
        <r>
          <rPr>
            <sz val="11"/>
            <rFont val="Carlito"/>
          </rPr>
          <t>Aim for CR &lt; 0.10. If it says 'REVIEW judgments', your pairwise comparisons are inconsistent — revisit the orange cells.</t>
        </r>
      </text>
    </comment>
    <comment ref="B17" authorId="0" shapeId="0" xr:uid="{00000000-0006-0000-0E00-000003000000}">
      <text>
        <r>
          <rPr>
            <sz val="11"/>
            <rFont val="Carlito"/>
          </rPr>
          <t>0 = use pure industry-template weights · 1 = use pure AHP weights · 0.5 = balanced.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4" authorId="0" shapeId="0" xr:uid="{00000000-0006-0000-0F00-000001000000}">
      <text>
        <r>
          <rPr>
            <sz val="11"/>
            <rFont val="Carlito"/>
          </rPr>
          <t>PI weights (careful): how much each factor counts in the portfolio priority. They should sum to 1.</t>
        </r>
      </text>
    </comment>
    <comment ref="K6" authorId="0" shapeId="0" xr:uid="{00000000-0006-0000-0F00-000002000000}">
      <text>
        <r>
          <rPr>
            <sz val="11"/>
            <rFont val="Carlito"/>
          </rPr>
          <t>Budget cap (€k). Greedy selection picks initiatives by priority until this cap is reached.</t>
        </r>
      </text>
    </comment>
    <comment ref="K8" authorId="0" shapeId="0" xr:uid="{00000000-0006-0000-0F00-000003000000}">
      <text>
        <r>
          <rPr>
            <sz val="11"/>
            <rFont val="Carlito"/>
          </rPr>
          <t>AUTOMATIC. Portfolio priority 0–100 from the initiative's attributes. Used to rank &amp; select.</t>
        </r>
      </text>
    </comment>
    <comment ref="L8" authorId="0" shapeId="0" xr:uid="{00000000-0006-0000-0F00-000004000000}">
      <text>
        <r>
          <rPr>
            <sz val="11"/>
            <rFont val="Carlito"/>
          </rPr>
          <t>Three-point INVESTMENT (€k): pessimistic / likely / optimistic. Expected = (P+4·likely+O)/6. Enter at least 'likely'.</t>
        </r>
      </text>
    </comment>
    <comment ref="Q8" authorId="0" shapeId="0" xr:uid="{00000000-0006-0000-0F00-000005000000}">
      <text>
        <r>
          <rPr>
            <sz val="11"/>
            <rFont val="Carlito"/>
          </rPr>
          <t>Three-point BENEFIT (€k/yr): pessimistic / likely / optimistic. Feeds ROI, payback and NPV.</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300-000001000000}">
      <text>
        <r>
          <rPr>
            <sz val="11"/>
            <rFont val="Carlito"/>
          </rPr>
          <t>INPUT TAB. Enter a 0–5 score in the yellow column for each question. Everything else is automatic. Results roll up to the Dashboard and Scoring Model v2.</t>
        </r>
      </text>
    </comment>
    <comment ref="H4" authorId="0" shapeId="0" xr:uid="{00000000-0006-0000-13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3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300-000004000000}">
      <text>
        <r>
          <rPr>
            <sz val="11"/>
            <rFont val="Carlito"/>
          </rPr>
          <t>AUTOMATIC (do not edit). v2 confidence-adjusted score used by 'Scoring Model v2'.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400-000001000000}">
      <text>
        <r>
          <rPr>
            <sz val="11"/>
            <rFont val="Carlito"/>
          </rPr>
          <t>INPUT TAB. Enter a 0–5 score in the yellow column for each question. Everything else is automatic. Results roll up to the Dashboard and Scoring Model v2.</t>
        </r>
      </text>
    </comment>
    <comment ref="H4" authorId="0" shapeId="0" xr:uid="{00000000-0006-0000-14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4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400-000004000000}">
      <text>
        <r>
          <rPr>
            <sz val="11"/>
            <rFont val="Carlito"/>
          </rPr>
          <t>AUTOMATIC (do not edit). v2 confidence-adjusted score used by 'Scoring Model v2'.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500-000001000000}">
      <text>
        <r>
          <rPr>
            <sz val="11"/>
            <rFont val="Carlito"/>
          </rPr>
          <t>INPUT TAB. Enter a 0–5 score in the yellow column for each question. Everything else is automatic. Results roll up to the Dashboard and Scoring Model v2.</t>
        </r>
      </text>
    </comment>
    <comment ref="H4" authorId="0" shapeId="0" xr:uid="{00000000-0006-0000-15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5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500-000004000000}">
      <text>
        <r>
          <rPr>
            <sz val="11"/>
            <rFont val="Carlito"/>
          </rPr>
          <t>AUTOMATIC (do not edit). v2 confidence-adjusted score used by 'Scoring Model v2'.</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600-000001000000}">
      <text>
        <r>
          <rPr>
            <sz val="11"/>
            <rFont val="Carlito"/>
          </rPr>
          <t>INPUT TAB. Enter a 0–5 score in the yellow column for each question. Everything else is automatic. Results roll up to the Dashboard and Scoring Model v2.</t>
        </r>
      </text>
    </comment>
    <comment ref="H4" authorId="0" shapeId="0" xr:uid="{00000000-0006-0000-16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6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600-000004000000}">
      <text>
        <r>
          <rPr>
            <sz val="11"/>
            <rFont val="Carlito"/>
          </rPr>
          <t>AUTOMATIC (do not edit). v2 confidence-adjusted score used by 'Scoring Model v2'.</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700-000001000000}">
      <text>
        <r>
          <rPr>
            <sz val="11"/>
            <rFont val="Carlito"/>
          </rPr>
          <t>INPUT TAB. Enter a 0–5 score in the yellow column for each question. Everything else is automatic. Results roll up to the Dashboard and Scoring Model v2.</t>
        </r>
      </text>
    </comment>
    <comment ref="H4" authorId="0" shapeId="0" xr:uid="{00000000-0006-0000-17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7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700-000004000000}">
      <text>
        <r>
          <rPr>
            <sz val="11"/>
            <rFont val="Carlito"/>
          </rPr>
          <t>AUTOMATIC (do not edit). v2 confidence-adjusted score used by 'Scoring Model v2'.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800-000001000000}">
      <text>
        <r>
          <rPr>
            <sz val="11"/>
            <rFont val="Carlito"/>
          </rPr>
          <t>INPUT TAB. Enter a 0–5 score in the yellow column for each question. Everything else is automatic. Results roll up to the Dashboard and Scoring Model v2.</t>
        </r>
      </text>
    </comment>
    <comment ref="H4" authorId="0" shapeId="0" xr:uid="{00000000-0006-0000-18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8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800-000004000000}">
      <text>
        <r>
          <rPr>
            <sz val="11"/>
            <rFont val="Carlito"/>
          </rPr>
          <t>AUTOMATIC (do not edit). v2 confidence-adjusted score used by 'Scoring Model v2'.</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900-000001000000}">
      <text>
        <r>
          <rPr>
            <sz val="11"/>
            <rFont val="Carlito"/>
          </rPr>
          <t>INPUT TAB. Enter a 0–5 score in the yellow column for each question. Everything else is automatic. Results roll up to the Dashboard and Scoring Model v2.</t>
        </r>
      </text>
    </comment>
    <comment ref="H4" authorId="0" shapeId="0" xr:uid="{00000000-0006-0000-19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9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900-000004000000}">
      <text>
        <r>
          <rPr>
            <sz val="11"/>
            <rFont val="Carlito"/>
          </rPr>
          <t>AUTOMATIC (do not edit). v2 confidence-adjusted score used by 'Scoring Model v2'.</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A00-000001000000}">
      <text>
        <r>
          <rPr>
            <sz val="11"/>
            <rFont val="Carlito"/>
          </rPr>
          <t>INPUT TAB. Enter a 0–5 score in the yellow column for each question. Everything else is automatic. Results roll up to the Dashboard and Scoring Model v2.</t>
        </r>
      </text>
    </comment>
    <comment ref="H4" authorId="0" shapeId="0" xr:uid="{00000000-0006-0000-1A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A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A00-000004000000}">
      <text>
        <r>
          <rPr>
            <sz val="11"/>
            <rFont val="Carlito"/>
          </rPr>
          <t>AUTOMATIC (do not edit). v2 confidence-adjusted score used by 'Scoring Model v2'.</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B00-000001000000}">
      <text>
        <r>
          <rPr>
            <sz val="11"/>
            <rFont val="Carlito"/>
          </rPr>
          <t>INPUT TAB. Enter a 0–5 score in the yellow column for each question. Everything else is automatic. Results roll up to the Dashboard and Scoring Model v2.</t>
        </r>
      </text>
    </comment>
    <comment ref="H4" authorId="0" shapeId="0" xr:uid="{00000000-0006-0000-1B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B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B00-000004000000}">
      <text>
        <r>
          <rPr>
            <sz val="11"/>
            <rFont val="Carlito"/>
          </rPr>
          <t>AUTOMATIC (do not edit). v2 confidence-adjusted score used by 'Scoring Model v2'.</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C00-000001000000}">
      <text>
        <r>
          <rPr>
            <sz val="11"/>
            <rFont val="Carlito"/>
          </rPr>
          <t>INPUT TAB. Enter a 0–5 score in the yellow column for each question. Everything else is automatic. Results roll up to the Dashboard and Scoring Model v2.</t>
        </r>
      </text>
    </comment>
    <comment ref="H4" authorId="0" shapeId="0" xr:uid="{00000000-0006-0000-1C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C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C00-000004000000}">
      <text>
        <r>
          <rPr>
            <sz val="11"/>
            <rFont val="Carlito"/>
          </rPr>
          <t>AUTOMATIC (do not edit). v2 confidence-adjusted score used by 'Scoring Model v2'.</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D00-000001000000}">
      <text>
        <r>
          <rPr>
            <sz val="11"/>
            <rFont val="Carlito"/>
          </rPr>
          <t>INPUT TAB. Enter a 0–5 score in the yellow column for each question. Everything else is automatic. Results roll up to the Dashboard and Scoring Model v2.</t>
        </r>
      </text>
    </comment>
    <comment ref="H4" authorId="0" shapeId="0" xr:uid="{00000000-0006-0000-1D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D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D00-000004000000}">
      <text>
        <r>
          <rPr>
            <sz val="11"/>
            <rFont val="Carlito"/>
          </rPr>
          <t>AUTOMATIC (do not edit). v2 confidence-adjusted score used by 'Scoring Model v2'.</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E00-000001000000}">
      <text>
        <r>
          <rPr>
            <sz val="11"/>
            <rFont val="Carlito"/>
          </rPr>
          <t>INPUT TAB. Enter a 0–5 score in the yellow column for each question. Everything else is automatic. Results roll up to the Dashboard and Scoring Model v2.</t>
        </r>
      </text>
    </comment>
    <comment ref="H4" authorId="0" shapeId="0" xr:uid="{00000000-0006-0000-1E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E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E00-000004000000}">
      <text>
        <r>
          <rPr>
            <sz val="11"/>
            <rFont val="Carlito"/>
          </rPr>
          <t>AUTOMATIC (do not edit). v2 confidence-adjusted score used by 'Scoring Model v2'.</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1F00-000001000000}">
      <text>
        <r>
          <rPr>
            <sz val="11"/>
            <rFont val="Carlito"/>
          </rPr>
          <t>INPUT TAB. Enter a 0–5 score in the yellow column for each question. Everything else is automatic. Results roll up to the Dashboard and Scoring Model v2.</t>
        </r>
      </text>
    </comment>
    <comment ref="H4" authorId="0" shapeId="0" xr:uid="{00000000-0006-0000-1F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1F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1F00-000004000000}">
      <text>
        <r>
          <rPr>
            <sz val="11"/>
            <rFont val="Carlito"/>
          </rPr>
          <t>AUTOMATIC (do not edit). v2 confidence-adjusted score used by 'Scoring Model v2'.</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2000-000001000000}">
      <text>
        <r>
          <rPr>
            <sz val="11"/>
            <rFont val="Carlito"/>
          </rPr>
          <t>INPUT TAB. Enter a 0–5 score in the yellow column for each question. Everything else is automatic. Results roll up to the Dashboard and Scoring Model v2.</t>
        </r>
      </text>
    </comment>
    <comment ref="H4" authorId="0" shapeId="0" xr:uid="{00000000-0006-0000-20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20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2000-000004000000}">
      <text>
        <r>
          <rPr>
            <sz val="11"/>
            <rFont val="Carlito"/>
          </rPr>
          <t>AUTOMATIC (do not edit). v2 confidence-adjusted score used by 'Scoring Model v2'.</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2100-000001000000}">
      <text>
        <r>
          <rPr>
            <sz val="11"/>
            <rFont val="Carlito"/>
          </rPr>
          <t>INPUT TAB. Enter a 0–5 score in the yellow column for each question. Everything else is automatic. Results roll up to the Dashboard and Scoring Model v2.</t>
        </r>
      </text>
    </comment>
    <comment ref="H4" authorId="0" shapeId="0" xr:uid="{00000000-0006-0000-21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21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2100-000004000000}">
      <text>
        <r>
          <rPr>
            <sz val="11"/>
            <rFont val="Carlito"/>
          </rPr>
          <t>AUTOMATIC (do not edit). v2 confidence-adjusted score used by 'Scoring Model v2'.</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2200-000001000000}">
      <text>
        <r>
          <rPr>
            <sz val="11"/>
            <rFont val="Carlito"/>
          </rPr>
          <t>INPUT TAB. Enter a 0–5 score in the yellow column for each question. Everything else is automatic. Results roll up to the Dashboard and Scoring Model v2.</t>
        </r>
      </text>
    </comment>
    <comment ref="H4" authorId="0" shapeId="0" xr:uid="{00000000-0006-0000-22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22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2200-000004000000}">
      <text>
        <r>
          <rPr>
            <sz val="11"/>
            <rFont val="Carlito"/>
          </rPr>
          <t>AUTOMATIC (do not edit). v2 confidence-adjusted score used by 'Scoring Model v2'.</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Guide</author>
  </authors>
  <commentList>
    <comment ref="A1" authorId="0" shapeId="0" xr:uid="{00000000-0006-0000-2300-000001000000}">
      <text>
        <r>
          <rPr>
            <sz val="11"/>
            <rFont val="Carlito"/>
          </rPr>
          <t>INPUT TAB. Enter a 0–5 score in the yellow column for each question. Everything else is automatic. Results roll up to the Dashboard and Scoring Model v2.</t>
        </r>
      </text>
    </comment>
    <comment ref="H4" authorId="0" shapeId="0" xr:uid="{00000000-0006-0000-2300-000002000000}">
      <text>
        <r>
          <rPr>
            <sz val="11"/>
            <rFont val="Carlito"/>
          </rPr>
          <t>ENTER 0–5 here (or N/A).
0=absent · 1=ad hoc · 2=basic · 3=defined · 4=managed/tested · 5=optimized.
See the 'Scoring Guide' tab. Use the Score 0–5 criteria columns (M–R) on this row to choose the right level.</t>
        </r>
      </text>
    </comment>
    <comment ref="AH4" authorId="0" shapeId="0" xr:uid="{00000000-0006-0000-2300-000003000000}">
      <text>
        <r>
          <rPr>
            <sz val="11"/>
            <rFont val="Carlito"/>
          </rPr>
          <t>OPTIONAL: how strong is the evidence? Low / Medium / High.
Lowers the confidence-adjusted score in 'Scoring Model v2' and triggers a 'Validate' flag when maturity is high but evidence is weak. Blank = uses the default from Company Profile.</t>
        </r>
      </text>
    </comment>
    <comment ref="AS4" authorId="0" shapeId="0" xr:uid="{00000000-0006-0000-2300-000004000000}">
      <text>
        <r>
          <rPr>
            <sz val="11"/>
            <rFont val="Carlito"/>
          </rPr>
          <t>AUTOMATIC (do not edit). v2 confidence-adjusted score used by 'Scoring Model v2'.</t>
        </r>
      </text>
    </comment>
  </commentList>
</comments>
</file>

<file path=xl/sharedStrings.xml><?xml version="1.0" encoding="utf-8"?>
<sst xmlns="http://schemas.openxmlformats.org/spreadsheetml/2006/main" count="45676" uniqueCount="15485">
  <si>
    <t>Business Resilience Workbook — Start Here</t>
  </si>
  <si>
    <t>How to read this file, what to fill in, and where to look for answers.</t>
  </si>
  <si>
    <t>TAB COLOUR LEGEND (see the coloured tabs at the bottom)</t>
  </si>
  <si>
    <t xml:space="preserve">    </t>
  </si>
  <si>
    <t>Start / guide — This sheet.</t>
  </si>
  <si>
    <t>Green = Executive insight — Outputs to read &amp; present. Do NOT type here — they update automatically.</t>
  </si>
  <si>
    <t>Orange = Your input — Fill these in. Assessment scores, company profile, crisis selection.</t>
  </si>
  <si>
    <t>Gold = Calibration (careful) — Weights / pairwise judgements. Powerful — change deliberately, watch the consistency check.</t>
  </si>
  <si>
    <t>Blue = Reference / guide — Read-only explanations, scoring scales, standards, methodology.</t>
  </si>
  <si>
    <t>Grey = Internal engine — Hidden calculation libraries. Don't edit unless you know the model. Right-click a tab &gt; Unhide to view.</t>
  </si>
  <si>
    <t>CELL COLOUR LEGEND</t>
  </si>
  <si>
    <t>Enter a value — Yellow cells are inputs — type your answer / number here.</t>
  </si>
  <si>
    <t>Adjust carefully — Light-orange cells are weights or parameters. Sensible defaults are set; change deliberately.</t>
  </si>
  <si>
    <t>Optional input — Pale-yellow cells are optional refinements (e.g., evidence/assessor confidence).</t>
  </si>
  <si>
    <t>No fill = automatic — Uncoloured cells are formula-driven. Don't type over them or you'll break the logic.</t>
  </si>
  <si>
    <t>RECOMMENDED WORKFLOW</t>
  </si>
  <si>
    <t>1. Company Profile</t>
  </si>
  <si>
    <t>Fill the orange cells: industry, size, geography, concentration, critical processes. This drives targets, SPOF and strategy logic.</t>
  </si>
  <si>
    <t>2. Score the 17 domains</t>
  </si>
  <si>
    <t>On each orange domain tab (Company Geography … Cyber Privacy), enter a 0–5 score in the yellow Score column. Use the Scoring Guide (blue) for the scale. Optionally set evidence/assessor confidence.</t>
  </si>
  <si>
    <t>3. Pick a crisis</t>
  </si>
  <si>
    <t>On Crisis Simulator choose a scenario and severity (1–5).</t>
  </si>
  <si>
    <t>4. Calibrate weights (optional)</t>
  </si>
  <si>
    <t>On AHP Domain Weights (gold) adjust the pillar pairwise judgements; keep the Consistency Ratio &lt; 0.10.</t>
  </si>
  <si>
    <t>5. Read the outputs</t>
  </si>
  <si>
    <t>Green tabs: Dashboard, Scoring Model v2, Resilience Engine (Cascade), Risk Summary, Executive Recommendations, Initiative Economics, Gantt Roadmap.</t>
  </si>
  <si>
    <t>6. Quality check</t>
  </si>
  <si>
    <t>Quality Control (blue) flags missing/low-confidence answers before you present.</t>
  </si>
  <si>
    <t>GOOD TO KNOW</t>
  </si>
  <si>
    <t>• Unanswered domains are treated as blank (not zero) and excluded from averages — fill what's relevant, mark the rest N/A.</t>
  </si>
  <si>
    <t>• Two maturity views exist: the original Dashboard (simple weighted average) and Scoring Model v2 (confidence-adjusted, with additive / geometric / penalty aggregation). Geometric &amp; penalty punish weak links.</t>
  </si>
  <si>
    <t>• Risk has a cross-domain Cascade view (Resilience Engine) — a failure in one domain raises risk in coupled domains.</t>
  </si>
  <si>
    <t>• Initiative Economics needs you to enter € investment/benefit (yellow) for ROI/NPV and budget selection to mean anything.</t>
  </si>
  <si>
    <t>• Methodology tabs (blue) explain every formula. Internal grey _TECH_ tabs are the engine — leave them alone.</t>
  </si>
  <si>
    <t>Crisis Management Assessment Dashboard</t>
  </si>
  <si>
    <t>How to use: fill Score 0-5 or N/A in each domain tab; add evidence and comments; review Critical/High gaps; then build crisis-specific mitigation roadmaps. The focus is crisis impact across people, geography, physical safety, suppliers, manufacturing, systems, cloud, data, cybersecurity, strategy and GTM.</t>
  </si>
  <si>
    <t>Domain</t>
  </si>
  <si>
    <t>Questions</t>
  </si>
  <si>
    <t>Answered</t>
  </si>
  <si>
    <t>Completion %</t>
  </si>
  <si>
    <t>Weighted score</t>
  </si>
  <si>
    <t>Max score</t>
  </si>
  <si>
    <t>Maturity %</t>
  </si>
  <si>
    <t>Maturity 0-5</t>
  </si>
  <si>
    <t>Gap</t>
  </si>
  <si>
    <t>Critical</t>
  </si>
  <si>
    <t>High</t>
  </si>
  <si>
    <t>Medium</t>
  </si>
  <si>
    <t>Low</t>
  </si>
  <si>
    <t>Resilient</t>
  </si>
  <si>
    <t>Priority note</t>
  </si>
  <si>
    <t>Overall metric</t>
  </si>
  <si>
    <t>Value</t>
  </si>
  <si>
    <t>Interpretation</t>
  </si>
  <si>
    <t>Company Geography</t>
  </si>
  <si>
    <t>Total questions</t>
  </si>
  <si>
    <t>Total number of questions across all domains.</t>
  </si>
  <si>
    <t>Strategy GTM</t>
  </si>
  <si>
    <t>Answered questions</t>
  </si>
  <si>
    <t>Includes N/A as answered.</t>
  </si>
  <si>
    <t>Governance Crisis</t>
  </si>
  <si>
    <t>Overall completion</t>
  </si>
  <si>
    <t>Target: 100% before final diagnosis.</t>
  </si>
  <si>
    <t>HR Workforce</t>
  </si>
  <si>
    <t>Overall maturity %</t>
  </si>
  <si>
    <t>Weighted resilience maturity across answered items.</t>
  </si>
  <si>
    <t>Finance Procurement</t>
  </si>
  <si>
    <t>Overall maturity 0-5</t>
  </si>
  <si>
    <t>0 = absent, 5 = optimized/resilient.</t>
  </si>
  <si>
    <t>Legal Risk</t>
  </si>
  <si>
    <t>Critical items</t>
  </si>
  <si>
    <t>Immediate action required.</t>
  </si>
  <si>
    <t>Physical Safety</t>
  </si>
  <si>
    <t>High-risk items</t>
  </si>
  <si>
    <t>Near-term mitigation required.</t>
  </si>
  <si>
    <t>Delivery Ops</t>
  </si>
  <si>
    <t>Total weighted gap</t>
  </si>
  <si>
    <t>Weighted improvement opportunity.</t>
  </si>
  <si>
    <t>Supply Chain</t>
  </si>
  <si>
    <t>Selected crisis scenario</t>
  </si>
  <si>
    <t>Used by scenario-adjusted risk and strategy logic.</t>
  </si>
  <si>
    <t>Manufacturing MES</t>
  </si>
  <si>
    <t>Crisis severity</t>
  </si>
  <si>
    <t>1 mild; 3 base; 5 severe.</t>
  </si>
  <si>
    <t>Sales CRM</t>
  </si>
  <si>
    <t>Top exposed domain</t>
  </si>
  <si>
    <t>Domain with highest scenario-adjusted exposure.</t>
  </si>
  <si>
    <t>Marketing Comms</t>
  </si>
  <si>
    <t>Primary strategy</t>
  </si>
  <si>
    <t>Highest-scoring strategy under the selected crisis scenario.</t>
  </si>
  <si>
    <t>IT Cloud DR</t>
  </si>
  <si>
    <t>Business Systems</t>
  </si>
  <si>
    <t>Data BI AI</t>
  </si>
  <si>
    <t>Cyber Privacy</t>
  </si>
  <si>
    <t>Quality Portfolio</t>
  </si>
  <si>
    <t>Crisis scenario</t>
  </si>
  <si>
    <t>Primary diagnostic tabs</t>
  </si>
  <si>
    <t>Typical management output</t>
  </si>
  <si>
    <t>War / security crisis</t>
  </si>
  <si>
    <t>Company Geography; Physical Safety; HR Workforce; Supply Chain; IT Cloud DR</t>
  </si>
  <si>
    <t>Employee safety map; site recovery plan; relocation options; logistics fallback; remote operations plan</t>
  </si>
  <si>
    <t>Physical site loss</t>
  </si>
  <si>
    <t>Physical Safety; Delivery Ops; Manufacturing MES; IT Cloud DR; Business Systems</t>
  </si>
  <si>
    <t>Alternative site plan; production/service transfer plan; insurance/evidence package; recovery sequencing</t>
  </si>
  <si>
    <t>Cyberattack / ransomware</t>
  </si>
  <si>
    <t>Cyber Privacy; IT Cloud DR; Business Systems; Legal Risk; Marketing Comms</t>
  </si>
  <si>
    <t>Incident response plan; isolation and restore runbook; notification workflow; customer communication pack</t>
  </si>
  <si>
    <t>Cloud / SaaS outage</t>
  </si>
  <si>
    <t>IT Cloud DR; Business Systems; Data BI AI; Sales CRM</t>
  </si>
  <si>
    <t>Cloud/SaaS dependency map; RTO/RPO gaps; backup/export strategy; failover exercise</t>
  </si>
  <si>
    <t>Supplier / logistics disruption</t>
  </si>
  <si>
    <t>Supply Chain; Finance Procurement; Manufacturing MES; Delivery Ops</t>
  </si>
  <si>
    <t>Critical supplier map; alternate suppliers; inventory buffer model; customer allocation rules</t>
  </si>
  <si>
    <t>Energy / utilities outage</t>
  </si>
  <si>
    <t>Physical Safety; Manufacturing MES; IT Cloud DR; Delivery Ops</t>
  </si>
  <si>
    <t>Backup power/fuel plan; utility dependency map; minimum viable operations</t>
  </si>
  <si>
    <t>Financial liquidity crisis</t>
  </si>
  <si>
    <t>Finance Procurement; Strategy GTM; Sales CRM; Governance Crisis</t>
  </si>
  <si>
    <t>Cash-flow stress test; payment priority rules; revenue defense plan; emergency budget actions</t>
  </si>
  <si>
    <t>Demand shock</t>
  </si>
  <si>
    <t>Strategy GTM; Sales CRM; Marketing Comms; Finance Procurement</t>
  </si>
  <si>
    <t>ICP/offering review; pipeline stress test; pricing response; market pivot options</t>
  </si>
  <si>
    <t>Pandemic / health crisis</t>
  </si>
  <si>
    <t>HR Workforce; Physical Safety; IT Cloud DR; Delivery Ops</t>
  </si>
  <si>
    <t>Remote operating model; absence plan; health protocols; minimum staffing</t>
  </si>
  <si>
    <t>Regulatory / legal shock</t>
  </si>
  <si>
    <t>Legal Risk; Data BI AI; Cyber Privacy; Finance Procurement</t>
  </si>
  <si>
    <t>Compliance gap map; contract/legal exposure; data/privacy remediation plan</t>
  </si>
  <si>
    <t>Reputation crisis</t>
  </si>
  <si>
    <t>Marketing Comms; Sales CRM; Legal Risk; Cyber Privacy</t>
  </si>
  <si>
    <t>Crisis communication playbook; customer notification plan; spokesperson matrix</t>
  </si>
  <si>
    <t>Natural disaster / climate event</t>
  </si>
  <si>
    <t>Physical Safety; Supply Chain; HR Workforce; Delivery Ops</t>
  </si>
  <si>
    <t>Site risk map; emergency supplies; alternate routes; employee notification</t>
  </si>
  <si>
    <t>Initiative roadmap summary</t>
  </si>
  <si>
    <t>Metric</t>
  </si>
  <si>
    <t>How it is calculated</t>
  </si>
  <si>
    <t>Action</t>
  </si>
  <si>
    <t>Top-ranked strategy from Strategy Selection.</t>
  </si>
  <si>
    <t>Use as portfolio theme.</t>
  </si>
  <si>
    <t>Selected crisis</t>
  </si>
  <si>
    <t>Scenario selected in Crisis Simulator.</t>
  </si>
  <si>
    <t>Review if scenario changed.</t>
  </si>
  <si>
    <t>Active / triggered initiatives</t>
  </si>
  <si>
    <t>Initiatives ranked into 0-90 days through 6-12 months.</t>
  </si>
  <si>
    <t>Start with top 10.</t>
  </si>
  <si>
    <t>Top WSJF</t>
  </si>
  <si>
    <t>Highest WSJF across initiative library.</t>
  </si>
  <si>
    <t>Use for first wave.</t>
  </si>
  <si>
    <t>0-90 days initiatives</t>
  </si>
  <si>
    <t>Roadmap wave based on rank and WSJF.</t>
  </si>
  <si>
    <t>Assign owners.</t>
  </si>
  <si>
    <t>3-6 months initiatives</t>
  </si>
  <si>
    <t>Prepare budget.</t>
  </si>
  <si>
    <t>Scope update</t>
  </si>
  <si>
    <t>Company Profile</t>
  </si>
  <si>
    <t>Context and target settings</t>
  </si>
  <si>
    <t>Quality Control</t>
  </si>
  <si>
    <t>Completeness and quality checks</t>
  </si>
  <si>
    <t>Gantt Roadmap</t>
  </si>
  <si>
    <t>Time-based initiative roadmap</t>
  </si>
  <si>
    <t>Standards per Question</t>
  </si>
  <si>
    <t>Question-level standards mapping</t>
  </si>
  <si>
    <t>Industry-adjusted scoring overview</t>
  </si>
  <si>
    <t>Selected industry</t>
  </si>
  <si>
    <t>Adjusted score</t>
  </si>
  <si>
    <t>Target</t>
  </si>
  <si>
    <t>Threshold status</t>
  </si>
  <si>
    <t>Industry-adjusted weighted score 0-5</t>
  </si>
  <si>
    <t>Average gap to industry target</t>
  </si>
  <si>
    <t>Red-line threshold breaches</t>
  </si>
  <si>
    <t>Primary industry-adjusted strategy</t>
  </si>
  <si>
    <t>Roadmap and heatmap outputs</t>
  </si>
  <si>
    <t>Open the Gantt Roadmap tab to review initiative sequencing, capacity load, overload months, dependencies and decision flags.</t>
  </si>
  <si>
    <t>Heatmaps</t>
  </si>
  <si>
    <t>Open the Heatmaps tab to review domain-by-crisis exposure, risk category concentration and roadmap capacity pressure.</t>
  </si>
  <si>
    <t>Crisis and Risk Heatmaps</t>
  </si>
  <si>
    <t>Visual heatmaps to help executives see which domains are most exposed to selected crisis scenarios, risk categories and roadmap workload. Values recalculate when the questionnaire, crisis scenario or industry template changes.</t>
  </si>
  <si>
    <t>Severity</t>
  </si>
  <si>
    <t>Business resilience score</t>
  </si>
  <si>
    <t>Active risks</t>
  </si>
  <si>
    <t>Heatmap 1. Domain vs crisis scenario exposure</t>
  </si>
  <si>
    <t>Heatmap 2. Domain vs active risk category score</t>
  </si>
  <si>
    <t>Geographic, entity and market exposure</t>
  </si>
  <si>
    <t>Strategic and go-to-market resilience</t>
  </si>
  <si>
    <t>Crisis governance and decision-making</t>
  </si>
  <si>
    <t>People, critical roles and knowledge continuity</t>
  </si>
  <si>
    <t>Financial control and procurement resilience</t>
  </si>
  <si>
    <t>Legal, compliance and contractual exposure</t>
  </si>
  <si>
    <t>Physical safety, security and facility resilience</t>
  </si>
  <si>
    <t>Delivery, service continuity and operational execution</t>
  </si>
  <si>
    <t>Supply chain, logistics and supplier continuity</t>
  </si>
  <si>
    <t>Manufacturing, MES and production continuity</t>
  </si>
  <si>
    <t>Revenue, sales pipeline and CRM continuity</t>
  </si>
  <si>
    <t>Market communication and reputation resilience</t>
  </si>
  <si>
    <t>Heatmap 3. Top 20 prioritized initiatives vs timeline</t>
  </si>
  <si>
    <t>Rank</t>
  </si>
  <si>
    <t>Initiative</t>
  </si>
  <si>
    <t>Heatmap 4. Monthly capacity load and overload signal</t>
  </si>
  <si>
    <t>Capacity load</t>
  </si>
  <si>
    <t>Active initiatives</t>
  </si>
  <si>
    <t>Overload flag</t>
  </si>
  <si>
    <t>Resilience Engine — Cascade &amp; Nonlinear View</t>
  </si>
  <si>
    <t>Enhanced read of your assessment: weak-link aggregation, red-line gates, single-point-of-failure load, cross-domain cascades, and scenario propagation. Source scores are unchanged — compare against the standard Dashboard.</t>
  </si>
  <si>
    <t>Active scenario</t>
  </si>
  <si>
    <t>Severity (1-5)</t>
  </si>
  <si>
    <t>Org base maturity (0-5)</t>
  </si>
  <si>
    <t>Org effective resilience</t>
  </si>
  <si>
    <t>Org weakest domain</t>
  </si>
  <si>
    <t>Peak effective risk</t>
  </si>
  <si>
    <t>Critical / High domains</t>
  </si>
  <si>
    <t>Peak scenario exposure</t>
  </si>
  <si>
    <t>Top exposed (scenario)</t>
  </si>
  <si>
    <t>Top cascade amplifier</t>
  </si>
  <si>
    <t>Base maturity</t>
  </si>
  <si>
    <t>Weakest control</t>
  </si>
  <si>
    <t>Adj. maturity (weak-link)</t>
  </si>
  <si>
    <t>Red-line breach</t>
  </si>
  <si>
    <t>SPOF factor</t>
  </si>
  <si>
    <t>Own risk</t>
  </si>
  <si>
    <t>+ Cascade risk</t>
  </si>
  <si>
    <t>Effective risk</t>
  </si>
  <si>
    <t>Risk level</t>
  </si>
  <si>
    <t>Effective maturity</t>
  </si>
  <si>
    <t>Scenario exposure</t>
  </si>
  <si>
    <t>Exposure level</t>
  </si>
  <si>
    <t>How to read</t>
  </si>
  <si>
    <t>• Adjusted maturity falls below base when a domain has a weak control (weak-link). • Red-line BREACH caps the domain's maturity regardless of other strengths. • Effective risk = own risk x SPOF + cascade inflow from coupled domains. • Scenario exposure applies the active crisis + severity through the dependency network. • Tune all behaviour in _TECH_Dependency_Map (unhide it).</t>
  </si>
  <si>
    <t>Resilience Stress Test &amp; Sensitivity</t>
  </si>
  <si>
    <t>Tests whether severity overpowers maturity and how sensitive results are to the model parameters. All cells are live — change scores or parameters and these update.</t>
  </si>
  <si>
    <t>1) Scenario exposure by severity (active scenario, all domains)</t>
  </si>
  <si>
    <t>Severity 1</t>
  </si>
  <si>
    <t>Severity 2</t>
  </si>
  <si>
    <t>Severity 3</t>
  </si>
  <si>
    <t>Severity 4</t>
  </si>
  <si>
    <t>Severity 5</t>
  </si>
  <si>
    <t>Org average</t>
  </si>
  <si>
    <t>Org peak</t>
  </si>
  <si>
    <t>2) Cascade-gain (beta) sensitivity — effect on effective risk</t>
  </si>
  <si>
    <t>beta=0.0</t>
  </si>
  <si>
    <t>beta=0.2</t>
  </si>
  <si>
    <t>beta=0.35</t>
  </si>
  <si>
    <t>beta=0.5</t>
  </si>
  <si>
    <t>beta=0.7</t>
  </si>
  <si>
    <t>Current beta = '_TECH_Dependency_Map'!$B$28 (edit in _TECH_Dependency_Map)</t>
  </si>
  <si>
    <t>3) Weak-link (alpha) sensitivity — effect on gated maturity</t>
  </si>
  <si>
    <t>alpha=0.4</t>
  </si>
  <si>
    <t>alpha=0.55</t>
  </si>
  <si>
    <t>alpha=0.65</t>
  </si>
  <si>
    <t>alpha=0.8</t>
  </si>
  <si>
    <t>alpha=0.95</t>
  </si>
  <si>
    <t>Org resilience</t>
  </si>
  <si>
    <t>Current alpha = '_TECH_Dependency_Map'!$B$27 (edit in _TECH_Dependency_Map)</t>
  </si>
  <si>
    <t>Reading the stress test: if the 'Org peak' row in section 1 climbs steeply from severity 1 to 5 while base maturity is decent, severity is overpowering maturity — lower scen_factor_cap or gamma. If beta barely moves results, cascades are immaterial for this profile; if it dominates, recalibrate the matrix.</t>
  </si>
  <si>
    <t>Scoring Guide</t>
  </si>
  <si>
    <t>Use 0-5 scoring for each question. The model is designed to capture evidence, crisis impact, and improvement actions.</t>
  </si>
  <si>
    <t>Score</t>
  </si>
  <si>
    <t>Maturity label</t>
  </si>
  <si>
    <t>Criteria</t>
  </si>
  <si>
    <t>Absent / unknown</t>
  </si>
  <si>
    <t>No documented process, owner, data, evidence, or reliable practice exists. High crisis exposure.</t>
  </si>
  <si>
    <t>Ad hoc</t>
  </si>
  <si>
    <t>Activity exists informally, depends on individuals, and is not consistently documented, measured, or controlled.</t>
  </si>
  <si>
    <t>Basic / partial</t>
  </si>
  <si>
    <t>Some process, document, or system exists, but coverage is incomplete, inconsistent, or not crisis-tested.</t>
  </si>
  <si>
    <t>Defined</t>
  </si>
  <si>
    <t>Process is documented, owned, used in normal operations, and supported by basic metrics or evidence.</t>
  </si>
  <si>
    <t>Managed / tested</t>
  </si>
  <si>
    <t>Process is measured, reviewed, integrated with related domains, and periodically tested against disruption scenarios.</t>
  </si>
  <si>
    <t>Optimized / resilient</t>
  </si>
  <si>
    <t>Process is automated where practical, continuously improved, stress-tested, and demonstrably supports crisis resilience.</t>
  </si>
  <si>
    <t>N/A</t>
  </si>
  <si>
    <t>Not applicable</t>
  </si>
  <si>
    <t>Use only if the question is genuinely not applicable, not when evidence is missing.</t>
  </si>
  <si>
    <t>Weight</t>
  </si>
  <si>
    <t>Meaning</t>
  </si>
  <si>
    <t>Use</t>
  </si>
  <si>
    <t>Useful context or low impact on crisis resilience.</t>
  </si>
  <si>
    <t>Moderate</t>
  </si>
  <si>
    <t>Relevant to one domain but limited enterprise-wide impact.</t>
  </si>
  <si>
    <t>Important</t>
  </si>
  <si>
    <t>Meaningful impact on operational continuity or decision quality.</t>
  </si>
  <si>
    <t>Strong impact on continuity, revenue, safety, legal, cyber, or supplier resilience.</t>
  </si>
  <si>
    <t>Failure may materially affect people safety, cash, operations, compliance, delivery, or survival.</t>
  </si>
  <si>
    <t>Score range</t>
  </si>
  <si>
    <t>0-1</t>
  </si>
  <si>
    <t>Absent or ad hoc capability. Immediate crisis-management exposure.</t>
  </si>
  <si>
    <t>2</t>
  </si>
  <si>
    <t>Partial capability. Significant gaps likely during disruption.</t>
  </si>
  <si>
    <t>3</t>
  </si>
  <si>
    <t>Defined capability. Usable but not yet strongly tested or optimized.</t>
  </si>
  <si>
    <t>4</t>
  </si>
  <si>
    <t>Managed and tested capability. Some improvements remain.</t>
  </si>
  <si>
    <t>5</t>
  </si>
  <si>
    <t>Strong, tested and continuously improved capability.</t>
  </si>
  <si>
    <t>Spider dashboard additions</t>
  </si>
  <si>
    <t>Common domain spider</t>
  </si>
  <si>
    <t>Uses Dashboard maturity 0-5 per domain.</t>
  </si>
  <si>
    <t>Shows which crisis domains are structurally weak.</t>
  </si>
  <si>
    <t>Subarea spider</t>
  </si>
  <si>
    <t>Uses each tab's Subdomain column and Score 0-5 / N/A.</t>
  </si>
  <si>
    <t>Shows weaknesses inside each assessment area.</t>
  </si>
  <si>
    <t>Digitalization</t>
  </si>
  <si>
    <t>Calculated from scores weighted by Digitalization relevance in column W.</t>
  </si>
  <si>
    <t>Measures implementation of cloud, systems, data, automation and digital tools.</t>
  </si>
  <si>
    <t>Resilience</t>
  </si>
  <si>
    <t>Calculated from scores weighted by Resilience relevance in column X.</t>
  </si>
  <si>
    <t>Measures ability to withstand and recover from crisis scenarios.</t>
  </si>
  <si>
    <t>Process Maturity</t>
  </si>
  <si>
    <t>Calculated from scores weighted by Process maturity relevance in column Y.</t>
  </si>
  <si>
    <t>Measures whether processes are owned, documented, measured and repeatable.</t>
  </si>
  <si>
    <t>Relevance weights</t>
  </si>
  <si>
    <t>0 = not relevant; 5 = strongly relevant.</t>
  </si>
  <si>
    <t>Weights can be adjusted manually for sector-specific diagnostics.</t>
  </si>
  <si>
    <t>Important note</t>
  </si>
  <si>
    <t>Charts update after scores are entered and the workbook recalculates.</t>
  </si>
  <si>
    <t>Use Excel recalculation if charts do not immediately refresh.</t>
  </si>
  <si>
    <t>Recommendation engine and WSJF logic</t>
  </si>
  <si>
    <t>Recommendation Matrix</t>
  </si>
  <si>
    <t>Hidden/admin vocabulary</t>
  </si>
  <si>
    <t>Contains one row per questionnaire item and score-specific next-level recommendations for scores 0–5.</t>
  </si>
  <si>
    <t>Executive Recommendations</t>
  </si>
  <si>
    <t>Visible output</t>
  </si>
  <si>
    <t>Pulls all entered scores from domain tabs and produces concise recommendations, priority, complexity and WSJF ranking.</t>
  </si>
  <si>
    <t>Priority score</t>
  </si>
  <si>
    <t>1–5</t>
  </si>
  <si>
    <t>Calculated from maturity gap, question weight and resilience relevance.</t>
  </si>
  <si>
    <t>Complexity / job size</t>
  </si>
  <si>
    <t>Estimated implementation difficulty. Higher values reduce WSJF.</t>
  </si>
  <si>
    <t>WSJF</t>
  </si>
  <si>
    <t>(Business value + time criticality + risk reduction + opportunity enablement) / job size</t>
  </si>
  <si>
    <t>Higher WSJF means a better candidate for earlier execution.</t>
  </si>
  <si>
    <t>How to use</t>
  </si>
  <si>
    <t>Filter Show = Yes</t>
  </si>
  <si>
    <t>Then sort by Rank ascending or WSJF descending. Score 5 items are marked Maintain.</t>
  </si>
  <si>
    <t>Note</t>
  </si>
  <si>
    <t>Formula-driven</t>
  </si>
  <si>
    <t>The executive sheet updates after scores are entered or changed in domain tabs.</t>
  </si>
  <si>
    <t>Risk Engine and Risk Summary</t>
  </si>
  <si>
    <t>Component</t>
  </si>
  <si>
    <t>Description</t>
  </si>
  <si>
    <t>Risk Library</t>
  </si>
  <si>
    <t>Hidden admin vocabulary. Each questionnaire item has score-specific risk statements, risk treatments and complexity values.</t>
  </si>
  <si>
    <t>Risk Summary</t>
  </si>
  <si>
    <t>Visible executive risk register. It pulls current scores from domain tabs and converts low maturity into active risks.</t>
  </si>
  <si>
    <t>Risk logic</t>
  </si>
  <si>
    <t>Lower maturity score means higher likelihood. Impact is calculated from question weight, resilience relevance and process maturity relevance.</t>
  </si>
  <si>
    <t>Risk score</t>
  </si>
  <si>
    <t>Likelihood x Impact, both on a 1-5 scale. Maximum risk score is 25.</t>
  </si>
  <si>
    <t>(Business value + Time criticality + Risk reduction + Opportunity enablement) / Complexity. Sort by WSJF descending or Rank ascending.</t>
  </si>
  <si>
    <t>Recommended use</t>
  </si>
  <si>
    <t>Filter Show = Yes, review Critical and High risks first, assign owners, due dates and risk treatment decisions.</t>
  </si>
  <si>
    <t>Crisis scenario logic and strategy recommendation engine</t>
  </si>
  <si>
    <t>Crisis Simulator</t>
  </si>
  <si>
    <t>Visible sheet where the assessor selects a crisis scenario and severity. Domain exposure is recalculated using hidden scenario-domain multipliers.</t>
  </si>
  <si>
    <t>_TECH_Crisis_Model</t>
  </si>
  <si>
    <t>Very hidden technical sheet with scenario, domain, base multiplier, severity-adjusted multiplier, rationale and mitigation theme.</t>
  </si>
  <si>
    <t>Risk Summary update</t>
  </si>
  <si>
    <t>Added scenario-adjusted risk score and scenario-adjusted WSJF so active risks can be interpreted under the selected crisis.</t>
  </si>
  <si>
    <t>Executive Recommendations update</t>
  </si>
  <si>
    <t>Added scenario-adjusted WSJF and crisis rationale, so recommended actions can be sorted under the selected crisis mode.</t>
  </si>
  <si>
    <t>Strategy Selection</t>
  </si>
  <si>
    <t>Visible strategy engine that scores strategies by crisis fit, domain gap fit, active risk fit and digitalization/resilience/process gaps.</t>
  </si>
  <si>
    <t>_TECH_Strategy_Library</t>
  </si>
  <si>
    <t>Very hidden technical sheet with strategy definitions, scenario multipliers, domain weights, owners, timelines and KPIs.</t>
  </si>
  <si>
    <t>Interpretation rule</t>
  </si>
  <si>
    <t>Do not treat the top strategy as an automatic decision. Use it as a decision-support output that should be validated by management and domain SMEs.</t>
  </si>
  <si>
    <t>Initiative library and roadmap engine</t>
  </si>
  <si>
    <t>_TECH_Initiative_Library</t>
  </si>
  <si>
    <t>Hidden technical library. Each initiative is mapped to a domain, subdomain, strategy, risk category, crisis scenario, questions, owner, dependencies and KPIs.</t>
  </si>
  <si>
    <t>Connection to Recommendation Matrix</t>
  </si>
  <si>
    <t>The initiative engine counts active recommendations from Executive Recommendations by domain and subdomain.</t>
  </si>
  <si>
    <t>Connection to Risk Library</t>
  </si>
  <si>
    <t>The initiative engine counts active risks from Risk Summary by domain and subdomain and uses them in the Risk Reduction component of WSJF.</t>
  </si>
  <si>
    <t>Connection to Strategy Selection</t>
  </si>
  <si>
    <t>Each initiative is mapped to one strategy. The current strategy rank and score influence Business Value, Time Criticality and Opportunity Enablement.</t>
  </si>
  <si>
    <t>Connection to Crisis Simulator</t>
  </si>
  <si>
    <t>The selected crisis scenario and severity drive crisis multipliers, which increase initiative urgency when a domain is exposed to the selected crisis.</t>
  </si>
  <si>
    <t>WSJF formula</t>
  </si>
  <si>
    <t>WSJF = (Business Value + Time Criticality + Risk Reduction + Opportunity Enablement) / Complexity.</t>
  </si>
  <si>
    <t>Roadmap wave</t>
  </si>
  <si>
    <t>Initiatives are ranked by WSJF and grouped into 0-90 days, 3-6 months, 6-12 months and 12+ months.</t>
  </si>
  <si>
    <t>Latest workbook scope update</t>
  </si>
  <si>
    <t>Sheet / item</t>
  </si>
  <si>
    <t>Purpose</t>
  </si>
  <si>
    <t>Captures organization context, assessment boundaries, target scores and roadmap start date.</t>
  </si>
  <si>
    <t>Checks missing or invalid scores, missing comments for critical/high risks, missing owners and missing linked recommendations.</t>
  </si>
  <si>
    <t>Converts the initiative library into a time-based implementation view with roadmap waves and month-level bars.</t>
  </si>
  <si>
    <t>Maps each question to standards, frameworks, evidence, score criteria, crisis tags and metric relevance.</t>
  </si>
  <si>
    <t>Out of scope by design</t>
  </si>
  <si>
    <t>LLM export, LLM-generated narrative and financial modeling are intentionally excluded from this workbook version.</t>
  </si>
  <si>
    <t>Industry templates and improved scoring logic</t>
  </si>
  <si>
    <t>Industry template</t>
  </si>
  <si>
    <t>Selected in Company Profile. It adjusts domain weight, target maturity, criticality, initiative priority, strategy fit and red-line controls.</t>
  </si>
  <si>
    <t>Evidence confidence</t>
  </si>
  <si>
    <t>Question-level confidence factor. High = 1.00, Medium = 0.90, Low = 0.80, Not assessed = 0.65. Blank uses the default from Company Profile.</t>
  </si>
  <si>
    <t>Assessor confidence</t>
  </si>
  <si>
    <t>Separates verified findings from opinions. It uses the same confidence factors and also defaults from Company Profile if blank.</t>
  </si>
  <si>
    <t>Confidence-adjusted score</t>
  </si>
  <si>
    <t>Raw score multiplied by evidence and assessor confidence. This avoids over-rating weakly evidenced answers.</t>
  </si>
  <si>
    <t>Industry target maturity</t>
  </si>
  <si>
    <t>Expected maturity level for the selected industry. The same raw score can be acceptable in one industry and a serious gap in another.</t>
  </si>
  <si>
    <t>Red-line threshold</t>
  </si>
  <si>
    <t>Minimum viable maturity for the selected industry. Breaches are highlighted in Improved Scoring Model and Quality Control.</t>
  </si>
  <si>
    <t>Industry-adjusted ranking</t>
  </si>
  <si>
    <t>Strategy, recommendation, risk and initiative ranking now include industry multipliers while preserving the original formulas and base scores.</t>
  </si>
  <si>
    <t>Gantt and Heatmap Upgrade</t>
  </si>
  <si>
    <t>Gantt Roadmap now includes month-level capacity load, overload flags, decision-required flags, dependencies, KPIs, owner roles, status dropdown and a top-priority initiative timeline.</t>
  </si>
  <si>
    <t>Heatmaps tab adds domain-by-crisis exposure, domain-by-risk-category score, top initiative timeline and monthly capacity heatmaps.</t>
  </si>
  <si>
    <t>Company Profile and Assessment Context</t>
  </si>
  <si>
    <t>Use this sheet once per organization. It captures the context that influences crisis exposure, strategy relevance and the Gantt roadmap. LLM and financial modeling are intentionally out of scope for this workbook version.</t>
  </si>
  <si>
    <t>Profile field</t>
  </si>
  <si>
    <t>Value / input</t>
  </si>
  <si>
    <t>Guidance</t>
  </si>
  <si>
    <t>Used by</t>
  </si>
  <si>
    <t>How this sheet is used</t>
  </si>
  <si>
    <t>Organization name</t>
  </si>
  <si>
    <t>Legal or commercial name used in the assessment.</t>
  </si>
  <si>
    <t>Dashboard / executive summary</t>
  </si>
  <si>
    <t>1. Define organization context and assessment boundaries.
2. Use Crisis Simulator for active scenario and severity.
3. Use Assessment date as the roadmap start date.
4. Use target scores to calibrate expected maturity level.
5. Keep LLM and financial analysis outside this workbook version.</t>
  </si>
  <si>
    <t>Assessment date</t>
  </si>
  <si>
    <t>Baseline date. Gantt roadmap starts from this date unless changed.</t>
  </si>
  <si>
    <t>Assessment owner</t>
  </si>
  <si>
    <t>Person responsible for coordinating the assessment.</t>
  </si>
  <si>
    <t>Executive sponsor</t>
  </si>
  <si>
    <t>Senior owner who accepts priorities and crisis roadmap.</t>
  </si>
  <si>
    <t>Roadmap governance</t>
  </si>
  <si>
    <t>Industry</t>
  </si>
  <si>
    <t>IT Services</t>
  </si>
  <si>
    <t>Primary industry or sector.</t>
  </si>
  <si>
    <t>Strategy logic</t>
  </si>
  <si>
    <t>Sub-industry / segment</t>
  </si>
  <si>
    <t>More specific segment, e.g. manufacturing, SaaS, retail, healthcare.</t>
  </si>
  <si>
    <t>Headquarters country</t>
  </si>
  <si>
    <t>Country where the main legal or management entity is located.</t>
  </si>
  <si>
    <t>Risk context</t>
  </si>
  <si>
    <t>Operating countries / regions</t>
  </si>
  <si>
    <t>List countries, regions and key cities where the company operates.</t>
  </si>
  <si>
    <t>Geographical exposure</t>
  </si>
  <si>
    <t>Ownership type</t>
  </si>
  <si>
    <t>Private, public, state-owned, family-owned, PE-backed, NGO or other.</t>
  </si>
  <si>
    <t>Governance context</t>
  </si>
  <si>
    <t>Legal entities</t>
  </si>
  <si>
    <t>Main legal entities and subsidiaries.</t>
  </si>
  <si>
    <t>Legal / continuity context</t>
  </si>
  <si>
    <t>Employee count</t>
  </si>
  <si>
    <t>Total employees and contractors.</t>
  </si>
  <si>
    <t>HR / continuity logic</t>
  </si>
  <si>
    <t>Revenue size band</t>
  </si>
  <si>
    <t>Annual revenue band.</t>
  </si>
  <si>
    <t>Financial context, not calculation</t>
  </si>
  <si>
    <t>Operating model</t>
  </si>
  <si>
    <t>Centralized, decentralized, hub-and-spoke, remote-first, multi-site, franchise, hybrid.</t>
  </si>
  <si>
    <t>Crisis exposure</t>
  </si>
  <si>
    <t>Business model</t>
  </si>
  <si>
    <t>B2B, B2C, B2B2C, marketplace, subscription, project-based, manufacturing, distribution.</t>
  </si>
  <si>
    <t>GTM / resilience logic</t>
  </si>
  <si>
    <t>Critical products / services</t>
  </si>
  <si>
    <t>Products or services that must continue during disruption.</t>
  </si>
  <si>
    <t>Business continuity</t>
  </si>
  <si>
    <t>ICP / key customer segments</t>
  </si>
  <si>
    <t>Ideal customer profiles and most important customer groups.</t>
  </si>
  <si>
    <t>GTM / revenue resilience</t>
  </si>
  <si>
    <t>Top markets by revenue</t>
  </si>
  <si>
    <t>Countries, regions or customer segments with highest revenue share.</t>
  </si>
  <si>
    <t>Revenue concentration</t>
  </si>
  <si>
    <t>Customer concentration</t>
  </si>
  <si>
    <t>Share of top 1, 3 or 10 customers if known.</t>
  </si>
  <si>
    <t>Revenue risk</t>
  </si>
  <si>
    <t>Critical sites / facilities</t>
  </si>
  <si>
    <t>Offices, plants, warehouses, data centers, labs, showrooms or service centers.</t>
  </si>
  <si>
    <t>Physical safety / operations</t>
  </si>
  <si>
    <t>Critical people / roles</t>
  </si>
  <si>
    <t>Roles where loss of individuals creates continuity risk.</t>
  </si>
  <si>
    <t>Workforce resilience</t>
  </si>
  <si>
    <t>Regulatory exposure level</t>
  </si>
  <si>
    <t>Low, medium, high or critical regulatory exposure.</t>
  </si>
  <si>
    <t>Legal / compliance risk</t>
  </si>
  <si>
    <t>Main regulations / obligations</t>
  </si>
  <si>
    <t>Examples: GDPR, NIS2, HIPAA, SOX, ISO, industry licenses, customer audit obligations.</t>
  </si>
  <si>
    <t>Compliance context</t>
  </si>
  <si>
    <t>Core business systems</t>
  </si>
  <si>
    <t>ERP, CRM, MES, HRMS, BI, WMS, SCM, billing, support desk, data warehouse.</t>
  </si>
  <si>
    <t>Digital maturity</t>
  </si>
  <si>
    <t>Cloud and infrastructure model</t>
  </si>
  <si>
    <t>On-premise, public cloud, private cloud, hybrid, multi-cloud, SaaS-first.</t>
  </si>
  <si>
    <t>IT / DR strategy</t>
  </si>
  <si>
    <t>Primary crisis scenario to test</t>
  </si>
  <si>
    <t>Active scenario is selected in Crisis Simulator.</t>
  </si>
  <si>
    <t>Scenario severity 1-5</t>
  </si>
  <si>
    <t>Active scenario severity is selected in Crisis Simulator.</t>
  </si>
  <si>
    <t>Target process maturity 0-5</t>
  </si>
  <si>
    <t>Target level for process maturity.</t>
  </si>
  <si>
    <t>Gap analysis</t>
  </si>
  <si>
    <t>Target digitalization 0-5</t>
  </si>
  <si>
    <t>Target level for implementation of digital technologies.</t>
  </si>
  <si>
    <t>Target resilience 0-5</t>
  </si>
  <si>
    <t>Target level for resilience against relevant risks.</t>
  </si>
  <si>
    <t>Assessment cadence</t>
  </si>
  <si>
    <t>Quarterly, semi-annual, annual, or crisis-triggered review.</t>
  </si>
  <si>
    <t>Governance</t>
  </si>
  <si>
    <t>Risk appetite statement</t>
  </si>
  <si>
    <t>Short statement explaining acceptable residual risk.</t>
  </si>
  <si>
    <t>Risk treatment</t>
  </si>
  <si>
    <t>Key assumptions / comments</t>
  </si>
  <si>
    <t>Context notes, limitations, excluded scope or special assessment assumptions.</t>
  </si>
  <si>
    <t>All outputs</t>
  </si>
  <si>
    <t>Industry Template and Improved Scoring Logic</t>
  </si>
  <si>
    <t>Selected industry template</t>
  </si>
  <si>
    <t>Used as lookup key for domain weights, targets, criticality and recommendations.</t>
  </si>
  <si>
    <t>Default evidence confidence</t>
  </si>
  <si>
    <t>Used when question-level evidence confidence is blank.</t>
  </si>
  <si>
    <t>Default assessor confidence</t>
  </si>
  <si>
    <t>Used when question-level assessor confidence is blank.</t>
  </si>
  <si>
    <t>Template domains</t>
  </si>
  <si>
    <t>Should equal 17 for a valid industry template.</t>
  </si>
  <si>
    <t>Average target maturity</t>
  </si>
  <si>
    <t>Average expected maturity for selected industry.</t>
  </si>
  <si>
    <t>Average criticality multiplier</t>
  </si>
  <si>
    <t>Higher value means industry makes weaknesses more material.</t>
  </si>
  <si>
    <t>Critical systems</t>
  </si>
  <si>
    <t>Typical systems that should be treated as critical for this industry.</t>
  </si>
  <si>
    <t>Red-line controls</t>
  </si>
  <si>
    <t>Minimum controls that should not be missing even if average maturity looks acceptable.</t>
  </si>
  <si>
    <t>Preferred strategy logic</t>
  </si>
  <si>
    <t>Strategies that receive extra relevance for this industry.</t>
  </si>
  <si>
    <t>Extended Company Context Inputs (closed answers only)</t>
  </si>
  <si>
    <t>Revenue model</t>
  </si>
  <si>
    <t>Project-based</t>
  </si>
  <si>
    <t>Primary revenue model used by the company.</t>
  </si>
  <si>
    <t>Risk, strategy and initiative logic</t>
  </si>
  <si>
    <t>Secondary revenue model</t>
  </si>
  <si>
    <t>Hybrid</t>
  </si>
  <si>
    <t>Secondary or supporting monetization model.</t>
  </si>
  <si>
    <t>Revenue diversification logic</t>
  </si>
  <si>
    <t>Revenue recurrence</t>
  </si>
  <si>
    <t>Mixed recurring and project-based</t>
  </si>
  <si>
    <t>Revenue stability profile.</t>
  </si>
  <si>
    <t>Crisis impact and revenue risk</t>
  </si>
  <si>
    <t>Primary sales motion</t>
  </si>
  <si>
    <t>Direct enterprise sales</t>
  </si>
  <si>
    <t>Dominant sales motion.</t>
  </si>
  <si>
    <t>GTM and CRM strategy</t>
  </si>
  <si>
    <t>Customer concentration: top 1 client revenue share</t>
  </si>
  <si>
    <t>10-25%</t>
  </si>
  <si>
    <t>Estimated revenue share of the largest customer.</t>
  </si>
  <si>
    <t>Customer concentration risk</t>
  </si>
  <si>
    <t>Customer concentration: top 5 clients revenue share</t>
  </si>
  <si>
    <t>25-50%</t>
  </si>
  <si>
    <t>Estimated revenue share of top 5 customers.</t>
  </si>
  <si>
    <t>Customer concentration: top 10 clients revenue share</t>
  </si>
  <si>
    <t>50-75%</t>
  </si>
  <si>
    <t>Estimated revenue share of top 10 customers.</t>
  </si>
  <si>
    <t>Revenue diversification risk</t>
  </si>
  <si>
    <t>Supplier concentration: top 1 supplier dependency</t>
  </si>
  <si>
    <t>Estimated dependency on largest supplier/vendor/input.</t>
  </si>
  <si>
    <t>Supplier risk</t>
  </si>
  <si>
    <t>Supplier concentration: top 5 supplier dependency</t>
  </si>
  <si>
    <t>Estimated dependency on top 5 suppliers/vendors/inputs.</t>
  </si>
  <si>
    <t>Supply chain risk</t>
  </si>
  <si>
    <t>Critical supplier substitutability</t>
  </si>
  <si>
    <t>Partial alternatives exist</t>
  </si>
  <si>
    <t>Availability of alternatives for critical suppliers.</t>
  </si>
  <si>
    <t>Supply chain resilience</t>
  </si>
  <si>
    <t>Business Criticality of Locations</t>
  </si>
  <si>
    <t>Location type</t>
  </si>
  <si>
    <t>Business criticality</t>
  </si>
  <si>
    <t>Disruption impact</t>
  </si>
  <si>
    <t>Continuity option</t>
  </si>
  <si>
    <t>HQ</t>
  </si>
  <si>
    <t>Major degradation</t>
  </si>
  <si>
    <t>Remote / distributed alternative</t>
  </si>
  <si>
    <t>Location and physical resilience logic</t>
  </si>
  <si>
    <t>Production site</t>
  </si>
  <si>
    <t>No material impact</t>
  </si>
  <si>
    <t>Warehouse</t>
  </si>
  <si>
    <t>Data center / core cloud region</t>
  </si>
  <si>
    <t>Severe business interruption</t>
  </si>
  <si>
    <t>Fully redundant / alternative available</t>
  </si>
  <si>
    <t>Call center / customer support center</t>
  </si>
  <si>
    <t>Moderate degradation</t>
  </si>
  <si>
    <t>R&amp;D / engineering center</t>
  </si>
  <si>
    <t>Sales office</t>
  </si>
  <si>
    <t>Retail / service branch</t>
  </si>
  <si>
    <t>Workforce Distribution</t>
  </si>
  <si>
    <t>Countries with workforce</t>
  </si>
  <si>
    <t>2-3 countries</t>
  </si>
  <si>
    <t>Workforce country footprint.</t>
  </si>
  <si>
    <t>Workforce/geographic concentration</t>
  </si>
  <si>
    <t>Largest country workforce share</t>
  </si>
  <si>
    <t>Estimated share of workforce in largest country.</t>
  </si>
  <si>
    <t>Workforce concentration risk</t>
  </si>
  <si>
    <t>Largest city/location workforce share</t>
  </si>
  <si>
    <t>Estimated share of workforce in largest city/site.</t>
  </si>
  <si>
    <t>Location concentration risk</t>
  </si>
  <si>
    <t>Remote work readiness</t>
  </si>
  <si>
    <t>Hybrid-ready for most roles</t>
  </si>
  <si>
    <t>Ability to continue work remotely.</t>
  </si>
  <si>
    <t>Pandemic/war/infrastructure resilience</t>
  </si>
  <si>
    <t>Cross-border mobility / relocation support</t>
  </si>
  <si>
    <t>Ad hoc relocation support</t>
  </si>
  <si>
    <t>Ability to relocate or support distributed workforce during crisis.</t>
  </si>
  <si>
    <t>Workforce continuity</t>
  </si>
  <si>
    <t>Critical Process List (select top processes)</t>
  </si>
  <si>
    <t>Critical process #1</t>
  </si>
  <si>
    <t>Order-to-cash</t>
  </si>
  <si>
    <t>Select one of the most business-critical processes.</t>
  </si>
  <si>
    <t>Risk, continuity and roadmap logic</t>
  </si>
  <si>
    <t>Critical process #2</t>
  </si>
  <si>
    <t>Customer support</t>
  </si>
  <si>
    <t>Critical process #3</t>
  </si>
  <si>
    <t>IT operations</t>
  </si>
  <si>
    <t>Critical process #4</t>
  </si>
  <si>
    <t>Data reporting and BI</t>
  </si>
  <si>
    <t>Critical process #5</t>
  </si>
  <si>
    <t>Finance closing</t>
  </si>
  <si>
    <t>Critical Product / Service List (select top items)</t>
  </si>
  <si>
    <t>Critical product/service #1</t>
  </si>
  <si>
    <t>Custom project delivery</t>
  </si>
  <si>
    <t>Select one of the most critical products or services.</t>
  </si>
  <si>
    <t>Revenue and continuity logic</t>
  </si>
  <si>
    <t>Critical product/service #2</t>
  </si>
  <si>
    <t>Digital platform</t>
  </si>
  <si>
    <t>Critical product/service #3</t>
  </si>
  <si>
    <t>Professional services</t>
  </si>
  <si>
    <t>Critical product/service #4</t>
  </si>
  <si>
    <t>Data / AI service</t>
  </si>
  <si>
    <t>Critical product/service #5</t>
  </si>
  <si>
    <t>Other / not applicable</t>
  </si>
  <si>
    <t>Crisis History</t>
  </si>
  <si>
    <t>Experienced crisis</t>
  </si>
  <si>
    <t>Impact level</t>
  </si>
  <si>
    <t>Pandemic</t>
  </si>
  <si>
    <t>Medium impact</t>
  </si>
  <si>
    <t>Select a crisis the organization has already experienced and its observed impact.</t>
  </si>
  <si>
    <t>Calibration of scenario logic</t>
  </si>
  <si>
    <t>War / geopolitical escalation</t>
  </si>
  <si>
    <t>High impact</t>
  </si>
  <si>
    <t>Low impact</t>
  </si>
  <si>
    <t>Supply chain disruption</t>
  </si>
  <si>
    <t>None experienced</t>
  </si>
  <si>
    <t>No impact</t>
  </si>
  <si>
    <t>Crisis Scenarios Taxonomy</t>
  </si>
  <si>
    <t>Use this sheet to interpret questionnaire results by crisis type and to design stress tests.</t>
  </si>
  <si>
    <t>Crisis type</t>
  </si>
  <si>
    <t>Typical triggers</t>
  </si>
  <si>
    <t>Key impact dimensions</t>
  </si>
  <si>
    <t>Most affected domains</t>
  </si>
  <si>
    <t>Example evidence to collect</t>
  </si>
  <si>
    <t>Military activity, shelling, curfews, checkpoints, occupation risk, civil unrest</t>
  </si>
  <si>
    <t>People safety; site availability; logistics; workforce location; customer confidence</t>
  </si>
  <si>
    <t>Physical Safety; HR Workforce; Delivery Ops; Supply Chain; IT Cloud DR</t>
  </si>
  <si>
    <t>Site security plan; employee location map; evacuation plan; alternative delivery model</t>
  </si>
  <si>
    <t>Fire, flood, explosion, structural damage, lease loss, access restriction</t>
  </si>
  <si>
    <t>Safety; production; delivery; data center; office continuity</t>
  </si>
  <si>
    <t>Physical Safety; Manufacturing MES; Delivery Ops; IT Cloud DR</t>
  </si>
  <si>
    <t>Site BIA; insurance; alternate site plan; recovery sequence</t>
  </si>
  <si>
    <t>Credential compromise, malware, ransomware, supplier breach, BEC</t>
  </si>
  <si>
    <t>Data loss; system outage; financial fraud; reputation; regulatory exposure</t>
  </si>
  <si>
    <t>IR plan; backup restore tests; MFA coverage; ransomware tabletop</t>
  </si>
  <si>
    <t>Provider outage, region failure, account lockout, identity failure, DNS issue</t>
  </si>
  <si>
    <t>System downtime; data access; remote work; customer service</t>
  </si>
  <si>
    <t>Cloud architecture; RTO/RPO; SaaS backup; failover tests</t>
  </si>
  <si>
    <t>Supplier insolvency, border closure, port congestion, sanctions, transport failure</t>
  </si>
  <si>
    <t>Inventory; production; delivery; customer commitments; cost</t>
  </si>
  <si>
    <t>Supply Chain; Manufacturing MES; Finance Procurement; Delivery Ops</t>
  </si>
  <si>
    <t>Supplier map; alternative suppliers; safety stock; route alternatives</t>
  </si>
  <si>
    <t>Grid outage, fuel shortage, water failure, heating/cooling failure, telecom outage</t>
  </si>
  <si>
    <t>Site operations; production; IT; employee safety</t>
  </si>
  <si>
    <t>Generator tests; UPS capacity; fuel plan; utility dependency map</t>
  </si>
  <si>
    <t>Revenue decline, delayed receivables, currency shock, financing restriction</t>
  </si>
  <si>
    <t>Cash; payroll; supplier payments; investment cuts</t>
  </si>
  <si>
    <t>Cash-flow forecast; stress tests; liquidity buffer; payment priority list</t>
  </si>
  <si>
    <t>Customer budget cuts, market collapse, competitor move, crisis-driven demand shift</t>
  </si>
  <si>
    <t>Revenue; pipeline; pricing; capacity; offering relevance</t>
  </si>
  <si>
    <t>Pipeline scenarios; ICP analysis; churn dashboard; pricing policy</t>
  </si>
  <si>
    <t>Infectious disease, mass absenteeism, travel restrictions, office closure</t>
  </si>
  <si>
    <t>Workforce availability; remote work; safety; customer service</t>
  </si>
  <si>
    <t>Remote work readiness; absence monitoring; health protocols; minimum staffing</t>
  </si>
  <si>
    <t>New law, sanctions, audit, license loss, data protection issue</t>
  </si>
  <si>
    <t>Compliance; contracts; market access; penalties; reputation</t>
  </si>
  <si>
    <t>Compliance register; contract register; RoPA; legal escalation plan</t>
  </si>
  <si>
    <t>Public complaint, service failure, safety incident, data breach, misinformation</t>
  </si>
  <si>
    <t>Trust; sales; customer retention; regulatory scrutiny</t>
  </si>
  <si>
    <t>Crisis comms templates; media monitoring; customer notification rules</t>
  </si>
  <si>
    <t>Flood, storm, extreme heat/cold, earthquake, wildfire</t>
  </si>
  <si>
    <t>Site safety; logistics; utilities; employee availability</t>
  </si>
  <si>
    <t>Site risk assessment; emergency supplies; alternate routes; employee notification</t>
  </si>
  <si>
    <t>Industry Template Summary</t>
  </si>
  <si>
    <t>Visible explanation of the selected industry template. The hidden template sheet remains editable for calibration.</t>
  </si>
  <si>
    <t>Domain weight</t>
  </si>
  <si>
    <t>Target maturity</t>
  </si>
  <si>
    <t>Criticality multiplier</t>
  </si>
  <si>
    <t>Minimum threshold</t>
  </si>
  <si>
    <t>Initiative multiplier</t>
  </si>
  <si>
    <t>Preferred strategies</t>
  </si>
  <si>
    <t>Select a crisis scenario and severity. The sheet converts current maturity gaps into scenario-adjusted exposure by domain, using the hidden crisis multiplier model.</t>
  </si>
  <si>
    <t>Scenario Summary</t>
  </si>
  <si>
    <t>Severity 1-5</t>
  </si>
  <si>
    <t>Selected scenario</t>
  </si>
  <si>
    <t>Severity logic</t>
  </si>
  <si>
    <t>1 = mild pressure; 3 = base case; 5 = severe crisis. Multipliers increase/decrease automatically.</t>
  </si>
  <si>
    <t>Current maturity 0-5</t>
  </si>
  <si>
    <t>Gap to 5</t>
  </si>
  <si>
    <t>Critical/High items</t>
  </si>
  <si>
    <t>Crisis multiplier</t>
  </si>
  <si>
    <t>Scenario-adjusted exposure</t>
  </si>
  <si>
    <t>Priority level</t>
  </si>
  <si>
    <t>Gap to target</t>
  </si>
  <si>
    <t>Scenario rationale</t>
  </si>
  <si>
    <t>Mitigation emphasis</t>
  </si>
  <si>
    <t>Critical/High domains</t>
  </si>
  <si>
    <t>Average adjusted exposure</t>
  </si>
  <si>
    <t>Strategy Recommendation Engine</t>
  </si>
  <si>
    <t>Formula-driven strategy scoring based on selected crisis scenario, domain maturity gaps, active risks, horizontal maturity gaps and selected industry template. Sort by Rank or Industry-adjusted total score.</t>
  </si>
  <si>
    <t>Supporting strategy 1</t>
  </si>
  <si>
    <t>Supporting strategy 2</t>
  </si>
  <si>
    <t>Strategy</t>
  </si>
  <si>
    <t>Strategy ID</t>
  </si>
  <si>
    <t>Scenario fit 0-5</t>
  </si>
  <si>
    <t>Domain gap fit 0-5</t>
  </si>
  <si>
    <t>Risk fit 0-5</t>
  </si>
  <si>
    <t>Digital gap fit</t>
  </si>
  <si>
    <t>Resilience gap fit</t>
  </si>
  <si>
    <t>Process gap fit</t>
  </si>
  <si>
    <t>Total strategy score</t>
  </si>
  <si>
    <t>Confidence</t>
  </si>
  <si>
    <t>Role</t>
  </si>
  <si>
    <t>Typical outcome</t>
  </si>
  <si>
    <t>Trigger rationale</t>
  </si>
  <si>
    <t>Priority initiative themes</t>
  </si>
  <si>
    <t>Owner role</t>
  </si>
  <si>
    <t>Default timeline</t>
  </si>
  <si>
    <t>KPI examples</t>
  </si>
  <si>
    <t>Linked initiatives</t>
  </si>
  <si>
    <t>Top roadmap wave</t>
  </si>
  <si>
    <t>Avg initiative WSJF</t>
  </si>
  <si>
    <t>Industry fit 0-5</t>
  </si>
  <si>
    <t>Industry-adjusted total score</t>
  </si>
  <si>
    <t>Industry-adjusted rank</t>
  </si>
  <si>
    <t>Industry rationale</t>
  </si>
  <si>
    <t>How to interpret strategy ranking</t>
  </si>
  <si>
    <t>Highest total score. Should anchor the transformation or crisis roadmap.</t>
  </si>
  <si>
    <t>Supporting strategies</t>
  </si>
  <si>
    <t>Rank 2-3. Should be used as complementary streams, not parallel unrelated programs.</t>
  </si>
  <si>
    <t>Watchlist</t>
  </si>
  <si>
    <t>Relevant but not yet urgent. Reassess after crisis scenario, severity or questionnaire scores change.</t>
  </si>
  <si>
    <t>Low confidence means the assessment is incomplete. Complete domain scores before final executive decisions.</t>
  </si>
  <si>
    <t>Initiatives Roadmap and WSJF Prioritization</t>
  </si>
  <si>
    <t>This roadmap is now ranked by industry-adjusted WSJF. The selected industry template modifies initiative priority without deleting the original WSJF logic.</t>
  </si>
  <si>
    <t>Total initiatives</t>
  </si>
  <si>
    <t>Active / triggered</t>
  </si>
  <si>
    <t>Average WSJF</t>
  </si>
  <si>
    <t>0-90 days</t>
  </si>
  <si>
    <t>3-6 months</t>
  </si>
  <si>
    <t>6-12 months</t>
  </si>
  <si>
    <t>12+ months</t>
  </si>
  <si>
    <t>Top prioritized initiatives</t>
  </si>
  <si>
    <t>Initiative ID</t>
  </si>
  <si>
    <t>Subdomain</t>
  </si>
  <si>
    <t>Wave</t>
  </si>
  <si>
    <t>Business value</t>
  </si>
  <si>
    <t>Time criticality</t>
  </si>
  <si>
    <t>Risk reduction</t>
  </si>
  <si>
    <t>Opportunity enablement</t>
  </si>
  <si>
    <t>Complexity</t>
  </si>
  <si>
    <t>Owner</t>
  </si>
  <si>
    <t>Duration</t>
  </si>
  <si>
    <t>KPIs</t>
  </si>
  <si>
    <t>Why this initiative</t>
  </si>
  <si>
    <t>Roadmap waves</t>
  </si>
  <si>
    <t>Initiatives</t>
  </si>
  <si>
    <t>Primary focus</t>
  </si>
  <si>
    <t>Immediate risk reduction, crisis readiness and decision visibility</t>
  </si>
  <si>
    <t>Core process, system and data stabilization</t>
  </si>
  <si>
    <t>Integration, automation and business resilience scaling</t>
  </si>
  <si>
    <t>Optimization, advanced analytics, AI and adaptive capabilities</t>
  </si>
  <si>
    <t>Full initiative portfolio</t>
  </si>
  <si>
    <t>Active recommendations</t>
  </si>
  <si>
    <t>Current subdomain score</t>
  </si>
  <si>
    <t>Budget estimate</t>
  </si>
  <si>
    <t>Status</t>
  </si>
  <si>
    <t>Comments</t>
  </si>
  <si>
    <t>Not started</t>
  </si>
  <si>
    <t>Improved Scoring Model</t>
  </si>
  <si>
    <t>This sheet adds an industry-aware interpretation layer over the existing 0-5 questionnaire. Existing dashboard formulas remain intact; this model adds target maturity, evidence confidence, assessor confidence, domain criticality and red-line threshold checks.</t>
  </si>
  <si>
    <t>Base maturity 0-5</t>
  </si>
  <si>
    <t>Confidence-adjusted maturity 0-5</t>
  </si>
  <si>
    <t>Industry target 0-5</t>
  </si>
  <si>
    <t>Industry weighted contribution</t>
  </si>
  <si>
    <t>Gap priority</t>
  </si>
  <si>
    <t>Avg evidence factor</t>
  </si>
  <si>
    <t>Avg assessor factor</t>
  </si>
  <si>
    <t>Scoring Model v2 — Combined Engine</t>
  </si>
  <si>
    <t>Merges v10 content + Improved Scoring Model with the math engine from the legacy tool: AHP-calibrated weights, single-discount confidence, and three aggregation methods (additive / geometric / penalty). Geometric &amp; penalty punish weak links (a single low domain drags the index), per legacy formulas 3.6/3.7.</t>
  </si>
  <si>
    <t>Parameters</t>
  </si>
  <si>
    <t>penalty lambda</t>
  </si>
  <si>
    <t>low level &lt;</t>
  </si>
  <si>
    <t>high level &gt;=</t>
  </si>
  <si>
    <t>Raw maturity 0-5</t>
  </si>
  <si>
    <t>Conf-adj maturity 0-5</t>
  </si>
  <si>
    <t>Confidence index 0-100</t>
  </si>
  <si>
    <t>Flag</t>
  </si>
  <si>
    <t>Industry target</t>
  </si>
  <si>
    <t>Criticality</t>
  </si>
  <si>
    <t>Calibrated weight</t>
  </si>
  <si>
    <t>Priority</t>
  </si>
  <si>
    <t>Threshold</t>
  </si>
  <si>
    <t>z (0-1)</t>
  </si>
  <si>
    <t>ans</t>
  </si>
  <si>
    <t>ORG INDICES</t>
  </si>
  <si>
    <t>Additive index (0-1)</t>
  </si>
  <si>
    <t>Additive maturity (0-5)</t>
  </si>
  <si>
    <t>Geometric index (0-1)</t>
  </si>
  <si>
    <t>Geometric maturity (0-5)</t>
  </si>
  <si>
    <t>Dispersion CV</t>
  </si>
  <si>
    <t>Penalty index (0-1)</t>
  </si>
  <si>
    <t>Penalty maturity (0-5)</t>
  </si>
  <si>
    <t>Maturity level (additive)</t>
  </si>
  <si>
    <t>Org confidence index</t>
  </si>
  <si>
    <t>Threshold breaches</t>
  </si>
  <si>
    <t>Validation flags</t>
  </si>
  <si>
    <t>Weighted avg gap</t>
  </si>
  <si>
    <t>Top priority domain</t>
  </si>
  <si>
    <t>AHP Weight Calibration (pillar level)</t>
  </si>
  <si>
    <t>Pairwise-compare the 6 business pillars (Saaty 1-9 in the GREEN upper triangle only; lower triangle auto-reciprocals). Priorities use the geometric-mean method; check the Consistency Ratio (aim &lt; 0.10). Pillar weights are distributed to domains by industry-template weight, then blended with the template weights to give a calibrated weight per domain.</t>
  </si>
  <si>
    <t>Pillar \ Pillar</t>
  </si>
  <si>
    <t>Governance &amp; Risk</t>
  </si>
  <si>
    <t>Technology &amp; Cyber</t>
  </si>
  <si>
    <t>Operations &amp; Supply</t>
  </si>
  <si>
    <t>People &amp; Safety</t>
  </si>
  <si>
    <t>Commercial</t>
  </si>
  <si>
    <t>Finance &amp; Procurement</t>
  </si>
  <si>
    <t>Geo-mean</t>
  </si>
  <si>
    <t>Priority w</t>
  </si>
  <si>
    <t>A.w</t>
  </si>
  <si>
    <t>A.w / w</t>
  </si>
  <si>
    <t>Consistency</t>
  </si>
  <si>
    <t>lambda_max</t>
  </si>
  <si>
    <t>CI</t>
  </si>
  <si>
    <t>CR (aim &lt; 0.10)</t>
  </si>
  <si>
    <t>Blend lambda (AHP vs template)</t>
  </si>
  <si>
    <t>0 = pure industry template, 1 = pure AHP</t>
  </si>
  <si>
    <t>Domain calibrated weights</t>
  </si>
  <si>
    <t>Pillar</t>
  </si>
  <si>
    <t>Pillar priority</t>
  </si>
  <si>
    <t>Template weight</t>
  </si>
  <si>
    <t>Within-pillar share</t>
  </si>
  <si>
    <t>AHP weight</t>
  </si>
  <si>
    <t>Norm template wt</t>
  </si>
  <si>
    <t>SUM</t>
  </si>
  <si>
    <t>Initiative Economics — PERT · ROI/NPV · Portfolio (legacy formulas 2.x/3.8/4.x)</t>
  </si>
  <si>
    <t>Portfolio priority PI_k from existing initiative attributes; PERT three-point expected value &amp; variance; ROI/NPV/payback from your investment &amp; benefit inputs (YELLOW = enter values, €k); greedy selection under budget.</t>
  </si>
  <si>
    <t>PI weights</t>
  </si>
  <si>
    <t>Discount rate r</t>
  </si>
  <si>
    <t>w1 Val</t>
  </si>
  <si>
    <t>w2 Str</t>
  </si>
  <si>
    <t>w3 Spd</t>
  </si>
  <si>
    <t>w4 Syn</t>
  </si>
  <si>
    <t>w5 Res</t>
  </si>
  <si>
    <t>w6 RiskRes</t>
  </si>
  <si>
    <t>w7 Ease</t>
  </si>
  <si>
    <t>Horizon T (yrs)</t>
  </si>
  <si>
    <t>Budget cap (€k)</t>
  </si>
  <si>
    <t>ID</t>
  </si>
  <si>
    <t>Val</t>
  </si>
  <si>
    <t>Str</t>
  </si>
  <si>
    <t>Spd</t>
  </si>
  <si>
    <t>Syn</t>
  </si>
  <si>
    <t>Res</t>
  </si>
  <si>
    <t>RiskRes</t>
  </si>
  <si>
    <t>Ease</t>
  </si>
  <si>
    <t>PI_k (0-100)</t>
  </si>
  <si>
    <t>Inv pess</t>
  </si>
  <si>
    <t>Inv likely</t>
  </si>
  <si>
    <t>Inv opt</t>
  </si>
  <si>
    <t>E[Inv]</t>
  </si>
  <si>
    <t>Inv σ</t>
  </si>
  <si>
    <t>Ben pess</t>
  </si>
  <si>
    <t>Ben likely</t>
  </si>
  <si>
    <t>Ben opt</t>
  </si>
  <si>
    <t>E[Benefit]</t>
  </si>
  <si>
    <t>EE</t>
  </si>
  <si>
    <t>ROI %</t>
  </si>
  <si>
    <t>Payback mo</t>
  </si>
  <si>
    <t>NPV (T)</t>
  </si>
  <si>
    <t>PI rank</t>
  </si>
  <si>
    <t>Selected</t>
  </si>
  <si>
    <t>Portfolio summary</t>
  </si>
  <si>
    <t>Selected count</t>
  </si>
  <si>
    <t>Selected investment (€k)</t>
  </si>
  <si>
    <t>Selected NPV (€k)</t>
  </si>
  <si>
    <t>Avg PI of selected</t>
  </si>
  <si>
    <t>Supplier concentration (HHI / SPOF) — enter shares (sum=1) and counts</t>
  </si>
  <si>
    <t>Supplier</t>
  </si>
  <si>
    <t>Share sᵢ</t>
  </si>
  <si>
    <t>Supplier 1</t>
  </si>
  <si>
    <t>Supplier 2</t>
  </si>
  <si>
    <t>Supplier 3</t>
  </si>
  <si>
    <t>Supplier 4</t>
  </si>
  <si>
    <t>Supplier 5</t>
  </si>
  <si>
    <t>Supplier 6</t>
  </si>
  <si>
    <t>HHI = Σ sᵢ²</t>
  </si>
  <si>
    <t>N critical positions</t>
  </si>
  <si>
    <t>N single-source</t>
  </si>
  <si>
    <t>SPOF = single/critical</t>
  </si>
  <si>
    <t>Combined Scoring &amp; Economics — Methodology and Formula Catalog</t>
  </si>
  <si>
    <t>Formula / how it works</t>
  </si>
  <si>
    <t>Source / reference</t>
  </si>
  <si>
    <t>Goal</t>
  </si>
  <si>
    <t>Combine v10's 17-domain content + Improved Scoring Model with the legacy tool's math engine into one transparent, finalized scoring layer.</t>
  </si>
  <si>
    <t>This merge</t>
  </si>
  <si>
    <t>Confidence (fixed)</t>
  </si>
  <si>
    <t>Per question: conf-adj = score x (evidenceFactor+assessorFactor)/2. Single discount replaces the old score x f_e x f_a double-discount that over-penalised.</t>
  </si>
  <si>
    <t>v10 cols AJ/AK; fix</t>
  </si>
  <si>
    <t>Confidence as a dimension</t>
  </si>
  <si>
    <t>Confidence index (0-100) shown separately; 'Validate' flag when maturity&gt;=4 but confidence&lt;=80 (high score, weak evidence).</t>
  </si>
  <si>
    <t>New</t>
  </si>
  <si>
    <t>Weights — AHP</t>
  </si>
  <si>
    <t>Pairwise pillar matrix; priorities = geometric mean / sum; consistency CR=CI/RI, RI(6)=1.24, aim CR&lt;0.10.</t>
  </si>
  <si>
    <t>Legacy 3.4/3.5 (AHP_Weights)</t>
  </si>
  <si>
    <t>Weights — calibrated</t>
  </si>
  <si>
    <t>Calibrated domain weight = blend(lambda) of AHP weight and industry-template weight, normalised to 1. (Entropy weights are objective but need many observations — see note.)</t>
  </si>
  <si>
    <t>Legacy + Settings</t>
  </si>
  <si>
    <t>Aggregation — additive</t>
  </si>
  <si>
    <t>Index = Sigma w_i z_i (z = conf-adj/5). The classic weighted score.</t>
  </si>
  <si>
    <t>Legacy 3.3</t>
  </si>
  <si>
    <t>Aggregation — geometric</t>
  </si>
  <si>
    <t>Index = Pi z_i^w_i = EXP(Sigma w_i ln z_i). Punishes weak links — one low domain drags the whole index down.</t>
  </si>
  <si>
    <t>Legacy 3.6</t>
  </si>
  <si>
    <t>Aggregation — penalty</t>
  </si>
  <si>
    <t>Index = additive x (1 - lambda x CV), CV = stdev/mean across domains. Penalises uneven profiles.</t>
  </si>
  <si>
    <t>Legacy 3.7</t>
  </si>
  <si>
    <t>Maturity levels</t>
  </si>
  <si>
    <t>Low &lt; 0.45, Medium 0.45-0.70, High &gt;= 0.70 (editable).</t>
  </si>
  <si>
    <t>Legacy Settings</t>
  </si>
  <si>
    <t>Gap / target</t>
  </si>
  <si>
    <t>Gap = max(0, industry target - conf-adj maturity). Priority = gap x criticality x calibrated weight.</t>
  </si>
  <si>
    <t>v10 Improved Scoring + legacy</t>
  </si>
  <si>
    <t>Threshold (red-line)</t>
  </si>
  <si>
    <t>BREACH when conf-adj maturity &lt; industry minimum threshold.</t>
  </si>
  <si>
    <t>v10 Improved Scoring</t>
  </si>
  <si>
    <t>Portfolio PI_k</t>
  </si>
  <si>
    <t>PI = (w1 Val + w2 Str + w3 Spd + w4 Syn + w5 Res + w6 RiskRes + w7 Ease)/5. Components mapped from initiative attributes.</t>
  </si>
  <si>
    <t>Legacy 4.5 (Portfolio)</t>
  </si>
  <si>
    <t>PERT three-point</t>
  </si>
  <si>
    <t>E = (P + 4M + O)/6 ; sigma = (P - O)/6 ; variance = sigma^2. For investment and benefit.</t>
  </si>
  <si>
    <t>Legacy 2.x (Three_Point)</t>
  </si>
  <si>
    <t>Financial</t>
  </si>
  <si>
    <t>EE = Benefit - Investment ; ROI = EE/I x 100 ; Payback = I/(Benefit/12) ; NPV_T = Benefit x (1-(1+r)^-T)/r - I.</t>
  </si>
  <si>
    <t>Legacy 3.8/4.15-4.17 (Financial_Model)</t>
  </si>
  <si>
    <t>Greedy selection</t>
  </si>
  <si>
    <t>Rank initiatives by PI_k; select in order while cumulative E[Investment] &lt;= budget cap.</t>
  </si>
  <si>
    <t>Legacy 4.6 (Portfolio)</t>
  </si>
  <si>
    <t>HHI / SPOF</t>
  </si>
  <si>
    <t>HHI = Sigma s_i^2 ; SPOF = N_single / N_critical. Formal concentration to feed the SPOF multiplier in the cascade engine.</t>
  </si>
  <si>
    <t>Legacy 3.18/3.19 (Supply_Network)</t>
  </si>
  <si>
    <t>NOTE — entropy weights</t>
  </si>
  <si>
    <t>Entropy weighting (legacy 3.32) is OBJECTIVE but needs many observations (the legacy tool used 5 companies). It is NOT valid on a single assessment; apply it at the cohort/benchmark layer once multiple assessments exist. Documented here, not wired to single-client scoring.</t>
  </si>
  <si>
    <t>Legacy 3.32 (Entropy_Weights)</t>
  </si>
  <si>
    <t>NOTE — deferred</t>
  </si>
  <si>
    <t>State_X / Decision_U (U*=argmax expected utility), Combined/AI forecasting, and the OEI regression need time-series or fitted data — roadmap items for the web build, not single-assessment Excel.</t>
  </si>
  <si>
    <t>Legacy 3.11-3.14, 2.3, 5.5</t>
  </si>
  <si>
    <t>Scope</t>
  </si>
  <si>
    <t>Transparent proxy model; outputs support, not replace, expert review. Calibrate weights/targets against pilots before trusting absolute values.</t>
  </si>
  <si>
    <t>-</t>
  </si>
  <si>
    <t>Technical Initiative Library</t>
  </si>
  <si>
    <t>Very hidden technical sheet. Each row is a structured initiative mapped to strategies, risks, recommendations, crisis multipliers, WSJF and roadmap wave.</t>
  </si>
  <si>
    <t>Initiative theme</t>
  </si>
  <si>
    <t>Initiative objective</t>
  </si>
  <si>
    <t>Related risk category</t>
  </si>
  <si>
    <t>Related crisis scenarios</t>
  </si>
  <si>
    <t>Related question IDs</t>
  </si>
  <si>
    <t>Question count</t>
  </si>
  <si>
    <t>Avg current score 0-5</t>
  </si>
  <si>
    <t>Maturity gap</t>
  </si>
  <si>
    <t>Domain maturity 0-5</t>
  </si>
  <si>
    <t>Domain gap</t>
  </si>
  <si>
    <t>Strategy rank</t>
  </si>
  <si>
    <t>Strategy score</t>
  </si>
  <si>
    <t>Digital impact</t>
  </si>
  <si>
    <t>Resilience impact</t>
  </si>
  <si>
    <t>Process impact</t>
  </si>
  <si>
    <t>Default duration</t>
  </si>
  <si>
    <t>Dependencies</t>
  </si>
  <si>
    <t>Expected output</t>
  </si>
  <si>
    <t>Recommendation engine link</t>
  </si>
  <si>
    <t>Risk engine link</t>
  </si>
  <si>
    <t>Strategy engine link</t>
  </si>
  <si>
    <t>Trigger rule</t>
  </si>
  <si>
    <t>Default status</t>
  </si>
  <si>
    <t>Manual priority override</t>
  </si>
  <si>
    <t>Notes</t>
  </si>
  <si>
    <t>Industry initiative multiplier</t>
  </si>
  <si>
    <t>Industry-adjusted WSJF</t>
  </si>
  <si>
    <t>Industry target gap</t>
  </si>
  <si>
    <t>Industry adjustment rationale</t>
  </si>
  <si>
    <t>INI-001</t>
  </si>
  <si>
    <t>Company profile</t>
  </si>
  <si>
    <t>Business Continuity and Resilience Strategy</t>
  </si>
  <si>
    <t>STR-02</t>
  </si>
  <si>
    <t>Create company context, entity and operating model register</t>
  </si>
  <si>
    <t>Close maturity gaps in company profile by assigning ownership, documenting the process, connecting it to evidence and systems, testing it against crisis scenarios and measuring improvement.</t>
  </si>
  <si>
    <t>War / security crisis; Physical site loss; Regulatory / legal shock</t>
  </si>
  <si>
    <t>COMP-001; COMP-002; COMP-003; COMP-004; COMP-005; COMP-006; COMP-007</t>
  </si>
  <si>
    <t>CEO / COO / Risk Lead</t>
  </si>
  <si>
    <t>4-8 weeks</t>
  </si>
  <si>
    <t>Executive sponsor; accountable process owner; baseline evidence; risk acceptance threshold</t>
  </si>
  <si>
    <t>maturity score improvement; open risk reduction; evidence completeness; control test pass rate</t>
  </si>
  <si>
    <t>Documented company profile operating model, owner/RACI, KPI set, evidence pack, tested crisis playbook and improvement backlog.</t>
  </si>
  <si>
    <t>Counts active next-level recommendations for Company Geography / Company profile.</t>
  </si>
  <si>
    <t>Counts active risks and risk scores for Company Geography / Company profile.</t>
  </si>
  <si>
    <t>Uses the current rank and total score of Business Continuity and Resilience Strategy.</t>
  </si>
  <si>
    <t>Trigger when avg score &lt; 4, active risk exists, active recommendation exists or strategy rank &lt;= 3.</t>
  </si>
  <si>
    <t>Low-Medium</t>
  </si>
  <si>
    <t>INI-002</t>
  </si>
  <si>
    <t>Geographical distribution</t>
  </si>
  <si>
    <t>Build geographic exposure and site continuity model</t>
  </si>
  <si>
    <t>Close maturity gaps in geographical distribution by assigning ownership, documenting the process, connecting it to evidence and systems, testing it against crisis scenarios and measuring improvement.</t>
  </si>
  <si>
    <t>COMP-008; COMP-009; COMP-010; COMP-011; COMP-012; COMP-013; COMP-014</t>
  </si>
  <si>
    <t>Documented geographical distribution operating model, owner/RACI, KPI set, evidence pack, tested crisis playbook and improvement backlog.</t>
  </si>
  <si>
    <t>Counts active next-level recommendations for Company Geography / Geographical distribution.</t>
  </si>
  <si>
    <t>Counts active risks and risk scores for Company Geography / Geographical distribution.</t>
  </si>
  <si>
    <t>INI-003</t>
  </si>
  <si>
    <t>Context and dependencies</t>
  </si>
  <si>
    <t>Map critical business dependencies and external exposures</t>
  </si>
  <si>
    <t>Close maturity gaps in context and dependencies by assigning ownership, documenting the process, connecting it to evidence and systems, testing it against crisis scenarios and measuring improvement.</t>
  </si>
  <si>
    <t>COMP-015; COMP-016; COMP-017; COMP-018; COMP-019; COMP-020</t>
  </si>
  <si>
    <t>Documented context and dependencies operating model, owner/RACI, KPI set, evidence pack, tested crisis playbook and improvement backlog.</t>
  </si>
  <si>
    <t>Counts active next-level recommendations for Company Geography / Context and dependencies.</t>
  </si>
  <si>
    <t>Counts active risks and risk scores for Company Geography / Context and dependencies.</t>
  </si>
  <si>
    <t>INI-004</t>
  </si>
  <si>
    <t>Corporate strategy</t>
  </si>
  <si>
    <t>Governance and Decision-Speed Strategy</t>
  </si>
  <si>
    <t>STR-14</t>
  </si>
  <si>
    <t>Stress-test corporate strategy and decision assumptions</t>
  </si>
  <si>
    <t>Close maturity gaps in corporate strategy by assigning ownership, documenting the process, connecting it to evidence and systems, testing it against crisis scenarios and measuring improvement.</t>
  </si>
  <si>
    <t>Demand shock; Reputation crisis; Financial liquidity crisis</t>
  </si>
  <si>
    <t>STRA-001; STRA-002; STRA-003; STRA-004; STRA-005; STRA-006</t>
  </si>
  <si>
    <t>CEO / CRO / Head of Strategy</t>
  </si>
  <si>
    <t>2-3 months</t>
  </si>
  <si>
    <t>Executive sponsor; accountable process owner; baseline evidence; risk acceptance threshold; customer and pipeline data; market assumptions</t>
  </si>
  <si>
    <t>maturity score improvement; open risk reduction; evidence completeness; control test pass rate; forecast accuracy; customer concentration reduction</t>
  </si>
  <si>
    <t>Documented corporate strategy operating model, owner/RACI, KPI set, evidence pack, tested crisis playbook and improvement backlog.</t>
  </si>
  <si>
    <t>Counts active next-level recommendations for Strategy GTM / Corporate strategy.</t>
  </si>
  <si>
    <t>Counts active risks and risk scores for Strategy GTM / Corporate strategy.</t>
  </si>
  <si>
    <t>Uses the current rank and total score of Governance and Decision-Speed Strategy.</t>
  </si>
  <si>
    <t>INI-005</t>
  </si>
  <si>
    <t>Market and ICP</t>
  </si>
  <si>
    <t>Sales Channel Diversification Strategy</t>
  </si>
  <si>
    <t>STR-11</t>
  </si>
  <si>
    <t>Define crisis-adjusted ICP, market segments and demand exposure</t>
  </si>
  <si>
    <t>Close maturity gaps in market and icp by assigning ownership, documenting the process, connecting it to evidence and systems, testing it against crisis scenarios and measuring improvement.</t>
  </si>
  <si>
    <t>STRA-007; STRA-008; STRA-009; STRA-010; STRA-011; STRA-012</t>
  </si>
  <si>
    <t>Documented market and icp operating model, owner/RACI, KPI set, evidence pack, tested crisis playbook and improvement backlog.</t>
  </si>
  <si>
    <t>Counts active next-level recommendations for Strategy GTM / Market and ICP.</t>
  </si>
  <si>
    <t>Counts active risks and risk scores for Strategy GTM / Market and ICP.</t>
  </si>
  <si>
    <t>Uses the current rank and total score of Sales Channel Diversification Strategy.</t>
  </si>
  <si>
    <t>INI-006</t>
  </si>
  <si>
    <t>Offering and positioning</t>
  </si>
  <si>
    <t>Standardize offering architecture and crisis-proof value proposition</t>
  </si>
  <si>
    <t>Close maturity gaps in offering and positioning by assigning ownership, documenting the process, connecting it to evidence and systems, testing it against crisis scenarios and measuring improvement.</t>
  </si>
  <si>
    <t>STRA-013; STRA-014; STRA-015; STRA-016; STRA-017; STRA-018</t>
  </si>
  <si>
    <t>Documented offering and positioning operating model, owner/RACI, KPI set, evidence pack, tested crisis playbook and improvement backlog.</t>
  </si>
  <si>
    <t>Counts active next-level recommendations for Strategy GTM / Offering and positioning.</t>
  </si>
  <si>
    <t>Counts active risks and risk scores for Strategy GTM / Offering and positioning.</t>
  </si>
  <si>
    <t>INI-007</t>
  </si>
  <si>
    <t>GTM execution</t>
  </si>
  <si>
    <t>Build resilient GTM execution cadence and channel plan</t>
  </si>
  <si>
    <t>Close maturity gaps in gtm execution by assigning ownership, documenting the process, connecting it to evidence and systems, testing it against crisis scenarios and measuring improvement.</t>
  </si>
  <si>
    <t>STRA-019; STRA-020; STRA-021; STRA-022; STRA-023; STRA-024</t>
  </si>
  <si>
    <t>Documented gtm execution operating model, owner/RACI, KPI set, evidence pack, tested crisis playbook and improvement backlog.</t>
  </si>
  <si>
    <t>Counts active next-level recommendations for Strategy GTM / GTM execution.</t>
  </si>
  <si>
    <t>Counts active risks and risk scores for Strategy GTM / GTM execution.</t>
  </si>
  <si>
    <t>INI-008</t>
  </si>
  <si>
    <t>Crisis governance</t>
  </si>
  <si>
    <t>Implement crisis governance, roles and escalation model</t>
  </si>
  <si>
    <t>Close maturity gaps in crisis governance by assigning ownership, documenting the process, connecting it to evidence and systems, testing it against crisis scenarios and measuring improvement.</t>
  </si>
  <si>
    <t>War / security crisis; Cyberattack / ransomware; Regulatory / legal shock; Reputation crisis</t>
  </si>
  <si>
    <t>GOVE-001; GOVE-002; GOVE-003; GOVE-004; GOVE-005; GOVE-006</t>
  </si>
  <si>
    <t>Documented crisis governance operating model, owner/RACI, KPI set, evidence pack, tested crisis playbook and improvement backlog.</t>
  </si>
  <si>
    <t>Counts active next-level recommendations for Governance Crisis / Crisis governance.</t>
  </si>
  <si>
    <t>Counts active risks and risk scores for Governance Crisis / Crisis governance.</t>
  </si>
  <si>
    <t>INI-009</t>
  </si>
  <si>
    <t>Risk and continuity</t>
  </si>
  <si>
    <t>Build integrated risk, continuity and resilience control cycle</t>
  </si>
  <si>
    <t>Close maturity gaps in risk and continuity by assigning ownership, documenting the process, connecting it to evidence and systems, testing it against crisis scenarios and measuring improvement.</t>
  </si>
  <si>
    <t>GOVE-007; GOVE-008; GOVE-009; GOVE-010; GOVE-011; GOVE-012; GOVE-013</t>
  </si>
  <si>
    <t>Documented risk and continuity operating model, owner/RACI, KPI set, evidence pack, tested crisis playbook and improvement backlog.</t>
  </si>
  <si>
    <t>Counts active next-level recommendations for Governance Crisis / Risk and continuity.</t>
  </si>
  <si>
    <t>Counts active risks and risk scores for Governance Crisis / Risk and continuity.</t>
  </si>
  <si>
    <t>INI-010</t>
  </si>
  <si>
    <t>Incident management</t>
  </si>
  <si>
    <t>Implement incident command, escalation and after-action review</t>
  </si>
  <si>
    <t>Close maturity gaps in incident management by assigning ownership, documenting the process, connecting it to evidence and systems, testing it against crisis scenarios and measuring improvement.</t>
  </si>
  <si>
    <t>GOVE-014; GOVE-015; GOVE-016; GOVE-017; GOVE-018; GOVE-019</t>
  </si>
  <si>
    <t>Documented incident management operating model, owner/RACI, KPI set, evidence pack, tested crisis playbook and improvement backlog.</t>
  </si>
  <si>
    <t>Counts active next-level recommendations for Governance Crisis / Incident management.</t>
  </si>
  <si>
    <t>Counts active risks and risk scores for Governance Crisis / Incident management.</t>
  </si>
  <si>
    <t>INI-011</t>
  </si>
  <si>
    <t>Workforce visibility</t>
  </si>
  <si>
    <t>Workforce Resilience Strategy</t>
  </si>
  <si>
    <t>STR-06</t>
  </si>
  <si>
    <t>Create workforce visibility, critical-role and location dashboard</t>
  </si>
  <si>
    <t>Close maturity gaps in workforce visibility by assigning ownership, documenting the process, connecting it to evidence and systems, testing it against crisis scenarios and measuring improvement.</t>
  </si>
  <si>
    <t>War / security crisis; Pandemic / health crisis; Workforce availability crisis</t>
  </si>
  <si>
    <t>HRWO-001; HRWO-002; HRWO-003; HRWO-004; HRWO-005; HRWO-006</t>
  </si>
  <si>
    <t>CHRO / HR Director</t>
  </si>
  <si>
    <t>Documented workforce visibility operating model, owner/RACI, KPI set, evidence pack, tested crisis playbook and improvement backlog.</t>
  </si>
  <si>
    <t>Counts active next-level recommendations for HR Workforce / Workforce visibility.</t>
  </si>
  <si>
    <t>Counts active risks and risk scores for HR Workforce / Workforce visibility.</t>
  </si>
  <si>
    <t>Uses the current rank and total score of Workforce Resilience Strategy.</t>
  </si>
  <si>
    <t>INI-012</t>
  </si>
  <si>
    <t>Recruitment and retention</t>
  </si>
  <si>
    <t>Build recruitment, retention and succession resilience plan</t>
  </si>
  <si>
    <t>Close maturity gaps in recruitment and retention by assigning ownership, documenting the process, connecting it to evidence and systems, testing it against crisis scenarios and measuring improvement.</t>
  </si>
  <si>
    <t>HRWO-007; HRWO-008; HRWO-009; HRWO-010; HRWO-011; HRWO-012</t>
  </si>
  <si>
    <t>Documented recruitment and retention operating model, owner/RACI, KPI set, evidence pack, tested crisis playbook and improvement backlog.</t>
  </si>
  <si>
    <t>Counts active next-level recommendations for HR Workforce / Recruitment and retention.</t>
  </si>
  <si>
    <t>Counts active risks and risk scores for HR Workforce / Recruitment and retention.</t>
  </si>
  <si>
    <t>INI-013</t>
  </si>
  <si>
    <t>Continuity and wellbeing</t>
  </si>
  <si>
    <t>Implement workforce continuity, wellbeing and availability playbook</t>
  </si>
  <si>
    <t>Close maturity gaps in continuity and wellbeing by assigning ownership, documenting the process, connecting it to evidence and systems, testing it against crisis scenarios and measuring improvement.</t>
  </si>
  <si>
    <t>HRWO-013; HRWO-014; HRWO-015; HRWO-016; HRWO-017; HRWO-018; HRWO-019</t>
  </si>
  <si>
    <t>Documented continuity and wellbeing operating model, owner/RACI, KPI set, evidence pack, tested crisis playbook and improvement backlog.</t>
  </si>
  <si>
    <t>Counts active next-level recommendations for HR Workforce / Continuity and wellbeing.</t>
  </si>
  <si>
    <t>Counts active risks and risk scores for HR Workforce / Continuity and wellbeing.</t>
  </si>
  <si>
    <t>INI-014</t>
  </si>
  <si>
    <t>HR systems and compliance</t>
  </si>
  <si>
    <t>Stabilize HRMS, workforce data and HR compliance controls</t>
  </si>
  <si>
    <t>Close maturity gaps in hr systems and compliance by assigning ownership, documenting the process, connecting it to evidence and systems, testing it against crisis scenarios and measuring improvement.</t>
  </si>
  <si>
    <t>HRWO-020; HRWO-021; HRWO-022; HRWO-023; HRWO-024</t>
  </si>
  <si>
    <t>Documented hr systems and compliance operating model, owner/RACI, KPI set, evidence pack, tested crisis playbook and improvement backlog.</t>
  </si>
  <si>
    <t>Counts active next-level recommendations for HR Workforce / HR systems and compliance.</t>
  </si>
  <si>
    <t>Counts active risks and risk scores for HR Workforce / HR systems and compliance.</t>
  </si>
  <si>
    <t>INI-015</t>
  </si>
  <si>
    <t>Financial resilience</t>
  </si>
  <si>
    <t>Implement cash-flow resilience and financial scenario planning</t>
  </si>
  <si>
    <t>Close maturity gaps in financial resilience by assigning ownership, documenting the process, connecting it to evidence and systems, testing it against crisis scenarios and measuring improvement.</t>
  </si>
  <si>
    <t>Financial liquidity crisis; Demand shock; Supplier / logistics disruption</t>
  </si>
  <si>
    <t>FINA-001; FINA-002; FINA-003; FINA-004; FINA-005; FINA-006</t>
  </si>
  <si>
    <t>CFO / Procurement Lead</t>
  </si>
  <si>
    <t>Documented financial resilience operating model, owner/RACI, KPI set, evidence pack, tested crisis playbook and improvement backlog.</t>
  </si>
  <si>
    <t>Counts active next-level recommendations for Finance Procurement / Financial resilience.</t>
  </si>
  <si>
    <t>Counts active risks and risk scores for Finance Procurement / Financial resilience.</t>
  </si>
  <si>
    <t>INI-016</t>
  </si>
  <si>
    <t>Controls and accounting</t>
  </si>
  <si>
    <t>Compliance and Risk Control Strategy</t>
  </si>
  <si>
    <t>STR-13</t>
  </si>
  <si>
    <t>Strengthen financial controls, approvals and accounting continuity</t>
  </si>
  <si>
    <t>Close maturity gaps in controls and accounting by assigning ownership, documenting the process, connecting it to evidence and systems, testing it against crisis scenarios and measuring improvement.</t>
  </si>
  <si>
    <t>FINA-007; FINA-008; FINA-009; FINA-010; FINA-011; FINA-012</t>
  </si>
  <si>
    <t>Documented controls and accounting operating model, owner/RACI, KPI set, evidence pack, tested crisis playbook and improvement backlog.</t>
  </si>
  <si>
    <t>Counts active next-level recommendations for Finance Procurement / Controls and accounting.</t>
  </si>
  <si>
    <t>Counts active risks and risk scores for Finance Procurement / Controls and accounting.</t>
  </si>
  <si>
    <t>Uses the current rank and total score of Compliance and Risk Control Strategy.</t>
  </si>
  <si>
    <t>INI-017</t>
  </si>
  <si>
    <t>Procurement and suppliers</t>
  </si>
  <si>
    <t>Supply Chain and Delivery Resilience Strategy</t>
  </si>
  <si>
    <t>STR-08</t>
  </si>
  <si>
    <t>Build resilient procurement governance and supplier risk controls</t>
  </si>
  <si>
    <t>Close maturity gaps in procurement and suppliers by assigning ownership, documenting the process, connecting it to evidence and systems, testing it against crisis scenarios and measuring improvement.</t>
  </si>
  <si>
    <t>FINA-013; FINA-014; FINA-015; FINA-016; FINA-017; FINA-018; FINA-019</t>
  </si>
  <si>
    <t>Documented procurement and suppliers operating model, owner/RACI, KPI set, evidence pack, tested crisis playbook and improvement backlog.</t>
  </si>
  <si>
    <t>Counts active next-level recommendations for Finance Procurement / Procurement and suppliers.</t>
  </si>
  <si>
    <t>Counts active risks and risk scores for Finance Procurement / Procurement and suppliers.</t>
  </si>
  <si>
    <t>Uses the current rank and total score of Supply Chain and Delivery Resilience Strategy.</t>
  </si>
  <si>
    <t>INI-018</t>
  </si>
  <si>
    <t>Working capital</t>
  </si>
  <si>
    <t>Optimize working capital and liquidity early-warning controls</t>
  </si>
  <si>
    <t>Close maturity gaps in working capital by assigning ownership, documenting the process, connecting it to evidence and systems, testing it against crisis scenarios and measuring improvement.</t>
  </si>
  <si>
    <t>FINA-020; FINA-021; FINA-022; FINA-023; FINA-024</t>
  </si>
  <si>
    <t>Documented working capital operating model, owner/RACI, KPI set, evidence pack, tested crisis playbook and improvement backlog.</t>
  </si>
  <si>
    <t>Counts active next-level recommendations for Finance Procurement / Working capital.</t>
  </si>
  <si>
    <t>Counts active risks and risk scores for Finance Procurement / Working capital.</t>
  </si>
  <si>
    <t>INI-019</t>
  </si>
  <si>
    <t>Compliance</t>
  </si>
  <si>
    <t>Implement compliance obligation monitoring and crisis legal controls</t>
  </si>
  <si>
    <t>Close maturity gaps in compliance by assigning ownership, documenting the process, connecting it to evidence and systems, testing it against crisis scenarios and measuring improvement.</t>
  </si>
  <si>
    <t>Regulatory / legal shock; Cyberattack / ransomware; Reputation crisis</t>
  </si>
  <si>
    <t>LEGA-001; LEGA-002; LEGA-003; LEGA-004; LEGA-005; LEGA-006</t>
  </si>
  <si>
    <t>General Counsel / Compliance Lead</t>
  </si>
  <si>
    <t>Documented compliance operating model, owner/RACI, KPI set, evidence pack, tested crisis playbook and improvement backlog.</t>
  </si>
  <si>
    <t>Counts active next-level recommendations for Legal Risk / Compliance.</t>
  </si>
  <si>
    <t>Counts active risks and risk scores for Legal Risk / Compliance.</t>
  </si>
  <si>
    <t>INI-020</t>
  </si>
  <si>
    <t>Contracts</t>
  </si>
  <si>
    <t>Build contract register, obligations and force-majeure response model</t>
  </si>
  <si>
    <t>Close maturity gaps in contracts by assigning ownership, documenting the process, connecting it to evidence and systems, testing it against crisis scenarios and measuring improvement.</t>
  </si>
  <si>
    <t>LEGA-007; LEGA-008; LEGA-009; LEGA-010; LEGA-011; LEGA-012</t>
  </si>
  <si>
    <t>Documented contracts operating model, owner/RACI, KPI set, evidence pack, tested crisis playbook and improvement backlog.</t>
  </si>
  <si>
    <t>Counts active next-level recommendations for Legal Risk / Contracts.</t>
  </si>
  <si>
    <t>Counts active risks and risk scores for Legal Risk / Contracts.</t>
  </si>
  <si>
    <t>INI-021</t>
  </si>
  <si>
    <t>Data and IP</t>
  </si>
  <si>
    <t>Strengthen data, IP and confidentiality legal safeguards</t>
  </si>
  <si>
    <t>Close maturity gaps in data and ip by assigning ownership, documenting the process, connecting it to evidence and systems, testing it against crisis scenarios and measuring improvement.</t>
  </si>
  <si>
    <t>LEGA-013; LEGA-014; LEGA-015; LEGA-016; LEGA-017; LEGA-018</t>
  </si>
  <si>
    <t>Documented data and ip operating model, owner/RACI, KPI set, evidence pack, tested crisis playbook and improvement backlog.</t>
  </si>
  <si>
    <t>Counts active next-level recommendations for Legal Risk / Data and IP.</t>
  </si>
  <si>
    <t>Counts active risks and risk scores for Legal Risk / Data and IP.</t>
  </si>
  <si>
    <t>INI-022</t>
  </si>
  <si>
    <t>Employment law</t>
  </si>
  <si>
    <t>Prepare employment-law continuity and workforce-location compliance</t>
  </si>
  <si>
    <t>Close maturity gaps in employment law by assigning ownership, documenting the process, connecting it to evidence and systems, testing it against crisis scenarios and measuring improvement.</t>
  </si>
  <si>
    <t>LEGA-019; LEGA-020</t>
  </si>
  <si>
    <t>Documented employment law operating model, owner/RACI, KPI set, evidence pack, tested crisis playbook and improvement backlog.</t>
  </si>
  <si>
    <t>Counts active next-level recommendations for Legal Risk / Employment law.</t>
  </si>
  <si>
    <t>Counts active risks and risk scores for Legal Risk / Employment law.</t>
  </si>
  <si>
    <t>INI-023</t>
  </si>
  <si>
    <t>OH&amp;S governance</t>
  </si>
  <si>
    <t>Physical Safety and Site Resilience Strategy</t>
  </si>
  <si>
    <t>STR-10</t>
  </si>
  <si>
    <t>Implement occupational health and safety governance system</t>
  </si>
  <si>
    <t>Close maturity gaps in oh&amp;s governance by assigning ownership, documenting the process, connecting it to evidence and systems, testing it against crisis scenarios and measuring improvement.</t>
  </si>
  <si>
    <t>War / security crisis; Physical site loss; Energy / utilities outage; Pandemic / health crisis</t>
  </si>
  <si>
    <t>PHYS-001; PHYS-002; PHYS-003; PHYS-004; PHYS-005; PHYS-006</t>
  </si>
  <si>
    <t>COO / HSE / Security Lead</t>
  </si>
  <si>
    <t>Executive sponsor; accountable process owner; baseline evidence; risk acceptance threshold; site inventory; emergency contacts; facility access data</t>
  </si>
  <si>
    <t>maturity score improvement; open risk reduction; evidence completeness; control test pass rate; drill completion; incident rate; site access review completion</t>
  </si>
  <si>
    <t>Documented oh&amp;s governance operating model, owner/RACI, KPI set, evidence pack, tested crisis playbook and improvement backlog.</t>
  </si>
  <si>
    <t>Counts active next-level recommendations for Physical Safety / OH&amp;S governance.</t>
  </si>
  <si>
    <t>Counts active risks and risk scores for Physical Safety / OH&amp;S governance.</t>
  </si>
  <si>
    <t>Uses the current rank and total score of Physical Safety and Site Resilience Strategy.</t>
  </si>
  <si>
    <t>INI-024</t>
  </si>
  <si>
    <t>Facilities and access</t>
  </si>
  <si>
    <t>Secure facilities, physical access and site protection controls</t>
  </si>
  <si>
    <t>Close maturity gaps in facilities and access by assigning ownership, documenting the process, connecting it to evidence and systems, testing it against crisis scenarios and measuring improvement.</t>
  </si>
  <si>
    <t>PHYS-007; PHYS-008; PHYS-009; PHYS-010; PHYS-011; PHYS-012</t>
  </si>
  <si>
    <t>Documented facilities and access operating model, owner/RACI, KPI set, evidence pack, tested crisis playbook and improvement backlog.</t>
  </si>
  <si>
    <t>Counts active next-level recommendations for Physical Safety / Facilities and access.</t>
  </si>
  <si>
    <t>Counts active risks and risk scores for Physical Safety / Facilities and access.</t>
  </si>
  <si>
    <t>INI-025</t>
  </si>
  <si>
    <t>Emergency response</t>
  </si>
  <si>
    <t>Build emergency response, evacuation and shelter procedures</t>
  </si>
  <si>
    <t>Close maturity gaps in emergency response by assigning ownership, documenting the process, connecting it to evidence and systems, testing it against crisis scenarios and measuring improvement.</t>
  </si>
  <si>
    <t>PHYS-013; PHYS-014; PHYS-015; PHYS-016; PHYS-017; PHYS-018</t>
  </si>
  <si>
    <t>Documented emergency response operating model, owner/RACI, KPI set, evidence pack, tested crisis playbook and improvement backlog.</t>
  </si>
  <si>
    <t>Counts active next-level recommendations for Physical Safety / Emergency response.</t>
  </si>
  <si>
    <t>Counts active risks and risk scores for Physical Safety / Emergency response.</t>
  </si>
  <si>
    <t>INI-026</t>
  </si>
  <si>
    <t>Security and travel</t>
  </si>
  <si>
    <t>Implement physical security and travel risk management</t>
  </si>
  <si>
    <t>Close maturity gaps in security and travel by assigning ownership, documenting the process, connecting it to evidence and systems, testing it against crisis scenarios and measuring improvement.</t>
  </si>
  <si>
    <t>PHYS-019; PHYS-020; PHYS-021; PHYS-022; PHYS-023</t>
  </si>
  <si>
    <t>Documented security and travel operating model, owner/RACI, KPI set, evidence pack, tested crisis playbook and improvement backlog.</t>
  </si>
  <si>
    <t>Counts active next-level recommendations for Physical Safety / Security and travel.</t>
  </si>
  <si>
    <t>Counts active risks and risk scores for Physical Safety / Security and travel.</t>
  </si>
  <si>
    <t>INI-027</t>
  </si>
  <si>
    <t>Utilities and resilience</t>
  </si>
  <si>
    <t>Build utilities backup and facility resilience plan</t>
  </si>
  <si>
    <t>Close maturity gaps in utilities and resilience by assigning ownership, documenting the process, connecting it to evidence and systems, testing it against crisis scenarios and measuring improvement.</t>
  </si>
  <si>
    <t>PHYS-024; PHYS-025; PHYS-026; PHYS-027; PHYS-028</t>
  </si>
  <si>
    <t>Documented utilities and resilience operating model, owner/RACI, KPI set, evidence pack, tested crisis playbook and improvement backlog.</t>
  </si>
  <si>
    <t>Counts active next-level recommendations for Physical Safety / Utilities and resilience.</t>
  </si>
  <si>
    <t>Counts active risks and risk scores for Physical Safety / Utilities and resilience.</t>
  </si>
  <si>
    <t>INI-028</t>
  </si>
  <si>
    <t>Delivery governance</t>
  </si>
  <si>
    <t>Operational Excellence and Automation Strategy</t>
  </si>
  <si>
    <t>STR-07</t>
  </si>
  <si>
    <t>Standardize delivery governance, ownership and escalation</t>
  </si>
  <si>
    <t>Close maturity gaps in delivery governance by assigning ownership, documenting the process, connecting it to evidence and systems, testing it against crisis scenarios and measuring improvement.</t>
  </si>
  <si>
    <t>War / security crisis; Supplier / logistics disruption; Demand shock; Physical site loss</t>
  </si>
  <si>
    <t>DELI-001; DELI-002; DELI-003; DELI-004; DELI-005; DELI-006</t>
  </si>
  <si>
    <t>COO / Delivery Director</t>
  </si>
  <si>
    <t>Executive sponsor; accountable process owner; baseline evidence; risk acceptance threshold; supplier/process map; operational data</t>
  </si>
  <si>
    <t>Documented delivery governance operating model, owner/RACI, KPI set, evidence pack, tested crisis playbook and improvement backlog.</t>
  </si>
  <si>
    <t>Counts active next-level recommendations for Delivery Ops / Delivery governance.</t>
  </si>
  <si>
    <t>Counts active risks and risk scores for Delivery Ops / Delivery governance.</t>
  </si>
  <si>
    <t>Uses the current rank and total score of Operational Excellence and Automation Strategy.</t>
  </si>
  <si>
    <t>INI-029</t>
  </si>
  <si>
    <t>Capacity and continuity</t>
  </si>
  <si>
    <t>Build capacity resilience and delivery continuity model</t>
  </si>
  <si>
    <t>Close maturity gaps in capacity and continuity by assigning ownership, documenting the process, connecting it to evidence and systems, testing it against crisis scenarios and measuring improvement.</t>
  </si>
  <si>
    <t>DELI-007; DELI-008; DELI-009; DELI-010; DELI-011; DELI-012</t>
  </si>
  <si>
    <t>Documented capacity and continuity operating model, owner/RACI, KPI set, evidence pack, tested crisis playbook and improvement backlog.</t>
  </si>
  <si>
    <t>Counts active next-level recommendations for Delivery Ops / Capacity and continuity.</t>
  </si>
  <si>
    <t>Counts active risks and risk scores for Delivery Ops / Capacity and continuity.</t>
  </si>
  <si>
    <t>INI-030</t>
  </si>
  <si>
    <t>Process control</t>
  </si>
  <si>
    <t>Strengthen process control, SOPs and operational quality gates</t>
  </si>
  <si>
    <t>Close maturity gaps in process control by assigning ownership, documenting the process, connecting it to evidence and systems, testing it against crisis scenarios and measuring improvement.</t>
  </si>
  <si>
    <t>DELI-013; DELI-014; DELI-015; DELI-016; DELI-017; DELI-018</t>
  </si>
  <si>
    <t>Documented process control operating model, owner/RACI, KPI set, evidence pack, tested crisis playbook and improvement backlog.</t>
  </si>
  <si>
    <t>Counts active next-level recommendations for Delivery Ops / Process control.</t>
  </si>
  <si>
    <t>Counts active risks and risk scores for Delivery Ops / Process control.</t>
  </si>
  <si>
    <t>INI-031</t>
  </si>
  <si>
    <t>Operational visibility</t>
  </si>
  <si>
    <t>Implement operational visibility dashboards and early warning</t>
  </si>
  <si>
    <t>Close maturity gaps in operational visibility by assigning ownership, documenting the process, connecting it to evidence and systems, testing it against crisis scenarios and measuring improvement.</t>
  </si>
  <si>
    <t>DELI-019; DELI-020; DELI-021; DELI-022; DELI-023; DELI-024</t>
  </si>
  <si>
    <t>Documented operational visibility operating model, owner/RACI, KPI set, evidence pack, tested crisis playbook and improvement backlog.</t>
  </si>
  <si>
    <t>Counts active next-level recommendations for Delivery Ops / Operational visibility.</t>
  </si>
  <si>
    <t>Counts active risks and risk scores for Delivery Ops / Operational visibility.</t>
  </si>
  <si>
    <t>INI-032</t>
  </si>
  <si>
    <t>Supply chain design</t>
  </si>
  <si>
    <t>Redesign supply chain for resilience and alternative sourcing</t>
  </si>
  <si>
    <t>Close maturity gaps in supply chain design by assigning ownership, documenting the process, connecting it to evidence and systems, testing it against crisis scenarios and measuring improvement.</t>
  </si>
  <si>
    <t>Supplier / logistics disruption; Energy / utilities outage; War / security crisis</t>
  </si>
  <si>
    <t>SUPP-001; SUPP-002; SUPP-003; SUPP-004; SUPP-005; SUPP-006</t>
  </si>
  <si>
    <t>COO / Supply Chain Lead</t>
  </si>
  <si>
    <t>maturity score improvement; open risk reduction; evidence completeness; control test pass rate; supplier diversification; on-time delivery; inventory visibility</t>
  </si>
  <si>
    <t>Documented supply chain design operating model, owner/RACI, KPI set, evidence pack, tested crisis playbook and improvement backlog.</t>
  </si>
  <si>
    <t>Counts active next-level recommendations for Supply Chain / Supply chain design.</t>
  </si>
  <si>
    <t>Counts active risks and risk scores for Supply Chain / Supply chain design.</t>
  </si>
  <si>
    <t>INI-033</t>
  </si>
  <si>
    <t>Logistics</t>
  </si>
  <si>
    <t>Build logistics continuity and transport fallback options</t>
  </si>
  <si>
    <t>Close maturity gaps in logistics by assigning ownership, documenting the process, connecting it to evidence and systems, testing it against crisis scenarios and measuring improvement.</t>
  </si>
  <si>
    <t>SUPP-007; SUPP-008; SUPP-009; SUPP-010; SUPP-011; SUPP-012</t>
  </si>
  <si>
    <t>Documented logistics operating model, owner/RACI, KPI set, evidence pack, tested crisis playbook and improvement backlog.</t>
  </si>
  <si>
    <t>Counts active next-level recommendations for Supply Chain / Logistics.</t>
  </si>
  <si>
    <t>Counts active risks and risk scores for Supply Chain / Logistics.</t>
  </si>
  <si>
    <t>INI-034</t>
  </si>
  <si>
    <t>Inventory and planning</t>
  </si>
  <si>
    <t>Implement inventory visibility and demand/supply planning</t>
  </si>
  <si>
    <t>Close maturity gaps in inventory and planning by assigning ownership, documenting the process, connecting it to evidence and systems, testing it against crisis scenarios and measuring improvement.</t>
  </si>
  <si>
    <t>SUPP-013; SUPP-014; SUPP-015; SUPP-016; SUPP-017; SUPP-018; SUPP-019</t>
  </si>
  <si>
    <t>Documented inventory and planning operating model, owner/RACI, KPI set, evidence pack, tested crisis playbook and improvement backlog.</t>
  </si>
  <si>
    <t>Counts active next-level recommendations for Supply Chain / Inventory and planning.</t>
  </si>
  <si>
    <t>Counts active risks and risk scores for Supply Chain / Inventory and planning.</t>
  </si>
  <si>
    <t>INI-035</t>
  </si>
  <si>
    <t>Technology and risk</t>
  </si>
  <si>
    <t>Implement supply-chain technology, risk monitoring and supplier data</t>
  </si>
  <si>
    <t>Close maturity gaps in technology and risk by assigning ownership, documenting the process, connecting it to evidence and systems, testing it against crisis scenarios and measuring improvement.</t>
  </si>
  <si>
    <t>SUPP-020; SUPP-021; SUPP-022; SUPP-023; SUPP-024; SUPP-025</t>
  </si>
  <si>
    <t>Documented technology and risk operating model, owner/RACI, KPI set, evidence pack, tested crisis playbook and improvement backlog.</t>
  </si>
  <si>
    <t>Counts active next-level recommendations for Supply Chain / Technology and risk.</t>
  </si>
  <si>
    <t>Counts active risks and risk scores for Supply Chain / Technology and risk.</t>
  </si>
  <si>
    <t>INI-036</t>
  </si>
  <si>
    <t>Production footprint</t>
  </si>
  <si>
    <t>Manufacturing Continuity and MES Strategy</t>
  </si>
  <si>
    <t>STR-09</t>
  </si>
  <si>
    <t>Assess production footprint and build alternate production options</t>
  </si>
  <si>
    <t>Close maturity gaps in production footprint by assigning ownership, documenting the process, connecting it to evidence and systems, testing it against crisis scenarios and measuring improvement.</t>
  </si>
  <si>
    <t>Physical site loss; Energy / utilities outage; Supplier / logistics disruption; Cyberattack / ransomware</t>
  </si>
  <si>
    <t>MANU-001; MANU-002; MANU-003; MANU-004; MANU-005; MANU-006</t>
  </si>
  <si>
    <t>COO / Plant Manager / MES Lead</t>
  </si>
  <si>
    <t>maturity score improvement; open risk reduction; evidence completeness; control test pass rate; OEE visibility; downtime reduction; OT security coverage</t>
  </si>
  <si>
    <t>Documented production footprint operating model, owner/RACI, KPI set, evidence pack, tested crisis playbook and improvement backlog.</t>
  </si>
  <si>
    <t>Counts active next-level recommendations for Manufacturing MES / Production footprint.</t>
  </si>
  <si>
    <t>Counts active risks and risk scores for Manufacturing MES / Production footprint.</t>
  </si>
  <si>
    <t>Uses the current rank and total score of Manufacturing Continuity and MES Strategy.</t>
  </si>
  <si>
    <t>Medium-High</t>
  </si>
  <si>
    <t>INI-037</t>
  </si>
  <si>
    <t>MES and shop floor</t>
  </si>
  <si>
    <t>Implement MES and shop-floor digital control foundation</t>
  </si>
  <si>
    <t>Close maturity gaps in mes and shop floor by assigning ownership, documenting the process, connecting it to evidence and systems, testing it against crisis scenarios and measuring improvement.</t>
  </si>
  <si>
    <t>MANU-007; MANU-008; MANU-009; MANU-010; MANU-011; MANU-012</t>
  </si>
  <si>
    <t>Documented mes and shop floor operating model, owner/RACI, KPI set, evidence pack, tested crisis playbook and improvement backlog.</t>
  </si>
  <si>
    <t>Counts active next-level recommendations for Manufacturing MES / MES and shop floor.</t>
  </si>
  <si>
    <t>Counts active risks and risk scores for Manufacturing MES / MES and shop floor.</t>
  </si>
  <si>
    <t>INI-038</t>
  </si>
  <si>
    <t>Maintenance and assets</t>
  </si>
  <si>
    <t>Build maintenance, spare-parts and asset resilience program</t>
  </si>
  <si>
    <t>Close maturity gaps in maintenance and assets by assigning ownership, documenting the process, connecting it to evidence and systems, testing it against crisis scenarios and measuring improvement.</t>
  </si>
  <si>
    <t>MANU-013; MANU-014; MANU-015; MANU-016; MANU-017; MANU-018</t>
  </si>
  <si>
    <t>Documented maintenance and assets operating model, owner/RACI, KPI set, evidence pack, tested crisis playbook and improvement backlog.</t>
  </si>
  <si>
    <t>Counts active next-level recommendations for Manufacturing MES / Maintenance and assets.</t>
  </si>
  <si>
    <t>Counts active risks and risk scores for Manufacturing MES / Maintenance and assets.</t>
  </si>
  <si>
    <t>INI-039</t>
  </si>
  <si>
    <t>Quality and safety</t>
  </si>
  <si>
    <t>Strengthen manufacturing quality, safety and release controls</t>
  </si>
  <si>
    <t>Close maturity gaps in quality and safety by assigning ownership, documenting the process, connecting it to evidence and systems, testing it against crisis scenarios and measuring improvement.</t>
  </si>
  <si>
    <t>MANU-019; MANU-020; MANU-021; MANU-022; MANU-023; MANU-024</t>
  </si>
  <si>
    <t>Documented quality and safety operating model, owner/RACI, KPI set, evidence pack, tested crisis playbook and improvement backlog.</t>
  </si>
  <si>
    <t>Counts active next-level recommendations for Manufacturing MES / Quality and safety.</t>
  </si>
  <si>
    <t>Counts active risks and risk scores for Manufacturing MES / Quality and safety.</t>
  </si>
  <si>
    <t>INI-040</t>
  </si>
  <si>
    <t>OT security</t>
  </si>
  <si>
    <t>Implement OT security and industrial network resilience controls</t>
  </si>
  <si>
    <t>Close maturity gaps in ot security by assigning ownership, documenting the process, connecting it to evidence and systems, testing it against crisis scenarios and measuring improvement.</t>
  </si>
  <si>
    <t>MANU-025; MANU-026; MANU-027; MANU-028</t>
  </si>
  <si>
    <t>Documented ot security operating model, owner/RACI, KPI set, evidence pack, tested crisis playbook and improvement backlog.</t>
  </si>
  <si>
    <t>Counts active next-level recommendations for Manufacturing MES / OT security.</t>
  </si>
  <si>
    <t>Counts active risks and risk scores for Manufacturing MES / OT security.</t>
  </si>
  <si>
    <t>INI-041</t>
  </si>
  <si>
    <t>CRM foundation</t>
  </si>
  <si>
    <t>Customer Retention and Revenue Protection Strategy</t>
  </si>
  <si>
    <t>STR-12</t>
  </si>
  <si>
    <t>Stabilize CRM data model, ownership and adoption</t>
  </si>
  <si>
    <t>Close maturity gaps in crm foundation by assigning ownership, documenting the process, connecting it to evidence and systems, testing it against crisis scenarios and measuring improvement.</t>
  </si>
  <si>
    <t>Demand shock; Key customer loss; Reputation crisis; Cloud / SaaS outage</t>
  </si>
  <si>
    <t>SALE-001; SALE-002; SALE-003; SALE-004; SALE-005</t>
  </si>
  <si>
    <t>CRO / Head of Sales</t>
  </si>
  <si>
    <t>Documented crm foundation operating model, owner/RACI, KPI set, evidence pack, tested crisis playbook and improvement backlog.</t>
  </si>
  <si>
    <t>Counts active next-level recommendations for Sales CRM / CRM foundation.</t>
  </si>
  <si>
    <t>Counts active risks and risk scores for Sales CRM / CRM foundation.</t>
  </si>
  <si>
    <t>Uses the current rank and total score of Customer Retention and Revenue Protection Strategy.</t>
  </si>
  <si>
    <t>INI-042</t>
  </si>
  <si>
    <t>Pipeline and forecast</t>
  </si>
  <si>
    <t>Build pipeline visibility, forecast discipline and revenue scenarios</t>
  </si>
  <si>
    <t>Close maturity gaps in pipeline and forecast by assigning ownership, documenting the process, connecting it to evidence and systems, testing it against crisis scenarios and measuring improvement.</t>
  </si>
  <si>
    <t>SALE-006; SALE-007; SALE-008; SALE-009; SALE-010</t>
  </si>
  <si>
    <t>Documented pipeline and forecast operating model, owner/RACI, KPI set, evidence pack, tested crisis playbook and improvement backlog.</t>
  </si>
  <si>
    <t>Counts active next-level recommendations for Sales CRM / Pipeline and forecast.</t>
  </si>
  <si>
    <t>Counts active risks and risk scores for Sales CRM / Pipeline and forecast.</t>
  </si>
  <si>
    <t>INI-043</t>
  </si>
  <si>
    <t>Customer continuity</t>
  </si>
  <si>
    <t>Implement customer continuity and key-account protection program</t>
  </si>
  <si>
    <t>Close maturity gaps in customer continuity by assigning ownership, documenting the process, connecting it to evidence and systems, testing it against crisis scenarios and measuring improvement.</t>
  </si>
  <si>
    <t>SALE-011; SALE-012; SALE-013; SALE-014; SALE-015; SALE-016</t>
  </si>
  <si>
    <t>Documented customer continuity operating model, owner/RACI, KPI set, evidence pack, tested crisis playbook and improvement backlog.</t>
  </si>
  <si>
    <t>Counts active next-level recommendations for Sales CRM / Customer continuity.</t>
  </si>
  <si>
    <t>Counts active risks and risk scores for Sales CRM / Customer continuity.</t>
  </si>
  <si>
    <t>INI-044</t>
  </si>
  <si>
    <t>Revenue controls</t>
  </si>
  <si>
    <t>Strengthen pricing, discounting and revenue-control governance</t>
  </si>
  <si>
    <t>Close maturity gaps in revenue controls by assigning ownership, documenting the process, connecting it to evidence and systems, testing it against crisis scenarios and measuring improvement.</t>
  </si>
  <si>
    <t>SALE-017; SALE-018; SALE-019; SALE-020; SALE-021</t>
  </si>
  <si>
    <t>Documented revenue controls operating model, owner/RACI, KPI set, evidence pack, tested crisis playbook and improvement backlog.</t>
  </si>
  <si>
    <t>Counts active next-level recommendations for Sales CRM / Revenue controls.</t>
  </si>
  <si>
    <t>Counts active risks and risk scores for Sales CRM / Revenue controls.</t>
  </si>
  <si>
    <t>INI-045</t>
  </si>
  <si>
    <t>Brand and market presence</t>
  </si>
  <si>
    <t>Build resilient brand presence and digital demand generation</t>
  </si>
  <si>
    <t>Close maturity gaps in brand and market presence by assigning ownership, documenting the process, connecting it to evidence and systems, testing it against crisis scenarios and measuring improvement.</t>
  </si>
  <si>
    <t>Demand shock; Reputation crisis; Regulatory / legal shock</t>
  </si>
  <si>
    <t>MARK-001; MARK-002; MARK-003; MARK-004; MARK-005</t>
  </si>
  <si>
    <t>CMO / Communications Lead</t>
  </si>
  <si>
    <t>Documented brand and market presence operating model, owner/RACI, KPI set, evidence pack, tested crisis playbook and improvement backlog.</t>
  </si>
  <si>
    <t>Counts active next-level recommendations for Marketing Comms / Brand and market presence.</t>
  </si>
  <si>
    <t>Counts active risks and risk scores for Marketing Comms / Brand and market presence.</t>
  </si>
  <si>
    <t>INI-046</t>
  </si>
  <si>
    <t>Crisis communication</t>
  </si>
  <si>
    <t>Prepare crisis communication playbooks and customer notification flows</t>
  </si>
  <si>
    <t>Close maturity gaps in crisis communication by assigning ownership, documenting the process, connecting it to evidence and systems, testing it against crisis scenarios and measuring improvement.</t>
  </si>
  <si>
    <t>MARK-006; MARK-007; MARK-008; MARK-009; MARK-010; MARK-011</t>
  </si>
  <si>
    <t>Documented crisis communication operating model, owner/RACI, KPI set, evidence pack, tested crisis playbook and improvement backlog.</t>
  </si>
  <si>
    <t>Counts active next-level recommendations for Marketing Comms / Crisis communication.</t>
  </si>
  <si>
    <t>Counts active risks and risk scores for Marketing Comms / Crisis communication.</t>
  </si>
  <si>
    <t>INI-047</t>
  </si>
  <si>
    <t>Marketing operations</t>
  </si>
  <si>
    <t>Standardize marketing operations, content and analytics cadence</t>
  </si>
  <si>
    <t>Close maturity gaps in marketing operations by assigning ownership, documenting the process, connecting it to evidence and systems, testing it against crisis scenarios and measuring improvement.</t>
  </si>
  <si>
    <t>MARK-012; MARK-013; MARK-014; MARK-015; MARK-016; MARK-017</t>
  </si>
  <si>
    <t>Documented marketing operations operating model, owner/RACI, KPI set, evidence pack, tested crisis playbook and improvement backlog.</t>
  </si>
  <si>
    <t>Counts active next-level recommendations for Marketing Comms / Marketing operations.</t>
  </si>
  <si>
    <t>Counts active risks and risk scores for Marketing Comms / Marketing operations.</t>
  </si>
  <si>
    <t>INI-048</t>
  </si>
  <si>
    <t>IT inventory and architecture</t>
  </si>
  <si>
    <t>Cloud and Infrastructure Resilience Strategy</t>
  </si>
  <si>
    <t>STR-03</t>
  </si>
  <si>
    <t>Create IT asset, application and architecture criticality map</t>
  </si>
  <si>
    <t>Close maturity gaps in it inventory and architecture by assigning ownership, documenting the process, connecting it to evidence and systems, testing it against crisis scenarios and measuring improvement.</t>
  </si>
  <si>
    <t>IT, cloud and disaster recovery</t>
  </si>
  <si>
    <t>Cloud / SaaS outage; Cyberattack / ransomware; Physical site loss; War / security crisis</t>
  </si>
  <si>
    <t>ITCL-001; ITCL-002; ITCL-003; ITCL-004; ITCL-005; ITCL-006</t>
  </si>
  <si>
    <t>CIO / CTO / Infrastructure Lead</t>
  </si>
  <si>
    <t>Executive sponsor; accountable process owner; baseline evidence; risk acceptance threshold; IT architecture inventory; data/system owners</t>
  </si>
  <si>
    <t>maturity score improvement; open risk reduction; evidence completeness; control test pass rate; RTO/RPO achievement; backup test success; incident MTTR</t>
  </si>
  <si>
    <t>Documented it inventory and architecture operating model, owner/RACI, KPI set, evidence pack, tested crisis playbook and improvement backlog.</t>
  </si>
  <si>
    <t>Counts active next-level recommendations for IT Cloud DR / IT inventory and architecture.</t>
  </si>
  <si>
    <t>Counts active risks and risk scores for IT Cloud DR / IT inventory and architecture.</t>
  </si>
  <si>
    <t>Uses the current rank and total score of Cloud and Infrastructure Resilience Strategy.</t>
  </si>
  <si>
    <t>INI-049</t>
  </si>
  <si>
    <t>Cloud usage</t>
  </si>
  <si>
    <t>Optimize cloud usage, landing zones and infrastructure resilience</t>
  </si>
  <si>
    <t>Close maturity gaps in cloud usage by assigning ownership, documenting the process, connecting it to evidence and systems, testing it against crisis scenarios and measuring improvement.</t>
  </si>
  <si>
    <t>ITCL-007; ITCL-008; ITCL-009; ITCL-010; ITCL-011; ITCL-012</t>
  </si>
  <si>
    <t>Documented cloud usage operating model, owner/RACI, KPI set, evidence pack, tested crisis playbook and improvement backlog.</t>
  </si>
  <si>
    <t>Counts active next-level recommendations for IT Cloud DR / Cloud usage.</t>
  </si>
  <si>
    <t>Counts active risks and risk scores for IT Cloud DR / Cloud usage.</t>
  </si>
  <si>
    <t>INI-050</t>
  </si>
  <si>
    <t>Resilience and DR</t>
  </si>
  <si>
    <t>Implement disaster recovery, backup testing and RTO/RPO controls</t>
  </si>
  <si>
    <t>Close maturity gaps in resilience and dr by assigning ownership, documenting the process, connecting it to evidence and systems, testing it against crisis scenarios and measuring improvement.</t>
  </si>
  <si>
    <t>ITCL-013; ITCL-014; ITCL-015; ITCL-016; ITCL-017; ITCL-018</t>
  </si>
  <si>
    <t>Documented resilience and dr operating model, owner/RACI, KPI set, evidence pack, tested crisis playbook and improvement backlog.</t>
  </si>
  <si>
    <t>Counts active next-level recommendations for IT Cloud DR / Resilience and DR.</t>
  </si>
  <si>
    <t>Counts active risks and risk scores for IT Cloud DR / Resilience and DR.</t>
  </si>
  <si>
    <t>INI-051</t>
  </si>
  <si>
    <t>Operations</t>
  </si>
  <si>
    <t>Strengthen IT operations, monitoring, incident and change management</t>
  </si>
  <si>
    <t>Close maturity gaps in operations by assigning ownership, documenting the process, connecting it to evidence and systems, testing it against crisis scenarios and measuring improvement.</t>
  </si>
  <si>
    <t>ITCL-019; ITCL-020; ITCL-021; ITCL-022; ITCL-023; ITCL-024</t>
  </si>
  <si>
    <t>Documented operations operating model, owner/RACI, KPI set, evidence pack, tested crisis playbook and improvement backlog.</t>
  </si>
  <si>
    <t>Counts active next-level recommendations for IT Cloud DR / Operations.</t>
  </si>
  <si>
    <t>Counts active risks and risk scores for IT Cloud DR / Operations.</t>
  </si>
  <si>
    <t>INI-052</t>
  </si>
  <si>
    <t>SaaS and integrations</t>
  </si>
  <si>
    <t>Stabilize SaaS ownership, integrations and vendor continuity</t>
  </si>
  <si>
    <t>Close maturity gaps in saas and integrations by assigning ownership, documenting the process, connecting it to evidence and systems, testing it against crisis scenarios and measuring improvement.</t>
  </si>
  <si>
    <t>ITCL-025; ITCL-026; ITCL-027; ITCL-028; ITCL-029</t>
  </si>
  <si>
    <t>Documented saas and integrations operating model, owner/RACI, KPI set, evidence pack, tested crisis playbook and improvement backlog.</t>
  </si>
  <si>
    <t>Counts active next-level recommendations for IT Cloud DR / SaaS and integrations.</t>
  </si>
  <si>
    <t>Counts active risks and risk scores for IT Cloud DR / SaaS and integrations.</t>
  </si>
  <si>
    <t>INI-053</t>
  </si>
  <si>
    <t>ERP</t>
  </si>
  <si>
    <t>Digital Foundation Strategy</t>
  </si>
  <si>
    <t>STR-01</t>
  </si>
  <si>
    <t>Stabilize ERP process ownership, master data and continuity controls</t>
  </si>
  <si>
    <t>Close maturity gaps in erp by assigning ownership, documenting the process, connecting it to evidence and systems, testing it against crisis scenarios and measuring improvement.</t>
  </si>
  <si>
    <t>Enterprise systems and application continuity</t>
  </si>
  <si>
    <t>Cloud / SaaS outage; Cyberattack / ransomware; Operational disruption</t>
  </si>
  <si>
    <t>BUSI-001; BUSI-002; BUSI-003; BUSI-004; BUSI-005</t>
  </si>
  <si>
    <t>CIO / Business Applications Lead</t>
  </si>
  <si>
    <t>Documented erp operating model, owner/RACI, KPI set, evidence pack, tested crisis playbook and improvement backlog.</t>
  </si>
  <si>
    <t>Counts active next-level recommendations for Business Systems / ERP.</t>
  </si>
  <si>
    <t>Counts active risks and risk scores for Business Systems / ERP.</t>
  </si>
  <si>
    <t>Uses the current rank and total score of Digital Foundation Strategy.</t>
  </si>
  <si>
    <t>INI-054</t>
  </si>
  <si>
    <t>CRM and commerce</t>
  </si>
  <si>
    <t>Integrate CRM, commerce and customer-service systems</t>
  </si>
  <si>
    <t>Close maturity gaps in crm and commerce by assigning ownership, documenting the process, connecting it to evidence and systems, testing it against crisis scenarios and measuring improvement.</t>
  </si>
  <si>
    <t>BUSI-006; BUSI-007; BUSI-008; BUSI-009</t>
  </si>
  <si>
    <t>Documented crm and commerce operating model, owner/RACI, KPI set, evidence pack, tested crisis playbook and improvement backlog.</t>
  </si>
  <si>
    <t>Counts active next-level recommendations for Business Systems / CRM and commerce.</t>
  </si>
  <si>
    <t>Counts active risks and risk scores for Business Systems / CRM and commerce.</t>
  </si>
  <si>
    <t>INI-055</t>
  </si>
  <si>
    <t>MES WMS TMS</t>
  </si>
  <si>
    <t>Integrate MES, WMS and TMS into operational continuity model</t>
  </si>
  <si>
    <t>Close maturity gaps in mes wms tms by assigning ownership, documenting the process, connecting it to evidence and systems, testing it against crisis scenarios and measuring improvement.</t>
  </si>
  <si>
    <t>BUSI-010; BUSI-011; BUSI-012; BUSI-013</t>
  </si>
  <si>
    <t>Documented mes wms tms operating model, owner/RACI, KPI set, evidence pack, tested crisis playbook and improvement backlog.</t>
  </si>
  <si>
    <t>Counts active next-level recommendations for Business Systems / MES WMS TMS.</t>
  </si>
  <si>
    <t>Counts active risks and risk scores for Business Systems / MES WMS TMS.</t>
  </si>
  <si>
    <t>INI-056</t>
  </si>
  <si>
    <t>HRMS and finance systems</t>
  </si>
  <si>
    <t>Stabilize HRMS, finance systems and core administrative workflows</t>
  </si>
  <si>
    <t>Close maturity gaps in hrms and finance systems by assigning ownership, documenting the process, connecting it to evidence and systems, testing it against crisis scenarios and measuring improvement.</t>
  </si>
  <si>
    <t>BUSI-014; BUSI-015; BUSI-016; BUSI-017</t>
  </si>
  <si>
    <t>Documented hrms and finance systems operating model, owner/RACI, KPI set, evidence pack, tested crisis playbook and improvement backlog.</t>
  </si>
  <si>
    <t>Counts active next-level recommendations for Business Systems / HRMS and finance systems.</t>
  </si>
  <si>
    <t>Counts active risks and risk scores for Business Systems / HRMS and finance systems.</t>
  </si>
  <si>
    <t>INI-057</t>
  </si>
  <si>
    <t>Governance and lifecycle</t>
  </si>
  <si>
    <t>Implement business-system governance and lifecycle control</t>
  </si>
  <si>
    <t>Close maturity gaps in governance and lifecycle by assigning ownership, documenting the process, connecting it to evidence and systems, testing it against crisis scenarios and measuring improvement.</t>
  </si>
  <si>
    <t>BUSI-018; BUSI-019; BUSI-020; BUSI-021; BUSI-022; BUSI-023</t>
  </si>
  <si>
    <t>Documented governance and lifecycle operating model, owner/RACI, KPI set, evidence pack, tested crisis playbook and improvement backlog.</t>
  </si>
  <si>
    <t>Counts active next-level recommendations for Business Systems / Governance and lifecycle.</t>
  </si>
  <si>
    <t>Counts active risks and risk scores for Business Systems / Governance and lifecycle.</t>
  </si>
  <si>
    <t>INI-058</t>
  </si>
  <si>
    <t>Data governance</t>
  </si>
  <si>
    <t>Data Governance and AI Readiness Strategy</t>
  </si>
  <si>
    <t>STR-05</t>
  </si>
  <si>
    <t>Implement data ownership, quality and governance framework</t>
  </si>
  <si>
    <t>Close maturity gaps in data governance by assigning ownership, documenting the process, connecting it to evidence and systems, testing it against crisis scenarios and measuring improvement.</t>
  </si>
  <si>
    <t>Data, BI, analytics and AI governance</t>
  </si>
  <si>
    <t>Cyberattack / ransomware; Regulatory / legal shock; Demand shock</t>
  </si>
  <si>
    <t>DATA-001; DATA-002; DATA-003; DATA-004; DATA-005; DATA-006</t>
  </si>
  <si>
    <t>CDO / Head of Data</t>
  </si>
  <si>
    <t>Documented data governance operating model, owner/RACI, KPI set, evidence pack, tested crisis playbook and improvement backlog.</t>
  </si>
  <si>
    <t>Counts active next-level recommendations for Data BI AI / Data governance.</t>
  </si>
  <si>
    <t>Counts active risks and risk scores for Data BI AI / Data governance.</t>
  </si>
  <si>
    <t>Uses the current rank and total score of Data Governance and AI Readiness Strategy.</t>
  </si>
  <si>
    <t>INI-059</t>
  </si>
  <si>
    <t>Data architecture</t>
  </si>
  <si>
    <t>Build resilient data architecture, integration and storage foundation</t>
  </si>
  <si>
    <t>Close maturity gaps in data architecture by assigning ownership, documenting the process, connecting it to evidence and systems, testing it against crisis scenarios and measuring improvement.</t>
  </si>
  <si>
    <t>DATA-007; DATA-008; DATA-009; DATA-010; DATA-011; DATA-012</t>
  </si>
  <si>
    <t>Documented data architecture operating model, owner/RACI, KPI set, evidence pack, tested crisis playbook and improvement backlog.</t>
  </si>
  <si>
    <t>Counts active next-level recommendations for Data BI AI / Data architecture.</t>
  </si>
  <si>
    <t>Counts active risks and risk scores for Data BI AI / Data architecture.</t>
  </si>
  <si>
    <t>INI-060</t>
  </si>
  <si>
    <t>BI and analytics</t>
  </si>
  <si>
    <t>Create BI analytics layer for crisis and operational decisions</t>
  </si>
  <si>
    <t>Close maturity gaps in bi and analytics by assigning ownership, documenting the process, connecting it to evidence and systems, testing it against crisis scenarios and measuring improvement.</t>
  </si>
  <si>
    <t>DATA-013; DATA-014; DATA-015; DATA-016; DATA-017; DATA-018</t>
  </si>
  <si>
    <t>Documented bi and analytics operating model, owner/RACI, KPI set, evidence pack, tested crisis playbook and improvement backlog.</t>
  </si>
  <si>
    <t>Counts active next-level recommendations for Data BI AI / BI and analytics.</t>
  </si>
  <si>
    <t>Counts active risks and risk scores for Data BI AI / BI and analytics.</t>
  </si>
  <si>
    <t>INI-061</t>
  </si>
  <si>
    <t>Forecasting and scenarios</t>
  </si>
  <si>
    <t>Build forecasting and scenario analytics capability</t>
  </si>
  <si>
    <t>Close maturity gaps in forecasting and scenarios by assigning ownership, documenting the process, connecting it to evidence and systems, testing it against crisis scenarios and measuring improvement.</t>
  </si>
  <si>
    <t>DATA-019; DATA-020; DATA-021; DATA-022</t>
  </si>
  <si>
    <t>Documented forecasting and scenarios operating model, owner/RACI, KPI set, evidence pack, tested crisis playbook and improvement backlog.</t>
  </si>
  <si>
    <t>Counts active next-level recommendations for Data BI AI / Forecasting and scenarios.</t>
  </si>
  <si>
    <t>Counts active risks and risk scores for Data BI AI / Forecasting and scenarios.</t>
  </si>
  <si>
    <t>INI-062</t>
  </si>
  <si>
    <t>AI readiness</t>
  </si>
  <si>
    <t>Implement AI readiness, governance and use-case portfolio</t>
  </si>
  <si>
    <t>Close maturity gaps in ai readiness by assigning ownership, documenting the process, connecting it to evidence and systems, testing it against crisis scenarios and measuring improvement.</t>
  </si>
  <si>
    <t>DATA-023; DATA-024; DATA-025; DATA-026; DATA-027</t>
  </si>
  <si>
    <t>Documented ai readiness operating model, owner/RACI, KPI set, evidence pack, tested crisis playbook and improvement backlog.</t>
  </si>
  <si>
    <t>Counts active next-level recommendations for Data BI AI / AI readiness.</t>
  </si>
  <si>
    <t>Counts active risks and risk scores for Data BI AI / AI readiness.</t>
  </si>
  <si>
    <t>INI-063</t>
  </si>
  <si>
    <t>Security governance</t>
  </si>
  <si>
    <t>Cyber Resilience Strategy</t>
  </si>
  <si>
    <t>STR-04</t>
  </si>
  <si>
    <t>Implement security governance and risk-management operating model</t>
  </si>
  <si>
    <t>Close maturity gaps in security governance by assigning ownership, documenting the process, connecting it to evidence and systems, testing it against crisis scenarios and measuring improvement.</t>
  </si>
  <si>
    <t>Cybersecurity, privacy and access control</t>
  </si>
  <si>
    <t>Cyberattack / ransomware; Regulatory / legal shock; Reputation crisis</t>
  </si>
  <si>
    <t>CYBE-001; CYBE-002; CYBE-003; CYBE-004; CYBE-005; CYBE-006</t>
  </si>
  <si>
    <t>CISO / DPO</t>
  </si>
  <si>
    <t>maturity score improvement; open risk reduction; evidence completeness; control test pass rate; MFA coverage; vulnerabilities remediated; incident response exercise completion</t>
  </si>
  <si>
    <t>Documented security governance operating model, owner/RACI, KPI set, evidence pack, tested crisis playbook and improvement backlog.</t>
  </si>
  <si>
    <t>Counts active next-level recommendations for Cyber Privacy / Security governance.</t>
  </si>
  <si>
    <t>Counts active risks and risk scores for Cyber Privacy / Security governance.</t>
  </si>
  <si>
    <t>Uses the current rank and total score of Cyber Resilience Strategy.</t>
  </si>
  <si>
    <t>INI-064</t>
  </si>
  <si>
    <t>Identity and access</t>
  </si>
  <si>
    <t>Strengthen IAM, MFA, privileged access and joiner/mover/leaver controls</t>
  </si>
  <si>
    <t>Close maturity gaps in identity and access by assigning ownership, documenting the process, connecting it to evidence and systems, testing it against crisis scenarios and measuring improvement.</t>
  </si>
  <si>
    <t>CYBE-007; CYBE-008; CYBE-009; CYBE-010; CYBE-011; CYBE-012</t>
  </si>
  <si>
    <t>Documented identity and access operating model, owner/RACI, KPI set, evidence pack, tested crisis playbook and improvement backlog.</t>
  </si>
  <si>
    <t>Counts active next-level recommendations for Cyber Privacy / Identity and access.</t>
  </si>
  <si>
    <t>Counts active risks and risk scores for Cyber Privacy / Identity and access.</t>
  </si>
  <si>
    <t>INI-065</t>
  </si>
  <si>
    <t>Protection</t>
  </si>
  <si>
    <t>Improve endpoint, network, backup and vulnerability protection</t>
  </si>
  <si>
    <t>Close maturity gaps in protection by assigning ownership, documenting the process, connecting it to evidence and systems, testing it against crisis scenarios and measuring improvement.</t>
  </si>
  <si>
    <t>CYBE-013; CYBE-014; CYBE-015; CYBE-016; CYBE-017; CYBE-018; CYBE-019; CYBE-020</t>
  </si>
  <si>
    <t>Documented protection operating model, owner/RACI, KPI set, evidence pack, tested crisis playbook and improvement backlog.</t>
  </si>
  <si>
    <t>Counts active next-level recommendations for Cyber Privacy / Protection.</t>
  </si>
  <si>
    <t>Counts active risks and risk scores for Cyber Privacy / Protection.</t>
  </si>
  <si>
    <t>INI-066</t>
  </si>
  <si>
    <t>Detection and response</t>
  </si>
  <si>
    <t>Implement detection, response, logging and security incident exercises</t>
  </si>
  <si>
    <t>Close maturity gaps in detection and response by assigning ownership, documenting the process, connecting it to evidence and systems, testing it against crisis scenarios and measuring improvement.</t>
  </si>
  <si>
    <t>CYBE-021; CYBE-022; CYBE-023; CYBE-024; CYBE-025; CYBE-026</t>
  </si>
  <si>
    <t>Documented detection and response operating model, owner/RACI, KPI set, evidence pack, tested crisis playbook and improvement backlog.</t>
  </si>
  <si>
    <t>Counts active next-level recommendations for Cyber Privacy / Detection and response.</t>
  </si>
  <si>
    <t>Counts active risks and risk scores for Cyber Privacy / Detection and response.</t>
  </si>
  <si>
    <t>INI-067</t>
  </si>
  <si>
    <t>Application and OT security</t>
  </si>
  <si>
    <t>Strengthen application, API and OT security controls</t>
  </si>
  <si>
    <t>Close maturity gaps in application and ot security by assigning ownership, documenting the process, connecting it to evidence and systems, testing it against crisis scenarios and measuring improvement.</t>
  </si>
  <si>
    <t>CYBE-027; CYBE-028; CYBE-029; CYBE-030; CYBE-031</t>
  </si>
  <si>
    <t>Documented application and ot security operating model, owner/RACI, KPI set, evidence pack, tested crisis playbook and improvement backlog.</t>
  </si>
  <si>
    <t>Counts active next-level recommendations for Cyber Privacy / Application and OT security.</t>
  </si>
  <si>
    <t>Counts active risks and risk scores for Cyber Privacy / Application and OT security.</t>
  </si>
  <si>
    <t>INI-068</t>
  </si>
  <si>
    <t>Privacy</t>
  </si>
  <si>
    <t>Implement privacy governance, DPIA and personal-data controls</t>
  </si>
  <si>
    <t>Close maturity gaps in privacy by assigning ownership, documenting the process, connecting it to evidence and systems, testing it against crisis scenarios and measuring improvement.</t>
  </si>
  <si>
    <t>CYBE-032; CYBE-033; CYBE-034</t>
  </si>
  <si>
    <t>Documented privacy operating model, owner/RACI, KPI set, evidence pack, tested crisis playbook and improvement backlog.</t>
  </si>
  <si>
    <t>Counts active next-level recommendations for Cyber Privacy / Privacy.</t>
  </si>
  <si>
    <t>Counts active risks and risk scores for Cyber Privacy / Privacy.</t>
  </si>
  <si>
    <t>INI-069</t>
  </si>
  <si>
    <t>Process management</t>
  </si>
  <si>
    <t>Build process ownership, SOP and continuous-improvement model</t>
  </si>
  <si>
    <t>Close maturity gaps in process management by assigning ownership, documenting the process, connecting it to evidence and systems, testing it against crisis scenarios and measuring improvement.</t>
  </si>
  <si>
    <t>Quality, portfolio and change execution risk</t>
  </si>
  <si>
    <t>Demand shock; Regulatory / legal shock; Operational disruption</t>
  </si>
  <si>
    <t>QUAL-001; QUAL-002; QUAL-003; QUAL-004; QUAL-005</t>
  </si>
  <si>
    <t>COO / Transformation Lead</t>
  </si>
  <si>
    <t>Documented process management operating model, owner/RACI, KPI set, evidence pack, tested crisis playbook and improvement backlog.</t>
  </si>
  <si>
    <t>Counts active next-level recommendations for Quality Portfolio / Process management.</t>
  </si>
  <si>
    <t>Counts active risks and risk scores for Quality Portfolio / Process management.</t>
  </si>
  <si>
    <t>INI-070</t>
  </si>
  <si>
    <t>Quality management</t>
  </si>
  <si>
    <t>Strengthen quality management and audit readiness</t>
  </si>
  <si>
    <t>Close maturity gaps in quality management by assigning ownership, documenting the process, connecting it to evidence and systems, testing it against crisis scenarios and measuring improvement.</t>
  </si>
  <si>
    <t>QUAL-006; QUAL-007; QUAL-008; QUAL-009; QUAL-010</t>
  </si>
  <si>
    <t>Documented quality management operating model, owner/RACI, KPI set, evidence pack, tested crisis playbook and improvement backlog.</t>
  </si>
  <si>
    <t>Counts active next-level recommendations for Quality Portfolio / Quality management.</t>
  </si>
  <si>
    <t>Counts active risks and risk scores for Quality Portfolio / Quality management.</t>
  </si>
  <si>
    <t>INI-071</t>
  </si>
  <si>
    <t>Portfolio and change</t>
  </si>
  <si>
    <t>Implement portfolio governance, prioritization and change control</t>
  </si>
  <si>
    <t>Close maturity gaps in portfolio and change by assigning ownership, documenting the process, connecting it to evidence and systems, testing it against crisis scenarios and measuring improvement.</t>
  </si>
  <si>
    <t>QUAL-011; QUAL-012; QUAL-013; QUAL-014; QUAL-015</t>
  </si>
  <si>
    <t>Documented portfolio and change operating model, owner/RACI, KPI set, evidence pack, tested crisis playbook and improvement backlog.</t>
  </si>
  <si>
    <t>Counts active next-level recommendations for Quality Portfolio / Portfolio and change.</t>
  </si>
  <si>
    <t>Counts active risks and risk scores for Quality Portfolio / Portfolio and change.</t>
  </si>
  <si>
    <t>INI-072</t>
  </si>
  <si>
    <t>Management system</t>
  </si>
  <si>
    <t>Integrate management system, KPIs and continual improvement cycle</t>
  </si>
  <si>
    <t>Close maturity gaps in management system by assigning ownership, documenting the process, connecting it to evidence and systems, testing it against crisis scenarios and measuring improvement.</t>
  </si>
  <si>
    <t>QUAL-016; QUAL-017; QUAL-018; QUAL-019; QUAL-020</t>
  </si>
  <si>
    <t>Documented management system operating model, owner/RACI, KPI set, evidence pack, tested crisis playbook and improvement backlog.</t>
  </si>
  <si>
    <t>Counts active next-level recommendations for Quality Portfolio / Management system.</t>
  </si>
  <si>
    <t>Counts active risks and risk scores for Quality Portfolio / Management system.</t>
  </si>
  <si>
    <t>Standards and Frameworks Map</t>
  </si>
  <si>
    <t>Plain URL references are included for traceability. Use standards as structure, not as a clause-by-clause audit checklist.</t>
  </si>
  <si>
    <t>Standard / framework</t>
  </si>
  <si>
    <t>Primary use in questionnaire</t>
  </si>
  <si>
    <t>Relevant domains</t>
  </si>
  <si>
    <t>URL</t>
  </si>
  <si>
    <t>ISO 22301</t>
  </si>
  <si>
    <t>Business continuity management system and continuity planning</t>
  </si>
  <si>
    <t>Governance Crisis; Delivery Ops; IT Cloud DR; Physical Safety</t>
  </si>
  <si>
    <t>https://www.iso.org/standard/75106.html</t>
  </si>
  <si>
    <t>ISO 22320</t>
  </si>
  <si>
    <t>Emergency and incident management guidelines</t>
  </si>
  <si>
    <t>Governance Crisis; Physical Safety</t>
  </si>
  <si>
    <t>https://www.iso.org/standard/75121.html</t>
  </si>
  <si>
    <t>ISO 31000</t>
  </si>
  <si>
    <t>Enterprise risk management principles</t>
  </si>
  <si>
    <t>Company Geography; Governance Crisis; Legal Risk</t>
  </si>
  <si>
    <t>https://www.iso.org/iso-31000-risk-management.html</t>
  </si>
  <si>
    <t>ISO 37000</t>
  </si>
  <si>
    <t>Governance of organizations</t>
  </si>
  <si>
    <t>Company Geography; Governance Crisis; Strategy GTM</t>
  </si>
  <si>
    <t>https://www.iso.org/standard/65036.html</t>
  </si>
  <si>
    <t>ISO 9001</t>
  </si>
  <si>
    <t>Quality management, process ownership, continual improvement</t>
  </si>
  <si>
    <t>Delivery Ops; Manufacturing MES; Quality Portfolio; Strategy GTM</t>
  </si>
  <si>
    <t>https://www.iso.org/iso-9001-quality-management.html</t>
  </si>
  <si>
    <t>ISO 45001</t>
  </si>
  <si>
    <t>Occupational health and safety management</t>
  </si>
  <si>
    <t>Physical Safety; HR Workforce; Manufacturing MES</t>
  </si>
  <si>
    <t>https://www.iso.org/iso-45001-occupational-health-and-safety.html</t>
  </si>
  <si>
    <t>ISO 31030</t>
  </si>
  <si>
    <t>Travel risk management</t>
  </si>
  <si>
    <t>Physical Safety; HR Workforce</t>
  </si>
  <si>
    <t>https://www.iso.org/standard/54207.html</t>
  </si>
  <si>
    <t>ISO 18788</t>
  </si>
  <si>
    <t>Security operations management</t>
  </si>
  <si>
    <t>https://www.iso.org/standard/63380.html</t>
  </si>
  <si>
    <t>ISO/IEC 27001</t>
  </si>
  <si>
    <t>Information security management</t>
  </si>
  <si>
    <t>Cyber Privacy; IT Cloud DR; Business Systems</t>
  </si>
  <si>
    <t>https://www.iso.org/isoiec-27001-information-security.html</t>
  </si>
  <si>
    <t>ISO/IEC 27002</t>
  </si>
  <si>
    <t>Security controls guidance</t>
  </si>
  <si>
    <t>Cyber Privacy; IT Cloud DR</t>
  </si>
  <si>
    <t>https://www.iso.org/standard/75652.html</t>
  </si>
  <si>
    <t>ISO/IEC 27701</t>
  </si>
  <si>
    <t>Privacy information management</t>
  </si>
  <si>
    <t>Legal Risk; Cyber Privacy; Data BI AI</t>
  </si>
  <si>
    <t>https://www.iso.org/standard/71670.html</t>
  </si>
  <si>
    <t>ISO/IEC 20000-1</t>
  </si>
  <si>
    <t>IT service management</t>
  </si>
  <si>
    <t>IT Cloud DR; Business Systems</t>
  </si>
  <si>
    <t>https://www.iso.org/standard/70636.html</t>
  </si>
  <si>
    <t>NIST CSF 2.0</t>
  </si>
  <si>
    <t>Cybersecurity risk management framework</t>
  </si>
  <si>
    <t>https://www.nist.gov/cyberframework</t>
  </si>
  <si>
    <t>NIST SP 800-34</t>
  </si>
  <si>
    <t>IT contingency planning and disaster recovery reference</t>
  </si>
  <si>
    <t>IT Cloud DR; Governance Crisis</t>
  </si>
  <si>
    <t>https://csrc.nist.gov/publications/detail/sp/800-34/rev-1/final</t>
  </si>
  <si>
    <t>CIS Controls</t>
  </si>
  <si>
    <t>Practical cybersecurity safeguards</t>
  </si>
  <si>
    <t>https://www.cisecurity.org/controls</t>
  </si>
  <si>
    <t>COBIT</t>
  </si>
  <si>
    <t>IT governance and control objectives</t>
  </si>
  <si>
    <t>IT Cloud DR; Business Systems; Quality Portfolio</t>
  </si>
  <si>
    <t>https://www.isaca.org/resources/cobit</t>
  </si>
  <si>
    <t>ITIL 4</t>
  </si>
  <si>
    <t>IT service management practices</t>
  </si>
  <si>
    <t>IT Cloud DR; Delivery Ops</t>
  </si>
  <si>
    <t>https://www.axelos.com/certifications/itil-service-management</t>
  </si>
  <si>
    <t>DAMA-DMBOK</t>
  </si>
  <si>
    <t>Data management body of knowledge</t>
  </si>
  <si>
    <t>https://www.dama.org/cpages/body-of-knowledge</t>
  </si>
  <si>
    <t>ISO/IEC 42001</t>
  </si>
  <si>
    <t>AI management system</t>
  </si>
  <si>
    <t>https://www.iso.org/standard/81230.html</t>
  </si>
  <si>
    <t>ISO/IEC 23894</t>
  </si>
  <si>
    <t>AI risk management guidance</t>
  </si>
  <si>
    <t>https://www.iso.org/standard/77304.html</t>
  </si>
  <si>
    <t>NIST AI RMF</t>
  </si>
  <si>
    <t>AI risk management framework</t>
  </si>
  <si>
    <t>https://www.nist.gov/itl/ai-risk-management-framework</t>
  </si>
  <si>
    <t>COSO Internal Control</t>
  </si>
  <si>
    <t>Internal control over finance, procurement and operations</t>
  </si>
  <si>
    <t>https://www.coso.org/guidance-on-ic</t>
  </si>
  <si>
    <t>COSO ERM</t>
  </si>
  <si>
    <t>Enterprise risk and performance integration</t>
  </si>
  <si>
    <t>Governance Crisis; Finance Procurement</t>
  </si>
  <si>
    <t>https://www.coso.org/guidance-erm</t>
  </si>
  <si>
    <t>ISO 20400</t>
  </si>
  <si>
    <t>Sustainable procurement guidance</t>
  </si>
  <si>
    <t>Finance Procurement; Supply Chain</t>
  </si>
  <si>
    <t>https://www.iso.org/standard/63026.html</t>
  </si>
  <si>
    <t>ISO 28000</t>
  </si>
  <si>
    <t>Security and resilience in supply chain management</t>
  </si>
  <si>
    <t>https://www.iso.org/standard/79612.html</t>
  </si>
  <si>
    <t>SCOR Digital Standard</t>
  </si>
  <si>
    <t>Supply chain process reference model</t>
  </si>
  <si>
    <t>https://www.ascm.org/corporate-transformation/standards-tools/scor-ds/</t>
  </si>
  <si>
    <t>ISA-95</t>
  </si>
  <si>
    <t>Enterprise-control system integration; ERP/MES interface model</t>
  </si>
  <si>
    <t>Manufacturing MES; Business Systems</t>
  </si>
  <si>
    <t>https://www.isa.org/standards-and-publications/isa-standards/isa-95</t>
  </si>
  <si>
    <t>IEC 62443</t>
  </si>
  <si>
    <t>Industrial automation and control systems security</t>
  </si>
  <si>
    <t>Manufacturing MES; Cyber Privacy</t>
  </si>
  <si>
    <t>https://www.isa.org/standards-and-publications/isa-standards/isa-iec-62443-series-of-standards</t>
  </si>
  <si>
    <t>ISO 55001</t>
  </si>
  <si>
    <t>Asset management system</t>
  </si>
  <si>
    <t>Manufacturing MES; Physical Safety</t>
  </si>
  <si>
    <t>https://www.iso.org/standard/55088.html</t>
  </si>
  <si>
    <t>ISO 37301</t>
  </si>
  <si>
    <t>Compliance management systems</t>
  </si>
  <si>
    <t>https://www.iso.org/standard/75080.html</t>
  </si>
  <si>
    <t>ISO 30414</t>
  </si>
  <si>
    <t>Human capital reporting</t>
  </si>
  <si>
    <t>https://www.iso.org/standard/30414</t>
  </si>
  <si>
    <t>ISO 30405</t>
  </si>
  <si>
    <t>Recruitment guidance</t>
  </si>
  <si>
    <t>https://www.iso.org/standard/66033.html</t>
  </si>
  <si>
    <t>Bain RAPID</t>
  </si>
  <si>
    <t>Decision roles and accountabilities</t>
  </si>
  <si>
    <t>Governance Crisis; Quality Portfolio</t>
  </si>
  <si>
    <t>https://www.bain.com/insights/rapid-decision-making/</t>
  </si>
  <si>
    <t>McKinsey 7S</t>
  </si>
  <si>
    <t>Organizational alignment diagnostic</t>
  </si>
  <si>
    <t>Strategy GTM; Quality Portfolio; Governance Crisis</t>
  </si>
  <si>
    <t>https://www.mckinsey.com/capabilities/strategy-and-corporate-finance/our-insights/enduring-ideas-the-7-s-framework</t>
  </si>
  <si>
    <t>McKinsey OHI</t>
  </si>
  <si>
    <t>Organizational health lens</t>
  </si>
  <si>
    <t>Governance Crisis; HR Workforce; Strategy GTM</t>
  </si>
  <si>
    <t>https://www.mckinsey.com/solutions/orgsolutions/overview/organizational-health-index</t>
  </si>
  <si>
    <t>Porter Five Forces</t>
  </si>
  <si>
    <t>Competitive market structure assessment</t>
  </si>
  <si>
    <t>https://www.isc.hbs.edu/strategy/business-strategy/Pages/the-five-forces.aspx</t>
  </si>
  <si>
    <t>Business Model Canvas</t>
  </si>
  <si>
    <t>Business model and value proposition assessment</t>
  </si>
  <si>
    <t>Company Geography; Strategy GTM</t>
  </si>
  <si>
    <t>https://www.strategyzer.com/library/the-business-model-canvas</t>
  </si>
  <si>
    <t>APQC PCF</t>
  </si>
  <si>
    <t>Process classification and benchmarking</t>
  </si>
  <si>
    <t>Delivery Ops; Quality Portfolio</t>
  </si>
  <si>
    <t>https://www.apqc.org/process-frameworks</t>
  </si>
  <si>
    <t>Company Geography Assessment</t>
  </si>
  <si>
    <t>Purpose: assess how this domain affects crisis impact, continuity and resilience. Main references: ISO 22301; ISO 31000; ISO 9001; ISO 37000; PESTLE; Business Model Canvas.</t>
  </si>
  <si>
    <t>Horizontal metric relevance weights</t>
  </si>
  <si>
    <t>Subarea spider dashboard source</t>
  </si>
  <si>
    <t>Improved scoring logic</t>
  </si>
  <si>
    <t>Question</t>
  </si>
  <si>
    <t>Crisis relevance / why it matters</t>
  </si>
  <si>
    <t>Standards / frameworks</t>
  </si>
  <si>
    <t>Evidence to request</t>
  </si>
  <si>
    <t>Weight 1-5</t>
  </si>
  <si>
    <t>Score 0-5 or N/A</t>
  </si>
  <si>
    <t>Score 0 criteria</t>
  </si>
  <si>
    <t>Score 1 criteria</t>
  </si>
  <si>
    <t>Score 2 criteria</t>
  </si>
  <si>
    <t>Score 3 criteria</t>
  </si>
  <si>
    <t>Score 4 criteria</t>
  </si>
  <si>
    <t>Score 5 criteria</t>
  </si>
  <si>
    <t>Crisis scenario tags</t>
  </si>
  <si>
    <t>Owner / SME</t>
  </si>
  <si>
    <t>Comments / findings</t>
  </si>
  <si>
    <t>Recommended action</t>
  </si>
  <si>
    <t>Digitalization relevance 0-5</t>
  </si>
  <si>
    <t>Resilience relevance 0-5</t>
  </si>
  <si>
    <t>Process maturity relevance 0-5</t>
  </si>
  <si>
    <t>Subarea</t>
  </si>
  <si>
    <t>Avg score 0-5</t>
  </si>
  <si>
    <t>Critical/High</t>
  </si>
  <si>
    <t>Evidence factor</t>
  </si>
  <si>
    <t>Assessor factor</t>
  </si>
  <si>
    <t>Confidence-adjusted score 0-5</t>
  </si>
  <si>
    <t>Normalized score 0-100</t>
  </si>
  <si>
    <t>Gap to industry target</t>
  </si>
  <si>
    <t>Industry criticality multiplier</t>
  </si>
  <si>
    <t>Industry-adjusted gap priority</t>
  </si>
  <si>
    <t>Improved scoring note</t>
  </si>
  <si>
    <t>v2 conf-adj score</t>
  </si>
  <si>
    <t>v2 conf factor</t>
  </si>
  <si>
    <t>COMP-001</t>
  </si>
  <si>
    <t>How mature is the organization in managing legal entity structure, ownership, subsidiaries and operating countries, including ownership, evidence, metrics, fallback procedures and crisis stress testing?</t>
  </si>
  <si>
    <t>This topic affects exposure to Geopolitical risk; Physical site loss; Regulatory/legal shock. It helps identify how disruption may impact operations, people, revenue, systems, legal exposure or recovery time.</t>
  </si>
  <si>
    <t>ISO 22301; ISO 31000; ISO 9001; ISO 37000; PESTLE; Business Model Canvas</t>
  </si>
  <si>
    <t>Policy/SOP; owner/RACI; system report; dashboard; contracts; test records; incident history; interview evidence related to legal entity structure, ownership, subsidiaries and operating countries.</t>
  </si>
  <si>
    <t>No reliable evidence that legal entity structure, ownership, subsidiaries and operating countries is defined, owned or managed.</t>
  </si>
  <si>
    <t>Legal entity structure, ownership, subsidiaries and operating countries is handled informally and depends on individual knowledge or heroic effort.</t>
  </si>
  <si>
    <t>Legal entity structure, ownership, subsidiaries and operating countries is partially documented or implemented, but coverage is inconsistent and not crisis-tested.</t>
  </si>
  <si>
    <t>Legal entity structure, ownership, subsidiaries and operating countries is documented, owned, used in normal operations and supported by basic evidence or metrics.</t>
  </si>
  <si>
    <t>Legal entity structure, ownership, subsidiaries and operating countries is measured, periodically reviewed, integrated with related processes and tested against relevant disruption scenarios.</t>
  </si>
  <si>
    <t>Legal entity structure, ownership, subsidiaries and operating countries is optimized, continuously improved, automated where practical and demonstrably supports crisis resilience.</t>
  </si>
  <si>
    <t>Geopolitical risk; Physical site loss; Regulatory/legal shock</t>
  </si>
  <si>
    <t>CEO / COO / Risk</t>
  </si>
  <si>
    <t>Assign owner, collect evidence, assess gaps, define mitigation actions, and test legal entity structure, ownership, subsidiaries and operating countries against scenarios: Geopolitical risk; Physical site loss; Regulatory/legal shock.</t>
  </si>
  <si>
    <t>COMP-002</t>
  </si>
  <si>
    <t>How mature is the organization in managing business model, value proposition, revenue streams and cost drivers, including ownership, evidence, metrics, fallback procedures and crisis stress testing?</t>
  </si>
  <si>
    <t>Policy/SOP; owner/RACI; system report; dashboard; contracts; test records; incident history; interview evidence related to business model, value proposition, revenue streams and cost drivers.</t>
  </si>
  <si>
    <t>No reliable evidence that business model, value proposition, revenue streams and cost drivers is defined, owned or managed.</t>
  </si>
  <si>
    <t>Business model, value proposition, revenue streams and cost drivers is handled informally and depends on individual knowledge or heroic effort.</t>
  </si>
  <si>
    <t>Business model, value proposition, revenue streams and cost drivers is partially documented or implemented, but coverage is inconsistent and not crisis-tested.</t>
  </si>
  <si>
    <t>Business model, value proposition, revenue streams and cost drivers is documented, owned, used in normal operations and supported by basic evidence or metrics.</t>
  </si>
  <si>
    <t>Business model, value proposition, revenue streams and cost drivers is measured, periodically reviewed, integrated with related processes and tested against relevant disruption scenarios.</t>
  </si>
  <si>
    <t>Business model, value proposition, revenue streams and cost drivers is optimized, continuously improved, automated where practical and demonstrably supports crisis resilience.</t>
  </si>
  <si>
    <t>Assign owner, collect evidence, assess gaps, define mitigation actions, and test business model, value proposition, revenue streams and cost drivers against scenarios: Geopolitical risk; Physical site loss; Regulatory/legal shock.</t>
  </si>
  <si>
    <t>COMP-003</t>
  </si>
  <si>
    <t>How mature is the organization in managing critical products and services ranked by revenue, margin and continuity priority, including ownership, evidence, metrics, fallback procedures and crisis stress testing?</t>
  </si>
  <si>
    <t>Policy/SOP; owner/RACI; system report; dashboard; contracts; test records; incident history; interview evidence related to critical products and services ranked by revenue, margin and continuity priority.</t>
  </si>
  <si>
    <t>No reliable evidence that critical products and services ranked by revenue, margin and continuity priority is defined, owned or managed.</t>
  </si>
  <si>
    <t>Critical products and services ranked by revenue, margin and continuity priority is handled informally and depends on individual knowledge or heroic effort.</t>
  </si>
  <si>
    <t>Critical products and services ranked by revenue, margin and continuity priority is partially documented or implemented, but coverage is inconsistent and not crisis-tested.</t>
  </si>
  <si>
    <t>Critical products and services ranked by revenue, margin and continuity priority is documented, owned, used in normal operations and supported by basic evidence or metrics.</t>
  </si>
  <si>
    <t>Critical products and services ranked by revenue, margin and continuity priority is measured, periodically reviewed, integrated with related processes and tested against relevant disruption scenarios.</t>
  </si>
  <si>
    <t>Critical products and services ranked by revenue, margin and continuity priority is optimized, continuously improved, automated where practical and demonstrably supports crisis resilience.</t>
  </si>
  <si>
    <t>Assign owner, collect evidence, assess gaps, define mitigation actions, and test critical products and services ranked by revenue, margin and continuity priority against scenarios: Geopolitical risk; Physical site loss; Regulatory/legal shock.</t>
  </si>
  <si>
    <t>COMP-004</t>
  </si>
  <si>
    <t>How mature is the organization in managing operating model: centralized, distributed, outsourced, remote or hybrid, including ownership, evidence, metrics, fallback procedures and crisis stress testing?</t>
  </si>
  <si>
    <t>Policy/SOP; owner/RACI; system report; dashboard; contracts; test records; incident history; interview evidence related to operating model: centralized, distributed, outsourced, remote or hybrid.</t>
  </si>
  <si>
    <t>No reliable evidence that operating model: centralized, distributed, outsourced, remote or hybrid is defined, owned or managed.</t>
  </si>
  <si>
    <t>Operating model: centralized, distributed, outsourced, remote or hybrid is handled informally and depends on individual knowledge or heroic effort.</t>
  </si>
  <si>
    <t>Operating model: centralized, distributed, outsourced, remote or hybrid is partially documented or implemented, but coverage is inconsistent and not crisis-tested.</t>
  </si>
  <si>
    <t>Operating model: centralized, distributed, outsourced, remote or hybrid is documented, owned, used in normal operations and supported by basic evidence or metrics.</t>
  </si>
  <si>
    <t>Operating model: centralized, distributed, outsourced, remote or hybrid is measured, periodically reviewed, integrated with related processes and tested against relevant disruption scenarios.</t>
  </si>
  <si>
    <t>Operating model: centralized, distributed, outsourced, remote or hybrid is optimized, continuously improved, automated where practical and demonstrably supports crisis resilience.</t>
  </si>
  <si>
    <t>Assign owner, collect evidence, assess gaps, define mitigation actions, and test operating model: centralized, distributed, outsourced, remote or hybrid against scenarios: Geopolitical risk; Physical site loss; Regulatory/legal shock.</t>
  </si>
  <si>
    <t>COMP-005</t>
  </si>
  <si>
    <t>How mature is the organization in managing critical assets: people, facilities, systems, data, equipment and intellectual property, including ownership, evidence, metrics, fallback procedures and crisis stress testing?</t>
  </si>
  <si>
    <t>Policy/SOP; owner/RACI; system report; dashboard; contracts; test records; incident history; interview evidence related to critical assets: people, facilities, systems, data, equipment and intellectual property.</t>
  </si>
  <si>
    <t>No reliable evidence that critical assets: people, facilities, systems, data, equipment and intellectual property is defined, owned or managed.</t>
  </si>
  <si>
    <t>Critical assets: people, facilities, systems, data, equipment and intellectual property is handled informally and depends on individual knowledge or heroic effort.</t>
  </si>
  <si>
    <t>Critical assets: people, facilities, systems, data, equipment and intellectual property is partially documented or implemented, but coverage is inconsistent and not crisis-tested.</t>
  </si>
  <si>
    <t>Critical assets: people, facilities, systems, data, equipment and intellectual property is documented, owned, used in normal operations and supported by basic evidence or metrics.</t>
  </si>
  <si>
    <t>Critical assets: people, facilities, systems, data, equipment and intellectual property is measured, periodically reviewed, integrated with related processes and tested against relevant disruption scenarios.</t>
  </si>
  <si>
    <t>Critical assets: people, facilities, systems, data, equipment and intellectual property is optimized, continuously improved, automated where practical and demonstrably supports crisis resilience.</t>
  </si>
  <si>
    <t>Assign owner, collect evidence, assess gaps, define mitigation actions, and test critical assets: people, facilities, systems, data, equipment and intellectual property against scenarios: Geopolitical risk; Physical site loss; Regulatory/legal shock.</t>
  </si>
  <si>
    <t>COMP-006</t>
  </si>
  <si>
    <t>How mature is the organization in managing regulatory exposure by country, market, product and customer type, including ownership, evidence, metrics, fallback procedures and crisis stress testing?</t>
  </si>
  <si>
    <t>Policy/SOP; owner/RACI; system report; dashboard; contracts; test records; incident history; interview evidence related to regulatory exposure by country, market, product and customer type.</t>
  </si>
  <si>
    <t>No reliable evidence that regulatory exposure by country, market, product and customer type is defined, owned or managed.</t>
  </si>
  <si>
    <t>Regulatory exposure by country, market, product and customer type is handled informally and depends on individual knowledge or heroic effort.</t>
  </si>
  <si>
    <t>Regulatory exposure by country, market, product and customer type is partially documented or implemented, but coverage is inconsistent and not crisis-tested.</t>
  </si>
  <si>
    <t>Regulatory exposure by country, market, product and customer type is documented, owned, used in normal operations and supported by basic evidence or metrics.</t>
  </si>
  <si>
    <t>Regulatory exposure by country, market, product and customer type is measured, periodically reviewed, integrated with related processes and tested against relevant disruption scenarios.</t>
  </si>
  <si>
    <t>Regulatory exposure by country, market, product and customer type is optimized, continuously improved, automated where practical and demonstrably supports crisis resilience.</t>
  </si>
  <si>
    <t>Assign owner, collect evidence, assess gaps, define mitigation actions, and test regulatory exposure by country, market, product and customer type against scenarios: Geopolitical risk; Physical site loss; Regulatory/legal shock.</t>
  </si>
  <si>
    <t>COMP-007</t>
  </si>
  <si>
    <t>How mature is the organization in managing insurance coverage for business interruption, cyber, liability, property and key assets, including ownership, evidence, metrics, fallback procedures and crisis stress testing?</t>
  </si>
  <si>
    <t>Policy/SOP; owner/RACI; system report; dashboard; contracts; test records; incident history; interview evidence related to insurance coverage for business interruption, cyber, liability, property and key assets.</t>
  </si>
  <si>
    <t>No reliable evidence that insurance coverage for business interruption, cyber, liability, property and key assets is defined, owned or managed.</t>
  </si>
  <si>
    <t>Insurance coverage for business interruption, cyber, liability, property and key assets is handled informally and depends on individual knowledge or heroic effort.</t>
  </si>
  <si>
    <t>Insurance coverage for business interruption, cyber, liability, property and key assets is partially documented or implemented, but coverage is inconsistent and not crisis-tested.</t>
  </si>
  <si>
    <t>Insurance coverage for business interruption, cyber, liability, property and key assets is documented, owned, used in normal operations and supported by basic evidence or metrics.</t>
  </si>
  <si>
    <t>Insurance coverage for business interruption, cyber, liability, property and key assets is measured, periodically reviewed, integrated with related processes and tested against relevant disruption scenarios.</t>
  </si>
  <si>
    <t>Insurance coverage for business interruption, cyber, liability, property and key assets is optimized, continuously improved, automated where practical and demonstrably supports crisis resilience.</t>
  </si>
  <si>
    <t>Assign owner, collect evidence, assess gaps, define mitigation actions, and test insurance coverage for business interruption, cyber, liability, property and key assets against scenarios: Geopolitical risk; Physical site loss; Regulatory/legal shock.</t>
  </si>
  <si>
    <t>COMP-008</t>
  </si>
  <si>
    <t>How mature is the organization in managing workforce distribution by country, city, function, contract type and criticality, including ownership, evidence, metrics, fallback procedures and crisis stress testing?</t>
  </si>
  <si>
    <t>Policy/SOP; owner/RACI; system report; dashboard; contracts; test records; incident history; interview evidence related to workforce distribution by country, city, function, contract type and criticality.</t>
  </si>
  <si>
    <t>No reliable evidence that workforce distribution by country, city, function, contract type and criticality is defined, owned or managed.</t>
  </si>
  <si>
    <t>Workforce distribution by country, city, function, contract type and criticality is handled informally and depends on individual knowledge or heroic effort.</t>
  </si>
  <si>
    <t>Workforce distribution by country, city, function, contract type and criticality is partially documented or implemented, but coverage is inconsistent and not crisis-tested.</t>
  </si>
  <si>
    <t>Workforce distribution by country, city, function, contract type and criticality is documented, owned, used in normal operations and supported by basic evidence or metrics.</t>
  </si>
  <si>
    <t>Workforce distribution by country, city, function, contract type and criticality is measured, periodically reviewed, integrated with related processes and tested against relevant disruption scenarios.</t>
  </si>
  <si>
    <t>Workforce distribution by country, city, function, contract type and criticality is optimized, continuously improved, automated where practical and demonstrably supports crisis resilience.</t>
  </si>
  <si>
    <t>Assign owner, collect evidence, assess gaps, define mitigation actions, and test workforce distribution by country, city, function, contract type and criticality against scenarios: Geopolitical risk; Physical site loss; Regulatory/legal shock.</t>
  </si>
  <si>
    <t>COMP-009</t>
  </si>
  <si>
    <t>How mature is the organization in managing site distribution across offices, plants, warehouses, stores, labs and data centers, including ownership, evidence, metrics, fallback procedures and crisis stress testing?</t>
  </si>
  <si>
    <t>Policy/SOP; owner/RACI; system report; dashboard; contracts; test records; incident history; interview evidence related to site distribution across offices, plants, warehouses, stores, labs and data centers.</t>
  </si>
  <si>
    <t>No reliable evidence that site distribution across offices, plants, warehouses, stores, labs and data centers is defined, owned or managed.</t>
  </si>
  <si>
    <t>Site distribution across offices, plants, warehouses, stores, labs and data centers is handled informally and depends on individual knowledge or heroic effort.</t>
  </si>
  <si>
    <t>Site distribution across offices, plants, warehouses, stores, labs and data centers is partially documented or implemented, but coverage is inconsistent and not crisis-tested.</t>
  </si>
  <si>
    <t>Site distribution across offices, plants, warehouses, stores, labs and data centers is documented, owned, used in normal operations and supported by basic evidence or metrics.</t>
  </si>
  <si>
    <t>Site distribution across offices, plants, warehouses, stores, labs and data centers is measured, periodically reviewed, integrated with related processes and tested against relevant disruption scenarios.</t>
  </si>
  <si>
    <t>Site distribution across offices, plants, warehouses, stores, labs and data centers is optimized, continuously improved, automated where practical and demonstrably supports crisis resilience.</t>
  </si>
  <si>
    <t>Assign owner, collect evidence, assess gaps, define mitigation actions, and test site distribution across offices, plants, warehouses, stores, labs and data centers against scenarios: Geopolitical risk; Physical site loss; Regulatory/legal shock.</t>
  </si>
  <si>
    <t>COMP-010</t>
  </si>
  <si>
    <t>How mature is the organization in managing revenue distribution by country, currency, customer geography and market exposure, including ownership, evidence, metrics, fallback procedures and crisis stress testing?</t>
  </si>
  <si>
    <t>Policy/SOP; owner/RACI; system report; dashboard; contracts; test records; incident history; interview evidence related to revenue distribution by country, currency, customer geography and market exposure.</t>
  </si>
  <si>
    <t>No reliable evidence that revenue distribution by country, currency, customer geography and market exposure is defined, owned or managed.</t>
  </si>
  <si>
    <t>Revenue distribution by country, currency, customer geography and market exposure is handled informally and depends on individual knowledge or heroic effort.</t>
  </si>
  <si>
    <t>Revenue distribution by country, currency, customer geography and market exposure is partially documented or implemented, but coverage is inconsistent and not crisis-tested.</t>
  </si>
  <si>
    <t>Revenue distribution by country, currency, customer geography and market exposure is documented, owned, used in normal operations and supported by basic evidence or metrics.</t>
  </si>
  <si>
    <t>Revenue distribution by country, currency, customer geography and market exposure is measured, periodically reviewed, integrated with related processes and tested against relevant disruption scenarios.</t>
  </si>
  <si>
    <t>Revenue distribution by country, currency, customer geography and market exposure is optimized, continuously improved, automated where practical and demonstrably supports crisis resilience.</t>
  </si>
  <si>
    <t>Assign owner, collect evidence, assess gaps, define mitigation actions, and test revenue distribution by country, currency, customer geography and market exposure against scenarios: Geopolitical risk; Physical site loss; Regulatory/legal shock.</t>
  </si>
  <si>
    <t>COMP-011</t>
  </si>
  <si>
    <t>How mature is the organization in managing supplier distribution by country, tier, criticality and replacement options, including ownership, evidence, metrics, fallback procedures and crisis stress testing?</t>
  </si>
  <si>
    <t>Policy/SOP; owner/RACI; system report; dashboard; contracts; test records; incident history; interview evidence related to supplier distribution by country, tier, criticality and replacement options.</t>
  </si>
  <si>
    <t>No reliable evidence that supplier distribution by country, tier, criticality and replacement options is defined, owned or managed.</t>
  </si>
  <si>
    <t>Supplier distribution by country, tier, criticality and replacement options is handled informally and depends on individual knowledge or heroic effort.</t>
  </si>
  <si>
    <t>Supplier distribution by country, tier, criticality and replacement options is partially documented or implemented, but coverage is inconsistent and not crisis-tested.</t>
  </si>
  <si>
    <t>Supplier distribution by country, tier, criticality and replacement options is documented, owned, used in normal operations and supported by basic evidence or metrics.</t>
  </si>
  <si>
    <t>Supplier distribution by country, tier, criticality and replacement options is measured, periodically reviewed, integrated with related processes and tested against relevant disruption scenarios.</t>
  </si>
  <si>
    <t>Supplier distribution by country, tier, criticality and replacement options is optimized, continuously improved, automated where practical and demonstrably supports crisis resilience.</t>
  </si>
  <si>
    <t>Assign owner, collect evidence, assess gaps, define mitigation actions, and test supplier distribution by country, tier, criticality and replacement options against scenarios: Geopolitical risk; Physical site loss; Regulatory/legal shock.</t>
  </si>
  <si>
    <t>COMP-012</t>
  </si>
  <si>
    <t>How mature is the organization in managing customer distribution by geography, industry, contract and crisis sensitivity, including ownership, evidence, metrics, fallback procedures and crisis stress testing?</t>
  </si>
  <si>
    <t>Policy/SOP; owner/RACI; system report; dashboard; contracts; test records; incident history; interview evidence related to customer distribution by geography, industry, contract and crisis sensitivity.</t>
  </si>
  <si>
    <t>No reliable evidence that customer distribution by geography, industry, contract and crisis sensitivity is defined, owned or managed.</t>
  </si>
  <si>
    <t>Customer distribution by geography, industry, contract and crisis sensitivity is handled informally and depends on individual knowledge or heroic effort.</t>
  </si>
  <si>
    <t>Customer distribution by geography, industry, contract and crisis sensitivity is partially documented or implemented, but coverage is inconsistent and not crisis-tested.</t>
  </si>
  <si>
    <t>Customer distribution by geography, industry, contract and crisis sensitivity is documented, owned, used in normal operations and supported by basic evidence or metrics.</t>
  </si>
  <si>
    <t>Customer distribution by geography, industry, contract and crisis sensitivity is measured, periodically reviewed, integrated with related processes and tested against relevant disruption scenarios.</t>
  </si>
  <si>
    <t>Customer distribution by geography, industry, contract and crisis sensitivity is optimized, continuously improved, automated where practical and demonstrably supports crisis resilience.</t>
  </si>
  <si>
    <t>Assign owner, collect evidence, assess gaps, define mitigation actions, and test customer distribution by geography, industry, contract and crisis sensitivity against scenarios: Geopolitical risk; Physical site loss; Regulatory/legal shock.</t>
  </si>
  <si>
    <t>COMP-013</t>
  </si>
  <si>
    <t>How mature is the organization in managing country risk monitoring for war, sanctions, political instability, natural disaster and energy risks, including ownership, evidence, metrics, fallback procedures and crisis stress testing?</t>
  </si>
  <si>
    <t>Policy/SOP; owner/RACI; system report; dashboard; contracts; test records; incident history; interview evidence related to country risk monitoring for war, sanctions, political instability, natural disaster and energy risks.</t>
  </si>
  <si>
    <t>No reliable evidence that country risk monitoring for war, sanctions, political instability, natural disaster and energy risks is defined, owned or managed.</t>
  </si>
  <si>
    <t>Country risk monitoring for war, sanctions, political instability, natural disaster and energy risks is handled informally and depends on individual knowledge or heroic effort.</t>
  </si>
  <si>
    <t>Country risk monitoring for war, sanctions, political instability, natural disaster and energy risks is partially documented or implemented, but coverage is inconsistent and not crisis-tested.</t>
  </si>
  <si>
    <t>Country risk monitoring for war, sanctions, political instability, natural disaster and energy risks is documented, owned, used in normal operations and supported by basic evidence or metrics.</t>
  </si>
  <si>
    <t>Country risk monitoring for war, sanctions, political instability, natural disaster and energy risks is measured, periodically reviewed, integrated with related processes and tested against relevant disruption scenarios.</t>
  </si>
  <si>
    <t>Country risk monitoring for war, sanctions, political instability, natural disaster and energy risks is optimized, continuously improved, automated where practical and demonstrably supports crisis resilience.</t>
  </si>
  <si>
    <t>Assign owner, collect evidence, assess gaps, define mitigation actions, and test country risk monitoring for war, sanctions, political instability, natural disaster and energy risks against scenarios: Geopolitical risk; Physical site loss; Regulatory/legal shock.</t>
  </si>
  <si>
    <t>COMP-014</t>
  </si>
  <si>
    <t>How mature is the organization in managing relocation and alternative location options for critical teams and operations, including ownership, evidence, metrics, fallback procedures and crisis stress testing?</t>
  </si>
  <si>
    <t>Policy/SOP; owner/RACI; system report; dashboard; contracts; test records; incident history; interview evidence related to relocation and alternative location options for critical teams and operations.</t>
  </si>
  <si>
    <t>No reliable evidence that relocation and alternative location options for critical teams and operations is defined, owned or managed.</t>
  </si>
  <si>
    <t>Relocation and alternative location options for critical teams and operations is handled informally and depends on individual knowledge or heroic effort.</t>
  </si>
  <si>
    <t>Relocation and alternative location options for critical teams and operations is partially documented or implemented, but coverage is inconsistent and not crisis-tested.</t>
  </si>
  <si>
    <t>Relocation and alternative location options for critical teams and operations is documented, owned, used in normal operations and supported by basic evidence or metrics.</t>
  </si>
  <si>
    <t>Relocation and alternative location options for critical teams and operations is measured, periodically reviewed, integrated with related processes and tested against relevant disruption scenarios.</t>
  </si>
  <si>
    <t>Relocation and alternative location options for critical teams and operations is optimized, continuously improved, automated where practical and demonstrably supports crisis resilience.</t>
  </si>
  <si>
    <t>Assign owner, collect evidence, assess gaps, define mitigation actions, and test relocation and alternative location options for critical teams and operations against scenarios: Geopolitical risk; Physical site loss; Regulatory/legal shock.</t>
  </si>
  <si>
    <t>COMP-015</t>
  </si>
  <si>
    <t>How mature is the organization in managing dependencies between sites, teams, suppliers, customers, systems and critical processes, including ownership, evidence, metrics, fallback procedures and crisis stress testing?</t>
  </si>
  <si>
    <t>Policy/SOP; owner/RACI; system report; dashboard; contracts; test records; incident history; interview evidence related to dependencies between sites, teams, suppliers, customers, systems and critical processes.</t>
  </si>
  <si>
    <t>No reliable evidence that dependencies between sites, teams, suppliers, customers, systems and critical processes is defined, owned or managed.</t>
  </si>
  <si>
    <t>Dependencies between sites, teams, suppliers, customers, systems and critical processes is handled informally and depends on individual knowledge or heroic effort.</t>
  </si>
  <si>
    <t>Dependencies between sites, teams, suppliers, customers, systems and critical processes is partially documented or implemented, but coverage is inconsistent and not crisis-tested.</t>
  </si>
  <si>
    <t>Dependencies between sites, teams, suppliers, customers, systems and critical processes is documented, owned, used in normal operations and supported by basic evidence or metrics.</t>
  </si>
  <si>
    <t>Dependencies between sites, teams, suppliers, customers, systems and critical processes is measured, periodically reviewed, integrated with related processes and tested against relevant disruption scenarios.</t>
  </si>
  <si>
    <t>Dependencies between sites, teams, suppliers, customers, systems and critical processes is optimized, continuously improved, automated where practical and demonstrably supports crisis resilience.</t>
  </si>
  <si>
    <t>Assign owner, collect evidence, assess gaps, define mitigation actions, and test dependencies between sites, teams, suppliers, customers, systems and critical processes against scenarios: Geopolitical risk; Physical site loss; Regulatory/legal shock.</t>
  </si>
  <si>
    <t>COMP-016</t>
  </si>
  <si>
    <t>How mature is the organization in managing single-country, single-site and single-provider concentration risks, including ownership, evidence, metrics, fallback procedures and crisis stress testing?</t>
  </si>
  <si>
    <t>Policy/SOP; owner/RACI; system report; dashboard; contracts; test records; incident history; interview evidence related to single-country, single-site and single-provider concentration risks.</t>
  </si>
  <si>
    <t>No reliable evidence that single-country, single-site and single-provider concentration risks is defined, owned or managed.</t>
  </si>
  <si>
    <t>Single-country, single-site and single-provider concentration risks is handled informally and depends on individual knowledge or heroic effort.</t>
  </si>
  <si>
    <t>Single-country, single-site and single-provider concentration risks is partially documented or implemented, but coverage is inconsistent and not crisis-tested.</t>
  </si>
  <si>
    <t>Single-country, single-site and single-provider concentration risks is documented, owned, used in normal operations and supported by basic evidence or metrics.</t>
  </si>
  <si>
    <t>Single-country, single-site and single-provider concentration risks is measured, periodically reviewed, integrated with related processes and tested against relevant disruption scenarios.</t>
  </si>
  <si>
    <t>Single-country, single-site and single-provider concentration risks is optimized, continuously improved, automated where practical and demonstrably supports crisis resilience.</t>
  </si>
  <si>
    <t>Assign owner, collect evidence, assess gaps, define mitigation actions, and test single-country, single-site and single-provider concentration risks against scenarios: Geopolitical risk; Physical site loss; Regulatory/legal shock.</t>
  </si>
  <si>
    <t>COMP-017</t>
  </si>
  <si>
    <t>How mature is the organization in managing external stakeholder map: owners, banks, regulators, insurers, local authorities and strategic partners, including ownership, evidence, metrics, fallback procedures and crisis stress testing?</t>
  </si>
  <si>
    <t>Policy/SOP; owner/RACI; system report; dashboard; contracts; test records; incident history; interview evidence related to external stakeholder map: owners, banks, regulators, insurers, local authorities and strategic partners.</t>
  </si>
  <si>
    <t>No reliable evidence that external stakeholder map: owners, banks, regulators, insurers, local authorities and strategic partners is defined, owned or managed.</t>
  </si>
  <si>
    <t>External stakeholder map: owners, banks, regulators, insurers, local authorities and strategic partners is handled informally and depends on individual knowledge or heroic effort.</t>
  </si>
  <si>
    <t>External stakeholder map: owners, banks, regulators, insurers, local authorities and strategic partners is partially documented or implemented, but coverage is inconsistent and not crisis-tested.</t>
  </si>
  <si>
    <t>External stakeholder map: owners, banks, regulators, insurers, local authorities and strategic partners is documented, owned, used in normal operations and supported by basic evidence or metrics.</t>
  </si>
  <si>
    <t>External stakeholder map: owners, banks, regulators, insurers, local authorities and strategic partners is measured, periodically reviewed, integrated with related processes and tested against relevant disruption scenarios.</t>
  </si>
  <si>
    <t>External stakeholder map: owners, banks, regulators, insurers, local authorities and strategic partners is optimized, continuously improved, automated where practical and demonstrably supports crisis resilience.</t>
  </si>
  <si>
    <t>Assign owner, collect evidence, assess gaps, define mitigation actions, and test external stakeholder map: owners, banks, regulators, insurers, local authorities and strategic partners against scenarios: Geopolitical risk; Physical site loss; Regulatory/legal shock.</t>
  </si>
  <si>
    <t>COMP-018</t>
  </si>
  <si>
    <t>How mature is the organization in managing data residency and cross-border transfer exposure by system and geography, including ownership, evidence, metrics, fallback procedures and crisis stress testing?</t>
  </si>
  <si>
    <t>Policy/SOP; owner/RACI; system report; dashboard; contracts; test records; incident history; interview evidence related to data residency and cross-border transfer exposure by system and geography.</t>
  </si>
  <si>
    <t>No reliable evidence that data residency and cross-border transfer exposure by system and geography is defined, owned or managed.</t>
  </si>
  <si>
    <t>Data residency and cross-border transfer exposure by system and geography is handled informally and depends on individual knowledge or heroic effort.</t>
  </si>
  <si>
    <t>Data residency and cross-border transfer exposure by system and geography is partially documented or implemented, but coverage is inconsistent and not crisis-tested.</t>
  </si>
  <si>
    <t>Data residency and cross-border transfer exposure by system and geography is documented, owned, used in normal operations and supported by basic evidence or metrics.</t>
  </si>
  <si>
    <t>Data residency and cross-border transfer exposure by system and geography is measured, periodically reviewed, integrated with related processes and tested against relevant disruption scenarios.</t>
  </si>
  <si>
    <t>Data residency and cross-border transfer exposure by system and geography is optimized, continuously improved, automated where practical and demonstrably supports crisis resilience.</t>
  </si>
  <si>
    <t>Assign owner, collect evidence, assess gaps, define mitigation actions, and test data residency and cross-border transfer exposure by system and geography against scenarios: Geopolitical risk; Physical site loss; Regulatory/legal shock.</t>
  </si>
  <si>
    <t>COMP-019</t>
  </si>
  <si>
    <t>How mature is the organization in managing acceptable downtime thresholds by geography, function, customer and process, including ownership, evidence, metrics, fallback procedures and crisis stress testing?</t>
  </si>
  <si>
    <t>Policy/SOP; owner/RACI; system report; dashboard; contracts; test records; incident history; interview evidence related to acceptable downtime thresholds by geography, function, customer and process.</t>
  </si>
  <si>
    <t>No reliable evidence that acceptable downtime thresholds by geography, function, customer and process is defined, owned or managed.</t>
  </si>
  <si>
    <t>Acceptable downtime thresholds by geography, function, customer and process is handled informally and depends on individual knowledge or heroic effort.</t>
  </si>
  <si>
    <t>Acceptable downtime thresholds by geography, function, customer and process is partially documented or implemented, but coverage is inconsistent and not crisis-tested.</t>
  </si>
  <si>
    <t>Acceptable downtime thresholds by geography, function, customer and process is documented, owned, used in normal operations and supported by basic evidence or metrics.</t>
  </si>
  <si>
    <t>Acceptable downtime thresholds by geography, function, customer and process is measured, periodically reviewed, integrated with related processes and tested against relevant disruption scenarios.</t>
  </si>
  <si>
    <t>Acceptable downtime thresholds by geography, function, customer and process is optimized, continuously improved, automated where practical and demonstrably supports crisis resilience.</t>
  </si>
  <si>
    <t>Assign owner, collect evidence, assess gaps, define mitigation actions, and test acceptable downtime thresholds by geography, function, customer and process against scenarios: Geopolitical risk; Physical site loss; Regulatory/legal shock.</t>
  </si>
  <si>
    <t>COMP-020</t>
  </si>
  <si>
    <t>How mature is the organization in managing crisis exposure profile for each major business line and operating geography, including ownership, evidence, metrics, fallback procedures and crisis stress testing?</t>
  </si>
  <si>
    <t>Policy/SOP; owner/RACI; system report; dashboard; contracts; test records; incident history; interview evidence related to crisis exposure profile for each major business line and operating geography.</t>
  </si>
  <si>
    <t>No reliable evidence that crisis exposure profile for each major business line and operating geography is defined, owned or managed.</t>
  </si>
  <si>
    <t>Crisis exposure profile for each major business line and operating geography is handled informally and depends on individual knowledge or heroic effort.</t>
  </si>
  <si>
    <t>Crisis exposure profile for each major business line and operating geography is partially documented or implemented, but coverage is inconsistent and not crisis-tested.</t>
  </si>
  <si>
    <t>Crisis exposure profile for each major business line and operating geography is documented, owned, used in normal operations and supported by basic evidence or metrics.</t>
  </si>
  <si>
    <t>Crisis exposure profile for each major business line and operating geography is measured, periodically reviewed, integrated with related processes and tested against relevant disruption scenarios.</t>
  </si>
  <si>
    <t>Crisis exposure profile for each major business line and operating geography is optimized, continuously improved, automated where practical and demonstrably supports crisis resilience.</t>
  </si>
  <si>
    <t>Assign owner, collect evidence, assess gaps, define mitigation actions, and test crisis exposure profile for each major business line and operating geography against scenarios: Geopolitical risk; Physical site loss; Regulatory/legal shock.</t>
  </si>
  <si>
    <t>Strategy GTM Assessment</t>
  </si>
  <si>
    <t>Purpose: assess how this domain affects crisis impact, continuity and resilience. Main references: ISO 9001; ISO 31000; ISO 37000; McKinsey 7S; OHI; Bain Elements of Value; Jobs-to-be-Done; Porter Five Forces; OKR.</t>
  </si>
  <si>
    <t>STRA-001</t>
  </si>
  <si>
    <t>How mature is the organization in managing documented strategy translated into objectives, KPIs, budgets and accountable owners, including ownership, evidence, metrics, fallback procedures and crisis stress testing?</t>
  </si>
  <si>
    <t>This topic affects exposure to Demand shock; Financial liquidity crisis; Reputation crisis. It helps identify how disruption may impact operations, people, revenue, systems, legal exposure or recovery time.</t>
  </si>
  <si>
    <t>ISO 9001; ISO 31000; ISO 37000; McKinsey 7S; OHI; Bain Elements of Value; Jobs-to-be-Done; Porter Five Forces; OKR</t>
  </si>
  <si>
    <t>Policy/SOP; owner/RACI; system report; dashboard; contracts; test records; incident history; interview evidence related to documented strategy translated into objectives, KPIs, budgets and accountable owners.</t>
  </si>
  <si>
    <t>No reliable evidence that documented strategy translated into objectives, kpis, budgets and accountable owners is defined, owned or managed.</t>
  </si>
  <si>
    <t>Documented strategy translated into objectives, KPIs, budgets and accountable owners is handled informally and depends on individual knowledge or heroic effort.</t>
  </si>
  <si>
    <t>Documented strategy translated into objectives, KPIs, budgets and accountable owners is partially documented or implemented, but coverage is inconsistent and not crisis-tested.</t>
  </si>
  <si>
    <t>Documented strategy translated into objectives, KPIs, budgets and accountable owners is documented, owned, used in normal operations and supported by basic evidence or metrics.</t>
  </si>
  <si>
    <t>Documented strategy translated into objectives, KPIs, budgets and accountable owners is measured, periodically reviewed, integrated with related processes and tested against relevant disruption scenarios.</t>
  </si>
  <si>
    <t>Documented strategy translated into objectives, KPIs, budgets and accountable owners is optimized, continuously improved, automated where practical and demonstrably supports crisis resilience.</t>
  </si>
  <si>
    <t>Demand shock; Financial liquidity crisis; Reputation crisis</t>
  </si>
  <si>
    <t>CEO / CSO / CCO</t>
  </si>
  <si>
    <t>Assign owner, collect evidence, assess gaps, define mitigation actions, and test documented strategy translated into objectives, KPIs, budgets and accountable owners against scenarios: Demand shock; Financial liquidity crisis; Reputation crisis.</t>
  </si>
  <si>
    <t>STRA-002</t>
  </si>
  <si>
    <t>How mature is the organization in managing explicit strategic assumptions and periodic challenge of those assumptions, including ownership, evidence, metrics, fallback procedures and crisis stress testing?</t>
  </si>
  <si>
    <t>Policy/SOP; owner/RACI; system report; dashboard; contracts; test records; incident history; interview evidence related to explicit strategic assumptions and periodic challenge of those assumptions.</t>
  </si>
  <si>
    <t>No reliable evidence that explicit strategic assumptions and periodic challenge of those assumptions is defined, owned or managed.</t>
  </si>
  <si>
    <t>Explicit strategic assumptions and periodic challenge of those assumptions is handled informally and depends on individual knowledge or heroic effort.</t>
  </si>
  <si>
    <t>Explicit strategic assumptions and periodic challenge of those assumptions is partially documented or implemented, but coverage is inconsistent and not crisis-tested.</t>
  </si>
  <si>
    <t>Explicit strategic assumptions and periodic challenge of those assumptions is documented, owned, used in normal operations and supported by basic evidence or metrics.</t>
  </si>
  <si>
    <t>Explicit strategic assumptions and periodic challenge of those assumptions is measured, periodically reviewed, integrated with related processes and tested against relevant disruption scenarios.</t>
  </si>
  <si>
    <t>Explicit strategic assumptions and periodic challenge of those assumptions is optimized, continuously improved, automated where practical and demonstrably supports crisis resilience.</t>
  </si>
  <si>
    <t>Assign owner, collect evidence, assess gaps, define mitigation actions, and test explicit strategic assumptions and periodic challenge of those assumptions against scenarios: Demand shock; Financial liquidity crisis; Reputation crisis.</t>
  </si>
  <si>
    <t>STRA-003</t>
  </si>
  <si>
    <t>How mature is the organization in managing crisis-resilient strategy including adaptation, continuity, digital enablement and recovery options, including ownership, evidence, metrics, fallback procedures and crisis stress testing?</t>
  </si>
  <si>
    <t>Policy/SOP; owner/RACI; system report; dashboard; contracts; test records; incident history; interview evidence related to crisis-resilient strategy including adaptation, continuity, digital enablement and recovery options.</t>
  </si>
  <si>
    <t>No reliable evidence that crisis-resilient strategy including adaptation, continuity, digital enablement and recovery options is defined, owned or managed.</t>
  </si>
  <si>
    <t>Crisis-resilient strategy including adaptation, continuity, digital enablement and recovery options is handled informally and depends on individual knowledge or heroic effort.</t>
  </si>
  <si>
    <t>Crisis-resilient strategy including adaptation, continuity, digital enablement and recovery options is partially documented or implemented, but coverage is inconsistent and not crisis-tested.</t>
  </si>
  <si>
    <t>Crisis-resilient strategy including adaptation, continuity, digital enablement and recovery options is documented, owned, used in normal operations and supported by basic evidence or metrics.</t>
  </si>
  <si>
    <t>Crisis-resilient strategy including adaptation, continuity, digital enablement and recovery options is measured, periodically reviewed, integrated with related processes and tested against relevant disruption scenarios.</t>
  </si>
  <si>
    <t>Crisis-resilient strategy including adaptation, continuity, digital enablement and recovery options is optimized, continuously improved, automated where practical and demonstrably supports crisis resilience.</t>
  </si>
  <si>
    <t>Assign owner, collect evidence, assess gaps, define mitigation actions, and test crisis-resilient strategy including adaptation, continuity, digital enablement and recovery options against scenarios: Demand shock; Financial liquidity crisis; Reputation crisis.</t>
  </si>
  <si>
    <t>STRA-004</t>
  </si>
  <si>
    <t>How mature is the organization in managing strategic priorities ranked by business value, urgency, risk and resource constraints, including ownership, evidence, metrics, fallback procedures and crisis stress testing?</t>
  </si>
  <si>
    <t>Policy/SOP; owner/RACI; system report; dashboard; contracts; test records; incident history; interview evidence related to strategic priorities ranked by business value, urgency, risk and resource constraints.</t>
  </si>
  <si>
    <t>No reliable evidence that strategic priorities ranked by business value, urgency, risk and resource constraints is defined, owned or managed.</t>
  </si>
  <si>
    <t>Strategic priorities ranked by business value, urgency, risk and resource constraints is handled informally and depends on individual knowledge or heroic effort.</t>
  </si>
  <si>
    <t>Strategic priorities ranked by business value, urgency, risk and resource constraints is partially documented or implemented, but coverage is inconsistent and not crisis-tested.</t>
  </si>
  <si>
    <t>Strategic priorities ranked by business value, urgency, risk and resource constraints is documented, owned, used in normal operations and supported by basic evidence or metrics.</t>
  </si>
  <si>
    <t>Strategic priorities ranked by business value, urgency, risk and resource constraints is measured, periodically reviewed, integrated with related processes and tested against relevant disruption scenarios.</t>
  </si>
  <si>
    <t>Strategic priorities ranked by business value, urgency, risk and resource constraints is optimized, continuously improved, automated where practical and demonstrably supports crisis resilience.</t>
  </si>
  <si>
    <t>Assign owner, collect evidence, assess gaps, define mitigation actions, and test strategic priorities ranked by business value, urgency, risk and resource constraints against scenarios: Demand shock; Financial liquidity crisis; Reputation crisis.</t>
  </si>
  <si>
    <t>STRA-005</t>
  </si>
  <si>
    <t>How mature is the organization in managing strategic options for pivoting under demand shock, war, regulation, supply or liquidity crisis, including ownership, evidence, metrics, fallback procedures and crisis stress testing?</t>
  </si>
  <si>
    <t>Policy/SOP; owner/RACI; system report; dashboard; contracts; test records; incident history; interview evidence related to strategic options for pivoting under demand shock, war, regulation, supply or liquidity crisis.</t>
  </si>
  <si>
    <t>No reliable evidence that strategic options for pivoting under demand shock, war, regulation, supply or liquidity crisis is defined, owned or managed.</t>
  </si>
  <si>
    <t>Strategic options for pivoting under demand shock, war, regulation, supply or liquidity crisis is handled informally and depends on individual knowledge or heroic effort.</t>
  </si>
  <si>
    <t>Strategic options for pivoting under demand shock, war, regulation, supply or liquidity crisis is partially documented or implemented, but coverage is inconsistent and not crisis-tested.</t>
  </si>
  <si>
    <t>Strategic options for pivoting under demand shock, war, regulation, supply or liquidity crisis is documented, owned, used in normal operations and supported by basic evidence or metrics.</t>
  </si>
  <si>
    <t>Strategic options for pivoting under demand shock, war, regulation, supply or liquidity crisis is measured, periodically reviewed, integrated with related processes and tested against relevant disruption scenarios.</t>
  </si>
  <si>
    <t>Strategic options for pivoting under demand shock, war, regulation, supply or liquidity crisis is optimized, continuously improved, automated where practical and demonstrably supports crisis resilience.</t>
  </si>
  <si>
    <t>Assign owner, collect evidence, assess gaps, define mitigation actions, and test strategic options for pivoting under demand shock, war, regulation, supply or liquidity crisis against scenarios: Demand shock; Financial liquidity crisis; Reputation crisis.</t>
  </si>
  <si>
    <t>STRA-006</t>
  </si>
  <si>
    <t>How mature is the organization in managing alignment between strategy, structure, systems, skills, staff, leadership style and culture, including ownership, evidence, metrics, fallback procedures and crisis stress testing?</t>
  </si>
  <si>
    <t>Policy/SOP; owner/RACI; system report; dashboard; contracts; test records; incident history; interview evidence related to alignment between strategy, structure, systems, skills, staff, leadership style and culture.</t>
  </si>
  <si>
    <t>No reliable evidence that alignment between strategy, structure, systems, skills, staff, leadership style and culture is defined, owned or managed.</t>
  </si>
  <si>
    <t>Alignment between strategy, structure, systems, skills, staff, leadership style and culture is handled informally and depends on individual knowledge or heroic effort.</t>
  </si>
  <si>
    <t>Alignment between strategy, structure, systems, skills, staff, leadership style and culture is partially documented or implemented, but coverage is inconsistent and not crisis-tested.</t>
  </si>
  <si>
    <t>Alignment between strategy, structure, systems, skills, staff, leadership style and culture is documented, owned, used in normal operations and supported by basic evidence or metrics.</t>
  </si>
  <si>
    <t>Alignment between strategy, structure, systems, skills, staff, leadership style and culture is measured, periodically reviewed, integrated with related processes and tested against relevant disruption scenarios.</t>
  </si>
  <si>
    <t>Alignment between strategy, structure, systems, skills, staff, leadership style and culture is optimized, continuously improved, automated where practical and demonstrably supports crisis resilience.</t>
  </si>
  <si>
    <t>Assign owner, collect evidence, assess gaps, define mitigation actions, and test alignment between strategy, structure, systems, skills, staff, leadership style and culture against scenarios: Demand shock; Financial liquidity crisis; Reputation crisis.</t>
  </si>
  <si>
    <t>STRA-007</t>
  </si>
  <si>
    <t>How mature is the organization in managing ideal customer profile by segment, geography, industry, company size, pain, budget and buying trigger, including ownership, evidence, metrics, fallback procedures and crisis stress testing?</t>
  </si>
  <si>
    <t>Policy/SOP; owner/RACI; system report; dashboard; contracts; test records; incident history; interview evidence related to ideal customer profile by segment, geography, industry, company size, pain, budget and buying trigger.</t>
  </si>
  <si>
    <t>No reliable evidence that ideal customer profile by segment, geography, industry, company size, pain, budget and buying trigger is defined, owned or managed.</t>
  </si>
  <si>
    <t>Ideal customer profile by segment, geography, industry, company size, pain, budget and buying trigger is handled informally and depends on individual knowledge or heroic effort.</t>
  </si>
  <si>
    <t>Ideal customer profile by segment, geography, industry, company size, pain, budget and buying trigger is partially documented or implemented, but coverage is inconsistent and not crisis-tested.</t>
  </si>
  <si>
    <t>Ideal customer profile by segment, geography, industry, company size, pain, budget and buying trigger is documented, owned, used in normal operations and supported by basic evidence or metrics.</t>
  </si>
  <si>
    <t>Ideal customer profile by segment, geography, industry, company size, pain, budget and buying trigger is measured, periodically reviewed, integrated with related processes and tested against relevant disruption scenarios.</t>
  </si>
  <si>
    <t>Ideal customer profile by segment, geography, industry, company size, pain, budget and buying trigger is optimized, continuously improved, automated where practical and demonstrably supports crisis resilience.</t>
  </si>
  <si>
    <t>Assign owner, collect evidence, assess gaps, define mitigation actions, and test ideal customer profile by segment, geography, industry, company size, pain, budget and buying trigger against scenarios: Demand shock; Financial liquidity crisis; Reputation crisis.</t>
  </si>
  <si>
    <t>STRA-008</t>
  </si>
  <si>
    <t>How mature is the organization in managing buyer personas covering economic buyer, technical buyer, user, influencer and blocker, including ownership, evidence, metrics, fallback procedures and crisis stress testing?</t>
  </si>
  <si>
    <t>Policy/SOP; owner/RACI; system report; dashboard; contracts; test records; incident history; interview evidence related to buyer personas covering economic buyer, technical buyer, user, influencer and blocker.</t>
  </si>
  <si>
    <t>No reliable evidence that buyer personas covering economic buyer, technical buyer, user, influencer and blocker is defined, owned or managed.</t>
  </si>
  <si>
    <t>Buyer personas covering economic buyer, technical buyer, user, influencer and blocker is handled informally and depends on individual knowledge or heroic effort.</t>
  </si>
  <si>
    <t>Buyer personas covering economic buyer, technical buyer, user, influencer and blocker is partially documented or implemented, but coverage is inconsistent and not crisis-tested.</t>
  </si>
  <si>
    <t>Buyer personas covering economic buyer, technical buyer, user, influencer and blocker is documented, owned, used in normal operations and supported by basic evidence or metrics.</t>
  </si>
  <si>
    <t>Buyer personas covering economic buyer, technical buyer, user, influencer and blocker is measured, periodically reviewed, integrated with related processes and tested against relevant disruption scenarios.</t>
  </si>
  <si>
    <t>Buyer personas covering economic buyer, technical buyer, user, influencer and blocker is optimized, continuously improved, automated where practical and demonstrably supports crisis resilience.</t>
  </si>
  <si>
    <t>Assign owner, collect evidence, assess gaps, define mitigation actions, and test buyer personas covering economic buyer, technical buyer, user, influencer and blocker against scenarios: Demand shock; Financial liquidity crisis; Reputation crisis.</t>
  </si>
  <si>
    <t>STRA-009</t>
  </si>
  <si>
    <t>How mature is the organization in managing validated customer problems, jobs-to-be-done, urgency triggers and willingness to pay, including ownership, evidence, metrics, fallback procedures and crisis stress testing?</t>
  </si>
  <si>
    <t>Policy/SOP; owner/RACI; system report; dashboard; contracts; test records; incident history; interview evidence related to validated customer problems, jobs-to-be-done, urgency triggers and willingness to pay.</t>
  </si>
  <si>
    <t>No reliable evidence that validated customer problems, jobs-to-be-done, urgency triggers and willingness to pay is defined, owned or managed.</t>
  </si>
  <si>
    <t>Validated customer problems, jobs-to-be-done, urgency triggers and willingness to pay is handled informally and depends on individual knowledge or heroic effort.</t>
  </si>
  <si>
    <t>Validated customer problems, jobs-to-be-done, urgency triggers and willingness to pay is partially documented or implemented, but coverage is inconsistent and not crisis-tested.</t>
  </si>
  <si>
    <t>Validated customer problems, jobs-to-be-done, urgency triggers and willingness to pay is documented, owned, used in normal operations and supported by basic evidence or metrics.</t>
  </si>
  <si>
    <t>Validated customer problems, jobs-to-be-done, urgency triggers and willingness to pay is measured, periodically reviewed, integrated with related processes and tested against relevant disruption scenarios.</t>
  </si>
  <si>
    <t>Validated customer problems, jobs-to-be-done, urgency triggers and willingness to pay is optimized, continuously improved, automated where practical and demonstrably supports crisis resilience.</t>
  </si>
  <si>
    <t>Assign owner, collect evidence, assess gaps, define mitigation actions, and test validated customer problems, jobs-to-be-done, urgency triggers and willingness to pay against scenarios: Demand shock; Financial liquidity crisis; Reputation crisis.</t>
  </si>
  <si>
    <t>STRA-010</t>
  </si>
  <si>
    <t>How mature is the organization in managing market segmentation by attractiveness, accessibility, profitability and crisis sensitivity, including ownership, evidence, metrics, fallback procedures and crisis stress testing?</t>
  </si>
  <si>
    <t>Policy/SOP; owner/RACI; system report; dashboard; contracts; test records; incident history; interview evidence related to market segmentation by attractiveness, accessibility, profitability and crisis sensitivity.</t>
  </si>
  <si>
    <t>No reliable evidence that market segmentation by attractiveness, accessibility, profitability and crisis sensitivity is defined, owned or managed.</t>
  </si>
  <si>
    <t>Market segmentation by attractiveness, accessibility, profitability and crisis sensitivity is handled informally and depends on individual knowledge or heroic effort.</t>
  </si>
  <si>
    <t>Market segmentation by attractiveness, accessibility, profitability and crisis sensitivity is partially documented or implemented, but coverage is inconsistent and not crisis-tested.</t>
  </si>
  <si>
    <t>Market segmentation by attractiveness, accessibility, profitability and crisis sensitivity is documented, owned, used in normal operations and supported by basic evidence or metrics.</t>
  </si>
  <si>
    <t>Market segmentation by attractiveness, accessibility, profitability and crisis sensitivity is measured, periodically reviewed, integrated with related processes and tested against relevant disruption scenarios.</t>
  </si>
  <si>
    <t>Market segmentation by attractiveness, accessibility, profitability and crisis sensitivity is optimized, continuously improved, automated where practical and demonstrably supports crisis resilience.</t>
  </si>
  <si>
    <t>Assign owner, collect evidence, assess gaps, define mitigation actions, and test market segmentation by attractiveness, accessibility, profitability and crisis sensitivity against scenarios: Demand shock; Financial liquidity crisis; Reputation crisis.</t>
  </si>
  <si>
    <t>STRA-011</t>
  </si>
  <si>
    <t>How mature is the organization in managing market size and growth assumptions with explicit evidence and uncertainty level, including ownership, evidence, metrics, fallback procedures and crisis stress testing?</t>
  </si>
  <si>
    <t>Policy/SOP; owner/RACI; system report; dashboard; contracts; test records; incident history; interview evidence related to market size and growth assumptions with explicit evidence and uncertainty level.</t>
  </si>
  <si>
    <t>No reliable evidence that market size and growth assumptions with explicit evidence and uncertainty level is defined, owned or managed.</t>
  </si>
  <si>
    <t>Market size and growth assumptions with explicit evidence and uncertainty level is handled informally and depends on individual knowledge or heroic effort.</t>
  </si>
  <si>
    <t>Market size and growth assumptions with explicit evidence and uncertainty level is partially documented or implemented, but coverage is inconsistent and not crisis-tested.</t>
  </si>
  <si>
    <t>Market size and growth assumptions with explicit evidence and uncertainty level is documented, owned, used in normal operations and supported by basic evidence or metrics.</t>
  </si>
  <si>
    <t>Market size and growth assumptions with explicit evidence and uncertainty level is measured, periodically reviewed, integrated with related processes and tested against relevant disruption scenarios.</t>
  </si>
  <si>
    <t>Market size and growth assumptions with explicit evidence and uncertainty level is optimized, continuously improved, automated where practical and demonstrably supports crisis resilience.</t>
  </si>
  <si>
    <t>Assign owner, collect evidence, assess gaps, define mitigation actions, and test market size and growth assumptions with explicit evidence and uncertainty level against scenarios: Demand shock; Financial liquidity crisis; Reputation crisis.</t>
  </si>
  <si>
    <t>STRA-012</t>
  </si>
  <si>
    <t>How mature is the organization in managing customer concentration and exposure to specific industries, geographies or budget cycles, including ownership, evidence, metrics, fallback procedures and crisis stress testing?</t>
  </si>
  <si>
    <t>Policy/SOP; owner/RACI; system report; dashboard; contracts; test records; incident history; interview evidence related to customer concentration and exposure to specific industries, geographies or budget cycles.</t>
  </si>
  <si>
    <t>No reliable evidence that customer concentration and exposure to specific industries, geographies or budget cycles is defined, owned or managed.</t>
  </si>
  <si>
    <t>Customer concentration and exposure to specific industries, geographies or budget cycles is handled informally and depends on individual knowledge or heroic effort.</t>
  </si>
  <si>
    <t>Customer concentration and exposure to specific industries, geographies or budget cycles is partially documented or implemented, but coverage is inconsistent and not crisis-tested.</t>
  </si>
  <si>
    <t>Customer concentration and exposure to specific industries, geographies or budget cycles is documented, owned, used in normal operations and supported by basic evidence or metrics.</t>
  </si>
  <si>
    <t>Customer concentration and exposure to specific industries, geographies or budget cycles is measured, periodically reviewed, integrated with related processes and tested against relevant disruption scenarios.</t>
  </si>
  <si>
    <t>Customer concentration and exposure to specific industries, geographies or budget cycles is optimized, continuously improved, automated where practical and demonstrably supports crisis resilience.</t>
  </si>
  <si>
    <t>Assign owner, collect evidence, assess gaps, define mitigation actions, and test customer concentration and exposure to specific industries, geographies or budget cycles against scenarios: Demand shock; Financial liquidity crisis; Reputation crisis.</t>
  </si>
  <si>
    <t>STRA-013</t>
  </si>
  <si>
    <t>How mature is the organization in managing structured offering catalog with packages, scope, outcomes, assumptions and delivery requirements, including ownership, evidence, metrics, fallback procedures and crisis stress testing?</t>
  </si>
  <si>
    <t>Policy/SOP; owner/RACI; system report; dashboard; contracts; test records; incident history; interview evidence related to structured offering catalog with packages, scope, outcomes, assumptions and delivery requirements.</t>
  </si>
  <si>
    <t>No reliable evidence that structured offering catalog with packages, scope, outcomes, assumptions and delivery requirements is defined, owned or managed.</t>
  </si>
  <si>
    <t>Structured offering catalog with packages, scope, outcomes, assumptions and delivery requirements is handled informally and depends on individual knowledge or heroic effort.</t>
  </si>
  <si>
    <t>Structured offering catalog with packages, scope, outcomes, assumptions and delivery requirements is partially documented or implemented, but coverage is inconsistent and not crisis-tested.</t>
  </si>
  <si>
    <t>Structured offering catalog with packages, scope, outcomes, assumptions and delivery requirements is documented, owned, used in normal operations and supported by basic evidence or metrics.</t>
  </si>
  <si>
    <t>Structured offering catalog with packages, scope, outcomes, assumptions and delivery requirements is measured, periodically reviewed, integrated with related processes and tested against relevant disruption scenarios.</t>
  </si>
  <si>
    <t>Structured offering catalog with packages, scope, outcomes, assumptions and delivery requirements is optimized, continuously improved, automated where practical and demonstrably supports crisis resilience.</t>
  </si>
  <si>
    <t>Assign owner, collect evidence, assess gaps, define mitigation actions, and test structured offering catalog with packages, scope, outcomes, assumptions and delivery requirements against scenarios: Demand shock; Financial liquidity crisis; Reputation crisis.</t>
  </si>
  <si>
    <t>STRA-014</t>
  </si>
  <si>
    <t>How mature is the organization in managing clear differentiation against direct competitors, substitutes and in-house alternatives, including ownership, evidence, metrics, fallback procedures and crisis stress testing?</t>
  </si>
  <si>
    <t>Policy/SOP; owner/RACI; system report; dashboard; contracts; test records; incident history; interview evidence related to clear differentiation against direct competitors, substitutes and in-house alternatives.</t>
  </si>
  <si>
    <t>No reliable evidence that clear differentiation against direct competitors, substitutes and in-house alternatives is defined, owned or managed.</t>
  </si>
  <si>
    <t>Clear differentiation against direct competitors, substitutes and in-house alternatives is handled informally and depends on individual knowledge or heroic effort.</t>
  </si>
  <si>
    <t>Clear differentiation against direct competitors, substitutes and in-house alternatives is partially documented or implemented, but coverage is inconsistent and not crisis-tested.</t>
  </si>
  <si>
    <t>Clear differentiation against direct competitors, substitutes and in-house alternatives is documented, owned, used in normal operations and supported by basic evidence or metrics.</t>
  </si>
  <si>
    <t>Clear differentiation against direct competitors, substitutes and in-house alternatives is measured, periodically reviewed, integrated with related processes and tested against relevant disruption scenarios.</t>
  </si>
  <si>
    <t>Clear differentiation against direct competitors, substitutes and in-house alternatives is optimized, continuously improved, automated where practical and demonstrably supports crisis resilience.</t>
  </si>
  <si>
    <t>Assign owner, collect evidence, assess gaps, define mitigation actions, and test clear differentiation against direct competitors, substitutes and in-house alternatives against scenarios: Demand shock; Financial liquidity crisis; Reputation crisis.</t>
  </si>
  <si>
    <t>STRA-015</t>
  </si>
  <si>
    <t>How mature is the organization in managing value proposition linked to measurable customer economic value, risk reduction or continuity impact, including ownership, evidence, metrics, fallback procedures and crisis stress testing?</t>
  </si>
  <si>
    <t>Policy/SOP; owner/RACI; system report; dashboard; contracts; test records; incident history; interview evidence related to value proposition linked to measurable customer economic value, risk reduction or continuity impact.</t>
  </si>
  <si>
    <t>No reliable evidence that value proposition linked to measurable customer economic value, risk reduction or continuity impact is defined, owned or managed.</t>
  </si>
  <si>
    <t>Value proposition linked to measurable customer economic value, risk reduction or continuity impact is handled informally and depends on individual knowledge or heroic effort.</t>
  </si>
  <si>
    <t>Value proposition linked to measurable customer economic value, risk reduction or continuity impact is partially documented or implemented, but coverage is inconsistent and not crisis-tested.</t>
  </si>
  <si>
    <t>Value proposition linked to measurable customer economic value, risk reduction or continuity impact is documented, owned, used in normal operations and supported by basic evidence or metrics.</t>
  </si>
  <si>
    <t>Value proposition linked to measurable customer economic value, risk reduction or continuity impact is measured, periodically reviewed, integrated with related processes and tested against relevant disruption scenarios.</t>
  </si>
  <si>
    <t>Value proposition linked to measurable customer economic value, risk reduction or continuity impact is optimized, continuously improved, automated where practical and demonstrably supports crisis resilience.</t>
  </si>
  <si>
    <t>Assign owner, collect evidence, assess gaps, define mitigation actions, and test value proposition linked to measurable customer economic value, risk reduction or continuity impact against scenarios: Demand shock; Financial liquidity crisis; Reputation crisis.</t>
  </si>
  <si>
    <t>STRA-016</t>
  </si>
  <si>
    <t>How mature is the organization in managing pricing strategy with margin thresholds, discount governance and crisis boundaries, including ownership, evidence, metrics, fallback procedures and crisis stress testing?</t>
  </si>
  <si>
    <t>Policy/SOP; owner/RACI; system report; dashboard; contracts; test records; incident history; interview evidence related to pricing strategy with margin thresholds, discount governance and crisis boundaries.</t>
  </si>
  <si>
    <t>No reliable evidence that pricing strategy with margin thresholds, discount governance and crisis boundaries is defined, owned or managed.</t>
  </si>
  <si>
    <t>Pricing strategy with margin thresholds, discount governance and crisis boundaries is handled informally and depends on individual knowledge or heroic effort.</t>
  </si>
  <si>
    <t>Pricing strategy with margin thresholds, discount governance and crisis boundaries is partially documented or implemented, but coverage is inconsistent and not crisis-tested.</t>
  </si>
  <si>
    <t>Pricing strategy with margin thresholds, discount governance and crisis boundaries is documented, owned, used in normal operations and supported by basic evidence or metrics.</t>
  </si>
  <si>
    <t>Pricing strategy with margin thresholds, discount governance and crisis boundaries is measured, periodically reviewed, integrated with related processes and tested against relevant disruption scenarios.</t>
  </si>
  <si>
    <t>Pricing strategy with margin thresholds, discount governance and crisis boundaries is optimized, continuously improved, automated where practical and demonstrably supports crisis resilience.</t>
  </si>
  <si>
    <t>Assign owner, collect evidence, assess gaps, define mitigation actions, and test pricing strategy with margin thresholds, discount governance and crisis boundaries against scenarios: Demand shock; Financial liquidity crisis; Reputation crisis.</t>
  </si>
  <si>
    <t>STRA-017</t>
  </si>
  <si>
    <t>How mature is the organization in managing proof assets such as case studies, references, certifications, security evidence and continuity commitments, including ownership, evidence, metrics, fallback procedures and crisis stress testing?</t>
  </si>
  <si>
    <t>Policy/SOP; owner/RACI; system report; dashboard; contracts; test records; incident history; interview evidence related to proof assets such as case studies, references, certifications, security evidence and continuity commitments.</t>
  </si>
  <si>
    <t>No reliable evidence that proof assets such as case studies, references, certifications, security evidence and continuity commitments is defined, owned or managed.</t>
  </si>
  <si>
    <t>Proof assets such as case studies, references, certifications, security evidence and continuity commitments is handled informally and depends on individual knowledge or heroic effort.</t>
  </si>
  <si>
    <t>Proof assets such as case studies, references, certifications, security evidence and continuity commitments is partially documented or implemented, but coverage is inconsistent and not crisis-tested.</t>
  </si>
  <si>
    <t>Proof assets such as case studies, references, certifications, security evidence and continuity commitments is documented, owned, used in normal operations and supported by basic evidence or metrics.</t>
  </si>
  <si>
    <t>Proof assets such as case studies, references, certifications, security evidence and continuity commitments is measured, periodically reviewed, integrated with related processes and tested against relevant disruption scenarios.</t>
  </si>
  <si>
    <t>Proof assets such as case studies, references, certifications, security evidence and continuity commitments is optimized, continuously improved, automated where practical and demonstrably supports crisis resilience.</t>
  </si>
  <si>
    <t>Assign owner, collect evidence, assess gaps, define mitigation actions, and test proof assets such as case studies, references, certifications, security evidence and continuity commitments against scenarios: Demand shock; Financial liquidity crisis; Reputation crisis.</t>
  </si>
  <si>
    <t>STRA-018</t>
  </si>
  <si>
    <t>How mature is the organization in managing product or service modularity that allows budget-sensitive or crisis-driven adaptation, including ownership, evidence, metrics, fallback procedures and crisis stress testing?</t>
  </si>
  <si>
    <t>Policy/SOP; owner/RACI; system report; dashboard; contracts; test records; incident history; interview evidence related to product or service modularity that allows budget-sensitive or crisis-driven adaptation.</t>
  </si>
  <si>
    <t>No reliable evidence that product or service modularity that allows budget-sensitive or crisis-driven adaptation is defined, owned or managed.</t>
  </si>
  <si>
    <t>Product or service modularity that allows budget-sensitive or crisis-driven adaptation is handled informally and depends on individual knowledge or heroic effort.</t>
  </si>
  <si>
    <t>Product or service modularity that allows budget-sensitive or crisis-driven adaptation is partially documented or implemented, but coverage is inconsistent and not crisis-tested.</t>
  </si>
  <si>
    <t>Product or service modularity that allows budget-sensitive or crisis-driven adaptation is documented, owned, used in normal operations and supported by basic evidence or metrics.</t>
  </si>
  <si>
    <t>Product or service modularity that allows budget-sensitive or crisis-driven adaptation is measured, periodically reviewed, integrated with related processes and tested against relevant disruption scenarios.</t>
  </si>
  <si>
    <t>Product or service modularity that allows budget-sensitive or crisis-driven adaptation is optimized, continuously improved, automated where practical and demonstrably supports crisis resilience.</t>
  </si>
  <si>
    <t>Assign owner, collect evidence, assess gaps, define mitigation actions, and test product or service modularity that allows budget-sensitive or crisis-driven adaptation against scenarios: Demand shock; Financial liquidity crisis; Reputation crisis.</t>
  </si>
  <si>
    <t>STRA-019</t>
  </si>
  <si>
    <t>How mature is the organization in managing sales playbooks for ICPs, offerings, objections, competitors and crisis-specific customer concerns, including ownership, evidence, metrics, fallback procedures and crisis stress testing?</t>
  </si>
  <si>
    <t>Policy/SOP; owner/RACI; system report; dashboard; contracts; test records; incident history; interview evidence related to sales playbooks for ICPs, offerings, objections, competitors and crisis-specific customer concerns.</t>
  </si>
  <si>
    <t>No reliable evidence that sales playbooks for icps, offerings, objections, competitors and crisis-specific customer concerns is defined, owned or managed.</t>
  </si>
  <si>
    <t>Sales playbooks for ICPs, offerings, objections, competitors and crisis-specific customer concerns is handled informally and depends on individual knowledge or heroic effort.</t>
  </si>
  <si>
    <t>Sales playbooks for ICPs, offerings, objections, competitors and crisis-specific customer concerns is partially documented or implemented, but coverage is inconsistent and not crisis-tested.</t>
  </si>
  <si>
    <t>Sales playbooks for ICPs, offerings, objections, competitors and crisis-specific customer concerns is documented, owned, used in normal operations and supported by basic evidence or metrics.</t>
  </si>
  <si>
    <t>Sales playbooks for ICPs, offerings, objections, competitors and crisis-specific customer concerns is measured, periodically reviewed, integrated with related processes and tested against relevant disruption scenarios.</t>
  </si>
  <si>
    <t>Sales playbooks for ICPs, offerings, objections, competitors and crisis-specific customer concerns is optimized, continuously improved, automated where practical and demonstrably supports crisis resilience.</t>
  </si>
  <si>
    <t>Assign owner, collect evidence, assess gaps, define mitigation actions, and test sales playbooks for ICPs, offerings, objections, competitors and crisis-specific customer concerns against scenarios: Demand shock; Financial liquidity crisis; Reputation crisis.</t>
  </si>
  <si>
    <t>STRA-020</t>
  </si>
  <si>
    <t>How mature is the organization in managing pipeline governance with clear stages, qualification criteria, forecast probability and CRM discipline, including ownership, evidence, metrics, fallback procedures and crisis stress testing?</t>
  </si>
  <si>
    <t>Policy/SOP; owner/RACI; system report; dashboard; contracts; test records; incident history; interview evidence related to pipeline governance with clear stages, qualification criteria, forecast probability and CRM discipline.</t>
  </si>
  <si>
    <t>No reliable evidence that pipeline governance with clear stages, qualification criteria, forecast probability and crm discipline is defined, owned or managed.</t>
  </si>
  <si>
    <t>Pipeline governance with clear stages, qualification criteria, forecast probability and CRM discipline is handled informally and depends on individual knowledge or heroic effort.</t>
  </si>
  <si>
    <t>Pipeline governance with clear stages, qualification criteria, forecast probability and CRM discipline is partially documented or implemented, but coverage is inconsistent and not crisis-tested.</t>
  </si>
  <si>
    <t>Pipeline governance with clear stages, qualification criteria, forecast probability and CRM discipline is documented, owned, used in normal operations and supported by basic evidence or metrics.</t>
  </si>
  <si>
    <t>Pipeline governance with clear stages, qualification criteria, forecast probability and CRM discipline is measured, periodically reviewed, integrated with related processes and tested against relevant disruption scenarios.</t>
  </si>
  <si>
    <t>Pipeline governance with clear stages, qualification criteria, forecast probability and CRM discipline is optimized, continuously improved, automated where practical and demonstrably supports crisis resilience.</t>
  </si>
  <si>
    <t>Assign owner, collect evidence, assess gaps, define mitigation actions, and test pipeline governance with clear stages, qualification criteria, forecast probability and CRM discipline against scenarios: Demand shock; Financial liquidity crisis; Reputation crisis.</t>
  </si>
  <si>
    <t>STRA-021</t>
  </si>
  <si>
    <t>How mature is the organization in managing channel strategy across direct sales, partners, ecommerce, marketplaces, distributors and digital channels, including ownership, evidence, metrics, fallback procedures and crisis stress testing?</t>
  </si>
  <si>
    <t>Policy/SOP; owner/RACI; system report; dashboard; contracts; test records; incident history; interview evidence related to channel strategy across direct sales, partners, ecommerce, marketplaces, distributors and digital channels.</t>
  </si>
  <si>
    <t>No reliable evidence that channel strategy across direct sales, partners, ecommerce, marketplaces, distributors and digital channels is defined, owned or managed.</t>
  </si>
  <si>
    <t>Channel strategy across direct sales, partners, ecommerce, marketplaces, distributors and digital channels is handled informally and depends on individual knowledge or heroic effort.</t>
  </si>
  <si>
    <t>Channel strategy across direct sales, partners, ecommerce, marketplaces, distributors and digital channels is partially documented or implemented, but coverage is inconsistent and not crisis-tested.</t>
  </si>
  <si>
    <t>Channel strategy across direct sales, partners, ecommerce, marketplaces, distributors and digital channels is documented, owned, used in normal operations and supported by basic evidence or metrics.</t>
  </si>
  <si>
    <t>Channel strategy across direct sales, partners, ecommerce, marketplaces, distributors and digital channels is measured, periodically reviewed, integrated with related processes and tested against relevant disruption scenarios.</t>
  </si>
  <si>
    <t>Channel strategy across direct sales, partners, ecommerce, marketplaces, distributors and digital channels is optimized, continuously improved, automated where practical and demonstrably supports crisis resilience.</t>
  </si>
  <si>
    <t>Assign owner, collect evidence, assess gaps, define mitigation actions, and test channel strategy across direct sales, partners, ecommerce, marketplaces, distributors and digital channels against scenarios: Demand shock; Financial liquidity crisis; Reputation crisis.</t>
  </si>
  <si>
    <t>STRA-022</t>
  </si>
  <si>
    <t>How mature is the organization in managing win/loss analysis feeding back into strategy, offering, pricing and messaging, including ownership, evidence, metrics, fallback procedures and crisis stress testing?</t>
  </si>
  <si>
    <t>Policy/SOP; owner/RACI; system report; dashboard; contracts; test records; incident history; interview evidence related to win/loss analysis feeding back into strategy, offering, pricing and messaging.</t>
  </si>
  <si>
    <t>No reliable evidence that win/loss analysis feeding back into strategy, offering, pricing and messaging is defined, owned or managed.</t>
  </si>
  <si>
    <t>Win/loss analysis feeding back into strategy, offering, pricing and messaging is handled informally and depends on individual knowledge or heroic effort.</t>
  </si>
  <si>
    <t>Win/loss analysis feeding back into strategy, offering, pricing and messaging is partially documented or implemented, but coverage is inconsistent and not crisis-tested.</t>
  </si>
  <si>
    <t>Win/loss analysis feeding back into strategy, offering, pricing and messaging is documented, owned, used in normal operations and supported by basic evidence or metrics.</t>
  </si>
  <si>
    <t>Win/loss analysis feeding back into strategy, offering, pricing and messaging is measured, periodically reviewed, integrated with related processes and tested against relevant disruption scenarios.</t>
  </si>
  <si>
    <t>Win/loss analysis feeding back into strategy, offering, pricing and messaging is optimized, continuously improved, automated where practical and demonstrably supports crisis resilience.</t>
  </si>
  <si>
    <t>Assign owner, collect evidence, assess gaps, define mitigation actions, and test win/loss analysis feeding back into strategy, offering, pricing and messaging against scenarios: Demand shock; Financial liquidity crisis; Reputation crisis.</t>
  </si>
  <si>
    <t>STRA-023</t>
  </si>
  <si>
    <t>How mature is the organization in managing sales forecast stress testing for delayed decisions, budget cuts and customer churn, including ownership, evidence, metrics, fallback procedures and crisis stress testing?</t>
  </si>
  <si>
    <t>Policy/SOP; owner/RACI; system report; dashboard; contracts; test records; incident history; interview evidence related to sales forecast stress testing for delayed decisions, budget cuts and customer churn.</t>
  </si>
  <si>
    <t>No reliable evidence that sales forecast stress testing for delayed decisions, budget cuts and customer churn is defined, owned or managed.</t>
  </si>
  <si>
    <t>Sales forecast stress testing for delayed decisions, budget cuts and customer churn is handled informally and depends on individual knowledge or heroic effort.</t>
  </si>
  <si>
    <t>Sales forecast stress testing for delayed decisions, budget cuts and customer churn is partially documented or implemented, but coverage is inconsistent and not crisis-tested.</t>
  </si>
  <si>
    <t>Sales forecast stress testing for delayed decisions, budget cuts and customer churn is documented, owned, used in normal operations and supported by basic evidence or metrics.</t>
  </si>
  <si>
    <t>Sales forecast stress testing for delayed decisions, budget cuts and customer churn is measured, periodically reviewed, integrated with related processes and tested against relevant disruption scenarios.</t>
  </si>
  <si>
    <t>Sales forecast stress testing for delayed decisions, budget cuts and customer churn is optimized, continuously improved, automated where practical and demonstrably supports crisis resilience.</t>
  </si>
  <si>
    <t>Assign owner, collect evidence, assess gaps, define mitigation actions, and test sales forecast stress testing for delayed decisions, budget cuts and customer churn against scenarios: Demand shock; Financial liquidity crisis; Reputation crisis.</t>
  </si>
  <si>
    <t>STRA-024</t>
  </si>
  <si>
    <t>How mature is the organization in managing leading indicators for demand, churn, pricing pressure, conversion, sales velocity and customer health, including ownership, evidence, metrics, fallback procedures and crisis stress testing?</t>
  </si>
  <si>
    <t>Policy/SOP; owner/RACI; system report; dashboard; contracts; test records; incident history; interview evidence related to leading indicators for demand, churn, pricing pressure, conversion, sales velocity and customer health.</t>
  </si>
  <si>
    <t>No reliable evidence that leading indicators for demand, churn, pricing pressure, conversion, sales velocity and customer health is defined, owned or managed.</t>
  </si>
  <si>
    <t>Leading indicators for demand, churn, pricing pressure, conversion, sales velocity and customer health is handled informally and depends on individual knowledge or heroic effort.</t>
  </si>
  <si>
    <t>Leading indicators for demand, churn, pricing pressure, conversion, sales velocity and customer health is partially documented or implemented, but coverage is inconsistent and not crisis-tested.</t>
  </si>
  <si>
    <t>Leading indicators for demand, churn, pricing pressure, conversion, sales velocity and customer health is documented, owned, used in normal operations and supported by basic evidence or metrics.</t>
  </si>
  <si>
    <t>Leading indicators for demand, churn, pricing pressure, conversion, sales velocity and customer health is measured, periodically reviewed, integrated with related processes and tested against relevant disruption scenarios.</t>
  </si>
  <si>
    <t>Leading indicators for demand, churn, pricing pressure, conversion, sales velocity and customer health is optimized, continuously improved, automated where practical and demonstrably supports crisis resilience.</t>
  </si>
  <si>
    <t>Assign owner, collect evidence, assess gaps, define mitigation actions, and test leading indicators for demand, churn, pricing pressure, conversion, sales velocity and customer health against scenarios: Demand shock; Financial liquidity crisis; Reputation crisis.</t>
  </si>
  <si>
    <t>Governance Crisis Assessment</t>
  </si>
  <si>
    <t>Purpose: assess how this domain affects crisis impact, continuity and resilience. Main references: ISO 22301; ISO 22320; ISO 31000; ISO 37000; NIST SP 800-34; BCI Good Practice Guidelines; Bain RAPID.</t>
  </si>
  <si>
    <t>GOVE-001</t>
  </si>
  <si>
    <t>How mature is the organization in managing formal crisis management structure with named roles, deputies, escalation paths and decision authority, including ownership, evidence, metrics, fallback procedures and crisis stress testing?</t>
  </si>
  <si>
    <t>This topic affects exposure to All crisis types. It helps identify how disruption may impact operations, people, revenue, systems, legal exposure or recovery time.</t>
  </si>
  <si>
    <t>ISO 22301; ISO 22320; ISO 31000; ISO 37000; NIST SP 800-34; BCI Good Practice Guidelines; Bain RAPID</t>
  </si>
  <si>
    <t>Policy/SOP; owner/RACI; system report; dashboard; contracts; test records; incident history; interview evidence related to formal crisis management structure with named roles, deputies, escalation paths and decision authority.</t>
  </si>
  <si>
    <t>No reliable evidence that formal crisis management structure with named roles, deputies, escalation paths and decision authority is defined, owned or managed.</t>
  </si>
  <si>
    <t>Formal crisis management structure with named roles, deputies, escalation paths and decision authority is handled informally and depends on individual knowledge or heroic effort.</t>
  </si>
  <si>
    <t>Formal crisis management structure with named roles, deputies, escalation paths and decision authority is partially documented or implemented, but coverage is inconsistent and not crisis-tested.</t>
  </si>
  <si>
    <t>Formal crisis management structure with named roles, deputies, escalation paths and decision authority is documented, owned, used in normal operations and supported by basic evidence or metrics.</t>
  </si>
  <si>
    <t>Formal crisis management structure with named roles, deputies, escalation paths and decision authority is measured, periodically reviewed, integrated with related processes and tested against relevant disruption scenarios.</t>
  </si>
  <si>
    <t>Formal crisis management structure with named roles, deputies, escalation paths and decision authority is optimized, continuously improved, automated where practical and demonstrably supports crisis resilience.</t>
  </si>
  <si>
    <t>All crisis types</t>
  </si>
  <si>
    <t>Assign owner, collect evidence, assess gaps, define mitigation actions, and test formal crisis management structure with named roles, deputies, escalation paths and decision authority against scenarios: All crisis types.</t>
  </si>
  <si>
    <t>GOVE-002</t>
  </si>
  <si>
    <t>How mature is the organization in managing executive crisis team trained for cross-functional crisis response, including ownership, evidence, metrics, fallback procedures and crisis stress testing?</t>
  </si>
  <si>
    <t>Policy/SOP; owner/RACI; system report; dashboard; contracts; test records; incident history; interview evidence related to executive crisis team trained for cross-functional crisis response.</t>
  </si>
  <si>
    <t>No reliable evidence that executive crisis team trained for cross-functional crisis response is defined, owned or managed.</t>
  </si>
  <si>
    <t>Executive crisis team trained for cross-functional crisis response is handled informally and depends on individual knowledge or heroic effort.</t>
  </si>
  <si>
    <t>Executive crisis team trained for cross-functional crisis response is partially documented or implemented, but coverage is inconsistent and not crisis-tested.</t>
  </si>
  <si>
    <t>Executive crisis team trained for cross-functional crisis response is documented, owned, used in normal operations and supported by basic evidence or metrics.</t>
  </si>
  <si>
    <t>Executive crisis team trained for cross-functional crisis response is measured, periodically reviewed, integrated with related processes and tested against relevant disruption scenarios.</t>
  </si>
  <si>
    <t>Executive crisis team trained for cross-functional crisis response is optimized, continuously improved, automated where practical and demonstrably supports crisis resilience.</t>
  </si>
  <si>
    <t>Assign owner, collect evidence, assess gaps, define mitigation actions, and test executive crisis team trained for cross-functional crisis response against scenarios: All crisis types.</t>
  </si>
  <si>
    <t>GOVE-003</t>
  </si>
  <si>
    <t>How mature is the organization in managing clear crisis decision rights for finance, people, operations, IT, legal, safety and communications, including ownership, evidence, metrics, fallback procedures and crisis stress testing?</t>
  </si>
  <si>
    <t>Policy/SOP; owner/RACI; system report; dashboard; contracts; test records; incident history; interview evidence related to clear crisis decision rights for finance, people, operations, IT, legal, safety and communications.</t>
  </si>
  <si>
    <t>No reliable evidence that clear crisis decision rights for finance, people, operations, it, legal, safety and communications is defined, owned or managed.</t>
  </si>
  <si>
    <t>Clear crisis decision rights for finance, people, operations, IT, legal, safety and communications is handled informally and depends on individual knowledge or heroic effort.</t>
  </si>
  <si>
    <t>Clear crisis decision rights for finance, people, operations, IT, legal, safety and communications is partially documented or implemented, but coverage is inconsistent and not crisis-tested.</t>
  </si>
  <si>
    <t>Clear crisis decision rights for finance, people, operations, IT, legal, safety and communications is documented, owned, used in normal operations and supported by basic evidence or metrics.</t>
  </si>
  <si>
    <t>Clear crisis decision rights for finance, people, operations, IT, legal, safety and communications is measured, periodically reviewed, integrated with related processes and tested against relevant disruption scenarios.</t>
  </si>
  <si>
    <t>Clear crisis decision rights for finance, people, operations, IT, legal, safety and communications is optimized, continuously improved, automated where practical and demonstrably supports crisis resilience.</t>
  </si>
  <si>
    <t>Assign owner, collect evidence, assess gaps, define mitigation actions, and test clear crisis decision rights for finance, people, operations, IT, legal, safety and communications against scenarios: All crisis types.</t>
  </si>
  <si>
    <t>GOVE-004</t>
  </si>
  <si>
    <t>How mature is the organization in managing crisis cadence for situation reports, decisions, action owners, deadlines and follow-up, including ownership, evidence, metrics, fallback procedures and crisis stress testing?</t>
  </si>
  <si>
    <t>Policy/SOP; owner/RACI; system report; dashboard; contracts; test records; incident history; interview evidence related to crisis cadence for situation reports, decisions, action owners, deadlines and follow-up.</t>
  </si>
  <si>
    <t>No reliable evidence that crisis cadence for situation reports, decisions, action owners, deadlines and follow-up is defined, owned or managed.</t>
  </si>
  <si>
    <t>Crisis cadence for situation reports, decisions, action owners, deadlines and follow-up is handled informally and depends on individual knowledge or heroic effort.</t>
  </si>
  <si>
    <t>Crisis cadence for situation reports, decisions, action owners, deadlines and follow-up is partially documented or implemented, but coverage is inconsistent and not crisis-tested.</t>
  </si>
  <si>
    <t>Crisis cadence for situation reports, decisions, action owners, deadlines and follow-up is documented, owned, used in normal operations and supported by basic evidence or metrics.</t>
  </si>
  <si>
    <t>Crisis cadence for situation reports, decisions, action owners, deadlines and follow-up is measured, periodically reviewed, integrated with related processes and tested against relevant disruption scenarios.</t>
  </si>
  <si>
    <t>Crisis cadence for situation reports, decisions, action owners, deadlines and follow-up is optimized, continuously improved, automated where practical and demonstrably supports crisis resilience.</t>
  </si>
  <si>
    <t>Assign owner, collect evidence, assess gaps, define mitigation actions, and test crisis cadence for situation reports, decisions, action owners, deadlines and follow-up against scenarios: All crisis types.</t>
  </si>
  <si>
    <t>GOVE-005</t>
  </si>
  <si>
    <t>How mature is the organization in managing board or owner-level oversight of resilience, continuity and enterprise risk, including ownership, evidence, metrics, fallback procedures and crisis stress testing?</t>
  </si>
  <si>
    <t>Policy/SOP; owner/RACI; system report; dashboard; contracts; test records; incident history; interview evidence related to board or owner-level oversight of resilience, continuity and enterprise risk.</t>
  </si>
  <si>
    <t>No reliable evidence that board or owner-level oversight of resilience, continuity and enterprise risk is defined, owned or managed.</t>
  </si>
  <si>
    <t>Board or owner-level oversight of resilience, continuity and enterprise risk is handled informally and depends on individual knowledge or heroic effort.</t>
  </si>
  <si>
    <t>Board or owner-level oversight of resilience, continuity and enterprise risk is partially documented or implemented, but coverage is inconsistent and not crisis-tested.</t>
  </si>
  <si>
    <t>Board or owner-level oversight of resilience, continuity and enterprise risk is documented, owned, used in normal operations and supported by basic evidence or metrics.</t>
  </si>
  <si>
    <t>Board or owner-level oversight of resilience, continuity and enterprise risk is measured, periodically reviewed, integrated with related processes and tested against relevant disruption scenarios.</t>
  </si>
  <si>
    <t>Board or owner-level oversight of resilience, continuity and enterprise risk is optimized, continuously improved, automated where practical and demonstrably supports crisis resilience.</t>
  </si>
  <si>
    <t>Assign owner, collect evidence, assess gaps, define mitigation actions, and test board or owner-level oversight of resilience, continuity and enterprise risk against scenarios: All crisis types.</t>
  </si>
  <si>
    <t>GOVE-006</t>
  </si>
  <si>
    <t>How mature is the organization in managing emergency spending authority and budget release rules, including ownership, evidence, metrics, fallback procedures and crisis stress testing?</t>
  </si>
  <si>
    <t>Policy/SOP; owner/RACI; system report; dashboard; contracts; test records; incident history; interview evidence related to emergency spending authority and budget release rules.</t>
  </si>
  <si>
    <t>No reliable evidence that emergency spending authority and budget release rules is defined, owned or managed.</t>
  </si>
  <si>
    <t>Emergency spending authority and budget release rules is handled informally and depends on individual knowledge or heroic effort.</t>
  </si>
  <si>
    <t>Emergency spending authority and budget release rules is partially documented or implemented, but coverage is inconsistent and not crisis-tested.</t>
  </si>
  <si>
    <t>Emergency spending authority and budget release rules is documented, owned, used in normal operations and supported by basic evidence or metrics.</t>
  </si>
  <si>
    <t>Emergency spending authority and budget release rules is measured, periodically reviewed, integrated with related processes and tested against relevant disruption scenarios.</t>
  </si>
  <si>
    <t>Emergency spending authority and budget release rules is optimized, continuously improved, automated where practical and demonstrably supports crisis resilience.</t>
  </si>
  <si>
    <t>Assign owner, collect evidence, assess gaps, define mitigation actions, and test emergency spending authority and budget release rules against scenarios: All crisis types.</t>
  </si>
  <si>
    <t>GOVE-007</t>
  </si>
  <si>
    <t>How mature is the organization in managing enterprise risk register with owners, likelihood, impact, controls, triggers and residual risk, including ownership, evidence, metrics, fallback procedures and crisis stress testing?</t>
  </si>
  <si>
    <t>Policy/SOP; owner/RACI; system report; dashboard; contracts; test records; incident history; interview evidence related to enterprise risk register with owners, likelihood, impact, controls, triggers and residual risk.</t>
  </si>
  <si>
    <t>No reliable evidence that enterprise risk register with owners, likelihood, impact, controls, triggers and residual risk is defined, owned or managed.</t>
  </si>
  <si>
    <t>Enterprise risk register with owners, likelihood, impact, controls, triggers and residual risk is handled informally and depends on individual knowledge or heroic effort.</t>
  </si>
  <si>
    <t>Enterprise risk register with owners, likelihood, impact, controls, triggers and residual risk is partially documented or implemented, but coverage is inconsistent and not crisis-tested.</t>
  </si>
  <si>
    <t>Enterprise risk register with owners, likelihood, impact, controls, triggers and residual risk is documented, owned, used in normal operations and supported by basic evidence or metrics.</t>
  </si>
  <si>
    <t>Enterprise risk register with owners, likelihood, impact, controls, triggers and residual risk is measured, periodically reviewed, integrated with related processes and tested against relevant disruption scenarios.</t>
  </si>
  <si>
    <t>Enterprise risk register with owners, likelihood, impact, controls, triggers and residual risk is optimized, continuously improved, automated where practical and demonstrably supports crisis resilience.</t>
  </si>
  <si>
    <t>Assign owner, collect evidence, assess gaps, define mitigation actions, and test enterprise risk register with owners, likelihood, impact, controls, triggers and residual risk against scenarios: All crisis types.</t>
  </si>
  <si>
    <t>GOVE-008</t>
  </si>
  <si>
    <t>How mature is the organization in managing risk appetite for safety, cash, cyber, delivery, compliance, reputation and operational continuity, including ownership, evidence, metrics, fallback procedures and crisis stress testing?</t>
  </si>
  <si>
    <t>Policy/SOP; owner/RACI; system report; dashboard; contracts; test records; incident history; interview evidence related to risk appetite for safety, cash, cyber, delivery, compliance, reputation and operational continuity.</t>
  </si>
  <si>
    <t>No reliable evidence that risk appetite for safety, cash, cyber, delivery, compliance, reputation and operational continuity is defined, owned or managed.</t>
  </si>
  <si>
    <t>Risk appetite for safety, cash, cyber, delivery, compliance, reputation and operational continuity is handled informally and depends on individual knowledge or heroic effort.</t>
  </si>
  <si>
    <t>Risk appetite for safety, cash, cyber, delivery, compliance, reputation and operational continuity is partially documented or implemented, but coverage is inconsistent and not crisis-tested.</t>
  </si>
  <si>
    <t>Risk appetite for safety, cash, cyber, delivery, compliance, reputation and operational continuity is documented, owned, used in normal operations and supported by basic evidence or metrics.</t>
  </si>
  <si>
    <t>Risk appetite for safety, cash, cyber, delivery, compliance, reputation and operational continuity is measured, periodically reviewed, integrated with related processes and tested against relevant disruption scenarios.</t>
  </si>
  <si>
    <t>Risk appetite for safety, cash, cyber, delivery, compliance, reputation and operational continuity is optimized, continuously improved, automated where practical and demonstrably supports crisis resilience.</t>
  </si>
  <si>
    <t>Assign owner, collect evidence, assess gaps, define mitigation actions, and test risk appetite for safety, cash, cyber, delivery, compliance, reputation and operational continuity against scenarios: All crisis types.</t>
  </si>
  <si>
    <t>GOVE-009</t>
  </si>
  <si>
    <t>How mature is the organization in managing early warning indicators for major crisis types and objective crisis activation triggers, including ownership, evidence, metrics, fallback procedures and crisis stress testing?</t>
  </si>
  <si>
    <t>Policy/SOP; owner/RACI; system report; dashboard; contracts; test records; incident history; interview evidence related to early warning indicators for major crisis types and objective crisis activation triggers.</t>
  </si>
  <si>
    <t>No reliable evidence that early warning indicators for major crisis types and objective crisis activation triggers is defined, owned or managed.</t>
  </si>
  <si>
    <t>Early warning indicators for major crisis types and objective crisis activation triggers is handled informally and depends on individual knowledge or heroic effort.</t>
  </si>
  <si>
    <t>Early warning indicators for major crisis types and objective crisis activation triggers is partially documented or implemented, but coverage is inconsistent and not crisis-tested.</t>
  </si>
  <si>
    <t>Early warning indicators for major crisis types and objective crisis activation triggers is documented, owned, used in normal operations and supported by basic evidence or metrics.</t>
  </si>
  <si>
    <t>Early warning indicators for major crisis types and objective crisis activation triggers is measured, periodically reviewed, integrated with related processes and tested against relevant disruption scenarios.</t>
  </si>
  <si>
    <t>Early warning indicators for major crisis types and objective crisis activation triggers is optimized, continuously improved, automated where practical and demonstrably supports crisis resilience.</t>
  </si>
  <si>
    <t>Assign owner, collect evidence, assess gaps, define mitigation actions, and test early warning indicators for major crisis types and objective crisis activation triggers against scenarios: All crisis types.</t>
  </si>
  <si>
    <t>GOVE-010</t>
  </si>
  <si>
    <t>How mature is the organization in managing business impact analysis across functions, sites, systems, people and suppliers, including ownership, evidence, metrics, fallback procedures and crisis stress testing?</t>
  </si>
  <si>
    <t>Policy/SOP; owner/RACI; system report; dashboard; contracts; test records; incident history; interview evidence related to business impact analysis across functions, sites, systems, people and suppliers.</t>
  </si>
  <si>
    <t>No reliable evidence that business impact analysis across functions, sites, systems, people and suppliers is defined, owned or managed.</t>
  </si>
  <si>
    <t>Business impact analysis across functions, sites, systems, people and suppliers is handled informally and depends on individual knowledge or heroic effort.</t>
  </si>
  <si>
    <t>Business impact analysis across functions, sites, systems, people and suppliers is partially documented or implemented, but coverage is inconsistent and not crisis-tested.</t>
  </si>
  <si>
    <t>Business impact analysis across functions, sites, systems, people and suppliers is documented, owned, used in normal operations and supported by basic evidence or metrics.</t>
  </si>
  <si>
    <t>Business impact analysis across functions, sites, systems, people and suppliers is measured, periodically reviewed, integrated with related processes and tested against relevant disruption scenarios.</t>
  </si>
  <si>
    <t>Business impact analysis across functions, sites, systems, people and suppliers is optimized, continuously improved, automated where practical and demonstrably supports crisis resilience.</t>
  </si>
  <si>
    <t>Assign owner, collect evidence, assess gaps, define mitigation actions, and test business impact analysis across functions, sites, systems, people and suppliers against scenarios: All crisis types.</t>
  </si>
  <si>
    <t>GOVE-011</t>
  </si>
  <si>
    <t>How mature is the organization in managing business continuity plans covering critical processes, people, systems, sites, suppliers and communication, including ownership, evidence, metrics, fallback procedures and crisis stress testing?</t>
  </si>
  <si>
    <t>Policy/SOP; owner/RACI; system report; dashboard; contracts; test records; incident history; interview evidence related to business continuity plans covering critical processes, people, systems, sites, suppliers and communication.</t>
  </si>
  <si>
    <t>No reliable evidence that business continuity plans covering critical processes, people, systems, sites, suppliers and communication is defined, owned or managed.</t>
  </si>
  <si>
    <t>Business continuity plans covering critical processes, people, systems, sites, suppliers and communication is handled informally and depends on individual knowledge or heroic effort.</t>
  </si>
  <si>
    <t>Business continuity plans covering critical processes, people, systems, sites, suppliers and communication is partially documented or implemented, but coverage is inconsistent and not crisis-tested.</t>
  </si>
  <si>
    <t>Business continuity plans covering critical processes, people, systems, sites, suppliers and communication is documented, owned, used in normal operations and supported by basic evidence or metrics.</t>
  </si>
  <si>
    <t>Business continuity plans covering critical processes, people, systems, sites, suppliers and communication is measured, periodically reviewed, integrated with related processes and tested against relevant disruption scenarios.</t>
  </si>
  <si>
    <t>Business continuity plans covering critical processes, people, systems, sites, suppliers and communication is optimized, continuously improved, automated where practical and demonstrably supports crisis resilience.</t>
  </si>
  <si>
    <t>Assign owner, collect evidence, assess gaps, define mitigation actions, and test business continuity plans covering critical processes, people, systems, sites, suppliers and communication against scenarios: All crisis types.</t>
  </si>
  <si>
    <t>GOVE-012</t>
  </si>
  <si>
    <t>How mature is the organization in managing scenario library covering cyberattack, war/security, site loss, supplier disruption, cloud outage, pandemic, demand shock and liquidity crisis, including ownership, evidence, metrics, fallback procedures and crisis stress testing?</t>
  </si>
  <si>
    <t>Policy/SOP; owner/RACI; system report; dashboard; contracts; test records; incident history; interview evidence related to scenario library covering cyberattack, war/security, site loss, supplier disruption, cloud outage, pandemic, demand shock and liquidity crisis.</t>
  </si>
  <si>
    <t>No reliable evidence that scenario library covering cyberattack, war/security, site loss, supplier disruption, cloud outage, pandemic, demand shock and liquidity crisis is defined, owned or managed.</t>
  </si>
  <si>
    <t>Scenario library covering cyberattack, war/security, site loss, supplier disruption, cloud outage, pandemic, demand shock and liquidity crisis is handled informally and depends on individual knowledge or heroic effort.</t>
  </si>
  <si>
    <t>Scenario library covering cyberattack, war/security, site loss, supplier disruption, cloud outage, pandemic, demand shock and liquidity crisis is partially documented or implemented, but coverage is inconsistent and not crisis-tested.</t>
  </si>
  <si>
    <t>Scenario library covering cyberattack, war/security, site loss, supplier disruption, cloud outage, pandemic, demand shock and liquidity crisis is documented, owned, used in normal operations and supported by basic evidence or metrics.</t>
  </si>
  <si>
    <t>Scenario library covering cyberattack, war/security, site loss, supplier disruption, cloud outage, pandemic, demand shock and liquidity crisis is measured, periodically reviewed, integrated with related processes and tested against relevant disruption scenarios.</t>
  </si>
  <si>
    <t>Scenario library covering cyberattack, war/security, site loss, supplier disruption, cloud outage, pandemic, demand shock and liquidity crisis is optimized, continuously improved, automated where practical and demonstrably supports crisis resilience.</t>
  </si>
  <si>
    <t>Assign owner, collect evidence, assess gaps, define mitigation actions, and test scenario library covering cyberattack, war/security, site loss, supplier disruption, cloud outage, pandemic, demand shock and liquidity crisis against scenarios: All crisis types.</t>
  </si>
  <si>
    <t>GOVE-013</t>
  </si>
  <si>
    <t>How mature is the organization in managing continuity testing through tabletop exercises, simulations and real incident reviews, including ownership, evidence, metrics, fallback procedures and crisis stress testing?</t>
  </si>
  <si>
    <t>Policy/SOP; owner/RACI; system report; dashboard; contracts; test records; incident history; interview evidence related to continuity testing through tabletop exercises, simulations and real incident reviews.</t>
  </si>
  <si>
    <t>No reliable evidence that continuity testing through tabletop exercises, simulations and real incident reviews is defined, owned or managed.</t>
  </si>
  <si>
    <t>Continuity testing through tabletop exercises, simulations and real incident reviews is handled informally and depends on individual knowledge or heroic effort.</t>
  </si>
  <si>
    <t>Continuity testing through tabletop exercises, simulations and real incident reviews is partially documented or implemented, but coverage is inconsistent and not crisis-tested.</t>
  </si>
  <si>
    <t>Continuity testing through tabletop exercises, simulations and real incident reviews is documented, owned, used in normal operations and supported by basic evidence or metrics.</t>
  </si>
  <si>
    <t>Continuity testing through tabletop exercises, simulations and real incident reviews is measured, periodically reviewed, integrated with related processes and tested against relevant disruption scenarios.</t>
  </si>
  <si>
    <t>Continuity testing through tabletop exercises, simulations and real incident reviews is optimized, continuously improved, automated where practical and demonstrably supports crisis resilience.</t>
  </si>
  <si>
    <t>Assign owner, collect evidence, assess gaps, define mitigation actions, and test continuity testing through tabletop exercises, simulations and real incident reviews against scenarios: All crisis types.</t>
  </si>
  <si>
    <t>GOVE-014</t>
  </si>
  <si>
    <t>How mature is the organization in managing common incident classification model for severity, impact, escalation and communication, including ownership, evidence, metrics, fallback procedures and crisis stress testing?</t>
  </si>
  <si>
    <t>Policy/SOP; owner/RACI; system report; dashboard; contracts; test records; incident history; interview evidence related to common incident classification model for severity, impact, escalation and communication.</t>
  </si>
  <si>
    <t>No reliable evidence that common incident classification model for severity, impact, escalation and communication is defined, owned or managed.</t>
  </si>
  <si>
    <t>Common incident classification model for severity, impact, escalation and communication is handled informally and depends on individual knowledge or heroic effort.</t>
  </si>
  <si>
    <t>Common incident classification model for severity, impact, escalation and communication is partially documented or implemented, but coverage is inconsistent and not crisis-tested.</t>
  </si>
  <si>
    <t>Common incident classification model for severity, impact, escalation and communication is documented, owned, used in normal operations and supported by basic evidence or metrics.</t>
  </si>
  <si>
    <t>Common incident classification model for severity, impact, escalation and communication is measured, periodically reviewed, integrated with related processes and tested against relevant disruption scenarios.</t>
  </si>
  <si>
    <t>Common incident classification model for severity, impact, escalation and communication is optimized, continuously improved, automated where practical and demonstrably supports crisis resilience.</t>
  </si>
  <si>
    <t>Assign owner, collect evidence, assess gaps, define mitigation actions, and test common incident classification model for severity, impact, escalation and communication against scenarios: All crisis types.</t>
  </si>
  <si>
    <t>GOVE-015</t>
  </si>
  <si>
    <t>How mature is the organization in managing post-incident review process that converts incidents into corrective and preventive actions, including ownership, evidence, metrics, fallback procedures and crisis stress testing?</t>
  </si>
  <si>
    <t>Policy/SOP; owner/RACI; system report; dashboard; contracts; test records; incident history; interview evidence related to post-incident review process that converts incidents into corrective and preventive actions.</t>
  </si>
  <si>
    <t>No reliable evidence that post-incident review process that converts incidents into corrective and preventive actions is defined, owned or managed.</t>
  </si>
  <si>
    <t>Post-incident review process that converts incidents into corrective and preventive actions is handled informally and depends on individual knowledge or heroic effort.</t>
  </si>
  <si>
    <t>Post-incident review process that converts incidents into corrective and preventive actions is partially documented or implemented, but coverage is inconsistent and not crisis-tested.</t>
  </si>
  <si>
    <t>Post-incident review process that converts incidents into corrective and preventive actions is documented, owned, used in normal operations and supported by basic evidence or metrics.</t>
  </si>
  <si>
    <t>Post-incident review process that converts incidents into corrective and preventive actions is measured, periodically reviewed, integrated with related processes and tested against relevant disruption scenarios.</t>
  </si>
  <si>
    <t>Post-incident review process that converts incidents into corrective and preventive actions is optimized, continuously improved, automated where practical and demonstrably supports crisis resilience.</t>
  </si>
  <si>
    <t>Assign owner, collect evidence, assess gaps, define mitigation actions, and test post-incident review process that converts incidents into corrective and preventive actions against scenarios: All crisis types.</t>
  </si>
  <si>
    <t>GOVE-016</t>
  </si>
  <si>
    <t>How mature is the organization in managing interdependency map linking functions, sites, systems, people, suppliers and customers, including ownership, evidence, metrics, fallback procedures and crisis stress testing?</t>
  </si>
  <si>
    <t>Policy/SOP; owner/RACI; system report; dashboard; contracts; test records; incident history; interview evidence related to interdependency map linking functions, sites, systems, people, suppliers and customers.</t>
  </si>
  <si>
    <t>No reliable evidence that interdependency map linking functions, sites, systems, people, suppliers and customers is defined, owned or managed.</t>
  </si>
  <si>
    <t>Interdependency map linking functions, sites, systems, people, suppliers and customers is handled informally and depends on individual knowledge or heroic effort.</t>
  </si>
  <si>
    <t>Interdependency map linking functions, sites, systems, people, suppliers and customers is partially documented or implemented, but coverage is inconsistent and not crisis-tested.</t>
  </si>
  <si>
    <t>Interdependency map linking functions, sites, systems, people, suppliers and customers is documented, owned, used in normal operations and supported by basic evidence or metrics.</t>
  </si>
  <si>
    <t>Interdependency map linking functions, sites, systems, people, suppliers and customers is measured, periodically reviewed, integrated with related processes and tested against relevant disruption scenarios.</t>
  </si>
  <si>
    <t>Interdependency map linking functions, sites, systems, people, suppliers and customers is optimized, continuously improved, automated where practical and demonstrably supports crisis resilience.</t>
  </si>
  <si>
    <t>Assign owner, collect evidence, assess gaps, define mitigation actions, and test interdependency map linking functions, sites, systems, people, suppliers and customers against scenarios: All crisis types.</t>
  </si>
  <si>
    <t>GOVE-017</t>
  </si>
  <si>
    <t>How mature is the organization in managing crisis communication protocol for employees, customers, suppliers, regulators, insurers and media, including ownership, evidence, metrics, fallback procedures and crisis stress testing?</t>
  </si>
  <si>
    <t>Policy/SOP; owner/RACI; system report; dashboard; contracts; test records; incident history; interview evidence related to crisis communication protocol for employees, customers, suppliers, regulators, insurers and media.</t>
  </si>
  <si>
    <t>No reliable evidence that crisis communication protocol for employees, customers, suppliers, regulators, insurers and media is defined, owned or managed.</t>
  </si>
  <si>
    <t>Crisis communication protocol for employees, customers, suppliers, regulators, insurers and media is handled informally and depends on individual knowledge or heroic effort.</t>
  </si>
  <si>
    <t>Crisis communication protocol for employees, customers, suppliers, regulators, insurers and media is partially documented or implemented, but coverage is inconsistent and not crisis-tested.</t>
  </si>
  <si>
    <t>Crisis communication protocol for employees, customers, suppliers, regulators, insurers and media is documented, owned, used in normal operations and supported by basic evidence or metrics.</t>
  </si>
  <si>
    <t>Crisis communication protocol for employees, customers, suppliers, regulators, insurers and media is measured, periodically reviewed, integrated with related processes and tested against relevant disruption scenarios.</t>
  </si>
  <si>
    <t>Crisis communication protocol for employees, customers, suppliers, regulators, insurers and media is optimized, continuously improved, automated where practical and demonstrably supports crisis resilience.</t>
  </si>
  <si>
    <t>Assign owner, collect evidence, assess gaps, define mitigation actions, and test crisis communication protocol for employees, customers, suppliers, regulators, insurers and media against scenarios: All crisis types.</t>
  </si>
  <si>
    <t>GOVE-018</t>
  </si>
  <si>
    <t>How mature is the organization in managing mass notification and emergency coordination tools, including ownership, evidence, metrics, fallback procedures and crisis stress testing?</t>
  </si>
  <si>
    <t>Policy/SOP; owner/RACI; system report; dashboard; contracts; test records; incident history; interview evidence related to mass notification and emergency coordination tools.</t>
  </si>
  <si>
    <t>No reliable evidence that mass notification and emergency coordination tools is defined, owned or managed.</t>
  </si>
  <si>
    <t>Mass notification and emergency coordination tools is handled informally and depends on individual knowledge or heroic effort.</t>
  </si>
  <si>
    <t>Mass notification and emergency coordination tools is partially documented or implemented, but coverage is inconsistent and not crisis-tested.</t>
  </si>
  <si>
    <t>Mass notification and emergency coordination tools is documented, owned, used in normal operations and supported by basic evidence or metrics.</t>
  </si>
  <si>
    <t>Mass notification and emergency coordination tools is measured, periodically reviewed, integrated with related processes and tested against relevant disruption scenarios.</t>
  </si>
  <si>
    <t>Mass notification and emergency coordination tools is optimized, continuously improved, automated where practical and demonstrably supports crisis resilience.</t>
  </si>
  <si>
    <t>Assign owner, collect evidence, assess gaps, define mitigation actions, and test mass notification and emergency coordination tools against scenarios: All crisis types.</t>
  </si>
  <si>
    <t>GOVE-019</t>
  </si>
  <si>
    <t>How mature is the organization in managing crisis lessons-learned process tied to improvement backlog and management review, including ownership, evidence, metrics, fallback procedures and crisis stress testing?</t>
  </si>
  <si>
    <t>Policy/SOP; owner/RACI; system report; dashboard; contracts; test records; incident history; interview evidence related to crisis lessons-learned process tied to improvement backlog and management review.</t>
  </si>
  <si>
    <t>No reliable evidence that crisis lessons-learned process tied to improvement backlog and management review is defined, owned or managed.</t>
  </si>
  <si>
    <t>Crisis lessons-learned process tied to improvement backlog and management review is handled informally and depends on individual knowledge or heroic effort.</t>
  </si>
  <si>
    <t>Crisis lessons-learned process tied to improvement backlog and management review is partially documented or implemented, but coverage is inconsistent and not crisis-tested.</t>
  </si>
  <si>
    <t>Crisis lessons-learned process tied to improvement backlog and management review is documented, owned, used in normal operations and supported by basic evidence or metrics.</t>
  </si>
  <si>
    <t>Crisis lessons-learned process tied to improvement backlog and management review is measured, periodically reviewed, integrated with related processes and tested against relevant disruption scenarios.</t>
  </si>
  <si>
    <t>Crisis lessons-learned process tied to improvement backlog and management review is optimized, continuously improved, automated where practical and demonstrably supports crisis resilience.</t>
  </si>
  <si>
    <t>Assign owner, collect evidence, assess gaps, define mitigation actions, and test crisis lessons-learned process tied to improvement backlog and management review against scenarios: All crisis types.</t>
  </si>
  <si>
    <t>HR Workforce Assessment</t>
  </si>
  <si>
    <t>Purpose: assess how this domain affects crisis impact, continuity and resilience. Main references: ISO 30414; ISO 30405; ISO 45001; ISO 22301; CIPD; SHRM.</t>
  </si>
  <si>
    <t>HRWO-001</t>
  </si>
  <si>
    <t>How mature is the organization in managing workforce inventory by role, location, manager, contract type, employment entity, skill and criticality, including ownership, evidence, metrics, fallback procedures and crisis stress testing?</t>
  </si>
  <si>
    <t>This topic affects exposure to Workforce disruption; Pandemic/health crisis; War/security crisis. It helps identify how disruption may impact operations, people, revenue, systems, legal exposure or recovery time.</t>
  </si>
  <si>
    <t>ISO 30414; ISO 30405; ISO 45001; ISO 22301; CIPD; SHRM</t>
  </si>
  <si>
    <t>Policy/SOP; owner/RACI; system report; dashboard; contracts; test records; incident history; interview evidence related to workforce inventory by role, location, manager, contract type, employment entity, skill and criticality.</t>
  </si>
  <si>
    <t>No reliable evidence that workforce inventory by role, location, manager, contract type, employment entity, skill and criticality is defined, owned or managed.</t>
  </si>
  <si>
    <t>Workforce inventory by role, location, manager, contract type, employment entity, skill and criticality is handled informally and depends on individual knowledge or heroic effort.</t>
  </si>
  <si>
    <t>Workforce inventory by role, location, manager, contract type, employment entity, skill and criticality is partially documented or implemented, but coverage is inconsistent and not crisis-tested.</t>
  </si>
  <si>
    <t>Workforce inventory by role, location, manager, contract type, employment entity, skill and criticality is documented, owned, used in normal operations and supported by basic evidence or metrics.</t>
  </si>
  <si>
    <t>Workforce inventory by role, location, manager, contract type, employment entity, skill and criticality is measured, periodically reviewed, integrated with related processes and tested against relevant disruption scenarios.</t>
  </si>
  <si>
    <t>Workforce inventory by role, location, manager, contract type, employment entity, skill and criticality is optimized, continuously improved, automated where practical and demonstrably supports crisis resilience.</t>
  </si>
  <si>
    <t>Workforce disruption; Pandemic/health crisis; War/security crisis</t>
  </si>
  <si>
    <t>CHRO / HR</t>
  </si>
  <si>
    <t>Assign owner, collect evidence, assess gaps, define mitigation actions, and test workforce inventory by role, location, manager, contract type, employment entity, skill and criticality against scenarios: Workforce disruption; Pandemic/health crisis; War/security crisis.</t>
  </si>
  <si>
    <t>HRWO-002</t>
  </si>
  <si>
    <t>How mature is the organization in managing critical role mapping by process dependency, customer impact, system access and knowledge concentration, including ownership, evidence, metrics, fallback procedures and crisis stress testing?</t>
  </si>
  <si>
    <t>Policy/SOP; owner/RACI; system report; dashboard; contracts; test records; incident history; interview evidence related to critical role mapping by process dependency, customer impact, system access and knowledge concentration.</t>
  </si>
  <si>
    <t>No reliable evidence that critical role mapping by process dependency, customer impact, system access and knowledge concentration is defined, owned or managed.</t>
  </si>
  <si>
    <t>Critical role mapping by process dependency, customer impact, system access and knowledge concentration is handled informally and depends on individual knowledge or heroic effort.</t>
  </si>
  <si>
    <t>Critical role mapping by process dependency, customer impact, system access and knowledge concentration is partially documented or implemented, but coverage is inconsistent and not crisis-tested.</t>
  </si>
  <si>
    <t>Critical role mapping by process dependency, customer impact, system access and knowledge concentration is documented, owned, used in normal operations and supported by basic evidence or metrics.</t>
  </si>
  <si>
    <t>Critical role mapping by process dependency, customer impact, system access and knowledge concentration is measured, periodically reviewed, integrated with related processes and tested against relevant disruption scenarios.</t>
  </si>
  <si>
    <t>Critical role mapping by process dependency, customer impact, system access and knowledge concentration is optimized, continuously improved, automated where practical and demonstrably supports crisis resilience.</t>
  </si>
  <si>
    <t>Assign owner, collect evidence, assess gaps, define mitigation actions, and test critical role mapping by process dependency, customer impact, system access and knowledge concentration against scenarios: Workforce disruption; Pandemic/health crisis; War/security crisis.</t>
  </si>
  <si>
    <t>HRWO-003</t>
  </si>
  <si>
    <t>How mature is the organization in managing key-person risk for executives, founders, architects, plant specialists, client owners and finance signatories, including ownership, evidence, metrics, fallback procedures and crisis stress testing?</t>
  </si>
  <si>
    <t>Policy/SOP; owner/RACI; system report; dashboard; contracts; test records; incident history; interview evidence related to key-person risk for executives, founders, architects, plant specialists, client owners and finance signatories.</t>
  </si>
  <si>
    <t>No reliable evidence that key-person risk for executives, founders, architects, plant specialists, client owners and finance signatories is defined, owned or managed.</t>
  </si>
  <si>
    <t>Key-person risk for executives, founders, architects, plant specialists, client owners and finance signatories is handled informally and depends on individual knowledge or heroic effort.</t>
  </si>
  <si>
    <t>Key-person risk for executives, founders, architects, plant specialists, client owners and finance signatories is partially documented or implemented, but coverage is inconsistent and not crisis-tested.</t>
  </si>
  <si>
    <t>Key-person risk for executives, founders, architects, plant specialists, client owners and finance signatories is documented, owned, used in normal operations and supported by basic evidence or metrics.</t>
  </si>
  <si>
    <t>Key-person risk for executives, founders, architects, plant specialists, client owners and finance signatories is measured, periodically reviewed, integrated with related processes and tested against relevant disruption scenarios.</t>
  </si>
  <si>
    <t>Key-person risk for executives, founders, architects, plant specialists, client owners and finance signatories is optimized, continuously improved, automated where practical and demonstrably supports crisis resilience.</t>
  </si>
  <si>
    <t>Assign owner, collect evidence, assess gaps, define mitigation actions, and test key-person risk for executives, founders, architects, plant specialists, client owners and finance signatories against scenarios: Workforce disruption; Pandemic/health crisis; War/security crisis.</t>
  </si>
  <si>
    <t>HRWO-004</t>
  </si>
  <si>
    <t>How mature is the organization in managing skills matrix linked to critical processes, systems, products, sites and backup coverage, including ownership, evidence, metrics, fallback procedures and crisis stress testing?</t>
  </si>
  <si>
    <t>Policy/SOP; owner/RACI; system report; dashboard; contracts; test records; incident history; interview evidence related to skills matrix linked to critical processes, systems, products, sites and backup coverage.</t>
  </si>
  <si>
    <t>No reliable evidence that skills matrix linked to critical processes, systems, products, sites and backup coverage is defined, owned or managed.</t>
  </si>
  <si>
    <t>Skills matrix linked to critical processes, systems, products, sites and backup coverage is handled informally and depends on individual knowledge or heroic effort.</t>
  </si>
  <si>
    <t>Skills matrix linked to critical processes, systems, products, sites and backup coverage is partially documented or implemented, but coverage is inconsistent and not crisis-tested.</t>
  </si>
  <si>
    <t>Skills matrix linked to critical processes, systems, products, sites and backup coverage is documented, owned, used in normal operations and supported by basic evidence or metrics.</t>
  </si>
  <si>
    <t>Skills matrix linked to critical processes, systems, products, sites and backup coverage is measured, periodically reviewed, integrated with related processes and tested against relevant disruption scenarios.</t>
  </si>
  <si>
    <t>Skills matrix linked to critical processes, systems, products, sites and backup coverage is optimized, continuously improved, automated where practical and demonstrably supports crisis resilience.</t>
  </si>
  <si>
    <t>Assign owner, collect evidence, assess gaps, define mitigation actions, and test skills matrix linked to critical processes, systems, products, sites and backup coverage against scenarios: Workforce disruption; Pandemic/health crisis; War/security crisis.</t>
  </si>
  <si>
    <t>HRWO-005</t>
  </si>
  <si>
    <t>How mature is the organization in managing minimum staffing levels for critical functions, shifts, production lines and customer support, including ownership, evidence, metrics, fallback procedures and crisis stress testing?</t>
  </si>
  <si>
    <t>Policy/SOP; owner/RACI; system report; dashboard; contracts; test records; incident history; interview evidence related to minimum staffing levels for critical functions, shifts, production lines and customer support.</t>
  </si>
  <si>
    <t>No reliable evidence that minimum staffing levels for critical functions, shifts, production lines and customer support is defined, owned or managed.</t>
  </si>
  <si>
    <t>Minimum staffing levels for critical functions, shifts, production lines and customer support is handled informally and depends on individual knowledge or heroic effort.</t>
  </si>
  <si>
    <t>Minimum staffing levels for critical functions, shifts, production lines and customer support is partially documented or implemented, but coverage is inconsistent and not crisis-tested.</t>
  </si>
  <si>
    <t>Minimum staffing levels for critical functions, shifts, production lines and customer support is documented, owned, used in normal operations and supported by basic evidence or metrics.</t>
  </si>
  <si>
    <t>Minimum staffing levels for critical functions, shifts, production lines and customer support is measured, periodically reviewed, integrated with related processes and tested against relevant disruption scenarios.</t>
  </si>
  <si>
    <t>Minimum staffing levels for critical functions, shifts, production lines and customer support is optimized, continuously improved, automated where practical and demonstrably supports crisis resilience.</t>
  </si>
  <si>
    <t>Assign owner, collect evidence, assess gaps, define mitigation actions, and test minimum staffing levels for critical functions, shifts, production lines and customer support against scenarios: Workforce disruption; Pandemic/health crisis; War/security crisis.</t>
  </si>
  <si>
    <t>HRWO-006</t>
  </si>
  <si>
    <t>How mature is the organization in managing absence trends, sick leave spikes and workforce availability monitoring, including ownership, evidence, metrics, fallback procedures and crisis stress testing?</t>
  </si>
  <si>
    <t>Policy/SOP; owner/RACI; system report; dashboard; contracts; test records; incident history; interview evidence related to absence trends, sick leave spikes and workforce availability monitoring.</t>
  </si>
  <si>
    <t>No reliable evidence that absence trends, sick leave spikes and workforce availability monitoring is defined, owned or managed.</t>
  </si>
  <si>
    <t>Absence trends, sick leave spikes and workforce availability monitoring is handled informally and depends on individual knowledge or heroic effort.</t>
  </si>
  <si>
    <t>Absence trends, sick leave spikes and workforce availability monitoring is partially documented or implemented, but coverage is inconsistent and not crisis-tested.</t>
  </si>
  <si>
    <t>Absence trends, sick leave spikes and workforce availability monitoring is documented, owned, used in normal operations and supported by basic evidence or metrics.</t>
  </si>
  <si>
    <t>Absence trends, sick leave spikes and workforce availability monitoring is measured, periodically reviewed, integrated with related processes and tested against relevant disruption scenarios.</t>
  </si>
  <si>
    <t>Absence trends, sick leave spikes and workforce availability monitoring is optimized, continuously improved, automated where practical and demonstrably supports crisis resilience.</t>
  </si>
  <si>
    <t>Assign owner, collect evidence, assess gaps, define mitigation actions, and test absence trends, sick leave spikes and workforce availability monitoring against scenarios: Workforce disruption; Pandemic/health crisis; War/security crisis.</t>
  </si>
  <si>
    <t>HRWO-007</t>
  </si>
  <si>
    <t>How mature is the organization in managing hiring pipeline resilience for critical roles under market shortage or geographic disruption, including ownership, evidence, metrics, fallback procedures and crisis stress testing?</t>
  </si>
  <si>
    <t>Policy/SOP; owner/RACI; system report; dashboard; contracts; test records; incident history; interview evidence related to hiring pipeline resilience for critical roles under market shortage or geographic disruption.</t>
  </si>
  <si>
    <t>No reliable evidence that hiring pipeline resilience for critical roles under market shortage or geographic disruption is defined, owned or managed.</t>
  </si>
  <si>
    <t>Hiring pipeline resilience for critical roles under market shortage or geographic disruption is handled informally and depends on individual knowledge or heroic effort.</t>
  </si>
  <si>
    <t>Hiring pipeline resilience for critical roles under market shortage or geographic disruption is partially documented or implemented, but coverage is inconsistent and not crisis-tested.</t>
  </si>
  <si>
    <t>Hiring pipeline resilience for critical roles under market shortage or geographic disruption is documented, owned, used in normal operations and supported by basic evidence or metrics.</t>
  </si>
  <si>
    <t>Hiring pipeline resilience for critical roles under market shortage or geographic disruption is measured, periodically reviewed, integrated with related processes and tested against relevant disruption scenarios.</t>
  </si>
  <si>
    <t>Hiring pipeline resilience for critical roles under market shortage or geographic disruption is optimized, continuously improved, automated where practical and demonstrably supports crisis resilience.</t>
  </si>
  <si>
    <t>Assign owner, collect evidence, assess gaps, define mitigation actions, and test hiring pipeline resilience for critical roles under market shortage or geographic disruption against scenarios: Workforce disruption; Pandemic/health crisis; War/security crisis.</t>
  </si>
  <si>
    <t>HRWO-008</t>
  </si>
  <si>
    <t>How mature is the organization in managing time-to-hire tracking by critical role, geography and seniority, including ownership, evidence, metrics, fallback procedures and crisis stress testing?</t>
  </si>
  <si>
    <t>Policy/SOP; owner/RACI; system report; dashboard; contracts; test records; incident history; interview evidence related to time-to-hire tracking by critical role, geography and seniority.</t>
  </si>
  <si>
    <t>No reliable evidence that time-to-hire tracking by critical role, geography and seniority is defined, owned or managed.</t>
  </si>
  <si>
    <t>Time-to-hire tracking by critical role, geography and seniority is handled informally and depends on individual knowledge or heroic effort.</t>
  </si>
  <si>
    <t>Time-to-hire tracking by critical role, geography and seniority is partially documented or implemented, but coverage is inconsistent and not crisis-tested.</t>
  </si>
  <si>
    <t>Time-to-hire tracking by critical role, geography and seniority is documented, owned, used in normal operations and supported by basic evidence or metrics.</t>
  </si>
  <si>
    <t>Time-to-hire tracking by critical role, geography and seniority is measured, periodically reviewed, integrated with related processes and tested against relevant disruption scenarios.</t>
  </si>
  <si>
    <t>Time-to-hire tracking by critical role, geography and seniority is optimized, continuously improved, automated where practical and demonstrably supports crisis resilience.</t>
  </si>
  <si>
    <t>Assign owner, collect evidence, assess gaps, define mitigation actions, and test time-to-hire tracking by critical role, geography and seniority against scenarios: Workforce disruption; Pandemic/health crisis; War/security crisis.</t>
  </si>
  <si>
    <t>HRWO-009</t>
  </si>
  <si>
    <t>How mature is the organization in managing alternative sourcing channels for critical roles, geographies and rare skills, including ownership, evidence, metrics, fallback procedures and crisis stress testing?</t>
  </si>
  <si>
    <t>Policy/SOP; owner/RACI; system report; dashboard; contracts; test records; incident history; interview evidence related to alternative sourcing channels for critical roles, geographies and rare skills.</t>
  </si>
  <si>
    <t>No reliable evidence that alternative sourcing channels for critical roles, geographies and rare skills is defined, owned or managed.</t>
  </si>
  <si>
    <t>Alternative sourcing channels for critical roles, geographies and rare skills is handled informally and depends on individual knowledge or heroic effort.</t>
  </si>
  <si>
    <t>Alternative sourcing channels for critical roles, geographies and rare skills is partially documented or implemented, but coverage is inconsistent and not crisis-tested.</t>
  </si>
  <si>
    <t>Alternative sourcing channels for critical roles, geographies and rare skills is documented, owned, used in normal operations and supported by basic evidence or metrics.</t>
  </si>
  <si>
    <t>Alternative sourcing channels for critical roles, geographies and rare skills is measured, periodically reviewed, integrated with related processes and tested against relevant disruption scenarios.</t>
  </si>
  <si>
    <t>Alternative sourcing channels for critical roles, geographies and rare skills is optimized, continuously improved, automated where practical and demonstrably supports crisis resilience.</t>
  </si>
  <si>
    <t>Assign owner, collect evidence, assess gaps, define mitigation actions, and test alternative sourcing channels for critical roles, geographies and rare skills against scenarios: Workforce disruption; Pandemic/health crisis; War/security crisis.</t>
  </si>
  <si>
    <t>HRWO-010</t>
  </si>
  <si>
    <t>How mature is the organization in managing retention risk monitoring for critical people, high performers and scarce-skill roles, including ownership, evidence, metrics, fallback procedures and crisis stress testing?</t>
  </si>
  <si>
    <t>Policy/SOP; owner/RACI; system report; dashboard; contracts; test records; incident history; interview evidence related to retention risk monitoring for critical people, high performers and scarce-skill roles.</t>
  </si>
  <si>
    <t>No reliable evidence that retention risk monitoring for critical people, high performers and scarce-skill roles is defined, owned or managed.</t>
  </si>
  <si>
    <t>Retention risk monitoring for critical people, high performers and scarce-skill roles is handled informally and depends on individual knowledge or heroic effort.</t>
  </si>
  <si>
    <t>Retention risk monitoring for critical people, high performers and scarce-skill roles is partially documented or implemented, but coverage is inconsistent and not crisis-tested.</t>
  </si>
  <si>
    <t>Retention risk monitoring for critical people, high performers and scarce-skill roles is documented, owned, used in normal operations and supported by basic evidence or metrics.</t>
  </si>
  <si>
    <t>Retention risk monitoring for critical people, high performers and scarce-skill roles is measured, periodically reviewed, integrated with related processes and tested against relevant disruption scenarios.</t>
  </si>
  <si>
    <t>Retention risk monitoring for critical people, high performers and scarce-skill roles is optimized, continuously improved, automated where practical and demonstrably supports crisis resilience.</t>
  </si>
  <si>
    <t>Assign owner, collect evidence, assess gaps, define mitigation actions, and test retention risk monitoring for critical people, high performers and scarce-skill roles against scenarios: Workforce disruption; Pandemic/health crisis; War/security crisis.</t>
  </si>
  <si>
    <t>HRWO-011</t>
  </si>
  <si>
    <t>How mature is the organization in managing compensation and payroll continuity during banking, legal or system disruption, including ownership, evidence, metrics, fallback procedures and crisis stress testing?</t>
  </si>
  <si>
    <t>Policy/SOP; owner/RACI; system report; dashboard; contracts; test records; incident history; interview evidence related to compensation and payroll continuity during banking, legal or system disruption.</t>
  </si>
  <si>
    <t>No reliable evidence that compensation and payroll continuity during banking, legal or system disruption is defined, owned or managed.</t>
  </si>
  <si>
    <t>Compensation and payroll continuity during banking, legal or system disruption is handled informally and depends on individual knowledge or heroic effort.</t>
  </si>
  <si>
    <t>Compensation and payroll continuity during banking, legal or system disruption is partially documented or implemented, but coverage is inconsistent and not crisis-tested.</t>
  </si>
  <si>
    <t>Compensation and payroll continuity during banking, legal or system disruption is documented, owned, used in normal operations and supported by basic evidence or metrics.</t>
  </si>
  <si>
    <t>Compensation and payroll continuity during banking, legal or system disruption is measured, periodically reviewed, integrated with related processes and tested against relevant disruption scenarios.</t>
  </si>
  <si>
    <t>Compensation and payroll continuity during banking, legal or system disruption is optimized, continuously improved, automated where practical and demonstrably supports crisis resilience.</t>
  </si>
  <si>
    <t>Assign owner, collect evidence, assess gaps, define mitigation actions, and test compensation and payroll continuity during banking, legal or system disruption against scenarios: Workforce disruption; Pandemic/health crisis; War/security crisis.</t>
  </si>
  <si>
    <t>HRWO-012</t>
  </si>
  <si>
    <t>How mature is the organization in managing succession planning and deputies for all critical leadership and operational roles, including ownership, evidence, metrics, fallback procedures and crisis stress testing?</t>
  </si>
  <si>
    <t>Policy/SOP; owner/RACI; system report; dashboard; contracts; test records; incident history; interview evidence related to succession planning and deputies for all critical leadership and operational roles.</t>
  </si>
  <si>
    <t>No reliable evidence that succession planning and deputies for all critical leadership and operational roles is defined, owned or managed.</t>
  </si>
  <si>
    <t>Succession planning and deputies for all critical leadership and operational roles is handled informally and depends on individual knowledge or heroic effort.</t>
  </si>
  <si>
    <t>Succession planning and deputies for all critical leadership and operational roles is partially documented or implemented, but coverage is inconsistent and not crisis-tested.</t>
  </si>
  <si>
    <t>Succession planning and deputies for all critical leadership and operational roles is documented, owned, used in normal operations and supported by basic evidence or metrics.</t>
  </si>
  <si>
    <t>Succession planning and deputies for all critical leadership and operational roles is measured, periodically reviewed, integrated with related processes and tested against relevant disruption scenarios.</t>
  </si>
  <si>
    <t>Succession planning and deputies for all critical leadership and operational roles is optimized, continuously improved, automated where practical and demonstrably supports crisis resilience.</t>
  </si>
  <si>
    <t>Assign owner, collect evidence, assess gaps, define mitigation actions, and test succession planning and deputies for all critical leadership and operational roles against scenarios: Workforce disruption; Pandemic/health crisis; War/security crisis.</t>
  </si>
  <si>
    <t>HRWO-013</t>
  </si>
  <si>
    <t>How mature is the organization in managing remote onboarding with secure access, equipment, training and manager support, including ownership, evidence, metrics, fallback procedures and crisis stress testing?</t>
  </si>
  <si>
    <t>Policy/SOP; owner/RACI; system report; dashboard; contracts; test records; incident history; interview evidence related to remote onboarding with secure access, equipment, training and manager support.</t>
  </si>
  <si>
    <t>No reliable evidence that remote onboarding with secure access, equipment, training and manager support is defined, owned or managed.</t>
  </si>
  <si>
    <t>Remote onboarding with secure access, equipment, training and manager support is handled informally and depends on individual knowledge or heroic effort.</t>
  </si>
  <si>
    <t>Remote onboarding with secure access, equipment, training and manager support is partially documented or implemented, but coverage is inconsistent and not crisis-tested.</t>
  </si>
  <si>
    <t>Remote onboarding with secure access, equipment, training and manager support is documented, owned, used in normal operations and supported by basic evidence or metrics.</t>
  </si>
  <si>
    <t>Remote onboarding with secure access, equipment, training and manager support is measured, periodically reviewed, integrated with related processes and tested against relevant disruption scenarios.</t>
  </si>
  <si>
    <t>Remote onboarding with secure access, equipment, training and manager support is optimized, continuously improved, automated where practical and demonstrably supports crisis resilience.</t>
  </si>
  <si>
    <t>Assign owner, collect evidence, assess gaps, define mitigation actions, and test remote onboarding with secure access, equipment, training and manager support against scenarios: Workforce disruption; Pandemic/health crisis; War/security crisis.</t>
  </si>
  <si>
    <t>HRWO-014</t>
  </si>
  <si>
    <t>How mature is the organization in managing remote work capability with secure access, connectivity, equipment and documented procedures, including ownership, evidence, metrics, fallback procedures and crisis stress testing?</t>
  </si>
  <si>
    <t>Policy/SOP; owner/RACI; system report; dashboard; contracts; test records; incident history; interview evidence related to remote work capability with secure access, connectivity, equipment and documented procedures.</t>
  </si>
  <si>
    <t>No reliable evidence that remote work capability with secure access, connectivity, equipment and documented procedures is defined, owned or managed.</t>
  </si>
  <si>
    <t>Remote work capability with secure access, connectivity, equipment and documented procedures is handled informally and depends on individual knowledge or heroic effort.</t>
  </si>
  <si>
    <t>Remote work capability with secure access, connectivity, equipment and documented procedures is partially documented or implemented, but coverage is inconsistent and not crisis-tested.</t>
  </si>
  <si>
    <t>Remote work capability with secure access, connectivity, equipment and documented procedures is documented, owned, used in normal operations and supported by basic evidence or metrics.</t>
  </si>
  <si>
    <t>Remote work capability with secure access, connectivity, equipment and documented procedures is measured, periodically reviewed, integrated with related processes and tested against relevant disruption scenarios.</t>
  </si>
  <si>
    <t>Remote work capability with secure access, connectivity, equipment and documented procedures is optimized, continuously improved, automated where practical and demonstrably supports crisis resilience.</t>
  </si>
  <si>
    <t>Assign owner, collect evidence, assess gaps, define mitigation actions, and test remote work capability with secure access, connectivity, equipment and documented procedures against scenarios: Workforce disruption; Pandemic/health crisis; War/security crisis.</t>
  </si>
  <si>
    <t>HRWO-015</t>
  </si>
  <si>
    <t>How mature is the organization in managing backup connectivity options for critical staff and locations, including ownership, evidence, metrics, fallback procedures and crisis stress testing?</t>
  </si>
  <si>
    <t>Policy/SOP; owner/RACI; system report; dashboard; contracts; test records; incident history; interview evidence related to backup connectivity options for critical staff and locations.</t>
  </si>
  <si>
    <t>No reliable evidence that backup connectivity options for critical staff and locations is defined, owned or managed.</t>
  </si>
  <si>
    <t>Backup connectivity options for critical staff and locations is handled informally and depends on individual knowledge or heroic effort.</t>
  </si>
  <si>
    <t>Backup connectivity options for critical staff and locations is partially documented or implemented, but coverage is inconsistent and not crisis-tested.</t>
  </si>
  <si>
    <t>Backup connectivity options for critical staff and locations is documented, owned, used in normal operations and supported by basic evidence or metrics.</t>
  </si>
  <si>
    <t>Backup connectivity options for critical staff and locations is measured, periodically reviewed, integrated with related processes and tested against relevant disruption scenarios.</t>
  </si>
  <si>
    <t>Backup connectivity options for critical staff and locations is optimized, continuously improved, automated where practical and demonstrably supports crisis resilience.</t>
  </si>
  <si>
    <t>Assign owner, collect evidence, assess gaps, define mitigation actions, and test backup connectivity options for critical staff and locations against scenarios: Workforce disruption; Pandemic/health crisis; War/security crisis.</t>
  </si>
  <si>
    <t>HRWO-016</t>
  </si>
  <si>
    <t>How mature is the organization in managing employee location and safety check process during severe incidents, including ownership, evidence, metrics, fallback procedures and crisis stress testing?</t>
  </si>
  <si>
    <t>Policy/SOP; owner/RACI; system report; dashboard; contracts; test records; incident history; interview evidence related to employee location and safety check process during severe incidents.</t>
  </si>
  <si>
    <t>No reliable evidence that employee location and safety check process during severe incidents is defined, owned or managed.</t>
  </si>
  <si>
    <t>Employee location and safety check process during severe incidents is handled informally and depends on individual knowledge or heroic effort.</t>
  </si>
  <si>
    <t>Employee location and safety check process during severe incidents is partially documented or implemented, but coverage is inconsistent and not crisis-tested.</t>
  </si>
  <si>
    <t>Employee location and safety check process during severe incidents is documented, owned, used in normal operations and supported by basic evidence or metrics.</t>
  </si>
  <si>
    <t>Employee location and safety check process during severe incidents is measured, periodically reviewed, integrated with related processes and tested against relevant disruption scenarios.</t>
  </si>
  <si>
    <t>Employee location and safety check process during severe incidents is optimized, continuously improved, automated where practical and demonstrably supports crisis resilience.</t>
  </si>
  <si>
    <t>Assign owner, collect evidence, assess gaps, define mitigation actions, and test employee location and safety check process during severe incidents against scenarios: Workforce disruption; Pandemic/health crisis; War/security crisis.</t>
  </si>
  <si>
    <t>HRWO-017</t>
  </si>
  <si>
    <t>How mature is the organization in managing wellbeing, fatigue, burnout and psychological safety monitoring during prolonged crisis, including ownership, evidence, metrics, fallback procedures and crisis stress testing?</t>
  </si>
  <si>
    <t>Policy/SOP; owner/RACI; system report; dashboard; contracts; test records; incident history; interview evidence related to wellbeing, fatigue, burnout and psychological safety monitoring during prolonged crisis.</t>
  </si>
  <si>
    <t>No reliable evidence that wellbeing, fatigue, burnout and psychological safety monitoring during prolonged crisis is defined, owned or managed.</t>
  </si>
  <si>
    <t>Wellbeing, fatigue, burnout and psychological safety monitoring during prolonged crisis is handled informally and depends on individual knowledge or heroic effort.</t>
  </si>
  <si>
    <t>Wellbeing, fatigue, burnout and psychological safety monitoring during prolonged crisis is partially documented or implemented, but coverage is inconsistent and not crisis-tested.</t>
  </si>
  <si>
    <t>Wellbeing, fatigue, burnout and psychological safety monitoring during prolonged crisis is documented, owned, used in normal operations and supported by basic evidence or metrics.</t>
  </si>
  <si>
    <t>Wellbeing, fatigue, burnout and psychological safety monitoring during prolonged crisis is measured, periodically reviewed, integrated with related processes and tested against relevant disruption scenarios.</t>
  </si>
  <si>
    <t>Wellbeing, fatigue, burnout and psychological safety monitoring during prolonged crisis is optimized, continuously improved, automated where practical and demonstrably supports crisis resilience.</t>
  </si>
  <si>
    <t>Assign owner, collect evidence, assess gaps, define mitigation actions, and test wellbeing, fatigue, burnout and psychological safety monitoring during prolonged crisis against scenarios: Workforce disruption; Pandemic/health crisis; War/security crisis.</t>
  </si>
  <si>
    <t>HRWO-018</t>
  </si>
  <si>
    <t>How mature is the organization in managing emergency HR policies for relocation, evacuation, hardship support, flexible work and temporary staffing, including ownership, evidence, metrics, fallback procedures and crisis stress testing?</t>
  </si>
  <si>
    <t>Policy/SOP; owner/RACI; system report; dashboard; contracts; test records; incident history; interview evidence related to emergency HR policies for relocation, evacuation, hardship support, flexible work and temporary staffing.</t>
  </si>
  <si>
    <t>No reliable evidence that emergency hr policies for relocation, evacuation, hardship support, flexible work and temporary staffing is defined, owned or managed.</t>
  </si>
  <si>
    <t>Emergency HR policies for relocation, evacuation, hardship support, flexible work and temporary staffing is handled informally and depends on individual knowledge or heroic effort.</t>
  </si>
  <si>
    <t>Emergency HR policies for relocation, evacuation, hardship support, flexible work and temporary staffing is partially documented or implemented, but coverage is inconsistent and not crisis-tested.</t>
  </si>
  <si>
    <t>Emergency HR policies for relocation, evacuation, hardship support, flexible work and temporary staffing is documented, owned, used in normal operations and supported by basic evidence or metrics.</t>
  </si>
  <si>
    <t>Emergency HR policies for relocation, evacuation, hardship support, flexible work and temporary staffing is measured, periodically reviewed, integrated with related processes and tested against relevant disruption scenarios.</t>
  </si>
  <si>
    <t>Emergency HR policies for relocation, evacuation, hardship support, flexible work and temporary staffing is optimized, continuously improved, automated where practical and demonstrably supports crisis resilience.</t>
  </si>
  <si>
    <t>Assign owner, collect evidence, assess gaps, define mitigation actions, and test emergency HR policies for relocation, evacuation, hardship support, flexible work and temporary staffing against scenarios: Workforce disruption; Pandemic/health crisis; War/security crisis.</t>
  </si>
  <si>
    <t>HRWO-019</t>
  </si>
  <si>
    <t>How mature is the organization in managing cross-training and knowledge transfer for critical operations and rare skills, including ownership, evidence, metrics, fallback procedures and crisis stress testing?</t>
  </si>
  <si>
    <t>Policy/SOP; owner/RACI; system report; dashboard; contracts; test records; incident history; interview evidence related to cross-training and knowledge transfer for critical operations and rare skills.</t>
  </si>
  <si>
    <t>No reliable evidence that cross-training and knowledge transfer for critical operations and rare skills is defined, owned or managed.</t>
  </si>
  <si>
    <t>Cross-training and knowledge transfer for critical operations and rare skills is handled informally and depends on individual knowledge or heroic effort.</t>
  </si>
  <si>
    <t>Cross-training and knowledge transfer for critical operations and rare skills is partially documented or implemented, but coverage is inconsistent and not crisis-tested.</t>
  </si>
  <si>
    <t>Cross-training and knowledge transfer for critical operations and rare skills is documented, owned, used in normal operations and supported by basic evidence or metrics.</t>
  </si>
  <si>
    <t>Cross-training and knowledge transfer for critical operations and rare skills is measured, periodically reviewed, integrated with related processes and tested against relevant disruption scenarios.</t>
  </si>
  <si>
    <t>Cross-training and knowledge transfer for critical operations and rare skills is optimized, continuously improved, automated where practical and demonstrably supports crisis resilience.</t>
  </si>
  <si>
    <t>Assign owner, collect evidence, assess gaps, define mitigation actions, and test cross-training and knowledge transfer for critical operations and rare skills against scenarios: Workforce disruption; Pandemic/health crisis; War/security crisis.</t>
  </si>
  <si>
    <t>HRWO-020</t>
  </si>
  <si>
    <t>How mature is the organization in managing HRMS reliability, backup, manual fallback and data quality for employee records and emergency contacts, including ownership, evidence, metrics, fallback procedures and crisis stress testing?</t>
  </si>
  <si>
    <t>Policy/SOP; owner/RACI; system report; dashboard; contracts; test records; incident history; interview evidence related to HRMS reliability, backup, manual fallback and data quality for employee records and emergency contacts.</t>
  </si>
  <si>
    <t>No reliable evidence that hrms reliability, backup, manual fallback and data quality for employee records and emergency contacts is defined, owned or managed.</t>
  </si>
  <si>
    <t>HRMS reliability, backup, manual fallback and data quality for employee records and emergency contacts is handled informally and depends on individual knowledge or heroic effort.</t>
  </si>
  <si>
    <t>HRMS reliability, backup, manual fallback and data quality for employee records and emergency contacts is partially documented or implemented, but coverage is inconsistent and not crisis-tested.</t>
  </si>
  <si>
    <t>HRMS reliability, backup, manual fallback and data quality for employee records and emergency contacts is documented, owned, used in normal operations and supported by basic evidence or metrics.</t>
  </si>
  <si>
    <t>HRMS reliability, backup, manual fallback and data quality for employee records and emergency contacts is measured, periodically reviewed, integrated with related processes and tested against relevant disruption scenarios.</t>
  </si>
  <si>
    <t>HRMS reliability, backup, manual fallback and data quality for employee records and emergency contacts is optimized, continuously improved, automated where practical and demonstrably supports crisis resilience.</t>
  </si>
  <si>
    <t>Assign owner, collect evidence, assess gaps, define mitigation actions, and test HRMS reliability, backup, manual fallback and data quality for employee records and emergency contacts against scenarios: Workforce disruption; Pandemic/health crisis; War/security crisis.</t>
  </si>
  <si>
    <t>HRWO-021</t>
  </si>
  <si>
    <t>How mature is the organization in managing joiner-mover-leaver process linked to digital and physical access removal, including ownership, evidence, metrics, fallback procedures and crisis stress testing?</t>
  </si>
  <si>
    <t>Policy/SOP; owner/RACI; system report; dashboard; contracts; test records; incident history; interview evidence related to joiner-mover-leaver process linked to digital and physical access removal.</t>
  </si>
  <si>
    <t>No reliable evidence that joiner-mover-leaver process linked to digital and physical access removal is defined, owned or managed.</t>
  </si>
  <si>
    <t>Joiner-mover-leaver process linked to digital and physical access removal is handled informally and depends on individual knowledge or heroic effort.</t>
  </si>
  <si>
    <t>Joiner-mover-leaver process linked to digital and physical access removal is partially documented or implemented, but coverage is inconsistent and not crisis-tested.</t>
  </si>
  <si>
    <t>Joiner-mover-leaver process linked to digital and physical access removal is documented, owned, used in normal operations and supported by basic evidence or metrics.</t>
  </si>
  <si>
    <t>Joiner-mover-leaver process linked to digital and physical access removal is measured, periodically reviewed, integrated with related processes and tested against relevant disruption scenarios.</t>
  </si>
  <si>
    <t>Joiner-mover-leaver process linked to digital and physical access removal is optimized, continuously improved, automated where practical and demonstrably supports crisis resilience.</t>
  </si>
  <si>
    <t>Assign owner, collect evidence, assess gaps, define mitigation actions, and test joiner-mover-leaver process linked to digital and physical access removal against scenarios: Workforce disruption; Pandemic/health crisis; War/security crisis.</t>
  </si>
  <si>
    <t>HRWO-022</t>
  </si>
  <si>
    <t>How mature is the organization in managing employment compliance by country, contract type, working hours and emergency measures, including ownership, evidence, metrics, fallback procedures and crisis stress testing?</t>
  </si>
  <si>
    <t>Policy/SOP; owner/RACI; system report; dashboard; contracts; test records; incident history; interview evidence related to employment compliance by country, contract type, working hours and emergency measures.</t>
  </si>
  <si>
    <t>No reliable evidence that employment compliance by country, contract type, working hours and emergency measures is defined, owned or managed.</t>
  </si>
  <si>
    <t>Employment compliance by country, contract type, working hours and emergency measures is handled informally and depends on individual knowledge or heroic effort.</t>
  </si>
  <si>
    <t>Employment compliance by country, contract type, working hours and emergency measures is partially documented or implemented, but coverage is inconsistent and not crisis-tested.</t>
  </si>
  <si>
    <t>Employment compliance by country, contract type, working hours and emergency measures is documented, owned, used in normal operations and supported by basic evidence or metrics.</t>
  </si>
  <si>
    <t>Employment compliance by country, contract type, working hours and emergency measures is measured, periodically reviewed, integrated with related processes and tested against relevant disruption scenarios.</t>
  </si>
  <si>
    <t>Employment compliance by country, contract type, working hours and emergency measures is optimized, continuously improved, automated where practical and demonstrably supports crisis resilience.</t>
  </si>
  <si>
    <t>Assign owner, collect evidence, assess gaps, define mitigation actions, and test employment compliance by country, contract type, working hours and emergency measures against scenarios: Workforce disruption; Pandemic/health crisis; War/security crisis.</t>
  </si>
  <si>
    <t>HRWO-023</t>
  </si>
  <si>
    <t>How mature is the organization in managing business travel risk management and employee travel approval process, including ownership, evidence, metrics, fallback procedures and crisis stress testing?</t>
  </si>
  <si>
    <t>Policy/SOP; owner/RACI; system report; dashboard; contracts; test records; incident history; interview evidence related to business travel risk management and employee travel approval process.</t>
  </si>
  <si>
    <t>No reliable evidence that business travel risk management and employee travel approval process is defined, owned or managed.</t>
  </si>
  <si>
    <t>Business travel risk management and employee travel approval process is handled informally and depends on individual knowledge or heroic effort.</t>
  </si>
  <si>
    <t>Business travel risk management and employee travel approval process is partially documented or implemented, but coverage is inconsistent and not crisis-tested.</t>
  </si>
  <si>
    <t>Business travel risk management and employee travel approval process is documented, owned, used in normal operations and supported by basic evidence or metrics.</t>
  </si>
  <si>
    <t>Business travel risk management and employee travel approval process is measured, periodically reviewed, integrated with related processes and tested against relevant disruption scenarios.</t>
  </si>
  <si>
    <t>Business travel risk management and employee travel approval process is optimized, continuously improved, automated where practical and demonstrably supports crisis resilience.</t>
  </si>
  <si>
    <t>Assign owner, collect evidence, assess gaps, define mitigation actions, and test business travel risk management and employee travel approval process against scenarios: Workforce disruption; Pandemic/health crisis; War/security crisis.</t>
  </si>
  <si>
    <t>HRWO-024</t>
  </si>
  <si>
    <t>How mature is the organization in managing health emergency protocols for infectious disease, injury, evacuation and return-to-work, including ownership, evidence, metrics, fallback procedures and crisis stress testing?</t>
  </si>
  <si>
    <t>Policy/SOP; owner/RACI; system report; dashboard; contracts; test records; incident history; interview evidence related to health emergency protocols for infectious disease, injury, evacuation and return-to-work.</t>
  </si>
  <si>
    <t>No reliable evidence that health emergency protocols for infectious disease, injury, evacuation and return-to-work is defined, owned or managed.</t>
  </si>
  <si>
    <t>Health emergency protocols for infectious disease, injury, evacuation and return-to-work is handled informally and depends on individual knowledge or heroic effort.</t>
  </si>
  <si>
    <t>Health emergency protocols for infectious disease, injury, evacuation and return-to-work is partially documented or implemented, but coverage is inconsistent and not crisis-tested.</t>
  </si>
  <si>
    <t>Health emergency protocols for infectious disease, injury, evacuation and return-to-work is documented, owned, used in normal operations and supported by basic evidence or metrics.</t>
  </si>
  <si>
    <t>Health emergency protocols for infectious disease, injury, evacuation and return-to-work is measured, periodically reviewed, integrated with related processes and tested against relevant disruption scenarios.</t>
  </si>
  <si>
    <t>Health emergency protocols for infectious disease, injury, evacuation and return-to-work is optimized, continuously improved, automated where practical and demonstrably supports crisis resilience.</t>
  </si>
  <si>
    <t>Assign owner, collect evidence, assess gaps, define mitigation actions, and test health emergency protocols for infectious disease, injury, evacuation and return-to-work against scenarios: Workforce disruption; Pandemic/health crisis; War/security crisis.</t>
  </si>
  <si>
    <t>Finance Procurement Assessment</t>
  </si>
  <si>
    <t>Purpose: assess how this domain affects crisis impact, continuity and resilience. Main references: COSO Internal Control; COSO ERM; IFRS; ISO 20400; ISO 37001; CIPS.</t>
  </si>
  <si>
    <t>FINA-001</t>
  </si>
  <si>
    <t>How mature is the organization in managing cash visibility by legal entity, bank, currency, restrictions and emergency access, including ownership, evidence, metrics, fallback procedures and crisis stress testing?</t>
  </si>
  <si>
    <t>This topic affects exposure to Financial liquidity crisis; Supplier disruption; Fraud risk. It helps identify how disruption may impact operations, people, revenue, systems, legal exposure or recovery time.</t>
  </si>
  <si>
    <t>COSO Internal Control; COSO ERM; IFRS; ISO 20400; ISO 37001; CIPS</t>
  </si>
  <si>
    <t>Policy/SOP; owner/RACI; system report; dashboard; contracts; test records; incident history; interview evidence related to cash visibility by legal entity, bank, currency, restrictions and emergency access.</t>
  </si>
  <si>
    <t>No reliable evidence that cash visibility by legal entity, bank, currency, restrictions and emergency access is defined, owned or managed.</t>
  </si>
  <si>
    <t>Cash visibility by legal entity, bank, currency, restrictions and emergency access is handled informally and depends on individual knowledge or heroic effort.</t>
  </si>
  <si>
    <t>Cash visibility by legal entity, bank, currency, restrictions and emergency access is partially documented or implemented, but coverage is inconsistent and not crisis-tested.</t>
  </si>
  <si>
    <t>Cash visibility by legal entity, bank, currency, restrictions and emergency access is documented, owned, used in normal operations and supported by basic evidence or metrics.</t>
  </si>
  <si>
    <t>Cash visibility by legal entity, bank, currency, restrictions and emergency access is measured, periodically reviewed, integrated with related processes and tested against relevant disruption scenarios.</t>
  </si>
  <si>
    <t>Cash visibility by legal entity, bank, currency, restrictions and emergency access is optimized, continuously improved, automated where practical and demonstrably supports crisis resilience.</t>
  </si>
  <si>
    <t>Financial liquidity crisis; Supplier disruption; Fraud risk</t>
  </si>
  <si>
    <t>CFO / Procurement</t>
  </si>
  <si>
    <t>Assign owner, collect evidence, assess gaps, define mitigation actions, and test cash visibility by legal entity, bank, currency, restrictions and emergency access against scenarios: Financial liquidity crisis; Supplier disruption; Fraud risk.</t>
  </si>
  <si>
    <t>FINA-002</t>
  </si>
  <si>
    <t>How mature is the organization in managing cash-flow forecasting under base, downside and severe crisis scenarios, including ownership, evidence, metrics, fallback procedures and crisis stress testing?</t>
  </si>
  <si>
    <t>Policy/SOP; owner/RACI; system report; dashboard; contracts; test records; incident history; interview evidence related to cash-flow forecasting under base, downside and severe crisis scenarios.</t>
  </si>
  <si>
    <t>No reliable evidence that cash-flow forecasting under base, downside and severe crisis scenarios is defined, owned or managed.</t>
  </si>
  <si>
    <t>Cash-flow forecasting under base, downside and severe crisis scenarios is handled informally and depends on individual knowledge or heroic effort.</t>
  </si>
  <si>
    <t>Cash-flow forecasting under base, downside and severe crisis scenarios is partially documented or implemented, but coverage is inconsistent and not crisis-tested.</t>
  </si>
  <si>
    <t>Cash-flow forecasting under base, downside and severe crisis scenarios is documented, owned, used in normal operations and supported by basic evidence or metrics.</t>
  </si>
  <si>
    <t>Cash-flow forecasting under base, downside and severe crisis scenarios is measured, periodically reviewed, integrated with related processes and tested against relevant disruption scenarios.</t>
  </si>
  <si>
    <t>Cash-flow forecasting under base, downside and severe crisis scenarios is optimized, continuously improved, automated where practical and demonstrably supports crisis resilience.</t>
  </si>
  <si>
    <t>Assign owner, collect evidence, assess gaps, define mitigation actions, and test cash-flow forecasting under base, downside and severe crisis scenarios against scenarios: Financial liquidity crisis; Supplier disruption; Fraud risk.</t>
  </si>
  <si>
    <t>FINA-003</t>
  </si>
  <si>
    <t>How mature is the organization in managing liquidity buffers, credit lines, emergency funding options and covenant monitoring, including ownership, evidence, metrics, fallback procedures and crisis stress testing?</t>
  </si>
  <si>
    <t>Policy/SOP; owner/RACI; system report; dashboard; contracts; test records; incident history; interview evidence related to liquidity buffers, credit lines, emergency funding options and covenant monitoring.</t>
  </si>
  <si>
    <t>No reliable evidence that liquidity buffers, credit lines, emergency funding options and covenant monitoring is defined, owned or managed.</t>
  </si>
  <si>
    <t>Liquidity buffers, credit lines, emergency funding options and covenant monitoring is handled informally and depends on individual knowledge or heroic effort.</t>
  </si>
  <si>
    <t>Liquidity buffers, credit lines, emergency funding options and covenant monitoring is partially documented or implemented, but coverage is inconsistent and not crisis-tested.</t>
  </si>
  <si>
    <t>Liquidity buffers, credit lines, emergency funding options and covenant monitoring is documented, owned, used in normal operations and supported by basic evidence or metrics.</t>
  </si>
  <si>
    <t>Liquidity buffers, credit lines, emergency funding options and covenant monitoring is measured, periodically reviewed, integrated with related processes and tested against relevant disruption scenarios.</t>
  </si>
  <si>
    <t>Liquidity buffers, credit lines, emergency funding options and covenant monitoring is optimized, continuously improved, automated where practical and demonstrably supports crisis resilience.</t>
  </si>
  <si>
    <t>Assign owner, collect evidence, assess gaps, define mitigation actions, and test liquidity buffers, credit lines, emergency funding options and covenant monitoring against scenarios: Financial liquidity crisis; Supplier disruption; Fraud risk.</t>
  </si>
  <si>
    <t>FINA-004</t>
  </si>
  <si>
    <t>How mature is the organization in managing driver-based financial forecasting linked to sales, delivery, workforce, inventory and production, including ownership, evidence, metrics, fallback procedures and crisis stress testing?</t>
  </si>
  <si>
    <t>Policy/SOP; owner/RACI; system report; dashboard; contracts; test records; incident history; interview evidence related to driver-based financial forecasting linked to sales, delivery, workforce, inventory and production.</t>
  </si>
  <si>
    <t>No reliable evidence that driver-based financial forecasting linked to sales, delivery, workforce, inventory and production is defined, owned or managed.</t>
  </si>
  <si>
    <t>Driver-based financial forecasting linked to sales, delivery, workforce, inventory and production is handled informally and depends on individual knowledge or heroic effort.</t>
  </si>
  <si>
    <t>Driver-based financial forecasting linked to sales, delivery, workforce, inventory and production is partially documented or implemented, but coverage is inconsistent and not crisis-tested.</t>
  </si>
  <si>
    <t>Driver-based financial forecasting linked to sales, delivery, workforce, inventory and production is documented, owned, used in normal operations and supported by basic evidence or metrics.</t>
  </si>
  <si>
    <t>Driver-based financial forecasting linked to sales, delivery, workforce, inventory and production is measured, periodically reviewed, integrated with related processes and tested against relevant disruption scenarios.</t>
  </si>
  <si>
    <t>Driver-based financial forecasting linked to sales, delivery, workforce, inventory and production is optimized, continuously improved, automated where practical and demonstrably supports crisis resilience.</t>
  </si>
  <si>
    <t>Assign owner, collect evidence, assess gaps, define mitigation actions, and test driver-based financial forecasting linked to sales, delivery, workforce, inventory and production against scenarios: Financial liquidity crisis; Supplier disruption; Fraud risk.</t>
  </si>
  <si>
    <t>FINA-005</t>
  </si>
  <si>
    <t>How mature is the organization in managing budget flexibility and emergency reallocation rules, including ownership, evidence, metrics, fallback procedures and crisis stress testing?</t>
  </si>
  <si>
    <t>Policy/SOP; owner/RACI; system report; dashboard; contracts; test records; incident history; interview evidence related to budget flexibility and emergency reallocation rules.</t>
  </si>
  <si>
    <t>No reliable evidence that budget flexibility and emergency reallocation rules is defined, owned or managed.</t>
  </si>
  <si>
    <t>Budget flexibility and emergency reallocation rules is handled informally and depends on individual knowledge or heroic effort.</t>
  </si>
  <si>
    <t>Budget flexibility and emergency reallocation rules is partially documented or implemented, but coverage is inconsistent and not crisis-tested.</t>
  </si>
  <si>
    <t>Budget flexibility and emergency reallocation rules is documented, owned, used in normal operations and supported by basic evidence or metrics.</t>
  </si>
  <si>
    <t>Budget flexibility and emergency reallocation rules is measured, periodically reviewed, integrated with related processes and tested against relevant disruption scenarios.</t>
  </si>
  <si>
    <t>Budget flexibility and emergency reallocation rules is optimized, continuously improved, automated where practical and demonstrably supports crisis resilience.</t>
  </si>
  <si>
    <t>Assign owner, collect evidence, assess gaps, define mitigation actions, and test budget flexibility and emergency reallocation rules against scenarios: Financial liquidity crisis; Supplier disruption; Fraud risk.</t>
  </si>
  <si>
    <t>FINA-006</t>
  </si>
  <si>
    <t>How mature is the organization in managing financial stress tests for revenue collapse, currency shock, supplier price spikes, debt pressure and delayed receivables, including ownership, evidence, metrics, fallback procedures and crisis stress testing?</t>
  </si>
  <si>
    <t>Policy/SOP; owner/RACI; system report; dashboard; contracts; test records; incident history; interview evidence related to financial stress tests for revenue collapse, currency shock, supplier price spikes, debt pressure and delayed receivables.</t>
  </si>
  <si>
    <t>No reliable evidence that financial stress tests for revenue collapse, currency shock, supplier price spikes, debt pressure and delayed receivables is defined, owned or managed.</t>
  </si>
  <si>
    <t>Financial stress tests for revenue collapse, currency shock, supplier price spikes, debt pressure and delayed receivables is handled informally and depends on individual knowledge or heroic effort.</t>
  </si>
  <si>
    <t>Financial stress tests for revenue collapse, currency shock, supplier price spikes, debt pressure and delayed receivables is partially documented or implemented, but coverage is inconsistent and not crisis-tested.</t>
  </si>
  <si>
    <t>Financial stress tests for revenue collapse, currency shock, supplier price spikes, debt pressure and delayed receivables is documented, owned, used in normal operations and supported by basic evidence or metrics.</t>
  </si>
  <si>
    <t>Financial stress tests for revenue collapse, currency shock, supplier price spikes, debt pressure and delayed receivables is measured, periodically reviewed, integrated with related processes and tested against relevant disruption scenarios.</t>
  </si>
  <si>
    <t>Financial stress tests for revenue collapse, currency shock, supplier price spikes, debt pressure and delayed receivables is optimized, continuously improved, automated where practical and demonstrably supports crisis resilience.</t>
  </si>
  <si>
    <t>Assign owner, collect evidence, assess gaps, define mitigation actions, and test financial stress tests for revenue collapse, currency shock, supplier price spikes, debt pressure and delayed receivables against scenarios: Financial liquidity crisis; Supplier disruption; Fraud risk.</t>
  </si>
  <si>
    <t>FINA-007</t>
  </si>
  <si>
    <t>How mature is the organization in managing approval limits and emergency approvals resilient if key approvers are unavailable, including ownership, evidence, metrics, fallback procedures and crisis stress testing?</t>
  </si>
  <si>
    <t>Policy/SOP; owner/RACI; system report; dashboard; contracts; test records; incident history; interview evidence related to approval limits and emergency approvals resilient if key approvers are unavailable.</t>
  </si>
  <si>
    <t>No reliable evidence that approval limits and emergency approvals resilient if key approvers are unavailable is defined, owned or managed.</t>
  </si>
  <si>
    <t>Approval limits and emergency approvals resilient if key approvers are unavailable is handled informally and depends on individual knowledge or heroic effort.</t>
  </si>
  <si>
    <t>Approval limits and emergency approvals resilient if key approvers are unavailable is partially documented or implemented, but coverage is inconsistent and not crisis-tested.</t>
  </si>
  <si>
    <t>Approval limits and emergency approvals resilient if key approvers are unavailable is documented, owned, used in normal operations and supported by basic evidence or metrics.</t>
  </si>
  <si>
    <t>Approval limits and emergency approvals resilient if key approvers are unavailable is measured, periodically reviewed, integrated with related processes and tested against relevant disruption scenarios.</t>
  </si>
  <si>
    <t>Approval limits and emergency approvals resilient if key approvers are unavailable is optimized, continuously improved, automated where practical and demonstrably supports crisis resilience.</t>
  </si>
  <si>
    <t>Assign owner, collect evidence, assess gaps, define mitigation actions, and test approval limits and emergency approvals resilient if key approvers are unavailable against scenarios: Financial liquidity crisis; Supplier disruption; Fraud risk.</t>
  </si>
  <si>
    <t>FINA-008</t>
  </si>
  <si>
    <t>How mature is the organization in managing segregation of duties in finance, procurement, ERP and payment processes, including ownership, evidence, metrics, fallback procedures and crisis stress testing?</t>
  </si>
  <si>
    <t>Policy/SOP; owner/RACI; system report; dashboard; contracts; test records; incident history; interview evidence related to segregation of duties in finance, procurement, ERP and payment processes.</t>
  </si>
  <si>
    <t>No reliable evidence that segregation of duties in finance, procurement, erp and payment processes is defined, owned or managed.</t>
  </si>
  <si>
    <t>Segregation of duties in finance, procurement, ERP and payment processes is handled informally and depends on individual knowledge or heroic effort.</t>
  </si>
  <si>
    <t>Segregation of duties in finance, procurement, ERP and payment processes is partially documented or implemented, but coverage is inconsistent and not crisis-tested.</t>
  </si>
  <si>
    <t>Segregation of duties in finance, procurement, ERP and payment processes is documented, owned, used in normal operations and supported by basic evidence or metrics.</t>
  </si>
  <si>
    <t>Segregation of duties in finance, procurement, ERP and payment processes is measured, periodically reviewed, integrated with related processes and tested against relevant disruption scenarios.</t>
  </si>
  <si>
    <t>Segregation of duties in finance, procurement, ERP and payment processes is optimized, continuously improved, automated where practical and demonstrably supports crisis resilience.</t>
  </si>
  <si>
    <t>Assign owner, collect evidence, assess gaps, define mitigation actions, and test segregation of duties in finance, procurement, ERP and payment processes against scenarios: Financial liquidity crisis; Supplier disruption; Fraud risk.</t>
  </si>
  <si>
    <t>FINA-009</t>
  </si>
  <si>
    <t>How mature is the organization in managing month-end close continuity under remote work, system outage or unavailable finance staff, including ownership, evidence, metrics, fallback procedures and crisis stress testing?</t>
  </si>
  <si>
    <t>Policy/SOP; owner/RACI; system report; dashboard; contracts; test records; incident history; interview evidence related to month-end close continuity under remote work, system outage or unavailable finance staff.</t>
  </si>
  <si>
    <t>No reliable evidence that month-end close continuity under remote work, system outage or unavailable finance staff is defined, owned or managed.</t>
  </si>
  <si>
    <t>Month-end close continuity under remote work, system outage or unavailable finance staff is handled informally and depends on individual knowledge or heroic effort.</t>
  </si>
  <si>
    <t>Month-end close continuity under remote work, system outage or unavailable finance staff is partially documented or implemented, but coverage is inconsistent and not crisis-tested.</t>
  </si>
  <si>
    <t>Month-end close continuity under remote work, system outage or unavailable finance staff is documented, owned, used in normal operations and supported by basic evidence or metrics.</t>
  </si>
  <si>
    <t>Month-end close continuity under remote work, system outage or unavailable finance staff is measured, periodically reviewed, integrated with related processes and tested against relevant disruption scenarios.</t>
  </si>
  <si>
    <t>Month-end close continuity under remote work, system outage or unavailable finance staff is optimized, continuously improved, automated where practical and demonstrably supports crisis resilience.</t>
  </si>
  <si>
    <t>Assign owner, collect evidence, assess gaps, define mitigation actions, and test month-end close continuity under remote work, system outage or unavailable finance staff against scenarios: Financial liquidity crisis; Supplier disruption; Fraud risk.</t>
  </si>
  <si>
    <t>FINA-010</t>
  </si>
  <si>
    <t>How mature is the organization in managing manual fallback procedures for billing, payments, payroll, procurement and accounting close, including ownership, evidence, metrics, fallback procedures and crisis stress testing?</t>
  </si>
  <si>
    <t>Policy/SOP; owner/RACI; system report; dashboard; contracts; test records; incident history; interview evidence related to manual fallback procedures for billing, payments, payroll, procurement and accounting close.</t>
  </si>
  <si>
    <t>No reliable evidence that manual fallback procedures for billing, payments, payroll, procurement and accounting close is defined, owned or managed.</t>
  </si>
  <si>
    <t>Manual fallback procedures for billing, payments, payroll, procurement and accounting close is handled informally and depends on individual knowledge or heroic effort.</t>
  </si>
  <si>
    <t>Manual fallback procedures for billing, payments, payroll, procurement and accounting close is partially documented or implemented, but coverage is inconsistent and not crisis-tested.</t>
  </si>
  <si>
    <t>Manual fallback procedures for billing, payments, payroll, procurement and accounting close is documented, owned, used in normal operations and supported by basic evidence or metrics.</t>
  </si>
  <si>
    <t>Manual fallback procedures for billing, payments, payroll, procurement and accounting close is measured, periodically reviewed, integrated with related processes and tested against relevant disruption scenarios.</t>
  </si>
  <si>
    <t>Manual fallback procedures for billing, payments, payroll, procurement and accounting close is optimized, continuously improved, automated where practical and demonstrably supports crisis resilience.</t>
  </si>
  <si>
    <t>Assign owner, collect evidence, assess gaps, define mitigation actions, and test manual fallback procedures for billing, payments, payroll, procurement and accounting close against scenarios: Financial liquidity crisis; Supplier disruption; Fraud risk.</t>
  </si>
  <si>
    <t>FINA-011</t>
  </si>
  <si>
    <t>How mature is the organization in managing fraud risk controls for fake invoices, payment diversion, supplier impersonation and business email compromise, including ownership, evidence, metrics, fallback procedures and crisis stress testing?</t>
  </si>
  <si>
    <t>Policy/SOP; owner/RACI; system report; dashboard; contracts; test records; incident history; interview evidence related to fraud risk controls for fake invoices, payment diversion, supplier impersonation and business email compromise.</t>
  </si>
  <si>
    <t>No reliable evidence that fraud risk controls for fake invoices, payment diversion, supplier impersonation and business email compromise is defined, owned or managed.</t>
  </si>
  <si>
    <t>Fraud risk controls for fake invoices, payment diversion, supplier impersonation and business email compromise is handled informally and depends on individual knowledge or heroic effort.</t>
  </si>
  <si>
    <t>Fraud risk controls for fake invoices, payment diversion, supplier impersonation and business email compromise is partially documented or implemented, but coverage is inconsistent and not crisis-tested.</t>
  </si>
  <si>
    <t>Fraud risk controls for fake invoices, payment diversion, supplier impersonation and business email compromise is documented, owned, used in normal operations and supported by basic evidence or metrics.</t>
  </si>
  <si>
    <t>Fraud risk controls for fake invoices, payment diversion, supplier impersonation and business email compromise is measured, periodically reviewed, integrated with related processes and tested against relevant disruption scenarios.</t>
  </si>
  <si>
    <t>Fraud risk controls for fake invoices, payment diversion, supplier impersonation and business email compromise is optimized, continuously improved, automated where practical and demonstrably supports crisis resilience.</t>
  </si>
  <si>
    <t>Assign owner, collect evidence, assess gaps, define mitigation actions, and test fraud risk controls for fake invoices, payment diversion, supplier impersonation and business email compromise against scenarios: Financial liquidity crisis; Supplier disruption; Fraud risk.</t>
  </si>
  <si>
    <t>FINA-012</t>
  </si>
  <si>
    <t>How mature is the organization in managing finance master data controls for chart of accounts, cost centers, vendors, customers and reporting dimensions, including ownership, evidence, metrics, fallback procedures and crisis stress testing?</t>
  </si>
  <si>
    <t>Policy/SOP; owner/RACI; system report; dashboard; contracts; test records; incident history; interview evidence related to finance master data controls for chart of accounts, cost centers, vendors, customers and reporting dimensions.</t>
  </si>
  <si>
    <t>No reliable evidence that finance master data controls for chart of accounts, cost centers, vendors, customers and reporting dimensions is defined, owned or managed.</t>
  </si>
  <si>
    <t>Finance master data controls for chart of accounts, cost centers, vendors, customers and reporting dimensions is handled informally and depends on individual knowledge or heroic effort.</t>
  </si>
  <si>
    <t>Finance master data controls for chart of accounts, cost centers, vendors, customers and reporting dimensions is partially documented or implemented, but coverage is inconsistent and not crisis-tested.</t>
  </si>
  <si>
    <t>Finance master data controls for chart of accounts, cost centers, vendors, customers and reporting dimensions is documented, owned, used in normal operations and supported by basic evidence or metrics.</t>
  </si>
  <si>
    <t>Finance master data controls for chart of accounts, cost centers, vendors, customers and reporting dimensions is measured, periodically reviewed, integrated with related processes and tested against relevant disruption scenarios.</t>
  </si>
  <si>
    <t>Finance master data controls for chart of accounts, cost centers, vendors, customers and reporting dimensions is optimized, continuously improved, automated where practical and demonstrably supports crisis resilience.</t>
  </si>
  <si>
    <t>Assign owner, collect evidence, assess gaps, define mitigation actions, and test finance master data controls for chart of accounts, cost centers, vendors, customers and reporting dimensions against scenarios: Financial liquidity crisis; Supplier disruption; Fraud risk.</t>
  </si>
  <si>
    <t>FINA-013</t>
  </si>
  <si>
    <t>How mature is the organization in managing procurement policy covering sourcing, approvals, conflicts of interest and emergency purchasing, including ownership, evidence, metrics, fallback procedures and crisis stress testing?</t>
  </si>
  <si>
    <t>Policy/SOP; owner/RACI; system report; dashboard; contracts; test records; incident history; interview evidence related to procurement policy covering sourcing, approvals, conflicts of interest and emergency purchasing.</t>
  </si>
  <si>
    <t>No reliable evidence that procurement policy covering sourcing, approvals, conflicts of interest and emergency purchasing is defined, owned or managed.</t>
  </si>
  <si>
    <t>Procurement policy covering sourcing, approvals, conflicts of interest and emergency purchasing is handled informally and depends on individual knowledge or heroic effort.</t>
  </si>
  <si>
    <t>Procurement policy covering sourcing, approvals, conflicts of interest and emergency purchasing is partially documented or implemented, but coverage is inconsistent and not crisis-tested.</t>
  </si>
  <si>
    <t>Procurement policy covering sourcing, approvals, conflicts of interest and emergency purchasing is documented, owned, used in normal operations and supported by basic evidence or metrics.</t>
  </si>
  <si>
    <t>Procurement policy covering sourcing, approvals, conflicts of interest and emergency purchasing is measured, periodically reviewed, integrated with related processes and tested against relevant disruption scenarios.</t>
  </si>
  <si>
    <t>Procurement policy covering sourcing, approvals, conflicts of interest and emergency purchasing is optimized, continuously improved, automated where practical and demonstrably supports crisis resilience.</t>
  </si>
  <si>
    <t>Assign owner, collect evidence, assess gaps, define mitigation actions, and test procurement policy covering sourcing, approvals, conflicts of interest and emergency purchasing against scenarios: Financial liquidity crisis; Supplier disruption; Fraud risk.</t>
  </si>
  <si>
    <t>FINA-014</t>
  </si>
  <si>
    <t>How mature is the organization in managing critical supplier classification by business impact, replaceability, geography, financial health and SLA, including ownership, evidence, metrics, fallback procedures and crisis stress testing?</t>
  </si>
  <si>
    <t>Policy/SOP; owner/RACI; system report; dashboard; contracts; test records; incident history; interview evidence related to critical supplier classification by business impact, replaceability, geography, financial health and SLA.</t>
  </si>
  <si>
    <t>No reliable evidence that critical supplier classification by business impact, replaceability, geography, financial health and sla is defined, owned or managed.</t>
  </si>
  <si>
    <t>Critical supplier classification by business impact, replaceability, geography, financial health and SLA is handled informally and depends on individual knowledge or heroic effort.</t>
  </si>
  <si>
    <t>Critical supplier classification by business impact, replaceability, geography, financial health and SLA is partially documented or implemented, but coverage is inconsistent and not crisis-tested.</t>
  </si>
  <si>
    <t>Critical supplier classification by business impact, replaceability, geography, financial health and SLA is documented, owned, used in normal operations and supported by basic evidence or metrics.</t>
  </si>
  <si>
    <t>Critical supplier classification by business impact, replaceability, geography, financial health and SLA is measured, periodically reviewed, integrated with related processes and tested against relevant disruption scenarios.</t>
  </si>
  <si>
    <t>Critical supplier classification by business impact, replaceability, geography, financial health and SLA is optimized, continuously improved, automated where practical and demonstrably supports crisis resilience.</t>
  </si>
  <si>
    <t>Assign owner, collect evidence, assess gaps, define mitigation actions, and test critical supplier classification by business impact, replaceability, geography, financial health and SLA against scenarios: Financial liquidity crisis; Supplier disruption; Fraud risk.</t>
  </si>
  <si>
    <t>FINA-015</t>
  </si>
  <si>
    <t>How mature is the organization in managing single-source and sole-source supplier exposure and mitigation plans, including ownership, evidence, metrics, fallback procedures and crisis stress testing?</t>
  </si>
  <si>
    <t>Policy/SOP; owner/RACI; system report; dashboard; contracts; test records; incident history; interview evidence related to single-source and sole-source supplier exposure and mitigation plans.</t>
  </si>
  <si>
    <t>No reliable evidence that single-source and sole-source supplier exposure and mitigation plans is defined, owned or managed.</t>
  </si>
  <si>
    <t>Single-source and sole-source supplier exposure and mitigation plans is handled informally and depends on individual knowledge or heroic effort.</t>
  </si>
  <si>
    <t>Single-source and sole-source supplier exposure and mitigation plans is partially documented or implemented, but coverage is inconsistent and not crisis-tested.</t>
  </si>
  <si>
    <t>Single-source and sole-source supplier exposure and mitigation plans is documented, owned, used in normal operations and supported by basic evidence or metrics.</t>
  </si>
  <si>
    <t>Single-source and sole-source supplier exposure and mitigation plans is measured, periodically reviewed, integrated with related processes and tested against relevant disruption scenarios.</t>
  </si>
  <si>
    <t>Single-source and sole-source supplier exposure and mitigation plans is optimized, continuously improved, automated where practical and demonstrably supports crisis resilience.</t>
  </si>
  <si>
    <t>Assign owner, collect evidence, assess gaps, define mitigation actions, and test single-source and sole-source supplier exposure and mitigation plans against scenarios: Financial liquidity crisis; Supplier disruption; Fraud risk.</t>
  </si>
  <si>
    <t>FINA-016</t>
  </si>
  <si>
    <t>How mature is the organization in managing supplier financial health, sanctions, insurance, delivery reliability and crisis exposure monitoring, including ownership, evidence, metrics, fallback procedures and crisis stress testing?</t>
  </si>
  <si>
    <t>Policy/SOP; owner/RACI; system report; dashboard; contracts; test records; incident history; interview evidence related to supplier financial health, sanctions, insurance, delivery reliability and crisis exposure monitoring.</t>
  </si>
  <si>
    <t>No reliable evidence that supplier financial health, sanctions, insurance, delivery reliability and crisis exposure monitoring is defined, owned or managed.</t>
  </si>
  <si>
    <t>Supplier financial health, sanctions, insurance, delivery reliability and crisis exposure monitoring is handled informally and depends on individual knowledge or heroic effort.</t>
  </si>
  <si>
    <t>Supplier financial health, sanctions, insurance, delivery reliability and crisis exposure monitoring is partially documented or implemented, but coverage is inconsistent and not crisis-tested.</t>
  </si>
  <si>
    <t>Supplier financial health, sanctions, insurance, delivery reliability and crisis exposure monitoring is documented, owned, used in normal operations and supported by basic evidence or metrics.</t>
  </si>
  <si>
    <t>Supplier financial health, sanctions, insurance, delivery reliability and crisis exposure monitoring is measured, periodically reviewed, integrated with related processes and tested against relevant disruption scenarios.</t>
  </si>
  <si>
    <t>Supplier financial health, sanctions, insurance, delivery reliability and crisis exposure monitoring is optimized, continuously improved, automated where practical and demonstrably supports crisis resilience.</t>
  </si>
  <si>
    <t>Assign owner, collect evidence, assess gaps, define mitigation actions, and test supplier financial health, sanctions, insurance, delivery reliability and crisis exposure monitoring against scenarios: Financial liquidity crisis; Supplier disruption; Fraud risk.</t>
  </si>
  <si>
    <t>FINA-017</t>
  </si>
  <si>
    <t>How mature is the organization in managing alternative suppliers pre-qualified for critical goods, services, logistics, cloud and contractors, including ownership, evidence, metrics, fallback procedures and crisis stress testing?</t>
  </si>
  <si>
    <t>Policy/SOP; owner/RACI; system report; dashboard; contracts; test records; incident history; interview evidence related to alternative suppliers pre-qualified for critical goods, services, logistics, cloud and contractors.</t>
  </si>
  <si>
    <t>No reliable evidence that alternative suppliers pre-qualified for critical goods, services, logistics, cloud and contractors is defined, owned or managed.</t>
  </si>
  <si>
    <t>Alternative suppliers pre-qualified for critical goods, services, logistics, cloud and contractors is handled informally and depends on individual knowledge or heroic effort.</t>
  </si>
  <si>
    <t>Alternative suppliers pre-qualified for critical goods, services, logistics, cloud and contractors is partially documented or implemented, but coverage is inconsistent and not crisis-tested.</t>
  </si>
  <si>
    <t>Alternative suppliers pre-qualified for critical goods, services, logistics, cloud and contractors is documented, owned, used in normal operations and supported by basic evidence or metrics.</t>
  </si>
  <si>
    <t>Alternative suppliers pre-qualified for critical goods, services, logistics, cloud and contractors is measured, periodically reviewed, integrated with related processes and tested against relevant disruption scenarios.</t>
  </si>
  <si>
    <t>Alternative suppliers pre-qualified for critical goods, services, logistics, cloud and contractors is optimized, continuously improved, automated where practical and demonstrably supports crisis resilience.</t>
  </si>
  <si>
    <t>Assign owner, collect evidence, assess gaps, define mitigation actions, and test alternative suppliers pre-qualified for critical goods, services, logistics, cloud and contractors against scenarios: Financial liquidity crisis; Supplier disruption; Fraud risk.</t>
  </si>
  <si>
    <t>FINA-018</t>
  </si>
  <si>
    <t>How mature is the organization in managing emergency purchasing process that preserves essential controls and fraud prevention, including ownership, evidence, metrics, fallback procedures and crisis stress testing?</t>
  </si>
  <si>
    <t>Policy/SOP; owner/RACI; system report; dashboard; contracts; test records; incident history; interview evidence related to emergency purchasing process that preserves essential controls and fraud prevention.</t>
  </si>
  <si>
    <t>No reliable evidence that emergency purchasing process that preserves essential controls and fraud prevention is defined, owned or managed.</t>
  </si>
  <si>
    <t>Emergency purchasing process that preserves essential controls and fraud prevention is handled informally and depends on individual knowledge or heroic effort.</t>
  </si>
  <si>
    <t>Emergency purchasing process that preserves essential controls and fraud prevention is partially documented or implemented, but coverage is inconsistent and not crisis-tested.</t>
  </si>
  <si>
    <t>Emergency purchasing process that preserves essential controls and fraud prevention is documented, owned, used in normal operations and supported by basic evidence or metrics.</t>
  </si>
  <si>
    <t>Emergency purchasing process that preserves essential controls and fraud prevention is measured, periodically reviewed, integrated with related processes and tested against relevant disruption scenarios.</t>
  </si>
  <si>
    <t>Emergency purchasing process that preserves essential controls and fraud prevention is optimized, continuously improved, automated where practical and demonstrably supports crisis resilience.</t>
  </si>
  <si>
    <t>Assign owner, collect evidence, assess gaps, define mitigation actions, and test emergency purchasing process that preserves essential controls and fraud prevention against scenarios: Financial liquidity crisis; Supplier disruption; Fraud risk.</t>
  </si>
  <si>
    <t>FINA-019</t>
  </si>
  <si>
    <t>How mature is the organization in managing purchasing triggers linked to demand, lead time, minimum stock and crisis buffers, including ownership, evidence, metrics, fallback procedures and crisis stress testing?</t>
  </si>
  <si>
    <t>Policy/SOP; owner/RACI; system report; dashboard; contracts; test records; incident history; interview evidence related to purchasing triggers linked to demand, lead time, minimum stock and crisis buffers.</t>
  </si>
  <si>
    <t>No reliable evidence that purchasing triggers linked to demand, lead time, minimum stock and crisis buffers is defined, owned or managed.</t>
  </si>
  <si>
    <t>Purchasing triggers linked to demand, lead time, minimum stock and crisis buffers is handled informally and depends on individual knowledge or heroic effort.</t>
  </si>
  <si>
    <t>Purchasing triggers linked to demand, lead time, minimum stock and crisis buffers is partially documented or implemented, but coverage is inconsistent and not crisis-tested.</t>
  </si>
  <si>
    <t>Purchasing triggers linked to demand, lead time, minimum stock and crisis buffers is documented, owned, used in normal operations and supported by basic evidence or metrics.</t>
  </si>
  <si>
    <t>Purchasing triggers linked to demand, lead time, minimum stock and crisis buffers is measured, periodically reviewed, integrated with related processes and tested against relevant disruption scenarios.</t>
  </si>
  <si>
    <t>Purchasing triggers linked to demand, lead time, minimum stock and crisis buffers is optimized, continuously improved, automated where practical and demonstrably supports crisis resilience.</t>
  </si>
  <si>
    <t>Assign owner, collect evidence, assess gaps, define mitigation actions, and test purchasing triggers linked to demand, lead time, minimum stock and crisis buffers against scenarios: Financial liquidity crisis; Supplier disruption; Fraud risk.</t>
  </si>
  <si>
    <t>FINA-020</t>
  </si>
  <si>
    <t>How mature is the organization in managing receivables aging, customer payment risk and collection scenarios, including ownership, evidence, metrics, fallback procedures and crisis stress testing?</t>
  </si>
  <si>
    <t>Policy/SOP; owner/RACI; system report; dashboard; contracts; test records; incident history; interview evidence related to receivables aging, customer payment risk and collection scenarios.</t>
  </si>
  <si>
    <t>No reliable evidence that receivables aging, customer payment risk and collection scenarios is defined, owned or managed.</t>
  </si>
  <si>
    <t>Receivables aging, customer payment risk and collection scenarios is handled informally and depends on individual knowledge or heroic effort.</t>
  </si>
  <si>
    <t>Receivables aging, customer payment risk and collection scenarios is partially documented or implemented, but coverage is inconsistent and not crisis-tested.</t>
  </si>
  <si>
    <t>Receivables aging, customer payment risk and collection scenarios is documented, owned, used in normal operations and supported by basic evidence or metrics.</t>
  </si>
  <si>
    <t>Receivables aging, customer payment risk and collection scenarios is measured, periodically reviewed, integrated with related processes and tested against relevant disruption scenarios.</t>
  </si>
  <si>
    <t>Receivables aging, customer payment risk and collection scenarios is optimized, continuously improved, automated where practical and demonstrably supports crisis resilience.</t>
  </si>
  <si>
    <t>Assign owner, collect evidence, assess gaps, define mitigation actions, and test receivables aging, customer payment risk and collection scenarios against scenarios: Financial liquidity crisis; Supplier disruption; Fraud risk.</t>
  </si>
  <si>
    <t>FINA-021</t>
  </si>
  <si>
    <t>How mature is the organization in managing supplier payment priority rules during cash constraint, including ownership, evidence, metrics, fallback procedures and crisis stress testing?</t>
  </si>
  <si>
    <t>Policy/SOP; owner/RACI; system report; dashboard; contracts; test records; incident history; interview evidence related to supplier payment priority rules during cash constraint.</t>
  </si>
  <si>
    <t>No reliable evidence that supplier payment priority rules during cash constraint is defined, owned or managed.</t>
  </si>
  <si>
    <t>Supplier payment priority rules during cash constraint is handled informally and depends on individual knowledge or heroic effort.</t>
  </si>
  <si>
    <t>Supplier payment priority rules during cash constraint is partially documented or implemented, but coverage is inconsistent and not crisis-tested.</t>
  </si>
  <si>
    <t>Supplier payment priority rules during cash constraint is documented, owned, used in normal operations and supported by basic evidence or metrics.</t>
  </si>
  <si>
    <t>Supplier payment priority rules during cash constraint is measured, periodically reviewed, integrated with related processes and tested against relevant disruption scenarios.</t>
  </si>
  <si>
    <t>Supplier payment priority rules during cash constraint is optimized, continuously improved, automated where practical and demonstrably supports crisis resilience.</t>
  </si>
  <si>
    <t>Assign owner, collect evidence, assess gaps, define mitigation actions, and test supplier payment priority rules during cash constraint against scenarios: Financial liquidity crisis; Supplier disruption; Fraud risk.</t>
  </si>
  <si>
    <t>FINA-022</t>
  </si>
  <si>
    <t>How mature is the organization in managing banking resilience with backup banks, signatories, online access and payment release fallback, including ownership, evidence, metrics, fallback procedures and crisis stress testing?</t>
  </si>
  <si>
    <t>Policy/SOP; owner/RACI; system report; dashboard; contracts; test records; incident history; interview evidence related to banking resilience with backup banks, signatories, online access and payment release fallback.</t>
  </si>
  <si>
    <t>No reliable evidence that banking resilience with backup banks, signatories, online access and payment release fallback is defined, owned or managed.</t>
  </si>
  <si>
    <t>Banking resilience with backup banks, signatories, online access and payment release fallback is handled informally and depends on individual knowledge or heroic effort.</t>
  </si>
  <si>
    <t>Banking resilience with backup banks, signatories, online access and payment release fallback is partially documented or implemented, but coverage is inconsistent and not crisis-tested.</t>
  </si>
  <si>
    <t>Banking resilience with backup banks, signatories, online access and payment release fallback is documented, owned, used in normal operations and supported by basic evidence or metrics.</t>
  </si>
  <si>
    <t>Banking resilience with backup banks, signatories, online access and payment release fallback is measured, periodically reviewed, integrated with related processes and tested against relevant disruption scenarios.</t>
  </si>
  <si>
    <t>Banking resilience with backup banks, signatories, online access and payment release fallback is optimized, continuously improved, automated where practical and demonstrably supports crisis resilience.</t>
  </si>
  <si>
    <t>Assign owner, collect evidence, assess gaps, define mitigation actions, and test banking resilience with backup banks, signatories, online access and payment release fallback against scenarios: Financial liquidity crisis; Supplier disruption; Fraud risk.</t>
  </si>
  <si>
    <t>FINA-023</t>
  </si>
  <si>
    <t>How mature is the organization in managing tax compliance calendar and statutory reporting continuity, including ownership, evidence, metrics, fallback procedures and crisis stress testing?</t>
  </si>
  <si>
    <t>Policy/SOP; owner/RACI; system report; dashboard; contracts; test records; incident history; interview evidence related to tax compliance calendar and statutory reporting continuity.</t>
  </si>
  <si>
    <t>No reliable evidence that tax compliance calendar and statutory reporting continuity is defined, owned or managed.</t>
  </si>
  <si>
    <t>Tax compliance calendar and statutory reporting continuity is handled informally and depends on individual knowledge or heroic effort.</t>
  </si>
  <si>
    <t>Tax compliance calendar and statutory reporting continuity is partially documented or implemented, but coverage is inconsistent and not crisis-tested.</t>
  </si>
  <si>
    <t>Tax compliance calendar and statutory reporting continuity is documented, owned, used in normal operations and supported by basic evidence or metrics.</t>
  </si>
  <si>
    <t>Tax compliance calendar and statutory reporting continuity is measured, periodically reviewed, integrated with related processes and tested against relevant disruption scenarios.</t>
  </si>
  <si>
    <t>Tax compliance calendar and statutory reporting continuity is optimized, continuously improved, automated where practical and demonstrably supports crisis resilience.</t>
  </si>
  <si>
    <t>Assign owner, collect evidence, assess gaps, define mitigation actions, and test tax compliance calendar and statutory reporting continuity against scenarios: Financial liquidity crisis; Supplier disruption; Fraud risk.</t>
  </si>
  <si>
    <t>FINA-024</t>
  </si>
  <si>
    <t>How mature is the organization in managing business interruption insurance fit against realistic recovery scenarios, including ownership, evidence, metrics, fallback procedures and crisis stress testing?</t>
  </si>
  <si>
    <t>Policy/SOP; owner/RACI; system report; dashboard; contracts; test records; incident history; interview evidence related to business interruption insurance fit against realistic recovery scenarios.</t>
  </si>
  <si>
    <t>No reliable evidence that business interruption insurance fit against realistic recovery scenarios is defined, owned or managed.</t>
  </si>
  <si>
    <t>Business interruption insurance fit against realistic recovery scenarios is handled informally and depends on individual knowledge or heroic effort.</t>
  </si>
  <si>
    <t>Business interruption insurance fit against realistic recovery scenarios is partially documented or implemented, but coverage is inconsistent and not crisis-tested.</t>
  </si>
  <si>
    <t>Business interruption insurance fit against realistic recovery scenarios is documented, owned, used in normal operations and supported by basic evidence or metrics.</t>
  </si>
  <si>
    <t>Business interruption insurance fit against realistic recovery scenarios is measured, periodically reviewed, integrated with related processes and tested against relevant disruption scenarios.</t>
  </si>
  <si>
    <t>Business interruption insurance fit against realistic recovery scenarios is optimized, continuously improved, automated where practical and demonstrably supports crisis resilience.</t>
  </si>
  <si>
    <t>Assign owner, collect evidence, assess gaps, define mitigation actions, and test business interruption insurance fit against realistic recovery scenarios against scenarios: Financial liquidity crisis; Supplier disruption; Fraud risk.</t>
  </si>
  <si>
    <t>Legal Risk Assessment</t>
  </si>
  <si>
    <t>Purpose: assess how this domain affects crisis impact, continuity and resilience. Main references: ISO 37301; ISO 31000; ISO 37001; ISO/IEC 27701; GDPR; contract management best practices.</t>
  </si>
  <si>
    <t>LEGA-001</t>
  </si>
  <si>
    <t>How mature is the organization in managing compliance obligations register by jurisdiction, license, customer, industry and function, including ownership, evidence, metrics, fallback procedures and crisis stress testing?</t>
  </si>
  <si>
    <t>This topic affects exposure to Regulatory/legal shock; Contractual exposure; Data breach. It helps identify how disruption may impact operations, people, revenue, systems, legal exposure or recovery time.</t>
  </si>
  <si>
    <t>ISO 37301; ISO 31000; ISO 37001; ISO/IEC 27701; GDPR; contract management best practices</t>
  </si>
  <si>
    <t>Policy/SOP; owner/RACI; system report; dashboard; contracts; test records; incident history; interview evidence related to compliance obligations register by jurisdiction, license, customer, industry and function.</t>
  </si>
  <si>
    <t>No reliable evidence that compliance obligations register by jurisdiction, license, customer, industry and function is defined, owned or managed.</t>
  </si>
  <si>
    <t>Compliance obligations register by jurisdiction, license, customer, industry and function is handled informally and depends on individual knowledge or heroic effort.</t>
  </si>
  <si>
    <t>Compliance obligations register by jurisdiction, license, customer, industry and function is partially documented or implemented, but coverage is inconsistent and not crisis-tested.</t>
  </si>
  <si>
    <t>Compliance obligations register by jurisdiction, license, customer, industry and function is documented, owned, used in normal operations and supported by basic evidence or metrics.</t>
  </si>
  <si>
    <t>Compliance obligations register by jurisdiction, license, customer, industry and function is measured, periodically reviewed, integrated with related processes and tested against relevant disruption scenarios.</t>
  </si>
  <si>
    <t>Compliance obligations register by jurisdiction, license, customer, industry and function is optimized, continuously improved, automated where practical and demonstrably supports crisis resilience.</t>
  </si>
  <si>
    <t>Regulatory/legal shock; Contractual exposure; Data breach</t>
  </si>
  <si>
    <t>Legal / Compliance</t>
  </si>
  <si>
    <t>Assign owner, collect evidence, assess gaps, define mitigation actions, and test compliance obligations register by jurisdiction, license, customer, industry and function against scenarios: Regulatory/legal shock; Contractual exposure; Data breach.</t>
  </si>
  <si>
    <t>LEGA-002</t>
  </si>
  <si>
    <t>How mature is the organization in managing regulatory reporting calendar and emergency reporting triggers for cyber, safety, finance, environment and privacy, including ownership, evidence, metrics, fallback procedures and crisis stress testing?</t>
  </si>
  <si>
    <t>Policy/SOP; owner/RACI; system report; dashboard; contracts; test records; incident history; interview evidence related to regulatory reporting calendar and emergency reporting triggers for cyber, safety, finance, environment and privacy.</t>
  </si>
  <si>
    <t>No reliable evidence that regulatory reporting calendar and emergency reporting triggers for cyber, safety, finance, environment and privacy is defined, owned or managed.</t>
  </si>
  <si>
    <t>Regulatory reporting calendar and emergency reporting triggers for cyber, safety, finance, environment and privacy is handled informally and depends on individual knowledge or heroic effort.</t>
  </si>
  <si>
    <t>Regulatory reporting calendar and emergency reporting triggers for cyber, safety, finance, environment and privacy is partially documented or implemented, but coverage is inconsistent and not crisis-tested.</t>
  </si>
  <si>
    <t>Regulatory reporting calendar and emergency reporting triggers for cyber, safety, finance, environment and privacy is documented, owned, used in normal operations and supported by basic evidence or metrics.</t>
  </si>
  <si>
    <t>Regulatory reporting calendar and emergency reporting triggers for cyber, safety, finance, environment and privacy is measured, periodically reviewed, integrated with related processes and tested against relevant disruption scenarios.</t>
  </si>
  <si>
    <t>Regulatory reporting calendar and emergency reporting triggers for cyber, safety, finance, environment and privacy is optimized, continuously improved, automated where practical and demonstrably supports crisis resilience.</t>
  </si>
  <si>
    <t>Assign owner, collect evidence, assess gaps, define mitigation actions, and test regulatory reporting calendar and emergency reporting triggers for cyber, safety, finance, environment and privacy against scenarios: Regulatory/legal shock; Contractual exposure; Data breach.</t>
  </si>
  <si>
    <t>LEGA-003</t>
  </si>
  <si>
    <t>How mature is the organization in managing sanctions and restricted-party screening for customers, suppliers, owners and payments, including ownership, evidence, metrics, fallback procedures and crisis stress testing?</t>
  </si>
  <si>
    <t>Policy/SOP; owner/RACI; system report; dashboard; contracts; test records; incident history; interview evidence related to sanctions and restricted-party screening for customers, suppliers, owners and payments.</t>
  </si>
  <si>
    <t>No reliable evidence that sanctions and restricted-party screening for customers, suppliers, owners and payments is defined, owned or managed.</t>
  </si>
  <si>
    <t>Sanctions and restricted-party screening for customers, suppliers, owners and payments is handled informally and depends on individual knowledge or heroic effort.</t>
  </si>
  <si>
    <t>Sanctions and restricted-party screening for customers, suppliers, owners and payments is partially documented or implemented, but coverage is inconsistent and not crisis-tested.</t>
  </si>
  <si>
    <t>Sanctions and restricted-party screening for customers, suppliers, owners and payments is documented, owned, used in normal operations and supported by basic evidence or metrics.</t>
  </si>
  <si>
    <t>Sanctions and restricted-party screening for customers, suppliers, owners and payments is measured, periodically reviewed, integrated with related processes and tested against relevant disruption scenarios.</t>
  </si>
  <si>
    <t>Sanctions and restricted-party screening for customers, suppliers, owners and payments is optimized, continuously improved, automated where practical and demonstrably supports crisis resilience.</t>
  </si>
  <si>
    <t>Assign owner, collect evidence, assess gaps, define mitigation actions, and test sanctions and restricted-party screening for customers, suppliers, owners and payments against scenarios: Regulatory/legal shock; Contractual exposure; Data breach.</t>
  </si>
  <si>
    <t>LEGA-004</t>
  </si>
  <si>
    <t>How mature is the organization in managing anti-bribery and corruption controls during emergency procurement and high-pressure sales, including ownership, evidence, metrics, fallback procedures and crisis stress testing?</t>
  </si>
  <si>
    <t>Policy/SOP; owner/RACI; system report; dashboard; contracts; test records; incident history; interview evidence related to anti-bribery and corruption controls during emergency procurement and high-pressure sales.</t>
  </si>
  <si>
    <t>No reliable evidence that anti-bribery and corruption controls during emergency procurement and high-pressure sales is defined, owned or managed.</t>
  </si>
  <si>
    <t>Anti-bribery and corruption controls during emergency procurement and high-pressure sales is handled informally and depends on individual knowledge or heroic effort.</t>
  </si>
  <si>
    <t>Anti-bribery and corruption controls during emergency procurement and high-pressure sales is partially documented or implemented, but coverage is inconsistent and not crisis-tested.</t>
  </si>
  <si>
    <t>Anti-bribery and corruption controls during emergency procurement and high-pressure sales is documented, owned, used in normal operations and supported by basic evidence or metrics.</t>
  </si>
  <si>
    <t>Anti-bribery and corruption controls during emergency procurement and high-pressure sales is measured, periodically reviewed, integrated with related processes and tested against relevant disruption scenarios.</t>
  </si>
  <si>
    <t>Anti-bribery and corruption controls during emergency procurement and high-pressure sales is optimized, continuously improved, automated where practical and demonstrably supports crisis resilience.</t>
  </si>
  <si>
    <t>Assign owner, collect evidence, assess gaps, define mitigation actions, and test anti-bribery and corruption controls during emergency procurement and high-pressure sales against scenarios: Regulatory/legal shock; Contractual exposure; Data breach.</t>
  </si>
  <si>
    <t>LEGA-005</t>
  </si>
  <si>
    <t>How mature is the organization in managing whistleblowing and misconduct reporting mechanism with investigation process, including ownership, evidence, metrics, fallback procedures and crisis stress testing?</t>
  </si>
  <si>
    <t>Policy/SOP; owner/RACI; system report; dashboard; contracts; test records; incident history; interview evidence related to whistleblowing and misconduct reporting mechanism with investigation process.</t>
  </si>
  <si>
    <t>No reliable evidence that whistleblowing and misconduct reporting mechanism with investigation process is defined, owned or managed.</t>
  </si>
  <si>
    <t>Whistleblowing and misconduct reporting mechanism with investigation process is handled informally and depends on individual knowledge or heroic effort.</t>
  </si>
  <si>
    <t>Whistleblowing and misconduct reporting mechanism with investigation process is partially documented or implemented, but coverage is inconsistent and not crisis-tested.</t>
  </si>
  <si>
    <t>Whistleblowing and misconduct reporting mechanism with investigation process is documented, owned, used in normal operations and supported by basic evidence or metrics.</t>
  </si>
  <si>
    <t>Whistleblowing and misconduct reporting mechanism with investigation process is measured, periodically reviewed, integrated with related processes and tested against relevant disruption scenarios.</t>
  </si>
  <si>
    <t>Whistleblowing and misconduct reporting mechanism with investigation process is optimized, continuously improved, automated where practical and demonstrably supports crisis resilience.</t>
  </si>
  <si>
    <t>Assign owner, collect evidence, assess gaps, define mitigation actions, and test whistleblowing and misconduct reporting mechanism with investigation process against scenarios: Regulatory/legal shock; Contractual exposure; Data breach.</t>
  </si>
  <si>
    <t>LEGA-006</t>
  </si>
  <si>
    <t>How mature is the organization in managing legal support continuity if internal or external counsel is unavailable, including ownership, evidence, metrics, fallback procedures and crisis stress testing?</t>
  </si>
  <si>
    <t>Policy/SOP; owner/RACI; system report; dashboard; contracts; test records; incident history; interview evidence related to legal support continuity if internal or external counsel is unavailable.</t>
  </si>
  <si>
    <t>No reliable evidence that legal support continuity if internal or external counsel is unavailable is defined, owned or managed.</t>
  </si>
  <si>
    <t>Legal support continuity if internal or external counsel is unavailable is handled informally and depends on individual knowledge or heroic effort.</t>
  </si>
  <si>
    <t>Legal support continuity if internal or external counsel is unavailable is partially documented or implemented, but coverage is inconsistent and not crisis-tested.</t>
  </si>
  <si>
    <t>Legal support continuity if internal or external counsel is unavailable is documented, owned, used in normal operations and supported by basic evidence or metrics.</t>
  </si>
  <si>
    <t>Legal support continuity if internal or external counsel is unavailable is measured, periodically reviewed, integrated with related processes and tested against relevant disruption scenarios.</t>
  </si>
  <si>
    <t>Legal support continuity if internal or external counsel is unavailable is optimized, continuously improved, automated where practical and demonstrably supports crisis resilience.</t>
  </si>
  <si>
    <t>Assign owner, collect evidence, assess gaps, define mitigation actions, and test legal support continuity if internal or external counsel is unavailable against scenarios: Regulatory/legal shock; Contractual exposure; Data breach.</t>
  </si>
  <si>
    <t>LEGA-007</t>
  </si>
  <si>
    <t>How mature is the organization in managing complete contract register for customers, suppliers, leases, loans, employment, insurance and IP, including ownership, evidence, metrics, fallback procedures and crisis stress testing?</t>
  </si>
  <si>
    <t>Policy/SOP; owner/RACI; system report; dashboard; contracts; test records; incident history; interview evidence related to complete contract register for customers, suppliers, leases, loans, employment, insurance and IP.</t>
  </si>
  <si>
    <t>No reliable evidence that complete contract register for customers, suppliers, leases, loans, employment, insurance and ip is defined, owned or managed.</t>
  </si>
  <si>
    <t>Complete contract register for customers, suppliers, leases, loans, employment, insurance and IP is handled informally and depends on individual knowledge or heroic effort.</t>
  </si>
  <si>
    <t>Complete contract register for customers, suppliers, leases, loans, employment, insurance and IP is partially documented or implemented, but coverage is inconsistent and not crisis-tested.</t>
  </si>
  <si>
    <t>Complete contract register for customers, suppliers, leases, loans, employment, insurance and IP is documented, owned, used in normal operations and supported by basic evidence or metrics.</t>
  </si>
  <si>
    <t>Complete contract register for customers, suppliers, leases, loans, employment, insurance and IP is measured, periodically reviewed, integrated with related processes and tested against relevant disruption scenarios.</t>
  </si>
  <si>
    <t>Complete contract register for customers, suppliers, leases, loans, employment, insurance and IP is optimized, continuously improved, automated where practical and demonstrably supports crisis resilience.</t>
  </si>
  <si>
    <t>Assign owner, collect evidence, assess gaps, define mitigation actions, and test complete contract register for customers, suppliers, leases, loans, employment, insurance and IP against scenarios: Regulatory/legal shock; Contractual exposure; Data breach.</t>
  </si>
  <si>
    <t>LEGA-008</t>
  </si>
  <si>
    <t>How mature is the organization in managing analysis of force majeure, hardship, termination, liability and continuity clauses in critical contracts, including ownership, evidence, metrics, fallback procedures and crisis stress testing?</t>
  </si>
  <si>
    <t>Policy/SOP; owner/RACI; system report; dashboard; contracts; test records; incident history; interview evidence related to analysis of force majeure, hardship, termination, liability and continuity clauses in critical contracts.</t>
  </si>
  <si>
    <t>No reliable evidence that analysis of force majeure, hardship, termination, liability and continuity clauses in critical contracts is defined, owned or managed.</t>
  </si>
  <si>
    <t>Analysis of force majeure, hardship, termination, liability and continuity clauses in critical contracts is handled informally and depends on individual knowledge or heroic effort.</t>
  </si>
  <si>
    <t>Analysis of force majeure, hardship, termination, liability and continuity clauses in critical contracts is partially documented or implemented, but coverage is inconsistent and not crisis-tested.</t>
  </si>
  <si>
    <t>Analysis of force majeure, hardship, termination, liability and continuity clauses in critical contracts is documented, owned, used in normal operations and supported by basic evidence or metrics.</t>
  </si>
  <si>
    <t>Analysis of force majeure, hardship, termination, liability and continuity clauses in critical contracts is measured, periodically reviewed, integrated with related processes and tested against relevant disruption scenarios.</t>
  </si>
  <si>
    <t>Analysis of force majeure, hardship, termination, liability and continuity clauses in critical contracts is optimized, continuously improved, automated where practical and demonstrably supports crisis resilience.</t>
  </si>
  <si>
    <t>Assign owner, collect evidence, assess gaps, define mitigation actions, and test analysis of force majeure, hardship, termination, liability and continuity clauses in critical contracts against scenarios: Regulatory/legal shock; Contractual exposure; Data breach.</t>
  </si>
  <si>
    <t>LEGA-009</t>
  </si>
  <si>
    <t>How mature is the organization in managing customer SLA obligations, penalties, notification timelines and service credits during disruption, including ownership, evidence, metrics, fallback procedures and crisis stress testing?</t>
  </si>
  <si>
    <t>Policy/SOP; owner/RACI; system report; dashboard; contracts; test records; incident history; interview evidence related to customer SLA obligations, penalties, notification timelines and service credits during disruption.</t>
  </si>
  <si>
    <t>No reliable evidence that customer sla obligations, penalties, notification timelines and service credits during disruption is defined, owned or managed.</t>
  </si>
  <si>
    <t>Customer SLA obligations, penalties, notification timelines and service credits during disruption is handled informally and depends on individual knowledge or heroic effort.</t>
  </si>
  <si>
    <t>Customer SLA obligations, penalties, notification timelines and service credits during disruption is partially documented or implemented, but coverage is inconsistent and not crisis-tested.</t>
  </si>
  <si>
    <t>Customer SLA obligations, penalties, notification timelines and service credits during disruption is documented, owned, used in normal operations and supported by basic evidence or metrics.</t>
  </si>
  <si>
    <t>Customer SLA obligations, penalties, notification timelines and service credits during disruption is measured, periodically reviewed, integrated with related processes and tested against relevant disruption scenarios.</t>
  </si>
  <si>
    <t>Customer SLA obligations, penalties, notification timelines and service credits during disruption is optimized, continuously improved, automated where practical and demonstrably supports crisis resilience.</t>
  </si>
  <si>
    <t>Assign owner, collect evidence, assess gaps, define mitigation actions, and test customer SLA obligations, penalties, notification timelines and service credits during disruption against scenarios: Regulatory/legal shock; Contractual exposure; Data breach.</t>
  </si>
  <si>
    <t>LEGA-010</t>
  </si>
  <si>
    <t>How mature is the organization in managing supplier continuity, security, audit, subcontractor and incident notification clauses, including ownership, evidence, metrics, fallback procedures and crisis stress testing?</t>
  </si>
  <si>
    <t>Policy/SOP; owner/RACI; system report; dashboard; contracts; test records; incident history; interview evidence related to supplier continuity, security, audit, subcontractor and incident notification clauses.</t>
  </si>
  <si>
    <t>No reliable evidence that supplier continuity, security, audit, subcontractor and incident notification clauses is defined, owned or managed.</t>
  </si>
  <si>
    <t>Supplier continuity, security, audit, subcontractor and incident notification clauses is handled informally and depends on individual knowledge or heroic effort.</t>
  </si>
  <si>
    <t>Supplier continuity, security, audit, subcontractor and incident notification clauses is partially documented or implemented, but coverage is inconsistent and not crisis-tested.</t>
  </si>
  <si>
    <t>Supplier continuity, security, audit, subcontractor and incident notification clauses is documented, owned, used in normal operations and supported by basic evidence or metrics.</t>
  </si>
  <si>
    <t>Supplier continuity, security, audit, subcontractor and incident notification clauses is measured, periodically reviewed, integrated with related processes and tested against relevant disruption scenarios.</t>
  </si>
  <si>
    <t>Supplier continuity, security, audit, subcontractor and incident notification clauses is optimized, continuously improved, automated where practical and demonstrably supports crisis resilience.</t>
  </si>
  <si>
    <t>Assign owner, collect evidence, assess gaps, define mitigation actions, and test supplier continuity, security, audit, subcontractor and incident notification clauses against scenarios: Regulatory/legal shock; Contractual exposure; Data breach.</t>
  </si>
  <si>
    <t>LEGA-011</t>
  </si>
  <si>
    <t>How mature is the organization in managing signatory continuity with powers of attorney, board approvals and emergency delegation, including ownership, evidence, metrics, fallback procedures and crisis stress testing?</t>
  </si>
  <si>
    <t>Policy/SOP; owner/RACI; system report; dashboard; contracts; test records; incident history; interview evidence related to signatory continuity with powers of attorney, board approvals and emergency delegation.</t>
  </si>
  <si>
    <t>No reliable evidence that signatory continuity with powers of attorney, board approvals and emergency delegation is defined, owned or managed.</t>
  </si>
  <si>
    <t>Signatory continuity with powers of attorney, board approvals and emergency delegation is handled informally and depends on individual knowledge or heroic effort.</t>
  </si>
  <si>
    <t>Signatory continuity with powers of attorney, board approvals and emergency delegation is partially documented or implemented, but coverage is inconsistent and not crisis-tested.</t>
  </si>
  <si>
    <t>Signatory continuity with powers of attorney, board approvals and emergency delegation is documented, owned, used in normal operations and supported by basic evidence or metrics.</t>
  </si>
  <si>
    <t>Signatory continuity with powers of attorney, board approvals and emergency delegation is measured, periodically reviewed, integrated with related processes and tested against relevant disruption scenarios.</t>
  </si>
  <si>
    <t>Signatory continuity with powers of attorney, board approvals and emergency delegation is optimized, continuously improved, automated where practical and demonstrably supports crisis resilience.</t>
  </si>
  <si>
    <t>Assign owner, collect evidence, assess gaps, define mitigation actions, and test signatory continuity with powers of attorney, board approvals and emergency delegation against scenarios: Regulatory/legal shock; Contractual exposure; Data breach.</t>
  </si>
  <si>
    <t>LEGA-012</t>
  </si>
  <si>
    <t>How mature is the organization in managing insurance claims process linked to incident evidence collection, including ownership, evidence, metrics, fallback procedures and crisis stress testing?</t>
  </si>
  <si>
    <t>Policy/SOP; owner/RACI; system report; dashboard; contracts; test records; incident history; interview evidence related to insurance claims process linked to incident evidence collection.</t>
  </si>
  <si>
    <t>No reliable evidence that insurance claims process linked to incident evidence collection is defined, owned or managed.</t>
  </si>
  <si>
    <t>Insurance claims process linked to incident evidence collection is handled informally and depends on individual knowledge or heroic effort.</t>
  </si>
  <si>
    <t>Insurance claims process linked to incident evidence collection is partially documented or implemented, but coverage is inconsistent and not crisis-tested.</t>
  </si>
  <si>
    <t>Insurance claims process linked to incident evidence collection is documented, owned, used in normal operations and supported by basic evidence or metrics.</t>
  </si>
  <si>
    <t>Insurance claims process linked to incident evidence collection is measured, periodically reviewed, integrated with related processes and tested against relevant disruption scenarios.</t>
  </si>
  <si>
    <t>Insurance claims process linked to incident evidence collection is optimized, continuously improved, automated where practical and demonstrably supports crisis resilience.</t>
  </si>
  <si>
    <t>Assign owner, collect evidence, assess gaps, define mitigation actions, and test insurance claims process linked to incident evidence collection against scenarios: Regulatory/legal shock; Contractual exposure; Data breach.</t>
  </si>
  <si>
    <t>LEGA-013</t>
  </si>
  <si>
    <t>How mature is the organization in managing personal data processing map by system, purpose, location, processor and transfer mechanism, including ownership, evidence, metrics, fallback procedures and crisis stress testing?</t>
  </si>
  <si>
    <t>Policy/SOP; owner/RACI; system report; dashboard; contracts; test records; incident history; interview evidence related to personal data processing map by system, purpose, location, processor and transfer mechanism.</t>
  </si>
  <si>
    <t>No reliable evidence that personal data processing map by system, purpose, location, processor and transfer mechanism is defined, owned or managed.</t>
  </si>
  <si>
    <t>Personal data processing map by system, purpose, location, processor and transfer mechanism is handled informally and depends on individual knowledge or heroic effort.</t>
  </si>
  <si>
    <t>Personal data processing map by system, purpose, location, processor and transfer mechanism is partially documented or implemented, but coverage is inconsistent and not crisis-tested.</t>
  </si>
  <si>
    <t>Personal data processing map by system, purpose, location, processor and transfer mechanism is documented, owned, used in normal operations and supported by basic evidence or metrics.</t>
  </si>
  <si>
    <t>Personal data processing map by system, purpose, location, processor and transfer mechanism is measured, periodically reviewed, integrated with related processes and tested against relevant disruption scenarios.</t>
  </si>
  <si>
    <t>Personal data processing map by system, purpose, location, processor and transfer mechanism is optimized, continuously improved, automated where practical and demonstrably supports crisis resilience.</t>
  </si>
  <si>
    <t>Assign owner, collect evidence, assess gaps, define mitigation actions, and test personal data processing map by system, purpose, location, processor and transfer mechanism against scenarios: Regulatory/legal shock; Contractual exposure; Data breach.</t>
  </si>
  <si>
    <t>LEGA-014</t>
  </si>
  <si>
    <t>How mature is the organization in managing breach notification readiness for personal data and customer contractual obligations, including ownership, evidence, metrics, fallback procedures and crisis stress testing?</t>
  </si>
  <si>
    <t>Policy/SOP; owner/RACI; system report; dashboard; contracts; test records; incident history; interview evidence related to breach notification readiness for personal data and customer contractual obligations.</t>
  </si>
  <si>
    <t>No reliable evidence that breach notification readiness for personal data and customer contractual obligations is defined, owned or managed.</t>
  </si>
  <si>
    <t>Breach notification readiness for personal data and customer contractual obligations is handled informally and depends on individual knowledge or heroic effort.</t>
  </si>
  <si>
    <t>Breach notification readiness for personal data and customer contractual obligations is partially documented or implemented, but coverage is inconsistent and not crisis-tested.</t>
  </si>
  <si>
    <t>Breach notification readiness for personal data and customer contractual obligations is documented, owned, used in normal operations and supported by basic evidence or metrics.</t>
  </si>
  <si>
    <t>Breach notification readiness for personal data and customer contractual obligations is measured, periodically reviewed, integrated with related processes and tested against relevant disruption scenarios.</t>
  </si>
  <si>
    <t>Breach notification readiness for personal data and customer contractual obligations is optimized, continuously improved, automated where practical and demonstrably supports crisis resilience.</t>
  </si>
  <si>
    <t>Assign owner, collect evidence, assess gaps, define mitigation actions, and test breach notification readiness for personal data and customer contractual obligations against scenarios: Regulatory/legal shock; Contractual exposure; Data breach.</t>
  </si>
  <si>
    <t>LEGA-015</t>
  </si>
  <si>
    <t>How mature is the organization in managing data processing agreements with vendors covering security, incident response, sub-processors and continuity, including ownership, evidence, metrics, fallback procedures and crisis stress testing?</t>
  </si>
  <si>
    <t>Policy/SOP; owner/RACI; system report; dashboard; contracts; test records; incident history; interview evidence related to data processing agreements with vendors covering security, incident response, sub-processors and continuity.</t>
  </si>
  <si>
    <t>No reliable evidence that data processing agreements with vendors covering security, incident response, sub-processors and continuity is defined, owned or managed.</t>
  </si>
  <si>
    <t>Data processing agreements with vendors covering security, incident response, sub-processors and continuity is handled informally and depends on individual knowledge or heroic effort.</t>
  </si>
  <si>
    <t>Data processing agreements with vendors covering security, incident response, sub-processors and continuity is partially documented or implemented, but coverage is inconsistent and not crisis-tested.</t>
  </si>
  <si>
    <t>Data processing agreements with vendors covering security, incident response, sub-processors and continuity is documented, owned, used in normal operations and supported by basic evidence or metrics.</t>
  </si>
  <si>
    <t>Data processing agreements with vendors covering security, incident response, sub-processors and continuity is measured, periodically reviewed, integrated with related processes and tested against relevant disruption scenarios.</t>
  </si>
  <si>
    <t>Data processing agreements with vendors covering security, incident response, sub-processors and continuity is optimized, continuously improved, automated where practical and demonstrably supports crisis resilience.</t>
  </si>
  <si>
    <t>Assign owner, collect evidence, assess gaps, define mitigation actions, and test data processing agreements with vendors covering security, incident response, sub-processors and continuity against scenarios: Regulatory/legal shock; Contractual exposure; Data breach.</t>
  </si>
  <si>
    <t>LEGA-016</t>
  </si>
  <si>
    <t>How mature is the organization in managing intellectual property ownership for employees, contractors, suppliers, software, designs, data and AI models, including ownership, evidence, metrics, fallback procedures and crisis stress testing?</t>
  </si>
  <si>
    <t>Policy/SOP; owner/RACI; system report; dashboard; contracts; test records; incident history; interview evidence related to intellectual property ownership for employees, contractors, suppliers, software, designs, data and AI models.</t>
  </si>
  <si>
    <t>No reliable evidence that intellectual property ownership for employees, contractors, suppliers, software, designs, data and ai models is defined, owned or managed.</t>
  </si>
  <si>
    <t>Intellectual property ownership for employees, contractors, suppliers, software, designs, data and AI models is handled informally and depends on individual knowledge or heroic effort.</t>
  </si>
  <si>
    <t>Intellectual property ownership for employees, contractors, suppliers, software, designs, data and AI models is partially documented or implemented, but coverage is inconsistent and not crisis-tested.</t>
  </si>
  <si>
    <t>Intellectual property ownership for employees, contractors, suppliers, software, designs, data and AI models is documented, owned, used in normal operations and supported by basic evidence or metrics.</t>
  </si>
  <si>
    <t>Intellectual property ownership for employees, contractors, suppliers, software, designs, data and AI models is measured, periodically reviewed, integrated with related processes and tested against relevant disruption scenarios.</t>
  </si>
  <si>
    <t>Intellectual property ownership for employees, contractors, suppliers, software, designs, data and AI models is optimized, continuously improved, automated where practical and demonstrably supports crisis resilience.</t>
  </si>
  <si>
    <t>Assign owner, collect evidence, assess gaps, define mitigation actions, and test intellectual property ownership for employees, contractors, suppliers, software, designs, data and AI models against scenarios: Regulatory/legal shock; Contractual exposure; Data breach.</t>
  </si>
  <si>
    <t>LEGA-017</t>
  </si>
  <si>
    <t>How mature is the organization in managing software license and open-source compliance for critical systems and products, including ownership, evidence, metrics, fallback procedures and crisis stress testing?</t>
  </si>
  <si>
    <t>Policy/SOP; owner/RACI; system report; dashboard; contracts; test records; incident history; interview evidence related to software license and open-source compliance for critical systems and products.</t>
  </si>
  <si>
    <t>No reliable evidence that software license and open-source compliance for critical systems and products is defined, owned or managed.</t>
  </si>
  <si>
    <t>Software license and open-source compliance for critical systems and products is handled informally and depends on individual knowledge or heroic effort.</t>
  </si>
  <si>
    <t>Software license and open-source compliance for critical systems and products is partially documented or implemented, but coverage is inconsistent and not crisis-tested.</t>
  </si>
  <si>
    <t>Software license and open-source compliance for critical systems and products is documented, owned, used in normal operations and supported by basic evidence or metrics.</t>
  </si>
  <si>
    <t>Software license and open-source compliance for critical systems and products is measured, periodically reviewed, integrated with related processes and tested against relevant disruption scenarios.</t>
  </si>
  <si>
    <t>Software license and open-source compliance for critical systems and products is optimized, continuously improved, automated where practical and demonstrably supports crisis resilience.</t>
  </si>
  <si>
    <t>Assign owner, collect evidence, assess gaps, define mitigation actions, and test software license and open-source compliance for critical systems and products against scenarios: Regulatory/legal shock; Contractual exposure; Data breach.</t>
  </si>
  <si>
    <t>LEGA-018</t>
  </si>
  <si>
    <t>How mature is the organization in managing records retention rules for legal, finance, HR, contracts, safety, customer and technical records, including ownership, evidence, metrics, fallback procedures and crisis stress testing?</t>
  </si>
  <si>
    <t>Policy/SOP; owner/RACI; system report; dashboard; contracts; test records; incident history; interview evidence related to records retention rules for legal, finance, HR, contracts, safety, customer and technical records.</t>
  </si>
  <si>
    <t>No reliable evidence that records retention rules for legal, finance, hr, contracts, safety, customer and technical records is defined, owned or managed.</t>
  </si>
  <si>
    <t>Records retention rules for legal, finance, HR, contracts, safety, customer and technical records is handled informally and depends on individual knowledge or heroic effort.</t>
  </si>
  <si>
    <t>Records retention rules for legal, finance, HR, contracts, safety, customer and technical records is partially documented or implemented, but coverage is inconsistent and not crisis-tested.</t>
  </si>
  <si>
    <t>Records retention rules for legal, finance, HR, contracts, safety, customer and technical records is documented, owned, used in normal operations and supported by basic evidence or metrics.</t>
  </si>
  <si>
    <t>Records retention rules for legal, finance, HR, contracts, safety, customer and technical records is measured, periodically reviewed, integrated with related processes and tested against relevant disruption scenarios.</t>
  </si>
  <si>
    <t>Records retention rules for legal, finance, HR, contracts, safety, customer and technical records is optimized, continuously improved, automated where practical and demonstrably supports crisis resilience.</t>
  </si>
  <si>
    <t>Assign owner, collect evidence, assess gaps, define mitigation actions, and test records retention rules for legal, finance, HR, contracts, safety, customer and technical records against scenarios: Regulatory/legal shock; Contractual exposure; Data breach.</t>
  </si>
  <si>
    <t>LEGA-019</t>
  </si>
  <si>
    <t>How mature is the organization in managing legal options for relocation, evacuation, furlough, flexible work, terminations or hardship support by country, including ownership, evidence, metrics, fallback procedures and crisis stress testing?</t>
  </si>
  <si>
    <t>Policy/SOP; owner/RACI; system report; dashboard; contracts; test records; incident history; interview evidence related to legal options for relocation, evacuation, furlough, flexible work, terminations or hardship support by country.</t>
  </si>
  <si>
    <t>No reliable evidence that legal options for relocation, evacuation, furlough, flexible work, terminations or hardship support by country is defined, owned or managed.</t>
  </si>
  <si>
    <t>Legal options for relocation, evacuation, furlough, flexible work, terminations or hardship support by country is handled informally and depends on individual knowledge or heroic effort.</t>
  </si>
  <si>
    <t>Legal options for relocation, evacuation, furlough, flexible work, terminations or hardship support by country is partially documented or implemented, but coverage is inconsistent and not crisis-tested.</t>
  </si>
  <si>
    <t>Legal options for relocation, evacuation, furlough, flexible work, terminations or hardship support by country is documented, owned, used in normal operations and supported by basic evidence or metrics.</t>
  </si>
  <si>
    <t>Legal options for relocation, evacuation, furlough, flexible work, terminations or hardship support by country is measured, periodically reviewed, integrated with related processes and tested against relevant disruption scenarios.</t>
  </si>
  <si>
    <t>Legal options for relocation, evacuation, furlough, flexible work, terminations or hardship support by country is optimized, continuously improved, automated where practical and demonstrably supports crisis resilience.</t>
  </si>
  <si>
    <t>Assign owner, collect evidence, assess gaps, define mitigation actions, and test legal options for relocation, evacuation, furlough, flexible work, terminations or hardship support by country against scenarios: Regulatory/legal shock; Contractual exposure; Data breach.</t>
  </si>
  <si>
    <t>LEGA-020</t>
  </si>
  <si>
    <t>How mature is the organization in managing labor relations, works council or union obligations during restructuring or crisis measures, including ownership, evidence, metrics, fallback procedures and crisis stress testing?</t>
  </si>
  <si>
    <t>Policy/SOP; owner/RACI; system report; dashboard; contracts; test records; incident history; interview evidence related to labor relations, works council or union obligations during restructuring or crisis measures.</t>
  </si>
  <si>
    <t>No reliable evidence that labor relations, works council or union obligations during restructuring or crisis measures is defined, owned or managed.</t>
  </si>
  <si>
    <t>Labor relations, works council or union obligations during restructuring or crisis measures is handled informally and depends on individual knowledge or heroic effort.</t>
  </si>
  <si>
    <t>Labor relations, works council or union obligations during restructuring or crisis measures is partially documented or implemented, but coverage is inconsistent and not crisis-tested.</t>
  </si>
  <si>
    <t>Labor relations, works council or union obligations during restructuring or crisis measures is documented, owned, used in normal operations and supported by basic evidence or metrics.</t>
  </si>
  <si>
    <t>Labor relations, works council or union obligations during restructuring or crisis measures is measured, periodically reviewed, integrated with related processes and tested against relevant disruption scenarios.</t>
  </si>
  <si>
    <t>Labor relations, works council or union obligations during restructuring or crisis measures is optimized, continuously improved, automated where practical and demonstrably supports crisis resilience.</t>
  </si>
  <si>
    <t>Assign owner, collect evidence, assess gaps, define mitigation actions, and test labor relations, works council or union obligations during restructuring or crisis measures against scenarios: Regulatory/legal shock; Contractual exposure; Data breach.</t>
  </si>
  <si>
    <t>Physical Safety Assessment</t>
  </si>
  <si>
    <t>Purpose: assess how this domain affects crisis impact, continuity and resilience. Main references: ISO 45001; ISO 22320; ISO 31030; ISO 18788; ISO 22301; NFPA; local OH&amp;S rules.</t>
  </si>
  <si>
    <t>PHYS-001</t>
  </si>
  <si>
    <t>How mature is the organization in managing occupational health and safety management system with owners, objectives, audits and management review, including ownership, evidence, metrics, fallback procedures and crisis stress testing?</t>
  </si>
  <si>
    <t>This topic affects exposure to Safety incident; Physical site loss; War/security crisis; Natural disaster. It helps identify how disruption may impact operations, people, revenue, systems, legal exposure or recovery time.</t>
  </si>
  <si>
    <t>ISO 45001; ISO 22320; ISO 31030; ISO 18788; ISO 22301; NFPA; local OH&amp;S rules</t>
  </si>
  <si>
    <t>Policy/SOP; owner/RACI; system report; dashboard; contracts; test records; incident history; interview evidence related to occupational health and safety management system with owners, objectives, audits and management review.</t>
  </si>
  <si>
    <t>No reliable evidence that occupational health and safety management system with owners, objectives, audits and management review is defined, owned or managed.</t>
  </si>
  <si>
    <t>Occupational health and safety management system with owners, objectives, audits and management review is handled informally and depends on individual knowledge or heroic effort.</t>
  </si>
  <si>
    <t>Occupational health and safety management system with owners, objectives, audits and management review is partially documented or implemented, but coverage is inconsistent and not crisis-tested.</t>
  </si>
  <si>
    <t>Occupational health and safety management system with owners, objectives, audits and management review is documented, owned, used in normal operations and supported by basic evidence or metrics.</t>
  </si>
  <si>
    <t>Occupational health and safety management system with owners, objectives, audits and management review is measured, periodically reviewed, integrated with related processes and tested against relevant disruption scenarios.</t>
  </si>
  <si>
    <t>Occupational health and safety management system with owners, objectives, audits and management review is optimized, continuously improved, automated where practical and demonstrably supports crisis resilience.</t>
  </si>
  <si>
    <t>Safety incident; Physical site loss; War/security crisis; Natural disaster</t>
  </si>
  <si>
    <t>Facilities / Security / HSE</t>
  </si>
  <si>
    <t>Assign owner, collect evidence, assess gaps, define mitigation actions, and test occupational health and safety management system with owners, objectives, audits and management review against scenarios: Safety incident; Physical site loss; War/security crisis; Natural disaster.</t>
  </si>
  <si>
    <t>PHYS-002</t>
  </si>
  <si>
    <t>How mature is the organization in managing site risk assessments for fire, structure, utilities, hazardous materials, crime, weather, war/security and access, including ownership, evidence, metrics, fallback procedures and crisis stress testing?</t>
  </si>
  <si>
    <t>Policy/SOP; owner/RACI; system report; dashboard; contracts; test records; incident history; interview evidence related to site risk assessments for fire, structure, utilities, hazardous materials, crime, weather, war/security and access.</t>
  </si>
  <si>
    <t>No reliable evidence that site risk assessments for fire, structure, utilities, hazardous materials, crime, weather, war/security and access is defined, owned or managed.</t>
  </si>
  <si>
    <t>Site risk assessments for fire, structure, utilities, hazardous materials, crime, weather, war/security and access is handled informally and depends on individual knowledge or heroic effort.</t>
  </si>
  <si>
    <t>Site risk assessments for fire, structure, utilities, hazardous materials, crime, weather, war/security and access is partially documented or implemented, but coverage is inconsistent and not crisis-tested.</t>
  </si>
  <si>
    <t>Site risk assessments for fire, structure, utilities, hazardous materials, crime, weather, war/security and access is documented, owned, used in normal operations and supported by basic evidence or metrics.</t>
  </si>
  <si>
    <t>Site risk assessments for fire, structure, utilities, hazardous materials, crime, weather, war/security and access is measured, periodically reviewed, integrated with related processes and tested against relevant disruption scenarios.</t>
  </si>
  <si>
    <t>Site risk assessments for fire, structure, utilities, hazardous materials, crime, weather, war/security and access is optimized, continuously improved, automated where practical and demonstrably supports crisis resilience.</t>
  </si>
  <si>
    <t>Assign owner, collect evidence, assess gaps, define mitigation actions, and test site risk assessments for fire, structure, utilities, hazardous materials, crime, weather, war/security and access against scenarios: Safety incident; Physical site loss; War/security crisis; Natural disaster.</t>
  </si>
  <si>
    <t>PHYS-003</t>
  </si>
  <si>
    <t>How mature is the organization in managing job hazard analysis for roles, tasks, production activities and field work, including ownership, evidence, metrics, fallback procedures and crisis stress testing?</t>
  </si>
  <si>
    <t>Policy/SOP; owner/RACI; system report; dashboard; contracts; test records; incident history; interview evidence related to job hazard analysis for roles, tasks, production activities and field work.</t>
  </si>
  <si>
    <t>No reliable evidence that job hazard analysis for roles, tasks, production activities and field work is defined, owned or managed.</t>
  </si>
  <si>
    <t>Job hazard analysis for roles, tasks, production activities and field work is handled informally and depends on individual knowledge or heroic effort.</t>
  </si>
  <si>
    <t>Job hazard analysis for roles, tasks, production activities and field work is partially documented or implemented, but coverage is inconsistent and not crisis-tested.</t>
  </si>
  <si>
    <t>Job hazard analysis for roles, tasks, production activities and field work is documented, owned, used in normal operations and supported by basic evidence or metrics.</t>
  </si>
  <si>
    <t>Job hazard analysis for roles, tasks, production activities and field work is measured, periodically reviewed, integrated with related processes and tested against relevant disruption scenarios.</t>
  </si>
  <si>
    <t>Job hazard analysis for roles, tasks, production activities and field work is optimized, continuously improved, automated where practical and demonstrably supports crisis resilience.</t>
  </si>
  <si>
    <t>Assign owner, collect evidence, assess gaps, define mitigation actions, and test job hazard analysis for roles, tasks, production activities and field work against scenarios: Safety incident; Physical site loss; War/security crisis; Natural disaster.</t>
  </si>
  <si>
    <t>PHYS-004</t>
  </si>
  <si>
    <t>How mature is the organization in managing contractor and visitor safety induction, permits-to-work, site rules and emergency procedures, including ownership, evidence, metrics, fallback procedures and crisis stress testing?</t>
  </si>
  <si>
    <t>Policy/SOP; owner/RACI; system report; dashboard; contracts; test records; incident history; interview evidence related to contractor and visitor safety induction, permits-to-work, site rules and emergency procedures.</t>
  </si>
  <si>
    <t>No reliable evidence that contractor and visitor safety induction, permits-to-work, site rules and emergency procedures is defined, owned or managed.</t>
  </si>
  <si>
    <t>Contractor and visitor safety induction, permits-to-work, site rules and emergency procedures is handled informally and depends on individual knowledge or heroic effort.</t>
  </si>
  <si>
    <t>Contractor and visitor safety induction, permits-to-work, site rules and emergency procedures is partially documented or implemented, but coverage is inconsistent and not crisis-tested.</t>
  </si>
  <si>
    <t>Contractor and visitor safety induction, permits-to-work, site rules and emergency procedures is documented, owned, used in normal operations and supported by basic evidence or metrics.</t>
  </si>
  <si>
    <t>Contractor and visitor safety induction, permits-to-work, site rules and emergency procedures is measured, periodically reviewed, integrated with related processes and tested against relevant disruption scenarios.</t>
  </si>
  <si>
    <t>Contractor and visitor safety induction, permits-to-work, site rules and emergency procedures is optimized, continuously improved, automated where practical and demonstrably supports crisis resilience.</t>
  </si>
  <si>
    <t>Assign owner, collect evidence, assess gaps, define mitigation actions, and test contractor and visitor safety induction, permits-to-work, site rules and emergency procedures against scenarios: Safety incident; Physical site loss; War/security crisis; Natural disaster.</t>
  </si>
  <si>
    <t>PHYS-005</t>
  </si>
  <si>
    <t>How mature is the organization in managing near-miss and safety incident reporting, investigation and corrective action, including ownership, evidence, metrics, fallback procedures and crisis stress testing?</t>
  </si>
  <si>
    <t>Policy/SOP; owner/RACI; system report; dashboard; contracts; test records; incident history; interview evidence related to near-miss and safety incident reporting, investigation and corrective action.</t>
  </si>
  <si>
    <t>No reliable evidence that near-miss and safety incident reporting, investigation and corrective action is defined, owned or managed.</t>
  </si>
  <si>
    <t>Near-miss and safety incident reporting, investigation and corrective action is handled informally and depends on individual knowledge or heroic effort.</t>
  </si>
  <si>
    <t>Near-miss and safety incident reporting, investigation and corrective action is partially documented or implemented, but coverage is inconsistent and not crisis-tested.</t>
  </si>
  <si>
    <t>Near-miss and safety incident reporting, investigation and corrective action is documented, owned, used in normal operations and supported by basic evidence or metrics.</t>
  </si>
  <si>
    <t>Near-miss and safety incident reporting, investigation and corrective action is measured, periodically reviewed, integrated with related processes and tested against relevant disruption scenarios.</t>
  </si>
  <si>
    <t>Near-miss and safety incident reporting, investigation and corrective action is optimized, continuously improved, automated where practical and demonstrably supports crisis resilience.</t>
  </si>
  <si>
    <t>Assign owner, collect evidence, assess gaps, define mitigation actions, and test near-miss and safety incident reporting, investigation and corrective action against scenarios: Safety incident; Physical site loss; War/security crisis; Natural disaster.</t>
  </si>
  <si>
    <t>PHYS-006</t>
  </si>
  <si>
    <t>How mature is the organization in managing serious incident escalation to executives, legal, insurers and regulators, including ownership, evidence, metrics, fallback procedures and crisis stress testing?</t>
  </si>
  <si>
    <t>Policy/SOP; owner/RACI; system report; dashboard; contracts; test records; incident history; interview evidence related to serious incident escalation to executives, legal, insurers and regulators.</t>
  </si>
  <si>
    <t>No reliable evidence that serious incident escalation to executives, legal, insurers and regulators is defined, owned or managed.</t>
  </si>
  <si>
    <t>Serious incident escalation to executives, legal, insurers and regulators is handled informally and depends on individual knowledge or heroic effort.</t>
  </si>
  <si>
    <t>Serious incident escalation to executives, legal, insurers and regulators is partially documented or implemented, but coverage is inconsistent and not crisis-tested.</t>
  </si>
  <si>
    <t>Serious incident escalation to executives, legal, insurers and regulators is documented, owned, used in normal operations and supported by basic evidence or metrics.</t>
  </si>
  <si>
    <t>Serious incident escalation to executives, legal, insurers and regulators is measured, periodically reviewed, integrated with related processes and tested against relevant disruption scenarios.</t>
  </si>
  <si>
    <t>Serious incident escalation to executives, legal, insurers and regulators is optimized, continuously improved, automated where practical and demonstrably supports crisis resilience.</t>
  </si>
  <si>
    <t>Assign owner, collect evidence, assess gaps, define mitigation actions, and test serious incident escalation to executives, legal, insurers and regulators against scenarios: Safety incident; Physical site loss; War/security crisis; Natural disaster.</t>
  </si>
  <si>
    <t>PHYS-007</t>
  </si>
  <si>
    <t>How mature is the organization in managing critical facility register with occupancy, business processes, utilities, safety risks and recovery priority, including ownership, evidence, metrics, fallback procedures and crisis stress testing?</t>
  </si>
  <si>
    <t>Policy/SOP; owner/RACI; system report; dashboard; contracts; test records; incident history; interview evidence related to critical facility register with occupancy, business processes, utilities, safety risks and recovery priority.</t>
  </si>
  <si>
    <t>No reliable evidence that critical facility register with occupancy, business processes, utilities, safety risks and recovery priority is defined, owned or managed.</t>
  </si>
  <si>
    <t>Critical facility register with occupancy, business processes, utilities, safety risks and recovery priority is handled informally and depends on individual knowledge or heroic effort.</t>
  </si>
  <si>
    <t>Critical facility register with occupancy, business processes, utilities, safety risks and recovery priority is partially documented or implemented, but coverage is inconsistent and not crisis-tested.</t>
  </si>
  <si>
    <t>Critical facility register with occupancy, business processes, utilities, safety risks and recovery priority is documented, owned, used in normal operations and supported by basic evidence or metrics.</t>
  </si>
  <si>
    <t>Critical facility register with occupancy, business processes, utilities, safety risks and recovery priority is measured, periodically reviewed, integrated with related processes and tested against relevant disruption scenarios.</t>
  </si>
  <si>
    <t>Critical facility register with occupancy, business processes, utilities, safety risks and recovery priority is optimized, continuously improved, automated where practical and demonstrably supports crisis resilience.</t>
  </si>
  <si>
    <t>Assign owner, collect evidence, assess gaps, define mitigation actions, and test critical facility register with occupancy, business processes, utilities, safety risks and recovery priority against scenarios: Safety incident; Physical site loss; War/security crisis; Natural disaster.</t>
  </si>
  <si>
    <t>PHYS-008</t>
  </si>
  <si>
    <t>How mature is the organization in managing building integrity, fire systems, emergency exits, shelters, alarms, lighting and backup power inspection, including ownership, evidence, metrics, fallback procedures and crisis stress testing?</t>
  </si>
  <si>
    <t>Policy/SOP; owner/RACI; system report; dashboard; contracts; test records; incident history; interview evidence related to building integrity, fire systems, emergency exits, shelters, alarms, lighting and backup power inspection.</t>
  </si>
  <si>
    <t>No reliable evidence that building integrity, fire systems, emergency exits, shelters, alarms, lighting and backup power inspection is defined, owned or managed.</t>
  </si>
  <si>
    <t>Building integrity, fire systems, emergency exits, shelters, alarms, lighting and backup power inspection is handled informally and depends on individual knowledge or heroic effort.</t>
  </si>
  <si>
    <t>Building integrity, fire systems, emergency exits, shelters, alarms, lighting and backup power inspection is partially documented or implemented, but coverage is inconsistent and not crisis-tested.</t>
  </si>
  <si>
    <t>Building integrity, fire systems, emergency exits, shelters, alarms, lighting and backup power inspection is documented, owned, used in normal operations and supported by basic evidence or metrics.</t>
  </si>
  <si>
    <t>Building integrity, fire systems, emergency exits, shelters, alarms, lighting and backup power inspection is measured, periodically reviewed, integrated with related processes and tested against relevant disruption scenarios.</t>
  </si>
  <si>
    <t>Building integrity, fire systems, emergency exits, shelters, alarms, lighting and backup power inspection is optimized, continuously improved, automated where practical and demonstrably supports crisis resilience.</t>
  </si>
  <si>
    <t>Assign owner, collect evidence, assess gaps, define mitigation actions, and test building integrity, fire systems, emergency exits, shelters, alarms, lighting and backup power inspection against scenarios: Safety incident; Physical site loss; War/security crisis; Natural disaster.</t>
  </si>
  <si>
    <t>PHYS-009</t>
  </si>
  <si>
    <t>How mature is the organization in managing physical access control linked to HR onboarding, offboarding and periodic access review, including ownership, evidence, metrics, fallback procedures and crisis stress testing?</t>
  </si>
  <si>
    <t>Policy/SOP; owner/RACI; system report; dashboard; contracts; test records; incident history; interview evidence related to physical access control linked to HR onboarding, offboarding and periodic access review.</t>
  </si>
  <si>
    <t>No reliable evidence that physical access control linked to hr onboarding, offboarding and periodic access review is defined, owned or managed.</t>
  </si>
  <si>
    <t>Physical access control linked to HR onboarding, offboarding and periodic access review is handled informally and depends on individual knowledge or heroic effort.</t>
  </si>
  <si>
    <t>Physical access control linked to HR onboarding, offboarding and periodic access review is partially documented or implemented, but coverage is inconsistent and not crisis-tested.</t>
  </si>
  <si>
    <t>Physical access control linked to HR onboarding, offboarding and periodic access review is documented, owned, used in normal operations and supported by basic evidence or metrics.</t>
  </si>
  <si>
    <t>Physical access control linked to HR onboarding, offboarding and periodic access review is measured, periodically reviewed, integrated with related processes and tested against relevant disruption scenarios.</t>
  </si>
  <si>
    <t>Physical access control linked to HR onboarding, offboarding and periodic access review is optimized, continuously improved, automated where practical and demonstrably supports crisis resilience.</t>
  </si>
  <si>
    <t>Assign owner, collect evidence, assess gaps, define mitigation actions, and test physical access control linked to HR onboarding, offboarding and periodic access review against scenarios: Safety incident; Physical site loss; War/security crisis; Natural disaster.</t>
  </si>
  <si>
    <t>PHYS-010</t>
  </si>
  <si>
    <t>How mature is the organization in managing visitor management covering identity checks, escorting, sensitive areas and evacuation accountability, including ownership, evidence, metrics, fallback procedures and crisis stress testing?</t>
  </si>
  <si>
    <t>Policy/SOP; owner/RACI; system report; dashboard; contracts; test records; incident history; interview evidence related to visitor management covering identity checks, escorting, sensitive areas and evacuation accountability.</t>
  </si>
  <si>
    <t>No reliable evidence that visitor management covering identity checks, escorting, sensitive areas and evacuation accountability is defined, owned or managed.</t>
  </si>
  <si>
    <t>Visitor management covering identity checks, escorting, sensitive areas and evacuation accountability is handled informally and depends on individual knowledge or heroic effort.</t>
  </si>
  <si>
    <t>Visitor management covering identity checks, escorting, sensitive areas and evacuation accountability is partially documented or implemented, but coverage is inconsistent and not crisis-tested.</t>
  </si>
  <si>
    <t>Visitor management covering identity checks, escorting, sensitive areas and evacuation accountability is documented, owned, used in normal operations and supported by basic evidence or metrics.</t>
  </si>
  <si>
    <t>Visitor management covering identity checks, escorting, sensitive areas and evacuation accountability is measured, periodically reviewed, integrated with related processes and tested against relevant disruption scenarios.</t>
  </si>
  <si>
    <t>Visitor management covering identity checks, escorting, sensitive areas and evacuation accountability is optimized, continuously improved, automated where practical and demonstrably supports crisis resilience.</t>
  </si>
  <si>
    <t>Assign owner, collect evidence, assess gaps, define mitigation actions, and test visitor management covering identity checks, escorting, sensitive areas and evacuation accountability against scenarios: Safety incident; Physical site loss; War/security crisis; Natural disaster.</t>
  </si>
  <si>
    <t>PHYS-011</t>
  </si>
  <si>
    <t>How mature is the organization in managing security guarding, CCTV, alarm monitoring and response procedures, including ownership, evidence, metrics, fallback procedures and crisis stress testing?</t>
  </si>
  <si>
    <t>Policy/SOP; owner/RACI; system report; dashboard; contracts; test records; incident history; interview evidence related to security guarding, CCTV, alarm monitoring and response procedures.</t>
  </si>
  <si>
    <t>No reliable evidence that security guarding, cctv, alarm monitoring and response procedures is defined, owned or managed.</t>
  </si>
  <si>
    <t>Security guarding, CCTV, alarm monitoring and response procedures is handled informally and depends on individual knowledge or heroic effort.</t>
  </si>
  <si>
    <t>Security guarding, CCTV, alarm monitoring and response procedures is partially documented or implemented, but coverage is inconsistent and not crisis-tested.</t>
  </si>
  <si>
    <t>Security guarding, CCTV, alarm monitoring and response procedures is documented, owned, used in normal operations and supported by basic evidence or metrics.</t>
  </si>
  <si>
    <t>Security guarding, CCTV, alarm monitoring and response procedures is measured, periodically reviewed, integrated with related processes and tested against relevant disruption scenarios.</t>
  </si>
  <si>
    <t>Security guarding, CCTV, alarm monitoring and response procedures is optimized, continuously improved, automated where practical and demonstrably supports crisis resilience.</t>
  </si>
  <si>
    <t>Assign owner, collect evidence, assess gaps, define mitigation actions, and test security guarding, CCTV, alarm monitoring and response procedures against scenarios: Safety incident; Physical site loss; War/security crisis; Natural disaster.</t>
  </si>
  <si>
    <t>PHYS-012</t>
  </si>
  <si>
    <t>How mature is the organization in managing physical asset protection against theft, sabotage, environmental damage and unauthorized access, including ownership, evidence, metrics, fallback procedures and crisis stress testing?</t>
  </si>
  <si>
    <t>Policy/SOP; owner/RACI; system report; dashboard; contracts; test records; incident history; interview evidence related to physical asset protection against theft, sabotage, environmental damage and unauthorized access.</t>
  </si>
  <si>
    <t>No reliable evidence that physical asset protection against theft, sabotage, environmental damage and unauthorized access is defined, owned or managed.</t>
  </si>
  <si>
    <t>Physical asset protection against theft, sabotage, environmental damage and unauthorized access is handled informally and depends on individual knowledge or heroic effort.</t>
  </si>
  <si>
    <t>Physical asset protection against theft, sabotage, environmental damage and unauthorized access is partially documented or implemented, but coverage is inconsistent and not crisis-tested.</t>
  </si>
  <si>
    <t>Physical asset protection against theft, sabotage, environmental damage and unauthorized access is documented, owned, used in normal operations and supported by basic evidence or metrics.</t>
  </si>
  <si>
    <t>Physical asset protection against theft, sabotage, environmental damage and unauthorized access is measured, periodically reviewed, integrated with related processes and tested against relevant disruption scenarios.</t>
  </si>
  <si>
    <t>Physical asset protection against theft, sabotage, environmental damage and unauthorized access is optimized, continuously improved, automated where practical and demonstrably supports crisis resilience.</t>
  </si>
  <si>
    <t>Assign owner, collect evidence, assess gaps, define mitigation actions, and test physical asset protection against theft, sabotage, environmental damage and unauthorized access against scenarios: Safety incident; Physical site loss; War/security crisis; Natural disaster.</t>
  </si>
  <si>
    <t>PHYS-013</t>
  </si>
  <si>
    <t>How mature is the organization in managing emergency response plans for fire, medical emergency, violence, bomb threat, shelling, evacuation, shelter-in-place and utility failure, including ownership, evidence, metrics, fallback procedures and crisis stress testing?</t>
  </si>
  <si>
    <t>Policy/SOP; owner/RACI; system report; dashboard; contracts; test records; incident history; interview evidence related to emergency response plans for fire, medical emergency, violence, bomb threat, shelling, evacuation, shelter-in-place and utility failure.</t>
  </si>
  <si>
    <t>No reliable evidence that emergency response plans for fire, medical emergency, violence, bomb threat, shelling, evacuation, shelter-in-place and utility failure is defined, owned or managed.</t>
  </si>
  <si>
    <t>Emergency response plans for fire, medical emergency, violence, bomb threat, shelling, evacuation, shelter-in-place and utility failure is handled informally and depends on individual knowledge or heroic effort.</t>
  </si>
  <si>
    <t>Emergency response plans for fire, medical emergency, violence, bomb threat, shelling, evacuation, shelter-in-place and utility failure is partially documented or implemented, but coverage is inconsistent and not crisis-tested.</t>
  </si>
  <si>
    <t>Emergency response plans for fire, medical emergency, violence, bomb threat, shelling, evacuation, shelter-in-place and utility failure is documented, owned, used in normal operations and supported by basic evidence or metrics.</t>
  </si>
  <si>
    <t>Emergency response plans for fire, medical emergency, violence, bomb threat, shelling, evacuation, shelter-in-place and utility failure is measured, periodically reviewed, integrated with related processes and tested against relevant disruption scenarios.</t>
  </si>
  <si>
    <t>Emergency response plans for fire, medical emergency, violence, bomb threat, shelling, evacuation, shelter-in-place and utility failure is optimized, continuously improved, automated where practical and demonstrably supports crisis resilience.</t>
  </si>
  <si>
    <t>Assign owner, collect evidence, assess gaps, define mitigation actions, and test emergency response plans for fire, medical emergency, violence, bomb threat, shelling, evacuation, shelter-in-place and utility failure against scenarios: Safety incident; Physical site loss; War/security crisis; Natural disaster.</t>
  </si>
  <si>
    <t>PHYS-014</t>
  </si>
  <si>
    <t>How mature is the organization in managing evacuation and shelter drills with attendance, outcomes and corrective actions, including ownership, evidence, metrics, fallback procedures and crisis stress testing?</t>
  </si>
  <si>
    <t>Policy/SOP; owner/RACI; system report; dashboard; contracts; test records; incident history; interview evidence related to evacuation and shelter drills with attendance, outcomes and corrective actions.</t>
  </si>
  <si>
    <t>No reliable evidence that evacuation and shelter drills with attendance, outcomes and corrective actions is defined, owned or managed.</t>
  </si>
  <si>
    <t>Evacuation and shelter drills with attendance, outcomes and corrective actions is handled informally and depends on individual knowledge or heroic effort.</t>
  </si>
  <si>
    <t>Evacuation and shelter drills with attendance, outcomes and corrective actions is partially documented or implemented, but coverage is inconsistent and not crisis-tested.</t>
  </si>
  <si>
    <t>Evacuation and shelter drills with attendance, outcomes and corrective actions is documented, owned, used in normal operations and supported by basic evidence or metrics.</t>
  </si>
  <si>
    <t>Evacuation and shelter drills with attendance, outcomes and corrective actions is measured, periodically reviewed, integrated with related processes and tested against relevant disruption scenarios.</t>
  </si>
  <si>
    <t>Evacuation and shelter drills with attendance, outcomes and corrective actions is optimized, continuously improved, automated where practical and demonstrably supports crisis resilience.</t>
  </si>
  <si>
    <t>Assign owner, collect evidence, assess gaps, define mitigation actions, and test evacuation and shelter drills with attendance, outcomes and corrective actions against scenarios: Safety incident; Physical site loss; War/security crisis; Natural disaster.</t>
  </si>
  <si>
    <t>PHYS-015</t>
  </si>
  <si>
    <t>How mature is the organization in managing first aid readiness with trained responders, AEDs, medical contacts and first aid supplies, including ownership, evidence, metrics, fallback procedures and crisis stress testing?</t>
  </si>
  <si>
    <t>Policy/SOP; owner/RACI; system report; dashboard; contracts; test records; incident history; interview evidence related to first aid readiness with trained responders, AEDs, medical contacts and first aid supplies.</t>
  </si>
  <si>
    <t>No reliable evidence that first aid readiness with trained responders, aeds, medical contacts and first aid supplies is defined, owned or managed.</t>
  </si>
  <si>
    <t>First aid readiness with trained responders, AEDs, medical contacts and first aid supplies is handled informally and depends on individual knowledge or heroic effort.</t>
  </si>
  <si>
    <t>First aid readiness with trained responders, AEDs, medical contacts and first aid supplies is partially documented or implemented, but coverage is inconsistent and not crisis-tested.</t>
  </si>
  <si>
    <t>First aid readiness with trained responders, AEDs, medical contacts and first aid supplies is documented, owned, used in normal operations and supported by basic evidence or metrics.</t>
  </si>
  <si>
    <t>First aid readiness with trained responders, AEDs, medical contacts and first aid supplies is measured, periodically reviewed, integrated with related processes and tested against relevant disruption scenarios.</t>
  </si>
  <si>
    <t>First aid readiness with trained responders, AEDs, medical contacts and first aid supplies is optimized, continuously improved, automated where practical and demonstrably supports crisis resilience.</t>
  </si>
  <si>
    <t>Assign owner, collect evidence, assess gaps, define mitigation actions, and test first aid readiness with trained responders, AEDs, medical contacts and first aid supplies against scenarios: Safety incident; Physical site loss; War/security crisis; Natural disaster.</t>
  </si>
  <si>
    <t>PHYS-016</t>
  </si>
  <si>
    <t>How mature is the organization in managing mass notification to employees, visitors and contractors during site emergencies, including ownership, evidence, metrics, fallback procedures and crisis stress testing?</t>
  </si>
  <si>
    <t>Policy/SOP; owner/RACI; system report; dashboard; contracts; test records; incident history; interview evidence related to mass notification to employees, visitors and contractors during site emergencies.</t>
  </si>
  <si>
    <t>No reliable evidence that mass notification to employees, visitors and contractors during site emergencies is defined, owned or managed.</t>
  </si>
  <si>
    <t>Mass notification to employees, visitors and contractors during site emergencies is handled informally and depends on individual knowledge or heroic effort.</t>
  </si>
  <si>
    <t>Mass notification to employees, visitors and contractors during site emergencies is partially documented or implemented, but coverage is inconsistent and not crisis-tested.</t>
  </si>
  <si>
    <t>Mass notification to employees, visitors and contractors during site emergencies is documented, owned, used in normal operations and supported by basic evidence or metrics.</t>
  </si>
  <si>
    <t>Mass notification to employees, visitors and contractors during site emergencies is measured, periodically reviewed, integrated with related processes and tested against relevant disruption scenarios.</t>
  </si>
  <si>
    <t>Mass notification to employees, visitors and contractors during site emergencies is optimized, continuously improved, automated where practical and demonstrably supports crisis resilience.</t>
  </si>
  <si>
    <t>Assign owner, collect evidence, assess gaps, define mitigation actions, and test mass notification to employees, visitors and contractors during site emergencies against scenarios: Safety incident; Physical site loss; War/security crisis; Natural disaster.</t>
  </si>
  <si>
    <t>PHYS-017</t>
  </si>
  <si>
    <t>How mature is the organization in managing employee and visitor accountability after evacuation or sheltering, including ownership, evidence, metrics, fallback procedures and crisis stress testing?</t>
  </si>
  <si>
    <t>Policy/SOP; owner/RACI; system report; dashboard; contracts; test records; incident history; interview evidence related to employee and visitor accountability after evacuation or sheltering.</t>
  </si>
  <si>
    <t>No reliable evidence that employee and visitor accountability after evacuation or sheltering is defined, owned or managed.</t>
  </si>
  <si>
    <t>Employee and visitor accountability after evacuation or sheltering is handled informally and depends on individual knowledge or heroic effort.</t>
  </si>
  <si>
    <t>Employee and visitor accountability after evacuation or sheltering is partially documented or implemented, but coverage is inconsistent and not crisis-tested.</t>
  </si>
  <si>
    <t>Employee and visitor accountability after evacuation or sheltering is documented, owned, used in normal operations and supported by basic evidence or metrics.</t>
  </si>
  <si>
    <t>Employee and visitor accountability after evacuation or sheltering is measured, periodically reviewed, integrated with related processes and tested against relevant disruption scenarios.</t>
  </si>
  <si>
    <t>Employee and visitor accountability after evacuation or sheltering is optimized, continuously improved, automated where practical and demonstrably supports crisis resilience.</t>
  </si>
  <si>
    <t>Assign owner, collect evidence, assess gaps, define mitigation actions, and test employee and visitor accountability after evacuation or sheltering against scenarios: Safety incident; Physical site loss; War/security crisis; Natural disaster.</t>
  </si>
  <si>
    <t>PHYS-018</t>
  </si>
  <si>
    <t>How mature is the organization in managing emergency supplies such as water, batteries, power banks, fuel, PPE, radios and flashlights, including ownership, evidence, metrics, fallback procedures and crisis stress testing?</t>
  </si>
  <si>
    <t>Policy/SOP; owner/RACI; system report; dashboard; contracts; test records; incident history; interview evidence related to emergency supplies such as water, batteries, power banks, fuel, PPE, radios and flashlights.</t>
  </si>
  <si>
    <t>No reliable evidence that emergency supplies such as water, batteries, power banks, fuel, ppe, radios and flashlights is defined, owned or managed.</t>
  </si>
  <si>
    <t>Emergency supplies such as water, batteries, power banks, fuel, PPE, radios and flashlights is handled informally and depends on individual knowledge or heroic effort.</t>
  </si>
  <si>
    <t>Emergency supplies such as water, batteries, power banks, fuel, PPE, radios and flashlights is partially documented or implemented, but coverage is inconsistent and not crisis-tested.</t>
  </si>
  <si>
    <t>Emergency supplies such as water, batteries, power banks, fuel, PPE, radios and flashlights is documented, owned, used in normal operations and supported by basic evidence or metrics.</t>
  </si>
  <si>
    <t>Emergency supplies such as water, batteries, power banks, fuel, PPE, radios and flashlights is measured, periodically reviewed, integrated with related processes and tested against relevant disruption scenarios.</t>
  </si>
  <si>
    <t>Emergency supplies such as water, batteries, power banks, fuel, PPE, radios and flashlights is optimized, continuously improved, automated where practical and demonstrably supports crisis resilience.</t>
  </si>
  <si>
    <t>Assign owner, collect evidence, assess gaps, define mitigation actions, and test emergency supplies such as water, batteries, power banks, fuel, PPE, radios and flashlights against scenarios: Safety incident; Physical site loss; War/security crisis; Natural disaster.</t>
  </si>
  <si>
    <t>PHYS-019</t>
  </si>
  <si>
    <t>How mature is the organization in managing air raid, shelling, curfew, checkpoints, movement restriction and shelter procedures for high-risk geographies, including ownership, evidence, metrics, fallback procedures and crisis stress testing?</t>
  </si>
  <si>
    <t>Policy/SOP; owner/RACI; system report; dashboard; contracts; test records; incident history; interview evidence related to air raid, shelling, curfew, checkpoints, movement restriction and shelter procedures for high-risk geographies.</t>
  </si>
  <si>
    <t>No reliable evidence that air raid, shelling, curfew, checkpoints, movement restriction and shelter procedures for high-risk geographies is defined, owned or managed.</t>
  </si>
  <si>
    <t>Air raid, shelling, curfew, checkpoints, movement restriction and shelter procedures for high-risk geographies is handled informally and depends on individual knowledge or heroic effort.</t>
  </si>
  <si>
    <t>Air raid, shelling, curfew, checkpoints, movement restriction and shelter procedures for high-risk geographies is partially documented or implemented, but coverage is inconsistent and not crisis-tested.</t>
  </si>
  <si>
    <t>Air raid, shelling, curfew, checkpoints, movement restriction and shelter procedures for high-risk geographies is documented, owned, used in normal operations and supported by basic evidence or metrics.</t>
  </si>
  <si>
    <t>Air raid, shelling, curfew, checkpoints, movement restriction and shelter procedures for high-risk geographies is measured, periodically reviewed, integrated with related processes and tested against relevant disruption scenarios.</t>
  </si>
  <si>
    <t>Air raid, shelling, curfew, checkpoints, movement restriction and shelter procedures for high-risk geographies is optimized, continuously improved, automated where practical and demonstrably supports crisis resilience.</t>
  </si>
  <si>
    <t>Assign owner, collect evidence, assess gaps, define mitigation actions, and test air raid, shelling, curfew, checkpoints, movement restriction and shelter procedures for high-risk geographies against scenarios: Safety incident; Physical site loss; War/security crisis; Natural disaster.</t>
  </si>
  <si>
    <t>PHYS-020</t>
  </si>
  <si>
    <t>How mature is the organization in managing relocation and evacuation options for employees and critical teams, including ownership, evidence, metrics, fallback procedures and crisis stress testing?</t>
  </si>
  <si>
    <t>Policy/SOP; owner/RACI; system report; dashboard; contracts; test records; incident history; interview evidence related to relocation and evacuation options for employees and critical teams.</t>
  </si>
  <si>
    <t>No reliable evidence that relocation and evacuation options for employees and critical teams is defined, owned or managed.</t>
  </si>
  <si>
    <t>Relocation and evacuation options for employees and critical teams is handled informally and depends on individual knowledge or heroic effort.</t>
  </si>
  <si>
    <t>Relocation and evacuation options for employees and critical teams is partially documented or implemented, but coverage is inconsistent and not crisis-tested.</t>
  </si>
  <si>
    <t>Relocation and evacuation options for employees and critical teams is documented, owned, used in normal operations and supported by basic evidence or metrics.</t>
  </si>
  <si>
    <t>Relocation and evacuation options for employees and critical teams is measured, periodically reviewed, integrated with related processes and tested against relevant disruption scenarios.</t>
  </si>
  <si>
    <t>Relocation and evacuation options for employees and critical teams is optimized, continuously improved, automated where practical and demonstrably supports crisis resilience.</t>
  </si>
  <si>
    <t>Assign owner, collect evidence, assess gaps, define mitigation actions, and test relocation and evacuation options for employees and critical teams against scenarios: Safety incident; Physical site loss; War/security crisis; Natural disaster.</t>
  </si>
  <si>
    <t>PHYS-021</t>
  </si>
  <si>
    <t>How mature is the organization in managing travel risk assessment by destination, route, purpose, employee profile and emergency support, including ownership, evidence, metrics, fallback procedures and crisis stress testing?</t>
  </si>
  <si>
    <t>Policy/SOP; owner/RACI; system report; dashboard; contracts; test records; incident history; interview evidence related to travel risk assessment by destination, route, purpose, employee profile and emergency support.</t>
  </si>
  <si>
    <t>No reliable evidence that travel risk assessment by destination, route, purpose, employee profile and emergency support is defined, owned or managed.</t>
  </si>
  <si>
    <t>Travel risk assessment by destination, route, purpose, employee profile and emergency support is handled informally and depends on individual knowledge or heroic effort.</t>
  </si>
  <si>
    <t>Travel risk assessment by destination, route, purpose, employee profile and emergency support is partially documented or implemented, but coverage is inconsistent and not crisis-tested.</t>
  </si>
  <si>
    <t>Travel risk assessment by destination, route, purpose, employee profile and emergency support is documented, owned, used in normal operations and supported by basic evidence or metrics.</t>
  </si>
  <si>
    <t>Travel risk assessment by destination, route, purpose, employee profile and emergency support is measured, periodically reviewed, integrated with related processes and tested against relevant disruption scenarios.</t>
  </si>
  <si>
    <t>Travel risk assessment by destination, route, purpose, employee profile and emergency support is optimized, continuously improved, automated where practical and demonstrably supports crisis resilience.</t>
  </si>
  <si>
    <t>Assign owner, collect evidence, assess gaps, define mitigation actions, and test travel risk assessment by destination, route, purpose, employee profile and emergency support against scenarios: Safety incident; Physical site loss; War/security crisis; Natural disaster.</t>
  </si>
  <si>
    <t>PHYS-022</t>
  </si>
  <si>
    <t>How mature is the organization in managing local threat monitoring for critical sites and geographies, including ownership, evidence, metrics, fallback procedures and crisis stress testing?</t>
  </si>
  <si>
    <t>Policy/SOP; owner/RACI; system report; dashboard; contracts; test records; incident history; interview evidence related to local threat monitoring for critical sites and geographies.</t>
  </si>
  <si>
    <t>No reliable evidence that local threat monitoring for critical sites and geographies is defined, owned or managed.</t>
  </si>
  <si>
    <t>Local threat monitoring for critical sites and geographies is handled informally and depends on individual knowledge or heroic effort.</t>
  </si>
  <si>
    <t>Local threat monitoring for critical sites and geographies is partially documented or implemented, but coverage is inconsistent and not crisis-tested.</t>
  </si>
  <si>
    <t>Local threat monitoring for critical sites and geographies is documented, owned, used in normal operations and supported by basic evidence or metrics.</t>
  </si>
  <si>
    <t>Local threat monitoring for critical sites and geographies is measured, periodically reviewed, integrated with related processes and tested against relevant disruption scenarios.</t>
  </si>
  <si>
    <t>Local threat monitoring for critical sites and geographies is optimized, continuously improved, automated where practical and demonstrably supports crisis resilience.</t>
  </si>
  <si>
    <t>Assign owner, collect evidence, assess gaps, define mitigation actions, and test local threat monitoring for critical sites and geographies against scenarios: Safety incident; Physical site loss; War/security crisis; Natural disaster.</t>
  </si>
  <si>
    <t>PHYS-023</t>
  </si>
  <si>
    <t>How mature is the organization in managing coordination with fire, police, medical, local administration and utility providers, including ownership, evidence, metrics, fallback procedures and crisis stress testing?</t>
  </si>
  <si>
    <t>Policy/SOP; owner/RACI; system report; dashboard; contracts; test records; incident history; interview evidence related to coordination with fire, police, medical, local administration and utility providers.</t>
  </si>
  <si>
    <t>No reliable evidence that coordination with fire, police, medical, local administration and utility providers is defined, owned or managed.</t>
  </si>
  <si>
    <t>Coordination with fire, police, medical, local administration and utility providers is handled informally and depends on individual knowledge or heroic effort.</t>
  </si>
  <si>
    <t>Coordination with fire, police, medical, local administration and utility providers is partially documented or implemented, but coverage is inconsistent and not crisis-tested.</t>
  </si>
  <si>
    <t>Coordination with fire, police, medical, local administration and utility providers is documented, owned, used in normal operations and supported by basic evidence or metrics.</t>
  </si>
  <si>
    <t>Coordination with fire, police, medical, local administration and utility providers is measured, periodically reviewed, integrated with related processes and tested against relevant disruption scenarios.</t>
  </si>
  <si>
    <t>Coordination with fire, police, medical, local administration and utility providers is optimized, continuously improved, automated where practical and demonstrably supports crisis resilience.</t>
  </si>
  <si>
    <t>Assign owner, collect evidence, assess gaps, define mitigation actions, and test coordination with fire, police, medical, local administration and utility providers against scenarios: Safety incident; Physical site loss; War/security crisis; Natural disaster.</t>
  </si>
  <si>
    <t>PHYS-024</t>
  </si>
  <si>
    <t>How mature is the organization in managing backup power for critical sites with capacity, maintenance, fuel and test records, including ownership, evidence, metrics, fallback procedures and crisis stress testing?</t>
  </si>
  <si>
    <t>Policy/SOP; owner/RACI; system report; dashboard; contracts; test records; incident history; interview evidence related to backup power for critical sites with capacity, maintenance, fuel and test records.</t>
  </si>
  <si>
    <t>No reliable evidence that backup power for critical sites with capacity, maintenance, fuel and test records is defined, owned or managed.</t>
  </si>
  <si>
    <t>Backup power for critical sites with capacity, maintenance, fuel and test records is handled informally and depends on individual knowledge or heroic effort.</t>
  </si>
  <si>
    <t>Backup power for critical sites with capacity, maintenance, fuel and test records is partially documented or implemented, but coverage is inconsistent and not crisis-tested.</t>
  </si>
  <si>
    <t>Backup power for critical sites with capacity, maintenance, fuel and test records is documented, owned, used in normal operations and supported by basic evidence or metrics.</t>
  </si>
  <si>
    <t>Backup power for critical sites with capacity, maintenance, fuel and test records is measured, periodically reviewed, integrated with related processes and tested against relevant disruption scenarios.</t>
  </si>
  <si>
    <t>Backup power for critical sites with capacity, maintenance, fuel and test records is optimized, continuously improved, automated where practical and demonstrably supports crisis resilience.</t>
  </si>
  <si>
    <t>Assign owner, collect evidence, assess gaps, define mitigation actions, and test backup power for critical sites with capacity, maintenance, fuel and test records against scenarios: Safety incident; Physical site loss; War/security crisis; Natural disaster.</t>
  </si>
  <si>
    <t>PHYS-025</t>
  </si>
  <si>
    <t>How mature is the organization in managing water, sanitation, HVAC and environmental controls in facility continuity plans, including ownership, evidence, metrics, fallback procedures and crisis stress testing?</t>
  </si>
  <si>
    <t>Policy/SOP; owner/RACI; system report; dashboard; contracts; test records; incident history; interview evidence related to water, sanitation, HVAC and environmental controls in facility continuity plans.</t>
  </si>
  <si>
    <t>No reliable evidence that water, sanitation, hvac and environmental controls in facility continuity plans is defined, owned or managed.</t>
  </si>
  <si>
    <t>Water, sanitation, HVAC and environmental controls in facility continuity plans is handled informally and depends on individual knowledge or heroic effort.</t>
  </si>
  <si>
    <t>Water, sanitation, HVAC and environmental controls in facility continuity plans is partially documented or implemented, but coverage is inconsistent and not crisis-tested.</t>
  </si>
  <si>
    <t>Water, sanitation, HVAC and environmental controls in facility continuity plans is documented, owned, used in normal operations and supported by basic evidence or metrics.</t>
  </si>
  <si>
    <t>Water, sanitation, HVAC and environmental controls in facility continuity plans is measured, periodically reviewed, integrated with related processes and tested against relevant disruption scenarios.</t>
  </si>
  <si>
    <t>Water, sanitation, HVAC and environmental controls in facility continuity plans is optimized, continuously improved, automated where practical and demonstrably supports crisis resilience.</t>
  </si>
  <si>
    <t>Assign owner, collect evidence, assess gaps, define mitigation actions, and test water, sanitation, HVAC and environmental controls in facility continuity plans against scenarios: Safety incident; Physical site loss; War/security crisis; Natural disaster.</t>
  </si>
  <si>
    <t>PHYS-026</t>
  </si>
  <si>
    <t>How mature is the organization in managing backup internet and telecom connectivity at critical sites, including ownership, evidence, metrics, fallback procedures and crisis stress testing?</t>
  </si>
  <si>
    <t>Policy/SOP; owner/RACI; system report; dashboard; contracts; test records; incident history; interview evidence related to backup internet and telecom connectivity at critical sites.</t>
  </si>
  <si>
    <t>No reliable evidence that backup internet and telecom connectivity at critical sites is defined, owned or managed.</t>
  </si>
  <si>
    <t>Backup internet and telecom connectivity at critical sites is handled informally and depends on individual knowledge or heroic effort.</t>
  </si>
  <si>
    <t>Backup internet and telecom connectivity at critical sites is partially documented or implemented, but coverage is inconsistent and not crisis-tested.</t>
  </si>
  <si>
    <t>Backup internet and telecom connectivity at critical sites is documented, owned, used in normal operations and supported by basic evidence or metrics.</t>
  </si>
  <si>
    <t>Backup internet and telecom connectivity at critical sites is measured, periodically reviewed, integrated with related processes and tested against relevant disruption scenarios.</t>
  </si>
  <si>
    <t>Backup internet and telecom connectivity at critical sites is optimized, continuously improved, automated where practical and demonstrably supports crisis resilience.</t>
  </si>
  <si>
    <t>Assign owner, collect evidence, assess gaps, define mitigation actions, and test backup internet and telecom connectivity at critical sites against scenarios: Safety incident; Physical site loss; War/security crisis; Natural disaster.</t>
  </si>
  <si>
    <t>PHYS-027</t>
  </si>
  <si>
    <t>How mature is the organization in managing preventive maintenance for safety-critical facility systems, including ownership, evidence, metrics, fallback procedures and crisis stress testing?</t>
  </si>
  <si>
    <t>Policy/SOP; owner/RACI; system report; dashboard; contracts; test records; incident history; interview evidence related to preventive maintenance for safety-critical facility systems.</t>
  </si>
  <si>
    <t>No reliable evidence that preventive maintenance for safety-critical facility systems is defined, owned or managed.</t>
  </si>
  <si>
    <t>Preventive maintenance for safety-critical facility systems is handled informally and depends on individual knowledge or heroic effort.</t>
  </si>
  <si>
    <t>Preventive maintenance for safety-critical facility systems is partially documented or implemented, but coverage is inconsistent and not crisis-tested.</t>
  </si>
  <si>
    <t>Preventive maintenance for safety-critical facility systems is documented, owned, used in normal operations and supported by basic evidence or metrics.</t>
  </si>
  <si>
    <t>Preventive maintenance for safety-critical facility systems is measured, periodically reviewed, integrated with related processes and tested against relevant disruption scenarios.</t>
  </si>
  <si>
    <t>Preventive maintenance for safety-critical facility systems is optimized, continuously improved, automated where practical and demonstrably supports crisis resilience.</t>
  </si>
  <si>
    <t>Assign owner, collect evidence, assess gaps, define mitigation actions, and test preventive maintenance for safety-critical facility systems against scenarios: Safety incident; Physical site loss; War/security crisis; Natural disaster.</t>
  </si>
  <si>
    <t>PHYS-028</t>
  </si>
  <si>
    <t>How mature is the organization in managing alternative worksites, temporary facilities, coworking spaces or remote-work options if a site is lost, including ownership, evidence, metrics, fallback procedures and crisis stress testing?</t>
  </si>
  <si>
    <t>Policy/SOP; owner/RACI; system report; dashboard; contracts; test records; incident history; interview evidence related to alternative worksites, temporary facilities, coworking spaces or remote-work options if a site is lost.</t>
  </si>
  <si>
    <t>No reliable evidence that alternative worksites, temporary facilities, coworking spaces or remote-work options if a site is lost is defined, owned or managed.</t>
  </si>
  <si>
    <t>Alternative worksites, temporary facilities, coworking spaces or remote-work options if a site is lost is handled informally and depends on individual knowledge or heroic effort.</t>
  </si>
  <si>
    <t>Alternative worksites, temporary facilities, coworking spaces or remote-work options if a site is lost is partially documented or implemented, but coverage is inconsistent and not crisis-tested.</t>
  </si>
  <si>
    <t>Alternative worksites, temporary facilities, coworking spaces or remote-work options if a site is lost is documented, owned, used in normal operations and supported by basic evidence or metrics.</t>
  </si>
  <si>
    <t>Alternative worksites, temporary facilities, coworking spaces or remote-work options if a site is lost is measured, periodically reviewed, integrated with related processes and tested against relevant disruption scenarios.</t>
  </si>
  <si>
    <t>Alternative worksites, temporary facilities, coworking spaces or remote-work options if a site is lost is optimized, continuously improved, automated where practical and demonstrably supports crisis resilience.</t>
  </si>
  <si>
    <t>Assign owner, collect evidence, assess gaps, define mitigation actions, and test alternative worksites, temporary facilities, coworking spaces or remote-work options if a site is lost against scenarios: Safety incident; Physical site loss; War/security crisis; Natural disaster.</t>
  </si>
  <si>
    <t>Delivery Ops Assessment</t>
  </si>
  <si>
    <t>Purpose: assess how this domain affects crisis impact, continuity and resilience. Main references: ISO 9001; ISO 22301; ITIL 4; Lean; Six Sigma; APQC; service management best practices.</t>
  </si>
  <si>
    <t>DELI-001</t>
  </si>
  <si>
    <t>How mature is the organization in managing documented delivery operating model across functions, teams, sites, vendors and customer interfaces, including ownership, evidence, metrics, fallback procedures and crisis stress testing?</t>
  </si>
  <si>
    <t>This topic affects exposure to Delivery disruption; Customer impact; Workforce disruption. It helps identify how disruption may impact operations, people, revenue, systems, legal exposure or recovery time.</t>
  </si>
  <si>
    <t>ISO 9001; ISO 22301; ITIL 4; Lean; Six Sigma; APQC; service management best practices</t>
  </si>
  <si>
    <t>Policy/SOP; owner/RACI; system report; dashboard; contracts; test records; incident history; interview evidence related to documented delivery operating model across functions, teams, sites, vendors and customer interfaces.</t>
  </si>
  <si>
    <t>No reliable evidence that documented delivery operating model across functions, teams, sites, vendors and customer interfaces is defined, owned or managed.</t>
  </si>
  <si>
    <t>Documented delivery operating model across functions, teams, sites, vendors and customer interfaces is handled informally and depends on individual knowledge or heroic effort.</t>
  </si>
  <si>
    <t>Documented delivery operating model across functions, teams, sites, vendors and customer interfaces is partially documented or implemented, but coverage is inconsistent and not crisis-tested.</t>
  </si>
  <si>
    <t>Documented delivery operating model across functions, teams, sites, vendors and customer interfaces is documented, owned, used in normal operations and supported by basic evidence or metrics.</t>
  </si>
  <si>
    <t>Documented delivery operating model across functions, teams, sites, vendors and customer interfaces is measured, periodically reviewed, integrated with related processes and tested against relevant disruption scenarios.</t>
  </si>
  <si>
    <t>Documented delivery operating model across functions, teams, sites, vendors and customer interfaces is optimized, continuously improved, automated where practical and demonstrably supports crisis resilience.</t>
  </si>
  <si>
    <t>Delivery disruption; Customer impact; Workforce disruption</t>
  </si>
  <si>
    <t>COO / Delivery</t>
  </si>
  <si>
    <t>Assign owner, collect evidence, assess gaps, define mitigation actions, and test documented delivery operating model across functions, teams, sites, vendors and customer interfaces against scenarios: Delivery disruption; Customer impact; Workforce disruption.</t>
  </si>
  <si>
    <t>DELI-002</t>
  </si>
  <si>
    <t>How mature is the organization in managing critical delivery processes ranked by customer, revenue, safety and contractual impact, including ownership, evidence, metrics, fallback procedures and crisis stress testing?</t>
  </si>
  <si>
    <t>Policy/SOP; owner/RACI; system report; dashboard; contracts; test records; incident history; interview evidence related to critical delivery processes ranked by customer, revenue, safety and contractual impact.</t>
  </si>
  <si>
    <t>No reliable evidence that critical delivery processes ranked by customer, revenue, safety and contractual impact is defined, owned or managed.</t>
  </si>
  <si>
    <t>Critical delivery processes ranked by customer, revenue, safety and contractual impact is handled informally and depends on individual knowledge or heroic effort.</t>
  </si>
  <si>
    <t>Critical delivery processes ranked by customer, revenue, safety and contractual impact is partially documented or implemented, but coverage is inconsistent and not crisis-tested.</t>
  </si>
  <si>
    <t>Critical delivery processes ranked by customer, revenue, safety and contractual impact is documented, owned, used in normal operations and supported by basic evidence or metrics.</t>
  </si>
  <si>
    <t>Critical delivery processes ranked by customer, revenue, safety and contractual impact is measured, periodically reviewed, integrated with related processes and tested against relevant disruption scenarios.</t>
  </si>
  <si>
    <t>Critical delivery processes ranked by customer, revenue, safety and contractual impact is optimized, continuously improved, automated where practical and demonstrably supports crisis resilience.</t>
  </si>
  <si>
    <t>Assign owner, collect evidence, assess gaps, define mitigation actions, and test critical delivery processes ranked by customer, revenue, safety and contractual impact against scenarios: Delivery disruption; Customer impact; Workforce disruption.</t>
  </si>
  <si>
    <t>DELI-003</t>
  </si>
  <si>
    <t>How mature is the organization in managing SLA and OLA management with owners, escalation rules and customer communication, including ownership, evidence, metrics, fallback procedures and crisis stress testing?</t>
  </si>
  <si>
    <t>Policy/SOP; owner/RACI; system report; dashboard; contracts; test records; incident history; interview evidence related to SLA and OLA management with owners, escalation rules and customer communication.</t>
  </si>
  <si>
    <t>No reliable evidence that sla and ola management with owners, escalation rules and customer communication is defined, owned or managed.</t>
  </si>
  <si>
    <t>SLA and OLA management with owners, escalation rules and customer communication is handled informally and depends on individual knowledge or heroic effort.</t>
  </si>
  <si>
    <t>SLA and OLA management with owners, escalation rules and customer communication is partially documented or implemented, but coverage is inconsistent and not crisis-tested.</t>
  </si>
  <si>
    <t>SLA and OLA management with owners, escalation rules and customer communication is documented, owned, used in normal operations and supported by basic evidence or metrics.</t>
  </si>
  <si>
    <t>SLA and OLA management with owners, escalation rules and customer communication is measured, periodically reviewed, integrated with related processes and tested against relevant disruption scenarios.</t>
  </si>
  <si>
    <t>SLA and OLA management with owners, escalation rules and customer communication is optimized, continuously improved, automated where practical and demonstrably supports crisis resilience.</t>
  </si>
  <si>
    <t>Assign owner, collect evidence, assess gaps, define mitigation actions, and test SLA and OLA management with owners, escalation rules and customer communication against scenarios: Delivery disruption; Customer impact; Workforce disruption.</t>
  </si>
  <si>
    <t>DELI-004</t>
  </si>
  <si>
    <t>How mature is the organization in managing operational incident link to delivery impact, customer communication and corrective action, including ownership, evidence, metrics, fallback procedures and crisis stress testing?</t>
  </si>
  <si>
    <t>Policy/SOP; owner/RACI; system report; dashboard; contracts; test records; incident history; interview evidence related to operational incident link to delivery impact, customer communication and corrective action.</t>
  </si>
  <si>
    <t>No reliable evidence that operational incident link to delivery impact, customer communication and corrective action is defined, owned or managed.</t>
  </si>
  <si>
    <t>Operational incident link to delivery impact, customer communication and corrective action is handled informally and depends on individual knowledge or heroic effort.</t>
  </si>
  <si>
    <t>Operational incident link to delivery impact, customer communication and corrective action is partially documented or implemented, but coverage is inconsistent and not crisis-tested.</t>
  </si>
  <si>
    <t>Operational incident link to delivery impact, customer communication and corrective action is documented, owned, used in normal operations and supported by basic evidence or metrics.</t>
  </si>
  <si>
    <t>Operational incident link to delivery impact, customer communication and corrective action is measured, periodically reviewed, integrated with related processes and tested against relevant disruption scenarios.</t>
  </si>
  <si>
    <t>Operational incident link to delivery impact, customer communication and corrective action is optimized, continuously improved, automated where practical and demonstrably supports crisis resilience.</t>
  </si>
  <si>
    <t>Assign owner, collect evidence, assess gaps, define mitigation actions, and test operational incident link to delivery impact, customer communication and corrective action against scenarios: Delivery disruption; Customer impact; Workforce disruption.</t>
  </si>
  <si>
    <t>DELI-005</t>
  </si>
  <si>
    <t>How mature is the organization in managing customer prioritization rules during capacity constraints, including ownership, evidence, metrics, fallback procedures and crisis stress testing?</t>
  </si>
  <si>
    <t>Policy/SOP; owner/RACI; system report; dashboard; contracts; test records; incident history; interview evidence related to customer prioritization rules during capacity constraints.</t>
  </si>
  <si>
    <t>No reliable evidence that customer prioritization rules during capacity constraints is defined, owned or managed.</t>
  </si>
  <si>
    <t>Customer prioritization rules during capacity constraints is handled informally and depends on individual knowledge or heroic effort.</t>
  </si>
  <si>
    <t>Customer prioritization rules during capacity constraints is partially documented or implemented, but coverage is inconsistent and not crisis-tested.</t>
  </si>
  <si>
    <t>Customer prioritization rules during capacity constraints is documented, owned, used in normal operations and supported by basic evidence or metrics.</t>
  </si>
  <si>
    <t>Customer prioritization rules during capacity constraints is measured, periodically reviewed, integrated with related processes and tested against relevant disruption scenarios.</t>
  </si>
  <si>
    <t>Customer prioritization rules during capacity constraints is optimized, continuously improved, automated where practical and demonstrably supports crisis resilience.</t>
  </si>
  <si>
    <t>Assign owner, collect evidence, assess gaps, define mitigation actions, and test customer prioritization rules during capacity constraints against scenarios: Delivery disruption; Customer impact; Workforce disruption.</t>
  </si>
  <si>
    <t>DELI-006</t>
  </si>
  <si>
    <t>How mature is the organization in managing delivery transparency to customers during delays, incidents or disruption, including ownership, evidence, metrics, fallback procedures and crisis stress testing?</t>
  </si>
  <si>
    <t>Policy/SOP; owner/RACI; system report; dashboard; contracts; test records; incident history; interview evidence related to delivery transparency to customers during delays, incidents or disruption.</t>
  </si>
  <si>
    <t>No reliable evidence that delivery transparency to customers during delays, incidents or disruption is defined, owned or managed.</t>
  </si>
  <si>
    <t>Delivery transparency to customers during delays, incidents or disruption is handled informally and depends on individual knowledge or heroic effort.</t>
  </si>
  <si>
    <t>Delivery transparency to customers during delays, incidents or disruption is partially documented or implemented, but coverage is inconsistent and not crisis-tested.</t>
  </si>
  <si>
    <t>Delivery transparency to customers during delays, incidents or disruption is documented, owned, used in normal operations and supported by basic evidence or metrics.</t>
  </si>
  <si>
    <t>Delivery transparency to customers during delays, incidents or disruption is measured, periodically reviewed, integrated with related processes and tested against relevant disruption scenarios.</t>
  </si>
  <si>
    <t>Delivery transparency to customers during delays, incidents or disruption is optimized, continuously improved, automated where practical and demonstrably supports crisis resilience.</t>
  </si>
  <si>
    <t>Assign owner, collect evidence, assess gaps, define mitigation actions, and test delivery transparency to customers during delays, incidents or disruption against scenarios: Delivery disruption; Customer impact; Workforce disruption.</t>
  </si>
  <si>
    <t>DELI-007</t>
  </si>
  <si>
    <t>How mature is the organization in managing capacity planning for people, equipment, production lines, cloud resources, warehouses and suppliers, including ownership, evidence, metrics, fallback procedures and crisis stress testing?</t>
  </si>
  <si>
    <t>Policy/SOP; owner/RACI; system report; dashboard; contracts; test records; incident history; interview evidence related to capacity planning for people, equipment, production lines, cloud resources, warehouses and suppliers.</t>
  </si>
  <si>
    <t>No reliable evidence that capacity planning for people, equipment, production lines, cloud resources, warehouses and suppliers is defined, owned or managed.</t>
  </si>
  <si>
    <t>Capacity planning for people, equipment, production lines, cloud resources, warehouses and suppliers is handled informally and depends on individual knowledge or heroic effort.</t>
  </si>
  <si>
    <t>Capacity planning for people, equipment, production lines, cloud resources, warehouses and suppliers is partially documented or implemented, but coverage is inconsistent and not crisis-tested.</t>
  </si>
  <si>
    <t>Capacity planning for people, equipment, production lines, cloud resources, warehouses and suppliers is documented, owned, used in normal operations and supported by basic evidence or metrics.</t>
  </si>
  <si>
    <t>Capacity planning for people, equipment, production lines, cloud resources, warehouses and suppliers is measured, periodically reviewed, integrated with related processes and tested against relevant disruption scenarios.</t>
  </si>
  <si>
    <t>Capacity planning for people, equipment, production lines, cloud resources, warehouses and suppliers is optimized, continuously improved, automated where practical and demonstrably supports crisis resilience.</t>
  </si>
  <si>
    <t>Assign owner, collect evidence, assess gaps, define mitigation actions, and test capacity planning for people, equipment, production lines, cloud resources, warehouses and suppliers against scenarios: Delivery disruption; Customer impact; Workforce disruption.</t>
  </si>
  <si>
    <t>DELI-008</t>
  </si>
  <si>
    <t>How mature is the organization in managing surge capacity for demand spikes, backlog recovery and emergency orders, including ownership, evidence, metrics, fallback procedures and crisis stress testing?</t>
  </si>
  <si>
    <t>Policy/SOP; owner/RACI; system report; dashboard; contracts; test records; incident history; interview evidence related to surge capacity for demand spikes, backlog recovery and emergency orders.</t>
  </si>
  <si>
    <t>No reliable evidence that surge capacity for demand spikes, backlog recovery and emergency orders is defined, owned or managed.</t>
  </si>
  <si>
    <t>Surge capacity for demand spikes, backlog recovery and emergency orders is handled informally and depends on individual knowledge or heroic effort.</t>
  </si>
  <si>
    <t>Surge capacity for demand spikes, backlog recovery and emergency orders is partially documented or implemented, but coverage is inconsistent and not crisis-tested.</t>
  </si>
  <si>
    <t>Surge capacity for demand spikes, backlog recovery and emergency orders is documented, owned, used in normal operations and supported by basic evidence or metrics.</t>
  </si>
  <si>
    <t>Surge capacity for demand spikes, backlog recovery and emergency orders is measured, periodically reviewed, integrated with related processes and tested against relevant disruption scenarios.</t>
  </si>
  <si>
    <t>Surge capacity for demand spikes, backlog recovery and emergency orders is optimized, continuously improved, automated where practical and demonstrably supports crisis resilience.</t>
  </si>
  <si>
    <t>Assign owner, collect evidence, assess gaps, define mitigation actions, and test surge capacity for demand spikes, backlog recovery and emergency orders against scenarios: Delivery disruption; Customer impact; Workforce disruption.</t>
  </si>
  <si>
    <t>DELI-009</t>
  </si>
  <si>
    <t>How mature is the organization in managing minimum viable operating model for severe constraints, including ownership, evidence, metrics, fallback procedures and crisis stress testing?</t>
  </si>
  <si>
    <t>Policy/SOP; owner/RACI; system report; dashboard; contracts; test records; incident history; interview evidence related to minimum viable operating model for severe constraints.</t>
  </si>
  <si>
    <t>No reliable evidence that minimum viable operating model for severe constraints is defined, owned or managed.</t>
  </si>
  <si>
    <t>Minimum viable operating model for severe constraints is handled informally and depends on individual knowledge or heroic effort.</t>
  </si>
  <si>
    <t>Minimum viable operating model for severe constraints is partially documented or implemented, but coverage is inconsistent and not crisis-tested.</t>
  </si>
  <si>
    <t>Minimum viable operating model for severe constraints is documented, owned, used in normal operations and supported by basic evidence or metrics.</t>
  </si>
  <si>
    <t>Minimum viable operating model for severe constraints is measured, periodically reviewed, integrated with related processes and tested against relevant disruption scenarios.</t>
  </si>
  <si>
    <t>Minimum viable operating model for severe constraints is optimized, continuously improved, automated where practical and demonstrably supports crisis resilience.</t>
  </si>
  <si>
    <t>Assign owner, collect evidence, assess gaps, define mitigation actions, and test minimum viable operating model for severe constraints against scenarios: Delivery disruption; Customer impact; Workforce disruption.</t>
  </si>
  <si>
    <t>DELI-010</t>
  </si>
  <si>
    <t>How mature is the organization in managing cross-site or cross-team work transfer if one location or team fails, including ownership, evidence, metrics, fallback procedures and crisis stress testing?</t>
  </si>
  <si>
    <t>Policy/SOP; owner/RACI; system report; dashboard; contracts; test records; incident history; interview evidence related to cross-site or cross-team work transfer if one location or team fails.</t>
  </si>
  <si>
    <t>No reliable evidence that cross-site or cross-team work transfer if one location or team fails is defined, owned or managed.</t>
  </si>
  <si>
    <t>Cross-site or cross-team work transfer if one location or team fails is handled informally and depends on individual knowledge or heroic effort.</t>
  </si>
  <si>
    <t>Cross-site or cross-team work transfer if one location or team fails is partially documented or implemented, but coverage is inconsistent and not crisis-tested.</t>
  </si>
  <si>
    <t>Cross-site or cross-team work transfer if one location or team fails is documented, owned, used in normal operations and supported by basic evidence or metrics.</t>
  </si>
  <si>
    <t>Cross-site or cross-team work transfer if one location or team fails is measured, periodically reviewed, integrated with related processes and tested against relevant disruption scenarios.</t>
  </si>
  <si>
    <t>Cross-site or cross-team work transfer if one location or team fails is optimized, continuously improved, automated where practical and demonstrably supports crisis resilience.</t>
  </si>
  <si>
    <t>Assign owner, collect evidence, assess gaps, define mitigation actions, and test cross-site or cross-team work transfer if one location or team fails against scenarios: Delivery disruption; Customer impact; Workforce disruption.</t>
  </si>
  <si>
    <t>DELI-011</t>
  </si>
  <si>
    <t>How mature is the organization in managing recovery sequencing for processes, systems, teams, sites and customers, including ownership, evidence, metrics, fallback procedures and crisis stress testing?</t>
  </si>
  <si>
    <t>Policy/SOP; owner/RACI; system report; dashboard; contracts; test records; incident history; interview evidence related to recovery sequencing for processes, systems, teams, sites and customers.</t>
  </si>
  <si>
    <t>No reliable evidence that recovery sequencing for processes, systems, teams, sites and customers is defined, owned or managed.</t>
  </si>
  <si>
    <t>Recovery sequencing for processes, systems, teams, sites and customers is handled informally and depends on individual knowledge or heroic effort.</t>
  </si>
  <si>
    <t>Recovery sequencing for processes, systems, teams, sites and customers is partially documented or implemented, but coverage is inconsistent and not crisis-tested.</t>
  </si>
  <si>
    <t>Recovery sequencing for processes, systems, teams, sites and customers is documented, owned, used in normal operations and supported by basic evidence or metrics.</t>
  </si>
  <si>
    <t>Recovery sequencing for processes, systems, teams, sites and customers is measured, periodically reviewed, integrated with related processes and tested against relevant disruption scenarios.</t>
  </si>
  <si>
    <t>Recovery sequencing for processes, systems, teams, sites and customers is optimized, continuously improved, automated where practical and demonstrably supports crisis resilience.</t>
  </si>
  <si>
    <t>Assign owner, collect evidence, assess gaps, define mitigation actions, and test recovery sequencing for processes, systems, teams, sites and customers against scenarios: Delivery disruption; Customer impact; Workforce disruption.</t>
  </si>
  <si>
    <t>DELI-012</t>
  </si>
  <si>
    <t>How mature is the organization in managing delivery tabletop exercises with absent people, unavailable systems or supplier failure, including ownership, evidence, metrics, fallback procedures and crisis stress testing?</t>
  </si>
  <si>
    <t>Policy/SOP; owner/RACI; system report; dashboard; contracts; test records; incident history; interview evidence related to delivery tabletop exercises with absent people, unavailable systems or supplier failure.</t>
  </si>
  <si>
    <t>No reliable evidence that delivery tabletop exercises with absent people, unavailable systems or supplier failure is defined, owned or managed.</t>
  </si>
  <si>
    <t>Delivery tabletop exercises with absent people, unavailable systems or supplier failure is handled informally and depends on individual knowledge or heroic effort.</t>
  </si>
  <si>
    <t>Delivery tabletop exercises with absent people, unavailable systems or supplier failure is partially documented or implemented, but coverage is inconsistent and not crisis-tested.</t>
  </si>
  <si>
    <t>Delivery tabletop exercises with absent people, unavailable systems or supplier failure is documented, owned, used in normal operations and supported by basic evidence or metrics.</t>
  </si>
  <si>
    <t>Delivery tabletop exercises with absent people, unavailable systems or supplier failure is measured, periodically reviewed, integrated with related processes and tested against relevant disruption scenarios.</t>
  </si>
  <si>
    <t>Delivery tabletop exercises with absent people, unavailable systems or supplier failure is optimized, continuously improved, automated where practical and demonstrably supports crisis resilience.</t>
  </si>
  <si>
    <t>Assign owner, collect evidence, assess gaps, define mitigation actions, and test delivery tabletop exercises with absent people, unavailable systems or supplier failure against scenarios: Delivery disruption; Customer impact; Workforce disruption.</t>
  </si>
  <si>
    <t>DELI-013</t>
  </si>
  <si>
    <t>How mature is the organization in managing SOP documentation for critical delivery activities, including ownership, evidence, metrics, fallback procedures and crisis stress testing?</t>
  </si>
  <si>
    <t>Policy/SOP; owner/RACI; system report; dashboard; contracts; test records; incident history; interview evidence related to SOP documentation for critical delivery activities.</t>
  </si>
  <si>
    <t>No reliable evidence that sop documentation for critical delivery activities is defined, owned or managed.</t>
  </si>
  <si>
    <t>SOP documentation for critical delivery activities is handled informally and depends on individual knowledge or heroic effort.</t>
  </si>
  <si>
    <t>SOP documentation for critical delivery activities is partially documented or implemented, but coverage is inconsistent and not crisis-tested.</t>
  </si>
  <si>
    <t>SOP documentation for critical delivery activities is documented, owned, used in normal operations and supported by basic evidence or metrics.</t>
  </si>
  <si>
    <t>SOP documentation for critical delivery activities is measured, periodically reviewed, integrated with related processes and tested against relevant disruption scenarios.</t>
  </si>
  <si>
    <t>SOP documentation for critical delivery activities is optimized, continuously improved, automated where practical and demonstrably supports crisis resilience.</t>
  </si>
  <si>
    <t>Assign owner, collect evidence, assess gaps, define mitigation actions, and test SOP documentation for critical delivery activities against scenarios: Delivery disruption; Customer impact; Workforce disruption.</t>
  </si>
  <si>
    <t>DELI-014</t>
  </si>
  <si>
    <t>How mature is the organization in managing handover procedures between shifts, teams, vendors and customers, including ownership, evidence, metrics, fallback procedures and crisis stress testing?</t>
  </si>
  <si>
    <t>Policy/SOP; owner/RACI; system report; dashboard; contracts; test records; incident history; interview evidence related to handover procedures between shifts, teams, vendors and customers.</t>
  </si>
  <si>
    <t>No reliable evidence that handover procedures between shifts, teams, vendors and customers is defined, owned or managed.</t>
  </si>
  <si>
    <t>Handover procedures between shifts, teams, vendors and customers is handled informally and depends on individual knowledge or heroic effort.</t>
  </si>
  <si>
    <t>Handover procedures between shifts, teams, vendors and customers is partially documented or implemented, but coverage is inconsistent and not crisis-tested.</t>
  </si>
  <si>
    <t>Handover procedures between shifts, teams, vendors and customers is documented, owned, used in normal operations and supported by basic evidence or metrics.</t>
  </si>
  <si>
    <t>Handover procedures between shifts, teams, vendors and customers is measured, periodically reviewed, integrated with related processes and tested against relevant disruption scenarios.</t>
  </si>
  <si>
    <t>Handover procedures between shifts, teams, vendors and customers is optimized, continuously improved, automated where practical and demonstrably supports crisis resilience.</t>
  </si>
  <si>
    <t>Assign owner, collect evidence, assess gaps, define mitigation actions, and test handover procedures between shifts, teams, vendors and customers against scenarios: Delivery disruption; Customer impact; Workforce disruption.</t>
  </si>
  <si>
    <t>DELI-015</t>
  </si>
  <si>
    <t>How mature is the organization in managing quality gates across delivery, production, release or service lifecycle, including ownership, evidence, metrics, fallback procedures and crisis stress testing?</t>
  </si>
  <si>
    <t>Policy/SOP; owner/RACI; system report; dashboard; contracts; test records; incident history; interview evidence related to quality gates across delivery, production, release or service lifecycle.</t>
  </si>
  <si>
    <t>No reliable evidence that quality gates across delivery, production, release or service lifecycle is defined, owned or managed.</t>
  </si>
  <si>
    <t>Quality gates across delivery, production, release or service lifecycle is handled informally and depends on individual knowledge or heroic effort.</t>
  </si>
  <si>
    <t>Quality gates across delivery, production, release or service lifecycle is partially documented or implemented, but coverage is inconsistent and not crisis-tested.</t>
  </si>
  <si>
    <t>Quality gates across delivery, production, release or service lifecycle is documented, owned, used in normal operations and supported by basic evidence or metrics.</t>
  </si>
  <si>
    <t>Quality gates across delivery, production, release or service lifecycle is measured, periodically reviewed, integrated with related processes and tested against relevant disruption scenarios.</t>
  </si>
  <si>
    <t>Quality gates across delivery, production, release or service lifecycle is optimized, continuously improved, automated where practical and demonstrably supports crisis resilience.</t>
  </si>
  <si>
    <t>Assign owner, collect evidence, assess gaps, define mitigation actions, and test quality gates across delivery, production, release or service lifecycle against scenarios: Delivery disruption; Customer impact; Workforce disruption.</t>
  </si>
  <si>
    <t>DELI-016</t>
  </si>
  <si>
    <t>How mature is the organization in managing change control with risk, customer impact, rollback and communication, including ownership, evidence, metrics, fallback procedures and crisis stress testing?</t>
  </si>
  <si>
    <t>Policy/SOP; owner/RACI; system report; dashboard; contracts; test records; incident history; interview evidence related to change control with risk, customer impact, rollback and communication.</t>
  </si>
  <si>
    <t>No reliable evidence that change control with risk, customer impact, rollback and communication is defined, owned or managed.</t>
  </si>
  <si>
    <t>Change control with risk, customer impact, rollback and communication is handled informally and depends on individual knowledge or heroic effort.</t>
  </si>
  <si>
    <t>Change control with risk, customer impact, rollback and communication is partially documented or implemented, but coverage is inconsistent and not crisis-tested.</t>
  </si>
  <si>
    <t>Change control with risk, customer impact, rollback and communication is documented, owned, used in normal operations and supported by basic evidence or metrics.</t>
  </si>
  <si>
    <t>Change control with risk, customer impact, rollback and communication is measured, periodically reviewed, integrated with related processes and tested against relevant disruption scenarios.</t>
  </si>
  <si>
    <t>Change control with risk, customer impact, rollback and communication is optimized, continuously improved, automated where practical and demonstrably supports crisis resilience.</t>
  </si>
  <si>
    <t>Assign owner, collect evidence, assess gaps, define mitigation actions, and test change control with risk, customer impact, rollback and communication against scenarios: Delivery disruption; Customer impact; Workforce disruption.</t>
  </si>
  <si>
    <t>DELI-017</t>
  </si>
  <si>
    <t>How mature is the organization in managing manual workarounds if delivery systems are unavailable, including ownership, evidence, metrics, fallback procedures and crisis stress testing?</t>
  </si>
  <si>
    <t>Policy/SOP; owner/RACI; system report; dashboard; contracts; test records; incident history; interview evidence related to manual workarounds if delivery systems are unavailable.</t>
  </si>
  <si>
    <t>No reliable evidence that manual workarounds if delivery systems are unavailable is defined, owned or managed.</t>
  </si>
  <si>
    <t>Manual workarounds if delivery systems are unavailable is handled informally and depends on individual knowledge or heroic effort.</t>
  </si>
  <si>
    <t>Manual workarounds if delivery systems are unavailable is partially documented or implemented, but coverage is inconsistent and not crisis-tested.</t>
  </si>
  <si>
    <t>Manual workarounds if delivery systems are unavailable is documented, owned, used in normal operations and supported by basic evidence or metrics.</t>
  </si>
  <si>
    <t>Manual workarounds if delivery systems are unavailable is measured, periodically reviewed, integrated with related processes and tested against relevant disruption scenarios.</t>
  </si>
  <si>
    <t>Manual workarounds if delivery systems are unavailable is optimized, continuously improved, automated where practical and demonstrably supports crisis resilience.</t>
  </si>
  <si>
    <t>Assign owner, collect evidence, assess gaps, define mitigation actions, and test manual workarounds if delivery systems are unavailable against scenarios: Delivery disruption; Customer impact; Workforce disruption.</t>
  </si>
  <si>
    <t>DELI-018</t>
  </si>
  <si>
    <t>How mature is the organization in managing root cause analysis for recurring delivery failures, including ownership, evidence, metrics, fallback procedures and crisis stress testing?</t>
  </si>
  <si>
    <t>Policy/SOP; owner/RACI; system report; dashboard; contracts; test records; incident history; interview evidence related to root cause analysis for recurring delivery failures.</t>
  </si>
  <si>
    <t>No reliable evidence that root cause analysis for recurring delivery failures is defined, owned or managed.</t>
  </si>
  <si>
    <t>Root cause analysis for recurring delivery failures is handled informally and depends on individual knowledge or heroic effort.</t>
  </si>
  <si>
    <t>Root cause analysis for recurring delivery failures is partially documented or implemented, but coverage is inconsistent and not crisis-tested.</t>
  </si>
  <si>
    <t>Root cause analysis for recurring delivery failures is documented, owned, used in normal operations and supported by basic evidence or metrics.</t>
  </si>
  <si>
    <t>Root cause analysis for recurring delivery failures is measured, periodically reviewed, integrated with related processes and tested against relevant disruption scenarios.</t>
  </si>
  <si>
    <t>Root cause analysis for recurring delivery failures is optimized, continuously improved, automated where practical and demonstrably supports crisis resilience.</t>
  </si>
  <si>
    <t>Assign owner, collect evidence, assess gaps, define mitigation actions, and test root cause analysis for recurring delivery failures against scenarios: Delivery disruption; Customer impact; Workforce disruption.</t>
  </si>
  <si>
    <t>DELI-019</t>
  </si>
  <si>
    <t>How mature is the organization in managing real-time visibility into orders, backlog, incidents, production, logistics and service performance, including ownership, evidence, metrics, fallback procedures and crisis stress testing?</t>
  </si>
  <si>
    <t>Policy/SOP; owner/RACI; system report; dashboard; contracts; test records; incident history; interview evidence related to real-time visibility into orders, backlog, incidents, production, logistics and service performance.</t>
  </si>
  <si>
    <t>No reliable evidence that real-time visibility into orders, backlog, incidents, production, logistics and service performance is defined, owned or managed.</t>
  </si>
  <si>
    <t>Real-time visibility into orders, backlog, incidents, production, logistics and service performance is handled informally and depends on individual knowledge or heroic effort.</t>
  </si>
  <si>
    <t>Real-time visibility into orders, backlog, incidents, production, logistics and service performance is partially documented or implemented, but coverage is inconsistent and not crisis-tested.</t>
  </si>
  <si>
    <t>Real-time visibility into orders, backlog, incidents, production, logistics and service performance is documented, owned, used in normal operations and supported by basic evidence or metrics.</t>
  </si>
  <si>
    <t>Real-time visibility into orders, backlog, incidents, production, logistics and service performance is measured, periodically reviewed, integrated with related processes and tested against relevant disruption scenarios.</t>
  </si>
  <si>
    <t>Real-time visibility into orders, backlog, incidents, production, logistics and service performance is optimized, continuously improved, automated where practical and demonstrably supports crisis resilience.</t>
  </si>
  <si>
    <t>Assign owner, collect evidence, assess gaps, define mitigation actions, and test real-time visibility into orders, backlog, incidents, production, logistics and service performance against scenarios: Delivery disruption; Customer impact; Workforce disruption.</t>
  </si>
  <si>
    <t>DELI-020</t>
  </si>
  <si>
    <t>How mature is the organization in managing operational KPIs for delivery quality, timeliness, throughput, cost, incidents and customer impact, including ownership, evidence, metrics, fallback procedures and crisis stress testing?</t>
  </si>
  <si>
    <t>Policy/SOP; owner/RACI; system report; dashboard; contracts; test records; incident history; interview evidence related to operational KPIs for delivery quality, timeliness, throughput, cost, incidents and customer impact.</t>
  </si>
  <si>
    <t>No reliable evidence that operational kpis for delivery quality, timeliness, throughput, cost, incidents and customer impact is defined, owned or managed.</t>
  </si>
  <si>
    <t>Operational KPIs for delivery quality, timeliness, throughput, cost, incidents and customer impact is handled informally and depends on individual knowledge or heroic effort.</t>
  </si>
  <si>
    <t>Operational KPIs for delivery quality, timeliness, throughput, cost, incidents and customer impact is partially documented or implemented, but coverage is inconsistent and not crisis-tested.</t>
  </si>
  <si>
    <t>Operational KPIs for delivery quality, timeliness, throughput, cost, incidents and customer impact is documented, owned, used in normal operations and supported by basic evidence or metrics.</t>
  </si>
  <si>
    <t>Operational KPIs for delivery quality, timeliness, throughput, cost, incidents and customer impact is measured, periodically reviewed, integrated with related processes and tested against relevant disruption scenarios.</t>
  </si>
  <si>
    <t>Operational KPIs for delivery quality, timeliness, throughput, cost, incidents and customer impact is optimized, continuously improved, automated where practical and demonstrably supports crisis resilience.</t>
  </si>
  <si>
    <t>Assign owner, collect evidence, assess gaps, define mitigation actions, and test operational KPIs for delivery quality, timeliness, throughput, cost, incidents and customer impact against scenarios: Delivery disruption; Customer impact; Workforce disruption.</t>
  </si>
  <si>
    <t>DELI-021</t>
  </si>
  <si>
    <t>How mature is the organization in managing backlog aging analysis linked to customer risk, revenue risk and operational constraints, including ownership, evidence, metrics, fallback procedures and crisis stress testing?</t>
  </si>
  <si>
    <t>Policy/SOP; owner/RACI; system report; dashboard; contracts; test records; incident history; interview evidence related to backlog aging analysis linked to customer risk, revenue risk and operational constraints.</t>
  </si>
  <si>
    <t>No reliable evidence that backlog aging analysis linked to customer risk, revenue risk and operational constraints is defined, owned or managed.</t>
  </si>
  <si>
    <t>Backlog aging analysis linked to customer risk, revenue risk and operational constraints is handled informally and depends on individual knowledge or heroic effort.</t>
  </si>
  <si>
    <t>Backlog aging analysis linked to customer risk, revenue risk and operational constraints is partially documented or implemented, but coverage is inconsistent and not crisis-tested.</t>
  </si>
  <si>
    <t>Backlog aging analysis linked to customer risk, revenue risk and operational constraints is documented, owned, used in normal operations and supported by basic evidence or metrics.</t>
  </si>
  <si>
    <t>Backlog aging analysis linked to customer risk, revenue risk and operational constraints is measured, periodically reviewed, integrated with related processes and tested against relevant disruption scenarios.</t>
  </si>
  <si>
    <t>Backlog aging analysis linked to customer risk, revenue risk and operational constraints is optimized, continuously improved, automated where practical and demonstrably supports crisis resilience.</t>
  </si>
  <si>
    <t>Assign owner, collect evidence, assess gaps, define mitigation actions, and test backlog aging analysis linked to customer risk, revenue risk and operational constraints against scenarios: Delivery disruption; Customer impact; Workforce disruption.</t>
  </si>
  <si>
    <t>DELI-022</t>
  </si>
  <si>
    <t>How mature is the organization in managing customer-specific runbooks for critical accounts, including ownership, evidence, metrics, fallback procedures and crisis stress testing?</t>
  </si>
  <si>
    <t>Policy/SOP; owner/RACI; system report; dashboard; contracts; test records; incident history; interview evidence related to customer-specific runbooks for critical accounts.</t>
  </si>
  <si>
    <t>No reliable evidence that customer-specific runbooks for critical accounts is defined, owned or managed.</t>
  </si>
  <si>
    <t>Customer-specific runbooks for critical accounts is handled informally and depends on individual knowledge or heroic effort.</t>
  </si>
  <si>
    <t>Customer-specific runbooks for critical accounts is partially documented or implemented, but coverage is inconsistent and not crisis-tested.</t>
  </si>
  <si>
    <t>Customer-specific runbooks for critical accounts is documented, owned, used in normal operations and supported by basic evidence or metrics.</t>
  </si>
  <si>
    <t>Customer-specific runbooks for critical accounts is measured, periodically reviewed, integrated with related processes and tested against relevant disruption scenarios.</t>
  </si>
  <si>
    <t>Customer-specific runbooks for critical accounts is optimized, continuously improved, automated where practical and demonstrably supports crisis resilience.</t>
  </si>
  <si>
    <t>Assign owner, collect evidence, assess gaps, define mitigation actions, and test customer-specific runbooks for critical accounts against scenarios: Delivery disruption; Customer impact; Workforce disruption.</t>
  </si>
  <si>
    <t>DELI-023</t>
  </si>
  <si>
    <t>How mature is the organization in managing critical tools, equipment and licenses required for delivery, including ownership, evidence, metrics, fallback procedures and crisis stress testing?</t>
  </si>
  <si>
    <t>Policy/SOP; owner/RACI; system report; dashboard; contracts; test records; incident history; interview evidence related to critical tools, equipment and licenses required for delivery.</t>
  </si>
  <si>
    <t>No reliable evidence that critical tools, equipment and licenses required for delivery is defined, owned or managed.</t>
  </si>
  <si>
    <t>Critical tools, equipment and licenses required for delivery is handled informally and depends on individual knowledge or heroic effort.</t>
  </si>
  <si>
    <t>Critical tools, equipment and licenses required for delivery is partially documented or implemented, but coverage is inconsistent and not crisis-tested.</t>
  </si>
  <si>
    <t>Critical tools, equipment and licenses required for delivery is documented, owned, used in normal operations and supported by basic evidence or metrics.</t>
  </si>
  <si>
    <t>Critical tools, equipment and licenses required for delivery is measured, periodically reviewed, integrated with related processes and tested against relevant disruption scenarios.</t>
  </si>
  <si>
    <t>Critical tools, equipment and licenses required for delivery is optimized, continuously improved, automated where practical and demonstrably supports crisis resilience.</t>
  </si>
  <si>
    <t>Assign owner, collect evidence, assess gaps, define mitigation actions, and test critical tools, equipment and licenses required for delivery against scenarios: Delivery disruption; Customer impact; Workforce disruption.</t>
  </si>
  <si>
    <t>DELI-024</t>
  </si>
  <si>
    <t>How mature is the organization in managing geographic delivery exposure by customer, supplier, team and site location, including ownership, evidence, metrics, fallback procedures and crisis stress testing?</t>
  </si>
  <si>
    <t>Policy/SOP; owner/RACI; system report; dashboard; contracts; test records; incident history; interview evidence related to geographic delivery exposure by customer, supplier, team and site location.</t>
  </si>
  <si>
    <t>No reliable evidence that geographic delivery exposure by customer, supplier, team and site location is defined, owned or managed.</t>
  </si>
  <si>
    <t>Geographic delivery exposure by customer, supplier, team and site location is handled informally and depends on individual knowledge or heroic effort.</t>
  </si>
  <si>
    <t>Geographic delivery exposure by customer, supplier, team and site location is partially documented or implemented, but coverage is inconsistent and not crisis-tested.</t>
  </si>
  <si>
    <t>Geographic delivery exposure by customer, supplier, team and site location is documented, owned, used in normal operations and supported by basic evidence or metrics.</t>
  </si>
  <si>
    <t>Geographic delivery exposure by customer, supplier, team and site location is measured, periodically reviewed, integrated with related processes and tested against relevant disruption scenarios.</t>
  </si>
  <si>
    <t>Geographic delivery exposure by customer, supplier, team and site location is optimized, continuously improved, automated where practical and demonstrably supports crisis resilience.</t>
  </si>
  <si>
    <t>Assign owner, collect evidence, assess gaps, define mitigation actions, and test geographic delivery exposure by customer, supplier, team and site location against scenarios: Delivery disruption; Customer impact; Workforce disruption.</t>
  </si>
  <si>
    <t>Supply Chain Assessment</t>
  </si>
  <si>
    <t>Purpose: assess how this domain affects crisis impact, continuity and resilience. Main references: ISO 22301; ISO 20400; ISO 28000; SCOR Digital Standard; S&amp;OP/IBP; APICS/ASCM.</t>
  </si>
  <si>
    <t>SUPP-001</t>
  </si>
  <si>
    <t>How mature is the organization in managing end-to-end supply chain map from raw materials and suppliers to production, logistics, delivery and customers, including ownership, evidence, metrics, fallback procedures and crisis stress testing?</t>
  </si>
  <si>
    <t>This topic affects exposure to Supplier/logistics disruption; Manufacturing disruption; Demand shock. It helps identify how disruption may impact operations, people, revenue, systems, legal exposure or recovery time.</t>
  </si>
  <si>
    <t>ISO 22301; ISO 20400; ISO 28000; SCOR Digital Standard; S&amp;OP/IBP; APICS/ASCM</t>
  </si>
  <si>
    <t>Policy/SOP; owner/RACI; system report; dashboard; contracts; test records; incident history; interview evidence related to end-to-end supply chain map from raw materials and suppliers to production, logistics, delivery and customers.</t>
  </si>
  <si>
    <t>No reliable evidence that end-to-end supply chain map from raw materials and suppliers to production, logistics, delivery and customers is defined, owned or managed.</t>
  </si>
  <si>
    <t>End-to-end supply chain map from raw materials and suppliers to production, logistics, delivery and customers is handled informally and depends on individual knowledge or heroic effort.</t>
  </si>
  <si>
    <t>End-to-end supply chain map from raw materials and suppliers to production, logistics, delivery and customers is partially documented or implemented, but coverage is inconsistent and not crisis-tested.</t>
  </si>
  <si>
    <t>End-to-end supply chain map from raw materials and suppliers to production, logistics, delivery and customers is documented, owned, used in normal operations and supported by basic evidence or metrics.</t>
  </si>
  <si>
    <t>End-to-end supply chain map from raw materials and suppliers to production, logistics, delivery and customers is measured, periodically reviewed, integrated with related processes and tested against relevant disruption scenarios.</t>
  </si>
  <si>
    <t>End-to-end supply chain map from raw materials and suppliers to production, logistics, delivery and customers is optimized, continuously improved, automated where practical and demonstrably supports crisis resilience.</t>
  </si>
  <si>
    <t>Supplier/logistics disruption; Manufacturing disruption; Demand shock</t>
  </si>
  <si>
    <t>Supply Chain / Procurement</t>
  </si>
  <si>
    <t>Assign owner, collect evidence, assess gaps, define mitigation actions, and test end-to-end supply chain map from raw materials and suppliers to production, logistics, delivery and customers against scenarios: Supplier/logistics disruption; Manufacturing disruption; Demand shock.</t>
  </si>
  <si>
    <t>SUPP-002</t>
  </si>
  <si>
    <t>How mature is the organization in managing visibility beyond tier-1 suppliers for critical materials, components and services, including ownership, evidence, metrics, fallback procedures and crisis stress testing?</t>
  </si>
  <si>
    <t>Policy/SOP; owner/RACI; system report; dashboard; contracts; test records; incident history; interview evidence related to visibility beyond tier-1 suppliers for critical materials, components and services.</t>
  </si>
  <si>
    <t>No reliable evidence that visibility beyond tier-1 suppliers for critical materials, components and services is defined, owned or managed.</t>
  </si>
  <si>
    <t>Visibility beyond tier-1 suppliers for critical materials, components and services is handled informally and depends on individual knowledge or heroic effort.</t>
  </si>
  <si>
    <t>Visibility beyond tier-1 suppliers for critical materials, components and services is partially documented or implemented, but coverage is inconsistent and not crisis-tested.</t>
  </si>
  <si>
    <t>Visibility beyond tier-1 suppliers for critical materials, components and services is documented, owned, used in normal operations and supported by basic evidence or metrics.</t>
  </si>
  <si>
    <t>Visibility beyond tier-1 suppliers for critical materials, components and services is measured, periodically reviewed, integrated with related processes and tested against relevant disruption scenarios.</t>
  </si>
  <si>
    <t>Visibility beyond tier-1 suppliers for critical materials, components and services is optimized, continuously improved, automated where practical and demonstrably supports crisis resilience.</t>
  </si>
  <si>
    <t>Assign owner, collect evidence, assess gaps, define mitigation actions, and test visibility beyond tier-1 suppliers for critical materials, components and services against scenarios: Supplier/logistics disruption; Manufacturing disruption; Demand shock.</t>
  </si>
  <si>
    <t>SUPP-003</t>
  </si>
  <si>
    <t>How mature is the organization in managing supplier criticality scoring by business impact, availability, substitution, lead time and geography, including ownership, evidence, metrics, fallback procedures and crisis stress testing?</t>
  </si>
  <si>
    <t>Policy/SOP; owner/RACI; system report; dashboard; contracts; test records; incident history; interview evidence related to supplier criticality scoring by business impact, availability, substitution, lead time and geography.</t>
  </si>
  <si>
    <t>No reliable evidence that supplier criticality scoring by business impact, availability, substitution, lead time and geography is defined, owned or managed.</t>
  </si>
  <si>
    <t>Supplier criticality scoring by business impact, availability, substitution, lead time and geography is handled informally and depends on individual knowledge or heroic effort.</t>
  </si>
  <si>
    <t>Supplier criticality scoring by business impact, availability, substitution, lead time and geography is partially documented or implemented, but coverage is inconsistent and not crisis-tested.</t>
  </si>
  <si>
    <t>Supplier criticality scoring by business impact, availability, substitution, lead time and geography is documented, owned, used in normal operations and supported by basic evidence or metrics.</t>
  </si>
  <si>
    <t>Supplier criticality scoring by business impact, availability, substitution, lead time and geography is measured, periodically reviewed, integrated with related processes and tested against relevant disruption scenarios.</t>
  </si>
  <si>
    <t>Supplier criticality scoring by business impact, availability, substitution, lead time and geography is optimized, continuously improved, automated where practical and demonstrably supports crisis resilience.</t>
  </si>
  <si>
    <t>Assign owner, collect evidence, assess gaps, define mitigation actions, and test supplier criticality scoring by business impact, availability, substitution, lead time and geography against scenarios: Supplier/logistics disruption; Manufacturing disruption; Demand shock.</t>
  </si>
  <si>
    <t>SUPP-004</t>
  </si>
  <si>
    <t>How mature is the organization in managing supplier concentration by spend, dependency, category, geography and product line, including ownership, evidence, metrics, fallback procedures and crisis stress testing?</t>
  </si>
  <si>
    <t>Policy/SOP; owner/RACI; system report; dashboard; contracts; test records; incident history; interview evidence related to supplier concentration by spend, dependency, category, geography and product line.</t>
  </si>
  <si>
    <t>No reliable evidence that supplier concentration by spend, dependency, category, geography and product line is defined, owned or managed.</t>
  </si>
  <si>
    <t>Supplier concentration by spend, dependency, category, geography and product line is handled informally and depends on individual knowledge or heroic effort.</t>
  </si>
  <si>
    <t>Supplier concentration by spend, dependency, category, geography and product line is partially documented or implemented, but coverage is inconsistent and not crisis-tested.</t>
  </si>
  <si>
    <t>Supplier concentration by spend, dependency, category, geography and product line is documented, owned, used in normal operations and supported by basic evidence or metrics.</t>
  </si>
  <si>
    <t>Supplier concentration by spend, dependency, category, geography and product line is measured, periodically reviewed, integrated with related processes and tested against relevant disruption scenarios.</t>
  </si>
  <si>
    <t>Supplier concentration by spend, dependency, category, geography and product line is optimized, continuously improved, automated where practical and demonstrably supports crisis resilience.</t>
  </si>
  <si>
    <t>Assign owner, collect evidence, assess gaps, define mitigation actions, and test supplier concentration by spend, dependency, category, geography and product line against scenarios: Supplier/logistics disruption; Manufacturing disruption; Demand shock.</t>
  </si>
  <si>
    <t>SUPP-005</t>
  </si>
  <si>
    <t>How mature is the organization in managing critical supplier continuity plans, recovery times and incident notification commitments, including ownership, evidence, metrics, fallback procedures and crisis stress testing?</t>
  </si>
  <si>
    <t>Policy/SOP; owner/RACI; system report; dashboard; contracts; test records; incident history; interview evidence related to critical supplier continuity plans, recovery times and incident notification commitments.</t>
  </si>
  <si>
    <t>No reliable evidence that critical supplier continuity plans, recovery times and incident notification commitments is defined, owned or managed.</t>
  </si>
  <si>
    <t>Critical supplier continuity plans, recovery times and incident notification commitments is handled informally and depends on individual knowledge or heroic effort.</t>
  </si>
  <si>
    <t>Critical supplier continuity plans, recovery times and incident notification commitments is partially documented or implemented, but coverage is inconsistent and not crisis-tested.</t>
  </si>
  <si>
    <t>Critical supplier continuity plans, recovery times and incident notification commitments is documented, owned, used in normal operations and supported by basic evidence or metrics.</t>
  </si>
  <si>
    <t>Critical supplier continuity plans, recovery times and incident notification commitments is measured, periodically reviewed, integrated with related processes and tested against relevant disruption scenarios.</t>
  </si>
  <si>
    <t>Critical supplier continuity plans, recovery times and incident notification commitments is optimized, continuously improved, automated where practical and demonstrably supports crisis resilience.</t>
  </si>
  <si>
    <t>Assign owner, collect evidence, assess gaps, define mitigation actions, and test critical supplier continuity plans, recovery times and incident notification commitments against scenarios: Supplier/logistics disruption; Manufacturing disruption; Demand shock.</t>
  </si>
  <si>
    <t>SUPP-006</t>
  </si>
  <si>
    <t>How mature is the organization in managing pre-qualified alternative suppliers for critical categories, including ownership, evidence, metrics, fallback procedures and crisis stress testing?</t>
  </si>
  <si>
    <t>Policy/SOP; owner/RACI; system report; dashboard; contracts; test records; incident history; interview evidence related to pre-qualified alternative suppliers for critical categories.</t>
  </si>
  <si>
    <t>No reliable evidence that pre-qualified alternative suppliers for critical categories is defined, owned or managed.</t>
  </si>
  <si>
    <t>Pre-qualified alternative suppliers for critical categories is handled informally and depends on individual knowledge or heroic effort.</t>
  </si>
  <si>
    <t>Pre-qualified alternative suppliers for critical categories is partially documented or implemented, but coverage is inconsistent and not crisis-tested.</t>
  </si>
  <si>
    <t>Pre-qualified alternative suppliers for critical categories is documented, owned, used in normal operations and supported by basic evidence or metrics.</t>
  </si>
  <si>
    <t>Pre-qualified alternative suppliers for critical categories is measured, periodically reviewed, integrated with related processes and tested against relevant disruption scenarios.</t>
  </si>
  <si>
    <t>Pre-qualified alternative suppliers for critical categories is optimized, continuously improved, automated where practical and demonstrably supports crisis resilience.</t>
  </si>
  <si>
    <t>Assign owner, collect evidence, assess gaps, define mitigation actions, and test pre-qualified alternative suppliers for critical categories against scenarios: Supplier/logistics disruption; Manufacturing disruption; Demand shock.</t>
  </si>
  <si>
    <t>SUPP-007</t>
  </si>
  <si>
    <t>How mature is the organization in managing critical logistics routes, carriers, ports, borders, warehouses and transit risks, including ownership, evidence, metrics, fallback procedures and crisis stress testing?</t>
  </si>
  <si>
    <t>Policy/SOP; owner/RACI; system report; dashboard; contracts; test records; incident history; interview evidence related to critical logistics routes, carriers, ports, borders, warehouses and transit risks.</t>
  </si>
  <si>
    <t>No reliable evidence that critical logistics routes, carriers, ports, borders, warehouses and transit risks is defined, owned or managed.</t>
  </si>
  <si>
    <t>Critical logistics routes, carriers, ports, borders, warehouses and transit risks is handled informally and depends on individual knowledge or heroic effort.</t>
  </si>
  <si>
    <t>Critical logistics routes, carriers, ports, borders, warehouses and transit risks is partially documented or implemented, but coverage is inconsistent and not crisis-tested.</t>
  </si>
  <si>
    <t>Critical logistics routes, carriers, ports, borders, warehouses and transit risks is documented, owned, used in normal operations and supported by basic evidence or metrics.</t>
  </si>
  <si>
    <t>Critical logistics routes, carriers, ports, borders, warehouses and transit risks is measured, periodically reviewed, integrated with related processes and tested against relevant disruption scenarios.</t>
  </si>
  <si>
    <t>Critical logistics routes, carriers, ports, borders, warehouses and transit risks is optimized, continuously improved, automated where practical and demonstrably supports crisis resilience.</t>
  </si>
  <si>
    <t>Assign owner, collect evidence, assess gaps, define mitigation actions, and test critical logistics routes, carriers, ports, borders, warehouses and transit risks against scenarios: Supplier/logistics disruption; Manufacturing disruption; Demand shock.</t>
  </si>
  <si>
    <t>SUPP-008</t>
  </si>
  <si>
    <t>How mature is the organization in managing alternative carriers, routes and warehouses for disruption scenarios, including ownership, evidence, metrics, fallback procedures and crisis stress testing?</t>
  </si>
  <si>
    <t>Policy/SOP; owner/RACI; system report; dashboard; contracts; test records; incident history; interview evidence related to alternative carriers, routes and warehouses for disruption scenarios.</t>
  </si>
  <si>
    <t>No reliable evidence that alternative carriers, routes and warehouses for disruption scenarios is defined, owned or managed.</t>
  </si>
  <si>
    <t>Alternative carriers, routes and warehouses for disruption scenarios is handled informally and depends on individual knowledge or heroic effort.</t>
  </si>
  <si>
    <t>Alternative carriers, routes and warehouses for disruption scenarios is partially documented or implemented, but coverage is inconsistent and not crisis-tested.</t>
  </si>
  <si>
    <t>Alternative carriers, routes and warehouses for disruption scenarios is documented, owned, used in normal operations and supported by basic evidence or metrics.</t>
  </si>
  <si>
    <t>Alternative carriers, routes and warehouses for disruption scenarios is measured, periodically reviewed, integrated with related processes and tested against relevant disruption scenarios.</t>
  </si>
  <si>
    <t>Alternative carriers, routes and warehouses for disruption scenarios is optimized, continuously improved, automated where practical and demonstrably supports crisis resilience.</t>
  </si>
  <si>
    <t>Assign owner, collect evidence, assess gaps, define mitigation actions, and test alternative carriers, routes and warehouses for disruption scenarios against scenarios: Supplier/logistics disruption; Manufacturing disruption; Demand shock.</t>
  </si>
  <si>
    <t>SUPP-009</t>
  </si>
  <si>
    <t>How mature is the organization in managing transport capacity for peak demand or disruption periods, including ownership, evidence, metrics, fallback procedures and crisis stress testing?</t>
  </si>
  <si>
    <t>Policy/SOP; owner/RACI; system report; dashboard; contracts; test records; incident history; interview evidence related to transport capacity for peak demand or disruption periods.</t>
  </si>
  <si>
    <t>No reliable evidence that transport capacity for peak demand or disruption periods is defined, owned or managed.</t>
  </si>
  <si>
    <t>Transport capacity for peak demand or disruption periods is handled informally and depends on individual knowledge or heroic effort.</t>
  </si>
  <si>
    <t>Transport capacity for peak demand or disruption periods is partially documented or implemented, but coverage is inconsistent and not crisis-tested.</t>
  </si>
  <si>
    <t>Transport capacity for peak demand or disruption periods is documented, owned, used in normal operations and supported by basic evidence or metrics.</t>
  </si>
  <si>
    <t>Transport capacity for peak demand or disruption periods is measured, periodically reviewed, integrated with related processes and tested against relevant disruption scenarios.</t>
  </si>
  <si>
    <t>Transport capacity for peak demand or disruption periods is optimized, continuously improved, automated where practical and demonstrably supports crisis resilience.</t>
  </si>
  <si>
    <t>Assign owner, collect evidence, assess gaps, define mitigation actions, and test transport capacity for peak demand or disruption periods against scenarios: Supplier/logistics disruption; Manufacturing disruption; Demand shock.</t>
  </si>
  <si>
    <t>SUPP-010</t>
  </si>
  <si>
    <t>How mature is the organization in managing shipment tracking and reliable ETA communication for critical shipments, including ownership, evidence, metrics, fallback procedures and crisis stress testing?</t>
  </si>
  <si>
    <t>Policy/SOP; owner/RACI; system report; dashboard; contracts; test records; incident history; interview evidence related to shipment tracking and reliable ETA communication for critical shipments.</t>
  </si>
  <si>
    <t>No reliable evidence that shipment tracking and reliable eta communication for critical shipments is defined, owned or managed.</t>
  </si>
  <si>
    <t>Shipment tracking and reliable ETA communication for critical shipments is handled informally and depends on individual knowledge or heroic effort.</t>
  </si>
  <si>
    <t>Shipment tracking and reliable ETA communication for critical shipments is partially documented or implemented, but coverage is inconsistent and not crisis-tested.</t>
  </si>
  <si>
    <t>Shipment tracking and reliable ETA communication for critical shipments is documented, owned, used in normal operations and supported by basic evidence or metrics.</t>
  </si>
  <si>
    <t>Shipment tracking and reliable ETA communication for critical shipments is measured, periodically reviewed, integrated with related processes and tested against relevant disruption scenarios.</t>
  </si>
  <si>
    <t>Shipment tracking and reliable ETA communication for critical shipments is optimized, continuously improved, automated where practical and demonstrably supports crisis resilience.</t>
  </si>
  <si>
    <t>Assign owner, collect evidence, assess gaps, define mitigation actions, and test shipment tracking and reliable ETA communication for critical shipments against scenarios: Supplier/logistics disruption; Manufacturing disruption; Demand shock.</t>
  </si>
  <si>
    <t>SUPP-011</t>
  </si>
  <si>
    <t>How mature is the organization in managing customs, import/export, sanctions and trade documentation controls, including ownership, evidence, metrics, fallback procedures and crisis stress testing?</t>
  </si>
  <si>
    <t>Policy/SOP; owner/RACI; system report; dashboard; contracts; test records; incident history; interview evidence related to customs, import/export, sanctions and trade documentation controls.</t>
  </si>
  <si>
    <t>No reliable evidence that customs, import/export, sanctions and trade documentation controls is defined, owned or managed.</t>
  </si>
  <si>
    <t>Customs, import/export, sanctions and trade documentation controls is handled informally and depends on individual knowledge or heroic effort.</t>
  </si>
  <si>
    <t>Customs, import/export, sanctions and trade documentation controls is partially documented or implemented, but coverage is inconsistent and not crisis-tested.</t>
  </si>
  <si>
    <t>Customs, import/export, sanctions and trade documentation controls is documented, owned, used in normal operations and supported by basic evidence or metrics.</t>
  </si>
  <si>
    <t>Customs, import/export, sanctions and trade documentation controls is measured, periodically reviewed, integrated with related processes and tested against relevant disruption scenarios.</t>
  </si>
  <si>
    <t>Customs, import/export, sanctions and trade documentation controls is optimized, continuously improved, automated where practical and demonstrably supports crisis resilience.</t>
  </si>
  <si>
    <t>Assign owner, collect evidence, assess gaps, define mitigation actions, and test customs, import/export, sanctions and trade documentation controls against scenarios: Supplier/logistics disruption; Manufacturing disruption; Demand shock.</t>
  </si>
  <si>
    <t>SUPP-012</t>
  </si>
  <si>
    <t>How mature is the organization in managing Incoterms, insurance, liability and delivery obligations for critical flows, including ownership, evidence, metrics, fallback procedures and crisis stress testing?</t>
  </si>
  <si>
    <t>Policy/SOP; owner/RACI; system report; dashboard; contracts; test records; incident history; interview evidence related to Incoterms, insurance, liability and delivery obligations for critical flows.</t>
  </si>
  <si>
    <t>No reliable evidence that incoterms, insurance, liability and delivery obligations for critical flows is defined, owned or managed.</t>
  </si>
  <si>
    <t>Incoterms, insurance, liability and delivery obligations for critical flows is handled informally and depends on individual knowledge or heroic effort.</t>
  </si>
  <si>
    <t>Incoterms, insurance, liability and delivery obligations for critical flows is partially documented or implemented, but coverage is inconsistent and not crisis-tested.</t>
  </si>
  <si>
    <t>Incoterms, insurance, liability and delivery obligations for critical flows is documented, owned, used in normal operations and supported by basic evidence or metrics.</t>
  </si>
  <si>
    <t>Incoterms, insurance, liability and delivery obligations for critical flows is measured, periodically reviewed, integrated with related processes and tested against relevant disruption scenarios.</t>
  </si>
  <si>
    <t>Incoterms, insurance, liability and delivery obligations for critical flows is optimized, continuously improved, automated where practical and demonstrably supports crisis resilience.</t>
  </si>
  <si>
    <t>Assign owner, collect evidence, assess gaps, define mitigation actions, and test Incoterms, insurance, liability and delivery obligations for critical flows against scenarios: Supplier/logistics disruption; Manufacturing disruption; Demand shock.</t>
  </si>
  <si>
    <t>SUPP-013</t>
  </si>
  <si>
    <t>How mature is the organization in managing safety stock, reorder points, min/max levels and buffer rules by criticality and lead time, including ownership, evidence, metrics, fallback procedures and crisis stress testing?</t>
  </si>
  <si>
    <t>Policy/SOP; owner/RACI; system report; dashboard; contracts; test records; incident history; interview evidence related to safety stock, reorder points, min/max levels and buffer rules by criticality and lead time.</t>
  </si>
  <si>
    <t>No reliable evidence that safety stock, reorder points, min/max levels and buffer rules by criticality and lead time is defined, owned or managed.</t>
  </si>
  <si>
    <t>Safety stock, reorder points, min/max levels and buffer rules by criticality and lead time is handled informally and depends on individual knowledge or heroic effort.</t>
  </si>
  <si>
    <t>Safety stock, reorder points, min/max levels and buffer rules by criticality and lead time is partially documented or implemented, but coverage is inconsistent and not crisis-tested.</t>
  </si>
  <si>
    <t>Safety stock, reorder points, min/max levels and buffer rules by criticality and lead time is documented, owned, used in normal operations and supported by basic evidence or metrics.</t>
  </si>
  <si>
    <t>Safety stock, reorder points, min/max levels and buffer rules by criticality and lead time is measured, periodically reviewed, integrated with related processes and tested against relevant disruption scenarios.</t>
  </si>
  <si>
    <t>Safety stock, reorder points, min/max levels and buffer rules by criticality and lead time is optimized, continuously improved, automated where practical and demonstrably supports crisis resilience.</t>
  </si>
  <si>
    <t>Assign owner, collect evidence, assess gaps, define mitigation actions, and test safety stock, reorder points, min/max levels and buffer rules by criticality and lead time against scenarios: Supplier/logistics disruption; Manufacturing disruption; Demand shock.</t>
  </si>
  <si>
    <t>SUPP-014</t>
  </si>
  <si>
    <t>How mature is the organization in managing inventory visibility by SKU, location, status, shelf life, batch and ownership, including ownership, evidence, metrics, fallback procedures and crisis stress testing?</t>
  </si>
  <si>
    <t>Policy/SOP; owner/RACI; system report; dashboard; contracts; test records; incident history; interview evidence related to inventory visibility by SKU, location, status, shelf life, batch and ownership.</t>
  </si>
  <si>
    <t>No reliable evidence that inventory visibility by sku, location, status, shelf life, batch and ownership is defined, owned or managed.</t>
  </si>
  <si>
    <t>Inventory visibility by SKU, location, status, shelf life, batch and ownership is handled informally and depends on individual knowledge or heroic effort.</t>
  </si>
  <si>
    <t>Inventory visibility by SKU, location, status, shelf life, batch and ownership is partially documented or implemented, but coverage is inconsistent and not crisis-tested.</t>
  </si>
  <si>
    <t>Inventory visibility by SKU, location, status, shelf life, batch and ownership is documented, owned, used in normal operations and supported by basic evidence or metrics.</t>
  </si>
  <si>
    <t>Inventory visibility by SKU, location, status, shelf life, batch and ownership is measured, periodically reviewed, integrated with related processes and tested against relevant disruption scenarios.</t>
  </si>
  <si>
    <t>Inventory visibility by SKU, location, status, shelf life, batch and ownership is optimized, continuously improved, automated where practical and demonstrably supports crisis resilience.</t>
  </si>
  <si>
    <t>Assign owner, collect evidence, assess gaps, define mitigation actions, and test inventory visibility by SKU, location, status, shelf life, batch and ownership against scenarios: Supplier/logistics disruption; Manufacturing disruption; Demand shock.</t>
  </si>
  <si>
    <t>SUPP-015</t>
  </si>
  <si>
    <t>How mature is the organization in managing slow-moving, obsolete or stagnant inventory analysis linked to sales and procurement decisions, including ownership, evidence, metrics, fallback procedures and crisis stress testing?</t>
  </si>
  <si>
    <t>Policy/SOP; owner/RACI; system report; dashboard; contracts; test records; incident history; interview evidence related to slow-moving, obsolete or stagnant inventory analysis linked to sales and procurement decisions.</t>
  </si>
  <si>
    <t>No reliable evidence that slow-moving, obsolete or stagnant inventory analysis linked to sales and procurement decisions is defined, owned or managed.</t>
  </si>
  <si>
    <t>Slow-moving, obsolete or stagnant inventory analysis linked to sales and procurement decisions is handled informally and depends on individual knowledge or heroic effort.</t>
  </si>
  <si>
    <t>Slow-moving, obsolete or stagnant inventory analysis linked to sales and procurement decisions is partially documented or implemented, but coverage is inconsistent and not crisis-tested.</t>
  </si>
  <si>
    <t>Slow-moving, obsolete or stagnant inventory analysis linked to sales and procurement decisions is documented, owned, used in normal operations and supported by basic evidence or metrics.</t>
  </si>
  <si>
    <t>Slow-moving, obsolete or stagnant inventory analysis linked to sales and procurement decisions is measured, periodically reviewed, integrated with related processes and tested against relevant disruption scenarios.</t>
  </si>
  <si>
    <t>Slow-moving, obsolete or stagnant inventory analysis linked to sales and procurement decisions is optimized, continuously improved, automated where practical and demonstrably supports crisis resilience.</t>
  </si>
  <si>
    <t>Assign owner, collect evidence, assess gaps, define mitigation actions, and test slow-moving, obsolete or stagnant inventory analysis linked to sales and procurement decisions against scenarios: Supplier/logistics disruption; Manufacturing disruption; Demand shock.</t>
  </si>
  <si>
    <t>SUPP-016</t>
  </si>
  <si>
    <t>How mature is the organization in managing critical materials and spare parts buffers sized using risk, demand variability and supplier lead time, including ownership, evidence, metrics, fallback procedures and crisis stress testing?</t>
  </si>
  <si>
    <t>Policy/SOP; owner/RACI; system report; dashboard; contracts; test records; incident history; interview evidence related to critical materials and spare parts buffers sized using risk, demand variability and supplier lead time.</t>
  </si>
  <si>
    <t>No reliable evidence that critical materials and spare parts buffers sized using risk, demand variability and supplier lead time is defined, owned or managed.</t>
  </si>
  <si>
    <t>Critical materials and spare parts buffers sized using risk, demand variability and supplier lead time is handled informally and depends on individual knowledge or heroic effort.</t>
  </si>
  <si>
    <t>Critical materials and spare parts buffers sized using risk, demand variability and supplier lead time is partially documented or implemented, but coverage is inconsistent and not crisis-tested.</t>
  </si>
  <si>
    <t>Critical materials and spare parts buffers sized using risk, demand variability and supplier lead time is documented, owned, used in normal operations and supported by basic evidence or metrics.</t>
  </si>
  <si>
    <t>Critical materials and spare parts buffers sized using risk, demand variability and supplier lead time is measured, periodically reviewed, integrated with related processes and tested against relevant disruption scenarios.</t>
  </si>
  <si>
    <t>Critical materials and spare parts buffers sized using risk, demand variability and supplier lead time is optimized, continuously improved, automated where practical and demonstrably supports crisis resilience.</t>
  </si>
  <si>
    <t>Assign owner, collect evidence, assess gaps, define mitigation actions, and test critical materials and spare parts buffers sized using risk, demand variability and supplier lead time against scenarios: Supplier/logistics disruption; Manufacturing disruption; Demand shock.</t>
  </si>
  <si>
    <t>SUPP-017</t>
  </si>
  <si>
    <t>How mature is the organization in managing demand forecast integrated with sales pipeline, history, seasonality and crisis scenarios, including ownership, evidence, metrics, fallback procedures and crisis stress testing?</t>
  </si>
  <si>
    <t>Policy/SOP; owner/RACI; system report; dashboard; contracts; test records; incident history; interview evidence related to demand forecast integrated with sales pipeline, history, seasonality and crisis scenarios.</t>
  </si>
  <si>
    <t>No reliable evidence that demand forecast integrated with sales pipeline, history, seasonality and crisis scenarios is defined, owned or managed.</t>
  </si>
  <si>
    <t>Demand forecast integrated with sales pipeline, history, seasonality and crisis scenarios is handled informally and depends on individual knowledge or heroic effort.</t>
  </si>
  <si>
    <t>Demand forecast integrated with sales pipeline, history, seasonality and crisis scenarios is partially documented or implemented, but coverage is inconsistent and not crisis-tested.</t>
  </si>
  <si>
    <t>Demand forecast integrated with sales pipeline, history, seasonality and crisis scenarios is documented, owned, used in normal operations and supported by basic evidence or metrics.</t>
  </si>
  <si>
    <t>Demand forecast integrated with sales pipeline, history, seasonality and crisis scenarios is measured, periodically reviewed, integrated with related processes and tested against relevant disruption scenarios.</t>
  </si>
  <si>
    <t>Demand forecast integrated with sales pipeline, history, seasonality and crisis scenarios is optimized, continuously improved, automated where practical and demonstrably supports crisis resilience.</t>
  </si>
  <si>
    <t>Assign owner, collect evidence, assess gaps, define mitigation actions, and test demand forecast integrated with sales pipeline, history, seasonality and crisis scenarios against scenarios: Supplier/logistics disruption; Manufacturing disruption; Demand shock.</t>
  </si>
  <si>
    <t>SUPP-018</t>
  </si>
  <si>
    <t>How mature is the organization in managing S&amp;OP or IBP process connecting sales, finance, production, procurement and logistics, including ownership, evidence, metrics, fallback procedures and crisis stress testing?</t>
  </si>
  <si>
    <t>Policy/SOP; owner/RACI; system report; dashboard; contracts; test records; incident history; interview evidence related to S&amp;OP or IBP process connecting sales, finance, production, procurement and logistics.</t>
  </si>
  <si>
    <t>No reliable evidence that s&amp;op or ibp process connecting sales, finance, production, procurement and logistics is defined, owned or managed.</t>
  </si>
  <si>
    <t>S&amp;OP or IBP process connecting sales, finance, production, procurement and logistics is handled informally and depends on individual knowledge or heroic effort.</t>
  </si>
  <si>
    <t>S&amp;OP or IBP process connecting sales, finance, production, procurement and logistics is partially documented or implemented, but coverage is inconsistent and not crisis-tested.</t>
  </si>
  <si>
    <t>S&amp;OP or IBP process connecting sales, finance, production, procurement and logistics is documented, owned, used in normal operations and supported by basic evidence or metrics.</t>
  </si>
  <si>
    <t>S&amp;OP or IBP process connecting sales, finance, production, procurement and logistics is measured, periodically reviewed, integrated with related processes and tested against relevant disruption scenarios.</t>
  </si>
  <si>
    <t>S&amp;OP or IBP process connecting sales, finance, production, procurement and logistics is optimized, continuously improved, automated where practical and demonstrably supports crisis resilience.</t>
  </si>
  <si>
    <t>Assign owner, collect evidence, assess gaps, define mitigation actions, and test S&amp;OP or IBP process connecting sales, finance, production, procurement and logistics against scenarios: Supplier/logistics disruption; Manufacturing disruption; Demand shock.</t>
  </si>
  <si>
    <t>SUPP-019</t>
  </si>
  <si>
    <t>How mature is the organization in managing planning cycle acceleration during crisis without losing data quality, including ownership, evidence, metrics, fallback procedures and crisis stress testing?</t>
  </si>
  <si>
    <t>Policy/SOP; owner/RACI; system report; dashboard; contracts; test records; incident history; interview evidence related to planning cycle acceleration during crisis without losing data quality.</t>
  </si>
  <si>
    <t>No reliable evidence that planning cycle acceleration during crisis without losing data quality is defined, owned or managed.</t>
  </si>
  <si>
    <t>Planning cycle acceleration during crisis without losing data quality is handled informally and depends on individual knowledge or heroic effort.</t>
  </si>
  <si>
    <t>Planning cycle acceleration during crisis without losing data quality is partially documented or implemented, but coverage is inconsistent and not crisis-tested.</t>
  </si>
  <si>
    <t>Planning cycle acceleration during crisis without losing data quality is documented, owned, used in normal operations and supported by basic evidence or metrics.</t>
  </si>
  <si>
    <t>Planning cycle acceleration during crisis without losing data quality is measured, periodically reviewed, integrated with related processes and tested against relevant disruption scenarios.</t>
  </si>
  <si>
    <t>Planning cycle acceleration during crisis without losing data quality is optimized, continuously improved, automated where practical and demonstrably supports crisis resilience.</t>
  </si>
  <si>
    <t>Assign owner, collect evidence, assess gaps, define mitigation actions, and test planning cycle acceleration during crisis without losing data quality against scenarios: Supplier/logistics disruption; Manufacturing disruption; Demand shock.</t>
  </si>
  <si>
    <t>SUPP-020</t>
  </si>
  <si>
    <t>How mature is the organization in managing ERP, MRP, WMS, TMS and supplier portal integration and resilience, including ownership, evidence, metrics, fallback procedures and crisis stress testing?</t>
  </si>
  <si>
    <t>Policy/SOP; owner/RACI; system report; dashboard; contracts; test records; incident history; interview evidence related to ERP, MRP, WMS, TMS and supplier portal integration and resilience.</t>
  </si>
  <si>
    <t>No reliable evidence that erp, mrp, wms, tms and supplier portal integration and resilience is defined, owned or managed.</t>
  </si>
  <si>
    <t>ERP, MRP, WMS, TMS and supplier portal integration and resilience is handled informally and depends on individual knowledge or heroic effort.</t>
  </si>
  <si>
    <t>ERP, MRP, WMS, TMS and supplier portal integration and resilience is partially documented or implemented, but coverage is inconsistent and not crisis-tested.</t>
  </si>
  <si>
    <t>ERP, MRP, WMS, TMS and supplier portal integration and resilience is documented, owned, used in normal operations and supported by basic evidence or metrics.</t>
  </si>
  <si>
    <t>ERP, MRP, WMS, TMS and supplier portal integration and resilience is measured, periodically reviewed, integrated with related processes and tested against relevant disruption scenarios.</t>
  </si>
  <si>
    <t>ERP, MRP, WMS, TMS and supplier portal integration and resilience is optimized, continuously improved, automated where practical and demonstrably supports crisis resilience.</t>
  </si>
  <si>
    <t>Assign owner, collect evidence, assess gaps, define mitigation actions, and test ERP, MRP, WMS, TMS and supplier portal integration and resilience against scenarios: Supplier/logistics disruption; Manufacturing disruption; Demand shock.</t>
  </si>
  <si>
    <t>SUPP-021</t>
  </si>
  <si>
    <t>How mature is the organization in managing supply chain early warning monitoring for supplier, geopolitical, weather, port, customs and price risks, including ownership, evidence, metrics, fallback procedures and crisis stress testing?</t>
  </si>
  <si>
    <t>Policy/SOP; owner/RACI; system report; dashboard; contracts; test records; incident history; interview evidence related to supply chain early warning monitoring for supplier, geopolitical, weather, port, customs and price risks.</t>
  </si>
  <si>
    <t>No reliable evidence that supply chain early warning monitoring for supplier, geopolitical, weather, port, customs and price risks is defined, owned or managed.</t>
  </si>
  <si>
    <t>Supply chain early warning monitoring for supplier, geopolitical, weather, port, customs and price risks is handled informally and depends on individual knowledge or heroic effort.</t>
  </si>
  <si>
    <t>Supply chain early warning monitoring for supplier, geopolitical, weather, port, customs and price risks is partially documented or implemented, but coverage is inconsistent and not crisis-tested.</t>
  </si>
  <si>
    <t>Supply chain early warning monitoring for supplier, geopolitical, weather, port, customs and price risks is documented, owned, used in normal operations and supported by basic evidence or metrics.</t>
  </si>
  <si>
    <t>Supply chain early warning monitoring for supplier, geopolitical, weather, port, customs and price risks is measured, periodically reviewed, integrated with related processes and tested against relevant disruption scenarios.</t>
  </si>
  <si>
    <t>Supply chain early warning monitoring for supplier, geopolitical, weather, port, customs and price risks is optimized, continuously improved, automated where practical and demonstrably supports crisis resilience.</t>
  </si>
  <si>
    <t>Assign owner, collect evidence, assess gaps, define mitigation actions, and test supply chain early warning monitoring for supplier, geopolitical, weather, port, customs and price risks against scenarios: Supplier/logistics disruption; Manufacturing disruption; Demand shock.</t>
  </si>
  <si>
    <t>SUPP-022</t>
  </si>
  <si>
    <t>How mature is the organization in managing supply cost volatility monitoring for freight, energy, commodities and currency, including ownership, evidence, metrics, fallback procedures and crisis stress testing?</t>
  </si>
  <si>
    <t>Policy/SOP; owner/RACI; system report; dashboard; contracts; test records; incident history; interview evidence related to supply cost volatility monitoring for freight, energy, commodities and currency.</t>
  </si>
  <si>
    <t>No reliable evidence that supply cost volatility monitoring for freight, energy, commodities and currency is defined, owned or managed.</t>
  </si>
  <si>
    <t>Supply cost volatility monitoring for freight, energy, commodities and currency is handled informally and depends on individual knowledge or heroic effort.</t>
  </si>
  <si>
    <t>Supply cost volatility monitoring for freight, energy, commodities and currency is partially documented or implemented, but coverage is inconsistent and not crisis-tested.</t>
  </si>
  <si>
    <t>Supply cost volatility monitoring for freight, energy, commodities and currency is documented, owned, used in normal operations and supported by basic evidence or metrics.</t>
  </si>
  <si>
    <t>Supply cost volatility monitoring for freight, energy, commodities and currency is measured, periodically reviewed, integrated with related processes and tested against relevant disruption scenarios.</t>
  </si>
  <si>
    <t>Supply cost volatility monitoring for freight, energy, commodities and currency is optimized, continuously improved, automated where practical and demonstrably supports crisis resilience.</t>
  </si>
  <si>
    <t>Assign owner, collect evidence, assess gaps, define mitigation actions, and test supply cost volatility monitoring for freight, energy, commodities and currency against scenarios: Supplier/logistics disruption; Manufacturing disruption; Demand shock.</t>
  </si>
  <si>
    <t>SUPP-023</t>
  </si>
  <si>
    <t>How mature is the organization in managing allocation rules when supply is insufficient to serve all customers, including ownership, evidence, metrics, fallback procedures and crisis stress testing?</t>
  </si>
  <si>
    <t>Policy/SOP; owner/RACI; system report; dashboard; contracts; test records; incident history; interview evidence related to allocation rules when supply is insufficient to serve all customers.</t>
  </si>
  <si>
    <t>No reliable evidence that allocation rules when supply is insufficient to serve all customers is defined, owned or managed.</t>
  </si>
  <si>
    <t>Allocation rules when supply is insufficient to serve all customers is handled informally and depends on individual knowledge or heroic effort.</t>
  </si>
  <si>
    <t>Allocation rules when supply is insufficient to serve all customers is partially documented or implemented, but coverage is inconsistent and not crisis-tested.</t>
  </si>
  <si>
    <t>Allocation rules when supply is insufficient to serve all customers is documented, owned, used in normal operations and supported by basic evidence or metrics.</t>
  </si>
  <si>
    <t>Allocation rules when supply is insufficient to serve all customers is measured, periodically reviewed, integrated with related processes and tested against relevant disruption scenarios.</t>
  </si>
  <si>
    <t>Allocation rules when supply is insufficient to serve all customers is optimized, continuously improved, automated where practical and demonstrably supports crisis resilience.</t>
  </si>
  <si>
    <t>Assign owner, collect evidence, assess gaps, define mitigation actions, and test allocation rules when supply is insufficient to serve all customers against scenarios: Supplier/logistics disruption; Manufacturing disruption; Demand shock.</t>
  </si>
  <si>
    <t>SUPP-024</t>
  </si>
  <si>
    <t>How mature is the organization in managing SKU, supplier, BOM, lead-time and replenishment master data quality, including ownership, evidence, metrics, fallback procedures and crisis stress testing?</t>
  </si>
  <si>
    <t>Policy/SOP; owner/RACI; system report; dashboard; contracts; test records; incident history; interview evidence related to SKU, supplier, BOM, lead-time and replenishment master data quality.</t>
  </si>
  <si>
    <t>No reliable evidence that sku, supplier, bom, lead-time and replenishment master data quality is defined, owned or managed.</t>
  </si>
  <si>
    <t>SKU, supplier, BOM, lead-time and replenishment master data quality is handled informally and depends on individual knowledge or heroic effort.</t>
  </si>
  <si>
    <t>SKU, supplier, BOM, lead-time and replenishment master data quality is partially documented or implemented, but coverage is inconsistent and not crisis-tested.</t>
  </si>
  <si>
    <t>SKU, supplier, BOM, lead-time and replenishment master data quality is documented, owned, used in normal operations and supported by basic evidence or metrics.</t>
  </si>
  <si>
    <t>SKU, supplier, BOM, lead-time and replenishment master data quality is measured, periodically reviewed, integrated with related processes and tested against relevant disruption scenarios.</t>
  </si>
  <si>
    <t>SKU, supplier, BOM, lead-time and replenishment master data quality is optimized, continuously improved, automated where practical and demonstrably supports crisis resilience.</t>
  </si>
  <si>
    <t>Assign owner, collect evidence, assess gaps, define mitigation actions, and test SKU, supplier, BOM, lead-time and replenishment master data quality against scenarios: Supplier/logistics disruption; Manufacturing disruption; Demand shock.</t>
  </si>
  <si>
    <t>SUPP-025</t>
  </si>
  <si>
    <t>How mature is the organization in managing approved substitution rules for materials, components and suppliers, including ownership, evidence, metrics, fallback procedures and crisis stress testing?</t>
  </si>
  <si>
    <t>Policy/SOP; owner/RACI; system report; dashboard; contracts; test records; incident history; interview evidence related to approved substitution rules for materials, components and suppliers.</t>
  </si>
  <si>
    <t>No reliable evidence that approved substitution rules for materials, components and suppliers is defined, owned or managed.</t>
  </si>
  <si>
    <t>Approved substitution rules for materials, components and suppliers is handled informally and depends on individual knowledge or heroic effort.</t>
  </si>
  <si>
    <t>Approved substitution rules for materials, components and suppliers is partially documented or implemented, but coverage is inconsistent and not crisis-tested.</t>
  </si>
  <si>
    <t>Approved substitution rules for materials, components and suppliers is documented, owned, used in normal operations and supported by basic evidence or metrics.</t>
  </si>
  <si>
    <t>Approved substitution rules for materials, components and suppliers is measured, periodically reviewed, integrated with related processes and tested against relevant disruption scenarios.</t>
  </si>
  <si>
    <t>Approved substitution rules for materials, components and suppliers is optimized, continuously improved, automated where practical and demonstrably supports crisis resilience.</t>
  </si>
  <si>
    <t>Assign owner, collect evidence, assess gaps, define mitigation actions, and test approved substitution rules for materials, components and suppliers against scenarios: Supplier/logistics disruption; Manufacturing disruption; Demand shock.</t>
  </si>
  <si>
    <t>Manufacturing MES Assessment</t>
  </si>
  <si>
    <t>Purpose: assess how this domain affects crisis impact, continuity and resilience. Main references: ISO 9001; ISO 45001; ISA-95; IEC 62443; ISO 55001; Lean; Six Sigma; TPM; MES/MOM practices.</t>
  </si>
  <si>
    <t>MANU-001</t>
  </si>
  <si>
    <t>How mature is the organization in managing production footprint by plant, line, product family, capacity, workforce and crisis exposure, including ownership, evidence, metrics, fallback procedures and crisis stress testing?</t>
  </si>
  <si>
    <t>This topic affects exposure to Manufacturing disruption; Safety incident; Energy outage; Cyberattack. It helps identify how disruption may impact operations, people, revenue, systems, legal exposure or recovery time.</t>
  </si>
  <si>
    <t>ISO 9001; ISO 45001; ISA-95; IEC 62443; ISO 55001; Lean; Six Sigma; TPM; MES/MOM practices</t>
  </si>
  <si>
    <t>Policy/SOP; owner/RACI; system report; dashboard; contracts; test records; incident history; interview evidence related to production footprint by plant, line, product family, capacity, workforce and crisis exposure.</t>
  </si>
  <si>
    <t>No reliable evidence that production footprint by plant, line, product family, capacity, workforce and crisis exposure is defined, owned or managed.</t>
  </si>
  <si>
    <t>Production footprint by plant, line, product family, capacity, workforce and crisis exposure is handled informally and depends on individual knowledge or heroic effort.</t>
  </si>
  <si>
    <t>Production footprint by plant, line, product family, capacity, workforce and crisis exposure is partially documented or implemented, but coverage is inconsistent and not crisis-tested.</t>
  </si>
  <si>
    <t>Production footprint by plant, line, product family, capacity, workforce and crisis exposure is documented, owned, used in normal operations and supported by basic evidence or metrics.</t>
  </si>
  <si>
    <t>Production footprint by plant, line, product family, capacity, workforce and crisis exposure is measured, periodically reviewed, integrated with related processes and tested against relevant disruption scenarios.</t>
  </si>
  <si>
    <t>Production footprint by plant, line, product family, capacity, workforce and crisis exposure is optimized, continuously improved, automated where practical and demonstrably supports crisis resilience.</t>
  </si>
  <si>
    <t>Manufacturing disruption; Safety incident; Energy outage; Cyberattack</t>
  </si>
  <si>
    <t>COO / Plant / Manufacturing</t>
  </si>
  <si>
    <t>Assign owner, collect evidence, assess gaps, define mitigation actions, and test production footprint by plant, line, product family, capacity, workforce and crisis exposure against scenarios: Manufacturing disruption; Safety incident; Energy outage; Cyberattack.</t>
  </si>
  <si>
    <t>MANU-002</t>
  </si>
  <si>
    <t>How mature is the organization in managing production planning integrated with demand, supply, inventory, workforce and maintenance constraints, including ownership, evidence, metrics, fallback procedures and crisis stress testing?</t>
  </si>
  <si>
    <t>Policy/SOP; owner/RACI; system report; dashboard; contracts; test records; incident history; interview evidence related to production planning integrated with demand, supply, inventory, workforce and maintenance constraints.</t>
  </si>
  <si>
    <t>No reliable evidence that production planning integrated with demand, supply, inventory, workforce and maintenance constraints is defined, owned or managed.</t>
  </si>
  <si>
    <t>Production planning integrated with demand, supply, inventory, workforce and maintenance constraints is handled informally and depends on individual knowledge or heroic effort.</t>
  </si>
  <si>
    <t>Production planning integrated with demand, supply, inventory, workforce and maintenance constraints is partially documented or implemented, but coverage is inconsistent and not crisis-tested.</t>
  </si>
  <si>
    <t>Production planning integrated with demand, supply, inventory, workforce and maintenance constraints is documented, owned, used in normal operations and supported by basic evidence or metrics.</t>
  </si>
  <si>
    <t>Production planning integrated with demand, supply, inventory, workforce and maintenance constraints is measured, periodically reviewed, integrated with related processes and tested against relevant disruption scenarios.</t>
  </si>
  <si>
    <t>Production planning integrated with demand, supply, inventory, workforce and maintenance constraints is optimized, continuously improved, automated where practical and demonstrably supports crisis resilience.</t>
  </si>
  <si>
    <t>Assign owner, collect evidence, assess gaps, define mitigation actions, and test production planning integrated with demand, supply, inventory, workforce and maintenance constraints against scenarios: Manufacturing disruption; Safety incident; Energy outage; Cyberattack.</t>
  </si>
  <si>
    <t>MANU-003</t>
  </si>
  <si>
    <t>How mature is the organization in managing finite capacity planning for bottlenecks, machines, shifts and labor, including ownership, evidence, metrics, fallback procedures and crisis stress testing?</t>
  </si>
  <si>
    <t>Policy/SOP; owner/RACI; system report; dashboard; contracts; test records; incident history; interview evidence related to finite capacity planning for bottlenecks, machines, shifts and labor.</t>
  </si>
  <si>
    <t>No reliable evidence that finite capacity planning for bottlenecks, machines, shifts and labor is defined, owned or managed.</t>
  </si>
  <si>
    <t>Finite capacity planning for bottlenecks, machines, shifts and labor is handled informally and depends on individual knowledge or heroic effort.</t>
  </si>
  <si>
    <t>Finite capacity planning for bottlenecks, machines, shifts and labor is partially documented or implemented, but coverage is inconsistent and not crisis-tested.</t>
  </si>
  <si>
    <t>Finite capacity planning for bottlenecks, machines, shifts and labor is documented, owned, used in normal operations and supported by basic evidence or metrics.</t>
  </si>
  <si>
    <t>Finite capacity planning for bottlenecks, machines, shifts and labor is measured, periodically reviewed, integrated with related processes and tested against relevant disruption scenarios.</t>
  </si>
  <si>
    <t>Finite capacity planning for bottlenecks, machines, shifts and labor is optimized, continuously improved, automated where practical and demonstrably supports crisis resilience.</t>
  </si>
  <si>
    <t>Assign owner, collect evidence, assess gaps, define mitigation actions, and test finite capacity planning for bottlenecks, machines, shifts and labor against scenarios: Manufacturing disruption; Safety incident; Energy outage; Cyberattack.</t>
  </si>
  <si>
    <t>MANU-004</t>
  </si>
  <si>
    <t>How mature is the organization in managing minimum viable production under staff absence, utility outage, supplier delay or site risk, including ownership, evidence, metrics, fallback procedures and crisis stress testing?</t>
  </si>
  <si>
    <t>Policy/SOP; owner/RACI; system report; dashboard; contracts; test records; incident history; interview evidence related to minimum viable production under staff absence, utility outage, supplier delay or site risk.</t>
  </si>
  <si>
    <t>No reliable evidence that minimum viable production under staff absence, utility outage, supplier delay or site risk is defined, owned or managed.</t>
  </si>
  <si>
    <t>Minimum viable production under staff absence, utility outage, supplier delay or site risk is handled informally and depends on individual knowledge or heroic effort.</t>
  </si>
  <si>
    <t>Minimum viable production under staff absence, utility outage, supplier delay or site risk is partially documented or implemented, but coverage is inconsistent and not crisis-tested.</t>
  </si>
  <si>
    <t>Minimum viable production under staff absence, utility outage, supplier delay or site risk is documented, owned, used in normal operations and supported by basic evidence or metrics.</t>
  </si>
  <si>
    <t>Minimum viable production under staff absence, utility outage, supplier delay or site risk is measured, periodically reviewed, integrated with related processes and tested against relevant disruption scenarios.</t>
  </si>
  <si>
    <t>Minimum viable production under staff absence, utility outage, supplier delay or site risk is optimized, continuously improved, automated where practical and demonstrably supports crisis resilience.</t>
  </si>
  <si>
    <t>Assign owner, collect evidence, assess gaps, define mitigation actions, and test minimum viable production under staff absence, utility outage, supplier delay or site risk against scenarios: Manufacturing disruption; Safety incident; Energy outage; Cyberattack.</t>
  </si>
  <si>
    <t>MANU-005</t>
  </si>
  <si>
    <t>How mature is the organization in managing line or site transferability if a facility fails, including ownership, evidence, metrics, fallback procedures and crisis stress testing?</t>
  </si>
  <si>
    <t>Policy/SOP; owner/RACI; system report; dashboard; contracts; test records; incident history; interview evidence related to line or site transferability if a facility fails.</t>
  </si>
  <si>
    <t>No reliable evidence that line or site transferability if a facility fails is defined, owned or managed.</t>
  </si>
  <si>
    <t>Line or site transferability if a facility fails is handled informally and depends on individual knowledge or heroic effort.</t>
  </si>
  <si>
    <t>Line or site transferability if a facility fails is partially documented or implemented, but coverage is inconsistent and not crisis-tested.</t>
  </si>
  <si>
    <t>Line or site transferability if a facility fails is documented, owned, used in normal operations and supported by basic evidence or metrics.</t>
  </si>
  <si>
    <t>Line or site transferability if a facility fails is measured, periodically reviewed, integrated with related processes and tested against relevant disruption scenarios.</t>
  </si>
  <si>
    <t>Line or site transferability if a facility fails is optimized, continuously improved, automated where practical and demonstrably supports crisis resilience.</t>
  </si>
  <si>
    <t>Assign owner, collect evidence, assess gaps, define mitigation actions, and test line or site transferability if a facility fails against scenarios: Manufacturing disruption; Safety incident; Energy outage; Cyberattack.</t>
  </si>
  <si>
    <t>MANU-006</t>
  </si>
  <si>
    <t>How mature is the organization in managing contract manufacturing capacity, quality, continuity, security and compliance, including ownership, evidence, metrics, fallback procedures and crisis stress testing?</t>
  </si>
  <si>
    <t>Policy/SOP; owner/RACI; system report; dashboard; contracts; test records; incident history; interview evidence related to contract manufacturing capacity, quality, continuity, security and compliance.</t>
  </si>
  <si>
    <t>No reliable evidence that contract manufacturing capacity, quality, continuity, security and compliance is defined, owned or managed.</t>
  </si>
  <si>
    <t>Contract manufacturing capacity, quality, continuity, security and compliance is handled informally and depends on individual knowledge or heroic effort.</t>
  </si>
  <si>
    <t>Contract manufacturing capacity, quality, continuity, security and compliance is partially documented or implemented, but coverage is inconsistent and not crisis-tested.</t>
  </si>
  <si>
    <t>Contract manufacturing capacity, quality, continuity, security and compliance is documented, owned, used in normal operations and supported by basic evidence or metrics.</t>
  </si>
  <si>
    <t>Contract manufacturing capacity, quality, continuity, security and compliance is measured, periodically reviewed, integrated with related processes and tested against relevant disruption scenarios.</t>
  </si>
  <si>
    <t>Contract manufacturing capacity, quality, continuity, security and compliance is optimized, continuously improved, automated where practical and demonstrably supports crisis resilience.</t>
  </si>
  <si>
    <t>Assign owner, collect evidence, assess gaps, define mitigation actions, and test contract manufacturing capacity, quality, continuity, security and compliance against scenarios: Manufacturing disruption; Safety incident; Energy outage; Cyberattack.</t>
  </si>
  <si>
    <t>MANU-007</t>
  </si>
  <si>
    <t>How mature is the organization in managing MES or equivalent shop-floor control for orders, operations, traceability, downtime and quality, including ownership, evidence, metrics, fallback procedures and crisis stress testing?</t>
  </si>
  <si>
    <t>Policy/SOP; owner/RACI; system report; dashboard; contracts; test records; incident history; interview evidence related to MES or equivalent shop-floor control for orders, operations, traceability, downtime and quality.</t>
  </si>
  <si>
    <t>No reliable evidence that mes or equivalent shop-floor control for orders, operations, traceability, downtime and quality is defined, owned or managed.</t>
  </si>
  <si>
    <t>MES or equivalent shop-floor control for orders, operations, traceability, downtime and quality is handled informally and depends on individual knowledge or heroic effort.</t>
  </si>
  <si>
    <t>MES or equivalent shop-floor control for orders, operations, traceability, downtime and quality is partially documented or implemented, but coverage is inconsistent and not crisis-tested.</t>
  </si>
  <si>
    <t>MES or equivalent shop-floor control for orders, operations, traceability, downtime and quality is documented, owned, used in normal operations and supported by basic evidence or metrics.</t>
  </si>
  <si>
    <t>MES or equivalent shop-floor control for orders, operations, traceability, downtime and quality is measured, periodically reviewed, integrated with related processes and tested against relevant disruption scenarios.</t>
  </si>
  <si>
    <t>MES or equivalent shop-floor control for orders, operations, traceability, downtime and quality is optimized, continuously improved, automated where practical and demonstrably supports crisis resilience.</t>
  </si>
  <si>
    <t>Assign owner, collect evidence, assess gaps, define mitigation actions, and test MES or equivalent shop-floor control for orders, operations, traceability, downtime and quality against scenarios: Manufacturing disruption; Safety incident; Energy outage; Cyberattack.</t>
  </si>
  <si>
    <t>MANU-008</t>
  </si>
  <si>
    <t>How mature is the organization in managing MES manual or offline fallback procedures, including ownership, evidence, metrics, fallback procedures and crisis stress testing?</t>
  </si>
  <si>
    <t>Policy/SOP; owner/RACI; system report; dashboard; contracts; test records; incident history; interview evidence related to MES manual or offline fallback procedures.</t>
  </si>
  <si>
    <t>No reliable evidence that mes manual or offline fallback procedures is defined, owned or managed.</t>
  </si>
  <si>
    <t>MES manual or offline fallback procedures is handled informally and depends on individual knowledge or heroic effort.</t>
  </si>
  <si>
    <t>MES manual or offline fallback procedures is partially documented or implemented, but coverage is inconsistent and not crisis-tested.</t>
  </si>
  <si>
    <t>MES manual or offline fallback procedures is documented, owned, used in normal operations and supported by basic evidence or metrics.</t>
  </si>
  <si>
    <t>MES manual or offline fallback procedures is measured, periodically reviewed, integrated with related processes and tested against relevant disruption scenarios.</t>
  </si>
  <si>
    <t>MES manual or offline fallback procedures is optimized, continuously improved, automated where practical and demonstrably supports crisis resilience.</t>
  </si>
  <si>
    <t>Assign owner, collect evidence, assess gaps, define mitigation actions, and test MES manual or offline fallback procedures against scenarios: Manufacturing disruption; Safety incident; Energy outage; Cyberattack.</t>
  </si>
  <si>
    <t>MANU-009</t>
  </si>
  <si>
    <t>How mature is the organization in managing ERP-MES-MRP-WMS-quality-maintenance integration and reconciliation, including ownership, evidence, metrics, fallback procedures and crisis stress testing?</t>
  </si>
  <si>
    <t>Policy/SOP; owner/RACI; system report; dashboard; contracts; test records; incident history; interview evidence related to ERP-MES-MRP-WMS-quality-maintenance integration and reconciliation.</t>
  </si>
  <si>
    <t>No reliable evidence that erp-mes-mrp-wms-quality-maintenance integration and reconciliation is defined, owned or managed.</t>
  </si>
  <si>
    <t>ERP-MES-MRP-WMS-quality-maintenance integration and reconciliation is handled informally and depends on individual knowledge or heroic effort.</t>
  </si>
  <si>
    <t>ERP-MES-MRP-WMS-quality-maintenance integration and reconciliation is partially documented or implemented, but coverage is inconsistent and not crisis-tested.</t>
  </si>
  <si>
    <t>ERP-MES-MRP-WMS-quality-maintenance integration and reconciliation is documented, owned, used in normal operations and supported by basic evidence or metrics.</t>
  </si>
  <si>
    <t>ERP-MES-MRP-WMS-quality-maintenance integration and reconciliation is measured, periodically reviewed, integrated with related processes and tested against relevant disruption scenarios.</t>
  </si>
  <si>
    <t>ERP-MES-MRP-WMS-quality-maintenance integration and reconciliation is optimized, continuously improved, automated where practical and demonstrably supports crisis resilience.</t>
  </si>
  <si>
    <t>Assign owner, collect evidence, assess gaps, define mitigation actions, and test ERP-MES-MRP-WMS-quality-maintenance integration and reconciliation against scenarios: Manufacturing disruption; Safety incident; Energy outage; Cyberattack.</t>
  </si>
  <si>
    <t>MANU-010</t>
  </si>
  <si>
    <t>How mature is the organization in managing machine data collection for states, output, downtime, cycle time, defects and energy, including ownership, evidence, metrics, fallback procedures and crisis stress testing?</t>
  </si>
  <si>
    <t>Policy/SOP; owner/RACI; system report; dashboard; contracts; test records; incident history; interview evidence related to machine data collection for states, output, downtime, cycle time, defects and energy.</t>
  </si>
  <si>
    <t>No reliable evidence that machine data collection for states, output, downtime, cycle time, defects and energy is defined, owned or managed.</t>
  </si>
  <si>
    <t>Machine data collection for states, output, downtime, cycle time, defects and energy is handled informally and depends on individual knowledge or heroic effort.</t>
  </si>
  <si>
    <t>Machine data collection for states, output, downtime, cycle time, defects and energy is partially documented or implemented, but coverage is inconsistent and not crisis-tested.</t>
  </si>
  <si>
    <t>Machine data collection for states, output, downtime, cycle time, defects and energy is documented, owned, used in normal operations and supported by basic evidence or metrics.</t>
  </si>
  <si>
    <t>Machine data collection for states, output, downtime, cycle time, defects and energy is measured, periodically reviewed, integrated with related processes and tested against relevant disruption scenarios.</t>
  </si>
  <si>
    <t>Machine data collection for states, output, downtime, cycle time, defects and energy is optimized, continuously improved, automated where practical and demonstrably supports crisis resilience.</t>
  </si>
  <si>
    <t>Assign owner, collect evidence, assess gaps, define mitigation actions, and test machine data collection for states, output, downtime, cycle time, defects and energy against scenarios: Manufacturing disruption; Safety incident; Energy outage; Cyberattack.</t>
  </si>
  <si>
    <t>MANU-011</t>
  </si>
  <si>
    <t>How mature is the organization in managing OEE, downtime reasons, microstops, rejects and performance loss analysis, including ownership, evidence, metrics, fallback procedures and crisis stress testing?</t>
  </si>
  <si>
    <t>Policy/SOP; owner/RACI; system report; dashboard; contracts; test records; incident history; interview evidence related to OEE, downtime reasons, microstops, rejects and performance loss analysis.</t>
  </si>
  <si>
    <t>No reliable evidence that oee, downtime reasons, microstops, rejects and performance loss analysis is defined, owned or managed.</t>
  </si>
  <si>
    <t>OEE, downtime reasons, microstops, rejects and performance loss analysis is handled informally and depends on individual knowledge or heroic effort.</t>
  </si>
  <si>
    <t>OEE, downtime reasons, microstops, rejects and performance loss analysis is partially documented or implemented, but coverage is inconsistent and not crisis-tested.</t>
  </si>
  <si>
    <t>OEE, downtime reasons, microstops, rejects and performance loss analysis is documented, owned, used in normal operations and supported by basic evidence or metrics.</t>
  </si>
  <si>
    <t>OEE, downtime reasons, microstops, rejects and performance loss analysis is measured, periodically reviewed, integrated with related processes and tested against relevant disruption scenarios.</t>
  </si>
  <si>
    <t>OEE, downtime reasons, microstops, rejects and performance loss analysis is optimized, continuously improved, automated where practical and demonstrably supports crisis resilience.</t>
  </si>
  <si>
    <t>Assign owner, collect evidence, assess gaps, define mitigation actions, and test OEE, downtime reasons, microstops, rejects and performance loss analysis against scenarios: Manufacturing disruption; Safety incident; Energy outage; Cyberattack.</t>
  </si>
  <si>
    <t>MANU-012</t>
  </si>
  <si>
    <t>How mature is the organization in managing production data standards, reason codes and master data across lines and sites, including ownership, evidence, metrics, fallback procedures and crisis stress testing?</t>
  </si>
  <si>
    <t>Policy/SOP; owner/RACI; system report; dashboard; contracts; test records; incident history; interview evidence related to production data standards, reason codes and master data across lines and sites.</t>
  </si>
  <si>
    <t>No reliable evidence that production data standards, reason codes and master data across lines and sites is defined, owned or managed.</t>
  </si>
  <si>
    <t>Production data standards, reason codes and master data across lines and sites is handled informally and depends on individual knowledge or heroic effort.</t>
  </si>
  <si>
    <t>Production data standards, reason codes and master data across lines and sites is partially documented or implemented, but coverage is inconsistent and not crisis-tested.</t>
  </si>
  <si>
    <t>Production data standards, reason codes and master data across lines and sites is documented, owned, used in normal operations and supported by basic evidence or metrics.</t>
  </si>
  <si>
    <t>Production data standards, reason codes and master data across lines and sites is measured, periodically reviewed, integrated with related processes and tested against relevant disruption scenarios.</t>
  </si>
  <si>
    <t>Production data standards, reason codes and master data across lines and sites is optimized, continuously improved, automated where practical and demonstrably supports crisis resilience.</t>
  </si>
  <si>
    <t>Assign owner, collect evidence, assess gaps, define mitigation actions, and test production data standards, reason codes and master data across lines and sites against scenarios: Manufacturing disruption; Safety incident; Energy outage; Cyberattack.</t>
  </si>
  <si>
    <t>MANU-013</t>
  </si>
  <si>
    <t>How mature is the organization in managing preventive maintenance based on criticality, manufacturer requirements and failure history, including ownership, evidence, metrics, fallback procedures and crisis stress testing?</t>
  </si>
  <si>
    <t>Policy/SOP; owner/RACI; system report; dashboard; contracts; test records; incident history; interview evidence related to preventive maintenance based on criticality, manufacturer requirements and failure history.</t>
  </si>
  <si>
    <t>No reliable evidence that preventive maintenance based on criticality, manufacturer requirements and failure history is defined, owned or managed.</t>
  </si>
  <si>
    <t>Preventive maintenance based on criticality, manufacturer requirements and failure history is handled informally and depends on individual knowledge or heroic effort.</t>
  </si>
  <si>
    <t>Preventive maintenance based on criticality, manufacturer requirements and failure history is partially documented or implemented, but coverage is inconsistent and not crisis-tested.</t>
  </si>
  <si>
    <t>Preventive maintenance based on criticality, manufacturer requirements and failure history is documented, owned, used in normal operations and supported by basic evidence or metrics.</t>
  </si>
  <si>
    <t>Preventive maintenance based on criticality, manufacturer requirements and failure history is measured, periodically reviewed, integrated with related processes and tested against relevant disruption scenarios.</t>
  </si>
  <si>
    <t>Preventive maintenance based on criticality, manufacturer requirements and failure history is optimized, continuously improved, automated where practical and demonstrably supports crisis resilience.</t>
  </si>
  <si>
    <t>Assign owner, collect evidence, assess gaps, define mitigation actions, and test preventive maintenance based on criticality, manufacturer requirements and failure history against scenarios: Manufacturing disruption; Safety incident; Energy outage; Cyberattack.</t>
  </si>
  <si>
    <t>MANU-014</t>
  </si>
  <si>
    <t>How mature is the organization in managing critical spare parts identification, stocking or sourcing with acceptable lead times, including ownership, evidence, metrics, fallback procedures and crisis stress testing?</t>
  </si>
  <si>
    <t>Policy/SOP; owner/RACI; system report; dashboard; contracts; test records; incident history; interview evidence related to critical spare parts identification, stocking or sourcing with acceptable lead times.</t>
  </si>
  <si>
    <t>No reliable evidence that critical spare parts identification, stocking or sourcing with acceptable lead times is defined, owned or managed.</t>
  </si>
  <si>
    <t>Critical spare parts identification, stocking or sourcing with acceptable lead times is handled informally and depends on individual knowledge or heroic effort.</t>
  </si>
  <si>
    <t>Critical spare parts identification, stocking or sourcing with acceptable lead times is partially documented or implemented, but coverage is inconsistent and not crisis-tested.</t>
  </si>
  <si>
    <t>Critical spare parts identification, stocking or sourcing with acceptable lead times is documented, owned, used in normal operations and supported by basic evidence or metrics.</t>
  </si>
  <si>
    <t>Critical spare parts identification, stocking or sourcing with acceptable lead times is measured, periodically reviewed, integrated with related processes and tested against relevant disruption scenarios.</t>
  </si>
  <si>
    <t>Critical spare parts identification, stocking or sourcing with acceptable lead times is optimized, continuously improved, automated where practical and demonstrably supports crisis resilience.</t>
  </si>
  <si>
    <t>Assign owner, collect evidence, assess gaps, define mitigation actions, and test critical spare parts identification, stocking or sourcing with acceptable lead times against scenarios: Manufacturing disruption; Safety incident; Energy outage; Cyberattack.</t>
  </si>
  <si>
    <t>MANU-015</t>
  </si>
  <si>
    <t>How mature is the organization in managing predictive or condition-based maintenance for critical assets where economically justified, including ownership, evidence, metrics, fallback procedures and crisis stress testing?</t>
  </si>
  <si>
    <t>Policy/SOP; owner/RACI; system report; dashboard; contracts; test records; incident history; interview evidence related to predictive or condition-based maintenance for critical assets where economically justified.</t>
  </si>
  <si>
    <t>No reliable evidence that predictive or condition-based maintenance for critical assets where economically justified is defined, owned or managed.</t>
  </si>
  <si>
    <t>Predictive or condition-based maintenance for critical assets where economically justified is handled informally and depends on individual knowledge or heroic effort.</t>
  </si>
  <si>
    <t>Predictive or condition-based maintenance for critical assets where economically justified is partially documented or implemented, but coverage is inconsistent and not crisis-tested.</t>
  </si>
  <si>
    <t>Predictive or condition-based maintenance for critical assets where economically justified is documented, owned, used in normal operations and supported by basic evidence or metrics.</t>
  </si>
  <si>
    <t>Predictive or condition-based maintenance for critical assets where economically justified is measured, periodically reviewed, integrated with related processes and tested against relevant disruption scenarios.</t>
  </si>
  <si>
    <t>Predictive or condition-based maintenance for critical assets where economically justified is optimized, continuously improved, automated where practical and demonstrably supports crisis resilience.</t>
  </si>
  <si>
    <t>Assign owner, collect evidence, assess gaps, define mitigation actions, and test predictive or condition-based maintenance for critical assets where economically justified against scenarios: Manufacturing disruption; Safety incident; Energy outage; Cyberattack.</t>
  </si>
  <si>
    <t>MANU-016</t>
  </si>
  <si>
    <t>How mature is the organization in managing utility dependency map for electricity, gas, water, compressed air, HVAC and other utilities, including ownership, evidence, metrics, fallback procedures and crisis stress testing?</t>
  </si>
  <si>
    <t>Policy/SOP; owner/RACI; system report; dashboard; contracts; test records; incident history; interview evidence related to utility dependency map for electricity, gas, water, compressed air, HVAC and other utilities.</t>
  </si>
  <si>
    <t>No reliable evidence that utility dependency map for electricity, gas, water, compressed air, hvac and other utilities is defined, owned or managed.</t>
  </si>
  <si>
    <t>Utility dependency map for electricity, gas, water, compressed air, HVAC and other utilities is handled informally and depends on individual knowledge or heroic effort.</t>
  </si>
  <si>
    <t>Utility dependency map for electricity, gas, water, compressed air, HVAC and other utilities is partially documented or implemented, but coverage is inconsistent and not crisis-tested.</t>
  </si>
  <si>
    <t>Utility dependency map for electricity, gas, water, compressed air, HVAC and other utilities is documented, owned, used in normal operations and supported by basic evidence or metrics.</t>
  </si>
  <si>
    <t>Utility dependency map for electricity, gas, water, compressed air, HVAC and other utilities is measured, periodically reviewed, integrated with related processes and tested against relevant disruption scenarios.</t>
  </si>
  <si>
    <t>Utility dependency map for electricity, gas, water, compressed air, HVAC and other utilities is optimized, continuously improved, automated where practical and demonstrably supports crisis resilience.</t>
  </si>
  <si>
    <t>Assign owner, collect evidence, assess gaps, define mitigation actions, and test utility dependency map for electricity, gas, water, compressed air, HVAC and other utilities against scenarios: Manufacturing disruption; Safety incident; Energy outage; Cyberattack.</t>
  </si>
  <si>
    <t>MANU-017</t>
  </si>
  <si>
    <t>How mature is the organization in managing backup utility options for critical production processes, including ownership, evidence, metrics, fallback procedures and crisis stress testing?</t>
  </si>
  <si>
    <t>Policy/SOP; owner/RACI; system report; dashboard; contracts; test records; incident history; interview evidence related to backup utility options for critical production processes.</t>
  </si>
  <si>
    <t>No reliable evidence that backup utility options for critical production processes is defined, owned or managed.</t>
  </si>
  <si>
    <t>Backup utility options for critical production processes is handled informally and depends on individual knowledge or heroic effort.</t>
  </si>
  <si>
    <t>Backup utility options for critical production processes is partially documented or implemented, but coverage is inconsistent and not crisis-tested.</t>
  </si>
  <si>
    <t>Backup utility options for critical production processes is documented, owned, used in normal operations and supported by basic evidence or metrics.</t>
  </si>
  <si>
    <t>Backup utility options for critical production processes is measured, periodically reviewed, integrated with related processes and tested against relevant disruption scenarios.</t>
  </si>
  <si>
    <t>Backup utility options for critical production processes is optimized, continuously improved, automated where practical and demonstrably supports crisis resilience.</t>
  </si>
  <si>
    <t>Assign owner, collect evidence, assess gaps, define mitigation actions, and test backup utility options for critical production processes against scenarios: Manufacturing disruption; Safety incident; Energy outage; Cyberattack.</t>
  </si>
  <si>
    <t>MANU-018</t>
  </si>
  <si>
    <t>How mature is the organization in managing asset management for critical production equipment, tooling and calibration, including ownership, evidence, metrics, fallback procedures and crisis stress testing?</t>
  </si>
  <si>
    <t>Policy/SOP; owner/RACI; system report; dashboard; contracts; test records; incident history; interview evidence related to asset management for critical production equipment, tooling and calibration.</t>
  </si>
  <si>
    <t>No reliable evidence that asset management for critical production equipment, tooling and calibration is defined, owned or managed.</t>
  </si>
  <si>
    <t>Asset management for critical production equipment, tooling and calibration is handled informally and depends on individual knowledge or heroic effort.</t>
  </si>
  <si>
    <t>Asset management for critical production equipment, tooling and calibration is partially documented or implemented, but coverage is inconsistent and not crisis-tested.</t>
  </si>
  <si>
    <t>Asset management for critical production equipment, tooling and calibration is documented, owned, used in normal operations and supported by basic evidence or metrics.</t>
  </si>
  <si>
    <t>Asset management for critical production equipment, tooling and calibration is measured, periodically reviewed, integrated with related processes and tested against relevant disruption scenarios.</t>
  </si>
  <si>
    <t>Asset management for critical production equipment, tooling and calibration is optimized, continuously improved, automated where practical and demonstrably supports crisis resilience.</t>
  </si>
  <si>
    <t>Assign owner, collect evidence, assess gaps, define mitigation actions, and test asset management for critical production equipment, tooling and calibration against scenarios: Manufacturing disruption; Safety incident; Energy outage; Cyberattack.</t>
  </si>
  <si>
    <t>MANU-019</t>
  </si>
  <si>
    <t>How mature is the organization in managing quality controls, inspections, sampling, nonconformance and corrective actions integrated into production, including ownership, evidence, metrics, fallback procedures and crisis stress testing?</t>
  </si>
  <si>
    <t>Policy/SOP; owner/RACI; system report; dashboard; contracts; test records; incident history; interview evidence related to quality controls, inspections, sampling, nonconformance and corrective actions integrated into production.</t>
  </si>
  <si>
    <t>No reliable evidence that quality controls, inspections, sampling, nonconformance and corrective actions integrated into production is defined, owned or managed.</t>
  </si>
  <si>
    <t>Quality controls, inspections, sampling, nonconformance and corrective actions integrated into production is handled informally and depends on individual knowledge or heroic effort.</t>
  </si>
  <si>
    <t>Quality controls, inspections, sampling, nonconformance and corrective actions integrated into production is partially documented or implemented, but coverage is inconsistent and not crisis-tested.</t>
  </si>
  <si>
    <t>Quality controls, inspections, sampling, nonconformance and corrective actions integrated into production is documented, owned, used in normal operations and supported by basic evidence or metrics.</t>
  </si>
  <si>
    <t>Quality controls, inspections, sampling, nonconformance and corrective actions integrated into production is measured, periodically reviewed, integrated with related processes and tested against relevant disruption scenarios.</t>
  </si>
  <si>
    <t>Quality controls, inspections, sampling, nonconformance and corrective actions integrated into production is optimized, continuously improved, automated where practical and demonstrably supports crisis resilience.</t>
  </si>
  <si>
    <t>Assign owner, collect evidence, assess gaps, define mitigation actions, and test quality controls, inspections, sampling, nonconformance and corrective actions integrated into production against scenarios: Manufacturing disruption; Safety incident; Energy outage; Cyberattack.</t>
  </si>
  <si>
    <t>MANU-020</t>
  </si>
  <si>
    <t>How mature is the organization in managing traceability of products, batches, materials, operators and process parameters, including ownership, evidence, metrics, fallback procedures and crisis stress testing?</t>
  </si>
  <si>
    <t>Policy/SOP; owner/RACI; system report; dashboard; contracts; test records; incident history; interview evidence related to traceability of products, batches, materials, operators and process parameters.</t>
  </si>
  <si>
    <t>No reliable evidence that traceability of products, batches, materials, operators and process parameters is defined, owned or managed.</t>
  </si>
  <si>
    <t>Traceability of products, batches, materials, operators and process parameters is handled informally and depends on individual knowledge or heroic effort.</t>
  </si>
  <si>
    <t>Traceability of products, batches, materials, operators and process parameters is partially documented or implemented, but coverage is inconsistent and not crisis-tested.</t>
  </si>
  <si>
    <t>Traceability of products, batches, materials, operators and process parameters is documented, owned, used in normal operations and supported by basic evidence or metrics.</t>
  </si>
  <si>
    <t>Traceability of products, batches, materials, operators and process parameters is measured, periodically reviewed, integrated with related processes and tested against relevant disruption scenarios.</t>
  </si>
  <si>
    <t>Traceability of products, batches, materials, operators and process parameters is optimized, continuously improved, automated where practical and demonstrably supports crisis resilience.</t>
  </si>
  <si>
    <t>Assign owner, collect evidence, assess gaps, define mitigation actions, and test traceability of products, batches, materials, operators and process parameters against scenarios: Manufacturing disruption; Safety incident; Energy outage; Cyberattack.</t>
  </si>
  <si>
    <t>MANU-021</t>
  </si>
  <si>
    <t>How mature is the organization in managing BOM, routing, recipe and engineering change control synchronized with ERP/MES, including ownership, evidence, metrics, fallback procedures and crisis stress testing?</t>
  </si>
  <si>
    <t>Policy/SOP; owner/RACI; system report; dashboard; contracts; test records; incident history; interview evidence related to BOM, routing, recipe and engineering change control synchronized with ERP/MES.</t>
  </si>
  <si>
    <t>No reliable evidence that bom, routing, recipe and engineering change control synchronized with erp/mes is defined, owned or managed.</t>
  </si>
  <si>
    <t>BOM, routing, recipe and engineering change control synchronized with ERP/MES is handled informally and depends on individual knowledge or heroic effort.</t>
  </si>
  <si>
    <t>BOM, routing, recipe and engineering change control synchronized with ERP/MES is partially documented or implemented, but coverage is inconsistent and not crisis-tested.</t>
  </si>
  <si>
    <t>BOM, routing, recipe and engineering change control synchronized with ERP/MES is documented, owned, used in normal operations and supported by basic evidence or metrics.</t>
  </si>
  <si>
    <t>BOM, routing, recipe and engineering change control synchronized with ERP/MES is measured, periodically reviewed, integrated with related processes and tested against relevant disruption scenarios.</t>
  </si>
  <si>
    <t>BOM, routing, recipe and engineering change control synchronized with ERP/MES is optimized, continuously improved, automated where practical and demonstrably supports crisis resilience.</t>
  </si>
  <si>
    <t>Assign owner, collect evidence, assess gaps, define mitigation actions, and test BOM, routing, recipe and engineering change control synchronized with ERP/MES against scenarios: Manufacturing disruption; Safety incident; Energy outage; Cyberattack.</t>
  </si>
  <si>
    <t>MANU-022</t>
  </si>
  <si>
    <t>How mature is the organization in managing operator training and certification for equipment, safety, quality and emergency procedures, including ownership, evidence, metrics, fallback procedures and crisis stress testing?</t>
  </si>
  <si>
    <t>Policy/SOP; owner/RACI; system report; dashboard; contracts; test records; incident history; interview evidence related to operator training and certification for equipment, safety, quality and emergency procedures.</t>
  </si>
  <si>
    <t>No reliable evidence that operator training and certification for equipment, safety, quality and emergency procedures is defined, owned or managed.</t>
  </si>
  <si>
    <t>Operator training and certification for equipment, safety, quality and emergency procedures is handled informally and depends on individual knowledge or heroic effort.</t>
  </si>
  <si>
    <t>Operator training and certification for equipment, safety, quality and emergency procedures is partially documented or implemented, but coverage is inconsistent and not crisis-tested.</t>
  </si>
  <si>
    <t>Operator training and certification for equipment, safety, quality and emergency procedures is documented, owned, used in normal operations and supported by basic evidence or metrics.</t>
  </si>
  <si>
    <t>Operator training and certification for equipment, safety, quality and emergency procedures is measured, periodically reviewed, integrated with related processes and tested against relevant disruption scenarios.</t>
  </si>
  <si>
    <t>Operator training and certification for equipment, safety, quality and emergency procedures is optimized, continuously improved, automated where practical and demonstrably supports crisis resilience.</t>
  </si>
  <si>
    <t>Assign owner, collect evidence, assess gaps, define mitigation actions, and test operator training and certification for equipment, safety, quality and emergency procedures against scenarios: Manufacturing disruption; Safety incident; Energy outage; Cyberattack.</t>
  </si>
  <si>
    <t>MANU-023</t>
  </si>
  <si>
    <t>How mature is the organization in managing machine safety controls, guarding, emergency stops and lockout/tagout, including ownership, evidence, metrics, fallback procedures and crisis stress testing?</t>
  </si>
  <si>
    <t>Policy/SOP; owner/RACI; system report; dashboard; contracts; test records; incident history; interview evidence related to machine safety controls, guarding, emergency stops and lockout/tagout.</t>
  </si>
  <si>
    <t>No reliable evidence that machine safety controls, guarding, emergency stops and lockout/tagout is defined, owned or managed.</t>
  </si>
  <si>
    <t>Machine safety controls, guarding, emergency stops and lockout/tagout is handled informally and depends on individual knowledge or heroic effort.</t>
  </si>
  <si>
    <t>Machine safety controls, guarding, emergency stops and lockout/tagout is partially documented or implemented, but coverage is inconsistent and not crisis-tested.</t>
  </si>
  <si>
    <t>Machine safety controls, guarding, emergency stops and lockout/tagout is documented, owned, used in normal operations and supported by basic evidence or metrics.</t>
  </si>
  <si>
    <t>Machine safety controls, guarding, emergency stops and lockout/tagout is measured, periodically reviewed, integrated with related processes and tested against relevant disruption scenarios.</t>
  </si>
  <si>
    <t>Machine safety controls, guarding, emergency stops and lockout/tagout is optimized, continuously improved, automated where practical and demonstrably supports crisis resilience.</t>
  </si>
  <si>
    <t>Assign owner, collect evidence, assess gaps, define mitigation actions, and test machine safety controls, guarding, emergency stops and lockout/tagout against scenarios: Manufacturing disruption; Safety incident; Energy outage; Cyberattack.</t>
  </si>
  <si>
    <t>MANU-024</t>
  </si>
  <si>
    <t>How mature is the organization in managing rework, scrap, yield loss and defect cost analysis, including ownership, evidence, metrics, fallback procedures and crisis stress testing?</t>
  </si>
  <si>
    <t>Policy/SOP; owner/RACI; system report; dashboard; contracts; test records; incident history; interview evidence related to rework, scrap, yield loss and defect cost analysis.</t>
  </si>
  <si>
    <t>No reliable evidence that rework, scrap, yield loss and defect cost analysis is defined, owned or managed.</t>
  </si>
  <si>
    <t>Rework, scrap, yield loss and defect cost analysis is handled informally and depends on individual knowledge or heroic effort.</t>
  </si>
  <si>
    <t>Rework, scrap, yield loss and defect cost analysis is partially documented or implemented, but coverage is inconsistent and not crisis-tested.</t>
  </si>
  <si>
    <t>Rework, scrap, yield loss and defect cost analysis is documented, owned, used in normal operations and supported by basic evidence or metrics.</t>
  </si>
  <si>
    <t>Rework, scrap, yield loss and defect cost analysis is measured, periodically reviewed, integrated with related processes and tested against relevant disruption scenarios.</t>
  </si>
  <si>
    <t>Rework, scrap, yield loss and defect cost analysis is optimized, continuously improved, automated where practical and demonstrably supports crisis resilience.</t>
  </si>
  <si>
    <t>Assign owner, collect evidence, assess gaps, define mitigation actions, and test rework, scrap, yield loss and defect cost analysis against scenarios: Manufacturing disruption; Safety incident; Energy outage; Cyberattack.</t>
  </si>
  <si>
    <t>MANU-025</t>
  </si>
  <si>
    <t>How mature is the organization in managing OT asset inventory for PLCs, SCADA, HMIs, industrial networks and engineering workstations, including ownership, evidence, metrics, fallback procedures and crisis stress testing?</t>
  </si>
  <si>
    <t>Policy/SOP; owner/RACI; system report; dashboard; contracts; test records; incident history; interview evidence related to OT asset inventory for PLCs, SCADA, HMIs, industrial networks and engineering workstations.</t>
  </si>
  <si>
    <t>No reliable evidence that ot asset inventory for plcs, scada, hmis, industrial networks and engineering workstations is defined, owned or managed.</t>
  </si>
  <si>
    <t>OT asset inventory for PLCs, SCADA, HMIs, industrial networks and engineering workstations is handled informally and depends on individual knowledge or heroic effort.</t>
  </si>
  <si>
    <t>OT asset inventory for PLCs, SCADA, HMIs, industrial networks and engineering workstations is partially documented or implemented, but coverage is inconsistent and not crisis-tested.</t>
  </si>
  <si>
    <t>OT asset inventory for PLCs, SCADA, HMIs, industrial networks and engineering workstations is documented, owned, used in normal operations and supported by basic evidence or metrics.</t>
  </si>
  <si>
    <t>OT asset inventory for PLCs, SCADA, HMIs, industrial networks and engineering workstations is measured, periodically reviewed, integrated with related processes and tested against relevant disruption scenarios.</t>
  </si>
  <si>
    <t>OT asset inventory for PLCs, SCADA, HMIs, industrial networks and engineering workstations is optimized, continuously improved, automated where practical and demonstrably supports crisis resilience.</t>
  </si>
  <si>
    <t>Assign owner, collect evidence, assess gaps, define mitigation actions, and test OT asset inventory for PLCs, SCADA, HMIs, industrial networks and engineering workstations against scenarios: Manufacturing disruption; Safety incident; Energy outage; Cyberattack.</t>
  </si>
  <si>
    <t>MANU-026</t>
  </si>
  <si>
    <t>How mature is the organization in managing OT network segmentation and secure remote access for vendors and maintenance, including ownership, evidence, metrics, fallback procedures and crisis stress testing?</t>
  </si>
  <si>
    <t>Policy/SOP; owner/RACI; system report; dashboard; contracts; test records; incident history; interview evidence related to OT network segmentation and secure remote access for vendors and maintenance.</t>
  </si>
  <si>
    <t>No reliable evidence that ot network segmentation and secure remote access for vendors and maintenance is defined, owned or managed.</t>
  </si>
  <si>
    <t>OT network segmentation and secure remote access for vendors and maintenance is handled informally and depends on individual knowledge or heroic effort.</t>
  </si>
  <si>
    <t>OT network segmentation and secure remote access for vendors and maintenance is partially documented or implemented, but coverage is inconsistent and not crisis-tested.</t>
  </si>
  <si>
    <t>OT network segmentation and secure remote access for vendors and maintenance is documented, owned, used in normal operations and supported by basic evidence or metrics.</t>
  </si>
  <si>
    <t>OT network segmentation and secure remote access for vendors and maintenance is measured, periodically reviewed, integrated with related processes and tested against relevant disruption scenarios.</t>
  </si>
  <si>
    <t>OT network segmentation and secure remote access for vendors and maintenance is optimized, continuously improved, automated where practical and demonstrably supports crisis resilience.</t>
  </si>
  <si>
    <t>Assign owner, collect evidence, assess gaps, define mitigation actions, and test OT network segmentation and secure remote access for vendors and maintenance against scenarios: Manufacturing disruption; Safety incident; Energy outage; Cyberattack.</t>
  </si>
  <si>
    <t>MANU-027</t>
  </si>
  <si>
    <t>How mature is the organization in managing PLC, HMI, SCADA and recipe configuration backup and restore testing, including ownership, evidence, metrics, fallback procedures and crisis stress testing?</t>
  </si>
  <si>
    <t>Policy/SOP; owner/RACI; system report; dashboard; contracts; test records; incident history; interview evidence related to PLC, HMI, SCADA and recipe configuration backup and restore testing.</t>
  </si>
  <si>
    <t>No reliable evidence that plc, hmi, scada and recipe configuration backup and restore testing is defined, owned or managed.</t>
  </si>
  <si>
    <t>PLC, HMI, SCADA and recipe configuration backup and restore testing is handled informally and depends on individual knowledge or heroic effort.</t>
  </si>
  <si>
    <t>PLC, HMI, SCADA and recipe configuration backup and restore testing is partially documented or implemented, but coverage is inconsistent and not crisis-tested.</t>
  </si>
  <si>
    <t>PLC, HMI, SCADA and recipe configuration backup and restore testing is documented, owned, used in normal operations and supported by basic evidence or metrics.</t>
  </si>
  <si>
    <t>PLC, HMI, SCADA and recipe configuration backup and restore testing is measured, periodically reviewed, integrated with related processes and tested against relevant disruption scenarios.</t>
  </si>
  <si>
    <t>PLC, HMI, SCADA and recipe configuration backup and restore testing is optimized, continuously improved, automated where practical and demonstrably supports crisis resilience.</t>
  </si>
  <si>
    <t>Assign owner, collect evidence, assess gaps, define mitigation actions, and test PLC, HMI, SCADA and recipe configuration backup and restore testing against scenarios: Manufacturing disruption; Safety incident; Energy outage; Cyberattack.</t>
  </si>
  <si>
    <t>MANU-028</t>
  </si>
  <si>
    <t>How mature is the organization in managing cyber incident response procedures specific to production and OT, including ownership, evidence, metrics, fallback procedures and crisis stress testing?</t>
  </si>
  <si>
    <t>Policy/SOP; owner/RACI; system report; dashboard; contracts; test records; incident history; interview evidence related to cyber incident response procedures specific to production and OT.</t>
  </si>
  <si>
    <t>No reliable evidence that cyber incident response procedures specific to production and ot is defined, owned or managed.</t>
  </si>
  <si>
    <t>Cyber incident response procedures specific to production and OT is handled informally and depends on individual knowledge or heroic effort.</t>
  </si>
  <si>
    <t>Cyber incident response procedures specific to production and OT is partially documented or implemented, but coverage is inconsistent and not crisis-tested.</t>
  </si>
  <si>
    <t>Cyber incident response procedures specific to production and OT is documented, owned, used in normal operations and supported by basic evidence or metrics.</t>
  </si>
  <si>
    <t>Cyber incident response procedures specific to production and OT is measured, periodically reviewed, integrated with related processes and tested against relevant disruption scenarios.</t>
  </si>
  <si>
    <t>Cyber incident response procedures specific to production and OT is optimized, continuously improved, automated where practical and demonstrably supports crisis resilience.</t>
  </si>
  <si>
    <t>Assign owner, collect evidence, assess gaps, define mitigation actions, and test cyber incident response procedures specific to production and OT against scenarios: Manufacturing disruption; Safety incident; Energy outage; Cyberattack.</t>
  </si>
  <si>
    <t>Sales CRM Assessment</t>
  </si>
  <si>
    <t>Purpose: assess how this domain affects crisis impact, continuity and resilience. Main references: ISO 9001; ISO 10002; ISO 10004; RevOps; MEDDICC; customer success best practices.</t>
  </si>
  <si>
    <t>SALE-001</t>
  </si>
  <si>
    <t>How mature is the organization in managing CRM as single source of truth for accounts, contacts, opportunities, activities and forecasts, including ownership, evidence, metrics, fallback procedures and crisis stress testing?</t>
  </si>
  <si>
    <t>This topic affects exposure to Demand shock; Revenue loss; Reputation crisis. It helps identify how disruption may impact operations, people, revenue, systems, legal exposure or recovery time.</t>
  </si>
  <si>
    <t>ISO 9001; ISO 10002; ISO 10004; RevOps; MEDDICC; customer success best practices</t>
  </si>
  <si>
    <t>Policy/SOP; owner/RACI; system report; dashboard; contracts; test records; incident history; interview evidence related to CRM as single source of truth for accounts, contacts, opportunities, activities and forecasts.</t>
  </si>
  <si>
    <t>No reliable evidence that crm as single source of truth for accounts, contacts, opportunities, activities and forecasts is defined, owned or managed.</t>
  </si>
  <si>
    <t>CRM as single source of truth for accounts, contacts, opportunities, activities and forecasts is handled informally and depends on individual knowledge or heroic effort.</t>
  </si>
  <si>
    <t>CRM as single source of truth for accounts, contacts, opportunities, activities and forecasts is partially documented or implemented, but coverage is inconsistent and not crisis-tested.</t>
  </si>
  <si>
    <t>CRM as single source of truth for accounts, contacts, opportunities, activities and forecasts is documented, owned, used in normal operations and supported by basic evidence or metrics.</t>
  </si>
  <si>
    <t>CRM as single source of truth for accounts, contacts, opportunities, activities and forecasts is measured, periodically reviewed, integrated with related processes and tested against relevant disruption scenarios.</t>
  </si>
  <si>
    <t>CRM as single source of truth for accounts, contacts, opportunities, activities and forecasts is optimized, continuously improved, automated where practical and demonstrably supports crisis resilience.</t>
  </si>
  <si>
    <t>Demand shock; Revenue loss; Reputation crisis</t>
  </si>
  <si>
    <t>CCO / Sales Ops</t>
  </si>
  <si>
    <t>Assign owner, collect evidence, assess gaps, define mitigation actions, and test CRM as single source of truth for accounts, contacts, opportunities, activities and forecasts against scenarios: Demand shock; Revenue loss; Reputation crisis.</t>
  </si>
  <si>
    <t>SALE-002</t>
  </si>
  <si>
    <t>How mature is the organization in managing CRM data quality for segmentation, pipeline, ICP, offerings, win/loss reasons and customer health, including ownership, evidence, metrics, fallback procedures and crisis stress testing?</t>
  </si>
  <si>
    <t>Policy/SOP; owner/RACI; system report; dashboard; contracts; test records; incident history; interview evidence related to CRM data quality for segmentation, pipeline, ICP, offerings, win/loss reasons and customer health.</t>
  </si>
  <si>
    <t>No reliable evidence that crm data quality for segmentation, pipeline, icp, offerings, win/loss reasons and customer health is defined, owned or managed.</t>
  </si>
  <si>
    <t>CRM data quality for segmentation, pipeline, ICP, offerings, win/loss reasons and customer health is handled informally and depends on individual knowledge or heroic effort.</t>
  </si>
  <si>
    <t>CRM data quality for segmentation, pipeline, ICP, offerings, win/loss reasons and customer health is partially documented or implemented, but coverage is inconsistent and not crisis-tested.</t>
  </si>
  <si>
    <t>CRM data quality for segmentation, pipeline, ICP, offerings, win/loss reasons and customer health is documented, owned, used in normal operations and supported by basic evidence or metrics.</t>
  </si>
  <si>
    <t>CRM data quality for segmentation, pipeline, ICP, offerings, win/loss reasons and customer health is measured, periodically reviewed, integrated with related processes and tested against relevant disruption scenarios.</t>
  </si>
  <si>
    <t>CRM data quality for segmentation, pipeline, ICP, offerings, win/loss reasons and customer health is optimized, continuously improved, automated where practical and demonstrably supports crisis resilience.</t>
  </si>
  <si>
    <t>Assign owner, collect evidence, assess gaps, define mitigation actions, and test CRM data quality for segmentation, pipeline, ICP, offerings, win/loss reasons and customer health against scenarios: Demand shock; Revenue loss; Reputation crisis.</t>
  </si>
  <si>
    <t>SALE-003</t>
  </si>
  <si>
    <t>How mature is the organization in managing CRM-ERP integration for orders, pricing, billing, collections and revenue visibility, including ownership, evidence, metrics, fallback procedures and crisis stress testing?</t>
  </si>
  <si>
    <t>Policy/SOP; owner/RACI; system report; dashboard; contracts; test records; incident history; interview evidence related to CRM-ERP integration for orders, pricing, billing, collections and revenue visibility.</t>
  </si>
  <si>
    <t>No reliable evidence that crm-erp integration for orders, pricing, billing, collections and revenue visibility is defined, owned or managed.</t>
  </si>
  <si>
    <t>CRM-ERP integration for orders, pricing, billing, collections and revenue visibility is handled informally and depends on individual knowledge or heroic effort.</t>
  </si>
  <si>
    <t>CRM-ERP integration for orders, pricing, billing, collections and revenue visibility is partially documented or implemented, but coverage is inconsistent and not crisis-tested.</t>
  </si>
  <si>
    <t>CRM-ERP integration for orders, pricing, billing, collections and revenue visibility is documented, owned, used in normal operations and supported by basic evidence or metrics.</t>
  </si>
  <si>
    <t>CRM-ERP integration for orders, pricing, billing, collections and revenue visibility is measured, periodically reviewed, integrated with related processes and tested against relevant disruption scenarios.</t>
  </si>
  <si>
    <t>CRM-ERP integration for orders, pricing, billing, collections and revenue visibility is optimized, continuously improved, automated where practical and demonstrably supports crisis resilience.</t>
  </si>
  <si>
    <t>Assign owner, collect evidence, assess gaps, define mitigation actions, and test CRM-ERP integration for orders, pricing, billing, collections and revenue visibility against scenarios: Demand shock; Revenue loss; Reputation crisis.</t>
  </si>
  <si>
    <t>SALE-004</t>
  </si>
  <si>
    <t>How mature is the organization in managing sales process governance from lead to opportunity to contract to handover, including ownership, evidence, metrics, fallback procedures and crisis stress testing?</t>
  </si>
  <si>
    <t>Policy/SOP; owner/RACI; system report; dashboard; contracts; test records; incident history; interview evidence related to sales process governance from lead to opportunity to contract to handover.</t>
  </si>
  <si>
    <t>No reliable evidence that sales process governance from lead to opportunity to contract to handover is defined, owned or managed.</t>
  </si>
  <si>
    <t>Sales process governance from lead to opportunity to contract to handover is handled informally and depends on individual knowledge or heroic effort.</t>
  </si>
  <si>
    <t>Sales process governance from lead to opportunity to contract to handover is partially documented or implemented, but coverage is inconsistent and not crisis-tested.</t>
  </si>
  <si>
    <t>Sales process governance from lead to opportunity to contract to handover is documented, owned, used in normal operations and supported by basic evidence or metrics.</t>
  </si>
  <si>
    <t>Sales process governance from lead to opportunity to contract to handover is measured, periodically reviewed, integrated with related processes and tested against relevant disruption scenarios.</t>
  </si>
  <si>
    <t>Sales process governance from lead to opportunity to contract to handover is optimized, continuously improved, automated where practical and demonstrably supports crisis resilience.</t>
  </si>
  <si>
    <t>Assign owner, collect evidence, assess gaps, define mitigation actions, and test sales process governance from lead to opportunity to contract to handover against scenarios: Demand shock; Revenue loss; Reputation crisis.</t>
  </si>
  <si>
    <t>SALE-005</t>
  </si>
  <si>
    <t>How mature is the organization in managing customer and contract data linked to renewal, SLA and revenue risk, including ownership, evidence, metrics, fallback procedures and crisis stress testing?</t>
  </si>
  <si>
    <t>Policy/SOP; owner/RACI; system report; dashboard; contracts; test records; incident history; interview evidence related to customer and contract data linked to renewal, SLA and revenue risk.</t>
  </si>
  <si>
    <t>No reliable evidence that customer and contract data linked to renewal, sla and revenue risk is defined, owned or managed.</t>
  </si>
  <si>
    <t>Customer and contract data linked to renewal, SLA and revenue risk is handled informally and depends on individual knowledge or heroic effort.</t>
  </si>
  <si>
    <t>Customer and contract data linked to renewal, SLA and revenue risk is partially documented or implemented, but coverage is inconsistent and not crisis-tested.</t>
  </si>
  <si>
    <t>Customer and contract data linked to renewal, SLA and revenue risk is documented, owned, used in normal operations and supported by basic evidence or metrics.</t>
  </si>
  <si>
    <t>Customer and contract data linked to renewal, SLA and revenue risk is measured, periodically reviewed, integrated with related processes and tested against relevant disruption scenarios.</t>
  </si>
  <si>
    <t>Customer and contract data linked to renewal, SLA and revenue risk is optimized, continuously improved, automated where practical and demonstrably supports crisis resilience.</t>
  </si>
  <si>
    <t>Assign owner, collect evidence, assess gaps, define mitigation actions, and test customer and contract data linked to renewal, SLA and revenue risk against scenarios: Demand shock; Revenue loss; Reputation crisis.</t>
  </si>
  <si>
    <t>SALE-006</t>
  </si>
  <si>
    <t>How mature is the organization in managing pipeline qualification criteria and stage exit rules, including ownership, evidence, metrics, fallback procedures and crisis stress testing?</t>
  </si>
  <si>
    <t>Policy/SOP; owner/RACI; system report; dashboard; contracts; test records; incident history; interview evidence related to pipeline qualification criteria and stage exit rules.</t>
  </si>
  <si>
    <t>No reliable evidence that pipeline qualification criteria and stage exit rules is defined, owned or managed.</t>
  </si>
  <si>
    <t>Pipeline qualification criteria and stage exit rules is handled informally and depends on individual knowledge or heroic effort.</t>
  </si>
  <si>
    <t>Pipeline qualification criteria and stage exit rules is partially documented or implemented, but coverage is inconsistent and not crisis-tested.</t>
  </si>
  <si>
    <t>Pipeline qualification criteria and stage exit rules is documented, owned, used in normal operations and supported by basic evidence or metrics.</t>
  </si>
  <si>
    <t>Pipeline qualification criteria and stage exit rules is measured, periodically reviewed, integrated with related processes and tested against relevant disruption scenarios.</t>
  </si>
  <si>
    <t>Pipeline qualification criteria and stage exit rules is optimized, continuously improved, automated where practical and demonstrably supports crisis resilience.</t>
  </si>
  <si>
    <t>Assign owner, collect evidence, assess gaps, define mitigation actions, and test pipeline qualification criteria and stage exit rules against scenarios: Demand shock; Revenue loss; Reputation crisis.</t>
  </si>
  <si>
    <t>SALE-007</t>
  </si>
  <si>
    <t>How mature is the organization in managing pipeline coverage relative to targets, sales cycle, win rate and crisis scenarios, including ownership, evidence, metrics, fallback procedures and crisis stress testing?</t>
  </si>
  <si>
    <t>Policy/SOP; owner/RACI; system report; dashboard; contracts; test records; incident history; interview evidence related to pipeline coverage relative to targets, sales cycle, win rate and crisis scenarios.</t>
  </si>
  <si>
    <t>No reliable evidence that pipeline coverage relative to targets, sales cycle, win rate and crisis scenarios is defined, owned or managed.</t>
  </si>
  <si>
    <t>Pipeline coverage relative to targets, sales cycle, win rate and crisis scenarios is handled informally and depends on individual knowledge or heroic effort.</t>
  </si>
  <si>
    <t>Pipeline coverage relative to targets, sales cycle, win rate and crisis scenarios is partially documented or implemented, but coverage is inconsistent and not crisis-tested.</t>
  </si>
  <si>
    <t>Pipeline coverage relative to targets, sales cycle, win rate and crisis scenarios is documented, owned, used in normal operations and supported by basic evidence or metrics.</t>
  </si>
  <si>
    <t>Pipeline coverage relative to targets, sales cycle, win rate and crisis scenarios is measured, periodically reviewed, integrated with related processes and tested against relevant disruption scenarios.</t>
  </si>
  <si>
    <t>Pipeline coverage relative to targets, sales cycle, win rate and crisis scenarios is optimized, continuously improved, automated where practical and demonstrably supports crisis resilience.</t>
  </si>
  <si>
    <t>Assign owner, collect evidence, assess gaps, define mitigation actions, and test pipeline coverage relative to targets, sales cycle, win rate and crisis scenarios against scenarios: Demand shock; Revenue loss; Reputation crisis.</t>
  </si>
  <si>
    <t>SALE-008</t>
  </si>
  <si>
    <t>How mature is the organization in managing sales forecast cadence connected to finance, delivery and supply planning, including ownership, evidence, metrics, fallback procedures and crisis stress testing?</t>
  </si>
  <si>
    <t>Policy/SOP; owner/RACI; system report; dashboard; contracts; test records; incident history; interview evidence related to sales forecast cadence connected to finance, delivery and supply planning.</t>
  </si>
  <si>
    <t>No reliable evidence that sales forecast cadence connected to finance, delivery and supply planning is defined, owned or managed.</t>
  </si>
  <si>
    <t>Sales forecast cadence connected to finance, delivery and supply planning is handled informally and depends on individual knowledge or heroic effort.</t>
  </si>
  <si>
    <t>Sales forecast cadence connected to finance, delivery and supply planning is partially documented or implemented, but coverage is inconsistent and not crisis-tested.</t>
  </si>
  <si>
    <t>Sales forecast cadence connected to finance, delivery and supply planning is documented, owned, used in normal operations and supported by basic evidence or metrics.</t>
  </si>
  <si>
    <t>Sales forecast cadence connected to finance, delivery and supply planning is measured, periodically reviewed, integrated with related processes and tested against relevant disruption scenarios.</t>
  </si>
  <si>
    <t>Sales forecast cadence connected to finance, delivery and supply planning is optimized, continuously improved, automated where practical and demonstrably supports crisis resilience.</t>
  </si>
  <si>
    <t>Assign owner, collect evidence, assess gaps, define mitigation actions, and test sales forecast cadence connected to finance, delivery and supply planning against scenarios: Demand shock; Revenue loss; Reputation crisis.</t>
  </si>
  <si>
    <t>SALE-009</t>
  </si>
  <si>
    <t>How mature is the organization in managing sales forecast stress tests for delayed decisions, budget cuts and customer churn, including ownership, evidence, metrics, fallback procedures and crisis stress testing?</t>
  </si>
  <si>
    <t>Policy/SOP; owner/RACI; system report; dashboard; contracts; test records; incident history; interview evidence related to sales forecast stress tests for delayed decisions, budget cuts and customer churn.</t>
  </si>
  <si>
    <t>No reliable evidence that sales forecast stress tests for delayed decisions, budget cuts and customer churn is defined, owned or managed.</t>
  </si>
  <si>
    <t>Sales forecast stress tests for delayed decisions, budget cuts and customer churn is handled informally and depends on individual knowledge or heroic effort.</t>
  </si>
  <si>
    <t>Sales forecast stress tests for delayed decisions, budget cuts and customer churn is partially documented or implemented, but coverage is inconsistent and not crisis-tested.</t>
  </si>
  <si>
    <t>Sales forecast stress tests for delayed decisions, budget cuts and customer churn is documented, owned, used in normal operations and supported by basic evidence or metrics.</t>
  </si>
  <si>
    <t>Sales forecast stress tests for delayed decisions, budget cuts and customer churn is measured, periodically reviewed, integrated with related processes and tested against relevant disruption scenarios.</t>
  </si>
  <si>
    <t>Sales forecast stress tests for delayed decisions, budget cuts and customer churn is optimized, continuously improved, automated where practical and demonstrably supports crisis resilience.</t>
  </si>
  <si>
    <t>Assign owner, collect evidence, assess gaps, define mitigation actions, and test sales forecast stress tests for delayed decisions, budget cuts and customer churn against scenarios: Demand shock; Revenue loss; Reputation crisis.</t>
  </si>
  <si>
    <t>SALE-010</t>
  </si>
  <si>
    <t>How mature is the organization in managing sales analytics by conversion, cycle time, win rate, deal size, margin and loss reason, including ownership, evidence, metrics, fallback procedures and crisis stress testing?</t>
  </si>
  <si>
    <t>Policy/SOP; owner/RACI; system report; dashboard; contracts; test records; incident history; interview evidence related to sales analytics by conversion, cycle time, win rate, deal size, margin and loss reason.</t>
  </si>
  <si>
    <t>No reliable evidence that sales analytics by conversion, cycle time, win rate, deal size, margin and loss reason is defined, owned or managed.</t>
  </si>
  <si>
    <t>Sales analytics by conversion, cycle time, win rate, deal size, margin and loss reason is handled informally and depends on individual knowledge or heroic effort.</t>
  </si>
  <si>
    <t>Sales analytics by conversion, cycle time, win rate, deal size, margin and loss reason is partially documented or implemented, but coverage is inconsistent and not crisis-tested.</t>
  </si>
  <si>
    <t>Sales analytics by conversion, cycle time, win rate, deal size, margin and loss reason is documented, owned, used in normal operations and supported by basic evidence or metrics.</t>
  </si>
  <si>
    <t>Sales analytics by conversion, cycle time, win rate, deal size, margin and loss reason is measured, periodically reviewed, integrated with related processes and tested against relevant disruption scenarios.</t>
  </si>
  <si>
    <t>Sales analytics by conversion, cycle time, win rate, deal size, margin and loss reason is optimized, continuously improved, automated where practical and demonstrably supports crisis resilience.</t>
  </si>
  <si>
    <t>Assign owner, collect evidence, assess gaps, define mitigation actions, and test sales analytics by conversion, cycle time, win rate, deal size, margin and loss reason against scenarios: Demand shock; Revenue loss; Reputation crisis.</t>
  </si>
  <si>
    <t>SALE-011</t>
  </si>
  <si>
    <t>How mature is the organization in managing customer health scoring using usage, satisfaction, payment behavior, delivery issues and engagement, including ownership, evidence, metrics, fallback procedures and crisis stress testing?</t>
  </si>
  <si>
    <t>Policy/SOP; owner/RACI; system report; dashboard; contracts; test records; incident history; interview evidence related to customer health scoring using usage, satisfaction, payment behavior, delivery issues and engagement.</t>
  </si>
  <si>
    <t>No reliable evidence that customer health scoring using usage, satisfaction, payment behavior, delivery issues and engagement is defined, owned or managed.</t>
  </si>
  <si>
    <t>Customer health scoring using usage, satisfaction, payment behavior, delivery issues and engagement is handled informally and depends on individual knowledge or heroic effort.</t>
  </si>
  <si>
    <t>Customer health scoring using usage, satisfaction, payment behavior, delivery issues and engagement is partially documented or implemented, but coverage is inconsistent and not crisis-tested.</t>
  </si>
  <si>
    <t>Customer health scoring using usage, satisfaction, payment behavior, delivery issues and engagement is documented, owned, used in normal operations and supported by basic evidence or metrics.</t>
  </si>
  <si>
    <t>Customer health scoring using usage, satisfaction, payment behavior, delivery issues and engagement is measured, periodically reviewed, integrated with related processes and tested against relevant disruption scenarios.</t>
  </si>
  <si>
    <t>Customer health scoring using usage, satisfaction, payment behavior, delivery issues and engagement is optimized, continuously improved, automated where practical and demonstrably supports crisis resilience.</t>
  </si>
  <si>
    <t>Assign owner, collect evidence, assess gaps, define mitigation actions, and test customer health scoring using usage, satisfaction, payment behavior, delivery issues and engagement against scenarios: Demand shock; Revenue loss; Reputation crisis.</t>
  </si>
  <si>
    <t>SALE-012</t>
  </si>
  <si>
    <t>How mature is the organization in managing churn risk identification, prioritization and mitigation actions, including ownership, evidence, metrics, fallback procedures and crisis stress testing?</t>
  </si>
  <si>
    <t>Policy/SOP; owner/RACI; system report; dashboard; contracts; test records; incident history; interview evidence related to churn risk identification, prioritization and mitigation actions.</t>
  </si>
  <si>
    <t>No reliable evidence that churn risk identification, prioritization and mitigation actions is defined, owned or managed.</t>
  </si>
  <si>
    <t>Churn risk identification, prioritization and mitigation actions is handled informally and depends on individual knowledge or heroic effort.</t>
  </si>
  <si>
    <t>Churn risk identification, prioritization and mitigation actions is partially documented or implemented, but coverage is inconsistent and not crisis-tested.</t>
  </si>
  <si>
    <t>Churn risk identification, prioritization and mitigation actions is documented, owned, used in normal operations and supported by basic evidence or metrics.</t>
  </si>
  <si>
    <t>Churn risk identification, prioritization and mitigation actions is measured, periodically reviewed, integrated with related processes and tested against relevant disruption scenarios.</t>
  </si>
  <si>
    <t>Churn risk identification, prioritization and mitigation actions is optimized, continuously improved, automated where practical and demonstrably supports crisis resilience.</t>
  </si>
  <si>
    <t>Assign owner, collect evidence, assess gaps, define mitigation actions, and test churn risk identification, prioritization and mitigation actions against scenarios: Demand shock; Revenue loss; Reputation crisis.</t>
  </si>
  <si>
    <t>SALE-013</t>
  </si>
  <si>
    <t>How mature is the organization in managing renewal calendar and proactive renewal process, including ownership, evidence, metrics, fallback procedures and crisis stress testing?</t>
  </si>
  <si>
    <t>Policy/SOP; owner/RACI; system report; dashboard; contracts; test records; incident history; interview evidence related to renewal calendar and proactive renewal process.</t>
  </si>
  <si>
    <t>No reliable evidence that renewal calendar and proactive renewal process is defined, owned or managed.</t>
  </si>
  <si>
    <t>Renewal calendar and proactive renewal process is handled informally and depends on individual knowledge or heroic effort.</t>
  </si>
  <si>
    <t>Renewal calendar and proactive renewal process is partially documented or implemented, but coverage is inconsistent and not crisis-tested.</t>
  </si>
  <si>
    <t>Renewal calendar and proactive renewal process is documented, owned, used in normal operations and supported by basic evidence or metrics.</t>
  </si>
  <si>
    <t>Renewal calendar and proactive renewal process is measured, periodically reviewed, integrated with related processes and tested against relevant disruption scenarios.</t>
  </si>
  <si>
    <t>Renewal calendar and proactive renewal process is optimized, continuously improved, automated where practical and demonstrably supports crisis resilience.</t>
  </si>
  <si>
    <t>Assign owner, collect evidence, assess gaps, define mitigation actions, and test renewal calendar and proactive renewal process against scenarios: Demand shock; Revenue loss; Reputation crisis.</t>
  </si>
  <si>
    <t>SALE-014</t>
  </si>
  <si>
    <t>How mature is the organization in managing critical account plans covering stakeholders, risks, contracts, renewals and crisis communication, including ownership, evidence, metrics, fallback procedures and crisis stress testing?</t>
  </si>
  <si>
    <t>Policy/SOP; owner/RACI; system report; dashboard; contracts; test records; incident history; interview evidence related to critical account plans covering stakeholders, risks, contracts, renewals and crisis communication.</t>
  </si>
  <si>
    <t>No reliable evidence that critical account plans covering stakeholders, risks, contracts, renewals and crisis communication is defined, owned or managed.</t>
  </si>
  <si>
    <t>Critical account plans covering stakeholders, risks, contracts, renewals and crisis communication is handled informally and depends on individual knowledge or heroic effort.</t>
  </si>
  <si>
    <t>Critical account plans covering stakeholders, risks, contracts, renewals and crisis communication is partially documented or implemented, but coverage is inconsistent and not crisis-tested.</t>
  </si>
  <si>
    <t>Critical account plans covering stakeholders, risks, contracts, renewals and crisis communication is documented, owned, used in normal operations and supported by basic evidence or metrics.</t>
  </si>
  <si>
    <t>Critical account plans covering stakeholders, risks, contracts, renewals and crisis communication is measured, periodically reviewed, integrated with related processes and tested against relevant disruption scenarios.</t>
  </si>
  <si>
    <t>Critical account plans covering stakeholders, risks, contracts, renewals and crisis communication is optimized, continuously improved, automated where practical and demonstrably supports crisis resilience.</t>
  </si>
  <si>
    <t>Assign owner, collect evidence, assess gaps, define mitigation actions, and test critical account plans covering stakeholders, risks, contracts, renewals and crisis communication against scenarios: Demand shock; Revenue loss; Reputation crisis.</t>
  </si>
  <si>
    <t>SALE-015</t>
  </si>
  <si>
    <t>How mature is the organization in managing customer notification rules for incidents, delays, cyber events and service disruption, including ownership, evidence, metrics, fallback procedures and crisis stress testing?</t>
  </si>
  <si>
    <t>Policy/SOP; owner/RACI; system report; dashboard; contracts; test records; incident history; interview evidence related to customer notification rules for incidents, delays, cyber events and service disruption.</t>
  </si>
  <si>
    <t>No reliable evidence that customer notification rules for incidents, delays, cyber events and service disruption is defined, owned or managed.</t>
  </si>
  <si>
    <t>Customer notification rules for incidents, delays, cyber events and service disruption is handled informally and depends on individual knowledge or heroic effort.</t>
  </si>
  <si>
    <t>Customer notification rules for incidents, delays, cyber events and service disruption is partially documented or implemented, but coverage is inconsistent and not crisis-tested.</t>
  </si>
  <si>
    <t>Customer notification rules for incidents, delays, cyber events and service disruption is documented, owned, used in normal operations and supported by basic evidence or metrics.</t>
  </si>
  <si>
    <t>Customer notification rules for incidents, delays, cyber events and service disruption is measured, periodically reviewed, integrated with related processes and tested against relevant disruption scenarios.</t>
  </si>
  <si>
    <t>Customer notification rules for incidents, delays, cyber events and service disruption is optimized, continuously improved, automated where practical and demonstrably supports crisis resilience.</t>
  </si>
  <si>
    <t>Assign owner, collect evidence, assess gaps, define mitigation actions, and test customer notification rules for incidents, delays, cyber events and service disruption against scenarios: Demand shock; Revenue loss; Reputation crisis.</t>
  </si>
  <si>
    <t>SALE-016</t>
  </si>
  <si>
    <t>How mature is the organization in managing support knowledge base and agent fallback if experienced people are unavailable, including ownership, evidence, metrics, fallback procedures and crisis stress testing?</t>
  </si>
  <si>
    <t>Policy/SOP; owner/RACI; system report; dashboard; contracts; test records; incident history; interview evidence related to support knowledge base and agent fallback if experienced people are unavailable.</t>
  </si>
  <si>
    <t>No reliable evidence that support knowledge base and agent fallback if experienced people are unavailable is defined, owned or managed.</t>
  </si>
  <si>
    <t>Support knowledge base and agent fallback if experienced people are unavailable is handled informally and depends on individual knowledge or heroic effort.</t>
  </si>
  <si>
    <t>Support knowledge base and agent fallback if experienced people are unavailable is partially documented or implemented, but coverage is inconsistent and not crisis-tested.</t>
  </si>
  <si>
    <t>Support knowledge base and agent fallback if experienced people are unavailable is documented, owned, used in normal operations and supported by basic evidence or metrics.</t>
  </si>
  <si>
    <t>Support knowledge base and agent fallback if experienced people are unavailable is measured, periodically reviewed, integrated with related processes and tested against relevant disruption scenarios.</t>
  </si>
  <si>
    <t>Support knowledge base and agent fallback if experienced people are unavailable is optimized, continuously improved, automated where practical and demonstrably supports crisis resilience.</t>
  </si>
  <si>
    <t>Assign owner, collect evidence, assess gaps, define mitigation actions, and test support knowledge base and agent fallback if experienced people are unavailable against scenarios: Demand shock; Revenue loss; Reputation crisis.</t>
  </si>
  <si>
    <t>SALE-017</t>
  </si>
  <si>
    <t>How mature is the organization in managing discount governance, pricing exceptions, payment terms and margin protection, including ownership, evidence, metrics, fallback procedures and crisis stress testing?</t>
  </si>
  <si>
    <t>Policy/SOP; owner/RACI; system report; dashboard; contracts; test records; incident history; interview evidence related to discount governance, pricing exceptions, payment terms and margin protection.</t>
  </si>
  <si>
    <t>No reliable evidence that discount governance, pricing exceptions, payment terms and margin protection is defined, owned or managed.</t>
  </si>
  <si>
    <t>Discount governance, pricing exceptions, payment terms and margin protection is handled informally and depends on individual knowledge or heroic effort.</t>
  </si>
  <si>
    <t>Discount governance, pricing exceptions, payment terms and margin protection is partially documented or implemented, but coverage is inconsistent and not crisis-tested.</t>
  </si>
  <si>
    <t>Discount governance, pricing exceptions, payment terms and margin protection is documented, owned, used in normal operations and supported by basic evidence or metrics.</t>
  </si>
  <si>
    <t>Discount governance, pricing exceptions, payment terms and margin protection is measured, periodically reviewed, integrated with related processes and tested against relevant disruption scenarios.</t>
  </si>
  <si>
    <t>Discount governance, pricing exceptions, payment terms and margin protection is optimized, continuously improved, automated where practical and demonstrably supports crisis resilience.</t>
  </si>
  <si>
    <t>Assign owner, collect evidence, assess gaps, define mitigation actions, and test discount governance, pricing exceptions, payment terms and margin protection against scenarios: Demand shock; Revenue loss; Reputation crisis.</t>
  </si>
  <si>
    <t>SALE-018</t>
  </si>
  <si>
    <t>How mature is the organization in managing deal review for margin, delivery feasibility, legal obligations, security and crisis risk, including ownership, evidence, metrics, fallback procedures and crisis stress testing?</t>
  </si>
  <si>
    <t>Policy/SOP; owner/RACI; system report; dashboard; contracts; test records; incident history; interview evidence related to deal review for margin, delivery feasibility, legal obligations, security and crisis risk.</t>
  </si>
  <si>
    <t>No reliable evidence that deal review for margin, delivery feasibility, legal obligations, security and crisis risk is defined, owned or managed.</t>
  </si>
  <si>
    <t>Deal review for margin, delivery feasibility, legal obligations, security and crisis risk is handled informally and depends on individual knowledge or heroic effort.</t>
  </si>
  <si>
    <t>Deal review for margin, delivery feasibility, legal obligations, security and crisis risk is partially documented or implemented, but coverage is inconsistent and not crisis-tested.</t>
  </si>
  <si>
    <t>Deal review for margin, delivery feasibility, legal obligations, security and crisis risk is documented, owned, used in normal operations and supported by basic evidence or metrics.</t>
  </si>
  <si>
    <t>Deal review for margin, delivery feasibility, legal obligations, security and crisis risk is measured, periodically reviewed, integrated with related processes and tested against relevant disruption scenarios.</t>
  </si>
  <si>
    <t>Deal review for margin, delivery feasibility, legal obligations, security and crisis risk is optimized, continuously improved, automated where practical and demonstrably supports crisis resilience.</t>
  </si>
  <si>
    <t>Assign owner, collect evidence, assess gaps, define mitigation actions, and test deal review for margin, delivery feasibility, legal obligations, security and crisis risk against scenarios: Demand shock; Revenue loss; Reputation crisis.</t>
  </si>
  <si>
    <t>SALE-019</t>
  </si>
  <si>
    <t>How mature is the organization in managing customer concentration risk by revenue, margin, geography and industry, including ownership, evidence, metrics, fallback procedures and crisis stress testing?</t>
  </si>
  <si>
    <t>Policy/SOP; owner/RACI; system report; dashboard; contracts; test records; incident history; interview evidence related to customer concentration risk by revenue, margin, geography and industry.</t>
  </si>
  <si>
    <t>No reliable evidence that customer concentration risk by revenue, margin, geography and industry is defined, owned or managed.</t>
  </si>
  <si>
    <t>Customer concentration risk by revenue, margin, geography and industry is handled informally and depends on individual knowledge or heroic effort.</t>
  </si>
  <si>
    <t>Customer concentration risk by revenue, margin, geography and industry is partially documented or implemented, but coverage is inconsistent and not crisis-tested.</t>
  </si>
  <si>
    <t>Customer concentration risk by revenue, margin, geography and industry is documented, owned, used in normal operations and supported by basic evidence or metrics.</t>
  </si>
  <si>
    <t>Customer concentration risk by revenue, margin, geography and industry is measured, periodically reviewed, integrated with related processes and tested against relevant disruption scenarios.</t>
  </si>
  <si>
    <t>Customer concentration risk by revenue, margin, geography and industry is optimized, continuously improved, automated where practical and demonstrably supports crisis resilience.</t>
  </si>
  <si>
    <t>Assign owner, collect evidence, assess gaps, define mitigation actions, and test customer concentration risk by revenue, margin, geography and industry against scenarios: Demand shock; Revenue loss; Reputation crisis.</t>
  </si>
  <si>
    <t>SALE-020</t>
  </si>
  <si>
    <t>How mature is the organization in managing sales channel continuity if offices close, travel stops, events cancel or one channel fails, including ownership, evidence, metrics, fallback procedures and crisis stress testing?</t>
  </si>
  <si>
    <t>Policy/SOP; owner/RACI; system report; dashboard; contracts; test records; incident history; interview evidence related to sales channel continuity if offices close, travel stops, events cancel or one channel fails.</t>
  </si>
  <si>
    <t>No reliable evidence that sales channel continuity if offices close, travel stops, events cancel or one channel fails is defined, owned or managed.</t>
  </si>
  <si>
    <t>Sales channel continuity if offices close, travel stops, events cancel or one channel fails is handled informally and depends on individual knowledge or heroic effort.</t>
  </si>
  <si>
    <t>Sales channel continuity if offices close, travel stops, events cancel or one channel fails is partially documented or implemented, but coverage is inconsistent and not crisis-tested.</t>
  </si>
  <si>
    <t>Sales channel continuity if offices close, travel stops, events cancel or one channel fails is documented, owned, used in normal operations and supported by basic evidence or metrics.</t>
  </si>
  <si>
    <t>Sales channel continuity if offices close, travel stops, events cancel or one channel fails is measured, periodically reviewed, integrated with related processes and tested against relevant disruption scenarios.</t>
  </si>
  <si>
    <t>Sales channel continuity if offices close, travel stops, events cancel or one channel fails is optimized, continuously improved, automated where practical and demonstrably supports crisis resilience.</t>
  </si>
  <si>
    <t>Assign owner, collect evidence, assess gaps, define mitigation actions, and test sales channel continuity if offices close, travel stops, events cancel or one channel fails against scenarios: Demand shock; Revenue loss; Reputation crisis.</t>
  </si>
  <si>
    <t>SALE-021</t>
  </si>
  <si>
    <t>How mature is the organization in managing ecommerce continuity for payments, logistics, website, stock and customer support where relevant, including ownership, evidence, metrics, fallback procedures and crisis stress testing?</t>
  </si>
  <si>
    <t>Policy/SOP; owner/RACI; system report; dashboard; contracts; test records; incident history; interview evidence related to ecommerce continuity for payments, logistics, website, stock and customer support where relevant.</t>
  </si>
  <si>
    <t>No reliable evidence that ecommerce continuity for payments, logistics, website, stock and customer support where relevant is defined, owned or managed.</t>
  </si>
  <si>
    <t>Ecommerce continuity for payments, logistics, website, stock and customer support where relevant is handled informally and depends on individual knowledge or heroic effort.</t>
  </si>
  <si>
    <t>Ecommerce continuity for payments, logistics, website, stock and customer support where relevant is partially documented or implemented, but coverage is inconsistent and not crisis-tested.</t>
  </si>
  <si>
    <t>Ecommerce continuity for payments, logistics, website, stock and customer support where relevant is documented, owned, used in normal operations and supported by basic evidence or metrics.</t>
  </si>
  <si>
    <t>Ecommerce continuity for payments, logistics, website, stock and customer support where relevant is measured, periodically reviewed, integrated with related processes and tested against relevant disruption scenarios.</t>
  </si>
  <si>
    <t>Ecommerce continuity for payments, logistics, website, stock and customer support where relevant is optimized, continuously improved, automated where practical and demonstrably supports crisis resilience.</t>
  </si>
  <si>
    <t>Assign owner, collect evidence, assess gaps, define mitigation actions, and test ecommerce continuity for payments, logistics, website, stock and customer support where relevant against scenarios: Demand shock; Revenue loss; Reputation crisis.</t>
  </si>
  <si>
    <t>Marketing Comms Assessment</t>
  </si>
  <si>
    <t>Purpose: assess how this domain affects crisis impact, continuity and resilience. Main references: ISO 10002; ISO 10004; ISO 20671-1; ISO 22301; AMEC; crisis communication best practices.</t>
  </si>
  <si>
    <t>MARK-001</t>
  </si>
  <si>
    <t>How mature is the organization in managing brand positioning aligned with ICP, offering, differentiation and proof points, including ownership, evidence, metrics, fallback procedures and crisis stress testing?</t>
  </si>
  <si>
    <t>This topic affects exposure to Reputation crisis; Demand shock; IT outage. It helps identify how disruption may impact operations, people, revenue, systems, legal exposure or recovery time.</t>
  </si>
  <si>
    <t>ISO 10002; ISO 10004; ISO 20671-1; ISO 22301; AMEC; crisis communication best practices</t>
  </si>
  <si>
    <t>Policy/SOP; owner/RACI; system report; dashboard; contracts; test records; incident history; interview evidence related to brand positioning aligned with ICP, offering, differentiation and proof points.</t>
  </si>
  <si>
    <t>No reliable evidence that brand positioning aligned with icp, offering, differentiation and proof points is defined, owned or managed.</t>
  </si>
  <si>
    <t>Brand positioning aligned with ICP, offering, differentiation and proof points is handled informally and depends on individual knowledge or heroic effort.</t>
  </si>
  <si>
    <t>Brand positioning aligned with ICP, offering, differentiation and proof points is partially documented or implemented, but coverage is inconsistent and not crisis-tested.</t>
  </si>
  <si>
    <t>Brand positioning aligned with ICP, offering, differentiation and proof points is documented, owned, used in normal operations and supported by basic evidence or metrics.</t>
  </si>
  <si>
    <t>Brand positioning aligned with ICP, offering, differentiation and proof points is measured, periodically reviewed, integrated with related processes and tested against relevant disruption scenarios.</t>
  </si>
  <si>
    <t>Brand positioning aligned with ICP, offering, differentiation and proof points is optimized, continuously improved, automated where practical and demonstrably supports crisis resilience.</t>
  </si>
  <si>
    <t>Reputation crisis; Demand shock; IT outage</t>
  </si>
  <si>
    <t>CMO / Communications</t>
  </si>
  <si>
    <t>Assign owner, collect evidence, assess gaps, define mitigation actions, and test brand positioning aligned with ICP, offering, differentiation and proof points against scenarios: Reputation crisis; Demand shock; IT outage.</t>
  </si>
  <si>
    <t>MARK-002</t>
  </si>
  <si>
    <t>How mature is the organization in managing digital channel dependency across website, search, paid media, social, events and partners, including ownership, evidence, metrics, fallback procedures and crisis stress testing?</t>
  </si>
  <si>
    <t>Policy/SOP; owner/RACI; system report; dashboard; contracts; test records; incident history; interview evidence related to digital channel dependency across website, search, paid media, social, events and partners.</t>
  </si>
  <si>
    <t>No reliable evidence that digital channel dependency across website, search, paid media, social, events and partners is defined, owned or managed.</t>
  </si>
  <si>
    <t>Digital channel dependency across website, search, paid media, social, events and partners is handled informally and depends on individual knowledge or heroic effort.</t>
  </si>
  <si>
    <t>Digital channel dependency across website, search, paid media, social, events and partners is partially documented or implemented, but coverage is inconsistent and not crisis-tested.</t>
  </si>
  <si>
    <t>Digital channel dependency across website, search, paid media, social, events and partners is documented, owned, used in normal operations and supported by basic evidence or metrics.</t>
  </si>
  <si>
    <t>Digital channel dependency across website, search, paid media, social, events and partners is measured, periodically reviewed, integrated with related processes and tested against relevant disruption scenarios.</t>
  </si>
  <si>
    <t>Digital channel dependency across website, search, paid media, social, events and partners is optimized, continuously improved, automated where practical and demonstrably supports crisis resilience.</t>
  </si>
  <si>
    <t>Assign owner, collect evidence, assess gaps, define mitigation actions, and test digital channel dependency across website, search, paid media, social, events and partners against scenarios: Reputation crisis; Demand shock; IT outage.</t>
  </si>
  <si>
    <t>MARK-003</t>
  </si>
  <si>
    <t>How mature is the organization in managing website and lead-form availability during traffic spikes, cyberattacks or hosting outages, including ownership, evidence, metrics, fallback procedures and crisis stress testing?</t>
  </si>
  <si>
    <t>Policy/SOP; owner/RACI; system report; dashboard; contracts; test records; incident history; interview evidence related to website and lead-form availability during traffic spikes, cyberattacks or hosting outages.</t>
  </si>
  <si>
    <t>No reliable evidence that website and lead-form availability during traffic spikes, cyberattacks or hosting outages is defined, owned or managed.</t>
  </si>
  <si>
    <t>Website and lead-form availability during traffic spikes, cyberattacks or hosting outages is handled informally and depends on individual knowledge or heroic effort.</t>
  </si>
  <si>
    <t>Website and lead-form availability during traffic spikes, cyberattacks or hosting outages is partially documented or implemented, but coverage is inconsistent and not crisis-tested.</t>
  </si>
  <si>
    <t>Website and lead-form availability during traffic spikes, cyberattacks or hosting outages is documented, owned, used in normal operations and supported by basic evidence or metrics.</t>
  </si>
  <si>
    <t>Website and lead-form availability during traffic spikes, cyberattacks or hosting outages is measured, periodically reviewed, integrated with related processes and tested against relevant disruption scenarios.</t>
  </si>
  <si>
    <t>Website and lead-form availability during traffic spikes, cyberattacks or hosting outages is optimized, continuously improved, automated where practical and demonstrably supports crisis resilience.</t>
  </si>
  <si>
    <t>Assign owner, collect evidence, assess gaps, define mitigation actions, and test website and lead-form availability during traffic spikes, cyberattacks or hosting outages against scenarios: Reputation crisis; Demand shock; IT outage.</t>
  </si>
  <si>
    <t>MARK-004</t>
  </si>
  <si>
    <t>How mature is the organization in managing campaign performance, attribution, conversion, CAC and channel ROI measurement, including ownership, evidence, metrics, fallback procedures and crisis stress testing?</t>
  </si>
  <si>
    <t>Policy/SOP; owner/RACI; system report; dashboard; contracts; test records; incident history; interview evidence related to campaign performance, attribution, conversion, CAC and channel ROI measurement.</t>
  </si>
  <si>
    <t>No reliable evidence that campaign performance, attribution, conversion, cac and channel roi measurement is defined, owned or managed.</t>
  </si>
  <si>
    <t>Campaign performance, attribution, conversion, CAC and channel ROI measurement is handled informally and depends on individual knowledge or heroic effort.</t>
  </si>
  <si>
    <t>Campaign performance, attribution, conversion, CAC and channel ROI measurement is partially documented or implemented, but coverage is inconsistent and not crisis-tested.</t>
  </si>
  <si>
    <t>Campaign performance, attribution, conversion, CAC and channel ROI measurement is documented, owned, used in normal operations and supported by basic evidence or metrics.</t>
  </si>
  <si>
    <t>Campaign performance, attribution, conversion, CAC and channel ROI measurement is measured, periodically reviewed, integrated with related processes and tested against relevant disruption scenarios.</t>
  </si>
  <si>
    <t>Campaign performance, attribution, conversion, CAC and channel ROI measurement is optimized, continuously improved, automated where practical and demonstrably supports crisis resilience.</t>
  </si>
  <si>
    <t>Assign owner, collect evidence, assess gaps, define mitigation actions, and test campaign performance, attribution, conversion, CAC and channel ROI measurement against scenarios: Reputation crisis; Demand shock; IT outage.</t>
  </si>
  <si>
    <t>MARK-005</t>
  </si>
  <si>
    <t>How mature is the organization in managing lead capture, routing, qualification and follow-up resilience, including ownership, evidence, metrics, fallback procedures and crisis stress testing?</t>
  </si>
  <si>
    <t>Policy/SOP; owner/RACI; system report; dashboard; contracts; test records; incident history; interview evidence related to lead capture, routing, qualification and follow-up resilience.</t>
  </si>
  <si>
    <t>No reliable evidence that lead capture, routing, qualification and follow-up resilience is defined, owned or managed.</t>
  </si>
  <si>
    <t>Lead capture, routing, qualification and follow-up resilience is handled informally and depends on individual knowledge or heroic effort.</t>
  </si>
  <si>
    <t>Lead capture, routing, qualification and follow-up resilience is partially documented or implemented, but coverage is inconsistent and not crisis-tested.</t>
  </si>
  <si>
    <t>Lead capture, routing, qualification and follow-up resilience is documented, owned, used in normal operations and supported by basic evidence or metrics.</t>
  </si>
  <si>
    <t>Lead capture, routing, qualification and follow-up resilience is measured, periodically reviewed, integrated with related processes and tested against relevant disruption scenarios.</t>
  </si>
  <si>
    <t>Lead capture, routing, qualification and follow-up resilience is optimized, continuously improved, automated where practical and demonstrably supports crisis resilience.</t>
  </si>
  <si>
    <t>Assign owner, collect evidence, assess gaps, define mitigation actions, and test lead capture, routing, qualification and follow-up resilience against scenarios: Reputation crisis; Demand shock; IT outage.</t>
  </si>
  <si>
    <t>MARK-006</t>
  </si>
  <si>
    <t>How mature is the organization in managing approved crisis communication templates for customers, employees, media, regulators and partners, including ownership, evidence, metrics, fallback procedures and crisis stress testing?</t>
  </si>
  <si>
    <t>Policy/SOP; owner/RACI; system report; dashboard; contracts; test records; incident history; interview evidence related to approved crisis communication templates for customers, employees, media, regulators and partners.</t>
  </si>
  <si>
    <t>No reliable evidence that approved crisis communication templates for customers, employees, media, regulators and partners is defined, owned or managed.</t>
  </si>
  <si>
    <t>Approved crisis communication templates for customers, employees, media, regulators and partners is handled informally and depends on individual knowledge or heroic effort.</t>
  </si>
  <si>
    <t>Approved crisis communication templates for customers, employees, media, regulators and partners is partially documented or implemented, but coverage is inconsistent and not crisis-tested.</t>
  </si>
  <si>
    <t>Approved crisis communication templates for customers, employees, media, regulators and partners is documented, owned, used in normal operations and supported by basic evidence or metrics.</t>
  </si>
  <si>
    <t>Approved crisis communication templates for customers, employees, media, regulators and partners is measured, periodically reviewed, integrated with related processes and tested against relevant disruption scenarios.</t>
  </si>
  <si>
    <t>Approved crisis communication templates for customers, employees, media, regulators and partners is optimized, continuously improved, automated where practical and demonstrably supports crisis resilience.</t>
  </si>
  <si>
    <t>Assign owner, collect evidence, assess gaps, define mitigation actions, and test approved crisis communication templates for customers, employees, media, regulators and partners against scenarios: Reputation crisis; Demand shock; IT outage.</t>
  </si>
  <si>
    <t>MARK-007</t>
  </si>
  <si>
    <t>How mature is the organization in managing spokesperson identification, media training and backup coverage, including ownership, evidence, metrics, fallback procedures and crisis stress testing?</t>
  </si>
  <si>
    <t>Policy/SOP; owner/RACI; system report; dashboard; contracts; test records; incident history; interview evidence related to spokesperson identification, media training and backup coverage.</t>
  </si>
  <si>
    <t>No reliable evidence that spokesperson identification, media training and backup coverage is defined, owned or managed.</t>
  </si>
  <si>
    <t>Spokesperson identification, media training and backup coverage is handled informally and depends on individual knowledge or heroic effort.</t>
  </si>
  <si>
    <t>Spokesperson identification, media training and backup coverage is partially documented or implemented, but coverage is inconsistent and not crisis-tested.</t>
  </si>
  <si>
    <t>Spokesperson identification, media training and backup coverage is documented, owned, used in normal operations and supported by basic evidence or metrics.</t>
  </si>
  <si>
    <t>Spokesperson identification, media training and backup coverage is measured, periodically reviewed, integrated with related processes and tested against relevant disruption scenarios.</t>
  </si>
  <si>
    <t>Spokesperson identification, media training and backup coverage is optimized, continuously improved, automated where practical and demonstrably supports crisis resilience.</t>
  </si>
  <si>
    <t>Assign owner, collect evidence, assess gaps, define mitigation actions, and test spokesperson identification, media training and backup coverage against scenarios: Reputation crisis; Demand shock; IT outage.</t>
  </si>
  <si>
    <t>MARK-008</t>
  </si>
  <si>
    <t>How mature is the organization in managing media, social, review and customer sentiment monitoring, including ownership, evidence, metrics, fallback procedures and crisis stress testing?</t>
  </si>
  <si>
    <t>Policy/SOP; owner/RACI; system report; dashboard; contracts; test records; incident history; interview evidence related to media, social, review and customer sentiment monitoring.</t>
  </si>
  <si>
    <t>No reliable evidence that media, social, review and customer sentiment monitoring is defined, owned or managed.</t>
  </si>
  <si>
    <t>Media, social, review and customer sentiment monitoring is handled informally and depends on individual knowledge or heroic effort.</t>
  </si>
  <si>
    <t>Media, social, review and customer sentiment monitoring is partially documented or implemented, but coverage is inconsistent and not crisis-tested.</t>
  </si>
  <si>
    <t>Media, social, review and customer sentiment monitoring is documented, owned, used in normal operations and supported by basic evidence or metrics.</t>
  </si>
  <si>
    <t>Media, social, review and customer sentiment monitoring is measured, periodically reviewed, integrated with related processes and tested against relevant disruption scenarios.</t>
  </si>
  <si>
    <t>Media, social, review and customer sentiment monitoring is optimized, continuously improved, automated where practical and demonstrably supports crisis resilience.</t>
  </si>
  <si>
    <t>Assign owner, collect evidence, assess gaps, define mitigation actions, and test media, social, review and customer sentiment monitoring against scenarios: Reputation crisis; Demand shock; IT outage.</t>
  </si>
  <si>
    <t>MARK-009</t>
  </si>
  <si>
    <t>How mature is the organization in managing escalation and approval rules for sensitive public responses, including ownership, evidence, metrics, fallback procedures and crisis stress testing?</t>
  </si>
  <si>
    <t>Policy/SOP; owner/RACI; system report; dashboard; contracts; test records; incident history; interview evidence related to escalation and approval rules for sensitive public responses.</t>
  </si>
  <si>
    <t>No reliable evidence that escalation and approval rules for sensitive public responses is defined, owned or managed.</t>
  </si>
  <si>
    <t>Escalation and approval rules for sensitive public responses is handled informally and depends on individual knowledge or heroic effort.</t>
  </si>
  <si>
    <t>Escalation and approval rules for sensitive public responses is partially documented or implemented, but coverage is inconsistent and not crisis-tested.</t>
  </si>
  <si>
    <t>Escalation and approval rules for sensitive public responses is documented, owned, used in normal operations and supported by basic evidence or metrics.</t>
  </si>
  <si>
    <t>Escalation and approval rules for sensitive public responses is measured, periodically reviewed, integrated with related processes and tested against relevant disruption scenarios.</t>
  </si>
  <si>
    <t>Escalation and approval rules for sensitive public responses is optimized, continuously improved, automated where practical and demonstrably supports crisis resilience.</t>
  </si>
  <si>
    <t>Assign owner, collect evidence, assess gaps, define mitigation actions, and test escalation and approval rules for sensitive public responses against scenarios: Reputation crisis; Demand shock; IT outage.</t>
  </si>
  <si>
    <t>MARK-010</t>
  </si>
  <si>
    <t>How mature is the organization in managing customer communication channel diversity across email, phone, portal, SMS, account managers and social media, including ownership, evidence, metrics, fallback procedures and crisis stress testing?</t>
  </si>
  <si>
    <t>Policy/SOP; owner/RACI; system report; dashboard; contracts; test records; incident history; interview evidence related to customer communication channel diversity across email, phone, portal, SMS, account managers and social media.</t>
  </si>
  <si>
    <t>No reliable evidence that customer communication channel diversity across email, phone, portal, sms, account managers and social media is defined, owned or managed.</t>
  </si>
  <si>
    <t>Customer communication channel diversity across email, phone, portal, SMS, account managers and social media is handled informally and depends on individual knowledge or heroic effort.</t>
  </si>
  <si>
    <t>Customer communication channel diversity across email, phone, portal, SMS, account managers and social media is partially documented or implemented, but coverage is inconsistent and not crisis-tested.</t>
  </si>
  <si>
    <t>Customer communication channel diversity across email, phone, portal, SMS, account managers and social media is documented, owned, used in normal operations and supported by basic evidence or metrics.</t>
  </si>
  <si>
    <t>Customer communication channel diversity across email, phone, portal, SMS, account managers and social media is measured, periodically reviewed, integrated with related processes and tested against relevant disruption scenarios.</t>
  </si>
  <si>
    <t>Customer communication channel diversity across email, phone, portal, SMS, account managers and social media is optimized, continuously improved, automated where practical and demonstrably supports crisis resilience.</t>
  </si>
  <si>
    <t>Assign owner, collect evidence, assess gaps, define mitigation actions, and test customer communication channel diversity across email, phone, portal, SMS, account managers and social media against scenarios: Reputation crisis; Demand shock; IT outage.</t>
  </si>
  <si>
    <t>MARK-011</t>
  </si>
  <si>
    <t>How mature is the organization in managing misinformation, impersonation, fake invoice and brand-abuse response process, including ownership, evidence, metrics, fallback procedures and crisis stress testing?</t>
  </si>
  <si>
    <t>Policy/SOP; owner/RACI; system report; dashboard; contracts; test records; incident history; interview evidence related to misinformation, impersonation, fake invoice and brand-abuse response process.</t>
  </si>
  <si>
    <t>No reliable evidence that misinformation, impersonation, fake invoice and brand-abuse response process is defined, owned or managed.</t>
  </si>
  <si>
    <t>Misinformation, impersonation, fake invoice and brand-abuse response process is handled informally and depends on individual knowledge or heroic effort.</t>
  </si>
  <si>
    <t>Misinformation, impersonation, fake invoice and brand-abuse response process is partially documented or implemented, but coverage is inconsistent and not crisis-tested.</t>
  </si>
  <si>
    <t>Misinformation, impersonation, fake invoice and brand-abuse response process is documented, owned, used in normal operations and supported by basic evidence or metrics.</t>
  </si>
  <si>
    <t>Misinformation, impersonation, fake invoice and brand-abuse response process is measured, periodically reviewed, integrated with related processes and tested against relevant disruption scenarios.</t>
  </si>
  <si>
    <t>Misinformation, impersonation, fake invoice and brand-abuse response process is optimized, continuously improved, automated where practical and demonstrably supports crisis resilience.</t>
  </si>
  <si>
    <t>Assign owner, collect evidence, assess gaps, define mitigation actions, and test misinformation, impersonation, fake invoice and brand-abuse response process against scenarios: Reputation crisis; Demand shock; IT outage.</t>
  </si>
  <si>
    <t>MARK-012</t>
  </si>
  <si>
    <t>How mature is the organization in managing critical marketing and communication asset access if cloud tools or key people are unavailable, including ownership, evidence, metrics, fallback procedures and crisis stress testing?</t>
  </si>
  <si>
    <t>Policy/SOP; owner/RACI; system report; dashboard; contracts; test records; incident history; interview evidence related to critical marketing and communication asset access if cloud tools or key people are unavailable.</t>
  </si>
  <si>
    <t>No reliable evidence that critical marketing and communication asset access if cloud tools or key people are unavailable is defined, owned or managed.</t>
  </si>
  <si>
    <t>Critical marketing and communication asset access if cloud tools or key people are unavailable is handled informally and depends on individual knowledge or heroic effort.</t>
  </si>
  <si>
    <t>Critical marketing and communication asset access if cloud tools or key people are unavailable is partially documented or implemented, but coverage is inconsistent and not crisis-tested.</t>
  </si>
  <si>
    <t>Critical marketing and communication asset access if cloud tools or key people are unavailable is documented, owned, used in normal operations and supported by basic evidence or metrics.</t>
  </si>
  <si>
    <t>Critical marketing and communication asset access if cloud tools or key people are unavailable is measured, periodically reviewed, integrated with related processes and tested against relevant disruption scenarios.</t>
  </si>
  <si>
    <t>Critical marketing and communication asset access if cloud tools or key people are unavailable is optimized, continuously improved, automated where practical and demonstrably supports crisis resilience.</t>
  </si>
  <si>
    <t>Assign owner, collect evidence, assess gaps, define mitigation actions, and test critical marketing and communication asset access if cloud tools or key people are unavailable against scenarios: Reputation crisis; Demand shock; IT outage.</t>
  </si>
  <si>
    <t>MARK-013</t>
  </si>
  <si>
    <t>How mature is the organization in managing marketing automation, email, analytics, CMS, domain and DNS dependency documentation, including ownership, evidence, metrics, fallback procedures and crisis stress testing?</t>
  </si>
  <si>
    <t>Policy/SOP; owner/RACI; system report; dashboard; contracts; test records; incident history; interview evidence related to marketing automation, email, analytics, CMS, domain and DNS dependency documentation.</t>
  </si>
  <si>
    <t>No reliable evidence that marketing automation, email, analytics, cms, domain and dns dependency documentation is defined, owned or managed.</t>
  </si>
  <si>
    <t>Marketing automation, email, analytics, CMS, domain and DNS dependency documentation is handled informally and depends on individual knowledge or heroic effort.</t>
  </si>
  <si>
    <t>Marketing automation, email, analytics, CMS, domain and DNS dependency documentation is partially documented or implemented, but coverage is inconsistent and not crisis-tested.</t>
  </si>
  <si>
    <t>Marketing automation, email, analytics, CMS, domain and DNS dependency documentation is documented, owned, used in normal operations and supported by basic evidence or metrics.</t>
  </si>
  <si>
    <t>Marketing automation, email, analytics, CMS, domain and DNS dependency documentation is measured, periodically reviewed, integrated with related processes and tested against relevant disruption scenarios.</t>
  </si>
  <si>
    <t>Marketing automation, email, analytics, CMS, domain and DNS dependency documentation is optimized, continuously improved, automated where practical and demonstrably supports crisis resilience.</t>
  </si>
  <si>
    <t>Assign owner, collect evidence, assess gaps, define mitigation actions, and test marketing automation, email, analytics, CMS, domain and DNS dependency documentation against scenarios: Reputation crisis; Demand shock; IT outage.</t>
  </si>
  <si>
    <t>MARK-014</t>
  </si>
  <si>
    <t>How mature is the organization in managing privacy, consent, unsubscribe, advertising claims and industry marketing compliance, including ownership, evidence, metrics, fallback procedures and crisis stress testing?</t>
  </si>
  <si>
    <t>Policy/SOP; owner/RACI; system report; dashboard; contracts; test records; incident history; interview evidence related to privacy, consent, unsubscribe, advertising claims and industry marketing compliance.</t>
  </si>
  <si>
    <t>No reliable evidence that privacy, consent, unsubscribe, advertising claims and industry marketing compliance is defined, owned or managed.</t>
  </si>
  <si>
    <t>Privacy, consent, unsubscribe, advertising claims and industry marketing compliance is handled informally and depends on individual knowledge or heroic effort.</t>
  </si>
  <si>
    <t>Privacy, consent, unsubscribe, advertising claims and industry marketing compliance is partially documented or implemented, but coverage is inconsistent and not crisis-tested.</t>
  </si>
  <si>
    <t>Privacy, consent, unsubscribe, advertising claims and industry marketing compliance is documented, owned, used in normal operations and supported by basic evidence or metrics.</t>
  </si>
  <si>
    <t>Privacy, consent, unsubscribe, advertising claims and industry marketing compliance is measured, periodically reviewed, integrated with related processes and tested against relevant disruption scenarios.</t>
  </si>
  <si>
    <t>Privacy, consent, unsubscribe, advertising claims and industry marketing compliance is optimized, continuously improved, automated where practical and demonstrably supports crisis resilience.</t>
  </si>
  <si>
    <t>Assign owner, collect evidence, assess gaps, define mitigation actions, and test privacy, consent, unsubscribe, advertising claims and industry marketing compliance against scenarios: Reputation crisis; Demand shock; IT outage.</t>
  </si>
  <si>
    <t>MARK-015</t>
  </si>
  <si>
    <t>How mature is the organization in managing demand-generation playbooks for budget cuts, channel failure, competitive pressure or geopolitical restrictions, including ownership, evidence, metrics, fallback procedures and crisis stress testing?</t>
  </si>
  <si>
    <t>Policy/SOP; owner/RACI; system report; dashboard; contracts; test records; incident history; interview evidence related to demand-generation playbooks for budget cuts, channel failure, competitive pressure or geopolitical restrictions.</t>
  </si>
  <si>
    <t>No reliable evidence that demand-generation playbooks for budget cuts, channel failure, competitive pressure or geopolitical restrictions is defined, owned or managed.</t>
  </si>
  <si>
    <t>Demand-generation playbooks for budget cuts, channel failure, competitive pressure or geopolitical restrictions is handled informally and depends on individual knowledge or heroic effort.</t>
  </si>
  <si>
    <t>Demand-generation playbooks for budget cuts, channel failure, competitive pressure or geopolitical restrictions is partially documented or implemented, but coverage is inconsistent and not crisis-tested.</t>
  </si>
  <si>
    <t>Demand-generation playbooks for budget cuts, channel failure, competitive pressure or geopolitical restrictions is documented, owned, used in normal operations and supported by basic evidence or metrics.</t>
  </si>
  <si>
    <t>Demand-generation playbooks for budget cuts, channel failure, competitive pressure or geopolitical restrictions is measured, periodically reviewed, integrated with related processes and tested against relevant disruption scenarios.</t>
  </si>
  <si>
    <t>Demand-generation playbooks for budget cuts, channel failure, competitive pressure or geopolitical restrictions is optimized, continuously improved, automated where practical and demonstrably supports crisis resilience.</t>
  </si>
  <si>
    <t>Assign owner, collect evidence, assess gaps, define mitigation actions, and test demand-generation playbooks for budget cuts, channel failure, competitive pressure or geopolitical restrictions against scenarios: Reputation crisis; Demand shock; IT outage.</t>
  </si>
  <si>
    <t>MARK-016</t>
  </si>
  <si>
    <t>How mature is the organization in managing sales-marketing alignment on ICP, lead definitions, messages, offers and crisis concerns, including ownership, evidence, metrics, fallback procedures and crisis stress testing?</t>
  </si>
  <si>
    <t>Policy/SOP; owner/RACI; system report; dashboard; contracts; test records; incident history; interview evidence related to sales-marketing alignment on ICP, lead definitions, messages, offers and crisis concerns.</t>
  </si>
  <si>
    <t>No reliable evidence that sales-marketing alignment on icp, lead definitions, messages, offers and crisis concerns is defined, owned or managed.</t>
  </si>
  <si>
    <t>Sales-marketing alignment on ICP, lead definitions, messages, offers and crisis concerns is handled informally and depends on individual knowledge or heroic effort.</t>
  </si>
  <si>
    <t>Sales-marketing alignment on ICP, lead definitions, messages, offers and crisis concerns is partially documented or implemented, but coverage is inconsistent and not crisis-tested.</t>
  </si>
  <si>
    <t>Sales-marketing alignment on ICP, lead definitions, messages, offers and crisis concerns is documented, owned, used in normal operations and supported by basic evidence or metrics.</t>
  </si>
  <si>
    <t>Sales-marketing alignment on ICP, lead definitions, messages, offers and crisis concerns is measured, periodically reviewed, integrated with related processes and tested against relevant disruption scenarios.</t>
  </si>
  <si>
    <t>Sales-marketing alignment on ICP, lead definitions, messages, offers and crisis concerns is optimized, continuously improved, automated where practical and demonstrably supports crisis resilience.</t>
  </si>
  <si>
    <t>Assign owner, collect evidence, assess gaps, define mitigation actions, and test sales-marketing alignment on ICP, lead definitions, messages, offers and crisis concerns against scenarios: Reputation crisis; Demand shock; IT outage.</t>
  </si>
  <si>
    <t>MARK-017</t>
  </si>
  <si>
    <t>How mature is the organization in managing trust assets such as security, privacy, continuity, compliance and customer proof materials, including ownership, evidence, metrics, fallback procedures and crisis stress testing?</t>
  </si>
  <si>
    <t>Policy/SOP; owner/RACI; system report; dashboard; contracts; test records; incident history; interview evidence related to trust assets such as security, privacy, continuity, compliance and customer proof materials.</t>
  </si>
  <si>
    <t>No reliable evidence that trust assets such as security, privacy, continuity, compliance and customer proof materials is defined, owned or managed.</t>
  </si>
  <si>
    <t>Trust assets such as security, privacy, continuity, compliance and customer proof materials is handled informally and depends on individual knowledge or heroic effort.</t>
  </si>
  <si>
    <t>Trust assets such as security, privacy, continuity, compliance and customer proof materials is partially documented or implemented, but coverage is inconsistent and not crisis-tested.</t>
  </si>
  <si>
    <t>Trust assets such as security, privacy, continuity, compliance and customer proof materials is documented, owned, used in normal operations and supported by basic evidence or metrics.</t>
  </si>
  <si>
    <t>Trust assets such as security, privacy, continuity, compliance and customer proof materials is measured, periodically reviewed, integrated with related processes and tested against relevant disruption scenarios.</t>
  </si>
  <si>
    <t>Trust assets such as security, privacy, continuity, compliance and customer proof materials is optimized, continuously improved, automated where practical and demonstrably supports crisis resilience.</t>
  </si>
  <si>
    <t>Assign owner, collect evidence, assess gaps, define mitigation actions, and test trust assets such as security, privacy, continuity, compliance and customer proof materials against scenarios: Reputation crisis; Demand shock; IT outage.</t>
  </si>
  <si>
    <t>IT Cloud DR Assessment</t>
  </si>
  <si>
    <t>Purpose: assess how this domain affects crisis impact, continuity and resilience. Main references: ISO/IEC 27001; ISO/IEC 20000-1; NIST CSF 2.0; NIST SP 800-34; COBIT; ITIL 4; FinOps.</t>
  </si>
  <si>
    <t>ITCL-001</t>
  </si>
  <si>
    <t>How mature is the organization in managing complete inventory of applications, infrastructure, cloud accounts, integrations, data stores and owners, including ownership, evidence, metrics, fallback procedures and crisis stress testing?</t>
  </si>
  <si>
    <t>This topic affects exposure to IT outage; Cloud outage; Data loss; Cyberattack. It helps identify how disruption may impact operations, people, revenue, systems, legal exposure or recovery time.</t>
  </si>
  <si>
    <t>ISO/IEC 27001; ISO/IEC 20000-1; NIST CSF 2.0; NIST SP 800-34; COBIT; ITIL 4; FinOps</t>
  </si>
  <si>
    <t>Policy/SOP; owner/RACI; system report; dashboard; contracts; test records; incident history; interview evidence related to complete inventory of applications, infrastructure, cloud accounts, integrations, data stores and owners.</t>
  </si>
  <si>
    <t>No reliable evidence that complete inventory of applications, infrastructure, cloud accounts, integrations, data stores and owners is defined, owned or managed.</t>
  </si>
  <si>
    <t>Complete inventory of applications, infrastructure, cloud accounts, integrations, data stores and owners is handled informally and depends on individual knowledge or heroic effort.</t>
  </si>
  <si>
    <t>Complete inventory of applications, infrastructure, cloud accounts, integrations, data stores and owners is partially documented or implemented, but coverage is inconsistent and not crisis-tested.</t>
  </si>
  <si>
    <t>Complete inventory of applications, infrastructure, cloud accounts, integrations, data stores and owners is documented, owned, used in normal operations and supported by basic evidence or metrics.</t>
  </si>
  <si>
    <t>Complete inventory of applications, infrastructure, cloud accounts, integrations, data stores and owners is measured, periodically reviewed, integrated with related processes and tested against relevant disruption scenarios.</t>
  </si>
  <si>
    <t>Complete inventory of applications, infrastructure, cloud accounts, integrations, data stores and owners is optimized, continuously improved, automated where practical and demonstrably supports crisis resilience.</t>
  </si>
  <si>
    <t>IT outage; Cloud outage; Data loss; Cyberattack</t>
  </si>
  <si>
    <t>CIO / CTO / IT Ops</t>
  </si>
  <si>
    <t>Assign owner, collect evidence, assess gaps, define mitigation actions, and test complete inventory of applications, infrastructure, cloud accounts, integrations, data stores and owners against scenarios: IT outage; Cloud outage; Data loss; Cyberattack.</t>
  </si>
  <si>
    <t>ITCL-002</t>
  </si>
  <si>
    <t>How mature is the organization in managing system criticality tiering by business process, RTO, RPO, users and data sensitivity, including ownership, evidence, metrics, fallback procedures and crisis stress testing?</t>
  </si>
  <si>
    <t>Policy/SOP; owner/RACI; system report; dashboard; contracts; test records; incident history; interview evidence related to system criticality tiering by business process, RTO, RPO, users and data sensitivity.</t>
  </si>
  <si>
    <t>No reliable evidence that system criticality tiering by business process, rto, rpo, users and data sensitivity is defined, owned or managed.</t>
  </si>
  <si>
    <t>System criticality tiering by business process, RTO, RPO, users and data sensitivity is handled informally and depends on individual knowledge or heroic effort.</t>
  </si>
  <si>
    <t>System criticality tiering by business process, RTO, RPO, users and data sensitivity is partially documented or implemented, but coverage is inconsistent and not crisis-tested.</t>
  </si>
  <si>
    <t>System criticality tiering by business process, RTO, RPO, users and data sensitivity is documented, owned, used in normal operations and supported by basic evidence or metrics.</t>
  </si>
  <si>
    <t>System criticality tiering by business process, RTO, RPO, users and data sensitivity is measured, periodically reviewed, integrated with related processes and tested against relevant disruption scenarios.</t>
  </si>
  <si>
    <t>System criticality tiering by business process, RTO, RPO, users and data sensitivity is optimized, continuously improved, automated where practical and demonstrably supports crisis resilience.</t>
  </si>
  <si>
    <t>Assign owner, collect evidence, assess gaps, define mitigation actions, and test system criticality tiering by business process, RTO, RPO, users and data sensitivity against scenarios: IT outage; Cloud outage; Data loss; Cyberattack.</t>
  </si>
  <si>
    <t>ITCL-003</t>
  </si>
  <si>
    <t>How mature is the organization in managing current-state and target-state IT architecture documentation, including ownership, evidence, metrics, fallback procedures and crisis stress testing?</t>
  </si>
  <si>
    <t>Policy/SOP; owner/RACI; system report; dashboard; contracts; test records; incident history; interview evidence related to current-state and target-state IT architecture documentation.</t>
  </si>
  <si>
    <t>No reliable evidence that current-state and target-state it architecture documentation is defined, owned or managed.</t>
  </si>
  <si>
    <t>Current-state and target-state IT architecture documentation is handled informally and depends on individual knowledge or heroic effort.</t>
  </si>
  <si>
    <t>Current-state and target-state IT architecture documentation is partially documented or implemented, but coverage is inconsistent and not crisis-tested.</t>
  </si>
  <si>
    <t>Current-state and target-state IT architecture documentation is documented, owned, used in normal operations and supported by basic evidence or metrics.</t>
  </si>
  <si>
    <t>Current-state and target-state IT architecture documentation is measured, periodically reviewed, integrated with related processes and tested against relevant disruption scenarios.</t>
  </si>
  <si>
    <t>Current-state and target-state IT architecture documentation is optimized, continuously improved, automated where practical and demonstrably supports crisis resilience.</t>
  </si>
  <si>
    <t>Assign owner, collect evidence, assess gaps, define mitigation actions, and test current-state and target-state IT architecture documentation against scenarios: IT outage; Cloud outage; Data loss; Cyberattack.</t>
  </si>
  <si>
    <t>ITCL-004</t>
  </si>
  <si>
    <t>How mature is the organization in managing technical single points of failure across network, identity, DNS, cloud, databases, integrations and support teams, including ownership, evidence, metrics, fallback procedures and crisis stress testing?</t>
  </si>
  <si>
    <t>Policy/SOP; owner/RACI; system report; dashboard; contracts; test records; incident history; interview evidence related to technical single points of failure across network, identity, DNS, cloud, databases, integrations and support teams.</t>
  </si>
  <si>
    <t>No reliable evidence that technical single points of failure across network, identity, dns, cloud, databases, integrations and support teams is defined, owned or managed.</t>
  </si>
  <si>
    <t>Technical single points of failure across network, identity, DNS, cloud, databases, integrations and support teams is handled informally and depends on individual knowledge or heroic effort.</t>
  </si>
  <si>
    <t>Technical single points of failure across network, identity, DNS, cloud, databases, integrations and support teams is partially documented or implemented, but coverage is inconsistent and not crisis-tested.</t>
  </si>
  <si>
    <t>Technical single points of failure across network, identity, DNS, cloud, databases, integrations and support teams is documented, owned, used in normal operations and supported by basic evidence or metrics.</t>
  </si>
  <si>
    <t>Technical single points of failure across network, identity, DNS, cloud, databases, integrations and support teams is measured, periodically reviewed, integrated with related processes and tested against relevant disruption scenarios.</t>
  </si>
  <si>
    <t>Technical single points of failure across network, identity, DNS, cloud, databases, integrations and support teams is optimized, continuously improved, automated where practical and demonstrably supports crisis resilience.</t>
  </si>
  <si>
    <t>Assign owner, collect evidence, assess gaps, define mitigation actions, and test technical single points of failure across network, identity, DNS, cloud, databases, integrations and support teams against scenarios: IT outage; Cloud outage; Data loss; Cyberattack.</t>
  </si>
  <si>
    <t>ITCL-005</t>
  </si>
  <si>
    <t>How mature is the organization in managing legacy system risk for vendor support, skills, security, integration and replacement options, including ownership, evidence, metrics, fallback procedures and crisis stress testing?</t>
  </si>
  <si>
    <t>Policy/SOP; owner/RACI; system report; dashboard; contracts; test records; incident history; interview evidence related to legacy system risk for vendor support, skills, security, integration and replacement options.</t>
  </si>
  <si>
    <t>No reliable evidence that legacy system risk for vendor support, skills, security, integration and replacement options is defined, owned or managed.</t>
  </si>
  <si>
    <t>Legacy system risk for vendor support, skills, security, integration and replacement options is handled informally and depends on individual knowledge or heroic effort.</t>
  </si>
  <si>
    <t>Legacy system risk for vendor support, skills, security, integration and replacement options is partially documented or implemented, but coverage is inconsistent and not crisis-tested.</t>
  </si>
  <si>
    <t>Legacy system risk for vendor support, skills, security, integration and replacement options is documented, owned, used in normal operations and supported by basic evidence or metrics.</t>
  </si>
  <si>
    <t>Legacy system risk for vendor support, skills, security, integration and replacement options is measured, periodically reviewed, integrated with related processes and tested against relevant disruption scenarios.</t>
  </si>
  <si>
    <t>Legacy system risk for vendor support, skills, security, integration and replacement options is optimized, continuously improved, automated where practical and demonstrably supports crisis resilience.</t>
  </si>
  <si>
    <t>Assign owner, collect evidence, assess gaps, define mitigation actions, and test legacy system risk for vendor support, skills, security, integration and replacement options against scenarios: IT outage; Cloud outage; Data loss; Cyberattack.</t>
  </si>
  <si>
    <t>ITCL-006</t>
  </si>
  <si>
    <t>How mature is the organization in managing technical debt register linked to resilience, security and business impact, including ownership, evidence, metrics, fallback procedures and crisis stress testing?</t>
  </si>
  <si>
    <t>Policy/SOP; owner/RACI; system report; dashboard; contracts; test records; incident history; interview evidence related to technical debt register linked to resilience, security and business impact.</t>
  </si>
  <si>
    <t>No reliable evidence that technical debt register linked to resilience, security and business impact is defined, owned or managed.</t>
  </si>
  <si>
    <t>Technical debt register linked to resilience, security and business impact is handled informally and depends on individual knowledge or heroic effort.</t>
  </si>
  <si>
    <t>Technical debt register linked to resilience, security and business impact is partially documented or implemented, but coverage is inconsistent and not crisis-tested.</t>
  </si>
  <si>
    <t>Technical debt register linked to resilience, security and business impact is documented, owned, used in normal operations and supported by basic evidence or metrics.</t>
  </si>
  <si>
    <t>Technical debt register linked to resilience, security and business impact is measured, periodically reviewed, integrated with related processes and tested against relevant disruption scenarios.</t>
  </si>
  <si>
    <t>Technical debt register linked to resilience, security and business impact is optimized, continuously improved, automated where practical and demonstrably supports crisis resilience.</t>
  </si>
  <si>
    <t>Assign owner, collect evidence, assess gaps, define mitigation actions, and test technical debt register linked to resilience, security and business impact against scenarios: IT outage; Cloud outage; Data loss; Cyberattack.</t>
  </si>
  <si>
    <t>ITCL-007</t>
  </si>
  <si>
    <t>How mature is the organization in managing cloud account, subscription or project governance with ownership, billing, IAM, tagging and guardrails, including ownership, evidence, metrics, fallback procedures and crisis stress testing?</t>
  </si>
  <si>
    <t>Policy/SOP; owner/RACI; system report; dashboard; contracts; test records; incident history; interview evidence related to cloud account, subscription or project governance with ownership, billing, IAM, tagging and guardrails.</t>
  </si>
  <si>
    <t>No reliable evidence that cloud account, subscription or project governance with ownership, billing, iam, tagging and guardrails is defined, owned or managed.</t>
  </si>
  <si>
    <t>Cloud account, subscription or project governance with ownership, billing, IAM, tagging and guardrails is handled informally and depends on individual knowledge or heroic effort.</t>
  </si>
  <si>
    <t>Cloud account, subscription or project governance with ownership, billing, IAM, tagging and guardrails is partially documented or implemented, but coverage is inconsistent and not crisis-tested.</t>
  </si>
  <si>
    <t>Cloud account, subscription or project governance with ownership, billing, IAM, tagging and guardrails is documented, owned, used in normal operations and supported by basic evidence or metrics.</t>
  </si>
  <si>
    <t>Cloud account, subscription or project governance with ownership, billing, IAM, tagging and guardrails is measured, periodically reviewed, integrated with related processes and tested against relevant disruption scenarios.</t>
  </si>
  <si>
    <t>Cloud account, subscription or project governance with ownership, billing, IAM, tagging and guardrails is optimized, continuously improved, automated where practical and demonstrably supports crisis resilience.</t>
  </si>
  <si>
    <t>Assign owner, collect evidence, assess gaps, define mitigation actions, and test cloud account, subscription or project governance with ownership, billing, IAM, tagging and guardrails against scenarios: IT outage; Cloud outage; Data loss; Cyberattack.</t>
  </si>
  <si>
    <t>ITCL-008</t>
  </si>
  <si>
    <t>How mature is the organization in managing cloud provider, SaaS, region and managed-service concentration risk, including ownership, evidence, metrics, fallback procedures and crisis stress testing?</t>
  </si>
  <si>
    <t>Policy/SOP; owner/RACI; system report; dashboard; contracts; test records; incident history; interview evidence related to cloud provider, SaaS, region and managed-service concentration risk.</t>
  </si>
  <si>
    <t>No reliable evidence that cloud provider, saas, region and managed-service concentration risk is defined, owned or managed.</t>
  </si>
  <si>
    <t>Cloud provider, SaaS, region and managed-service concentration risk is handled informally and depends on individual knowledge or heroic effort.</t>
  </si>
  <si>
    <t>Cloud provider, SaaS, region and managed-service concentration risk is partially documented or implemented, but coverage is inconsistent and not crisis-tested.</t>
  </si>
  <si>
    <t>Cloud provider, SaaS, region and managed-service concentration risk is documented, owned, used in normal operations and supported by basic evidence or metrics.</t>
  </si>
  <si>
    <t>Cloud provider, SaaS, region and managed-service concentration risk is measured, periodically reviewed, integrated with related processes and tested against relevant disruption scenarios.</t>
  </si>
  <si>
    <t>Cloud provider, SaaS, region and managed-service concentration risk is optimized, continuously improved, automated where practical and demonstrably supports crisis resilience.</t>
  </si>
  <si>
    <t>Assign owner, collect evidence, assess gaps, define mitigation actions, and test cloud provider, SaaS, region and managed-service concentration risk against scenarios: IT outage; Cloud outage; Data loss; Cyberattack.</t>
  </si>
  <si>
    <t>ITCL-009</t>
  </si>
  <si>
    <t>How mature is the organization in managing multi-region, multi-zone or failover design for critical cloud services where justified, including ownership, evidence, metrics, fallback procedures and crisis stress testing?</t>
  </si>
  <si>
    <t>Policy/SOP; owner/RACI; system report; dashboard; contracts; test records; incident history; interview evidence related to multi-region, multi-zone or failover design for critical cloud services where justified.</t>
  </si>
  <si>
    <t>No reliable evidence that multi-region, multi-zone or failover design for critical cloud services where justified is defined, owned or managed.</t>
  </si>
  <si>
    <t>Multi-region, multi-zone or failover design for critical cloud services where justified is handled informally and depends on individual knowledge or heroic effort.</t>
  </si>
  <si>
    <t>Multi-region, multi-zone or failover design for critical cloud services where justified is partially documented or implemented, but coverage is inconsistent and not crisis-tested.</t>
  </si>
  <si>
    <t>Multi-region, multi-zone or failover design for critical cloud services where justified is documented, owned, used in normal operations and supported by basic evidence or metrics.</t>
  </si>
  <si>
    <t>Multi-region, multi-zone or failover design for critical cloud services where justified is measured, periodically reviewed, integrated with related processes and tested against relevant disruption scenarios.</t>
  </si>
  <si>
    <t>Multi-region, multi-zone or failover design for critical cloud services where justified is optimized, continuously improved, automated where practical and demonstrably supports crisis resilience.</t>
  </si>
  <si>
    <t>Assign owner, collect evidence, assess gaps, define mitigation actions, and test multi-region, multi-zone or failover design for critical cloud services where justified against scenarios: IT outage; Cloud outage; Data loss; Cyberattack.</t>
  </si>
  <si>
    <t>ITCL-010</t>
  </si>
  <si>
    <t>How mature is the organization in managing cloud cost monitoring, budgets, alerts, forecasting and FinOps practices, including ownership, evidence, metrics, fallback procedures and crisis stress testing?</t>
  </si>
  <si>
    <t>Policy/SOP; owner/RACI; system report; dashboard; contracts; test records; incident history; interview evidence related to cloud cost monitoring, budgets, alerts, forecasting and FinOps practices.</t>
  </si>
  <si>
    <t>No reliable evidence that cloud cost monitoring, budgets, alerts, forecasting and finops practices is defined, owned or managed.</t>
  </si>
  <si>
    <t>Cloud cost monitoring, budgets, alerts, forecasting and FinOps practices is handled informally and depends on individual knowledge or heroic effort.</t>
  </si>
  <si>
    <t>Cloud cost monitoring, budgets, alerts, forecasting and FinOps practices is partially documented or implemented, but coverage is inconsistent and not crisis-tested.</t>
  </si>
  <si>
    <t>Cloud cost monitoring, budgets, alerts, forecasting and FinOps practices is documented, owned, used in normal operations and supported by basic evidence or metrics.</t>
  </si>
  <si>
    <t>Cloud cost monitoring, budgets, alerts, forecasting and FinOps practices is measured, periodically reviewed, integrated with related processes and tested against relevant disruption scenarios.</t>
  </si>
  <si>
    <t>Cloud cost monitoring, budgets, alerts, forecasting and FinOps practices is optimized, continuously improved, automated where practical and demonstrably supports crisis resilience.</t>
  </si>
  <si>
    <t>Assign owner, collect evidence, assess gaps, define mitigation actions, and test cloud cost monitoring, budgets, alerts, forecasting and FinOps practices against scenarios: IT outage; Cloud outage; Data loss; Cyberattack.</t>
  </si>
  <si>
    <t>ITCL-011</t>
  </si>
  <si>
    <t>How mature is the organization in managing cloud security posture management for public exposure, encryption, logging, secrets and misconfigurations, including ownership, evidence, metrics, fallback procedures and crisis stress testing?</t>
  </si>
  <si>
    <t>Policy/SOP; owner/RACI; system report; dashboard; contracts; test records; incident history; interview evidence related to cloud security posture management for public exposure, encryption, logging, secrets and misconfigurations.</t>
  </si>
  <si>
    <t>No reliable evidence that cloud security posture management for public exposure, encryption, logging, secrets and misconfigurations is defined, owned or managed.</t>
  </si>
  <si>
    <t>Cloud security posture management for public exposure, encryption, logging, secrets and misconfigurations is handled informally and depends on individual knowledge or heroic effort.</t>
  </si>
  <si>
    <t>Cloud security posture management for public exposure, encryption, logging, secrets and misconfigurations is partially documented or implemented, but coverage is inconsistent and not crisis-tested.</t>
  </si>
  <si>
    <t>Cloud security posture management for public exposure, encryption, logging, secrets and misconfigurations is documented, owned, used in normal operations and supported by basic evidence or metrics.</t>
  </si>
  <si>
    <t>Cloud security posture management for public exposure, encryption, logging, secrets and misconfigurations is measured, periodically reviewed, integrated with related processes and tested against relevant disruption scenarios.</t>
  </si>
  <si>
    <t>Cloud security posture management for public exposure, encryption, logging, secrets and misconfigurations is optimized, continuously improved, automated where practical and demonstrably supports crisis resilience.</t>
  </si>
  <si>
    <t>Assign owner, collect evidence, assess gaps, define mitigation actions, and test cloud security posture management for public exposure, encryption, logging, secrets and misconfigurations against scenarios: IT outage; Cloud outage; Data loss; Cyberattack.</t>
  </si>
  <si>
    <t>ITCL-012</t>
  </si>
  <si>
    <t>How mature is the organization in managing cloud backup and restore of configurations, data, infrastructure-as-code and managed services, including ownership, evidence, metrics, fallback procedures and crisis stress testing?</t>
  </si>
  <si>
    <t>Policy/SOP; owner/RACI; system report; dashboard; contracts; test records; incident history; interview evidence related to cloud backup and restore of configurations, data, infrastructure-as-code and managed services.</t>
  </si>
  <si>
    <t>No reliable evidence that cloud backup and restore of configurations, data, infrastructure-as-code and managed services is defined, owned or managed.</t>
  </si>
  <si>
    <t>Cloud backup and restore of configurations, data, infrastructure-as-code and managed services is handled informally and depends on individual knowledge or heroic effort.</t>
  </si>
  <si>
    <t>Cloud backup and restore of configurations, data, infrastructure-as-code and managed services is partially documented or implemented, but coverage is inconsistent and not crisis-tested.</t>
  </si>
  <si>
    <t>Cloud backup and restore of configurations, data, infrastructure-as-code and managed services is documented, owned, used in normal operations and supported by basic evidence or metrics.</t>
  </si>
  <si>
    <t>Cloud backup and restore of configurations, data, infrastructure-as-code and managed services is measured, periodically reviewed, integrated with related processes and tested against relevant disruption scenarios.</t>
  </si>
  <si>
    <t>Cloud backup and restore of configurations, data, infrastructure-as-code and managed services is optimized, continuously improved, automated where practical and demonstrably supports crisis resilience.</t>
  </si>
  <si>
    <t>Assign owner, collect evidence, assess gaps, define mitigation actions, and test cloud backup and restore of configurations, data, infrastructure-as-code and managed services against scenarios: IT outage; Cloud outage; Data loss; Cyberattack.</t>
  </si>
  <si>
    <t>ITCL-013</t>
  </si>
  <si>
    <t>How mature is the organization in managing backup coverage for systems, databases, files, SaaS data, configurations and cloud resources, including ownership, evidence, metrics, fallback procedures and crisis stress testing?</t>
  </si>
  <si>
    <t>Policy/SOP; owner/RACI; system report; dashboard; contracts; test records; incident history; interview evidence related to backup coverage for systems, databases, files, SaaS data, configurations and cloud resources.</t>
  </si>
  <si>
    <t>No reliable evidence that backup coverage for systems, databases, files, saas data, configurations and cloud resources is defined, owned or managed.</t>
  </si>
  <si>
    <t>Backup coverage for systems, databases, files, SaaS data, configurations and cloud resources is handled informally and depends on individual knowledge or heroic effort.</t>
  </si>
  <si>
    <t>Backup coverage for systems, databases, files, SaaS data, configurations and cloud resources is partially documented or implemented, but coverage is inconsistent and not crisis-tested.</t>
  </si>
  <si>
    <t>Backup coverage for systems, databases, files, SaaS data, configurations and cloud resources is documented, owned, used in normal operations and supported by basic evidence or metrics.</t>
  </si>
  <si>
    <t>Backup coverage for systems, databases, files, SaaS data, configurations and cloud resources is measured, periodically reviewed, integrated with related processes and tested against relevant disruption scenarios.</t>
  </si>
  <si>
    <t>Backup coverage for systems, databases, files, SaaS data, configurations and cloud resources is optimized, continuously improved, automated where practical and demonstrably supports crisis resilience.</t>
  </si>
  <si>
    <t>Assign owner, collect evidence, assess gaps, define mitigation actions, and test backup coverage for systems, databases, files, SaaS data, configurations and cloud resources against scenarios: IT outage; Cloud outage; Data loss; Cyberattack.</t>
  </si>
  <si>
    <t>ITCL-014</t>
  </si>
  <si>
    <t>How mature is the organization in managing regular restore testing against defined RTO and RPO, including ownership, evidence, metrics, fallback procedures and crisis stress testing?</t>
  </si>
  <si>
    <t>Policy/SOP; owner/RACI; system report; dashboard; contracts; test records; incident history; interview evidence related to regular restore testing against defined RTO and RPO.</t>
  </si>
  <si>
    <t>No reliable evidence that regular restore testing against defined rto and rpo is defined, owned or managed.</t>
  </si>
  <si>
    <t>Regular restore testing against defined RTO and RPO is handled informally and depends on individual knowledge or heroic effort.</t>
  </si>
  <si>
    <t>Regular restore testing against defined RTO and RPO is partially documented or implemented, but coverage is inconsistent and not crisis-tested.</t>
  </si>
  <si>
    <t>Regular restore testing against defined RTO and RPO is documented, owned, used in normal operations and supported by basic evidence or metrics.</t>
  </si>
  <si>
    <t>Regular restore testing against defined RTO and RPO is measured, periodically reviewed, integrated with related processes and tested against relevant disruption scenarios.</t>
  </si>
  <si>
    <t>Regular restore testing against defined RTO and RPO is optimized, continuously improved, automated where practical and demonstrably supports crisis resilience.</t>
  </si>
  <si>
    <t>Assign owner, collect evidence, assess gaps, define mitigation actions, and test regular restore testing against defined RTO and RPO against scenarios: IT outage; Cloud outage; Data loss; Cyberattack.</t>
  </si>
  <si>
    <t>ITCL-015</t>
  </si>
  <si>
    <t>How mature is the organization in managing DR runbooks for critical systems with owners, dependencies and communication rules, including ownership, evidence, metrics, fallback procedures and crisis stress testing?</t>
  </si>
  <si>
    <t>Policy/SOP; owner/RACI; system report; dashboard; contracts; test records; incident history; interview evidence related to DR runbooks for critical systems with owners, dependencies and communication rules.</t>
  </si>
  <si>
    <t>No reliable evidence that dr runbooks for critical systems with owners, dependencies and communication rules is defined, owned or managed.</t>
  </si>
  <si>
    <t>DR runbooks for critical systems with owners, dependencies and communication rules is handled informally and depends on individual knowledge or heroic effort.</t>
  </si>
  <si>
    <t>DR runbooks for critical systems with owners, dependencies and communication rules is partially documented or implemented, but coverage is inconsistent and not crisis-tested.</t>
  </si>
  <si>
    <t>DR runbooks for critical systems with owners, dependencies and communication rules is documented, owned, used in normal operations and supported by basic evidence or metrics.</t>
  </si>
  <si>
    <t>DR runbooks for critical systems with owners, dependencies and communication rules is measured, periodically reviewed, integrated with related processes and tested against relevant disruption scenarios.</t>
  </si>
  <si>
    <t>DR runbooks for critical systems with owners, dependencies and communication rules is optimized, continuously improved, automated where practical and demonstrably supports crisis resilience.</t>
  </si>
  <si>
    <t>Assign owner, collect evidence, assess gaps, define mitigation actions, and test DR runbooks for critical systems with owners, dependencies and communication rules against scenarios: IT outage; Cloud outage; Data loss; Cyberattack.</t>
  </si>
  <si>
    <t>ITCL-016</t>
  </si>
  <si>
    <t>How mature is the organization in managing DR exercises for ransomware, cloud region failure, identity outage and data corruption, including ownership, evidence, metrics, fallback procedures and crisis stress testing?</t>
  </si>
  <si>
    <t>Policy/SOP; owner/RACI; system report; dashboard; contracts; test records; incident history; interview evidence related to DR exercises for ransomware, cloud region failure, identity outage and data corruption.</t>
  </si>
  <si>
    <t>No reliable evidence that dr exercises for ransomware, cloud region failure, identity outage and data corruption is defined, owned or managed.</t>
  </si>
  <si>
    <t>DR exercises for ransomware, cloud region failure, identity outage and data corruption is handled informally and depends on individual knowledge or heroic effort.</t>
  </si>
  <si>
    <t>DR exercises for ransomware, cloud region failure, identity outage and data corruption is partially documented or implemented, but coverage is inconsistent and not crisis-tested.</t>
  </si>
  <si>
    <t>DR exercises for ransomware, cloud region failure, identity outage and data corruption is documented, owned, used in normal operations and supported by basic evidence or metrics.</t>
  </si>
  <si>
    <t>DR exercises for ransomware, cloud region failure, identity outage and data corruption is measured, periodically reviewed, integrated with related processes and tested against relevant disruption scenarios.</t>
  </si>
  <si>
    <t>DR exercises for ransomware, cloud region failure, identity outage and data corruption is optimized, continuously improved, automated where practical and demonstrably supports crisis resilience.</t>
  </si>
  <si>
    <t>Assign owner, collect evidence, assess gaps, define mitigation actions, and test DR exercises for ransomware, cloud region failure, identity outage and data corruption against scenarios: IT outage; Cloud outage; Data loss; Cyberattack.</t>
  </si>
  <si>
    <t>ITCL-017</t>
  </si>
  <si>
    <t>How mature is the organization in managing manual fallback for critical IT-dependent business processes, including ownership, evidence, metrics, fallback procedures and crisis stress testing?</t>
  </si>
  <si>
    <t>Policy/SOP; owner/RACI; system report; dashboard; contracts; test records; incident history; interview evidence related to manual fallback for critical IT-dependent business processes.</t>
  </si>
  <si>
    <t>No reliable evidence that manual fallback for critical it-dependent business processes is defined, owned or managed.</t>
  </si>
  <si>
    <t>Manual fallback for critical IT-dependent business processes is handled informally and depends on individual knowledge or heroic effort.</t>
  </si>
  <si>
    <t>Manual fallback for critical IT-dependent business processes is partially documented or implemented, but coverage is inconsistent and not crisis-tested.</t>
  </si>
  <si>
    <t>Manual fallback for critical IT-dependent business processes is documented, owned, used in normal operations and supported by basic evidence or metrics.</t>
  </si>
  <si>
    <t>Manual fallback for critical IT-dependent business processes is measured, periodically reviewed, integrated with related processes and tested against relevant disruption scenarios.</t>
  </si>
  <si>
    <t>Manual fallback for critical IT-dependent business processes is optimized, continuously improved, automated where practical and demonstrably supports crisis resilience.</t>
  </si>
  <si>
    <t>Assign owner, collect evidence, assess gaps, define mitigation actions, and test manual fallback for critical IT-dependent business processes against scenarios: IT outage; Cloud outage; Data loss; Cyberattack.</t>
  </si>
  <si>
    <t>ITCL-018</t>
  </si>
  <si>
    <t>How mature is the organization in managing on-call coverage, escalation and vendor support for critical systems, including ownership, evidence, metrics, fallback procedures and crisis stress testing?</t>
  </si>
  <si>
    <t>Policy/SOP; owner/RACI; system report; dashboard; contracts; test records; incident history; interview evidence related to on-call coverage, escalation and vendor support for critical systems.</t>
  </si>
  <si>
    <t>No reliable evidence that on-call coverage, escalation and vendor support for critical systems is defined, owned or managed.</t>
  </si>
  <si>
    <t>On-call coverage, escalation and vendor support for critical systems is handled informally and depends on individual knowledge or heroic effort.</t>
  </si>
  <si>
    <t>On-call coverage, escalation and vendor support for critical systems is partially documented or implemented, but coverage is inconsistent and not crisis-tested.</t>
  </si>
  <si>
    <t>On-call coverage, escalation and vendor support for critical systems is documented, owned, used in normal operations and supported by basic evidence or metrics.</t>
  </si>
  <si>
    <t>On-call coverage, escalation and vendor support for critical systems is measured, periodically reviewed, integrated with related processes and tested against relevant disruption scenarios.</t>
  </si>
  <si>
    <t>On-call coverage, escalation and vendor support for critical systems is optimized, continuously improved, automated where practical and demonstrably supports crisis resilience.</t>
  </si>
  <si>
    <t>Assign owner, collect evidence, assess gaps, define mitigation actions, and test on-call coverage, escalation and vendor support for critical systems against scenarios: IT outage; Cloud outage; Data loss; Cyberattack.</t>
  </si>
  <si>
    <t>ITCL-019</t>
  </si>
  <si>
    <t>How mature is the organization in managing IT service management for incidents, requests, problems, changes and assets, including ownership, evidence, metrics, fallback procedures and crisis stress testing?</t>
  </si>
  <si>
    <t>Policy/SOP; owner/RACI; system report; dashboard; contracts; test records; incident history; interview evidence related to IT service management for incidents, requests, problems, changes and assets.</t>
  </si>
  <si>
    <t>No reliable evidence that it service management for incidents, requests, problems, changes and assets is defined, owned or managed.</t>
  </si>
  <si>
    <t>IT service management for incidents, requests, problems, changes and assets is handled informally and depends on individual knowledge or heroic effort.</t>
  </si>
  <si>
    <t>IT service management for incidents, requests, problems, changes and assets is partially documented or implemented, but coverage is inconsistent and not crisis-tested.</t>
  </si>
  <si>
    <t>IT service management for incidents, requests, problems, changes and assets is documented, owned, used in normal operations and supported by basic evidence or metrics.</t>
  </si>
  <si>
    <t>IT service management for incidents, requests, problems, changes and assets is measured, periodically reviewed, integrated with related processes and tested against relevant disruption scenarios.</t>
  </si>
  <si>
    <t>IT service management for incidents, requests, problems, changes and assets is optimized, continuously improved, automated where practical and demonstrably supports crisis resilience.</t>
  </si>
  <si>
    <t>Assign owner, collect evidence, assess gaps, define mitigation actions, and test IT service management for incidents, requests, problems, changes and assets against scenarios: IT outage; Cloud outage; Data loss; Cyberattack.</t>
  </si>
  <si>
    <t>ITCL-020</t>
  </si>
  <si>
    <t>How mature is the organization in managing monitoring and alerting for availability, performance, capacity, security and user impact, including ownership, evidence, metrics, fallback procedures and crisis stress testing?</t>
  </si>
  <si>
    <t>Policy/SOP; owner/RACI; system report; dashboard; contracts; test records; incident history; interview evidence related to monitoring and alerting for availability, performance, capacity, security and user impact.</t>
  </si>
  <si>
    <t>No reliable evidence that monitoring and alerting for availability, performance, capacity, security and user impact is defined, owned or managed.</t>
  </si>
  <si>
    <t>Monitoring and alerting for availability, performance, capacity, security and user impact is handled informally and depends on individual knowledge or heroic effort.</t>
  </si>
  <si>
    <t>Monitoring and alerting for availability, performance, capacity, security and user impact is partially documented or implemented, but coverage is inconsistent and not crisis-tested.</t>
  </si>
  <si>
    <t>Monitoring and alerting for availability, performance, capacity, security and user impact is documented, owned, used in normal operations and supported by basic evidence or metrics.</t>
  </si>
  <si>
    <t>Monitoring and alerting for availability, performance, capacity, security and user impact is measured, periodically reviewed, integrated with related processes and tested against relevant disruption scenarios.</t>
  </si>
  <si>
    <t>Monitoring and alerting for availability, performance, capacity, security and user impact is optimized, continuously improved, automated where practical and demonstrably supports crisis resilience.</t>
  </si>
  <si>
    <t>Assign owner, collect evidence, assess gaps, define mitigation actions, and test monitoring and alerting for availability, performance, capacity, security and user impact against scenarios: IT outage; Cloud outage; Data loss; Cyberattack.</t>
  </si>
  <si>
    <t>ITCL-021</t>
  </si>
  <si>
    <t>How mature is the organization in managing network resilience for internet, DNS, firewalls, VPN/ZTNA, routing and telecom, including ownership, evidence, metrics, fallback procedures and crisis stress testing?</t>
  </si>
  <si>
    <t>Policy/SOP; owner/RACI; system report; dashboard; contracts; test records; incident history; interview evidence related to network resilience for internet, DNS, firewalls, VPN/ZTNA, routing and telecom.</t>
  </si>
  <si>
    <t>No reliable evidence that network resilience for internet, dns, firewalls, vpn/ztna, routing and telecom is defined, owned or managed.</t>
  </si>
  <si>
    <t>Network resilience for internet, DNS, firewalls, VPN/ZTNA, routing and telecom is handled informally and depends on individual knowledge or heroic effort.</t>
  </si>
  <si>
    <t>Network resilience for internet, DNS, firewalls, VPN/ZTNA, routing and telecom is partially documented or implemented, but coverage is inconsistent and not crisis-tested.</t>
  </si>
  <si>
    <t>Network resilience for internet, DNS, firewalls, VPN/ZTNA, routing and telecom is documented, owned, used in normal operations and supported by basic evidence or metrics.</t>
  </si>
  <si>
    <t>Network resilience for internet, DNS, firewalls, VPN/ZTNA, routing and telecom is measured, periodically reviewed, integrated with related processes and tested against relevant disruption scenarios.</t>
  </si>
  <si>
    <t>Network resilience for internet, DNS, firewalls, VPN/ZTNA, routing and telecom is optimized, continuously improved, automated where practical and demonstrably supports crisis resilience.</t>
  </si>
  <si>
    <t>Assign owner, collect evidence, assess gaps, define mitigation actions, and test network resilience for internet, DNS, firewalls, VPN/ZTNA, routing and telecom against scenarios: IT outage; Cloud outage; Data loss; Cyberattack.</t>
  </si>
  <si>
    <t>ITCL-022</t>
  </si>
  <si>
    <t>How mature is the organization in managing secure remote access for critical users during remote-only operations, including ownership, evidence, metrics, fallback procedures and crisis stress testing?</t>
  </si>
  <si>
    <t>Policy/SOP; owner/RACI; system report; dashboard; contracts; test records; incident history; interview evidence related to secure remote access for critical users during remote-only operations.</t>
  </si>
  <si>
    <t>No reliable evidence that secure remote access for critical users during remote-only operations is defined, owned or managed.</t>
  </si>
  <si>
    <t>Secure remote access for critical users during remote-only operations is handled informally and depends on individual knowledge or heroic effort.</t>
  </si>
  <si>
    <t>Secure remote access for critical users during remote-only operations is partially documented or implemented, but coverage is inconsistent and not crisis-tested.</t>
  </si>
  <si>
    <t>Secure remote access for critical users during remote-only operations is documented, owned, used in normal operations and supported by basic evidence or metrics.</t>
  </si>
  <si>
    <t>Secure remote access for critical users during remote-only operations is measured, periodically reviewed, integrated with related processes and tested against relevant disruption scenarios.</t>
  </si>
  <si>
    <t>Secure remote access for critical users during remote-only operations is optimized, continuously improved, automated where practical and demonstrably supports crisis resilience.</t>
  </si>
  <si>
    <t>Assign owner, collect evidence, assess gaps, define mitigation actions, and test secure remote access for critical users during remote-only operations against scenarios: IT outage; Cloud outage; Data loss; Cyberattack.</t>
  </si>
  <si>
    <t>ITCL-023</t>
  </si>
  <si>
    <t>How mature is the organization in managing endpoint inventory, patching, encryption, backup and remote management, including ownership, evidence, metrics, fallback procedures and crisis stress testing?</t>
  </si>
  <si>
    <t>Policy/SOP; owner/RACI; system report; dashboard; contracts; test records; incident history; interview evidence related to endpoint inventory, patching, encryption, backup and remote management.</t>
  </si>
  <si>
    <t>No reliable evidence that endpoint inventory, patching, encryption, backup and remote management is defined, owned or managed.</t>
  </si>
  <si>
    <t>Endpoint inventory, patching, encryption, backup and remote management is handled informally and depends on individual knowledge or heroic effort.</t>
  </si>
  <si>
    <t>Endpoint inventory, patching, encryption, backup and remote management is partially documented or implemented, but coverage is inconsistent and not crisis-tested.</t>
  </si>
  <si>
    <t>Endpoint inventory, patching, encryption, backup and remote management is documented, owned, used in normal operations and supported by basic evidence or metrics.</t>
  </si>
  <si>
    <t>Endpoint inventory, patching, encryption, backup and remote management is measured, periodically reviewed, integrated with related processes and tested against relevant disruption scenarios.</t>
  </si>
  <si>
    <t>Endpoint inventory, patching, encryption, backup and remote management is optimized, continuously improved, automated where practical and demonstrably supports crisis resilience.</t>
  </si>
  <si>
    <t>Assign owner, collect evidence, assess gaps, define mitigation actions, and test endpoint inventory, patching, encryption, backup and remote management against scenarios: IT outage; Cloud outage; Data loss; Cyberattack.</t>
  </si>
  <si>
    <t>ITCL-024</t>
  </si>
  <si>
    <t>How mature is the organization in managing license continuity for software, cloud services and critical SaaS tools, including ownership, evidence, metrics, fallback procedures and crisis stress testing?</t>
  </si>
  <si>
    <t>Policy/SOP; owner/RACI; system report; dashboard; contracts; test records; incident history; interview evidence related to license continuity for software, cloud services and critical SaaS tools.</t>
  </si>
  <si>
    <t>No reliable evidence that license continuity for software, cloud services and critical saas tools is defined, owned or managed.</t>
  </si>
  <si>
    <t>License continuity for software, cloud services and critical SaaS tools is handled informally and depends on individual knowledge or heroic effort.</t>
  </si>
  <si>
    <t>License continuity for software, cloud services and critical SaaS tools is partially documented or implemented, but coverage is inconsistent and not crisis-tested.</t>
  </si>
  <si>
    <t>License continuity for software, cloud services and critical SaaS tools is documented, owned, used in normal operations and supported by basic evidence or metrics.</t>
  </si>
  <si>
    <t>License continuity for software, cloud services and critical SaaS tools is measured, periodically reviewed, integrated with related processes and tested against relevant disruption scenarios.</t>
  </si>
  <si>
    <t>License continuity for software, cloud services and critical SaaS tools is optimized, continuously improved, automated where practical and demonstrably supports crisis resilience.</t>
  </si>
  <si>
    <t>Assign owner, collect evidence, assess gaps, define mitigation actions, and test license continuity for software, cloud services and critical SaaS tools against scenarios: IT outage; Cloud outage; Data loss; Cyberattack.</t>
  </si>
  <si>
    <t>ITCL-025</t>
  </si>
  <si>
    <t>How mature is the organization in managing critical SaaS assessment for availability, export, backup, admin access, integrations and contract continuity, including ownership, evidence, metrics, fallback procedures and crisis stress testing?</t>
  </si>
  <si>
    <t>Policy/SOP; owner/RACI; system report; dashboard; contracts; test records; incident history; interview evidence related to critical SaaS assessment for availability, export, backup, admin access, integrations and contract continuity.</t>
  </si>
  <si>
    <t>No reliable evidence that critical saas assessment for availability, export, backup, admin access, integrations and contract continuity is defined, owned or managed.</t>
  </si>
  <si>
    <t>Critical SaaS assessment for availability, export, backup, admin access, integrations and contract continuity is handled informally and depends on individual knowledge or heroic effort.</t>
  </si>
  <si>
    <t>Critical SaaS assessment for availability, export, backup, admin access, integrations and contract continuity is partially documented or implemented, but coverage is inconsistent and not crisis-tested.</t>
  </si>
  <si>
    <t>Critical SaaS assessment for availability, export, backup, admin access, integrations and contract continuity is documented, owned, used in normal operations and supported by basic evidence or metrics.</t>
  </si>
  <si>
    <t>Critical SaaS assessment for availability, export, backup, admin access, integrations and contract continuity is measured, periodically reviewed, integrated with related processes and tested against relevant disruption scenarios.</t>
  </si>
  <si>
    <t>Critical SaaS assessment for availability, export, backup, admin access, integrations and contract continuity is optimized, continuously improved, automated where practical and demonstrably supports crisis resilience.</t>
  </si>
  <si>
    <t>Assign owner, collect evidence, assess gaps, define mitigation actions, and test critical SaaS assessment for availability, export, backup, admin access, integrations and contract continuity against scenarios: IT outage; Cloud outage; Data loss; Cyberattack.</t>
  </si>
  <si>
    <t>ITCL-026</t>
  </si>
  <si>
    <t>How mature is the organization in managing SaaS data backup or exportability if provider or account becomes unavailable, including ownership, evidence, metrics, fallback procedures and crisis stress testing?</t>
  </si>
  <si>
    <t>Policy/SOP; owner/RACI; system report; dashboard; contracts; test records; incident history; interview evidence related to SaaS data backup or exportability if provider or account becomes unavailable.</t>
  </si>
  <si>
    <t>No reliable evidence that saas data backup or exportability if provider or account becomes unavailable is defined, owned or managed.</t>
  </si>
  <si>
    <t>SaaS data backup or exportability if provider or account becomes unavailable is handled informally and depends on individual knowledge or heroic effort.</t>
  </si>
  <si>
    <t>SaaS data backup or exportability if provider or account becomes unavailable is partially documented or implemented, but coverage is inconsistent and not crisis-tested.</t>
  </si>
  <si>
    <t>SaaS data backup or exportability if provider or account becomes unavailable is documented, owned, used in normal operations and supported by basic evidence or metrics.</t>
  </si>
  <si>
    <t>SaaS data backup or exportability if provider or account becomes unavailable is measured, periodically reviewed, integrated with related processes and tested against relevant disruption scenarios.</t>
  </si>
  <si>
    <t>SaaS data backup or exportability if provider or account becomes unavailable is optimized, continuously improved, automated where practical and demonstrably supports crisis resilience.</t>
  </si>
  <si>
    <t>Assign owner, collect evidence, assess gaps, define mitigation actions, and test SaaS data backup or exportability if provider or account becomes unavailable against scenarios: IT outage; Cloud outage; Data loss; Cyberattack.</t>
  </si>
  <si>
    <t>ITCL-027</t>
  </si>
  <si>
    <t>How mature is the organization in managing API, ETL, middleware, file exchange and manual integration catalog, including ownership, evidence, metrics, fallback procedures and crisis stress testing?</t>
  </si>
  <si>
    <t>Policy/SOP; owner/RACI; system report; dashboard; contracts; test records; incident history; interview evidence related to API, ETL, middleware, file exchange and manual integration catalog.</t>
  </si>
  <si>
    <t>No reliable evidence that api, etl, middleware, file exchange and manual integration catalog is defined, owned or managed.</t>
  </si>
  <si>
    <t>API, ETL, middleware, file exchange and manual integration catalog is handled informally and depends on individual knowledge or heroic effort.</t>
  </si>
  <si>
    <t>API, ETL, middleware, file exchange and manual integration catalog is partially documented or implemented, but coverage is inconsistent and not crisis-tested.</t>
  </si>
  <si>
    <t>API, ETL, middleware, file exchange and manual integration catalog is documented, owned, used in normal operations and supported by basic evidence or metrics.</t>
  </si>
  <si>
    <t>API, ETL, middleware, file exchange and manual integration catalog is measured, periodically reviewed, integrated with related processes and tested against relevant disruption scenarios.</t>
  </si>
  <si>
    <t>API, ETL, middleware, file exchange and manual integration catalog is optimized, continuously improved, automated where practical and demonstrably supports crisis resilience.</t>
  </si>
  <si>
    <t>Assign owner, collect evidence, assess gaps, define mitigation actions, and test API, ETL, middleware, file exchange and manual integration catalog against scenarios: IT outage; Cloud outage; Data loss; Cyberattack.</t>
  </si>
  <si>
    <t>ITCL-028</t>
  </si>
  <si>
    <t>How mature is the organization in managing integration monitoring, retry, queue, reconciliation and fallback procedures, including ownership, evidence, metrics, fallback procedures and crisis stress testing?</t>
  </si>
  <si>
    <t>Policy/SOP; owner/RACI; system report; dashboard; contracts; test records; incident history; interview evidence related to integration monitoring, retry, queue, reconciliation and fallback procedures.</t>
  </si>
  <si>
    <t>No reliable evidence that integration monitoring, retry, queue, reconciliation and fallback procedures is defined, owned or managed.</t>
  </si>
  <si>
    <t>Integration monitoring, retry, queue, reconciliation and fallback procedures is handled informally and depends on individual knowledge or heroic effort.</t>
  </si>
  <si>
    <t>Integration monitoring, retry, queue, reconciliation and fallback procedures is partially documented or implemented, but coverage is inconsistent and not crisis-tested.</t>
  </si>
  <si>
    <t>Integration monitoring, retry, queue, reconciliation and fallback procedures is documented, owned, used in normal operations and supported by basic evidence or metrics.</t>
  </si>
  <si>
    <t>Integration monitoring, retry, queue, reconciliation and fallback procedures is measured, periodically reviewed, integrated with related processes and tested against relevant disruption scenarios.</t>
  </si>
  <si>
    <t>Integration monitoring, retry, queue, reconciliation and fallback procedures is optimized, continuously improved, automated where practical and demonstrably supports crisis resilience.</t>
  </si>
  <si>
    <t>Assign owner, collect evidence, assess gaps, define mitigation actions, and test integration monitoring, retry, queue, reconciliation and fallback procedures against scenarios: IT outage; Cloud outage; Data loss; Cyberattack.</t>
  </si>
  <si>
    <t>ITCL-029</t>
  </si>
  <si>
    <t>How mature is the organization in managing configuration management and version control for infrastructure, cloud and applications, including ownership, evidence, metrics, fallback procedures and crisis stress testing?</t>
  </si>
  <si>
    <t>Policy/SOP; owner/RACI; system report; dashboard; contracts; test records; incident history; interview evidence related to configuration management and version control for infrastructure, cloud and applications.</t>
  </si>
  <si>
    <t>No reliable evidence that configuration management and version control for infrastructure, cloud and applications is defined, owned or managed.</t>
  </si>
  <si>
    <t>Configuration management and version control for infrastructure, cloud and applications is handled informally and depends on individual knowledge or heroic effort.</t>
  </si>
  <si>
    <t>Configuration management and version control for infrastructure, cloud and applications is partially documented or implemented, but coverage is inconsistent and not crisis-tested.</t>
  </si>
  <si>
    <t>Configuration management and version control for infrastructure, cloud and applications is documented, owned, used in normal operations and supported by basic evidence or metrics.</t>
  </si>
  <si>
    <t>Configuration management and version control for infrastructure, cloud and applications is measured, periodically reviewed, integrated with related processes and tested against relevant disruption scenarios.</t>
  </si>
  <si>
    <t>Configuration management and version control for infrastructure, cloud and applications is optimized, continuously improved, automated where practical and demonstrably supports crisis resilience.</t>
  </si>
  <si>
    <t>Assign owner, collect evidence, assess gaps, define mitigation actions, and test configuration management and version control for infrastructure, cloud and applications against scenarios: IT outage; Cloud outage; Data loss; Cyberattack.</t>
  </si>
  <si>
    <t>Business Systems Assessment</t>
  </si>
  <si>
    <t>Purpose: assess how this domain affects crisis impact, continuity and resilience. Main references: COBIT; ITIL 4; ISO/IEC 27001; ISO/IEC 20000-1; ERP/CRM/MES/HRMS implementation practices.</t>
  </si>
  <si>
    <t>BUSI-001</t>
  </si>
  <si>
    <t>How mature is the organization in managing ERP process coverage for finance, procurement, inventory, orders, production or project accounting, including ownership, evidence, metrics, fallback procedures and crisis stress testing?</t>
  </si>
  <si>
    <t>This topic affects exposure to IT outage; Decision failure; Process disruption. It helps identify how disruption may impact operations, people, revenue, systems, legal exposure or recovery time.</t>
  </si>
  <si>
    <t>COBIT; ITIL 4; ISO/IEC 27001; ISO/IEC 20000-1; ERP/CRM/MES/HRMS implementation practices</t>
  </si>
  <si>
    <t>Policy/SOP; owner/RACI; system report; dashboard; contracts; test records; incident history; interview evidence related to ERP process coverage for finance, procurement, inventory, orders, production or project accounting.</t>
  </si>
  <si>
    <t>No reliable evidence that erp process coverage for finance, procurement, inventory, orders, production or project accounting is defined, owned or managed.</t>
  </si>
  <si>
    <t>ERP process coverage for finance, procurement, inventory, orders, production or project accounting is handled informally and depends on individual knowledge or heroic effort.</t>
  </si>
  <si>
    <t>ERP process coverage for finance, procurement, inventory, orders, production or project accounting is partially documented or implemented, but coverage is inconsistent and not crisis-tested.</t>
  </si>
  <si>
    <t>ERP process coverage for finance, procurement, inventory, orders, production or project accounting is documented, owned, used in normal operations and supported by basic evidence or metrics.</t>
  </si>
  <si>
    <t>ERP process coverage for finance, procurement, inventory, orders, production or project accounting is measured, periodically reviewed, integrated with related processes and tested against relevant disruption scenarios.</t>
  </si>
  <si>
    <t>ERP process coverage for finance, procurement, inventory, orders, production or project accounting is optimized, continuously improved, automated where practical and demonstrably supports crisis resilience.</t>
  </si>
  <si>
    <t>IT outage; Decision failure; Process disruption</t>
  </si>
  <si>
    <t>CIO / Business Systems</t>
  </si>
  <si>
    <t>Assign owner, collect evidence, assess gaps, define mitigation actions, and test ERP process coverage for finance, procurement, inventory, orders, production or project accounting against scenarios: IT outage; Decision failure; Process disruption.</t>
  </si>
  <si>
    <t>BUSI-002</t>
  </si>
  <si>
    <t>How mature is the organization in managing ERP master data governance for customers, suppliers, items, BOMs, chart of accounts, cost centers and pricing, including ownership, evidence, metrics, fallback procedures and crisis stress testing?</t>
  </si>
  <si>
    <t>Policy/SOP; owner/RACI; system report; dashboard; contracts; test records; incident history; interview evidence related to ERP master data governance for customers, suppliers, items, BOMs, chart of accounts, cost centers and pricing.</t>
  </si>
  <si>
    <t>No reliable evidence that erp master data governance for customers, suppliers, items, boms, chart of accounts, cost centers and pricing is defined, owned or managed.</t>
  </si>
  <si>
    <t>ERP master data governance for customers, suppliers, items, BOMs, chart of accounts, cost centers and pricing is handled informally and depends on individual knowledge or heroic effort.</t>
  </si>
  <si>
    <t>ERP master data governance for customers, suppliers, items, BOMs, chart of accounts, cost centers and pricing is partially documented or implemented, but coverage is inconsistent and not crisis-tested.</t>
  </si>
  <si>
    <t>ERP master data governance for customers, suppliers, items, BOMs, chart of accounts, cost centers and pricing is documented, owned, used in normal operations and supported by basic evidence or metrics.</t>
  </si>
  <si>
    <t>ERP master data governance for customers, suppliers, items, BOMs, chart of accounts, cost centers and pricing is measured, periodically reviewed, integrated with related processes and tested against relevant disruption scenarios.</t>
  </si>
  <si>
    <t>ERP master data governance for customers, suppliers, items, BOMs, chart of accounts, cost centers and pricing is optimized, continuously improved, automated where practical and demonstrably supports crisis resilience.</t>
  </si>
  <si>
    <t>Assign owner, collect evidence, assess gaps, define mitigation actions, and test ERP master data governance for customers, suppliers, items, BOMs, chart of accounts, cost centers and pricing against scenarios: IT outage; Decision failure; Process disruption.</t>
  </si>
  <si>
    <t>BUSI-003</t>
  </si>
  <si>
    <t>How mature is the organization in managing ERP access controls, approvals and segregation of duties, including ownership, evidence, metrics, fallback procedures and crisis stress testing?</t>
  </si>
  <si>
    <t>Policy/SOP; owner/RACI; system report; dashboard; contracts; test records; incident history; interview evidence related to ERP access controls, approvals and segregation of duties.</t>
  </si>
  <si>
    <t>No reliable evidence that erp access controls, approvals and segregation of duties is defined, owned or managed.</t>
  </si>
  <si>
    <t>ERP access controls, approvals and segregation of duties is handled informally and depends on individual knowledge or heroic effort.</t>
  </si>
  <si>
    <t>ERP access controls, approvals and segregation of duties is partially documented or implemented, but coverage is inconsistent and not crisis-tested.</t>
  </si>
  <si>
    <t>ERP access controls, approvals and segregation of duties is documented, owned, used in normal operations and supported by basic evidence or metrics.</t>
  </si>
  <si>
    <t>ERP access controls, approvals and segregation of duties is measured, periodically reviewed, integrated with related processes and tested against relevant disruption scenarios.</t>
  </si>
  <si>
    <t>ERP access controls, approvals and segregation of duties is optimized, continuously improved, automated where practical and demonstrably supports crisis resilience.</t>
  </si>
  <si>
    <t>Assign owner, collect evidence, assess gaps, define mitigation actions, and test ERP access controls, approvals and segregation of duties against scenarios: IT outage; Decision failure; Process disruption.</t>
  </si>
  <si>
    <t>BUSI-004</t>
  </si>
  <si>
    <t>How mature is the organization in managing ERP continuity with RTO, RPO, backup, vendor support and manual fallback, including ownership, evidence, metrics, fallback procedures and crisis stress testing?</t>
  </si>
  <si>
    <t>Policy/SOP; owner/RACI; system report; dashboard; contracts; test records; incident history; interview evidence related to ERP continuity with RTO, RPO, backup, vendor support and manual fallback.</t>
  </si>
  <si>
    <t>No reliable evidence that erp continuity with rto, rpo, backup, vendor support and manual fallback is defined, owned or managed.</t>
  </si>
  <si>
    <t>ERP continuity with RTO, RPO, backup, vendor support and manual fallback is handled informally and depends on individual knowledge or heroic effort.</t>
  </si>
  <si>
    <t>ERP continuity with RTO, RPO, backup, vendor support and manual fallback is partially documented or implemented, but coverage is inconsistent and not crisis-tested.</t>
  </si>
  <si>
    <t>ERP continuity with RTO, RPO, backup, vendor support and manual fallback is documented, owned, used in normal operations and supported by basic evidence or metrics.</t>
  </si>
  <si>
    <t>ERP continuity with RTO, RPO, backup, vendor support and manual fallback is measured, periodically reviewed, integrated with related processes and tested against relevant disruption scenarios.</t>
  </si>
  <si>
    <t>ERP continuity with RTO, RPO, backup, vendor support and manual fallback is optimized, continuously improved, automated where practical and demonstrably supports crisis resilience.</t>
  </si>
  <si>
    <t>Assign owner, collect evidence, assess gaps, define mitigation actions, and test ERP continuity with RTO, RPO, backup, vendor support and manual fallback against scenarios: IT outage; Decision failure; Process disruption.</t>
  </si>
  <si>
    <t>BUSI-005</t>
  </si>
  <si>
    <t>How mature is the organization in managing ERP workflow for procure-to-pay, order-to-cash, record-to-report and plan-to-produce where relevant, including ownership, evidence, metrics, fallback procedures and crisis stress testing?</t>
  </si>
  <si>
    <t>Policy/SOP; owner/RACI; system report; dashboard; contracts; test records; incident history; interview evidence related to ERP workflow for procure-to-pay, order-to-cash, record-to-report and plan-to-produce where relevant.</t>
  </si>
  <si>
    <t>No reliable evidence that erp workflow for procure-to-pay, order-to-cash, record-to-report and plan-to-produce where relevant is defined, owned or managed.</t>
  </si>
  <si>
    <t>ERP workflow for procure-to-pay, order-to-cash, record-to-report and plan-to-produce where relevant is handled informally and depends on individual knowledge or heroic effort.</t>
  </si>
  <si>
    <t>ERP workflow for procure-to-pay, order-to-cash, record-to-report and plan-to-produce where relevant is partially documented or implemented, but coverage is inconsistent and not crisis-tested.</t>
  </si>
  <si>
    <t>ERP workflow for procure-to-pay, order-to-cash, record-to-report and plan-to-produce where relevant is documented, owned, used in normal operations and supported by basic evidence or metrics.</t>
  </si>
  <si>
    <t>ERP workflow for procure-to-pay, order-to-cash, record-to-report and plan-to-produce where relevant is measured, periodically reviewed, integrated with related processes and tested against relevant disruption scenarios.</t>
  </si>
  <si>
    <t>ERP workflow for procure-to-pay, order-to-cash, record-to-report and plan-to-produce where relevant is optimized, continuously improved, automated where practical and demonstrably supports crisis resilience.</t>
  </si>
  <si>
    <t>Assign owner, collect evidence, assess gaps, define mitigation actions, and test ERP workflow for procure-to-pay, order-to-cash, record-to-report and plan-to-produce where relevant against scenarios: IT outage; Decision failure; Process disruption.</t>
  </si>
  <si>
    <t>BUSI-006</t>
  </si>
  <si>
    <t>How mature is the organization in managing CRM process coverage for lead-to-cash, customer ownership, pipeline, forecast and account management, including ownership, evidence, metrics, fallback procedures and crisis stress testing?</t>
  </si>
  <si>
    <t>Policy/SOP; owner/RACI; system report; dashboard; contracts; test records; incident history; interview evidence related to CRM process coverage for lead-to-cash, customer ownership, pipeline, forecast and account management.</t>
  </si>
  <si>
    <t>No reliable evidence that crm process coverage for lead-to-cash, customer ownership, pipeline, forecast and account management is defined, owned or managed.</t>
  </si>
  <si>
    <t>CRM process coverage for lead-to-cash, customer ownership, pipeline, forecast and account management is handled informally and depends on individual knowledge or heroic effort.</t>
  </si>
  <si>
    <t>CRM process coverage for lead-to-cash, customer ownership, pipeline, forecast and account management is partially documented or implemented, but coverage is inconsistent and not crisis-tested.</t>
  </si>
  <si>
    <t>CRM process coverage for lead-to-cash, customer ownership, pipeline, forecast and account management is documented, owned, used in normal operations and supported by basic evidence or metrics.</t>
  </si>
  <si>
    <t>CRM process coverage for lead-to-cash, customer ownership, pipeline, forecast and account management is measured, periodically reviewed, integrated with related processes and tested against relevant disruption scenarios.</t>
  </si>
  <si>
    <t>CRM process coverage for lead-to-cash, customer ownership, pipeline, forecast and account management is optimized, continuously improved, automated where practical and demonstrably supports crisis resilience.</t>
  </si>
  <si>
    <t>Assign owner, collect evidence, assess gaps, define mitigation actions, and test CRM process coverage for lead-to-cash, customer ownership, pipeline, forecast and account management against scenarios: IT outage; Decision failure; Process disruption.</t>
  </si>
  <si>
    <t>BUSI-007</t>
  </si>
  <si>
    <t>How mature is the organization in managing CRM integration with ERP, billing, support, ecommerce and marketing automation, including ownership, evidence, metrics, fallback procedures and crisis stress testing?</t>
  </si>
  <si>
    <t>Policy/SOP; owner/RACI; system report; dashboard; contracts; test records; incident history; interview evidence related to CRM integration with ERP, billing, support, ecommerce and marketing automation.</t>
  </si>
  <si>
    <t>No reliable evidence that crm integration with erp, billing, support, ecommerce and marketing automation is defined, owned or managed.</t>
  </si>
  <si>
    <t>CRM integration with ERP, billing, support, ecommerce and marketing automation is handled informally and depends on individual knowledge or heroic effort.</t>
  </si>
  <si>
    <t>CRM integration with ERP, billing, support, ecommerce and marketing automation is partially documented or implemented, but coverage is inconsistent and not crisis-tested.</t>
  </si>
  <si>
    <t>CRM integration with ERP, billing, support, ecommerce and marketing automation is documented, owned, used in normal operations and supported by basic evidence or metrics.</t>
  </si>
  <si>
    <t>CRM integration with ERP, billing, support, ecommerce and marketing automation is measured, periodically reviewed, integrated with related processes and tested against relevant disruption scenarios.</t>
  </si>
  <si>
    <t>CRM integration with ERP, billing, support, ecommerce and marketing automation is optimized, continuously improved, automated where practical and demonstrably supports crisis resilience.</t>
  </si>
  <si>
    <t>Assign owner, collect evidence, assess gaps, define mitigation actions, and test CRM integration with ERP, billing, support, ecommerce and marketing automation against scenarios: IT outage; Decision failure; Process disruption.</t>
  </si>
  <si>
    <t>BUSI-008</t>
  </si>
  <si>
    <t>How mature is the organization in managing ecommerce platform resilience for stock, orders, payments, taxes, fulfilment and customer notifications, including ownership, evidence, metrics, fallback procedures and crisis stress testing?</t>
  </si>
  <si>
    <t>Policy/SOP; owner/RACI; system report; dashboard; contracts; test records; incident history; interview evidence related to ecommerce platform resilience for stock, orders, payments, taxes, fulfilment and customer notifications.</t>
  </si>
  <si>
    <t>No reliable evidence that ecommerce platform resilience for stock, orders, payments, taxes, fulfilment and customer notifications is defined, owned or managed.</t>
  </si>
  <si>
    <t>Ecommerce platform resilience for stock, orders, payments, taxes, fulfilment and customer notifications is handled informally and depends on individual knowledge or heroic effort.</t>
  </si>
  <si>
    <t>Ecommerce platform resilience for stock, orders, payments, taxes, fulfilment and customer notifications is partially documented or implemented, but coverage is inconsistent and not crisis-tested.</t>
  </si>
  <si>
    <t>Ecommerce platform resilience for stock, orders, payments, taxes, fulfilment and customer notifications is documented, owned, used in normal operations and supported by basic evidence or metrics.</t>
  </si>
  <si>
    <t>Ecommerce platform resilience for stock, orders, payments, taxes, fulfilment and customer notifications is measured, periodically reviewed, integrated with related processes and tested against relevant disruption scenarios.</t>
  </si>
  <si>
    <t>Ecommerce platform resilience for stock, orders, payments, taxes, fulfilment and customer notifications is optimized, continuously improved, automated where practical and demonstrably supports crisis resilience.</t>
  </si>
  <si>
    <t>Assign owner, collect evidence, assess gaps, define mitigation actions, and test ecommerce platform resilience for stock, orders, payments, taxes, fulfilment and customer notifications against scenarios: IT outage; Decision failure; Process disruption.</t>
  </si>
  <si>
    <t>BUSI-009</t>
  </si>
  <si>
    <t>How mature is the organization in managing customer portal availability and data accuracy during disruption, including ownership, evidence, metrics, fallback procedures and crisis stress testing?</t>
  </si>
  <si>
    <t>Policy/SOP; owner/RACI; system report; dashboard; contracts; test records; incident history; interview evidence related to customer portal availability and data accuracy during disruption.</t>
  </si>
  <si>
    <t>No reliable evidence that customer portal availability and data accuracy during disruption is defined, owned or managed.</t>
  </si>
  <si>
    <t>Customer portal availability and data accuracy during disruption is handled informally and depends on individual knowledge or heroic effort.</t>
  </si>
  <si>
    <t>Customer portal availability and data accuracy during disruption is partially documented or implemented, but coverage is inconsistent and not crisis-tested.</t>
  </si>
  <si>
    <t>Customer portal availability and data accuracy during disruption is documented, owned, used in normal operations and supported by basic evidence or metrics.</t>
  </si>
  <si>
    <t>Customer portal availability and data accuracy during disruption is measured, periodically reviewed, integrated with related processes and tested against relevant disruption scenarios.</t>
  </si>
  <si>
    <t>Customer portal availability and data accuracy during disruption is optimized, continuously improved, automated where practical and demonstrably supports crisis resilience.</t>
  </si>
  <si>
    <t>Assign owner, collect evidence, assess gaps, define mitigation actions, and test customer portal availability and data accuracy during disruption against scenarios: IT outage; Decision failure; Process disruption.</t>
  </si>
  <si>
    <t>BUSI-010</t>
  </si>
  <si>
    <t>How mature is the organization in managing MES support for production orders, execution, traceability, downtime, quality and labor, including ownership, evidence, metrics, fallback procedures and crisis stress testing?</t>
  </si>
  <si>
    <t>Policy/SOP; owner/RACI; system report; dashboard; contracts; test records; incident history; interview evidence related to MES support for production orders, execution, traceability, downtime, quality and labor.</t>
  </si>
  <si>
    <t>No reliable evidence that mes support for production orders, execution, traceability, downtime, quality and labor is defined, owned or managed.</t>
  </si>
  <si>
    <t>MES support for production orders, execution, traceability, downtime, quality and labor is handled informally and depends on individual knowledge or heroic effort.</t>
  </si>
  <si>
    <t>MES support for production orders, execution, traceability, downtime, quality and labor is partially documented or implemented, but coverage is inconsistent and not crisis-tested.</t>
  </si>
  <si>
    <t>MES support for production orders, execution, traceability, downtime, quality and labor is documented, owned, used in normal operations and supported by basic evidence or metrics.</t>
  </si>
  <si>
    <t>MES support for production orders, execution, traceability, downtime, quality and labor is measured, periodically reviewed, integrated with related processes and tested against relevant disruption scenarios.</t>
  </si>
  <si>
    <t>MES support for production orders, execution, traceability, downtime, quality and labor is optimized, continuously improved, automated where practical and demonstrably supports crisis resilience.</t>
  </si>
  <si>
    <t>Assign owner, collect evidence, assess gaps, define mitigation actions, and test MES support for production orders, execution, traceability, downtime, quality and labor against scenarios: IT outage; Decision failure; Process disruption.</t>
  </si>
  <si>
    <t>BUSI-011</t>
  </si>
  <si>
    <t>How mature is the organization in managing MES-ERP integration for orders, inventory consumption, output and quality data, including ownership, evidence, metrics, fallback procedures and crisis stress testing?</t>
  </si>
  <si>
    <t>Policy/SOP; owner/RACI; system report; dashboard; contracts; test records; incident history; interview evidence related to MES-ERP integration for orders, inventory consumption, output and quality data.</t>
  </si>
  <si>
    <t>No reliable evidence that mes-erp integration for orders, inventory consumption, output and quality data is defined, owned or managed.</t>
  </si>
  <si>
    <t>MES-ERP integration for orders, inventory consumption, output and quality data is handled informally and depends on individual knowledge or heroic effort.</t>
  </si>
  <si>
    <t>MES-ERP integration for orders, inventory consumption, output and quality data is partially documented or implemented, but coverage is inconsistent and not crisis-tested.</t>
  </si>
  <si>
    <t>MES-ERP integration for orders, inventory consumption, output and quality data is documented, owned, used in normal operations and supported by basic evidence or metrics.</t>
  </si>
  <si>
    <t>MES-ERP integration for orders, inventory consumption, output and quality data is measured, periodically reviewed, integrated with related processes and tested against relevant disruption scenarios.</t>
  </si>
  <si>
    <t>MES-ERP integration for orders, inventory consumption, output and quality data is optimized, continuously improved, automated where practical and demonstrably supports crisis resilience.</t>
  </si>
  <si>
    <t>Assign owner, collect evidence, assess gaps, define mitigation actions, and test MES-ERP integration for orders, inventory consumption, output and quality data against scenarios: IT outage; Decision failure; Process disruption.</t>
  </si>
  <si>
    <t>BUSI-012</t>
  </si>
  <si>
    <t>How mature is the organization in managing WMS support for inventory movement, location, status, batch, picking, packing and cycle counts, including ownership, evidence, metrics, fallback procedures and crisis stress testing?</t>
  </si>
  <si>
    <t>Policy/SOP; owner/RACI; system report; dashboard; contracts; test records; incident history; interview evidence related to WMS support for inventory movement, location, status, batch, picking, packing and cycle counts.</t>
  </si>
  <si>
    <t>No reliable evidence that wms support for inventory movement, location, status, batch, picking, packing and cycle counts is defined, owned or managed.</t>
  </si>
  <si>
    <t>WMS support for inventory movement, location, status, batch, picking, packing and cycle counts is handled informally and depends on individual knowledge or heroic effort.</t>
  </si>
  <si>
    <t>WMS support for inventory movement, location, status, batch, picking, packing and cycle counts is partially documented or implemented, but coverage is inconsistent and not crisis-tested.</t>
  </si>
  <si>
    <t>WMS support for inventory movement, location, status, batch, picking, packing and cycle counts is documented, owned, used in normal operations and supported by basic evidence or metrics.</t>
  </si>
  <si>
    <t>WMS support for inventory movement, location, status, batch, picking, packing and cycle counts is measured, periodically reviewed, integrated with related processes and tested against relevant disruption scenarios.</t>
  </si>
  <si>
    <t>WMS support for inventory movement, location, status, batch, picking, packing and cycle counts is optimized, continuously improved, automated where practical and demonstrably supports crisis resilience.</t>
  </si>
  <si>
    <t>Assign owner, collect evidence, assess gaps, define mitigation actions, and test WMS support for inventory movement, location, status, batch, picking, packing and cycle counts against scenarios: IT outage; Decision failure; Process disruption.</t>
  </si>
  <si>
    <t>BUSI-013</t>
  </si>
  <si>
    <t>How mature is the organization in managing TMS support for carrier booking, route planning, tracking and delivery visibility, including ownership, evidence, metrics, fallback procedures and crisis stress testing?</t>
  </si>
  <si>
    <t>Policy/SOP; owner/RACI; system report; dashboard; contracts; test records; incident history; interview evidence related to TMS support for carrier booking, route planning, tracking and delivery visibility.</t>
  </si>
  <si>
    <t>No reliable evidence that tms support for carrier booking, route planning, tracking and delivery visibility is defined, owned or managed.</t>
  </si>
  <si>
    <t>TMS support for carrier booking, route planning, tracking and delivery visibility is handled informally and depends on individual knowledge or heroic effort.</t>
  </si>
  <si>
    <t>TMS support for carrier booking, route planning, tracking and delivery visibility is partially documented or implemented, but coverage is inconsistent and not crisis-tested.</t>
  </si>
  <si>
    <t>TMS support for carrier booking, route planning, tracking and delivery visibility is documented, owned, used in normal operations and supported by basic evidence or metrics.</t>
  </si>
  <si>
    <t>TMS support for carrier booking, route planning, tracking and delivery visibility is measured, periodically reviewed, integrated with related processes and tested against relevant disruption scenarios.</t>
  </si>
  <si>
    <t>TMS support for carrier booking, route planning, tracking and delivery visibility is optimized, continuously improved, automated where practical and demonstrably supports crisis resilience.</t>
  </si>
  <si>
    <t>Assign owner, collect evidence, assess gaps, define mitigation actions, and test TMS support for carrier booking, route planning, tracking and delivery visibility against scenarios: IT outage; Decision failure; Process disruption.</t>
  </si>
  <si>
    <t>BUSI-014</t>
  </si>
  <si>
    <t>How mature is the organization in managing HRMS coverage for employee records, roles, skills, absence, payroll inputs and emergency contacts, including ownership, evidence, metrics, fallback procedures and crisis stress testing?</t>
  </si>
  <si>
    <t>Policy/SOP; owner/RACI; system report; dashboard; contracts; test records; incident history; interview evidence related to HRMS coverage for employee records, roles, skills, absence, payroll inputs and emergency contacts.</t>
  </si>
  <si>
    <t>No reliable evidence that hrms coverage for employee records, roles, skills, absence, payroll inputs and emergency contacts is defined, owned or managed.</t>
  </si>
  <si>
    <t>HRMS coverage for employee records, roles, skills, absence, payroll inputs and emergency contacts is handled informally and depends on individual knowledge or heroic effort.</t>
  </si>
  <si>
    <t>HRMS coverage for employee records, roles, skills, absence, payroll inputs and emergency contacts is partially documented or implemented, but coverage is inconsistent and not crisis-tested.</t>
  </si>
  <si>
    <t>HRMS coverage for employee records, roles, skills, absence, payroll inputs and emergency contacts is documented, owned, used in normal operations and supported by basic evidence or metrics.</t>
  </si>
  <si>
    <t>HRMS coverage for employee records, roles, skills, absence, payroll inputs and emergency contacts is measured, periodically reviewed, integrated with related processes and tested against relevant disruption scenarios.</t>
  </si>
  <si>
    <t>HRMS coverage for employee records, roles, skills, absence, payroll inputs and emergency contacts is optimized, continuously improved, automated where practical and demonstrably supports crisis resilience.</t>
  </si>
  <si>
    <t>Assign owner, collect evidence, assess gaps, define mitigation actions, and test HRMS coverage for employee records, roles, skills, absence, payroll inputs and emergency contacts against scenarios: IT outage; Decision failure; Process disruption.</t>
  </si>
  <si>
    <t>BUSI-015</t>
  </si>
  <si>
    <t>How mature is the organization in managing HRMS data quality for employee location, manager, emergency contacts and criticality, including ownership, evidence, metrics, fallback procedures and crisis stress testing?</t>
  </si>
  <si>
    <t>Policy/SOP; owner/RACI; system report; dashboard; contracts; test records; incident history; interview evidence related to HRMS data quality for employee location, manager, emergency contacts and criticality.</t>
  </si>
  <si>
    <t>No reliable evidence that hrms data quality for employee location, manager, emergency contacts and criticality is defined, owned or managed.</t>
  </si>
  <si>
    <t>HRMS data quality for employee location, manager, emergency contacts and criticality is handled informally and depends on individual knowledge or heroic effort.</t>
  </si>
  <si>
    <t>HRMS data quality for employee location, manager, emergency contacts and criticality is partially documented or implemented, but coverage is inconsistent and not crisis-tested.</t>
  </si>
  <si>
    <t>HRMS data quality for employee location, manager, emergency contacts and criticality is documented, owned, used in normal operations and supported by basic evidence or metrics.</t>
  </si>
  <si>
    <t>HRMS data quality for employee location, manager, emergency contacts and criticality is measured, periodically reviewed, integrated with related processes and tested against relevant disruption scenarios.</t>
  </si>
  <si>
    <t>HRMS data quality for employee location, manager, emergency contacts and criticality is optimized, continuously improved, automated where practical and demonstrably supports crisis resilience.</t>
  </si>
  <si>
    <t>Assign owner, collect evidence, assess gaps, define mitigation actions, and test HRMS data quality for employee location, manager, emergency contacts and criticality against scenarios: IT outage; Decision failure; Process disruption.</t>
  </si>
  <si>
    <t>BUSI-016</t>
  </si>
  <si>
    <t>How mature is the organization in managing finance, banking, expense, payroll and procurement system integration or reconciliation, including ownership, evidence, metrics, fallback procedures and crisis stress testing?</t>
  </si>
  <si>
    <t>Policy/SOP; owner/RACI; system report; dashboard; contracts; test records; incident history; interview evidence related to finance, banking, expense, payroll and procurement system integration or reconciliation.</t>
  </si>
  <si>
    <t>No reliable evidence that finance, banking, expense, payroll and procurement system integration or reconciliation is defined, owned or managed.</t>
  </si>
  <si>
    <t>Finance, banking, expense, payroll and procurement system integration or reconciliation is handled informally and depends on individual knowledge or heroic effort.</t>
  </si>
  <si>
    <t>Finance, banking, expense, payroll and procurement system integration or reconciliation is partially documented or implemented, but coverage is inconsistent and not crisis-tested.</t>
  </si>
  <si>
    <t>Finance, banking, expense, payroll and procurement system integration or reconciliation is documented, owned, used in normal operations and supported by basic evidence or metrics.</t>
  </si>
  <si>
    <t>Finance, banking, expense, payroll and procurement system integration or reconciliation is measured, periodically reviewed, integrated with related processes and tested against relevant disruption scenarios.</t>
  </si>
  <si>
    <t>Finance, banking, expense, payroll and procurement system integration or reconciliation is optimized, continuously improved, automated where practical and demonstrably supports crisis resilience.</t>
  </si>
  <si>
    <t>Assign owner, collect evidence, assess gaps, define mitigation actions, and test finance, banking, expense, payroll and procurement system integration or reconciliation against scenarios: IT outage; Decision failure; Process disruption.</t>
  </si>
  <si>
    <t>BUSI-017</t>
  </si>
  <si>
    <t>How mature is the organization in managing payroll system continuity and manual payroll fallback, including ownership, evidence, metrics, fallback procedures and crisis stress testing?</t>
  </si>
  <si>
    <t>Policy/SOP; owner/RACI; system report; dashboard; contracts; test records; incident history; interview evidence related to payroll system continuity and manual payroll fallback.</t>
  </si>
  <si>
    <t>No reliable evidence that payroll system continuity and manual payroll fallback is defined, owned or managed.</t>
  </si>
  <si>
    <t>Payroll system continuity and manual payroll fallback is handled informally and depends on individual knowledge or heroic effort.</t>
  </si>
  <si>
    <t>Payroll system continuity and manual payroll fallback is partially documented or implemented, but coverage is inconsistent and not crisis-tested.</t>
  </si>
  <si>
    <t>Payroll system continuity and manual payroll fallback is documented, owned, used in normal operations and supported by basic evidence or metrics.</t>
  </si>
  <si>
    <t>Payroll system continuity and manual payroll fallback is measured, periodically reviewed, integrated with related processes and tested against relevant disruption scenarios.</t>
  </si>
  <si>
    <t>Payroll system continuity and manual payroll fallback is optimized, continuously improved, automated where practical and demonstrably supports crisis resilience.</t>
  </si>
  <si>
    <t>Assign owner, collect evidence, assess gaps, define mitigation actions, and test payroll system continuity and manual payroll fallback against scenarios: IT outage; Decision failure; Process disruption.</t>
  </si>
  <si>
    <t>BUSI-018</t>
  </si>
  <si>
    <t>How mature is the organization in managing system ownership with business owner, technical owner, data owner and support owner, including ownership, evidence, metrics, fallback procedures and crisis stress testing?</t>
  </si>
  <si>
    <t>Policy/SOP; owner/RACI; system report; dashboard; contracts; test records; incident history; interview evidence related to system ownership with business owner, technical owner, data owner and support owner.</t>
  </si>
  <si>
    <t>No reliable evidence that system ownership with business owner, technical owner, data owner and support owner is defined, owned or managed.</t>
  </si>
  <si>
    <t>System ownership with business owner, technical owner, data owner and support owner is handled informally and depends on individual knowledge or heroic effort.</t>
  </si>
  <si>
    <t>System ownership with business owner, technical owner, data owner and support owner is partially documented or implemented, but coverage is inconsistent and not crisis-tested.</t>
  </si>
  <si>
    <t>System ownership with business owner, technical owner, data owner and support owner is documented, owned, used in normal operations and supported by basic evidence or metrics.</t>
  </si>
  <si>
    <t>System ownership with business owner, technical owner, data owner and support owner is measured, periodically reviewed, integrated with related processes and tested against relevant disruption scenarios.</t>
  </si>
  <si>
    <t>System ownership with business owner, technical owner, data owner and support owner is optimized, continuously improved, automated where practical and demonstrably supports crisis resilience.</t>
  </si>
  <si>
    <t>Assign owner, collect evidence, assess gaps, define mitigation actions, and test system ownership with business owner, technical owner, data owner and support owner against scenarios: IT outage; Decision failure; Process disruption.</t>
  </si>
  <si>
    <t>BUSI-019</t>
  </si>
  <si>
    <t>How mature is the organization in managing critical system lifecycle review for fit, cost, risk, security, scalability and replacement needs, including ownership, evidence, metrics, fallback procedures and crisis stress testing?</t>
  </si>
  <si>
    <t>Policy/SOP; owner/RACI; system report; dashboard; contracts; test records; incident history; interview evidence related to critical system lifecycle review for fit, cost, risk, security, scalability and replacement needs.</t>
  </si>
  <si>
    <t>No reliable evidence that critical system lifecycle review for fit, cost, risk, security, scalability and replacement needs is defined, owned or managed.</t>
  </si>
  <si>
    <t>Critical system lifecycle review for fit, cost, risk, security, scalability and replacement needs is handled informally and depends on individual knowledge or heroic effort.</t>
  </si>
  <si>
    <t>Critical system lifecycle review for fit, cost, risk, security, scalability and replacement needs is partially documented or implemented, but coverage is inconsistent and not crisis-tested.</t>
  </si>
  <si>
    <t>Critical system lifecycle review for fit, cost, risk, security, scalability and replacement needs is documented, owned, used in normal operations and supported by basic evidence or metrics.</t>
  </si>
  <si>
    <t>Critical system lifecycle review for fit, cost, risk, security, scalability and replacement needs is measured, periodically reviewed, integrated with related processes and tested against relevant disruption scenarios.</t>
  </si>
  <si>
    <t>Critical system lifecycle review for fit, cost, risk, security, scalability and replacement needs is optimized, continuously improved, automated where practical and demonstrably supports crisis resilience.</t>
  </si>
  <si>
    <t>Assign owner, collect evidence, assess gaps, define mitigation actions, and test critical system lifecycle review for fit, cost, risk, security, scalability and replacement needs against scenarios: IT outage; Decision failure; Process disruption.</t>
  </si>
  <si>
    <t>BUSI-020</t>
  </si>
  <si>
    <t>How mature is the organization in managing shadow IT inventory for business-critical spreadsheets, scripts, low-code apps and unmanaged SaaS, including ownership, evidence, metrics, fallback procedures and crisis stress testing?</t>
  </si>
  <si>
    <t>Policy/SOP; owner/RACI; system report; dashboard; contracts; test records; incident history; interview evidence related to shadow IT inventory for business-critical spreadsheets, scripts, low-code apps and unmanaged SaaS.</t>
  </si>
  <si>
    <t>No reliable evidence that shadow it inventory for business-critical spreadsheets, scripts, low-code apps and unmanaged saas is defined, owned or managed.</t>
  </si>
  <si>
    <t>Shadow IT inventory for business-critical spreadsheets, scripts, low-code apps and unmanaged SaaS is handled informally and depends on individual knowledge or heroic effort.</t>
  </si>
  <si>
    <t>Shadow IT inventory for business-critical spreadsheets, scripts, low-code apps and unmanaged SaaS is partially documented or implemented, but coverage is inconsistent and not crisis-tested.</t>
  </si>
  <si>
    <t>Shadow IT inventory for business-critical spreadsheets, scripts, low-code apps and unmanaged SaaS is documented, owned, used in normal operations and supported by basic evidence or metrics.</t>
  </si>
  <si>
    <t>Shadow IT inventory for business-critical spreadsheets, scripts, low-code apps and unmanaged SaaS is measured, periodically reviewed, integrated with related processes and tested against relevant disruption scenarios.</t>
  </si>
  <si>
    <t>Shadow IT inventory for business-critical spreadsheets, scripts, low-code apps and unmanaged SaaS is optimized, continuously improved, automated where practical and demonstrably supports crisis resilience.</t>
  </si>
  <si>
    <t>Assign owner, collect evidence, assess gaps, define mitigation actions, and test shadow IT inventory for business-critical spreadsheets, scripts, low-code apps and unmanaged SaaS against scenarios: IT outage; Decision failure; Process disruption.</t>
  </si>
  <si>
    <t>BUSI-021</t>
  </si>
  <si>
    <t>How mature is the organization in managing admin account governance across ERP, CRM, HRMS, MES, BI and SaaS tools, including ownership, evidence, metrics, fallback procedures and crisis stress testing?</t>
  </si>
  <si>
    <t>Policy/SOP; owner/RACI; system report; dashboard; contracts; test records; incident history; interview evidence related to admin account governance across ERP, CRM, HRMS, MES, BI and SaaS tools.</t>
  </si>
  <si>
    <t>No reliable evidence that admin account governance across erp, crm, hrms, mes, bi and saas tools is defined, owned or managed.</t>
  </si>
  <si>
    <t>Admin account governance across ERP, CRM, HRMS, MES, BI and SaaS tools is handled informally and depends on individual knowledge or heroic effort.</t>
  </si>
  <si>
    <t>Admin account governance across ERP, CRM, HRMS, MES, BI and SaaS tools is partially documented or implemented, but coverage is inconsistent and not crisis-tested.</t>
  </si>
  <si>
    <t>Admin account governance across ERP, CRM, HRMS, MES, BI and SaaS tools is documented, owned, used in normal operations and supported by basic evidence or metrics.</t>
  </si>
  <si>
    <t>Admin account governance across ERP, CRM, HRMS, MES, BI and SaaS tools is measured, periodically reviewed, integrated with related processes and tested against relevant disruption scenarios.</t>
  </si>
  <si>
    <t>Admin account governance across ERP, CRM, HRMS, MES, BI and SaaS tools is optimized, continuously improved, automated where practical and demonstrably supports crisis resilience.</t>
  </si>
  <si>
    <t>Assign owner, collect evidence, assess gaps, define mitigation actions, and test admin account governance across ERP, CRM, HRMS, MES, BI and SaaS tools against scenarios: IT outage; Decision failure; Process disruption.</t>
  </si>
  <si>
    <t>BUSI-022</t>
  </si>
  <si>
    <t>How mature is the organization in managing data portability and export procedures for critical systems, including ownership, evidence, metrics, fallback procedures and crisis stress testing?</t>
  </si>
  <si>
    <t>Policy/SOP; owner/RACI; system report; dashboard; contracts; test records; incident history; interview evidence related to data portability and export procedures for critical systems.</t>
  </si>
  <si>
    <t>No reliable evidence that data portability and export procedures for critical systems is defined, owned or managed.</t>
  </si>
  <si>
    <t>Data portability and export procedures for critical systems is handled informally and depends on individual knowledge or heroic effort.</t>
  </si>
  <si>
    <t>Data portability and export procedures for critical systems is partially documented or implemented, but coverage is inconsistent and not crisis-tested.</t>
  </si>
  <si>
    <t>Data portability and export procedures for critical systems is documented, owned, used in normal operations and supported by basic evidence or metrics.</t>
  </si>
  <si>
    <t>Data portability and export procedures for critical systems is measured, periodically reviewed, integrated with related processes and tested against relevant disruption scenarios.</t>
  </si>
  <si>
    <t>Data portability and export procedures for critical systems is optimized, continuously improved, automated where practical and demonstrably supports crisis resilience.</t>
  </si>
  <si>
    <t>Assign owner, collect evidence, assess gaps, define mitigation actions, and test data portability and export procedures for critical systems against scenarios: IT outage; Decision failure; Process disruption.</t>
  </si>
  <si>
    <t>BUSI-023</t>
  </si>
  <si>
    <t>How mature is the organization in managing configuration and customization documentation for critical business systems, including ownership, evidence, metrics, fallback procedures and crisis stress testing?</t>
  </si>
  <si>
    <t>Policy/SOP; owner/RACI; system report; dashboard; contracts; test records; incident history; interview evidence related to configuration and customization documentation for critical business systems.</t>
  </si>
  <si>
    <t>No reliable evidence that configuration and customization documentation for critical business systems is defined, owned or managed.</t>
  </si>
  <si>
    <t>Configuration and customization documentation for critical business systems is handled informally and depends on individual knowledge or heroic effort.</t>
  </si>
  <si>
    <t>Configuration and customization documentation for critical business systems is partially documented or implemented, but coverage is inconsistent and not crisis-tested.</t>
  </si>
  <si>
    <t>Configuration and customization documentation for critical business systems is documented, owned, used in normal operations and supported by basic evidence or metrics.</t>
  </si>
  <si>
    <t>Configuration and customization documentation for critical business systems is measured, periodically reviewed, integrated with related processes and tested against relevant disruption scenarios.</t>
  </si>
  <si>
    <t>Configuration and customization documentation for critical business systems is optimized, continuously improved, automated where practical and demonstrably supports crisis resilience.</t>
  </si>
  <si>
    <t>Assign owner, collect evidence, assess gaps, define mitigation actions, and test configuration and customization documentation for critical business systems against scenarios: IT outage; Decision failure; Process disruption.</t>
  </si>
  <si>
    <t>Data BI AI Assessment</t>
  </si>
  <si>
    <t>Purpose: assess how this domain affects crisis impact, continuity and resilience. Main references: DAMA-DMBOK; ISO/IEC 38505; ISO/IEC 42001; ISO/IEC 23894; NIST AI RMF; DCAM.</t>
  </si>
  <si>
    <t>DATA-001</t>
  </si>
  <si>
    <t>How mature is the organization in managing data owners and stewards for critical data domains, including ownership, evidence, metrics, fallback procedures and crisis stress testing?</t>
  </si>
  <si>
    <t>This topic affects exposure to Decision failure; Data loss; Regulatory/legal shock. It helps identify how disruption may impact operations, people, revenue, systems, legal exposure or recovery time.</t>
  </si>
  <si>
    <t>DAMA-DMBOK; ISO/IEC 38505; ISO/IEC 42001; ISO/IEC 23894; NIST AI RMF; DCAM</t>
  </si>
  <si>
    <t>Policy/SOP; owner/RACI; system report; dashboard; contracts; test records; incident history; interview evidence related to data owners and stewards for critical data domains.</t>
  </si>
  <si>
    <t>No reliable evidence that data owners and stewards for critical data domains is defined, owned or managed.</t>
  </si>
  <si>
    <t>Data owners and stewards for critical data domains is handled informally and depends on individual knowledge or heroic effort.</t>
  </si>
  <si>
    <t>Data owners and stewards for critical data domains is partially documented or implemented, but coverage is inconsistent and not crisis-tested.</t>
  </si>
  <si>
    <t>Data owners and stewards for critical data domains is documented, owned, used in normal operations and supported by basic evidence or metrics.</t>
  </si>
  <si>
    <t>Data owners and stewards for critical data domains is measured, periodically reviewed, integrated with related processes and tested against relevant disruption scenarios.</t>
  </si>
  <si>
    <t>Data owners and stewards for critical data domains is optimized, continuously improved, automated where practical and demonstrably supports crisis resilience.</t>
  </si>
  <si>
    <t>Decision failure; Data loss; Regulatory/legal shock</t>
  </si>
  <si>
    <t>CDO / BI / Analytics</t>
  </si>
  <si>
    <t>Assign owner, collect evidence, assess gaps, define mitigation actions, and test data owners and stewards for critical data domains against scenarios: Decision failure; Data loss; Regulatory/legal shock.</t>
  </si>
  <si>
    <t>DATA-002</t>
  </si>
  <si>
    <t>How mature is the organization in managing data catalog of critical datasets, reports, dashboards, data sources and users, including ownership, evidence, metrics, fallback procedures and crisis stress testing?</t>
  </si>
  <si>
    <t>Policy/SOP; owner/RACI; system report; dashboard; contracts; test records; incident history; interview evidence related to data catalog of critical datasets, reports, dashboards, data sources and users.</t>
  </si>
  <si>
    <t>No reliable evidence that data catalog of critical datasets, reports, dashboards, data sources and users is defined, owned or managed.</t>
  </si>
  <si>
    <t>Data catalog of critical datasets, reports, dashboards, data sources and users is handled informally and depends on individual knowledge or heroic effort.</t>
  </si>
  <si>
    <t>Data catalog of critical datasets, reports, dashboards, data sources and users is partially documented or implemented, but coverage is inconsistent and not crisis-tested.</t>
  </si>
  <si>
    <t>Data catalog of critical datasets, reports, dashboards, data sources and users is documented, owned, used in normal operations and supported by basic evidence or metrics.</t>
  </si>
  <si>
    <t>Data catalog of critical datasets, reports, dashboards, data sources and users is measured, periodically reviewed, integrated with related processes and tested against relevant disruption scenarios.</t>
  </si>
  <si>
    <t>Data catalog of critical datasets, reports, dashboards, data sources and users is optimized, continuously improved, automated where practical and demonstrably supports crisis resilience.</t>
  </si>
  <si>
    <t>Assign owner, collect evidence, assess gaps, define mitigation actions, and test data catalog of critical datasets, reports, dashboards, data sources and users against scenarios: Decision failure; Data loss; Regulatory/legal shock.</t>
  </si>
  <si>
    <t>DATA-003</t>
  </si>
  <si>
    <t>How mature is the organization in managing consistent metric definitions across finance, sales, operations, HR, supply chain and manufacturing, including ownership, evidence, metrics, fallback procedures and crisis stress testing?</t>
  </si>
  <si>
    <t>Policy/SOP; owner/RACI; system report; dashboard; contracts; test records; incident history; interview evidence related to consistent metric definitions across finance, sales, operations, HR, supply chain and manufacturing.</t>
  </si>
  <si>
    <t>No reliable evidence that consistent metric definitions across finance, sales, operations, hr, supply chain and manufacturing is defined, owned or managed.</t>
  </si>
  <si>
    <t>Consistent metric definitions across finance, sales, operations, HR, supply chain and manufacturing is handled informally and depends on individual knowledge or heroic effort.</t>
  </si>
  <si>
    <t>Consistent metric definitions across finance, sales, operations, HR, supply chain and manufacturing is partially documented or implemented, but coverage is inconsistent and not crisis-tested.</t>
  </si>
  <si>
    <t>Consistent metric definitions across finance, sales, operations, HR, supply chain and manufacturing is documented, owned, used in normal operations and supported by basic evidence or metrics.</t>
  </si>
  <si>
    <t>Consistent metric definitions across finance, sales, operations, HR, supply chain and manufacturing is measured, periodically reviewed, integrated with related processes and tested against relevant disruption scenarios.</t>
  </si>
  <si>
    <t>Consistent metric definitions across finance, sales, operations, HR, supply chain and manufacturing is optimized, continuously improved, automated where practical and demonstrably supports crisis resilience.</t>
  </si>
  <si>
    <t>Assign owner, collect evidence, assess gaps, define mitigation actions, and test consistent metric definitions across finance, sales, operations, HR, supply chain and manufacturing against scenarios: Decision failure; Data loss; Regulatory/legal shock.</t>
  </si>
  <si>
    <t>DATA-004</t>
  </si>
  <si>
    <t>How mature is the organization in managing data quality rules, monitoring and issue resolution process, including ownership, evidence, metrics, fallback procedures and crisis stress testing?</t>
  </si>
  <si>
    <t>Policy/SOP; owner/RACI; system report; dashboard; contracts; test records; incident history; interview evidence related to data quality rules, monitoring and issue resolution process.</t>
  </si>
  <si>
    <t>No reliable evidence that data quality rules, monitoring and issue resolution process is defined, owned or managed.</t>
  </si>
  <si>
    <t>Data quality rules, monitoring and issue resolution process is handled informally and depends on individual knowledge or heroic effort.</t>
  </si>
  <si>
    <t>Data quality rules, monitoring and issue resolution process is partially documented or implemented, but coverage is inconsistent and not crisis-tested.</t>
  </si>
  <si>
    <t>Data quality rules, monitoring and issue resolution process is documented, owned, used in normal operations and supported by basic evidence or metrics.</t>
  </si>
  <si>
    <t>Data quality rules, monitoring and issue resolution process is measured, periodically reviewed, integrated with related processes and tested against relevant disruption scenarios.</t>
  </si>
  <si>
    <t>Data quality rules, monitoring and issue resolution process is optimized, continuously improved, automated where practical and demonstrably supports crisis resilience.</t>
  </si>
  <si>
    <t>Assign owner, collect evidence, assess gaps, define mitigation actions, and test data quality rules, monitoring and issue resolution process against scenarios: Decision failure; Data loss; Regulatory/legal shock.</t>
  </si>
  <si>
    <t>DATA-005</t>
  </si>
  <si>
    <t>How mature is the organization in managing data classification by sensitivity, business criticality, privacy and retention requirement, including ownership, evidence, metrics, fallback procedures and crisis stress testing?</t>
  </si>
  <si>
    <t>Policy/SOP; owner/RACI; system report; dashboard; contracts; test records; incident history; interview evidence related to data classification by sensitivity, business criticality, privacy and retention requirement.</t>
  </si>
  <si>
    <t>No reliable evidence that data classification by sensitivity, business criticality, privacy and retention requirement is defined, owned or managed.</t>
  </si>
  <si>
    <t>Data classification by sensitivity, business criticality, privacy and retention requirement is handled informally and depends on individual knowledge or heroic effort.</t>
  </si>
  <si>
    <t>Data classification by sensitivity, business criticality, privacy and retention requirement is partially documented or implemented, but coverage is inconsistent and not crisis-tested.</t>
  </si>
  <si>
    <t>Data classification by sensitivity, business criticality, privacy and retention requirement is documented, owned, used in normal operations and supported by basic evidence or metrics.</t>
  </si>
  <si>
    <t>Data classification by sensitivity, business criticality, privacy and retention requirement is measured, periodically reviewed, integrated with related processes and tested against relevant disruption scenarios.</t>
  </si>
  <si>
    <t>Data classification by sensitivity, business criticality, privacy and retention requirement is optimized, continuously improved, automated where practical and demonstrably supports crisis resilience.</t>
  </si>
  <si>
    <t>Assign owner, collect evidence, assess gaps, define mitigation actions, and test data classification by sensitivity, business criticality, privacy and retention requirement against scenarios: Decision failure; Data loss; Regulatory/legal shock.</t>
  </si>
  <si>
    <t>DATA-006</t>
  </si>
  <si>
    <t>How mature is the organization in managing data access governance for datasets, warehouses, BI reports and analytics workspaces, including ownership, evidence, metrics, fallback procedures and crisis stress testing?</t>
  </si>
  <si>
    <t>Policy/SOP; owner/RACI; system report; dashboard; contracts; test records; incident history; interview evidence related to data access governance for datasets, warehouses, BI reports and analytics workspaces.</t>
  </si>
  <si>
    <t>No reliable evidence that data access governance for datasets, warehouses, bi reports and analytics workspaces is defined, owned or managed.</t>
  </si>
  <si>
    <t>Data access governance for datasets, warehouses, BI reports and analytics workspaces is handled informally and depends on individual knowledge or heroic effort.</t>
  </si>
  <si>
    <t>Data access governance for datasets, warehouses, BI reports and analytics workspaces is partially documented or implemented, but coverage is inconsistent and not crisis-tested.</t>
  </si>
  <si>
    <t>Data access governance for datasets, warehouses, BI reports and analytics workspaces is documented, owned, used in normal operations and supported by basic evidence or metrics.</t>
  </si>
  <si>
    <t>Data access governance for datasets, warehouses, BI reports and analytics workspaces is measured, periodically reviewed, integrated with related processes and tested against relevant disruption scenarios.</t>
  </si>
  <si>
    <t>Data access governance for datasets, warehouses, BI reports and analytics workspaces is optimized, continuously improved, automated where practical and demonstrably supports crisis resilience.</t>
  </si>
  <si>
    <t>Assign owner, collect evidence, assess gaps, define mitigation actions, and test data access governance for datasets, warehouses, BI reports and analytics workspaces against scenarios: Decision failure; Data loss; Regulatory/legal shock.</t>
  </si>
  <si>
    <t>DATA-007</t>
  </si>
  <si>
    <t>How mature is the organization in managing data architecture from source systems to warehouse, lake, BI, AI models and reports, including ownership, evidence, metrics, fallback procedures and crisis stress testing?</t>
  </si>
  <si>
    <t>Policy/SOP; owner/RACI; system report; dashboard; contracts; test records; incident history; interview evidence related to data architecture from source systems to warehouse, lake, BI, AI models and reports.</t>
  </si>
  <si>
    <t>No reliable evidence that data architecture from source systems to warehouse, lake, bi, ai models and reports is defined, owned or managed.</t>
  </si>
  <si>
    <t>Data architecture from source systems to warehouse, lake, BI, AI models and reports is handled informally and depends on individual knowledge or heroic effort.</t>
  </si>
  <si>
    <t>Data architecture from source systems to warehouse, lake, BI, AI models and reports is partially documented or implemented, but coverage is inconsistent and not crisis-tested.</t>
  </si>
  <si>
    <t>Data architecture from source systems to warehouse, lake, BI, AI models and reports is documented, owned, used in normal operations and supported by basic evidence or metrics.</t>
  </si>
  <si>
    <t>Data architecture from source systems to warehouse, lake, BI, AI models and reports is measured, periodically reviewed, integrated with related processes and tested against relevant disruption scenarios.</t>
  </si>
  <si>
    <t>Data architecture from source systems to warehouse, lake, BI, AI models and reports is optimized, continuously improved, automated where practical and demonstrably supports crisis resilience.</t>
  </si>
  <si>
    <t>Assign owner, collect evidence, assess gaps, define mitigation actions, and test data architecture from source systems to warehouse, lake, BI, AI models and reports against scenarios: Decision failure; Data loss; Regulatory/legal shock.</t>
  </si>
  <si>
    <t>DATA-008</t>
  </si>
  <si>
    <t>How mature is the organization in managing ETL or ELT monitoring for failures, latency, completeness and reconciliation, including ownership, evidence, metrics, fallback procedures and crisis stress testing?</t>
  </si>
  <si>
    <t>Policy/SOP; owner/RACI; system report; dashboard; contracts; test records; incident history; interview evidence related to ETL or ELT monitoring for failures, latency, completeness and reconciliation.</t>
  </si>
  <si>
    <t>No reliable evidence that etl or elt monitoring for failures, latency, completeness and reconciliation is defined, owned or managed.</t>
  </si>
  <si>
    <t>ETL or ELT monitoring for failures, latency, completeness and reconciliation is handled informally and depends on individual knowledge or heroic effort.</t>
  </si>
  <si>
    <t>ETL or ELT monitoring for failures, latency, completeness and reconciliation is partially documented or implemented, but coverage is inconsistent and not crisis-tested.</t>
  </si>
  <si>
    <t>ETL or ELT monitoring for failures, latency, completeness and reconciliation is documented, owned, used in normal operations and supported by basic evidence or metrics.</t>
  </si>
  <si>
    <t>ETL or ELT monitoring for failures, latency, completeness and reconciliation is measured, periodically reviewed, integrated with related processes and tested against relevant disruption scenarios.</t>
  </si>
  <si>
    <t>ETL or ELT monitoring for failures, latency, completeness and reconciliation is optimized, continuously improved, automated where practical and demonstrably supports crisis resilience.</t>
  </si>
  <si>
    <t>Assign owner, collect evidence, assess gaps, define mitigation actions, and test ETL or ELT monitoring for failures, latency, completeness and reconciliation against scenarios: Decision failure; Data loss; Regulatory/legal shock.</t>
  </si>
  <si>
    <t>DATA-009</t>
  </si>
  <si>
    <t>How mature is the organization in managing data lineage for critical KPIs, regulatory reports and board dashboards, including ownership, evidence, metrics, fallback procedures and crisis stress testing?</t>
  </si>
  <si>
    <t>Policy/SOP; owner/RACI; system report; dashboard; contracts; test records; incident history; interview evidence related to data lineage for critical KPIs, regulatory reports and board dashboards.</t>
  </si>
  <si>
    <t>No reliable evidence that data lineage for critical kpis, regulatory reports and board dashboards is defined, owned or managed.</t>
  </si>
  <si>
    <t>Data lineage for critical KPIs, regulatory reports and board dashboards is handled informally and depends on individual knowledge or heroic effort.</t>
  </si>
  <si>
    <t>Data lineage for critical KPIs, regulatory reports and board dashboards is partially documented or implemented, but coverage is inconsistent and not crisis-tested.</t>
  </si>
  <si>
    <t>Data lineage for critical KPIs, regulatory reports and board dashboards is documented, owned, used in normal operations and supported by basic evidence or metrics.</t>
  </si>
  <si>
    <t>Data lineage for critical KPIs, regulatory reports and board dashboards is measured, periodically reviewed, integrated with related processes and tested against relevant disruption scenarios.</t>
  </si>
  <si>
    <t>Data lineage for critical KPIs, regulatory reports and board dashboards is optimized, continuously improved, automated where practical and demonstrably supports crisis resilience.</t>
  </si>
  <si>
    <t>Assign owner, collect evidence, assess gaps, define mitigation actions, and test data lineage for critical KPIs, regulatory reports and board dashboards against scenarios: Decision failure; Data loss; Regulatory/legal shock.</t>
  </si>
  <si>
    <t>DATA-010</t>
  </si>
  <si>
    <t>How mature is the organization in managing backup and recovery for critical datasets, warehouses, BI content and analytics code, including ownership, evidence, metrics, fallback procedures and crisis stress testing?</t>
  </si>
  <si>
    <t>Policy/SOP; owner/RACI; system report; dashboard; contracts; test records; incident history; interview evidence related to backup and recovery for critical datasets, warehouses, BI content and analytics code.</t>
  </si>
  <si>
    <t>No reliable evidence that backup and recovery for critical datasets, warehouses, bi content and analytics code is defined, owned or managed.</t>
  </si>
  <si>
    <t>Backup and recovery for critical datasets, warehouses, BI content and analytics code is handled informally and depends on individual knowledge or heroic effort.</t>
  </si>
  <si>
    <t>Backup and recovery for critical datasets, warehouses, BI content and analytics code is partially documented or implemented, but coverage is inconsistent and not crisis-tested.</t>
  </si>
  <si>
    <t>Backup and recovery for critical datasets, warehouses, BI content and analytics code is documented, owned, used in normal operations and supported by basic evidence or metrics.</t>
  </si>
  <si>
    <t>Backup and recovery for critical datasets, warehouses, BI content and analytics code is measured, periodically reviewed, integrated with related processes and tested against relevant disruption scenarios.</t>
  </si>
  <si>
    <t>Backup and recovery for critical datasets, warehouses, BI content and analytics code is optimized, continuously improved, automated where practical and demonstrably supports crisis resilience.</t>
  </si>
  <si>
    <t>Assign owner, collect evidence, assess gaps, define mitigation actions, and test backup and recovery for critical datasets, warehouses, BI content and analytics code against scenarios: Decision failure; Data loss; Regulatory/legal shock.</t>
  </si>
  <si>
    <t>DATA-011</t>
  </si>
  <si>
    <t>How mature is the organization in managing retention and deletion rules for structured and unstructured data, including ownership, evidence, metrics, fallback procedures and crisis stress testing?</t>
  </si>
  <si>
    <t>Policy/SOP; owner/RACI; system report; dashboard; contracts; test records; incident history; interview evidence related to retention and deletion rules for structured and unstructured data.</t>
  </si>
  <si>
    <t>No reliable evidence that retention and deletion rules for structured and unstructured data is defined, owned or managed.</t>
  </si>
  <si>
    <t>Retention and deletion rules for structured and unstructured data is handled informally and depends on individual knowledge or heroic effort.</t>
  </si>
  <si>
    <t>Retention and deletion rules for structured and unstructured data is partially documented or implemented, but coverage is inconsistent and not crisis-tested.</t>
  </si>
  <si>
    <t>Retention and deletion rules for structured and unstructured data is documented, owned, used in normal operations and supported by basic evidence or metrics.</t>
  </si>
  <si>
    <t>Retention and deletion rules for structured and unstructured data is measured, periodically reviewed, integrated with related processes and tested against relevant disruption scenarios.</t>
  </si>
  <si>
    <t>Retention and deletion rules for structured and unstructured data is optimized, continuously improved, automated where practical and demonstrably supports crisis resilience.</t>
  </si>
  <si>
    <t>Assign owner, collect evidence, assess gaps, define mitigation actions, and test retention and deletion rules for structured and unstructured data against scenarios: Decision failure; Data loss; Regulatory/legal shock.</t>
  </si>
  <si>
    <t>DATA-012</t>
  </si>
  <si>
    <t>How mature is the organization in managing external data source validation for quality, licensing, availability and continuity, including ownership, evidence, metrics, fallback procedures and crisis stress testing?</t>
  </si>
  <si>
    <t>Policy/SOP; owner/RACI; system report; dashboard; contracts; test records; incident history; interview evidence related to external data source validation for quality, licensing, availability and continuity.</t>
  </si>
  <si>
    <t>No reliable evidence that external data source validation for quality, licensing, availability and continuity is defined, owned or managed.</t>
  </si>
  <si>
    <t>External data source validation for quality, licensing, availability and continuity is handled informally and depends on individual knowledge or heroic effort.</t>
  </si>
  <si>
    <t>External data source validation for quality, licensing, availability and continuity is partially documented or implemented, but coverage is inconsistent and not crisis-tested.</t>
  </si>
  <si>
    <t>External data source validation for quality, licensing, availability and continuity is documented, owned, used in normal operations and supported by basic evidence or metrics.</t>
  </si>
  <si>
    <t>External data source validation for quality, licensing, availability and continuity is measured, periodically reviewed, integrated with related processes and tested against relevant disruption scenarios.</t>
  </si>
  <si>
    <t>External data source validation for quality, licensing, availability and continuity is optimized, continuously improved, automated where practical and demonstrably supports crisis resilience.</t>
  </si>
  <si>
    <t>Assign owner, collect evidence, assess gaps, define mitigation actions, and test external data source validation for quality, licensing, availability and continuity against scenarios: Decision failure; Data loss; Regulatory/legal shock.</t>
  </si>
  <si>
    <t>DATA-013</t>
  </si>
  <si>
    <t>How mature is the organization in managing executive dashboards for crisis KPIs such as cash, workforce, supply, delivery, revenue and incidents, including ownership, evidence, metrics, fallback procedures and crisis stress testing?</t>
  </si>
  <si>
    <t>Policy/SOP; owner/RACI; system report; dashboard; contracts; test records; incident history; interview evidence related to executive dashboards for crisis KPIs such as cash, workforce, supply, delivery, revenue and incidents.</t>
  </si>
  <si>
    <t>No reliable evidence that executive dashboards for crisis kpis such as cash, workforce, supply, delivery, revenue and incidents is defined, owned or managed.</t>
  </si>
  <si>
    <t>Executive dashboards for crisis KPIs such as cash, workforce, supply, delivery, revenue and incidents is handled informally and depends on individual knowledge or heroic effort.</t>
  </si>
  <si>
    <t>Executive dashboards for crisis KPIs such as cash, workforce, supply, delivery, revenue and incidents is partially documented or implemented, but coverage is inconsistent and not crisis-tested.</t>
  </si>
  <si>
    <t>Executive dashboards for crisis KPIs such as cash, workforce, supply, delivery, revenue and incidents is documented, owned, used in normal operations and supported by basic evidence or metrics.</t>
  </si>
  <si>
    <t>Executive dashboards for crisis KPIs such as cash, workforce, supply, delivery, revenue and incidents is measured, periodically reviewed, integrated with related processes and tested against relevant disruption scenarios.</t>
  </si>
  <si>
    <t>Executive dashboards for crisis KPIs such as cash, workforce, supply, delivery, revenue and incidents is optimized, continuously improved, automated where practical and demonstrably supports crisis resilience.</t>
  </si>
  <si>
    <t>Assign owner, collect evidence, assess gaps, define mitigation actions, and test executive dashboards for crisis KPIs such as cash, workforce, supply, delivery, revenue and incidents against scenarios: Decision failure; Data loss; Regulatory/legal shock.</t>
  </si>
  <si>
    <t>DATA-014</t>
  </si>
  <si>
    <t>How mature is the organization in managing operational dashboards for daily management and crisis response, including ownership, evidence, metrics, fallback procedures and crisis stress testing?</t>
  </si>
  <si>
    <t>Policy/SOP; owner/RACI; system report; dashboard; contracts; test records; incident history; interview evidence related to operational dashboards for daily management and crisis response.</t>
  </si>
  <si>
    <t>No reliable evidence that operational dashboards for daily management and crisis response is defined, owned or managed.</t>
  </si>
  <si>
    <t>Operational dashboards for daily management and crisis response is handled informally and depends on individual knowledge or heroic effort.</t>
  </si>
  <si>
    <t>Operational dashboards for daily management and crisis response is partially documented or implemented, but coverage is inconsistent and not crisis-tested.</t>
  </si>
  <si>
    <t>Operational dashboards for daily management and crisis response is documented, owned, used in normal operations and supported by basic evidence or metrics.</t>
  </si>
  <si>
    <t>Operational dashboards for daily management and crisis response is measured, periodically reviewed, integrated with related processes and tested against relevant disruption scenarios.</t>
  </si>
  <si>
    <t>Operational dashboards for daily management and crisis response is optimized, continuously improved, automated where practical and demonstrably supports crisis resilience.</t>
  </si>
  <si>
    <t>Assign owner, collect evidence, assess gaps, define mitigation actions, and test operational dashboards for daily management and crisis response against scenarios: Decision failure; Data loss; Regulatory/legal shock.</t>
  </si>
  <si>
    <t>DATA-015</t>
  </si>
  <si>
    <t>How mature is the organization in managing single source of truth for critical reports instead of manually reconciled spreadsheets, including ownership, evidence, metrics, fallback procedures and crisis stress testing?</t>
  </si>
  <si>
    <t>Policy/SOP; owner/RACI; system report; dashboard; contracts; test records; incident history; interview evidence related to single source of truth for critical reports instead of manually reconciled spreadsheets.</t>
  </si>
  <si>
    <t>No reliable evidence that single source of truth for critical reports instead of manually reconciled spreadsheets is defined, owned or managed.</t>
  </si>
  <si>
    <t>Single source of truth for critical reports instead of manually reconciled spreadsheets is handled informally and depends on individual knowledge or heroic effort.</t>
  </si>
  <si>
    <t>Single source of truth for critical reports instead of manually reconciled spreadsheets is partially documented or implemented, but coverage is inconsistent and not crisis-tested.</t>
  </si>
  <si>
    <t>Single source of truth for critical reports instead of manually reconciled spreadsheets is documented, owned, used in normal operations and supported by basic evidence or metrics.</t>
  </si>
  <si>
    <t>Single source of truth for critical reports instead of manually reconciled spreadsheets is measured, periodically reviewed, integrated with related processes and tested against relevant disruption scenarios.</t>
  </si>
  <si>
    <t>Single source of truth for critical reports instead of manually reconciled spreadsheets is optimized, continuously improved, automated where practical and demonstrably supports crisis resilience.</t>
  </si>
  <si>
    <t>Assign owner, collect evidence, assess gaps, define mitigation actions, and test single source of truth for critical reports instead of manually reconciled spreadsheets against scenarios: Decision failure; Data loss; Regulatory/legal shock.</t>
  </si>
  <si>
    <t>DATA-016</t>
  </si>
  <si>
    <t>How mature is the organization in managing self-service analytics governance to avoid uncontrolled reporting, including ownership, evidence, metrics, fallback procedures and crisis stress testing?</t>
  </si>
  <si>
    <t>Policy/SOP; owner/RACI; system report; dashboard; contracts; test records; incident history; interview evidence related to self-service analytics governance to avoid uncontrolled reporting.</t>
  </si>
  <si>
    <t>No reliable evidence that self-service analytics governance to avoid uncontrolled reporting is defined, owned or managed.</t>
  </si>
  <si>
    <t>Self-service analytics governance to avoid uncontrolled reporting is handled informally and depends on individual knowledge or heroic effort.</t>
  </si>
  <si>
    <t>Self-service analytics governance to avoid uncontrolled reporting is partially documented or implemented, but coverage is inconsistent and not crisis-tested.</t>
  </si>
  <si>
    <t>Self-service analytics governance to avoid uncontrolled reporting is documented, owned, used in normal operations and supported by basic evidence or metrics.</t>
  </si>
  <si>
    <t>Self-service analytics governance to avoid uncontrolled reporting is measured, periodically reviewed, integrated with related processes and tested against relevant disruption scenarios.</t>
  </si>
  <si>
    <t>Self-service analytics governance to avoid uncontrolled reporting is optimized, continuously improved, automated where practical and demonstrably supports crisis resilience.</t>
  </si>
  <si>
    <t>Assign owner, collect evidence, assess gaps, define mitigation actions, and test self-service analytics governance to avoid uncontrolled reporting against scenarios: Decision failure; Data loss; Regulatory/legal shock.</t>
  </si>
  <si>
    <t>DATA-017</t>
  </si>
  <si>
    <t>How mature is the organization in managing rapid ad hoc crisis reporting without breaking data controls, including ownership, evidence, metrics, fallback procedures and crisis stress testing?</t>
  </si>
  <si>
    <t>Policy/SOP; owner/RACI; system report; dashboard; contracts; test records; incident history; interview evidence related to rapid ad hoc crisis reporting without breaking data controls.</t>
  </si>
  <si>
    <t>No reliable evidence that rapid ad hoc crisis reporting without breaking data controls is defined, owned or managed.</t>
  </si>
  <si>
    <t>Rapid ad hoc crisis reporting without breaking data controls is handled informally and depends on individual knowledge or heroic effort.</t>
  </si>
  <si>
    <t>Rapid ad hoc crisis reporting without breaking data controls is partially documented or implemented, but coverage is inconsistent and not crisis-tested.</t>
  </si>
  <si>
    <t>Rapid ad hoc crisis reporting without breaking data controls is documented, owned, used in normal operations and supported by basic evidence or metrics.</t>
  </si>
  <si>
    <t>Rapid ad hoc crisis reporting without breaking data controls is measured, periodically reviewed, integrated with related processes and tested against relevant disruption scenarios.</t>
  </si>
  <si>
    <t>Rapid ad hoc crisis reporting without breaking data controls is optimized, continuously improved, automated where practical and demonstrably supports crisis resilience.</t>
  </si>
  <si>
    <t>Assign owner, collect evidence, assess gaps, define mitigation actions, and test rapid ad hoc crisis reporting without breaking data controls against scenarios: Decision failure; Data loss; Regulatory/legal shock.</t>
  </si>
  <si>
    <t>DATA-018</t>
  </si>
  <si>
    <t>How mature is the organization in managing data literacy of managers and employees interpreting KPIs, forecasts and analytics, including ownership, evidence, metrics, fallback procedures and crisis stress testing?</t>
  </si>
  <si>
    <t>Policy/SOP; owner/RACI; system report; dashboard; contracts; test records; incident history; interview evidence related to data literacy of managers and employees interpreting KPIs, forecasts and analytics.</t>
  </si>
  <si>
    <t>No reliable evidence that data literacy of managers and employees interpreting kpis, forecasts and analytics is defined, owned or managed.</t>
  </si>
  <si>
    <t>Data literacy of managers and employees interpreting KPIs, forecasts and analytics is handled informally and depends on individual knowledge or heroic effort.</t>
  </si>
  <si>
    <t>Data literacy of managers and employees interpreting KPIs, forecasts and analytics is partially documented or implemented, but coverage is inconsistent and not crisis-tested.</t>
  </si>
  <si>
    <t>Data literacy of managers and employees interpreting KPIs, forecasts and analytics is documented, owned, used in normal operations and supported by basic evidence or metrics.</t>
  </si>
  <si>
    <t>Data literacy of managers and employees interpreting KPIs, forecasts and analytics is measured, periodically reviewed, integrated with related processes and tested against relevant disruption scenarios.</t>
  </si>
  <si>
    <t>Data literacy of managers and employees interpreting KPIs, forecasts and analytics is optimized, continuously improved, automated where practical and demonstrably supports crisis resilience.</t>
  </si>
  <si>
    <t>Assign owner, collect evidence, assess gaps, define mitigation actions, and test data literacy of managers and employees interpreting KPIs, forecasts and analytics against scenarios: Decision failure; Data loss; Regulatory/legal shock.</t>
  </si>
  <si>
    <t>DATA-019</t>
  </si>
  <si>
    <t>How mature is the organization in managing forecasting capability for demand, cash, inventory, workforce, production, churn or supplier risk, including ownership, evidence, metrics, fallback procedures and crisis stress testing?</t>
  </si>
  <si>
    <t>Policy/SOP; owner/RACI; system report; dashboard; contracts; test records; incident history; interview evidence related to forecasting capability for demand, cash, inventory, workforce, production, churn or supplier risk.</t>
  </si>
  <si>
    <t>No reliable evidence that forecasting capability for demand, cash, inventory, workforce, production, churn or supplier risk is defined, owned or managed.</t>
  </si>
  <si>
    <t>Forecasting capability for demand, cash, inventory, workforce, production, churn or supplier risk is handled informally and depends on individual knowledge or heroic effort.</t>
  </si>
  <si>
    <t>Forecasting capability for demand, cash, inventory, workforce, production, churn or supplier risk is partially documented or implemented, but coverage is inconsistent and not crisis-tested.</t>
  </si>
  <si>
    <t>Forecasting capability for demand, cash, inventory, workforce, production, churn or supplier risk is documented, owned, used in normal operations and supported by basic evidence or metrics.</t>
  </si>
  <si>
    <t>Forecasting capability for demand, cash, inventory, workforce, production, churn or supplier risk is measured, periodically reviewed, integrated with related processes and tested against relevant disruption scenarios.</t>
  </si>
  <si>
    <t>Forecasting capability for demand, cash, inventory, workforce, production, churn or supplier risk is optimized, continuously improved, automated where practical and demonstrably supports crisis resilience.</t>
  </si>
  <si>
    <t>Assign owner, collect evidence, assess gaps, define mitigation actions, and test forecasting capability for demand, cash, inventory, workforce, production, churn or supplier risk against scenarios: Decision failure; Data loss; Regulatory/legal shock.</t>
  </si>
  <si>
    <t>DATA-020</t>
  </si>
  <si>
    <t>How mature is the organization in managing scenario modeling using sales, suppliers, workforce, cash, inventory and system downtime, including ownership, evidence, metrics, fallback procedures and crisis stress testing?</t>
  </si>
  <si>
    <t>Policy/SOP; owner/RACI; system report; dashboard; contracts; test records; incident history; interview evidence related to scenario modeling using sales, suppliers, workforce, cash, inventory and system downtime.</t>
  </si>
  <si>
    <t>No reliable evidence that scenario modeling using sales, suppliers, workforce, cash, inventory and system downtime is defined, owned or managed.</t>
  </si>
  <si>
    <t>Scenario modeling using sales, suppliers, workforce, cash, inventory and system downtime is handled informally and depends on individual knowledge or heroic effort.</t>
  </si>
  <si>
    <t>Scenario modeling using sales, suppliers, workforce, cash, inventory and system downtime is partially documented or implemented, but coverage is inconsistent and not crisis-tested.</t>
  </si>
  <si>
    <t>Scenario modeling using sales, suppliers, workforce, cash, inventory and system downtime is documented, owned, used in normal operations and supported by basic evidence or metrics.</t>
  </si>
  <si>
    <t>Scenario modeling using sales, suppliers, workforce, cash, inventory and system downtime is measured, periodically reviewed, integrated with related processes and tested against relevant disruption scenarios.</t>
  </si>
  <si>
    <t>Scenario modeling using sales, suppliers, workforce, cash, inventory and system downtime is optimized, continuously improved, automated where practical and demonstrably supports crisis resilience.</t>
  </si>
  <si>
    <t>Assign owner, collect evidence, assess gaps, define mitigation actions, and test scenario modeling using sales, suppliers, workforce, cash, inventory and system downtime against scenarios: Decision failure; Data loss; Regulatory/legal shock.</t>
  </si>
  <si>
    <t>DATA-021</t>
  </si>
  <si>
    <t>How mature is the organization in managing leading indicators and early warnings built from internal and external data, including ownership, evidence, metrics, fallback procedures and crisis stress testing?</t>
  </si>
  <si>
    <t>Policy/SOP; owner/RACI; system report; dashboard; contracts; test records; incident history; interview evidence related to leading indicators and early warnings built from internal and external data.</t>
  </si>
  <si>
    <t>No reliable evidence that leading indicators and early warnings built from internal and external data is defined, owned or managed.</t>
  </si>
  <si>
    <t>Leading indicators and early warnings built from internal and external data is handled informally and depends on individual knowledge or heroic effort.</t>
  </si>
  <si>
    <t>Leading indicators and early warnings built from internal and external data is partially documented or implemented, but coverage is inconsistent and not crisis-tested.</t>
  </si>
  <si>
    <t>Leading indicators and early warnings built from internal and external data is documented, owned, used in normal operations and supported by basic evidence or metrics.</t>
  </si>
  <si>
    <t>Leading indicators and early warnings built from internal and external data is measured, periodically reviewed, integrated with related processes and tested against relevant disruption scenarios.</t>
  </si>
  <si>
    <t>Leading indicators and early warnings built from internal and external data is optimized, continuously improved, automated where practical and demonstrably supports crisis resilience.</t>
  </si>
  <si>
    <t>Assign owner, collect evidence, assess gaps, define mitigation actions, and test leading indicators and early warnings built from internal and external data against scenarios: Decision failure; Data loss; Regulatory/legal shock.</t>
  </si>
  <si>
    <t>DATA-022</t>
  </si>
  <si>
    <t>How mature is the organization in managing model validation and backtesting for forecasts and risk models, including ownership, evidence, metrics, fallback procedures and crisis stress testing?</t>
  </si>
  <si>
    <t>Policy/SOP; owner/RACI; system report; dashboard; contracts; test records; incident history; interview evidence related to model validation and backtesting for forecasts and risk models.</t>
  </si>
  <si>
    <t>No reliable evidence that model validation and backtesting for forecasts and risk models is defined, owned or managed.</t>
  </si>
  <si>
    <t>Model validation and backtesting for forecasts and risk models is handled informally and depends on individual knowledge or heroic effort.</t>
  </si>
  <si>
    <t>Model validation and backtesting for forecasts and risk models is partially documented or implemented, but coverage is inconsistent and not crisis-tested.</t>
  </si>
  <si>
    <t>Model validation and backtesting for forecasts and risk models is documented, owned, used in normal operations and supported by basic evidence or metrics.</t>
  </si>
  <si>
    <t>Model validation and backtesting for forecasts and risk models is measured, periodically reviewed, integrated with related processes and tested against relevant disruption scenarios.</t>
  </si>
  <si>
    <t>Model validation and backtesting for forecasts and risk models is optimized, continuously improved, automated where practical and demonstrably supports crisis resilience.</t>
  </si>
  <si>
    <t>Assign owner, collect evidence, assess gaps, define mitigation actions, and test model validation and backtesting for forecasts and risk models against scenarios: Decision failure; Data loss; Regulatory/legal shock.</t>
  </si>
  <si>
    <t>DATA-023</t>
  </si>
  <si>
    <t>How mature is the organization in managing AI and analytics use case portfolio linked to business value, risk and feasibility, including ownership, evidence, metrics, fallback procedures and crisis stress testing?</t>
  </si>
  <si>
    <t>Policy/SOP; owner/RACI; system report; dashboard; contracts; test records; incident history; interview evidence related to AI and analytics use case portfolio linked to business value, risk and feasibility.</t>
  </si>
  <si>
    <t>No reliable evidence that ai and analytics use case portfolio linked to business value, risk and feasibility is defined, owned or managed.</t>
  </si>
  <si>
    <t>AI and analytics use case portfolio linked to business value, risk and feasibility is handled informally and depends on individual knowledge or heroic effort.</t>
  </si>
  <si>
    <t>AI and analytics use case portfolio linked to business value, risk and feasibility is partially documented or implemented, but coverage is inconsistent and not crisis-tested.</t>
  </si>
  <si>
    <t>AI and analytics use case portfolio linked to business value, risk and feasibility is documented, owned, used in normal operations and supported by basic evidence or metrics.</t>
  </si>
  <si>
    <t>AI and analytics use case portfolio linked to business value, risk and feasibility is measured, periodically reviewed, integrated with related processes and tested against relevant disruption scenarios.</t>
  </si>
  <si>
    <t>AI and analytics use case portfolio linked to business value, risk and feasibility is optimized, continuously improved, automated where practical and demonstrably supports crisis resilience.</t>
  </si>
  <si>
    <t>Assign owner, collect evidence, assess gaps, define mitigation actions, and test AI and analytics use case portfolio linked to business value, risk and feasibility against scenarios: Decision failure; Data loss; Regulatory/legal shock.</t>
  </si>
  <si>
    <t>DATA-024</t>
  </si>
  <si>
    <t>How mature is the organization in managing AI governance for privacy, security, explainability, bias, human oversight and model risk, including ownership, evidence, metrics, fallback procedures and crisis stress testing?</t>
  </si>
  <si>
    <t>Policy/SOP; owner/RACI; system report; dashboard; contracts; test records; incident history; interview evidence related to AI governance for privacy, security, explainability, bias, human oversight and model risk.</t>
  </si>
  <si>
    <t>No reliable evidence that ai governance for privacy, security, explainability, bias, human oversight and model risk is defined, owned or managed.</t>
  </si>
  <si>
    <t>AI governance for privacy, security, explainability, bias, human oversight and model risk is handled informally and depends on individual knowledge or heroic effort.</t>
  </si>
  <si>
    <t>AI governance for privacy, security, explainability, bias, human oversight and model risk is partially documented or implemented, but coverage is inconsistent and not crisis-tested.</t>
  </si>
  <si>
    <t>AI governance for privacy, security, explainability, bias, human oversight and model risk is documented, owned, used in normal operations and supported by basic evidence or metrics.</t>
  </si>
  <si>
    <t>AI governance for privacy, security, explainability, bias, human oversight and model risk is measured, periodically reviewed, integrated with related processes and tested against relevant disruption scenarios.</t>
  </si>
  <si>
    <t>AI governance for privacy, security, explainability, bias, human oversight and model risk is optimized, continuously improved, automated where practical and demonstrably supports crisis resilience.</t>
  </si>
  <si>
    <t>Assign owner, collect evidence, assess gaps, define mitigation actions, and test AI governance for privacy, security, explainability, bias, human oversight and model risk against scenarios: Decision failure; Data loss; Regulatory/legal shock.</t>
  </si>
  <si>
    <t>DATA-025</t>
  </si>
  <si>
    <t>How mature is the organization in managing LLM usage policy covering data leakage, IP, accuracy, approval and acceptable use, including ownership, evidence, metrics, fallback procedures and crisis stress testing?</t>
  </si>
  <si>
    <t>Policy/SOP; owner/RACI; system report; dashboard; contracts; test records; incident history; interview evidence related to LLM usage policy covering data leakage, IP, accuracy, approval and acceptable use.</t>
  </si>
  <si>
    <t>No reliable evidence that llm usage policy covering data leakage, ip, accuracy, approval and acceptable use is defined, owned or managed.</t>
  </si>
  <si>
    <t>LLM usage policy covering data leakage, IP, accuracy, approval and acceptable use is handled informally and depends on individual knowledge or heroic effort.</t>
  </si>
  <si>
    <t>LLM usage policy covering data leakage, IP, accuracy, approval and acceptable use is partially documented or implemented, but coverage is inconsistent and not crisis-tested.</t>
  </si>
  <si>
    <t>LLM usage policy covering data leakage, IP, accuracy, approval and acceptable use is documented, owned, used in normal operations and supported by basic evidence or metrics.</t>
  </si>
  <si>
    <t>LLM usage policy covering data leakage, IP, accuracy, approval and acceptable use is measured, periodically reviewed, integrated with related processes and tested against relevant disruption scenarios.</t>
  </si>
  <si>
    <t>LLM usage policy covering data leakage, IP, accuracy, approval and acceptable use is optimized, continuously improved, automated where practical and demonstrably supports crisis resilience.</t>
  </si>
  <si>
    <t>Assign owner, collect evidence, assess gaps, define mitigation actions, and test LLM usage policy covering data leakage, IP, accuracy, approval and acceptable use against scenarios: Decision failure; Data loss; Regulatory/legal shock.</t>
  </si>
  <si>
    <t>DATA-026</t>
  </si>
  <si>
    <t>How mature is the organization in managing AI model register and monitoring for drift, accuracy, performance and business impact, including ownership, evidence, metrics, fallback procedures and crisis stress testing?</t>
  </si>
  <si>
    <t>Policy/SOP; owner/RACI; system report; dashboard; contracts; test records; incident history; interview evidence related to AI model register and monitoring for drift, accuracy, performance and business impact.</t>
  </si>
  <si>
    <t>No reliable evidence that ai model register and monitoring for drift, accuracy, performance and business impact is defined, owned or managed.</t>
  </si>
  <si>
    <t>AI model register and monitoring for drift, accuracy, performance and business impact is handled informally and depends on individual knowledge or heroic effort.</t>
  </si>
  <si>
    <t>AI model register and monitoring for drift, accuracy, performance and business impact is partially documented or implemented, but coverage is inconsistent and not crisis-tested.</t>
  </si>
  <si>
    <t>AI model register and monitoring for drift, accuracy, performance and business impact is documented, owned, used in normal operations and supported by basic evidence or metrics.</t>
  </si>
  <si>
    <t>AI model register and monitoring for drift, accuracy, performance and business impact is measured, periodically reviewed, integrated with related processes and tested against relevant disruption scenarios.</t>
  </si>
  <si>
    <t>AI model register and monitoring for drift, accuracy, performance and business impact is optimized, continuously improved, automated where practical and demonstrably supports crisis resilience.</t>
  </si>
  <si>
    <t>Assign owner, collect evidence, assess gaps, define mitigation actions, and test AI model register and monitoring for drift, accuracy, performance and business impact against scenarios: Decision failure; Data loss; Regulatory/legal shock.</t>
  </si>
  <si>
    <t>DATA-027</t>
  </si>
  <si>
    <t>How mature is the organization in managing responsible AI controls for customer-facing, employee-facing and decision-support use cases, including ownership, evidence, metrics, fallback procedures and crisis stress testing?</t>
  </si>
  <si>
    <t>Policy/SOP; owner/RACI; system report; dashboard; contracts; test records; incident history; interview evidence related to responsible AI controls for customer-facing, employee-facing and decision-support use cases.</t>
  </si>
  <si>
    <t>No reliable evidence that responsible ai controls for customer-facing, employee-facing and decision-support use cases is defined, owned or managed.</t>
  </si>
  <si>
    <t>Responsible AI controls for customer-facing, employee-facing and decision-support use cases is handled informally and depends on individual knowledge or heroic effort.</t>
  </si>
  <si>
    <t>Responsible AI controls for customer-facing, employee-facing and decision-support use cases is partially documented or implemented, but coverage is inconsistent and not crisis-tested.</t>
  </si>
  <si>
    <t>Responsible AI controls for customer-facing, employee-facing and decision-support use cases is documented, owned, used in normal operations and supported by basic evidence or metrics.</t>
  </si>
  <si>
    <t>Responsible AI controls for customer-facing, employee-facing and decision-support use cases is measured, periodically reviewed, integrated with related processes and tested against relevant disruption scenarios.</t>
  </si>
  <si>
    <t>Responsible AI controls for customer-facing, employee-facing and decision-support use cases is optimized, continuously improved, automated where practical and demonstrably supports crisis resilience.</t>
  </si>
  <si>
    <t>Assign owner, collect evidence, assess gaps, define mitigation actions, and test responsible AI controls for customer-facing, employee-facing and decision-support use cases against scenarios: Decision failure; Data loss; Regulatory/legal shock.</t>
  </si>
  <si>
    <t>Cyber Privacy Assessment</t>
  </si>
  <si>
    <t>Purpose: assess how this domain affects crisis impact, continuity and resilience. Main references: ISO/IEC 27001; ISO/IEC 27002; NIST CSF 2.0; CIS Controls; ISO/IEC 27701; GDPR; IEC 62443.</t>
  </si>
  <si>
    <t>CYBE-001</t>
  </si>
  <si>
    <t>How mature is the organization in managing information security management system with policies, owners, risks and controls, including ownership, evidence, metrics, fallback procedures and crisis stress testing?</t>
  </si>
  <si>
    <t>This topic affects exposure to Cyberattack; Data breach; Ransomware; Insider threat. It helps identify how disruption may impact operations, people, revenue, systems, legal exposure or recovery time.</t>
  </si>
  <si>
    <t>ISO/IEC 27001; ISO/IEC 27002; NIST CSF 2.0; CIS Controls; ISO/IEC 27701; GDPR; IEC 62443</t>
  </si>
  <si>
    <t>Policy/SOP; owner/RACI; system report; dashboard; contracts; test records; incident history; interview evidence related to information security management system with policies, owners, risks and controls.</t>
  </si>
  <si>
    <t>No reliable evidence that information security management system with policies, owners, risks and controls is defined, owned or managed.</t>
  </si>
  <si>
    <t>Information security management system with policies, owners, risks and controls is handled informally and depends on individual knowledge or heroic effort.</t>
  </si>
  <si>
    <t>Information security management system with policies, owners, risks and controls is partially documented or implemented, but coverage is inconsistent and not crisis-tested.</t>
  </si>
  <si>
    <t>Information security management system with policies, owners, risks and controls is documented, owned, used in normal operations and supported by basic evidence or metrics.</t>
  </si>
  <si>
    <t>Information security management system with policies, owners, risks and controls is measured, periodically reviewed, integrated with related processes and tested against relevant disruption scenarios.</t>
  </si>
  <si>
    <t>Information security management system with policies, owners, risks and controls is optimized, continuously improved, automated where practical and demonstrably supports crisis resilience.</t>
  </si>
  <si>
    <t>Cyberattack; Data breach; Ransomware; Insider threat</t>
  </si>
  <si>
    <t>CISO / IT Security</t>
  </si>
  <si>
    <t>Assign owner, collect evidence, assess gaps, define mitigation actions, and test information security management system with policies, owners, risks and controls against scenarios: Cyberattack; Data breach; Ransomware; Insider threat.</t>
  </si>
  <si>
    <t>CYBE-002</t>
  </si>
  <si>
    <t>How mature is the organization in managing cyber risk register linked to business impact and crisis scenarios, including ownership, evidence, metrics, fallback procedures and crisis stress testing?</t>
  </si>
  <si>
    <t>Policy/SOP; owner/RACI; system report; dashboard; contracts; test records; incident history; interview evidence related to cyber risk register linked to business impact and crisis scenarios.</t>
  </si>
  <si>
    <t>No reliable evidence that cyber risk register linked to business impact and crisis scenarios is defined, owned or managed.</t>
  </si>
  <si>
    <t>Cyber risk register linked to business impact and crisis scenarios is handled informally and depends on individual knowledge or heroic effort.</t>
  </si>
  <si>
    <t>Cyber risk register linked to business impact and crisis scenarios is partially documented or implemented, but coverage is inconsistent and not crisis-tested.</t>
  </si>
  <si>
    <t>Cyber risk register linked to business impact and crisis scenarios is documented, owned, used in normal operations and supported by basic evidence or metrics.</t>
  </si>
  <si>
    <t>Cyber risk register linked to business impact and crisis scenarios is measured, periodically reviewed, integrated with related processes and tested against relevant disruption scenarios.</t>
  </si>
  <si>
    <t>Cyber risk register linked to business impact and crisis scenarios is optimized, continuously improved, automated where practical and demonstrably supports crisis resilience.</t>
  </si>
  <si>
    <t>Assign owner, collect evidence, assess gaps, define mitigation actions, and test cyber risk register linked to business impact and crisis scenarios against scenarios: Cyberattack; Data breach; Ransomware; Insider threat.</t>
  </si>
  <si>
    <t>CYBE-003</t>
  </si>
  <si>
    <t>How mature is the organization in managing security KPI reporting to leadership covering vulnerabilities, incidents, MFA, phishing, backups and access reviews, including ownership, evidence, metrics, fallback procedures and crisis stress testing?</t>
  </si>
  <si>
    <t>Policy/SOP; owner/RACI; system report; dashboard; contracts; test records; incident history; interview evidence related to security KPI reporting to leadership covering vulnerabilities, incidents, MFA, phishing, backups and access reviews.</t>
  </si>
  <si>
    <t>No reliable evidence that security kpi reporting to leadership covering vulnerabilities, incidents, mfa, phishing, backups and access reviews is defined, owned or managed.</t>
  </si>
  <si>
    <t>Security KPI reporting to leadership covering vulnerabilities, incidents, MFA, phishing, backups and access reviews is handled informally and depends on individual knowledge or heroic effort.</t>
  </si>
  <si>
    <t>Security KPI reporting to leadership covering vulnerabilities, incidents, MFA, phishing, backups and access reviews is partially documented or implemented, but coverage is inconsistent and not crisis-tested.</t>
  </si>
  <si>
    <t>Security KPI reporting to leadership covering vulnerabilities, incidents, MFA, phishing, backups and access reviews is documented, owned, used in normal operations and supported by basic evidence or metrics.</t>
  </si>
  <si>
    <t>Security KPI reporting to leadership covering vulnerabilities, incidents, MFA, phishing, backups and access reviews is measured, periodically reviewed, integrated with related processes and tested against relevant disruption scenarios.</t>
  </si>
  <si>
    <t>Security KPI reporting to leadership covering vulnerabilities, incidents, MFA, phishing, backups and access reviews is optimized, continuously improved, automated where practical and demonstrably supports crisis resilience.</t>
  </si>
  <si>
    <t>Assign owner, collect evidence, assess gaps, define mitigation actions, and test security KPI reporting to leadership covering vulnerabilities, incidents, MFA, phishing, backups and access reviews against scenarios: Cyberattack; Data breach; Ransomware; Insider threat.</t>
  </si>
  <si>
    <t>CYBE-004</t>
  </si>
  <si>
    <t>How mature is the organization in managing security evidence readiness for customers, regulators, insurers and partners, including ownership, evidence, metrics, fallback procedures and crisis stress testing?</t>
  </si>
  <si>
    <t>Policy/SOP; owner/RACI; system report; dashboard; contracts; test records; incident history; interview evidence related to security evidence readiness for customers, regulators, insurers and partners.</t>
  </si>
  <si>
    <t>No reliable evidence that security evidence readiness for customers, regulators, insurers and partners is defined, owned or managed.</t>
  </si>
  <si>
    <t>Security evidence readiness for customers, regulators, insurers and partners is handled informally and depends on individual knowledge or heroic effort.</t>
  </si>
  <si>
    <t>Security evidence readiness for customers, regulators, insurers and partners is partially documented or implemented, but coverage is inconsistent and not crisis-tested.</t>
  </si>
  <si>
    <t>Security evidence readiness for customers, regulators, insurers and partners is documented, owned, used in normal operations and supported by basic evidence or metrics.</t>
  </si>
  <si>
    <t>Security evidence readiness for customers, regulators, insurers and partners is measured, periodically reviewed, integrated with related processes and tested against relevant disruption scenarios.</t>
  </si>
  <si>
    <t>Security evidence readiness for customers, regulators, insurers and partners is optimized, continuously improved, automated where practical and demonstrably supports crisis resilience.</t>
  </si>
  <si>
    <t>Assign owner, collect evidence, assess gaps, define mitigation actions, and test security evidence readiness for customers, regulators, insurers and partners against scenarios: Cyberattack; Data breach; Ransomware; Insider threat.</t>
  </si>
  <si>
    <t>CYBE-005</t>
  </si>
  <si>
    <t>How mature is the organization in managing third-party cyber risk assessment for critical vendors and outsourced services, including ownership, evidence, metrics, fallback procedures and crisis stress testing?</t>
  </si>
  <si>
    <t>Policy/SOP; owner/RACI; system report; dashboard; contracts; test records; incident history; interview evidence related to third-party cyber risk assessment for critical vendors and outsourced services.</t>
  </si>
  <si>
    <t>No reliable evidence that third-party cyber risk assessment for critical vendors and outsourced services is defined, owned or managed.</t>
  </si>
  <si>
    <t>Third-party cyber risk assessment for critical vendors and outsourced services is handled informally and depends on individual knowledge or heroic effort.</t>
  </si>
  <si>
    <t>Third-party cyber risk assessment for critical vendors and outsourced services is partially documented or implemented, but coverage is inconsistent and not crisis-tested.</t>
  </si>
  <si>
    <t>Third-party cyber risk assessment for critical vendors and outsourced services is documented, owned, used in normal operations and supported by basic evidence or metrics.</t>
  </si>
  <si>
    <t>Third-party cyber risk assessment for critical vendors and outsourced services is measured, periodically reviewed, integrated with related processes and tested against relevant disruption scenarios.</t>
  </si>
  <si>
    <t>Third-party cyber risk assessment for critical vendors and outsourced services is optimized, continuously improved, automated where practical and demonstrably supports crisis resilience.</t>
  </si>
  <si>
    <t>Assign owner, collect evidence, assess gaps, define mitigation actions, and test third-party cyber risk assessment for critical vendors and outsourced services against scenarios: Cyberattack; Data breach; Ransomware; Insider threat.</t>
  </si>
  <si>
    <t>CYBE-006</t>
  </si>
  <si>
    <t>How mature is the organization in managing security awareness and phishing training for employees and contractors, including ownership, evidence, metrics, fallback procedures and crisis stress testing?</t>
  </si>
  <si>
    <t>Policy/SOP; owner/RACI; system report; dashboard; contracts; test records; incident history; interview evidence related to security awareness and phishing training for employees and contractors.</t>
  </si>
  <si>
    <t>No reliable evidence that security awareness and phishing training for employees and contractors is defined, owned or managed.</t>
  </si>
  <si>
    <t>Security awareness and phishing training for employees and contractors is handled informally and depends on individual knowledge or heroic effort.</t>
  </si>
  <si>
    <t>Security awareness and phishing training for employees and contractors is partially documented or implemented, but coverage is inconsistent and not crisis-tested.</t>
  </si>
  <si>
    <t>Security awareness and phishing training for employees and contractors is documented, owned, used in normal operations and supported by basic evidence or metrics.</t>
  </si>
  <si>
    <t>Security awareness and phishing training for employees and contractors is measured, periodically reviewed, integrated with related processes and tested against relevant disruption scenarios.</t>
  </si>
  <si>
    <t>Security awareness and phishing training for employees and contractors is optimized, continuously improved, automated where practical and demonstrably supports crisis resilience.</t>
  </si>
  <si>
    <t>Assign owner, collect evidence, assess gaps, define mitigation actions, and test security awareness and phishing training for employees and contractors against scenarios: Cyberattack; Data breach; Ransomware; Insider threat.</t>
  </si>
  <si>
    <t>CYBE-007</t>
  </si>
  <si>
    <t>How mature is the organization in managing joiner-mover-leaver access lifecycle across systems, SaaS and physical access, including ownership, evidence, metrics, fallback procedures and crisis stress testing?</t>
  </si>
  <si>
    <t>Policy/SOP; owner/RACI; system report; dashboard; contracts; test records; incident history; interview evidence related to joiner-mover-leaver access lifecycle across systems, SaaS and physical access.</t>
  </si>
  <si>
    <t>No reliable evidence that joiner-mover-leaver access lifecycle across systems, saas and physical access is defined, owned or managed.</t>
  </si>
  <si>
    <t>Joiner-mover-leaver access lifecycle across systems, SaaS and physical access is handled informally and depends on individual knowledge or heroic effort.</t>
  </si>
  <si>
    <t>Joiner-mover-leaver access lifecycle across systems, SaaS and physical access is partially documented or implemented, but coverage is inconsistent and not crisis-tested.</t>
  </si>
  <si>
    <t>Joiner-mover-leaver access lifecycle across systems, SaaS and physical access is documented, owned, used in normal operations and supported by basic evidence or metrics.</t>
  </si>
  <si>
    <t>Joiner-mover-leaver access lifecycle across systems, SaaS and physical access is measured, periodically reviewed, integrated with related processes and tested against relevant disruption scenarios.</t>
  </si>
  <si>
    <t>Joiner-mover-leaver access lifecycle across systems, SaaS and physical access is optimized, continuously improved, automated where practical and demonstrably supports crisis resilience.</t>
  </si>
  <si>
    <t>Assign owner, collect evidence, assess gaps, define mitigation actions, and test joiner-mover-leaver access lifecycle across systems, SaaS and physical access against scenarios: Cyberattack; Data breach; Ransomware; Insider threat.</t>
  </si>
  <si>
    <t>CYBE-008</t>
  </si>
  <si>
    <t>How mature is the organization in managing MFA enforcement for email, cloud, VPN/ZTNA, admin accounts, finance systems and critical SaaS, including ownership, evidence, metrics, fallback procedures and crisis stress testing?</t>
  </si>
  <si>
    <t>Policy/SOP; owner/RACI; system report; dashboard; contracts; test records; incident history; interview evidence related to MFA enforcement for email, cloud, VPN/ZTNA, admin accounts, finance systems and critical SaaS.</t>
  </si>
  <si>
    <t>No reliable evidence that mfa enforcement for email, cloud, vpn/ztna, admin accounts, finance systems and critical saas is defined, owned or managed.</t>
  </si>
  <si>
    <t>MFA enforcement for email, cloud, VPN/ZTNA, admin accounts, finance systems and critical SaaS is handled informally and depends on individual knowledge or heroic effort.</t>
  </si>
  <si>
    <t>MFA enforcement for email, cloud, VPN/ZTNA, admin accounts, finance systems and critical SaaS is partially documented or implemented, but coverage is inconsistent and not crisis-tested.</t>
  </si>
  <si>
    <t>MFA enforcement for email, cloud, VPN/ZTNA, admin accounts, finance systems and critical SaaS is documented, owned, used in normal operations and supported by basic evidence or metrics.</t>
  </si>
  <si>
    <t>MFA enforcement for email, cloud, VPN/ZTNA, admin accounts, finance systems and critical SaaS is measured, periodically reviewed, integrated with related processes and tested against relevant disruption scenarios.</t>
  </si>
  <si>
    <t>MFA enforcement for email, cloud, VPN/ZTNA, admin accounts, finance systems and critical SaaS is optimized, continuously improved, automated where practical and demonstrably supports crisis resilience.</t>
  </si>
  <si>
    <t>Assign owner, collect evidence, assess gaps, define mitigation actions, and test MFA enforcement for email, cloud, VPN/ZTNA, admin accounts, finance systems and critical SaaS against scenarios: Cyberattack; Data breach; Ransomware; Insider threat.</t>
  </si>
  <si>
    <t>CYBE-009</t>
  </si>
  <si>
    <t>How mature is the organization in managing privileged access management for admin accounts and superusers, including ownership, evidence, metrics, fallback procedures and crisis stress testing?</t>
  </si>
  <si>
    <t>Policy/SOP; owner/RACI; system report; dashboard; contracts; test records; incident history; interview evidence related to privileged access management for admin accounts and superusers.</t>
  </si>
  <si>
    <t>No reliable evidence that privileged access management for admin accounts and superusers is defined, owned or managed.</t>
  </si>
  <si>
    <t>Privileged access management for admin accounts and superusers is handled informally and depends on individual knowledge or heroic effort.</t>
  </si>
  <si>
    <t>Privileged access management for admin accounts and superusers is partially documented or implemented, but coverage is inconsistent and not crisis-tested.</t>
  </si>
  <si>
    <t>Privileged access management for admin accounts and superusers is documented, owned, used in normal operations and supported by basic evidence or metrics.</t>
  </si>
  <si>
    <t>Privileged access management for admin accounts and superusers is measured, periodically reviewed, integrated with related processes and tested against relevant disruption scenarios.</t>
  </si>
  <si>
    <t>Privileged access management for admin accounts and superusers is optimized, continuously improved, automated where practical and demonstrably supports crisis resilience.</t>
  </si>
  <si>
    <t>Assign owner, collect evidence, assess gaps, define mitigation actions, and test privileged access management for admin accounts and superusers against scenarios: Cyberattack; Data breach; Ransomware; Insider threat.</t>
  </si>
  <si>
    <t>CYBE-010</t>
  </si>
  <si>
    <t>How mature is the organization in managing break-glass account control, monitoring and testing, including ownership, evidence, metrics, fallback procedures and crisis stress testing?</t>
  </si>
  <si>
    <t>Policy/SOP; owner/RACI; system report; dashboard; contracts; test records; incident history; interview evidence related to break-glass account control, monitoring and testing.</t>
  </si>
  <si>
    <t>No reliable evidence that break-glass account control, monitoring and testing is defined, owned or managed.</t>
  </si>
  <si>
    <t>Break-glass account control, monitoring and testing is handled informally and depends on individual knowledge or heroic effort.</t>
  </si>
  <si>
    <t>Break-glass account control, monitoring and testing is partially documented or implemented, but coverage is inconsistent and not crisis-tested.</t>
  </si>
  <si>
    <t>Break-glass account control, monitoring and testing is documented, owned, used in normal operations and supported by basic evidence or metrics.</t>
  </si>
  <si>
    <t>Break-glass account control, monitoring and testing is measured, periodically reviewed, integrated with related processes and tested against relevant disruption scenarios.</t>
  </si>
  <si>
    <t>Break-glass account control, monitoring and testing is optimized, continuously improved, automated where practical and demonstrably supports crisis resilience.</t>
  </si>
  <si>
    <t>Assign owner, collect evidence, assess gaps, define mitigation actions, and test break-glass account control, monitoring and testing against scenarios: Cyberattack; Data breach; Ransomware; Insider threat.</t>
  </si>
  <si>
    <t>CYBE-011</t>
  </si>
  <si>
    <t>How mature is the organization in managing third-party access that is limited, monitored, time-bound and reviewed, including ownership, evidence, metrics, fallback procedures and crisis stress testing?</t>
  </si>
  <si>
    <t>Policy/SOP; owner/RACI; system report; dashboard; contracts; test records; incident history; interview evidence related to third-party access that is limited, monitored, time-bound and reviewed.</t>
  </si>
  <si>
    <t>No reliable evidence that third-party access that is limited, monitored, time-bound and reviewed is defined, owned or managed.</t>
  </si>
  <si>
    <t>Third-party access that is limited, monitored, time-bound and reviewed is handled informally and depends on individual knowledge or heroic effort.</t>
  </si>
  <si>
    <t>Third-party access that is limited, monitored, time-bound and reviewed is partially documented or implemented, but coverage is inconsistent and not crisis-tested.</t>
  </si>
  <si>
    <t>Third-party access that is limited, monitored, time-bound and reviewed is documented, owned, used in normal operations and supported by basic evidence or metrics.</t>
  </si>
  <si>
    <t>Third-party access that is limited, monitored, time-bound and reviewed is measured, periodically reviewed, integrated with related processes and tested against relevant disruption scenarios.</t>
  </si>
  <si>
    <t>Third-party access that is limited, monitored, time-bound and reviewed is optimized, continuously improved, automated where practical and demonstrably supports crisis resilience.</t>
  </si>
  <si>
    <t>Assign owner, collect evidence, assess gaps, define mitigation actions, and test third-party access that is limited, monitored, time-bound and reviewed against scenarios: Cyberattack; Data breach; Ransomware; Insider threat.</t>
  </si>
  <si>
    <t>CYBE-012</t>
  </si>
  <si>
    <t>How mature is the organization in managing access reviews for critical systems, datasets, ERP, CRM, HRMS, MES and cloud, including ownership, evidence, metrics, fallback procedures and crisis stress testing?</t>
  </si>
  <si>
    <t>Policy/SOP; owner/RACI; system report; dashboard; contracts; test records; incident history; interview evidence related to access reviews for critical systems, datasets, ERP, CRM, HRMS, MES and cloud.</t>
  </si>
  <si>
    <t>No reliable evidence that access reviews for critical systems, datasets, erp, crm, hrms, mes and cloud is defined, owned or managed.</t>
  </si>
  <si>
    <t>Access reviews for critical systems, datasets, ERP, CRM, HRMS, MES and cloud is handled informally and depends on individual knowledge or heroic effort.</t>
  </si>
  <si>
    <t>Access reviews for critical systems, datasets, ERP, CRM, HRMS, MES and cloud is partially documented or implemented, but coverage is inconsistent and not crisis-tested.</t>
  </si>
  <si>
    <t>Access reviews for critical systems, datasets, ERP, CRM, HRMS, MES and cloud is documented, owned, used in normal operations and supported by basic evidence or metrics.</t>
  </si>
  <si>
    <t>Access reviews for critical systems, datasets, ERP, CRM, HRMS, MES and cloud is measured, periodically reviewed, integrated with related processes and tested against relevant disruption scenarios.</t>
  </si>
  <si>
    <t>Access reviews for critical systems, datasets, ERP, CRM, HRMS, MES and cloud is optimized, continuously improved, automated where practical and demonstrably supports crisis resilience.</t>
  </si>
  <si>
    <t>Assign owner, collect evidence, assess gaps, define mitigation actions, and test access reviews for critical systems, datasets, ERP, CRM, HRMS, MES and cloud against scenarios: Cyberattack; Data breach; Ransomware; Insider threat.</t>
  </si>
  <si>
    <t>CYBE-013</t>
  </si>
  <si>
    <t>How mature is the organization in managing endpoint protection with EDR, disk encryption, patching and remote management, including ownership, evidence, metrics, fallback procedures and crisis stress testing?</t>
  </si>
  <si>
    <t>Policy/SOP; owner/RACI; system report; dashboard; contracts; test records; incident history; interview evidence related to endpoint protection with EDR, disk encryption, patching and remote management.</t>
  </si>
  <si>
    <t>No reliable evidence that endpoint protection with edr, disk encryption, patching and remote management is defined, owned or managed.</t>
  </si>
  <si>
    <t>Endpoint protection with EDR, disk encryption, patching and remote management is handled informally and depends on individual knowledge or heroic effort.</t>
  </si>
  <si>
    <t>Endpoint protection with EDR, disk encryption, patching and remote management is partially documented or implemented, but coverage is inconsistent and not crisis-tested.</t>
  </si>
  <si>
    <t>Endpoint protection with EDR, disk encryption, patching and remote management is documented, owned, used in normal operations and supported by basic evidence or metrics.</t>
  </si>
  <si>
    <t>Endpoint protection with EDR, disk encryption, patching and remote management is measured, periodically reviewed, integrated with related processes and tested against relevant disruption scenarios.</t>
  </si>
  <si>
    <t>Endpoint protection with EDR, disk encryption, patching and remote management is optimized, continuously improved, automated where practical and demonstrably supports crisis resilience.</t>
  </si>
  <si>
    <t>Assign owner, collect evidence, assess gaps, define mitigation actions, and test endpoint protection with EDR, disk encryption, patching and remote management against scenarios: Cyberattack; Data breach; Ransomware; Insider threat.</t>
  </si>
  <si>
    <t>CYBE-014</t>
  </si>
  <si>
    <t>How mature is the organization in managing vulnerability and patch management prioritized by risk, exposure and asset criticality, including ownership, evidence, metrics, fallback procedures and crisis stress testing?</t>
  </si>
  <si>
    <t>Policy/SOP; owner/RACI; system report; dashboard; contracts; test records; incident history; interview evidence related to vulnerability and patch management prioritized by risk, exposure and asset criticality.</t>
  </si>
  <si>
    <t>No reliable evidence that vulnerability and patch management prioritized by risk, exposure and asset criticality is defined, owned or managed.</t>
  </si>
  <si>
    <t>Vulnerability and patch management prioritized by risk, exposure and asset criticality is handled informally and depends on individual knowledge or heroic effort.</t>
  </si>
  <si>
    <t>Vulnerability and patch management prioritized by risk, exposure and asset criticality is partially documented or implemented, but coverage is inconsistent and not crisis-tested.</t>
  </si>
  <si>
    <t>Vulnerability and patch management prioritized by risk, exposure and asset criticality is documented, owned, used in normal operations and supported by basic evidence or metrics.</t>
  </si>
  <si>
    <t>Vulnerability and patch management prioritized by risk, exposure and asset criticality is measured, periodically reviewed, integrated with related processes and tested against relevant disruption scenarios.</t>
  </si>
  <si>
    <t>Vulnerability and patch management prioritized by risk, exposure and asset criticality is optimized, continuously improved, automated where practical and demonstrably supports crisis resilience.</t>
  </si>
  <si>
    <t>Assign owner, collect evidence, assess gaps, define mitigation actions, and test vulnerability and patch management prioritized by risk, exposure and asset criticality against scenarios: Cyberattack; Data breach; Ransomware; Insider threat.</t>
  </si>
  <si>
    <t>CYBE-015</t>
  </si>
  <si>
    <t>How mature is the organization in managing network segmentation for users, servers, cloud, OT, guest, production and sensitive systems, including ownership, evidence, metrics, fallback procedures and crisis stress testing?</t>
  </si>
  <si>
    <t>Policy/SOP; owner/RACI; system report; dashboard; contracts; test records; incident history; interview evidence related to network segmentation for users, servers, cloud, OT, guest, production and sensitive systems.</t>
  </si>
  <si>
    <t>No reliable evidence that network segmentation for users, servers, cloud, ot, guest, production and sensitive systems is defined, owned or managed.</t>
  </si>
  <si>
    <t>Network segmentation for users, servers, cloud, OT, guest, production and sensitive systems is handled informally and depends on individual knowledge or heroic effort.</t>
  </si>
  <si>
    <t>Network segmentation for users, servers, cloud, OT, guest, production and sensitive systems is partially documented or implemented, but coverage is inconsistent and not crisis-tested.</t>
  </si>
  <si>
    <t>Network segmentation for users, servers, cloud, OT, guest, production and sensitive systems is documented, owned, used in normal operations and supported by basic evidence or metrics.</t>
  </si>
  <si>
    <t>Network segmentation for users, servers, cloud, OT, guest, production and sensitive systems is measured, periodically reviewed, integrated with related processes and tested against relevant disruption scenarios.</t>
  </si>
  <si>
    <t>Network segmentation for users, servers, cloud, OT, guest, production and sensitive systems is optimized, continuously improved, automated where practical and demonstrably supports crisis resilience.</t>
  </si>
  <si>
    <t>Assign owner, collect evidence, assess gaps, define mitigation actions, and test network segmentation for users, servers, cloud, OT, guest, production and sensitive systems against scenarios: Cyberattack; Data breach; Ransomware; Insider threat.</t>
  </si>
  <si>
    <t>CYBE-016</t>
  </si>
  <si>
    <t>How mature is the organization in managing email protection against phishing, spoofing, malware and business email compromise, including ownership, evidence, metrics, fallback procedures and crisis stress testing?</t>
  </si>
  <si>
    <t>Policy/SOP; owner/RACI; system report; dashboard; contracts; test records; incident history; interview evidence related to email protection against phishing, spoofing, malware and business email compromise.</t>
  </si>
  <si>
    <t>No reliable evidence that email protection against phishing, spoofing, malware and business email compromise is defined, owned or managed.</t>
  </si>
  <si>
    <t>Email protection against phishing, spoofing, malware and business email compromise is handled informally and depends on individual knowledge or heroic effort.</t>
  </si>
  <si>
    <t>Email protection against phishing, spoofing, malware and business email compromise is partially documented or implemented, but coverage is inconsistent and not crisis-tested.</t>
  </si>
  <si>
    <t>Email protection against phishing, spoofing, malware and business email compromise is documented, owned, used in normal operations and supported by basic evidence or metrics.</t>
  </si>
  <si>
    <t>Email protection against phishing, spoofing, malware and business email compromise is measured, periodically reviewed, integrated with related processes and tested against relevant disruption scenarios.</t>
  </si>
  <si>
    <t>Email protection against phishing, spoofing, malware and business email compromise is optimized, continuously improved, automated where practical and demonstrably supports crisis resilience.</t>
  </si>
  <si>
    <t>Assign owner, collect evidence, assess gaps, define mitigation actions, and test email protection against phishing, spoofing, malware and business email compromise against scenarios: Cyberattack; Data breach; Ransomware; Insider threat.</t>
  </si>
  <si>
    <t>CYBE-017</t>
  </si>
  <si>
    <t>How mature is the organization in managing cloud security guardrails for IAM, logging, encryption, public exposure, secrets and network access, including ownership, evidence, metrics, fallback procedures and crisis stress testing?</t>
  </si>
  <si>
    <t>Policy/SOP; owner/RACI; system report; dashboard; contracts; test records; incident history; interview evidence related to cloud security guardrails for IAM, logging, encryption, public exposure, secrets and network access.</t>
  </si>
  <si>
    <t>No reliable evidence that cloud security guardrails for iam, logging, encryption, public exposure, secrets and network access is defined, owned or managed.</t>
  </si>
  <si>
    <t>Cloud security guardrails for IAM, logging, encryption, public exposure, secrets and network access is handled informally and depends on individual knowledge or heroic effort.</t>
  </si>
  <si>
    <t>Cloud security guardrails for IAM, logging, encryption, public exposure, secrets and network access is partially documented or implemented, but coverage is inconsistent and not crisis-tested.</t>
  </si>
  <si>
    <t>Cloud security guardrails for IAM, logging, encryption, public exposure, secrets and network access is documented, owned, used in normal operations and supported by basic evidence or metrics.</t>
  </si>
  <si>
    <t>Cloud security guardrails for IAM, logging, encryption, public exposure, secrets and network access is measured, periodically reviewed, integrated with related processes and tested against relevant disruption scenarios.</t>
  </si>
  <si>
    <t>Cloud security guardrails for IAM, logging, encryption, public exposure, secrets and network access is optimized, continuously improved, automated where practical and demonstrably supports crisis resilience.</t>
  </si>
  <si>
    <t>Assign owner, collect evidence, assess gaps, define mitigation actions, and test cloud security guardrails for IAM, logging, encryption, public exposure, secrets and network access against scenarios: Cyberattack; Data breach; Ransomware; Insider threat.</t>
  </si>
  <si>
    <t>CYBE-018</t>
  </si>
  <si>
    <t>How mature is the organization in managing secrets, API keys, certificates and credentials management and rotation, including ownership, evidence, metrics, fallback procedures and crisis stress testing?</t>
  </si>
  <si>
    <t>Policy/SOP; owner/RACI; system report; dashboard; contracts; test records; incident history; interview evidence related to secrets, API keys, certificates and credentials management and rotation.</t>
  </si>
  <si>
    <t>No reliable evidence that secrets, api keys, certificates and credentials management and rotation is defined, owned or managed.</t>
  </si>
  <si>
    <t>Secrets, API keys, certificates and credentials management and rotation is handled informally and depends on individual knowledge or heroic effort.</t>
  </si>
  <si>
    <t>Secrets, API keys, certificates and credentials management and rotation is partially documented or implemented, but coverage is inconsistent and not crisis-tested.</t>
  </si>
  <si>
    <t>Secrets, API keys, certificates and credentials management and rotation is documented, owned, used in normal operations and supported by basic evidence or metrics.</t>
  </si>
  <si>
    <t>Secrets, API keys, certificates and credentials management and rotation is measured, periodically reviewed, integrated with related processes and tested against relevant disruption scenarios.</t>
  </si>
  <si>
    <t>Secrets, API keys, certificates and credentials management and rotation is optimized, continuously improved, automated where practical and demonstrably supports crisis resilience.</t>
  </si>
  <si>
    <t>Assign owner, collect evidence, assess gaps, define mitigation actions, and test secrets, API keys, certificates and credentials management and rotation against scenarios: Cyberattack; Data breach; Ransomware; Insider threat.</t>
  </si>
  <si>
    <t>CYBE-019</t>
  </si>
  <si>
    <t>How mature is the organization in managing encryption for sensitive data at rest and in transit, including ownership, evidence, metrics, fallback procedures and crisis stress testing?</t>
  </si>
  <si>
    <t>Policy/SOP; owner/RACI; system report; dashboard; contracts; test records; incident history; interview evidence related to encryption for sensitive data at rest and in transit.</t>
  </si>
  <si>
    <t>No reliable evidence that encryption for sensitive data at rest and in transit is defined, owned or managed.</t>
  </si>
  <si>
    <t>Encryption for sensitive data at rest and in transit is handled informally and depends on individual knowledge or heroic effort.</t>
  </si>
  <si>
    <t>Encryption for sensitive data at rest and in transit is partially documented or implemented, but coverage is inconsistent and not crisis-tested.</t>
  </si>
  <si>
    <t>Encryption for sensitive data at rest and in transit is documented, owned, used in normal operations and supported by basic evidence or metrics.</t>
  </si>
  <si>
    <t>Encryption for sensitive data at rest and in transit is measured, periodically reviewed, integrated with related processes and tested against relevant disruption scenarios.</t>
  </si>
  <si>
    <t>Encryption for sensitive data at rest and in transit is optimized, continuously improved, automated where practical and demonstrably supports crisis resilience.</t>
  </si>
  <si>
    <t>Assign owner, collect evidence, assess gaps, define mitigation actions, and test encryption for sensitive data at rest and in transit against scenarios: Cyberattack; Data breach; Ransomware; Insider threat.</t>
  </si>
  <si>
    <t>CYBE-020</t>
  </si>
  <si>
    <t>How mature is the organization in managing DLP controls for sensitive data in email, cloud storage, endpoints and collaboration tools, including ownership, evidence, metrics, fallback procedures and crisis stress testing?</t>
  </si>
  <si>
    <t>Policy/SOP; owner/RACI; system report; dashboard; contracts; test records; incident history; interview evidence related to DLP controls for sensitive data in email, cloud storage, endpoints and collaboration tools.</t>
  </si>
  <si>
    <t>No reliable evidence that dlp controls for sensitive data in email, cloud storage, endpoints and collaboration tools is defined, owned or managed.</t>
  </si>
  <si>
    <t>DLP controls for sensitive data in email, cloud storage, endpoints and collaboration tools is handled informally and depends on individual knowledge or heroic effort.</t>
  </si>
  <si>
    <t>DLP controls for sensitive data in email, cloud storage, endpoints and collaboration tools is partially documented or implemented, but coverage is inconsistent and not crisis-tested.</t>
  </si>
  <si>
    <t>DLP controls for sensitive data in email, cloud storage, endpoints and collaboration tools is documented, owned, used in normal operations and supported by basic evidence or metrics.</t>
  </si>
  <si>
    <t>DLP controls for sensitive data in email, cloud storage, endpoints and collaboration tools is measured, periodically reviewed, integrated with related processes and tested against relevant disruption scenarios.</t>
  </si>
  <si>
    <t>DLP controls for sensitive data in email, cloud storage, endpoints and collaboration tools is optimized, continuously improved, automated where practical and demonstrably supports crisis resilience.</t>
  </si>
  <si>
    <t>Assign owner, collect evidence, assess gaps, define mitigation actions, and test DLP controls for sensitive data in email, cloud storage, endpoints and collaboration tools against scenarios: Cyberattack; Data breach; Ransomware; Insider threat.</t>
  </si>
  <si>
    <t>CYBE-021</t>
  </si>
  <si>
    <t>How mature is the organization in managing log collection and monitoring for identity, endpoints, cloud, network, critical apps and security tools, including ownership, evidence, metrics, fallback procedures and crisis stress testing?</t>
  </si>
  <si>
    <t>Policy/SOP; owner/RACI; system report; dashboard; contracts; test records; incident history; interview evidence related to log collection and monitoring for identity, endpoints, cloud, network, critical apps and security tools.</t>
  </si>
  <si>
    <t>No reliable evidence that log collection and monitoring for identity, endpoints, cloud, network, critical apps and security tools is defined, owned or managed.</t>
  </si>
  <si>
    <t>Log collection and monitoring for identity, endpoints, cloud, network, critical apps and security tools is handled informally and depends on individual knowledge or heroic effort.</t>
  </si>
  <si>
    <t>Log collection and monitoring for identity, endpoints, cloud, network, critical apps and security tools is partially documented or implemented, but coverage is inconsistent and not crisis-tested.</t>
  </si>
  <si>
    <t>Log collection and monitoring for identity, endpoints, cloud, network, critical apps and security tools is documented, owned, used in normal operations and supported by basic evidence or metrics.</t>
  </si>
  <si>
    <t>Log collection and monitoring for identity, endpoints, cloud, network, critical apps and security tools is measured, periodically reviewed, integrated with related processes and tested against relevant disruption scenarios.</t>
  </si>
  <si>
    <t>Log collection and monitoring for identity, endpoints, cloud, network, critical apps and security tools is optimized, continuously improved, automated where practical and demonstrably supports crisis resilience.</t>
  </si>
  <si>
    <t>Assign owner, collect evidence, assess gaps, define mitigation actions, and test log collection and monitoring for identity, endpoints, cloud, network, critical apps and security tools against scenarios: Cyberattack; Data breach; Ransomware; Insider threat.</t>
  </si>
  <si>
    <t>CYBE-022</t>
  </si>
  <si>
    <t>How mature is the organization in managing threat detection coverage mapped to likely threat scenarios, including ownership, evidence, metrics, fallback procedures and crisis stress testing?</t>
  </si>
  <si>
    <t>Policy/SOP; owner/RACI; system report; dashboard; contracts; test records; incident history; interview evidence related to threat detection coverage mapped to likely threat scenarios.</t>
  </si>
  <si>
    <t>No reliable evidence that threat detection coverage mapped to likely threat scenarios is defined, owned or managed.</t>
  </si>
  <si>
    <t>Threat detection coverage mapped to likely threat scenarios is handled informally and depends on individual knowledge or heroic effort.</t>
  </si>
  <si>
    <t>Threat detection coverage mapped to likely threat scenarios is partially documented or implemented, but coverage is inconsistent and not crisis-tested.</t>
  </si>
  <si>
    <t>Threat detection coverage mapped to likely threat scenarios is documented, owned, used in normal operations and supported by basic evidence or metrics.</t>
  </si>
  <si>
    <t>Threat detection coverage mapped to likely threat scenarios is measured, periodically reviewed, integrated with related processes and tested against relevant disruption scenarios.</t>
  </si>
  <si>
    <t>Threat detection coverage mapped to likely threat scenarios is optimized, continuously improved, automated where practical and demonstrably supports crisis resilience.</t>
  </si>
  <si>
    <t>Assign owner, collect evidence, assess gaps, define mitigation actions, and test threat detection coverage mapped to likely threat scenarios against scenarios: Cyberattack; Data breach; Ransomware; Insider threat.</t>
  </si>
  <si>
    <t>CYBE-023</t>
  </si>
  <si>
    <t>How mature is the organization in managing cyber incident response plan involving IT, legal, communications, executives and insurers, including ownership, evidence, metrics, fallback procedures and crisis stress testing?</t>
  </si>
  <si>
    <t>Policy/SOP; owner/RACI; system report; dashboard; contracts; test records; incident history; interview evidence related to cyber incident response plan involving IT, legal, communications, executives and insurers.</t>
  </si>
  <si>
    <t>No reliable evidence that cyber incident response plan involving it, legal, communications, executives and insurers is defined, owned or managed.</t>
  </si>
  <si>
    <t>Cyber incident response plan involving IT, legal, communications, executives and insurers is handled informally and depends on individual knowledge or heroic effort.</t>
  </si>
  <si>
    <t>Cyber incident response plan involving IT, legal, communications, executives and insurers is partially documented or implemented, but coverage is inconsistent and not crisis-tested.</t>
  </si>
  <si>
    <t>Cyber incident response plan involving IT, legal, communications, executives and insurers is documented, owned, used in normal operations and supported by basic evidence or metrics.</t>
  </si>
  <si>
    <t>Cyber incident response plan involving IT, legal, communications, executives and insurers is measured, periodically reviewed, integrated with related processes and tested against relevant disruption scenarios.</t>
  </si>
  <si>
    <t>Cyber incident response plan involving IT, legal, communications, executives and insurers is optimized, continuously improved, automated where practical and demonstrably supports crisis resilience.</t>
  </si>
  <si>
    <t>Assign owner, collect evidence, assess gaps, define mitigation actions, and test cyber incident response plan involving IT, legal, communications, executives and insurers against scenarios: Cyberattack; Data breach; Ransomware; Insider threat.</t>
  </si>
  <si>
    <t>CYBE-024</t>
  </si>
  <si>
    <t>How mature is the organization in managing ransomware playbook covering isolation, recovery, communication, legal and decision-making, including ownership, evidence, metrics, fallback procedures and crisis stress testing?</t>
  </si>
  <si>
    <t>Policy/SOP; owner/RACI; system report; dashboard; contracts; test records; incident history; interview evidence related to ransomware playbook covering isolation, recovery, communication, legal and decision-making.</t>
  </si>
  <si>
    <t>No reliable evidence that ransomware playbook covering isolation, recovery, communication, legal and decision-making is defined, owned or managed.</t>
  </si>
  <si>
    <t>Ransomware playbook covering isolation, recovery, communication, legal and decision-making is handled informally and depends on individual knowledge or heroic effort.</t>
  </si>
  <si>
    <t>Ransomware playbook covering isolation, recovery, communication, legal and decision-making is partially documented or implemented, but coverage is inconsistent and not crisis-tested.</t>
  </si>
  <si>
    <t>Ransomware playbook covering isolation, recovery, communication, legal and decision-making is documented, owned, used in normal operations and supported by basic evidence or metrics.</t>
  </si>
  <si>
    <t>Ransomware playbook covering isolation, recovery, communication, legal and decision-making is measured, periodically reviewed, integrated with related processes and tested against relevant disruption scenarios.</t>
  </si>
  <si>
    <t>Ransomware playbook covering isolation, recovery, communication, legal and decision-making is optimized, continuously improved, automated where practical and demonstrably supports crisis resilience.</t>
  </si>
  <si>
    <t>Assign owner, collect evidence, assess gaps, define mitigation actions, and test ransomware playbook covering isolation, recovery, communication, legal and decision-making against scenarios: Cyberattack; Data breach; Ransomware; Insider threat.</t>
  </si>
  <si>
    <t>CYBE-025</t>
  </si>
  <si>
    <t>How mature is the organization in managing cyber incident exercises with business, legal, communication, IT and executives, including ownership, evidence, metrics, fallback procedures and crisis stress testing?</t>
  </si>
  <si>
    <t>Policy/SOP; owner/RACI; system report; dashboard; contracts; test records; incident history; interview evidence related to cyber incident exercises with business, legal, communication, IT and executives.</t>
  </si>
  <si>
    <t>No reliable evidence that cyber incident exercises with business, legal, communication, it and executives is defined, owned or managed.</t>
  </si>
  <si>
    <t>Cyber incident exercises with business, legal, communication, IT and executives is handled informally and depends on individual knowledge or heroic effort.</t>
  </si>
  <si>
    <t>Cyber incident exercises with business, legal, communication, IT and executives is partially documented or implemented, but coverage is inconsistent and not crisis-tested.</t>
  </si>
  <si>
    <t>Cyber incident exercises with business, legal, communication, IT and executives is documented, owned, used in normal operations and supported by basic evidence or metrics.</t>
  </si>
  <si>
    <t>Cyber incident exercises with business, legal, communication, IT and executives is measured, periodically reviewed, integrated with related processes and tested against relevant disruption scenarios.</t>
  </si>
  <si>
    <t>Cyber incident exercises with business, legal, communication, IT and executives is optimized, continuously improved, automated where practical and demonstrably supports crisis resilience.</t>
  </si>
  <si>
    <t>Assign owner, collect evidence, assess gaps, define mitigation actions, and test cyber incident exercises with business, legal, communication, IT and executives against scenarios: Cyberattack; Data breach; Ransomware; Insider threat.</t>
  </si>
  <si>
    <t>CYBE-026</t>
  </si>
  <si>
    <t>How mature is the organization in managing immutable or isolated backups protected against ransomware, including ownership, evidence, metrics, fallback procedures and crisis stress testing?</t>
  </si>
  <si>
    <t>Policy/SOP; owner/RACI; system report; dashboard; contracts; test records; incident history; interview evidence related to immutable or isolated backups protected against ransomware.</t>
  </si>
  <si>
    <t>No reliable evidence that immutable or isolated backups protected against ransomware is defined, owned or managed.</t>
  </si>
  <si>
    <t>Immutable or isolated backups protected against ransomware is handled informally and depends on individual knowledge or heroic effort.</t>
  </si>
  <si>
    <t>Immutable or isolated backups protected against ransomware is partially documented or implemented, but coverage is inconsistent and not crisis-tested.</t>
  </si>
  <si>
    <t>Immutable or isolated backups protected against ransomware is documented, owned, used in normal operations and supported by basic evidence or metrics.</t>
  </si>
  <si>
    <t>Immutable or isolated backups protected against ransomware is measured, periodically reviewed, integrated with related processes and tested against relevant disruption scenarios.</t>
  </si>
  <si>
    <t>Immutable or isolated backups protected against ransomware is optimized, continuously improved, automated where practical and demonstrably supports crisis resilience.</t>
  </si>
  <si>
    <t>Assign owner, collect evidence, assess gaps, define mitigation actions, and test immutable or isolated backups protected against ransomware against scenarios: Cyberattack; Data breach; Ransomware; Insider threat.</t>
  </si>
  <si>
    <t>CYBE-027</t>
  </si>
  <si>
    <t>How mature is the organization in managing secure SDLC for internally developed applications, APIs and integrations, including ownership, evidence, metrics, fallback procedures and crisis stress testing?</t>
  </si>
  <si>
    <t>Policy/SOP; owner/RACI; system report; dashboard; contracts; test records; incident history; interview evidence related to secure SDLC for internally developed applications, APIs and integrations.</t>
  </si>
  <si>
    <t>No reliable evidence that secure sdlc for internally developed applications, apis and integrations is defined, owned or managed.</t>
  </si>
  <si>
    <t>Secure SDLC for internally developed applications, APIs and integrations is handled informally and depends on individual knowledge or heroic effort.</t>
  </si>
  <si>
    <t>Secure SDLC for internally developed applications, APIs and integrations is partially documented or implemented, but coverage is inconsistent and not crisis-tested.</t>
  </si>
  <si>
    <t>Secure SDLC for internally developed applications, APIs and integrations is documented, owned, used in normal operations and supported by basic evidence or metrics.</t>
  </si>
  <si>
    <t>Secure SDLC for internally developed applications, APIs and integrations is measured, periodically reviewed, integrated with related processes and tested against relevant disruption scenarios.</t>
  </si>
  <si>
    <t>Secure SDLC for internally developed applications, APIs and integrations is optimized, continuously improved, automated where practical and demonstrably supports crisis resilience.</t>
  </si>
  <si>
    <t>Assign owner, collect evidence, assess gaps, define mitigation actions, and test secure SDLC for internally developed applications, APIs and integrations against scenarios: Cyberattack; Data breach; Ransomware; Insider threat.</t>
  </si>
  <si>
    <t>CYBE-028</t>
  </si>
  <si>
    <t>How mature is the organization in managing application vulnerability testing through SAST, DAST, code review and penetration testing, including ownership, evidence, metrics, fallback procedures and crisis stress testing?</t>
  </si>
  <si>
    <t>Policy/SOP; owner/RACI; system report; dashboard; contracts; test records; incident history; interview evidence related to application vulnerability testing through SAST, DAST, code review and penetration testing.</t>
  </si>
  <si>
    <t>No reliable evidence that application vulnerability testing through sast, dast, code review and penetration testing is defined, owned or managed.</t>
  </si>
  <si>
    <t>Application vulnerability testing through SAST, DAST, code review and penetration testing is handled informally and depends on individual knowledge or heroic effort.</t>
  </si>
  <si>
    <t>Application vulnerability testing through SAST, DAST, code review and penetration testing is partially documented or implemented, but coverage is inconsistent and not crisis-tested.</t>
  </si>
  <si>
    <t>Application vulnerability testing through SAST, DAST, code review and penetration testing is documented, owned, used in normal operations and supported by basic evidence or metrics.</t>
  </si>
  <si>
    <t>Application vulnerability testing through SAST, DAST, code review and penetration testing is measured, periodically reviewed, integrated with related processes and tested against relevant disruption scenarios.</t>
  </si>
  <si>
    <t>Application vulnerability testing through SAST, DAST, code review and penetration testing is optimized, continuously improved, automated where practical and demonstrably supports crisis resilience.</t>
  </si>
  <si>
    <t>Assign owner, collect evidence, assess gaps, define mitigation actions, and test application vulnerability testing through SAST, DAST, code review and penetration testing against scenarios: Cyberattack; Data breach; Ransomware; Insider threat.</t>
  </si>
  <si>
    <t>CYBE-029</t>
  </si>
  <si>
    <t>Assign owner, collect evidence, assess gaps, define mitigation actions, and test OT asset inventory for PLCs, SCADA, HMIs, industrial networks and engineering workstations against scenarios: Cyberattack; Data breach; Ransomware; Insider threat.</t>
  </si>
  <si>
    <t>CYBE-030</t>
  </si>
  <si>
    <t>How mature is the organization in managing OT network segmentation and secure remote vendor access, including ownership, evidence, metrics, fallback procedures and crisis stress testing?</t>
  </si>
  <si>
    <t>Policy/SOP; owner/RACI; system report; dashboard; contracts; test records; incident history; interview evidence related to OT network segmentation and secure remote vendor access.</t>
  </si>
  <si>
    <t>No reliable evidence that ot network segmentation and secure remote vendor access is defined, owned or managed.</t>
  </si>
  <si>
    <t>OT network segmentation and secure remote vendor access is handled informally and depends on individual knowledge or heroic effort.</t>
  </si>
  <si>
    <t>OT network segmentation and secure remote vendor access is partially documented or implemented, but coverage is inconsistent and not crisis-tested.</t>
  </si>
  <si>
    <t>OT network segmentation and secure remote vendor access is documented, owned, used in normal operations and supported by basic evidence or metrics.</t>
  </si>
  <si>
    <t>OT network segmentation and secure remote vendor access is measured, periodically reviewed, integrated with related processes and tested against relevant disruption scenarios.</t>
  </si>
  <si>
    <t>OT network segmentation and secure remote vendor access is optimized, continuously improved, automated where practical and demonstrably supports crisis resilience.</t>
  </si>
  <si>
    <t>Assign owner, collect evidence, assess gaps, define mitigation actions, and test OT network segmentation and secure remote vendor access against scenarios: Cyberattack; Data breach; Ransomware; Insider threat.</t>
  </si>
  <si>
    <t>CYBE-031</t>
  </si>
  <si>
    <t>How mature is the organization in managing OT backup and restore of PLC, HMI, SCADA and recipe configurations, including ownership, evidence, metrics, fallback procedures and crisis stress testing?</t>
  </si>
  <si>
    <t>Policy/SOP; owner/RACI; system report; dashboard; contracts; test records; incident history; interview evidence related to OT backup and restore of PLC, HMI, SCADA and recipe configurations.</t>
  </si>
  <si>
    <t>No reliable evidence that ot backup and restore of plc, hmi, scada and recipe configurations is defined, owned or managed.</t>
  </si>
  <si>
    <t>OT backup and restore of PLC, HMI, SCADA and recipe configurations is handled informally and depends on individual knowledge or heroic effort.</t>
  </si>
  <si>
    <t>OT backup and restore of PLC, HMI, SCADA and recipe configurations is partially documented or implemented, but coverage is inconsistent and not crisis-tested.</t>
  </si>
  <si>
    <t>OT backup and restore of PLC, HMI, SCADA and recipe configurations is documented, owned, used in normal operations and supported by basic evidence or metrics.</t>
  </si>
  <si>
    <t>OT backup and restore of PLC, HMI, SCADA and recipe configurations is measured, periodically reviewed, integrated with related processes and tested against relevant disruption scenarios.</t>
  </si>
  <si>
    <t>OT backup and restore of PLC, HMI, SCADA and recipe configurations is optimized, continuously improved, automated where practical and demonstrably supports crisis resilience.</t>
  </si>
  <si>
    <t>Assign owner, collect evidence, assess gaps, define mitigation actions, and test OT backup and restore of PLC, HMI, SCADA and recipe configurations against scenarios: Cyberattack; Data breach; Ransomware; Insider threat.</t>
  </si>
  <si>
    <t>CYBE-032</t>
  </si>
  <si>
    <t>How mature is the organization in managing privacy governance with roles, lawful basis, DPIA, RoPA and data subject processes, including ownership, evidence, metrics, fallback procedures and crisis stress testing?</t>
  </si>
  <si>
    <t>Policy/SOP; owner/RACI; system report; dashboard; contracts; test records; incident history; interview evidence related to privacy governance with roles, lawful basis, DPIA, RoPA and data subject processes.</t>
  </si>
  <si>
    <t>No reliable evidence that privacy governance with roles, lawful basis, dpia, ropa and data subject processes is defined, owned or managed.</t>
  </si>
  <si>
    <t>Privacy governance with roles, lawful basis, DPIA, RoPA and data subject processes is handled informally and depends on individual knowledge or heroic effort.</t>
  </si>
  <si>
    <t>Privacy governance with roles, lawful basis, DPIA, RoPA and data subject processes is partially documented or implemented, but coverage is inconsistent and not crisis-tested.</t>
  </si>
  <si>
    <t>Privacy governance with roles, lawful basis, DPIA, RoPA and data subject processes is documented, owned, used in normal operations and supported by basic evidence or metrics.</t>
  </si>
  <si>
    <t>Privacy governance with roles, lawful basis, DPIA, RoPA and data subject processes is measured, periodically reviewed, integrated with related processes and tested against relevant disruption scenarios.</t>
  </si>
  <si>
    <t>Privacy governance with roles, lawful basis, DPIA, RoPA and data subject processes is optimized, continuously improved, automated where practical and demonstrably supports crisis resilience.</t>
  </si>
  <si>
    <t>Assign owner, collect evidence, assess gaps, define mitigation actions, and test privacy governance with roles, lawful basis, DPIA, RoPA and data subject processes against scenarios: Cyberattack; Data breach; Ransomware; Insider threat.</t>
  </si>
  <si>
    <t>CYBE-033</t>
  </si>
  <si>
    <t>How mature is the organization in managing personal data breach detection, assessment and notification within required timelines, including ownership, evidence, metrics, fallback procedures and crisis stress testing?</t>
  </si>
  <si>
    <t>Policy/SOP; owner/RACI; system report; dashboard; contracts; test records; incident history; interview evidence related to personal data breach detection, assessment and notification within required timelines.</t>
  </si>
  <si>
    <t>No reliable evidence that personal data breach detection, assessment and notification within required timelines is defined, owned or managed.</t>
  </si>
  <si>
    <t>Personal data breach detection, assessment and notification within required timelines is handled informally and depends on individual knowledge or heroic effort.</t>
  </si>
  <si>
    <t>Personal data breach detection, assessment and notification within required timelines is partially documented or implemented, but coverage is inconsistent and not crisis-tested.</t>
  </si>
  <si>
    <t>Personal data breach detection, assessment and notification within required timelines is documented, owned, used in normal operations and supported by basic evidence or metrics.</t>
  </si>
  <si>
    <t>Personal data breach detection, assessment and notification within required timelines is measured, periodically reviewed, integrated with related processes and tested against relevant disruption scenarios.</t>
  </si>
  <si>
    <t>Personal data breach detection, assessment and notification within required timelines is optimized, continuously improved, automated where practical and demonstrably supports crisis resilience.</t>
  </si>
  <si>
    <t>Assign owner, collect evidence, assess gaps, define mitigation actions, and test personal data breach detection, assessment and notification within required timelines against scenarios: Cyberattack; Data breach; Ransomware; Insider threat.</t>
  </si>
  <si>
    <t>CYBE-034</t>
  </si>
  <si>
    <t>How mature is the organization in managing vendor data processing agreements covering security, sub-processors, incident notification and continuity, including ownership, evidence, metrics, fallback procedures and crisis stress testing?</t>
  </si>
  <si>
    <t>Policy/SOP; owner/RACI; system report; dashboard; contracts; test records; incident history; interview evidence related to vendor data processing agreements covering security, sub-processors, incident notification and continuity.</t>
  </si>
  <si>
    <t>No reliable evidence that vendor data processing agreements covering security, sub-processors, incident notification and continuity is defined, owned or managed.</t>
  </si>
  <si>
    <t>Vendor data processing agreements covering security, sub-processors, incident notification and continuity is handled informally and depends on individual knowledge or heroic effort.</t>
  </si>
  <si>
    <t>Vendor data processing agreements covering security, sub-processors, incident notification and continuity is partially documented or implemented, but coverage is inconsistent and not crisis-tested.</t>
  </si>
  <si>
    <t>Vendor data processing agreements covering security, sub-processors, incident notification and continuity is documented, owned, used in normal operations and supported by basic evidence or metrics.</t>
  </si>
  <si>
    <t>Vendor data processing agreements covering security, sub-processors, incident notification and continuity is measured, periodically reviewed, integrated with related processes and tested against relevant disruption scenarios.</t>
  </si>
  <si>
    <t>Vendor data processing agreements covering security, sub-processors, incident notification and continuity is optimized, continuously improved, automated where practical and demonstrably supports crisis resilience.</t>
  </si>
  <si>
    <t>Assign owner, collect evidence, assess gaps, define mitigation actions, and test vendor data processing agreements covering security, sub-processors, incident notification and continuity against scenarios: Cyberattack; Data breach; Ransomware; Insider threat.</t>
  </si>
  <si>
    <t>Quality Portfolio Assessment</t>
  </si>
  <si>
    <t>Purpose: assess how this domain affects crisis impact, continuity and resilience. Main references: ISO 9001; ISO 21502; ISO 21500; APQC; Lean; Six Sigma; PMBOK; COBIT.</t>
  </si>
  <si>
    <t>QUAL-001</t>
  </si>
  <si>
    <t>How mature is the organization in managing process architecture covering major value streams and support processes, including ownership, evidence, metrics, fallback procedures and crisis stress testing?</t>
  </si>
  <si>
    <t>This topic affects exposure to Execution failure; Delivery disruption; Decision failure. It helps identify how disruption may impact operations, people, revenue, systems, legal exposure or recovery time.</t>
  </si>
  <si>
    <t>ISO 9001; ISO 21502; ISO 21500; APQC; Lean; Six Sigma; PMBOK; COBIT</t>
  </si>
  <si>
    <t>Policy/SOP; owner/RACI; system report; dashboard; contracts; test records; incident history; interview evidence related to process architecture covering major value streams and support processes.</t>
  </si>
  <si>
    <t>No reliable evidence that process architecture covering major value streams and support processes is defined, owned or managed.</t>
  </si>
  <si>
    <t>Process architecture covering major value streams and support processes is handled informally and depends on individual knowledge or heroic effort.</t>
  </si>
  <si>
    <t>Process architecture covering major value streams and support processes is partially documented or implemented, but coverage is inconsistent and not crisis-tested.</t>
  </si>
  <si>
    <t>Process architecture covering major value streams and support processes is documented, owned, used in normal operations and supported by basic evidence or metrics.</t>
  </si>
  <si>
    <t>Process architecture covering major value streams and support processes is measured, periodically reviewed, integrated with related processes and tested against relevant disruption scenarios.</t>
  </si>
  <si>
    <t>Process architecture covering major value streams and support processes is optimized, continuously improved, automated where practical and demonstrably supports crisis resilience.</t>
  </si>
  <si>
    <t>Execution failure; Delivery disruption; Decision failure</t>
  </si>
  <si>
    <t>COO / PMO / Quality</t>
  </si>
  <si>
    <t>Assign owner, collect evidence, assess gaps, define mitigation actions, and test process architecture covering major value streams and support processes against scenarios: Execution failure; Delivery disruption; Decision failure.</t>
  </si>
  <si>
    <t>QUAL-002</t>
  </si>
  <si>
    <t>How mature is the organization in managing process ownership for critical processes with inputs, outputs, controls and KPIs, including ownership, evidence, metrics, fallback procedures and crisis stress testing?</t>
  </si>
  <si>
    <t>Policy/SOP; owner/RACI; system report; dashboard; contracts; test records; incident history; interview evidence related to process ownership for critical processes with inputs, outputs, controls and KPIs.</t>
  </si>
  <si>
    <t>No reliable evidence that process ownership for critical processes with inputs, outputs, controls and kpis is defined, owned or managed.</t>
  </si>
  <si>
    <t>Process ownership for critical processes with inputs, outputs, controls and KPIs is handled informally and depends on individual knowledge or heroic effort.</t>
  </si>
  <si>
    <t>Process ownership for critical processes with inputs, outputs, controls and KPIs is partially documented or implemented, but coverage is inconsistent and not crisis-tested.</t>
  </si>
  <si>
    <t>Process ownership for critical processes with inputs, outputs, controls and KPIs is documented, owned, used in normal operations and supported by basic evidence or metrics.</t>
  </si>
  <si>
    <t>Process ownership for critical processes with inputs, outputs, controls and KPIs is measured, periodically reviewed, integrated with related processes and tested against relevant disruption scenarios.</t>
  </si>
  <si>
    <t>Process ownership for critical processes with inputs, outputs, controls and KPIs is optimized, continuously improved, automated where practical and demonstrably supports crisis resilience.</t>
  </si>
  <si>
    <t>Assign owner, collect evidence, assess gaps, define mitigation actions, and test process ownership for critical processes with inputs, outputs, controls and KPIs against scenarios: Execution failure; Delivery disruption; Decision failure.</t>
  </si>
  <si>
    <t>QUAL-003</t>
  </si>
  <si>
    <t>How mature is the organization in managing process maturity assessment for automation, measurement, resilience and improvement, including ownership, evidence, metrics, fallback procedures and crisis stress testing?</t>
  </si>
  <si>
    <t>Policy/SOP; owner/RACI; system report; dashboard; contracts; test records; incident history; interview evidence related to process maturity assessment for automation, measurement, resilience and improvement.</t>
  </si>
  <si>
    <t>No reliable evidence that process maturity assessment for automation, measurement, resilience and improvement is defined, owned or managed.</t>
  </si>
  <si>
    <t>Process maturity assessment for automation, measurement, resilience and improvement is handled informally and depends on individual knowledge or heroic effort.</t>
  </si>
  <si>
    <t>Process maturity assessment for automation, measurement, resilience and improvement is partially documented or implemented, but coverage is inconsistent and not crisis-tested.</t>
  </si>
  <si>
    <t>Process maturity assessment for automation, measurement, resilience and improvement is documented, owned, used in normal operations and supported by basic evidence or metrics.</t>
  </si>
  <si>
    <t>Process maturity assessment for automation, measurement, resilience and improvement is measured, periodically reviewed, integrated with related processes and tested against relevant disruption scenarios.</t>
  </si>
  <si>
    <t>Process maturity assessment for automation, measurement, resilience and improvement is optimized, continuously improved, automated where practical and demonstrably supports crisis resilience.</t>
  </si>
  <si>
    <t>Assign owner, collect evidence, assess gaps, define mitigation actions, and test process maturity assessment for automation, measurement, resilience and improvement against scenarios: Execution failure; Delivery disruption; Decision failure.</t>
  </si>
  <si>
    <t>QUAL-004</t>
  </si>
  <si>
    <t>How mature is the organization in managing SOP and policy document control with versioning, ownership and review cadence, including ownership, evidence, metrics, fallback procedures and crisis stress testing?</t>
  </si>
  <si>
    <t>Policy/SOP; owner/RACI; system report; dashboard; contracts; test records; incident history; interview evidence related to SOP and policy document control with versioning, ownership and review cadence.</t>
  </si>
  <si>
    <t>No reliable evidence that sop and policy document control with versioning, ownership and review cadence is defined, owned or managed.</t>
  </si>
  <si>
    <t>SOP and policy document control with versioning, ownership and review cadence is handled informally and depends on individual knowledge or heroic effort.</t>
  </si>
  <si>
    <t>SOP and policy document control with versioning, ownership and review cadence is partially documented or implemented, but coverage is inconsistent and not crisis-tested.</t>
  </si>
  <si>
    <t>SOP and policy document control with versioning, ownership and review cadence is documented, owned, used in normal operations and supported by basic evidence or metrics.</t>
  </si>
  <si>
    <t>SOP and policy document control with versioning, ownership and review cadence is measured, periodically reviewed, integrated with related processes and tested against relevant disruption scenarios.</t>
  </si>
  <si>
    <t>SOP and policy document control with versioning, ownership and review cadence is optimized, continuously improved, automated where practical and demonstrably supports crisis resilience.</t>
  </si>
  <si>
    <t>Assign owner, collect evidence, assess gaps, define mitigation actions, and test SOP and policy document control with versioning, ownership and review cadence against scenarios: Execution failure; Delivery disruption; Decision failure.</t>
  </si>
  <si>
    <t>QUAL-005</t>
  </si>
  <si>
    <t>How mature is the organization in managing process automation documented, monitored and covered by manual fallback, including ownership, evidence, metrics, fallback procedures and crisis stress testing?</t>
  </si>
  <si>
    <t>Policy/SOP; owner/RACI; system report; dashboard; contracts; test records; incident history; interview evidence related to process automation documented, monitored and covered by manual fallback.</t>
  </si>
  <si>
    <t>No reliable evidence that process automation documented, monitored and covered by manual fallback is defined, owned or managed.</t>
  </si>
  <si>
    <t>Process automation documented, monitored and covered by manual fallback is handled informally and depends on individual knowledge or heroic effort.</t>
  </si>
  <si>
    <t>Process automation documented, monitored and covered by manual fallback is partially documented or implemented, but coverage is inconsistent and not crisis-tested.</t>
  </si>
  <si>
    <t>Process automation documented, monitored and covered by manual fallback is documented, owned, used in normal operations and supported by basic evidence or metrics.</t>
  </si>
  <si>
    <t>Process automation documented, monitored and covered by manual fallback is measured, periodically reviewed, integrated with related processes and tested against relevant disruption scenarios.</t>
  </si>
  <si>
    <t>Process automation documented, monitored and covered by manual fallback is optimized, continuously improved, automated where practical and demonstrably supports crisis resilience.</t>
  </si>
  <si>
    <t>Assign owner, collect evidence, assess gaps, define mitigation actions, and test process automation documented, monitored and covered by manual fallback against scenarios: Execution failure; Delivery disruption; Decision failure.</t>
  </si>
  <si>
    <t>QUAL-006</t>
  </si>
  <si>
    <t>How mature is the organization in managing quality objectives linked to customer, delivery and operational performance, including ownership, evidence, metrics, fallback procedures and crisis stress testing?</t>
  </si>
  <si>
    <t>Policy/SOP; owner/RACI; system report; dashboard; contracts; test records; incident history; interview evidence related to quality objectives linked to customer, delivery and operational performance.</t>
  </si>
  <si>
    <t>No reliable evidence that quality objectives linked to customer, delivery and operational performance is defined, owned or managed.</t>
  </si>
  <si>
    <t>Quality objectives linked to customer, delivery and operational performance is handled informally and depends on individual knowledge or heroic effort.</t>
  </si>
  <si>
    <t>Quality objectives linked to customer, delivery and operational performance is partially documented or implemented, but coverage is inconsistent and not crisis-tested.</t>
  </si>
  <si>
    <t>Quality objectives linked to customer, delivery and operational performance is documented, owned, used in normal operations and supported by basic evidence or metrics.</t>
  </si>
  <si>
    <t>Quality objectives linked to customer, delivery and operational performance is measured, periodically reviewed, integrated with related processes and tested against relevant disruption scenarios.</t>
  </si>
  <si>
    <t>Quality objectives linked to customer, delivery and operational performance is optimized, continuously improved, automated where practical and demonstrably supports crisis resilience.</t>
  </si>
  <si>
    <t>Assign owner, collect evidence, assess gaps, define mitigation actions, and test quality objectives linked to customer, delivery and operational performance against scenarios: Execution failure; Delivery disruption; Decision failure.</t>
  </si>
  <si>
    <t>QUAL-007</t>
  </si>
  <si>
    <t>How mature is the organization in managing nonconformity, defect, complaint and corrective action management, including ownership, evidence, metrics, fallback procedures and crisis stress testing?</t>
  </si>
  <si>
    <t>Policy/SOP; owner/RACI; system report; dashboard; contracts; test records; incident history; interview evidence related to nonconformity, defect, complaint and corrective action management.</t>
  </si>
  <si>
    <t>No reliable evidence that nonconformity, defect, complaint and corrective action management is defined, owned or managed.</t>
  </si>
  <si>
    <t>Nonconformity, defect, complaint and corrective action management is handled informally and depends on individual knowledge or heroic effort.</t>
  </si>
  <si>
    <t>Nonconformity, defect, complaint and corrective action management is partially documented or implemented, but coverage is inconsistent and not crisis-tested.</t>
  </si>
  <si>
    <t>Nonconformity, defect, complaint and corrective action management is documented, owned, used in normal operations and supported by basic evidence or metrics.</t>
  </si>
  <si>
    <t>Nonconformity, defect, complaint and corrective action management is measured, periodically reviewed, integrated with related processes and tested against relevant disruption scenarios.</t>
  </si>
  <si>
    <t>Nonconformity, defect, complaint and corrective action management is optimized, continuously improved, automated where practical and demonstrably supports crisis resilience.</t>
  </si>
  <si>
    <t>Assign owner, collect evidence, assess gaps, define mitigation actions, and test nonconformity, defect, complaint and corrective action management against scenarios: Execution failure; Delivery disruption; Decision failure.</t>
  </si>
  <si>
    <t>QUAL-008</t>
  </si>
  <si>
    <t>How mature is the organization in managing internal audit program for critical processes and controls, including ownership, evidence, metrics, fallback procedures and crisis stress testing?</t>
  </si>
  <si>
    <t>Policy/SOP; owner/RACI; system report; dashboard; contracts; test records; incident history; interview evidence related to internal audit program for critical processes and controls.</t>
  </si>
  <si>
    <t>No reliable evidence that internal audit program for critical processes and controls is defined, owned or managed.</t>
  </si>
  <si>
    <t>Internal audit program for critical processes and controls is handled informally and depends on individual knowledge or heroic effort.</t>
  </si>
  <si>
    <t>Internal audit program for critical processes and controls is partially documented or implemented, but coverage is inconsistent and not crisis-tested.</t>
  </si>
  <si>
    <t>Internal audit program for critical processes and controls is documented, owned, used in normal operations and supported by basic evidence or metrics.</t>
  </si>
  <si>
    <t>Internal audit program for critical processes and controls is measured, periodically reviewed, integrated with related processes and tested against relevant disruption scenarios.</t>
  </si>
  <si>
    <t>Internal audit program for critical processes and controls is optimized, continuously improved, automated where practical and demonstrably supports crisis resilience.</t>
  </si>
  <si>
    <t>Assign owner, collect evidence, assess gaps, define mitigation actions, and test internal audit program for critical processes and controls against scenarios: Execution failure; Delivery disruption; Decision failure.</t>
  </si>
  <si>
    <t>QUAL-009</t>
  </si>
  <si>
    <t>How mature is the organization in managing control testing for effectiveness, not only existence, including ownership, evidence, metrics, fallback procedures and crisis stress testing?</t>
  </si>
  <si>
    <t>Policy/SOP; owner/RACI; system report; dashboard; contracts; test records; incident history; interview evidence related to control testing for effectiveness, not only existence.</t>
  </si>
  <si>
    <t>No reliable evidence that control testing for effectiveness, not only existence is defined, owned or managed.</t>
  </si>
  <si>
    <t>Control testing for effectiveness, not only existence is handled informally and depends on individual knowledge or heroic effort.</t>
  </si>
  <si>
    <t>Control testing for effectiveness, not only existence is partially documented or implemented, but coverage is inconsistent and not crisis-tested.</t>
  </si>
  <si>
    <t>Control testing for effectiveness, not only existence is documented, owned, used in normal operations and supported by basic evidence or metrics.</t>
  </si>
  <si>
    <t>Control testing for effectiveness, not only existence is measured, periodically reviewed, integrated with related processes and tested against relevant disruption scenarios.</t>
  </si>
  <si>
    <t>Control testing for effectiveness, not only existence is optimized, continuously improved, automated where practical and demonstrably supports crisis resilience.</t>
  </si>
  <si>
    <t>Assign owner, collect evidence, assess gaps, define mitigation actions, and test control testing for effectiveness, not only existence against scenarios: Execution failure; Delivery disruption; Decision failure.</t>
  </si>
  <si>
    <t>QUAL-010</t>
  </si>
  <si>
    <t>How mature is the organization in managing customer complaint handling and root cause analysis, including ownership, evidence, metrics, fallback procedures and crisis stress testing?</t>
  </si>
  <si>
    <t>Policy/SOP; owner/RACI; system report; dashboard; contracts; test records; incident history; interview evidence related to customer complaint handling and root cause analysis.</t>
  </si>
  <si>
    <t>No reliable evidence that customer complaint handling and root cause analysis is defined, owned or managed.</t>
  </si>
  <si>
    <t>Customer complaint handling and root cause analysis is handled informally and depends on individual knowledge or heroic effort.</t>
  </si>
  <si>
    <t>Customer complaint handling and root cause analysis is partially documented or implemented, but coverage is inconsistent and not crisis-tested.</t>
  </si>
  <si>
    <t>Customer complaint handling and root cause analysis is documented, owned, used in normal operations and supported by basic evidence or metrics.</t>
  </si>
  <si>
    <t>Customer complaint handling and root cause analysis is measured, periodically reviewed, integrated with related processes and tested against relevant disruption scenarios.</t>
  </si>
  <si>
    <t>Customer complaint handling and root cause analysis is optimized, continuously improved, automated where practical and demonstrably supports crisis resilience.</t>
  </si>
  <si>
    <t>Assign owner, collect evidence, assess gaps, define mitigation actions, and test customer complaint handling and root cause analysis against scenarios: Execution failure; Delivery disruption; Decision failure.</t>
  </si>
  <si>
    <t>QUAL-011</t>
  </si>
  <si>
    <t>How mature is the organization in managing portfolio governance with prioritization, capacity, benefits, risks and dependencies, including ownership, evidence, metrics, fallback procedures and crisis stress testing?</t>
  </si>
  <si>
    <t>Policy/SOP; owner/RACI; system report; dashboard; contracts; test records; incident history; interview evidence related to portfolio governance with prioritization, capacity, benefits, risks and dependencies.</t>
  </si>
  <si>
    <t>No reliable evidence that portfolio governance with prioritization, capacity, benefits, risks and dependencies is defined, owned or managed.</t>
  </si>
  <si>
    <t>Portfolio governance with prioritization, capacity, benefits, risks and dependencies is handled informally and depends on individual knowledge or heroic effort.</t>
  </si>
  <si>
    <t>Portfolio governance with prioritization, capacity, benefits, risks and dependencies is partially documented or implemented, but coverage is inconsistent and not crisis-tested.</t>
  </si>
  <si>
    <t>Portfolio governance with prioritization, capacity, benefits, risks and dependencies is documented, owned, used in normal operations and supported by basic evidence or metrics.</t>
  </si>
  <si>
    <t>Portfolio governance with prioritization, capacity, benefits, risks and dependencies is measured, periodically reviewed, integrated with related processes and tested against relevant disruption scenarios.</t>
  </si>
  <si>
    <t>Portfolio governance with prioritization, capacity, benefits, risks and dependencies is optimized, continuously improved, automated where practical and demonstrably supports crisis resilience.</t>
  </si>
  <si>
    <t>Assign owner, collect evidence, assess gaps, define mitigation actions, and test portfolio governance with prioritization, capacity, benefits, risks and dependencies against scenarios: Execution failure; Delivery disruption; Decision failure.</t>
  </si>
  <si>
    <t>QUAL-012</t>
  </si>
  <si>
    <t>How mature is the organization in managing rapid reprioritization of initiatives during crisis using value, urgency, risk and capacity, including ownership, evidence, metrics, fallback procedures and crisis stress testing?</t>
  </si>
  <si>
    <t>Policy/SOP; owner/RACI; system report; dashboard; contracts; test records; incident history; interview evidence related to rapid reprioritization of initiatives during crisis using value, urgency, risk and capacity.</t>
  </si>
  <si>
    <t>No reliable evidence that rapid reprioritization of initiatives during crisis using value, urgency, risk and capacity is defined, owned or managed.</t>
  </si>
  <si>
    <t>Rapid reprioritization of initiatives during crisis using value, urgency, risk and capacity is handled informally and depends on individual knowledge or heroic effort.</t>
  </si>
  <si>
    <t>Rapid reprioritization of initiatives during crisis using value, urgency, risk and capacity is partially documented or implemented, but coverage is inconsistent and not crisis-tested.</t>
  </si>
  <si>
    <t>Rapid reprioritization of initiatives during crisis using value, urgency, risk and capacity is documented, owned, used in normal operations and supported by basic evidence or metrics.</t>
  </si>
  <si>
    <t>Rapid reprioritization of initiatives during crisis using value, urgency, risk and capacity is measured, periodically reviewed, integrated with related processes and tested against relevant disruption scenarios.</t>
  </si>
  <si>
    <t>Rapid reprioritization of initiatives during crisis using value, urgency, risk and capacity is optimized, continuously improved, automated where practical and demonstrably supports crisis resilience.</t>
  </si>
  <si>
    <t>Assign owner, collect evidence, assess gaps, define mitigation actions, and test rapid reprioritization of initiatives during crisis using value, urgency, risk and capacity against scenarios: Execution failure; Delivery disruption; Decision failure.</t>
  </si>
  <si>
    <t>QUAL-013</t>
  </si>
  <si>
    <t>How mature is the organization in managing benefits realization tracking for resilience, digital and operational initiatives, including ownership, evidence, metrics, fallback procedures and crisis stress testing?</t>
  </si>
  <si>
    <t>Policy/SOP; owner/RACI; system report; dashboard; contracts; test records; incident history; interview evidence related to benefits realization tracking for resilience, digital and operational initiatives.</t>
  </si>
  <si>
    <t>No reliable evidence that benefits realization tracking for resilience, digital and operational initiatives is defined, owned or managed.</t>
  </si>
  <si>
    <t>Benefits realization tracking for resilience, digital and operational initiatives is handled informally and depends on individual knowledge or heroic effort.</t>
  </si>
  <si>
    <t>Benefits realization tracking for resilience, digital and operational initiatives is partially documented or implemented, but coverage is inconsistent and not crisis-tested.</t>
  </si>
  <si>
    <t>Benefits realization tracking for resilience, digital and operational initiatives is documented, owned, used in normal operations and supported by basic evidence or metrics.</t>
  </si>
  <si>
    <t>Benefits realization tracking for resilience, digital and operational initiatives is measured, periodically reviewed, integrated with related processes and tested against relevant disruption scenarios.</t>
  </si>
  <si>
    <t>Benefits realization tracking for resilience, digital and operational initiatives is optimized, continuously improved, automated where practical and demonstrably supports crisis resilience.</t>
  </si>
  <si>
    <t>Assign owner, collect evidence, assess gaps, define mitigation actions, and test benefits realization tracking for resilience, digital and operational initiatives against scenarios: Execution failure; Delivery disruption; Decision failure.</t>
  </si>
  <si>
    <t>QUAL-014</t>
  </si>
  <si>
    <t>How mature is the organization in managing change adoption management with communication, training, sponsor accountability and adoption metrics, including ownership, evidence, metrics, fallback procedures and crisis stress testing?</t>
  </si>
  <si>
    <t>Policy/SOP; owner/RACI; system report; dashboard; contracts; test records; incident history; interview evidence related to change adoption management with communication, training, sponsor accountability and adoption metrics.</t>
  </si>
  <si>
    <t>No reliable evidence that change adoption management with communication, training, sponsor accountability and adoption metrics is defined, owned or managed.</t>
  </si>
  <si>
    <t>Change adoption management with communication, training, sponsor accountability and adoption metrics is handled informally and depends on individual knowledge or heroic effort.</t>
  </si>
  <si>
    <t>Change adoption management with communication, training, sponsor accountability and adoption metrics is partially documented or implemented, but coverage is inconsistent and not crisis-tested.</t>
  </si>
  <si>
    <t>Change adoption management with communication, training, sponsor accountability and adoption metrics is documented, owned, used in normal operations and supported by basic evidence or metrics.</t>
  </si>
  <si>
    <t>Change adoption management with communication, training, sponsor accountability and adoption metrics is measured, periodically reviewed, integrated with related processes and tested against relevant disruption scenarios.</t>
  </si>
  <si>
    <t>Change adoption management with communication, training, sponsor accountability and adoption metrics is optimized, continuously improved, automated where practical and demonstrably supports crisis resilience.</t>
  </si>
  <si>
    <t>Assign owner, collect evidence, assess gaps, define mitigation actions, and test change adoption management with communication, training, sponsor accountability and adoption metrics against scenarios: Execution failure; Delivery disruption; Decision failure.</t>
  </si>
  <si>
    <t>QUAL-015</t>
  </si>
  <si>
    <t>How mature is the organization in managing improvement backlog linked to incidents, audits, customer feedback, risk and strategy, including ownership, evidence, metrics, fallback procedures and crisis stress testing?</t>
  </si>
  <si>
    <t>Policy/SOP; owner/RACI; system report; dashboard; contracts; test records; incident history; interview evidence related to improvement backlog linked to incidents, audits, customer feedback, risk and strategy.</t>
  </si>
  <si>
    <t>No reliable evidence that improvement backlog linked to incidents, audits, customer feedback, risk and strategy is defined, owned or managed.</t>
  </si>
  <si>
    <t>Improvement backlog linked to incidents, audits, customer feedback, risk and strategy is handled informally and depends on individual knowledge or heroic effort.</t>
  </si>
  <si>
    <t>Improvement backlog linked to incidents, audits, customer feedback, risk and strategy is partially documented or implemented, but coverage is inconsistent and not crisis-tested.</t>
  </si>
  <si>
    <t>Improvement backlog linked to incidents, audits, customer feedback, risk and strategy is documented, owned, used in normal operations and supported by basic evidence or metrics.</t>
  </si>
  <si>
    <t>Improvement backlog linked to incidents, audits, customer feedback, risk and strategy is measured, periodically reviewed, integrated with related processes and tested against relevant disruption scenarios.</t>
  </si>
  <si>
    <t>Improvement backlog linked to incidents, audits, customer feedback, risk and strategy is optimized, continuously improved, automated where practical and demonstrably supports crisis resilience.</t>
  </si>
  <si>
    <t>Assign owner, collect evidence, assess gaps, define mitigation actions, and test improvement backlog linked to incidents, audits, customer feedback, risk and strategy against scenarios: Execution failure; Delivery disruption; Decision failure.</t>
  </si>
  <si>
    <t>QUAL-016</t>
  </si>
  <si>
    <t>How mature is the organization in managing KPI hierarchy from strategy to functions, processes, teams and crisis readiness, including ownership, evidence, metrics, fallback procedures and crisis stress testing?</t>
  </si>
  <si>
    <t>Policy/SOP; owner/RACI; system report; dashboard; contracts; test records; incident history; interview evidence related to KPI hierarchy from strategy to functions, processes, teams and crisis readiness.</t>
  </si>
  <si>
    <t>No reliable evidence that kpi hierarchy from strategy to functions, processes, teams and crisis readiness is defined, owned or managed.</t>
  </si>
  <si>
    <t>KPI hierarchy from strategy to functions, processes, teams and crisis readiness is handled informally and depends on individual knowledge or heroic effort.</t>
  </si>
  <si>
    <t>KPI hierarchy from strategy to functions, processes, teams and crisis readiness is partially documented or implemented, but coverage is inconsistent and not crisis-tested.</t>
  </si>
  <si>
    <t>KPI hierarchy from strategy to functions, processes, teams and crisis readiness is documented, owned, used in normal operations and supported by basic evidence or metrics.</t>
  </si>
  <si>
    <t>KPI hierarchy from strategy to functions, processes, teams and crisis readiness is measured, periodically reviewed, integrated with related processes and tested against relevant disruption scenarios.</t>
  </si>
  <si>
    <t>KPI hierarchy from strategy to functions, processes, teams and crisis readiness is optimized, continuously improved, automated where practical and demonstrably supports crisis resilience.</t>
  </si>
  <si>
    <t>Assign owner, collect evidence, assess gaps, define mitigation actions, and test KPI hierarchy from strategy to functions, processes, teams and crisis readiness against scenarios: Execution failure; Delivery disruption; Decision failure.</t>
  </si>
  <si>
    <t>QUAL-017</t>
  </si>
  <si>
    <t>How mature is the organization in managing management review of performance, risks, audit findings, incidents, customers and improvements, including ownership, evidence, metrics, fallback procedures and crisis stress testing?</t>
  </si>
  <si>
    <t>Policy/SOP; owner/RACI; system report; dashboard; contracts; test records; incident history; interview evidence related to management review of performance, risks, audit findings, incidents, customers and improvements.</t>
  </si>
  <si>
    <t>No reliable evidence that management review of performance, risks, audit findings, incidents, customers and improvements is defined, owned or managed.</t>
  </si>
  <si>
    <t>Management review of performance, risks, audit findings, incidents, customers and improvements is handled informally and depends on individual knowledge or heroic effort.</t>
  </si>
  <si>
    <t>Management review of performance, risks, audit findings, incidents, customers and improvements is partially documented or implemented, but coverage is inconsistent and not crisis-tested.</t>
  </si>
  <si>
    <t>Management review of performance, risks, audit findings, incidents, customers and improvements is documented, owned, used in normal operations and supported by basic evidence or metrics.</t>
  </si>
  <si>
    <t>Management review of performance, risks, audit findings, incidents, customers and improvements is measured, periodically reviewed, integrated with related processes and tested against relevant disruption scenarios.</t>
  </si>
  <si>
    <t>Management review of performance, risks, audit findings, incidents, customers and improvements is optimized, continuously improved, automated where practical and demonstrably supports crisis resilience.</t>
  </si>
  <si>
    <t>Assign owner, collect evidence, assess gaps, define mitigation actions, and test management review of performance, risks, audit findings, incidents, customers and improvements against scenarios: Execution failure; Delivery disruption; Decision failure.</t>
  </si>
  <si>
    <t>QUAL-018</t>
  </si>
  <si>
    <t>How mature is the organization in managing decision log for major decisions with alternatives, risks, assumptions, owners and follow-up, including ownership, evidence, metrics, fallback procedures and crisis stress testing?</t>
  </si>
  <si>
    <t>Policy/SOP; owner/RACI; system report; dashboard; contracts; test records; incident history; interview evidence related to decision log for major decisions with alternatives, risks, assumptions, owners and follow-up.</t>
  </si>
  <si>
    <t>No reliable evidence that decision log for major decisions with alternatives, risks, assumptions, owners and follow-up is defined, owned or managed.</t>
  </si>
  <si>
    <t>Decision log for major decisions with alternatives, risks, assumptions, owners and follow-up is handled informally and depends on individual knowledge or heroic effort.</t>
  </si>
  <si>
    <t>Decision log for major decisions with alternatives, risks, assumptions, owners and follow-up is partially documented or implemented, but coverage is inconsistent and not crisis-tested.</t>
  </si>
  <si>
    <t>Decision log for major decisions with alternatives, risks, assumptions, owners and follow-up is documented, owned, used in normal operations and supported by basic evidence or metrics.</t>
  </si>
  <si>
    <t>Decision log for major decisions with alternatives, risks, assumptions, owners and follow-up is measured, periodically reviewed, integrated with related processes and tested against relevant disruption scenarios.</t>
  </si>
  <si>
    <t>Decision log for major decisions with alternatives, risks, assumptions, owners and follow-up is optimized, continuously improved, automated where practical and demonstrably supports crisis resilience.</t>
  </si>
  <si>
    <t>Assign owner, collect evidence, assess gaps, define mitigation actions, and test decision log for major decisions with alternatives, risks, assumptions, owners and follow-up against scenarios: Execution failure; Delivery disruption; Decision failure.</t>
  </si>
  <si>
    <t>QUAL-019</t>
  </si>
  <si>
    <t>How mature is the organization in managing evidence readiness for audits, customers, insurers or regulators during crisis, including ownership, evidence, metrics, fallback procedures and crisis stress testing?</t>
  </si>
  <si>
    <t>Policy/SOP; owner/RACI; system report; dashboard; contracts; test records; incident history; interview evidence related to evidence readiness for audits, customers, insurers or regulators during crisis.</t>
  </si>
  <si>
    <t>No reliable evidence that evidence readiness for audits, customers, insurers or regulators during crisis is defined, owned or managed.</t>
  </si>
  <si>
    <t>Evidence readiness for audits, customers, insurers or regulators during crisis is handled informally and depends on individual knowledge or heroic effort.</t>
  </si>
  <si>
    <t>Evidence readiness for audits, customers, insurers or regulators during crisis is partially documented or implemented, but coverage is inconsistent and not crisis-tested.</t>
  </si>
  <si>
    <t>Evidence readiness for audits, customers, insurers or regulators during crisis is documented, owned, used in normal operations and supported by basic evidence or metrics.</t>
  </si>
  <si>
    <t>Evidence readiness for audits, customers, insurers or regulators during crisis is measured, periodically reviewed, integrated with related processes and tested against relevant disruption scenarios.</t>
  </si>
  <si>
    <t>Evidence readiness for audits, customers, insurers or regulators during crisis is optimized, continuously improved, automated where practical and demonstrably supports crisis resilience.</t>
  </si>
  <si>
    <t>Assign owner, collect evidence, assess gaps, define mitigation actions, and test evidence readiness for audits, customers, insurers or regulators during crisis against scenarios: Execution failure; Delivery disruption; Decision failure.</t>
  </si>
  <si>
    <t>QUAL-020</t>
  </si>
  <si>
    <t>How mature is the organization in managing organizational alignment using McKinsey 7S or equivalent lens, including ownership, evidence, metrics, fallback procedures and crisis stress testing?</t>
  </si>
  <si>
    <t>Policy/SOP; owner/RACI; system report; dashboard; contracts; test records; incident history; interview evidence related to organizational alignment using McKinsey 7S or equivalent lens.</t>
  </si>
  <si>
    <t>No reliable evidence that organizational alignment using mckinsey 7s or equivalent lens is defined, owned or managed.</t>
  </si>
  <si>
    <t>Organizational alignment using McKinsey 7S or equivalent lens is handled informally and depends on individual knowledge or heroic effort.</t>
  </si>
  <si>
    <t>Organizational alignment using McKinsey 7S or equivalent lens is partially documented or implemented, but coverage is inconsistent and not crisis-tested.</t>
  </si>
  <si>
    <t>Organizational alignment using McKinsey 7S or equivalent lens is documented, owned, used in normal operations and supported by basic evidence or metrics.</t>
  </si>
  <si>
    <t>Organizational alignment using McKinsey 7S or equivalent lens is measured, periodically reviewed, integrated with related processes and tested against relevant disruption scenarios.</t>
  </si>
  <si>
    <t>Organizational alignment using McKinsey 7S or equivalent lens is optimized, continuously improved, automated where practical and demonstrably supports crisis resilience.</t>
  </si>
  <si>
    <t>Assign owner, collect evidence, assess gaps, define mitigation actions, and test organizational alignment using McKinsey 7S or equivalent lens against scenarios: Execution failure; Delivery disruption; Decision failure.</t>
  </si>
  <si>
    <t>Spider Dashboards - Crisis Management Assessment</t>
  </si>
  <si>
    <t>Radar charts are driven by scores entered in each domain tab. Blank or N/A scores are excluded from weighted averages. Horizontal metrics use relevance weights added to each questionnaire row.</t>
  </si>
  <si>
    <t>Critical + High</t>
  </si>
  <si>
    <t>Horizontal metric</t>
  </si>
  <si>
    <t>Overall score 0-5</t>
  </si>
  <si>
    <t>Definition</t>
  </si>
  <si>
    <t>Digitalization score</t>
  </si>
  <si>
    <t>Digitalization weight</t>
  </si>
  <si>
    <t>Resilience score</t>
  </si>
  <si>
    <t>Resilience weight</t>
  </si>
  <si>
    <t>Process score</t>
  </si>
  <si>
    <t>Process weight</t>
  </si>
  <si>
    <t>Level of implementation and dependency on digital technologies, systems, data, automation, cloud and platforms.</t>
  </si>
  <si>
    <t>Ability to withstand and recover from crisis scenarios, disruptions, outages, site loss and people/supplier risks.</t>
  </si>
  <si>
    <t>Level of documented, owned, measured, repeatable and continuously improved processes.</t>
  </si>
  <si>
    <t>How to read these spider dashboards</t>
  </si>
  <si>
    <t>Compares all assessment domains by weighted maturity score from the main Dashboard. Use it to identify the weakest crisis exposure areas.</t>
  </si>
  <si>
    <t>Subarea spiders</t>
  </si>
  <si>
    <t>Each domain tab now has a subarea summary and a radar chart. Subareas are calculated from the Subdomain column.</t>
  </si>
  <si>
    <t>Horizontal metrics</t>
  </si>
  <si>
    <t>Digitalization, Resilience and Process Maturity are calculated across all questions using relevance weights in columns W:Y of each domain sheet.</t>
  </si>
  <si>
    <t>Metric weights</t>
  </si>
  <si>
    <t>0 means the question is not relevant to the horizontal metric. 5 means the question strongly affects that metric. You can adjust these weights manually.</t>
  </si>
  <si>
    <t>Recommendation Vocabulary / Matrix</t>
  </si>
  <si>
    <t>Internal admin sheet. Each row is one questionnaire item; score columns contain the next-level recommendation used by the executive recommendation engine.</t>
  </si>
  <si>
    <t>Question ID</t>
  </si>
  <si>
    <t>Score 0 → 1 recommendation</t>
  </si>
  <si>
    <t>Score 1 → 2 recommendation</t>
  </si>
  <si>
    <t>Score 2 → 3 recommendation</t>
  </si>
  <si>
    <t>Score 3 → 4 recommendation</t>
  </si>
  <si>
    <t>Score 4 → 5 recommendation</t>
  </si>
  <si>
    <t>Score 5 sustain recommendation</t>
  </si>
  <si>
    <t>Expected benefit</t>
  </si>
  <si>
    <t>Complexity if score 0</t>
  </si>
  <si>
    <t>Complexity if score 1</t>
  </si>
  <si>
    <t>Complexity if score 2</t>
  </si>
  <si>
    <t>Complexity if score 3</t>
  </si>
  <si>
    <t>Complexity if score 4</t>
  </si>
  <si>
    <t>Complexity if score 5</t>
  </si>
  <si>
    <t>Crisis tags</t>
  </si>
  <si>
    <t>Source sheet row</t>
  </si>
  <si>
    <t>Establish a basic owner and inventory for legal entity structure, ownership, subsidiaries and operating countries. Define minimum policy, evidence location and immediate crisis relevance.</t>
  </si>
  <si>
    <t>Document legal entity structure, ownership, subsidiaries and operating countries, assign RACI, define minimum controls/KPIs and collect evidence across the main business units or sites.</t>
  </si>
  <si>
    <t>Standardize legal entity structure, ownership, subsidiaries and operating countries across the organization, close coverage gaps, link it to crisis scenarios and train accountable roles.</t>
  </si>
  <si>
    <t>Measure legal entity structure, ownership, subsidiaries and operating countries, review it periodically, test it against disruption scenarios and integrate it with dependent processes or systems.</t>
  </si>
  <si>
    <t>Optimize and automate legal entity structure, ownership, subsidiaries and operating countries where practical, use leading indicators, run periodic stress tests and update the crisis playbook.</t>
  </si>
  <si>
    <t>Maintain maturity for legal entity structure, ownership, subsidiaries and operating countries. Monitor drift, keep evidence current, benchmark externally and refresh tests after major changes.</t>
  </si>
  <si>
    <t>Reduces exposure to Geopolitical risk; Physical site loss; Regulatory/legal shock; improves Company profile maturity, continuity and management visibility.</t>
  </si>
  <si>
    <t>Company Geography!5</t>
  </si>
  <si>
    <t>Establish a basic owner and inventory for business model, value proposition, revenue streams and cost drivers. Define minimum policy, evidence location and immediate crisis relevance.</t>
  </si>
  <si>
    <t>Document business model, value proposition, revenue streams and cost drivers, assign RACI, define minimum controls/KPIs and collect evidence across the main business units or sites.</t>
  </si>
  <si>
    <t>Standardize business model, value proposition, revenue streams and cost drivers across the organization, close coverage gaps, link it to crisis scenarios and train accountable roles.</t>
  </si>
  <si>
    <t>Measure business model, value proposition, revenue streams and cost drivers, review it periodically, test it against disruption scenarios and integrate it with dependent processes or systems.</t>
  </si>
  <si>
    <t>Optimize and automate business model, value proposition, revenue streams and cost drivers where practical, use leading indicators, run periodic stress tests and update the crisis playbook.</t>
  </si>
  <si>
    <t>Maintain maturity for business model, value proposition, revenue streams and cost drivers. Monitor drift, keep evidence current, benchmark externally and refresh tests after major changes.</t>
  </si>
  <si>
    <t>Company Geography!6</t>
  </si>
  <si>
    <t>Establish a basic owner and inventory for critical products and services ranked by revenue, margin and continuity priority. Define minimum policy, evidence location and immediate crisis relevance.</t>
  </si>
  <si>
    <t>Document critical products and services ranked by revenue, margin and continuity priority, assign RACI, define minimum controls/KPIs and collect evidence across the main business units or sites.</t>
  </si>
  <si>
    <t>Standardize critical products and services ranked by revenue, margin and continuity priority across the organization, close coverage gaps, link it to crisis scenarios and train accountable roles.</t>
  </si>
  <si>
    <t>Measure critical products and services ranked by revenue, margin and continuity priority, review it periodically, test it against disruption scenarios and integrate it with dependent processes or systems.</t>
  </si>
  <si>
    <t>Optimize and automate critical products and services ranked by revenue, margin and continuity priority where practical, use leading indicators, run periodic stress tests and update the crisis playbook.</t>
  </si>
  <si>
    <t>Maintain maturity for critical products and services ranked by revenue, margin and continuity priority. Monitor drift, keep evidence current, benchmark externally and refresh tests after major changes.</t>
  </si>
  <si>
    <t>Company Geography!7</t>
  </si>
  <si>
    <t>Establish a basic owner and inventory for operating model: centralized, distributed, outsourced, remote or hybrid. Define minimum policy, evidence location and immediate crisis relevance.</t>
  </si>
  <si>
    <t>Document operating model: centralized, distributed, outsourced, remote or hybrid, assign RACI, define minimum controls/KPIs and collect evidence across the main business units or sites.</t>
  </si>
  <si>
    <t>Standardize operating model: centralized, distributed, outsourced, remote or hybrid across the organization, close coverage gaps, link it to crisis scenarios and train accountable roles.</t>
  </si>
  <si>
    <t>Measure operating model: centralized, distributed, outsourced, remote or hybrid, review it periodically, test it against disruption scenarios and integrate it with dependent processes or systems.</t>
  </si>
  <si>
    <t>Optimize and automate operating model: centralized, distributed, outsourced, remote or hybrid where practical, use leading indicators, run periodic stress tests and update the crisis playbook.</t>
  </si>
  <si>
    <t>Maintain maturity for operating model: centralized, distributed, outsourced, remote or hybrid. Monitor drift, keep evidence current, benchmark externally and refresh tests after major changes.</t>
  </si>
  <si>
    <t>Company Geography!8</t>
  </si>
  <si>
    <t>Establish a basic owner and inventory for critical assets: people, facilities, systems, data, equipment and intellectual property. Define minimum policy, evidence location and immediate crisis relevance.</t>
  </si>
  <si>
    <t>Document critical assets: people, facilities, systems, data, equipment and intellectual property, assign RACI, define minimum controls/KPIs and collect evidence across the main business units or sites.</t>
  </si>
  <si>
    <t>Standardize critical assets: people, facilities, systems, data, equipment and intellectual property across the organization, close coverage gaps, link it to crisis scenarios and train accountable roles.</t>
  </si>
  <si>
    <t>Measure critical assets: people, facilities, systems, data, equipment and intellectual property, review it periodically, test it against disruption scenarios and integrate it with dependent processes or systems.</t>
  </si>
  <si>
    <t>Optimize and automate critical assets: people, facilities, systems, data, equipment and intellectual property where practical, use leading indicators, run periodic stress tests and update the crisis playbook.</t>
  </si>
  <si>
    <t>Maintain maturity for critical assets: people, facilities, systems, data, equipment and intellectual property. Monitor drift, keep evidence current, benchmark externally and refresh tests after major changes.</t>
  </si>
  <si>
    <t>Company Geography!9</t>
  </si>
  <si>
    <t>Establish a basic owner and inventory for regulatory exposure by country, market, product and customer type. Define minimum policy, evidence location and immediate crisis relevance.</t>
  </si>
  <si>
    <t>Document regulatory exposure by country, market, product and customer type, assign RACI, define minimum controls/KPIs and collect evidence across the main business units or sites.</t>
  </si>
  <si>
    <t>Standardize regulatory exposure by country, market, product and customer type across the organization, close coverage gaps, link it to crisis scenarios and train accountable roles.</t>
  </si>
  <si>
    <t>Measure regulatory exposure by country, market, product and customer type, review it periodically, test it against disruption scenarios and integrate it with dependent processes or systems.</t>
  </si>
  <si>
    <t>Optimize and automate regulatory exposure by country, market, product and customer type where practical, use leading indicators, run periodic stress tests and update the crisis playbook.</t>
  </si>
  <si>
    <t>Maintain maturity for regulatory exposure by country, market, product and customer type. Monitor drift, keep evidence current, benchmark externally and refresh tests after major changes.</t>
  </si>
  <si>
    <t>Company Geography!10</t>
  </si>
  <si>
    <t>Establish a basic owner and inventory for insurance coverage for business interruption, cyber, liability, property and key assets. Define minimum policy, evidence location and immediate crisis relevance.</t>
  </si>
  <si>
    <t>Document insurance coverage for business interruption, cyber, liability, property and key assets, assign RACI, define minimum controls/KPIs and collect evidence across the main business units or sites.</t>
  </si>
  <si>
    <t>Standardize insurance coverage for business interruption, cyber, liability, property and key assets across the organization, close coverage gaps, link it to crisis scenarios and train accountable roles.</t>
  </si>
  <si>
    <t>Measure insurance coverage for business interruption, cyber, liability, property and key assets, review it periodically, test it against disruption scenarios and integrate it with dependent processes or systems.</t>
  </si>
  <si>
    <t>Optimize and automate insurance coverage for business interruption, cyber, liability, property and key assets where practical, use leading indicators, run periodic stress tests and update the crisis playbook.</t>
  </si>
  <si>
    <t>Maintain maturity for insurance coverage for business interruption, cyber, liability, property and key assets. Monitor drift, keep evidence current, benchmark externally and refresh tests after major changes.</t>
  </si>
  <si>
    <t>Company Geography!11</t>
  </si>
  <si>
    <t>Establish a basic owner and inventory for workforce distribution by country, city, function, contract type and criticality. Define minimum policy, evidence location and immediate crisis relevance.</t>
  </si>
  <si>
    <t>Document workforce distribution by country, city, function, contract type and criticality, assign RACI, define minimum controls/KPIs and collect evidence across the main business units or sites.</t>
  </si>
  <si>
    <t>Standardize workforce distribution by country, city, function, contract type and criticality across the organization, close coverage gaps, link it to crisis scenarios and train accountable roles.</t>
  </si>
  <si>
    <t>Measure workforce distribution by country, city, function, contract type and criticality, review it periodically, test it against disruption scenarios and integrate it with dependent processes or systems.</t>
  </si>
  <si>
    <t>Optimize and automate workforce distribution by country, city, function, contract type and criticality where practical, use leading indicators, run periodic stress tests and update the crisis playbook.</t>
  </si>
  <si>
    <t>Maintain maturity for workforce distribution by country, city, function, contract type and criticality. Monitor drift, keep evidence current, benchmark externally and refresh tests after major changes.</t>
  </si>
  <si>
    <t>Reduces exposure to Geopolitical risk; Physical site loss; Regulatory/legal shock; improves Geographical distribution maturity, continuity and management visibility.</t>
  </si>
  <si>
    <t>Company Geography!12</t>
  </si>
  <si>
    <t>Establish a basic owner and inventory for site distribution across offices, plants, warehouses, stores, labs and data centers. Define minimum policy, evidence location and immediate crisis relevance.</t>
  </si>
  <si>
    <t>Document site distribution across offices, plants, warehouses, stores, labs and data centers, assign RACI, define minimum controls/KPIs and collect evidence across the main business units or sites.</t>
  </si>
  <si>
    <t>Standardize site distribution across offices, plants, warehouses, stores, labs and data centers across the organization, close coverage gaps, link it to crisis scenarios and train accountable roles.</t>
  </si>
  <si>
    <t>Measure site distribution across offices, plants, warehouses, stores, labs and data centers, review it periodically, test it against disruption scenarios and integrate it with dependent processes or systems.</t>
  </si>
  <si>
    <t>Optimize and automate site distribution across offices, plants, warehouses, stores, labs and data centers where practical, use leading indicators, run periodic stress tests and update the crisis playbook.</t>
  </si>
  <si>
    <t>Maintain maturity for site distribution across offices, plants, warehouses, stores, labs and data centers. Monitor drift, keep evidence current, benchmark externally and refresh tests after major changes.</t>
  </si>
  <si>
    <t>Company Geography!13</t>
  </si>
  <si>
    <t>Establish a basic owner and inventory for revenue distribution by country, currency, customer geography and market exposure. Define minimum policy, evidence location and immediate crisis relevance.</t>
  </si>
  <si>
    <t>Document revenue distribution by country, currency, customer geography and market exposure, assign RACI, define minimum controls/KPIs and collect evidence across the main business units or sites.</t>
  </si>
  <si>
    <t>Standardize revenue distribution by country, currency, customer geography and market exposure across the organization, close coverage gaps, link it to crisis scenarios and train accountable roles.</t>
  </si>
  <si>
    <t>Measure revenue distribution by country, currency, customer geography and market exposure, review it periodically, test it against disruption scenarios and integrate it with dependent processes or systems.</t>
  </si>
  <si>
    <t>Optimize and automate revenue distribution by country, currency, customer geography and market exposure where practical, use leading indicators, run periodic stress tests and update the crisis playbook.</t>
  </si>
  <si>
    <t>Maintain maturity for revenue distribution by country, currency, customer geography and market exposure. Monitor drift, keep evidence current, benchmark externally and refresh tests after major changes.</t>
  </si>
  <si>
    <t>Company Geography!14</t>
  </si>
  <si>
    <t>Establish a basic owner and inventory for supplier distribution by country, tier, criticality and replacement options. Define minimum policy, evidence location and immediate crisis relevance.</t>
  </si>
  <si>
    <t>Document supplier distribution by country, tier, criticality and replacement options, assign RACI, define minimum controls/KPIs and collect evidence across the main business units or sites.</t>
  </si>
  <si>
    <t>Standardize supplier distribution by country, tier, criticality and replacement options across the organization, close coverage gaps, link it to crisis scenarios and train accountable roles.</t>
  </si>
  <si>
    <t>Measure supplier distribution by country, tier, criticality and replacement options, review it periodically, test it against disruption scenarios and integrate it with dependent processes or systems.</t>
  </si>
  <si>
    <t>Optimize and automate supplier distribution by country, tier, criticality and replacement options where practical, use leading indicators, run periodic stress tests and update the crisis playbook.</t>
  </si>
  <si>
    <t>Maintain maturity for supplier distribution by country, tier, criticality and replacement options. Monitor drift, keep evidence current, benchmark externally and refresh tests after major changes.</t>
  </si>
  <si>
    <t>Company Geography!15</t>
  </si>
  <si>
    <t>Establish a basic owner and inventory for customer distribution by geography, industry, contract and crisis sensitivity. Define minimum policy, evidence location and immediate crisis relevance.</t>
  </si>
  <si>
    <t>Document customer distribution by geography, industry, contract and crisis sensitivity, assign RACI, define minimum controls/KPIs and collect evidence across the main business units or sites.</t>
  </si>
  <si>
    <t>Standardize customer distribution by geography, industry, contract and crisis sensitivity across the organization, close coverage gaps, link it to crisis scenarios and train accountable roles.</t>
  </si>
  <si>
    <t>Measure customer distribution by geography, industry, contract and crisis sensitivity, review it periodically, test it against disruption scenarios and integrate it with dependent processes or systems.</t>
  </si>
  <si>
    <t>Optimize and automate customer distribution by geography, industry, contract and crisis sensitivity where practical, use leading indicators, run periodic stress tests and update the crisis playbook.</t>
  </si>
  <si>
    <t>Maintain maturity for customer distribution by geography, industry, contract and crisis sensitivity. Monitor drift, keep evidence current, benchmark externally and refresh tests after major changes.</t>
  </si>
  <si>
    <t>Company Geography!16</t>
  </si>
  <si>
    <t>Establish a basic owner and inventory for country risk monitoring for war, sanctions, political instability, natural disaster and energy risks. Define minimum policy, evidence location and immediate crisis relevance.</t>
  </si>
  <si>
    <t>Document country risk monitoring for war, sanctions, political instability, natural disaster and energy risks, assign RACI, define minimum controls/KPIs and collect evidence across the main business units or sites.</t>
  </si>
  <si>
    <t>Standardize country risk monitoring for war, sanctions, political instability, natural disaster and energy risks across the organization, close coverage gaps, link it to crisis scenarios and train accountable roles.</t>
  </si>
  <si>
    <t>Measure country risk monitoring for war, sanctions, political instability, natural disaster and energy risks, review it periodically, test it against disruption scenarios and integrate it with dependent processes or systems.</t>
  </si>
  <si>
    <t>Optimize and automate country risk monitoring for war, sanctions, political instability, natural disaster and energy risks where practical, use leading indicators, run periodic stress tests and update the crisis playbook.</t>
  </si>
  <si>
    <t>Maintain maturity for country risk monitoring for war, sanctions, political instability, natural disaster and energy risks. Monitor drift, keep evidence current, benchmark externally and refresh tests after major changes.</t>
  </si>
  <si>
    <t>Company Geography!17</t>
  </si>
  <si>
    <t>Establish a basic owner and inventory for relocation and alternative location options for critical teams and operations. Define minimum policy, evidence location and immediate crisis relevance.</t>
  </si>
  <si>
    <t>Document relocation and alternative location options for critical teams and operations, assign RACI, define minimum controls/KPIs and collect evidence across the main business units or sites.</t>
  </si>
  <si>
    <t>Standardize relocation and alternative location options for critical teams and operations across the organization, close coverage gaps, link it to crisis scenarios and train accountable roles.</t>
  </si>
  <si>
    <t>Measure relocation and alternative location options for critical teams and operations, review it periodically, test it against disruption scenarios and integrate it with dependent processes or systems.</t>
  </si>
  <si>
    <t>Optimize and automate relocation and alternative location options for critical teams and operations where practical, use leading indicators, run periodic stress tests and update the crisis playbook.</t>
  </si>
  <si>
    <t>Maintain maturity for relocation and alternative location options for critical teams and operations. Monitor drift, keep evidence current, benchmark externally and refresh tests after major changes.</t>
  </si>
  <si>
    <t>Company Geography!18</t>
  </si>
  <si>
    <t>Establish a basic owner and inventory for dependencies between sites, teams, suppliers, customers, systems and critical processes. Define minimum policy, evidence location and immediate crisis relevance.</t>
  </si>
  <si>
    <t>Document dependencies between sites, teams, suppliers, customers, systems and critical processes, assign RACI, define minimum controls/KPIs and collect evidence across the main business units or sites.</t>
  </si>
  <si>
    <t>Standardize dependencies between sites, teams, suppliers, customers, systems and critical processes across the organization, close coverage gaps, link it to crisis scenarios and train accountable roles.</t>
  </si>
  <si>
    <t>Measure dependencies between sites, teams, suppliers, customers, systems and critical processes, review it periodically, test it against disruption scenarios and integrate it with dependent processes or systems.</t>
  </si>
  <si>
    <t>Optimize and automate dependencies between sites, teams, suppliers, customers, systems and critical processes where practical, use leading indicators, run periodic stress tests and update the crisis playbook.</t>
  </si>
  <si>
    <t>Maintain maturity for dependencies between sites, teams, suppliers, customers, systems and critical processes. Monitor drift, keep evidence current, benchmark externally and refresh tests after major changes.</t>
  </si>
  <si>
    <t>Reduces exposure to Geopolitical risk; Physical site loss; Regulatory/legal shock; improves Context and dependencies maturity, continuity and management visibility.</t>
  </si>
  <si>
    <t>Company Geography!19</t>
  </si>
  <si>
    <t>Establish a basic owner and inventory for single-country, single-site and single-provider concentration risks. Define minimum policy, evidence location and immediate crisis relevance.</t>
  </si>
  <si>
    <t>Document single-country, single-site and single-provider concentration risks, assign RACI, define minimum controls/KPIs and collect evidence across the main business units or sites.</t>
  </si>
  <si>
    <t>Standardize single-country, single-site and single-provider concentration risks across the organization, close coverage gaps, link it to crisis scenarios and train accountable roles.</t>
  </si>
  <si>
    <t>Measure single-country, single-site and single-provider concentration risks, review it periodically, test it against disruption scenarios and integrate it with dependent processes or systems.</t>
  </si>
  <si>
    <t>Optimize and automate single-country, single-site and single-provider concentration risks where practical, use leading indicators, run periodic stress tests and update the crisis playbook.</t>
  </si>
  <si>
    <t>Maintain maturity for single-country, single-site and single-provider concentration risks. Monitor drift, keep evidence current, benchmark externally and refresh tests after major changes.</t>
  </si>
  <si>
    <t>Company Geography!20</t>
  </si>
  <si>
    <t>Establish a basic owner and inventory for external stakeholder map: owners, banks, regulators, insurers, local authorities and strategic partners. Define minimum policy, evidence location and immediate crisis relevance.</t>
  </si>
  <si>
    <t>Document external stakeholder map: owners, banks, regulators, insurers, local authorities and strategic partners, assign RACI, define minimum controls/KPIs and collect evidence across the main business units or sites.</t>
  </si>
  <si>
    <t>Standardize external stakeholder map: owners, banks, regulators, insurers, local authorities and strategic partners across the organization, close coverage gaps, link it to crisis scenarios and train accountable roles.</t>
  </si>
  <si>
    <t>Measure external stakeholder map: owners, banks, regulators, insurers, local authorities and strategic partners, review it periodically, test it against disruption scenarios and integrate it with dependent processes or systems.</t>
  </si>
  <si>
    <t>Optimize and automate external stakeholder map: owners, banks, regulators, insurers, local authorities and strategic partners where practical, use leading indicators, run periodic stress tests and update the crisis playbook.</t>
  </si>
  <si>
    <t>Maintain maturity for external stakeholder map: owners, banks, regulators, insurers, local authorities and strategic partners. Monitor drift, keep evidence current, benchmark externally and refresh tests after major changes.</t>
  </si>
  <si>
    <t>Company Geography!21</t>
  </si>
  <si>
    <t>Establish a basic owner and inventory for data residency and cross-border transfer exposure by system and geography. Define minimum policy, evidence location and immediate crisis relevance.</t>
  </si>
  <si>
    <t>Document data residency and cross-border transfer exposure by system and geography, assign RACI, define minimum controls/KPIs and collect evidence across the main business units or sites.</t>
  </si>
  <si>
    <t>Standardize data residency and cross-border transfer exposure by system and geography across the organization, close coverage gaps, link it to crisis scenarios and train accountable roles.</t>
  </si>
  <si>
    <t>Measure data residency and cross-border transfer exposure by system and geography, review it periodically, test it against disruption scenarios and integrate it with dependent processes or systems.</t>
  </si>
  <si>
    <t>Optimize and automate data residency and cross-border transfer exposure by system and geography where practical, use leading indicators, run periodic stress tests and update the crisis playbook.</t>
  </si>
  <si>
    <t>Maintain maturity for data residency and cross-border transfer exposure by system and geography. Monitor drift, keep evidence current, benchmark externally and refresh tests after major changes.</t>
  </si>
  <si>
    <t>Company Geography!22</t>
  </si>
  <si>
    <t>Establish a basic owner and inventory for acceptable downtime thresholds by geography, function, customer and process. Define minimum policy, evidence location and immediate crisis relevance.</t>
  </si>
  <si>
    <t>Document acceptable downtime thresholds by geography, function, customer and process, assign RACI, define minimum controls/KPIs and collect evidence across the main business units or sites.</t>
  </si>
  <si>
    <t>Standardize acceptable downtime thresholds by geography, function, customer and process across the organization, close coverage gaps, link it to crisis scenarios and train accountable roles.</t>
  </si>
  <si>
    <t>Measure acceptable downtime thresholds by geography, function, customer and process, review it periodically, test it against disruption scenarios and integrate it with dependent processes or systems.</t>
  </si>
  <si>
    <t>Optimize and automate acceptable downtime thresholds by geography, function, customer and process where practical, use leading indicators, run periodic stress tests and update the crisis playbook.</t>
  </si>
  <si>
    <t>Maintain maturity for acceptable downtime thresholds by geography, function, customer and process. Monitor drift, keep evidence current, benchmark externally and refresh tests after major changes.</t>
  </si>
  <si>
    <t>Company Geography!23</t>
  </si>
  <si>
    <t>Establish a basic owner and inventory for crisis exposure profile for each major business line and operating geography. Define minimum policy, evidence location and immediate crisis relevance.</t>
  </si>
  <si>
    <t>Document crisis exposure profile for each major business line and operating geography, assign RACI, define minimum controls/KPIs and collect evidence across the main business units or sites.</t>
  </si>
  <si>
    <t>Standardize crisis exposure profile for each major business line and operating geography across the organization, close coverage gaps, link it to crisis scenarios and train accountable roles.</t>
  </si>
  <si>
    <t>Measure crisis exposure profile for each major business line and operating geography, review it periodically, test it against disruption scenarios and integrate it with dependent processes or systems.</t>
  </si>
  <si>
    <t>Optimize and automate crisis exposure profile for each major business line and operating geography where practical, use leading indicators, run periodic stress tests and update the crisis playbook.</t>
  </si>
  <si>
    <t>Maintain maturity for crisis exposure profile for each major business line and operating geography. Monitor drift, keep evidence current, benchmark externally and refresh tests after major changes.</t>
  </si>
  <si>
    <t>Company Geography!24</t>
  </si>
  <si>
    <t>Establish a basic owner and inventory for documented strategy translated into objectives, KPIs, budgets and accountable owners. Define minimum policy, evidence location and immediate crisis relevance.</t>
  </si>
  <si>
    <t>Document documented strategy translated into objectives, KPIs, budgets and accountable owners, assign RACI, define minimum controls/KPIs and collect evidence across the main business units or sites.</t>
  </si>
  <si>
    <t>Standardize documented strategy translated into objectives, KPIs, budgets and accountable owners across the organization, close coverage gaps, link it to crisis scenarios and train accountable roles.</t>
  </si>
  <si>
    <t>Measure documented strategy translated into objectives, KPIs, budgets and accountable owners, review it periodically, test it against disruption scenarios and integrate it with dependent processes or systems.</t>
  </si>
  <si>
    <t>Optimize and automate documented strategy translated into objectives, KPIs, budgets and accountable owners where practical, use leading indicators, run periodic stress tests and update the crisis playbook.</t>
  </si>
  <si>
    <t>Maintain maturity for documented strategy translated into objectives, KPIs, budgets and accountable owners. Monitor drift, keep evidence current, benchmark externally and refresh tests after major changes.</t>
  </si>
  <si>
    <t>Reduces exposure to Demand shock; Financial liquidity crisis; Reputation crisis; improves Corporate strategy maturity, continuity and management visibility.</t>
  </si>
  <si>
    <t>Strategy GTM!5</t>
  </si>
  <si>
    <t>Establish a basic owner and inventory for explicit strategic assumptions and periodic challenge of those assumptions. Define minimum policy, evidence location and immediate crisis relevance.</t>
  </si>
  <si>
    <t>Document explicit strategic assumptions and periodic challenge of those assumptions, assign RACI, define minimum controls/KPIs and collect evidence across the main business units or sites.</t>
  </si>
  <si>
    <t>Standardize explicit strategic assumptions and periodic challenge of those assumptions across the organization, close coverage gaps, link it to crisis scenarios and train accountable roles.</t>
  </si>
  <si>
    <t>Measure explicit strategic assumptions and periodic challenge of those assumptions, review it periodically, test it against disruption scenarios and integrate it with dependent processes or systems.</t>
  </si>
  <si>
    <t>Optimize and automate explicit strategic assumptions and periodic challenge of those assumptions where practical, use leading indicators, run periodic stress tests and update the crisis playbook.</t>
  </si>
  <si>
    <t>Maintain maturity for explicit strategic assumptions and periodic challenge of those assumptions. Monitor drift, keep evidence current, benchmark externally and refresh tests after major changes.</t>
  </si>
  <si>
    <t>Strategy GTM!6</t>
  </si>
  <si>
    <t>Establish a basic owner and inventory for crisis-resilient strategy including adaptation, continuity, digital enablement and recovery options. Define minimum policy, evidence location and immediate crisis relevance.</t>
  </si>
  <si>
    <t>Document crisis-resilient strategy including adaptation, continuity, digital enablement and recovery options, assign RACI, define minimum controls/KPIs and collect evidence across the main business units or sites.</t>
  </si>
  <si>
    <t>Standardize crisis-resilient strategy including adaptation, continuity, digital enablement and recovery options across the organization, close coverage gaps, link it to crisis scenarios and train accountable roles.</t>
  </si>
  <si>
    <t>Measure crisis-resilient strategy including adaptation, continuity, digital enablement and recovery options, review it periodically, test it against disruption scenarios and integrate it with dependent processes or systems.</t>
  </si>
  <si>
    <t>Optimize and automate crisis-resilient strategy including adaptation, continuity, digital enablement and recovery options where practical, use leading indicators, run periodic stress tests and update the crisis playbook.</t>
  </si>
  <si>
    <t>Maintain maturity for crisis-resilient strategy including adaptation, continuity, digital enablement and recovery options. Monitor drift, keep evidence current, benchmark externally and refresh tests after major changes.</t>
  </si>
  <si>
    <t>Strategy GTM!7</t>
  </si>
  <si>
    <t>Establish a basic owner and inventory for strategic priorities ranked by business value, urgency, risk and resource constraints. Define minimum policy, evidence location and immediate crisis relevance.</t>
  </si>
  <si>
    <t>Document strategic priorities ranked by business value, urgency, risk and resource constraints, assign RACI, define minimum controls/KPIs and collect evidence across the main business units or sites.</t>
  </si>
  <si>
    <t>Standardize strategic priorities ranked by business value, urgency, risk and resource constraints across the organization, close coverage gaps, link it to crisis scenarios and train accountable roles.</t>
  </si>
  <si>
    <t>Measure strategic priorities ranked by business value, urgency, risk and resource constraints, review it periodically, test it against disruption scenarios and integrate it with dependent processes or systems.</t>
  </si>
  <si>
    <t>Optimize and automate strategic priorities ranked by business value, urgency, risk and resource constraints where practical, use leading indicators, run periodic stress tests and update the crisis playbook.</t>
  </si>
  <si>
    <t>Maintain maturity for strategic priorities ranked by business value, urgency, risk and resource constraints. Monitor drift, keep evidence current, benchmark externally and refresh tests after major changes.</t>
  </si>
  <si>
    <t>Strategy GTM!8</t>
  </si>
  <si>
    <t>Establish a basic owner and inventory for strategic options for pivoting under demand shock, war, regulation, supply or liquidity crisis. Define minimum policy, evidence location and immediate crisis relevance.</t>
  </si>
  <si>
    <t>Document strategic options for pivoting under demand shock, war, regulation, supply or liquidity crisis, assign RACI, define minimum controls/KPIs and collect evidence across the main business units or sites.</t>
  </si>
  <si>
    <t>Standardize strategic options for pivoting under demand shock, war, regulation, supply or liquidity crisis across the organization, close coverage gaps, link it to crisis scenarios and train accountable roles.</t>
  </si>
  <si>
    <t>Measure strategic options for pivoting under demand shock, war, regulation, supply or liquidity crisis, review it periodically, test it against disruption scenarios and integrate it with dependent processes or systems.</t>
  </si>
  <si>
    <t>Optimize and automate strategic options for pivoting under demand shock, war, regulation, supply or liquidity crisis where practical, use leading indicators, run periodic stress tests and update the crisis playbook.</t>
  </si>
  <si>
    <t>Maintain maturity for strategic options for pivoting under demand shock, war, regulation, supply or liquidity crisis. Monitor drift, keep evidence current, benchmark externally and refresh tests after major changes.</t>
  </si>
  <si>
    <t>Strategy GTM!9</t>
  </si>
  <si>
    <t>Establish a basic owner and inventory for alignment between strategy, structure, systems, skills, staff, leadership style and culture. Define minimum policy, evidence location and immediate crisis relevance.</t>
  </si>
  <si>
    <t>Document alignment between strategy, structure, systems, skills, staff, leadership style and culture, assign RACI, define minimum controls/KPIs and collect evidence across the main business units or sites.</t>
  </si>
  <si>
    <t>Standardize alignment between strategy, structure, systems, skills, staff, leadership style and culture across the organization, close coverage gaps, link it to crisis scenarios and train accountable roles.</t>
  </si>
  <si>
    <t>Measure alignment between strategy, structure, systems, skills, staff, leadership style and culture, review it periodically, test it against disruption scenarios and integrate it with dependent processes or systems.</t>
  </si>
  <si>
    <t>Optimize and automate alignment between strategy, structure, systems, skills, staff, leadership style and culture where practical, use leading indicators, run periodic stress tests and update the crisis playbook.</t>
  </si>
  <si>
    <t>Maintain maturity for alignment between strategy, structure, systems, skills, staff, leadership style and culture. Monitor drift, keep evidence current, benchmark externally and refresh tests after major changes.</t>
  </si>
  <si>
    <t>Strategy GTM!10</t>
  </si>
  <si>
    <t>Establish a basic owner and inventory for ideal customer profile by segment, geography, industry, company size, pain, budget and buying trigger. Define minimum policy, evidence location and immediate crisis relevance.</t>
  </si>
  <si>
    <t>Document ideal customer profile by segment, geography, industry, company size, pain, budget and buying trigger, assign RACI, define minimum controls/KPIs and collect evidence across the main business units or sites.</t>
  </si>
  <si>
    <t>Standardize ideal customer profile by segment, geography, industry, company size, pain, budget and buying trigger across the organization, close coverage gaps, link it to crisis scenarios and train accountable roles.</t>
  </si>
  <si>
    <t>Measure ideal customer profile by segment, geography, industry, company size, pain, budget and buying trigger, review it periodically, test it against disruption scenarios and integrate it with dependent processes or systems.</t>
  </si>
  <si>
    <t>Optimize and automate ideal customer profile by segment, geography, industry, company size, pain, budget and buying trigger where practical, use leading indicators, run periodic stress tests and update the crisis playbook.</t>
  </si>
  <si>
    <t>Maintain maturity for ideal customer profile by segment, geography, industry, company size, pain, budget and buying trigger. Monitor drift, keep evidence current, benchmark externally and refresh tests after major changes.</t>
  </si>
  <si>
    <t>Reduces exposure to Demand shock; Financial liquidity crisis; Reputation crisis; improves Market and ICP maturity, continuity and management visibility.</t>
  </si>
  <si>
    <t>Strategy GTM!11</t>
  </si>
  <si>
    <t>Establish a basic owner and inventory for buyer personas covering economic buyer, technical buyer, user, influencer and blocker. Define minimum policy, evidence location and immediate crisis relevance.</t>
  </si>
  <si>
    <t>Document buyer personas covering economic buyer, technical buyer, user, influencer and blocker, assign RACI, define minimum controls/KPIs and collect evidence across the main business units or sites.</t>
  </si>
  <si>
    <t>Standardize buyer personas covering economic buyer, technical buyer, user, influencer and blocker across the organization, close coverage gaps, link it to crisis scenarios and train accountable roles.</t>
  </si>
  <si>
    <t>Measure buyer personas covering economic buyer, technical buyer, user, influencer and blocker, review it periodically, test it against disruption scenarios and integrate it with dependent processes or systems.</t>
  </si>
  <si>
    <t>Optimize and automate buyer personas covering economic buyer, technical buyer, user, influencer and blocker where practical, use leading indicators, run periodic stress tests and update the crisis playbook.</t>
  </si>
  <si>
    <t>Maintain maturity for buyer personas covering economic buyer, technical buyer, user, influencer and blocker. Monitor drift, keep evidence current, benchmark externally and refresh tests after major changes.</t>
  </si>
  <si>
    <t>Strategy GTM!12</t>
  </si>
  <si>
    <t>Establish a basic owner and inventory for validated customer problems, jobs-to-be-done, urgency triggers and willingness to pay. Define minimum policy, evidence location and immediate crisis relevance.</t>
  </si>
  <si>
    <t>Document validated customer problems, jobs-to-be-done, urgency triggers and willingness to pay, assign RACI, define minimum controls/KPIs and collect evidence across the main business units or sites.</t>
  </si>
  <si>
    <t>Standardize validated customer problems, jobs-to-be-done, urgency triggers and willingness to pay across the organization, close coverage gaps, link it to crisis scenarios and train accountable roles.</t>
  </si>
  <si>
    <t>Measure validated customer problems, jobs-to-be-done, urgency triggers and willingness to pay, review it periodically, test it against disruption scenarios and integrate it with dependent processes or systems.</t>
  </si>
  <si>
    <t>Optimize and automate validated customer problems, jobs-to-be-done, urgency triggers and willingness to pay where practical, use leading indicators, run periodic stress tests and update the crisis playbook.</t>
  </si>
  <si>
    <t>Maintain maturity for validated customer problems, jobs-to-be-done, urgency triggers and willingness to pay. Monitor drift, keep evidence current, benchmark externally and refresh tests after major changes.</t>
  </si>
  <si>
    <t>Strategy GTM!13</t>
  </si>
  <si>
    <t>Establish a basic owner and inventory for market segmentation by attractiveness, accessibility, profitability and crisis sensitivity. Define minimum policy, evidence location and immediate crisis relevance.</t>
  </si>
  <si>
    <t>Document market segmentation by attractiveness, accessibility, profitability and crisis sensitivity, assign RACI, define minimum controls/KPIs and collect evidence across the main business units or sites.</t>
  </si>
  <si>
    <t>Standardize market segmentation by attractiveness, accessibility, profitability and crisis sensitivity across the organization, close coverage gaps, link it to crisis scenarios and train accountable roles.</t>
  </si>
  <si>
    <t>Measure market segmentation by attractiveness, accessibility, profitability and crisis sensitivity, review it periodically, test it against disruption scenarios and integrate it with dependent processes or systems.</t>
  </si>
  <si>
    <t>Optimize and automate market segmentation by attractiveness, accessibility, profitability and crisis sensitivity where practical, use leading indicators, run periodic stress tests and update the crisis playbook.</t>
  </si>
  <si>
    <t>Maintain maturity for market segmentation by attractiveness, accessibility, profitability and crisis sensitivity. Monitor drift, keep evidence current, benchmark externally and refresh tests after major changes.</t>
  </si>
  <si>
    <t>Strategy GTM!14</t>
  </si>
  <si>
    <t>Establish a basic owner and inventory for market size and growth assumptions with explicit evidence and uncertainty level. Define minimum policy, evidence location and immediate crisis relevance.</t>
  </si>
  <si>
    <t>Document market size and growth assumptions with explicit evidence and uncertainty level, assign RACI, define minimum controls/KPIs and collect evidence across the main business units or sites.</t>
  </si>
  <si>
    <t>Standardize market size and growth assumptions with explicit evidence and uncertainty level across the organization, close coverage gaps, link it to crisis scenarios and train accountable roles.</t>
  </si>
  <si>
    <t>Measure market size and growth assumptions with explicit evidence and uncertainty level, review it periodically, test it against disruption scenarios and integrate it with dependent processes or systems.</t>
  </si>
  <si>
    <t>Optimize and automate market size and growth assumptions with explicit evidence and uncertainty level where practical, use leading indicators, run periodic stress tests and update the crisis playbook.</t>
  </si>
  <si>
    <t>Maintain maturity for market size and growth assumptions with explicit evidence and uncertainty level. Monitor drift, keep evidence current, benchmark externally and refresh tests after major changes.</t>
  </si>
  <si>
    <t>Strategy GTM!15</t>
  </si>
  <si>
    <t>Establish a basic owner and inventory for customer concentration and exposure to specific industries, geographies or budget cycles. Define minimum policy, evidence location and immediate crisis relevance.</t>
  </si>
  <si>
    <t>Document customer concentration and exposure to specific industries, geographies or budget cycles, assign RACI, define minimum controls/KPIs and collect evidence across the main business units or sites.</t>
  </si>
  <si>
    <t>Standardize customer concentration and exposure to specific industries, geographies or budget cycles across the organization, close coverage gaps, link it to crisis scenarios and train accountable roles.</t>
  </si>
  <si>
    <t>Measure customer concentration and exposure to specific industries, geographies or budget cycles, review it periodically, test it against disruption scenarios and integrate it with dependent processes or systems.</t>
  </si>
  <si>
    <t>Optimize and automate customer concentration and exposure to specific industries, geographies or budget cycles where practical, use leading indicators, run periodic stress tests and update the crisis playbook.</t>
  </si>
  <si>
    <t>Maintain maturity for customer concentration and exposure to specific industries, geographies or budget cycles. Monitor drift, keep evidence current, benchmark externally and refresh tests after major changes.</t>
  </si>
  <si>
    <t>Strategy GTM!16</t>
  </si>
  <si>
    <t>Establish a basic owner and inventory for structured offering catalog with packages, scope, outcomes, assumptions and delivery requirements. Define minimum policy, evidence location and immediate crisis relevance.</t>
  </si>
  <si>
    <t>Document structured offering catalog with packages, scope, outcomes, assumptions and delivery requirements, assign RACI, define minimum controls/KPIs and collect evidence across the main business units or sites.</t>
  </si>
  <si>
    <t>Standardize structured offering catalog with packages, scope, outcomes, assumptions and delivery requirements across the organization, close coverage gaps, link it to crisis scenarios and train accountable roles.</t>
  </si>
  <si>
    <t>Measure structured offering catalog with packages, scope, outcomes, assumptions and delivery requirements, review it periodically, test it against disruption scenarios and integrate it with dependent processes or systems.</t>
  </si>
  <si>
    <t>Optimize and automate structured offering catalog with packages, scope, outcomes, assumptions and delivery requirements where practical, use leading indicators, run periodic stress tests and update the crisis playbook.</t>
  </si>
  <si>
    <t>Maintain maturity for structured offering catalog with packages, scope, outcomes, assumptions and delivery requirements. Monitor drift, keep evidence current, benchmark externally and refresh tests after major changes.</t>
  </si>
  <si>
    <t>Reduces exposure to Demand shock; Financial liquidity crisis; Reputation crisis; improves Offering and positioning maturity, continuity and management visibility.</t>
  </si>
  <si>
    <t>Strategy GTM!17</t>
  </si>
  <si>
    <t>Establish a basic owner and inventory for clear differentiation against direct competitors, substitutes and in-house alternatives. Define minimum policy, evidence location and immediate crisis relevance.</t>
  </si>
  <si>
    <t>Document clear differentiation against direct competitors, substitutes and in-house alternatives, assign RACI, define minimum controls/KPIs and collect evidence across the main business units or sites.</t>
  </si>
  <si>
    <t>Standardize clear differentiation against direct competitors, substitutes and in-house alternatives across the organization, close coverage gaps, link it to crisis scenarios and train accountable roles.</t>
  </si>
  <si>
    <t>Measure clear differentiation against direct competitors, substitutes and in-house alternatives, review it periodically, test it against disruption scenarios and integrate it with dependent processes or systems.</t>
  </si>
  <si>
    <t>Optimize and automate clear differentiation against direct competitors, substitutes and in-house alternatives where practical, use leading indicators, run periodic stress tests and update the crisis playbook.</t>
  </si>
  <si>
    <t>Maintain maturity for clear differentiation against direct competitors, substitutes and in-house alternatives. Monitor drift, keep evidence current, benchmark externally and refresh tests after major changes.</t>
  </si>
  <si>
    <t>Strategy GTM!18</t>
  </si>
  <si>
    <t>Establish a basic owner and inventory for value proposition linked to measurable customer economic value, risk reduction or continuity impact. Define minimum policy, evidence location and immediate crisis relevance.</t>
  </si>
  <si>
    <t>Document value proposition linked to measurable customer economic value, risk reduction or continuity impact, assign RACI, define minimum controls/KPIs and collect evidence across the main business units or sites.</t>
  </si>
  <si>
    <t>Standardize value proposition linked to measurable customer economic value, risk reduction or continuity impact across the organization, close coverage gaps, link it to crisis scenarios and train accountable roles.</t>
  </si>
  <si>
    <t>Measure value proposition linked to measurable customer economic value, risk reduction or continuity impact, review it periodically, test it against disruption scenarios and integrate it with dependent processes or systems.</t>
  </si>
  <si>
    <t>Optimize and automate value proposition linked to measurable customer economic value, risk reduction or continuity impact where practical, use leading indicators, run periodic stress tests and update the crisis playbook.</t>
  </si>
  <si>
    <t>Maintain maturity for value proposition linked to measurable customer economic value, risk reduction or continuity impact. Monitor drift, keep evidence current, benchmark externally and refresh tests after major changes.</t>
  </si>
  <si>
    <t>Strategy GTM!19</t>
  </si>
  <si>
    <t>Establish a basic owner and inventory for pricing strategy with margin thresholds, discount governance and crisis boundaries. Define minimum policy, evidence location and immediate crisis relevance.</t>
  </si>
  <si>
    <t>Document pricing strategy with margin thresholds, discount governance and crisis boundaries, assign RACI, define minimum controls/KPIs and collect evidence across the main business units or sites.</t>
  </si>
  <si>
    <t>Standardize pricing strategy with margin thresholds, discount governance and crisis boundaries across the organization, close coverage gaps, link it to crisis scenarios and train accountable roles.</t>
  </si>
  <si>
    <t>Measure pricing strategy with margin thresholds, discount governance and crisis boundaries, review it periodically, test it against disruption scenarios and integrate it with dependent processes or systems.</t>
  </si>
  <si>
    <t>Optimize and automate pricing strategy with margin thresholds, discount governance and crisis boundaries where practical, use leading indicators, run periodic stress tests and update the crisis playbook.</t>
  </si>
  <si>
    <t>Maintain maturity for pricing strategy with margin thresholds, discount governance and crisis boundaries. Monitor drift, keep evidence current, benchmark externally and refresh tests after major changes.</t>
  </si>
  <si>
    <t>Strategy GTM!20</t>
  </si>
  <si>
    <t>Establish a basic owner and inventory for proof assets such as case studies, references, certifications, security evidence and continuity commitments. Define minimum policy, evidence location and immediate crisis relevance.</t>
  </si>
  <si>
    <t>Document proof assets such as case studies, references, certifications, security evidence and continuity commitments, assign RACI, define minimum controls/KPIs and collect evidence across the main business units or sites.</t>
  </si>
  <si>
    <t>Standardize proof assets such as case studies, references, certifications, security evidence and continuity commitments across the organization, close coverage gaps, link it to crisis scenarios and train accountable roles.</t>
  </si>
  <si>
    <t>Measure proof assets such as case studies, references, certifications, security evidence and continuity commitments, review it periodically, test it against disruption scenarios and integrate it with dependent processes or systems.</t>
  </si>
  <si>
    <t>Optimize and automate proof assets such as case studies, references, certifications, security evidence and continuity commitments where practical, use leading indicators, run periodic stress tests and update the crisis playbook.</t>
  </si>
  <si>
    <t>Maintain maturity for proof assets such as case studies, references, certifications, security evidence and continuity commitments. Monitor drift, keep evidence current, benchmark externally and refresh tests after major changes.</t>
  </si>
  <si>
    <t>Strategy GTM!21</t>
  </si>
  <si>
    <t>Establish a basic owner and inventory for product or service modularity that allows budget-sensitive or crisis-driven adaptation. Define minimum policy, evidence location and immediate crisis relevance.</t>
  </si>
  <si>
    <t>Document product or service modularity that allows budget-sensitive or crisis-driven adaptation, assign RACI, define minimum controls/KPIs and collect evidence across the main business units or sites.</t>
  </si>
  <si>
    <t>Standardize product or service modularity that allows budget-sensitive or crisis-driven adaptation across the organization, close coverage gaps, link it to crisis scenarios and train accountable roles.</t>
  </si>
  <si>
    <t>Measure product or service modularity that allows budget-sensitive or crisis-driven adaptation, review it periodically, test it against disruption scenarios and integrate it with dependent processes or systems.</t>
  </si>
  <si>
    <t>Optimize and automate product or service modularity that allows budget-sensitive or crisis-driven adaptation where practical, use leading indicators, run periodic stress tests and update the crisis playbook.</t>
  </si>
  <si>
    <t>Maintain maturity for product or service modularity that allows budget-sensitive or crisis-driven adaptation. Monitor drift, keep evidence current, benchmark externally and refresh tests after major changes.</t>
  </si>
  <si>
    <t>Strategy GTM!22</t>
  </si>
  <si>
    <t>Establish a basic owner and inventory for sales playbooks for ICPs, offerings, objections, competitors and crisis-specific customer concerns. Define minimum policy, evidence location and immediate crisis relevance.</t>
  </si>
  <si>
    <t>Document sales playbooks for ICPs, offerings, objections, competitors and crisis-specific customer concerns, assign RACI, define minimum controls/KPIs and collect evidence across the main business units or sites.</t>
  </si>
  <si>
    <t>Standardize sales playbooks for ICPs, offerings, objections, competitors and crisis-specific customer concerns across the organization, close coverage gaps, link it to crisis scenarios and train accountable roles.</t>
  </si>
  <si>
    <t>Measure sales playbooks for ICPs, offerings, objections, competitors and crisis-specific customer concerns, review it periodically, test it against disruption scenarios and integrate it with dependent processes or systems.</t>
  </si>
  <si>
    <t>Optimize and automate sales playbooks for ICPs, offerings, objections, competitors and crisis-specific customer concerns where practical, use leading indicators, run periodic stress tests and update the crisis playbook.</t>
  </si>
  <si>
    <t>Maintain maturity for sales playbooks for ICPs, offerings, objections, competitors and crisis-specific customer concerns. Monitor drift, keep evidence current, benchmark externally and refresh tests after major changes.</t>
  </si>
  <si>
    <t>Reduces exposure to Demand shock; Financial liquidity crisis; Reputation crisis; improves GTM execution maturity, continuity and management visibility.</t>
  </si>
  <si>
    <t>Strategy GTM!23</t>
  </si>
  <si>
    <t>Establish a basic owner and inventory for pipeline governance with clear stages, qualification criteria, forecast probability and CRM discipline. Define minimum policy, evidence location and immediate crisis relevance.</t>
  </si>
  <si>
    <t>Document pipeline governance with clear stages, qualification criteria, forecast probability and CRM discipline, assign RACI, define minimum controls/KPIs and collect evidence across the main business units or sites.</t>
  </si>
  <si>
    <t>Standardize pipeline governance with clear stages, qualification criteria, forecast probability and CRM discipline across the organization, close coverage gaps, link it to crisis scenarios and train accountable roles.</t>
  </si>
  <si>
    <t>Measure pipeline governance with clear stages, qualification criteria, forecast probability and CRM discipline, review it periodically, test it against disruption scenarios and integrate it with dependent processes or systems.</t>
  </si>
  <si>
    <t>Optimize and automate pipeline governance with clear stages, qualification criteria, forecast probability and CRM discipline where practical, use leading indicators, run periodic stress tests and update the crisis playbook.</t>
  </si>
  <si>
    <t>Maintain maturity for pipeline governance with clear stages, qualification criteria, forecast probability and CRM discipline. Monitor drift, keep evidence current, benchmark externally and refresh tests after major changes.</t>
  </si>
  <si>
    <t>Strategy GTM!24</t>
  </si>
  <si>
    <t>Establish a basic owner and inventory for channel strategy across direct sales, partners, ecommerce, marketplaces, distributors and digital channels. Define minimum policy, evidence location and immediate crisis relevance.</t>
  </si>
  <si>
    <t>Document channel strategy across direct sales, partners, ecommerce, marketplaces, distributors and digital channels, assign RACI, define minimum controls/KPIs and collect evidence across the main business units or sites.</t>
  </si>
  <si>
    <t>Standardize channel strategy across direct sales, partners, ecommerce, marketplaces, distributors and digital channels across the organization, close coverage gaps, link it to crisis scenarios and train accountable roles.</t>
  </si>
  <si>
    <t>Measure channel strategy across direct sales, partners, ecommerce, marketplaces, distributors and digital channels, review it periodically, test it against disruption scenarios and integrate it with dependent processes or systems.</t>
  </si>
  <si>
    <t>Optimize and automate channel strategy across direct sales, partners, ecommerce, marketplaces, distributors and digital channels where practical, use leading indicators, run periodic stress tests and update the crisis playbook.</t>
  </si>
  <si>
    <t>Maintain maturity for channel strategy across direct sales, partners, ecommerce, marketplaces, distributors and digital channels. Monitor drift, keep evidence current, benchmark externally and refresh tests after major changes.</t>
  </si>
  <si>
    <t>Strategy GTM!25</t>
  </si>
  <si>
    <t>Establish a basic owner and inventory for win/loss analysis feeding back into strategy, offering, pricing and messaging. Define minimum policy, evidence location and immediate crisis relevance.</t>
  </si>
  <si>
    <t>Document win/loss analysis feeding back into strategy, offering, pricing and messaging, assign RACI, define minimum controls/KPIs and collect evidence across the main business units or sites.</t>
  </si>
  <si>
    <t>Standardize win/loss analysis feeding back into strategy, offering, pricing and messaging across the organization, close coverage gaps, link it to crisis scenarios and train accountable roles.</t>
  </si>
  <si>
    <t>Measure win/loss analysis feeding back into strategy, offering, pricing and messaging, review it periodically, test it against disruption scenarios and integrate it with dependent processes or systems.</t>
  </si>
  <si>
    <t>Optimize and automate win/loss analysis feeding back into strategy, offering, pricing and messaging where practical, use leading indicators, run periodic stress tests and update the crisis playbook.</t>
  </si>
  <si>
    <t>Maintain maturity for win/loss analysis feeding back into strategy, offering, pricing and messaging. Monitor drift, keep evidence current, benchmark externally and refresh tests after major changes.</t>
  </si>
  <si>
    <t>Strategy GTM!26</t>
  </si>
  <si>
    <t>Establish a basic owner and inventory for sales forecast stress testing for delayed decisions, budget cuts and customer churn. Define minimum policy, evidence location and immediate crisis relevance.</t>
  </si>
  <si>
    <t>Document sales forecast stress testing for delayed decisions, budget cuts and customer churn, assign RACI, define minimum controls/KPIs and collect evidence across the main business units or sites.</t>
  </si>
  <si>
    <t>Standardize sales forecast stress testing for delayed decisions, budget cuts and customer churn across the organization, close coverage gaps, link it to crisis scenarios and train accountable roles.</t>
  </si>
  <si>
    <t>Measure sales forecast stress testing for delayed decisions, budget cuts and customer churn, review it periodically, test it against disruption scenarios and integrate it with dependent processes or systems.</t>
  </si>
  <si>
    <t>Optimize and automate sales forecast stress testing for delayed decisions, budget cuts and customer churn where practical, use leading indicators, run periodic stress tests and update the crisis playbook.</t>
  </si>
  <si>
    <t>Maintain maturity for sales forecast stress testing for delayed decisions, budget cuts and customer churn. Monitor drift, keep evidence current, benchmark externally and refresh tests after major changes.</t>
  </si>
  <si>
    <t>Strategy GTM!27</t>
  </si>
  <si>
    <t>Establish a basic owner and inventory for leading indicators for demand, churn, pricing pressure, conversion, sales velocity and customer health. Define minimum policy, evidence location and immediate crisis relevance.</t>
  </si>
  <si>
    <t>Document leading indicators for demand, churn, pricing pressure, conversion, sales velocity and customer health, assign RACI, define minimum controls/KPIs and collect evidence across the main business units or sites.</t>
  </si>
  <si>
    <t>Standardize leading indicators for demand, churn, pricing pressure, conversion, sales velocity and customer health across the organization, close coverage gaps, link it to crisis scenarios and train accountable roles.</t>
  </si>
  <si>
    <t>Measure leading indicators for demand, churn, pricing pressure, conversion, sales velocity and customer health, review it periodically, test it against disruption scenarios and integrate it with dependent processes or systems.</t>
  </si>
  <si>
    <t>Optimize and automate leading indicators for demand, churn, pricing pressure, conversion, sales velocity and customer health where practical, use leading indicators, run periodic stress tests and update the crisis playbook.</t>
  </si>
  <si>
    <t>Maintain maturity for leading indicators for demand, churn, pricing pressure, conversion, sales velocity and customer health. Monitor drift, keep evidence current, benchmark externally and refresh tests after major changes.</t>
  </si>
  <si>
    <t>Strategy GTM!28</t>
  </si>
  <si>
    <t>Establish a basic owner and inventory for formal crisis management structure with named roles, deputies, escalation paths and decision authority. Define minimum policy, evidence location and immediate crisis relevance.</t>
  </si>
  <si>
    <t>Document formal crisis management structure with named roles, deputies, escalation paths and decision authority, assign RACI, define minimum controls/KPIs and collect evidence across the main business units or sites.</t>
  </si>
  <si>
    <t>Standardize formal crisis management structure with named roles, deputies, escalation paths and decision authority across the organization, close coverage gaps, link it to crisis scenarios and train accountable roles.</t>
  </si>
  <si>
    <t>Measure formal crisis management structure with named roles, deputies, escalation paths and decision authority, review it periodically, test it against disruption scenarios and integrate it with dependent processes or systems.</t>
  </si>
  <si>
    <t>Optimize and automate formal crisis management structure with named roles, deputies, escalation paths and decision authority where practical, use leading indicators, run periodic stress tests and update the crisis playbook.</t>
  </si>
  <si>
    <t>Maintain maturity for formal crisis management structure with named roles, deputies, escalation paths and decision authority. Monitor drift, keep evidence current, benchmark externally and refresh tests after major changes.</t>
  </si>
  <si>
    <t>Reduces exposure to All crisis types; improves Crisis governance maturity, continuity and management visibility.</t>
  </si>
  <si>
    <t>Governance Crisis!5</t>
  </si>
  <si>
    <t>Establish a basic owner and inventory for executive crisis team trained for cross-functional crisis response. Define minimum policy, evidence location and immediate crisis relevance.</t>
  </si>
  <si>
    <t>Document executive crisis team trained for cross-functional crisis response, assign RACI, define minimum controls/KPIs and collect evidence across the main business units or sites.</t>
  </si>
  <si>
    <t>Standardize executive crisis team trained for cross-functional crisis response across the organization, close coverage gaps, link it to crisis scenarios and train accountable roles.</t>
  </si>
  <si>
    <t>Measure executive crisis team trained for cross-functional crisis response, review it periodically, test it against disruption scenarios and integrate it with dependent processes or systems.</t>
  </si>
  <si>
    <t>Optimize and automate executive crisis team trained for cross-functional crisis response where practical, use leading indicators, run periodic stress tests and update the crisis playbook.</t>
  </si>
  <si>
    <t>Maintain maturity for executive crisis team trained for cross-functional crisis response. Monitor drift, keep evidence current, benchmark externally and refresh tests after major changes.</t>
  </si>
  <si>
    <t>Governance Crisis!6</t>
  </si>
  <si>
    <t>Establish a basic owner and inventory for clear crisis decision rights for finance, people, operations, IT, legal, safety and communications. Define minimum policy, evidence location and immediate crisis relevance.</t>
  </si>
  <si>
    <t>Document clear crisis decision rights for finance, people, operations, IT, legal, safety and communications, assign RACI, define minimum controls/KPIs and collect evidence across the main business units or sites.</t>
  </si>
  <si>
    <t>Standardize clear crisis decision rights for finance, people, operations, IT, legal, safety and communications across the organization, close coverage gaps, link it to crisis scenarios and train accountable roles.</t>
  </si>
  <si>
    <t>Measure clear crisis decision rights for finance, people, operations, IT, legal, safety and communications, review it periodically, test it against disruption scenarios and integrate it with dependent processes or systems.</t>
  </si>
  <si>
    <t>Optimize and automate clear crisis decision rights for finance, people, operations, IT, legal, safety and communications where practical, use leading indicators, run periodic stress tests and update the crisis playbook.</t>
  </si>
  <si>
    <t>Maintain maturity for clear crisis decision rights for finance, people, operations, IT, legal, safety and communications. Monitor drift, keep evidence current, benchmark externally and refresh tests after major changes.</t>
  </si>
  <si>
    <t>Governance Crisis!7</t>
  </si>
  <si>
    <t>Establish a basic owner and inventory for crisis cadence for situation reports, decisions, action owners, deadlines and follow-up. Define minimum policy, evidence location and immediate crisis relevance.</t>
  </si>
  <si>
    <t>Document crisis cadence for situation reports, decisions, action owners, deadlines and follow-up, assign RACI, define minimum controls/KPIs and collect evidence across the main business units or sites.</t>
  </si>
  <si>
    <t>Standardize crisis cadence for situation reports, decisions, action owners, deadlines and follow-up across the organization, close coverage gaps, link it to crisis scenarios and train accountable roles.</t>
  </si>
  <si>
    <t>Measure crisis cadence for situation reports, decisions, action owners, deadlines and follow-up, review it periodically, test it against disruption scenarios and integrate it with dependent processes or systems.</t>
  </si>
  <si>
    <t>Optimize and automate crisis cadence for situation reports, decisions, action owners, deadlines and follow-up where practical, use leading indicators, run periodic stress tests and update the crisis playbook.</t>
  </si>
  <si>
    <t>Maintain maturity for crisis cadence for situation reports, decisions, action owners, deadlines and follow-up. Monitor drift, keep evidence current, benchmark externally and refresh tests after major changes.</t>
  </si>
  <si>
    <t>Governance Crisis!8</t>
  </si>
  <si>
    <t>Establish a basic owner and inventory for board or owner-level oversight of resilience, continuity and enterprise risk. Define minimum policy, evidence location and immediate crisis relevance.</t>
  </si>
  <si>
    <t>Document board or owner-level oversight of resilience, continuity and enterprise risk, assign RACI, define minimum controls/KPIs and collect evidence across the main business units or sites.</t>
  </si>
  <si>
    <t>Standardize board or owner-level oversight of resilience, continuity and enterprise risk across the organization, close coverage gaps, link it to crisis scenarios and train accountable roles.</t>
  </si>
  <si>
    <t>Measure board or owner-level oversight of resilience, continuity and enterprise risk, review it periodically, test it against disruption scenarios and integrate it with dependent processes or systems.</t>
  </si>
  <si>
    <t>Optimize and automate board or owner-level oversight of resilience, continuity and enterprise risk where practical, use leading indicators, run periodic stress tests and update the crisis playbook.</t>
  </si>
  <si>
    <t>Maintain maturity for board or owner-level oversight of resilience, continuity and enterprise risk. Monitor drift, keep evidence current, benchmark externally and refresh tests after major changes.</t>
  </si>
  <si>
    <t>Governance Crisis!9</t>
  </si>
  <si>
    <t>Establish a basic owner and inventory for emergency spending authority and budget release rules. Define minimum policy, evidence location and immediate crisis relevance.</t>
  </si>
  <si>
    <t>Document emergency spending authority and budget release rules, assign RACI, define minimum controls/KPIs and collect evidence across the main business units or sites.</t>
  </si>
  <si>
    <t>Standardize emergency spending authority and budget release rules across the organization, close coverage gaps, link it to crisis scenarios and train accountable roles.</t>
  </si>
  <si>
    <t>Measure emergency spending authority and budget release rules, review it periodically, test it against disruption scenarios and integrate it with dependent processes or systems.</t>
  </si>
  <si>
    <t>Optimize and automate emergency spending authority and budget release rules where practical, use leading indicators, run periodic stress tests and update the crisis playbook.</t>
  </si>
  <si>
    <t>Maintain maturity for emergency spending authority and budget release rules. Monitor drift, keep evidence current, benchmark externally and refresh tests after major changes.</t>
  </si>
  <si>
    <t>Governance Crisis!10</t>
  </si>
  <si>
    <t>Establish a basic owner and inventory for enterprise risk register with owners, likelihood, impact, controls, triggers and residual risk. Define minimum policy, evidence location and immediate crisis relevance.</t>
  </si>
  <si>
    <t>Document enterprise risk register with owners, likelihood, impact, controls, triggers and residual risk, assign RACI, define minimum controls/KPIs and collect evidence across the main business units or sites.</t>
  </si>
  <si>
    <t>Standardize enterprise risk register with owners, likelihood, impact, controls, triggers and residual risk across the organization, close coverage gaps, link it to crisis scenarios and train accountable roles.</t>
  </si>
  <si>
    <t>Measure enterprise risk register with owners, likelihood, impact, controls, triggers and residual risk, review it periodically, test it against disruption scenarios and integrate it with dependent processes or systems.</t>
  </si>
  <si>
    <t>Optimize and automate enterprise risk register with owners, likelihood, impact, controls, triggers and residual risk where practical, use leading indicators, run periodic stress tests and update the crisis playbook.</t>
  </si>
  <si>
    <t>Maintain maturity for enterprise risk register with owners, likelihood, impact, controls, triggers and residual risk. Monitor drift, keep evidence current, benchmark externally and refresh tests after major changes.</t>
  </si>
  <si>
    <t>Reduces exposure to All crisis types; improves Risk and continuity maturity, continuity and management visibility.</t>
  </si>
  <si>
    <t>Governance Crisis!11</t>
  </si>
  <si>
    <t>Establish a basic owner and inventory for risk appetite for safety, cash, cyber, delivery, compliance, reputation and operational continuity. Define minimum policy, evidence location and immediate crisis relevance.</t>
  </si>
  <si>
    <t>Document risk appetite for safety, cash, cyber, delivery, compliance, reputation and operational continuity, assign RACI, define minimum controls/KPIs and collect evidence across the main business units or sites.</t>
  </si>
  <si>
    <t>Standardize risk appetite for safety, cash, cyber, delivery, compliance, reputation and operational continuity across the organization, close coverage gaps, link it to crisis scenarios and train accountable roles.</t>
  </si>
  <si>
    <t>Measure risk appetite for safety, cash, cyber, delivery, compliance, reputation and operational continuity, review it periodically, test it against disruption scenarios and integrate it with dependent processes or systems.</t>
  </si>
  <si>
    <t>Optimize and automate risk appetite for safety, cash, cyber, delivery, compliance, reputation and operational continuity where practical, use leading indicators, run periodic stress tests and update the crisis playbook.</t>
  </si>
  <si>
    <t>Maintain maturity for risk appetite for safety, cash, cyber, delivery, compliance, reputation and operational continuity. Monitor drift, keep evidence current, benchmark externally and refresh tests after major changes.</t>
  </si>
  <si>
    <t>Governance Crisis!12</t>
  </si>
  <si>
    <t>Establish a basic owner and inventory for early warning indicators for major crisis types and objective crisis activation triggers. Define minimum policy, evidence location and immediate crisis relevance.</t>
  </si>
  <si>
    <t>Document early warning indicators for major crisis types and objective crisis activation triggers, assign RACI, define minimum controls/KPIs and collect evidence across the main business units or sites.</t>
  </si>
  <si>
    <t>Standardize early warning indicators for major crisis types and objective crisis activation triggers across the organization, close coverage gaps, link it to crisis scenarios and train accountable roles.</t>
  </si>
  <si>
    <t>Measure early warning indicators for major crisis types and objective crisis activation triggers, review it periodically, test it against disruption scenarios and integrate it with dependent processes or systems.</t>
  </si>
  <si>
    <t>Optimize and automate early warning indicators for major crisis types and objective crisis activation triggers where practical, use leading indicators, run periodic stress tests and update the crisis playbook.</t>
  </si>
  <si>
    <t>Maintain maturity for early warning indicators for major crisis types and objective crisis activation triggers. Monitor drift, keep evidence current, benchmark externally and refresh tests after major changes.</t>
  </si>
  <si>
    <t>Governance Crisis!13</t>
  </si>
  <si>
    <t>Establish a basic owner and inventory for business impact analysis across functions, sites, systems, people and suppliers. Define minimum policy, evidence location and immediate crisis relevance.</t>
  </si>
  <si>
    <t>Document business impact analysis across functions, sites, systems, people and suppliers, assign RACI, define minimum controls/KPIs and collect evidence across the main business units or sites.</t>
  </si>
  <si>
    <t>Standardize business impact analysis across functions, sites, systems, people and suppliers across the organization, close coverage gaps, link it to crisis scenarios and train accountable roles.</t>
  </si>
  <si>
    <t>Measure business impact analysis across functions, sites, systems, people and suppliers, review it periodically, test it against disruption scenarios and integrate it with dependent processes or systems.</t>
  </si>
  <si>
    <t>Optimize and automate business impact analysis across functions, sites, systems, people and suppliers where practical, use leading indicators, run periodic stress tests and update the crisis playbook.</t>
  </si>
  <si>
    <t>Maintain maturity for business impact analysis across functions, sites, systems, people and suppliers. Monitor drift, keep evidence current, benchmark externally and refresh tests after major changes.</t>
  </si>
  <si>
    <t>Governance Crisis!14</t>
  </si>
  <si>
    <t>Establish a basic owner and inventory for business continuity plans covering critical processes, people, systems, sites, suppliers and communication. Define minimum policy, evidence location and immediate crisis relevance.</t>
  </si>
  <si>
    <t>Document business continuity plans covering critical processes, people, systems, sites, suppliers and communication, assign RACI, define minimum controls/KPIs and collect evidence across the main business units or sites.</t>
  </si>
  <si>
    <t>Standardize business continuity plans covering critical processes, people, systems, sites, suppliers and communication across the organization, close coverage gaps, link it to crisis scenarios and train accountable roles.</t>
  </si>
  <si>
    <t>Measure business continuity plans covering critical processes, people, systems, sites, suppliers and communication, review it periodically, test it against disruption scenarios and integrate it with dependent processes or systems.</t>
  </si>
  <si>
    <t>Optimize and automate business continuity plans covering critical processes, people, systems, sites, suppliers and communication where practical, use leading indicators, run periodic stress tests and update the crisis playbook.</t>
  </si>
  <si>
    <t>Maintain maturity for business continuity plans covering critical processes, people, systems, sites, suppliers and communication. Monitor drift, keep evidence current, benchmark externally and refresh tests after major changes.</t>
  </si>
  <si>
    <t>Governance Crisis!15</t>
  </si>
  <si>
    <t>Establish a basic owner and inventory for scenario library covering cyberattack, war/security, site loss, supplier disruption, cloud outage, pandemic, demand shock and liquidity c.... Define minimum policy, evidence location and immediate crisis relevance.</t>
  </si>
  <si>
    <t>Document scenario library covering cyberattack, war/security, site loss, supplier disruption, cloud outage, pandemic, demand shock and liquidity c..., assign RACI, define minimum controls/KPIs and collect evidence across the main business units or sites.</t>
  </si>
  <si>
    <t>Standardize scenario library covering cyberattack, war/security, site loss, supplier disruption, cloud outage, pandemic, demand shock and liquidity c... across the organization, close coverage gaps, link it to crisis scenarios and train accountable roles.</t>
  </si>
  <si>
    <t>Measure scenario library covering cyberattack, war/security, site loss, supplier disruption, cloud outage, pandemic, demand shock and liquidity c..., review it periodically, test it against disruption scenarios and integrate it with dependent processes or systems.</t>
  </si>
  <si>
    <t>Optimize and automate scenario library covering cyberattack, war/security, site loss, supplier disruption, cloud outage, pandemic, demand shock and liquidity c... where practical, use leading indicators, run periodic stress tests and update the crisis playbook.</t>
  </si>
  <si>
    <t>Maintain maturity for scenario library covering cyberattack, war/security, site loss, supplier disruption, cloud outage, pandemic, demand shock and liquidity c.... Monitor drift, keep evidence current, benchmark externally and refresh tests after major changes.</t>
  </si>
  <si>
    <t>Governance Crisis!16</t>
  </si>
  <si>
    <t>Establish a basic owner and inventory for continuity testing through tabletop exercises, simulations and real incident reviews. Define minimum policy, evidence location and immediate crisis relevance.</t>
  </si>
  <si>
    <t>Document continuity testing through tabletop exercises, simulations and real incident reviews, assign RACI, define minimum controls/KPIs and collect evidence across the main business units or sites.</t>
  </si>
  <si>
    <t>Standardize continuity testing through tabletop exercises, simulations and real incident reviews across the organization, close coverage gaps, link it to crisis scenarios and train accountable roles.</t>
  </si>
  <si>
    <t>Measure continuity testing through tabletop exercises, simulations and real incident reviews, review it periodically, test it against disruption scenarios and integrate it with dependent processes or systems.</t>
  </si>
  <si>
    <t>Optimize and automate continuity testing through tabletop exercises, simulations and real incident reviews where practical, use leading indicators, run periodic stress tests and update the crisis playbook.</t>
  </si>
  <si>
    <t>Maintain maturity for continuity testing through tabletop exercises, simulations and real incident reviews. Monitor drift, keep evidence current, benchmark externally and refresh tests after major changes.</t>
  </si>
  <si>
    <t>Governance Crisis!17</t>
  </si>
  <si>
    <t>Establish a basic owner and inventory for common incident classification model for severity, impact, escalation and communication. Define minimum policy, evidence location and immediate crisis relevance.</t>
  </si>
  <si>
    <t>Document common incident classification model for severity, impact, escalation and communication, assign RACI, define minimum controls/KPIs and collect evidence across the main business units or sites.</t>
  </si>
  <si>
    <t>Standardize common incident classification model for severity, impact, escalation and communication across the organization, close coverage gaps, link it to crisis scenarios and train accountable roles.</t>
  </si>
  <si>
    <t>Measure common incident classification model for severity, impact, escalation and communication, review it periodically, test it against disruption scenarios and integrate it with dependent processes or systems.</t>
  </si>
  <si>
    <t>Optimize and automate common incident classification model for severity, impact, escalation and communication where practical, use leading indicators, run periodic stress tests and update the crisis playbook.</t>
  </si>
  <si>
    <t>Maintain maturity for common incident classification model for severity, impact, escalation and communication. Monitor drift, keep evidence current, benchmark externally and refresh tests after major changes.</t>
  </si>
  <si>
    <t>Reduces exposure to All crisis types; improves Incident management maturity, continuity and management visibility.</t>
  </si>
  <si>
    <t>Governance Crisis!18</t>
  </si>
  <si>
    <t>Establish a basic owner and inventory for post-incident review process that converts incidents into corrective and preventive actions. Define minimum policy, evidence location and immediate crisis relevance.</t>
  </si>
  <si>
    <t>Document post-incident review process that converts incidents into corrective and preventive actions, assign RACI, define minimum controls/KPIs and collect evidence across the main business units or sites.</t>
  </si>
  <si>
    <t>Standardize post-incident review process that converts incidents into corrective and preventive actions across the organization, close coverage gaps, link it to crisis scenarios and train accountable roles.</t>
  </si>
  <si>
    <t>Measure post-incident review process that converts incidents into corrective and preventive actions, review it periodically, test it against disruption scenarios and integrate it with dependent processes or systems.</t>
  </si>
  <si>
    <t>Optimize and automate post-incident review process that converts incidents into corrective and preventive actions where practical, use leading indicators, run periodic stress tests and update the crisis playbook.</t>
  </si>
  <si>
    <t>Maintain maturity for post-incident review process that converts incidents into corrective and preventive actions. Monitor drift, keep evidence current, benchmark externally and refresh tests after major changes.</t>
  </si>
  <si>
    <t>Governance Crisis!19</t>
  </si>
  <si>
    <t>Establish a basic owner and inventory for interdependency map linking functions, sites, systems, people, suppliers and customers. Define minimum policy, evidence location and immediate crisis relevance.</t>
  </si>
  <si>
    <t>Document interdependency map linking functions, sites, systems, people, suppliers and customers, assign RACI, define minimum controls/KPIs and collect evidence across the main business units or sites.</t>
  </si>
  <si>
    <t>Standardize interdependency map linking functions, sites, systems, people, suppliers and customers across the organization, close coverage gaps, link it to crisis scenarios and train accountable roles.</t>
  </si>
  <si>
    <t>Measure interdependency map linking functions, sites, systems, people, suppliers and customers, review it periodically, test it against disruption scenarios and integrate it with dependent processes or systems.</t>
  </si>
  <si>
    <t>Optimize and automate interdependency map linking functions, sites, systems, people, suppliers and customers where practical, use leading indicators, run periodic stress tests and update the crisis playbook.</t>
  </si>
  <si>
    <t>Maintain maturity for interdependency map linking functions, sites, systems, people, suppliers and customers. Monitor drift, keep evidence current, benchmark externally and refresh tests after major changes.</t>
  </si>
  <si>
    <t>Governance Crisis!20</t>
  </si>
  <si>
    <t>Establish a basic owner and inventory for crisis communication protocol for employees, customers, suppliers, regulators, insurers and media. Define minimum policy, evidence location and immediate crisis relevance.</t>
  </si>
  <si>
    <t>Document crisis communication protocol for employees, customers, suppliers, regulators, insurers and media, assign RACI, define minimum controls/KPIs and collect evidence across the main business units or sites.</t>
  </si>
  <si>
    <t>Standardize crisis communication protocol for employees, customers, suppliers, regulators, insurers and media across the organization, close coverage gaps, link it to crisis scenarios and train accountable roles.</t>
  </si>
  <si>
    <t>Measure crisis communication protocol for employees, customers, suppliers, regulators, insurers and media, review it periodically, test it against disruption scenarios and integrate it with dependent processes or systems.</t>
  </si>
  <si>
    <t>Optimize and automate crisis communication protocol for employees, customers, suppliers, regulators, insurers and media where practical, use leading indicators, run periodic stress tests and update the crisis playbook.</t>
  </si>
  <si>
    <t>Maintain maturity for crisis communication protocol for employees, customers, suppliers, regulators, insurers and media. Monitor drift, keep evidence current, benchmark externally and refresh tests after major changes.</t>
  </si>
  <si>
    <t>Governance Crisis!21</t>
  </si>
  <si>
    <t>Establish a basic owner and inventory for mass notification and emergency coordination tools. Define minimum policy, evidence location and immediate crisis relevance.</t>
  </si>
  <si>
    <t>Document mass notification and emergency coordination tools, assign RACI, define minimum controls/KPIs and collect evidence across the main business units or sites.</t>
  </si>
  <si>
    <t>Standardize mass notification and emergency coordination tools across the organization, close coverage gaps, link it to crisis scenarios and train accountable roles.</t>
  </si>
  <si>
    <t>Measure mass notification and emergency coordination tools, review it periodically, test it against disruption scenarios and integrate it with dependent processes or systems.</t>
  </si>
  <si>
    <t>Optimize and automate mass notification and emergency coordination tools where practical, use leading indicators, run periodic stress tests and update the crisis playbook.</t>
  </si>
  <si>
    <t>Maintain maturity for mass notification and emergency coordination tools. Monitor drift, keep evidence current, benchmark externally and refresh tests after major changes.</t>
  </si>
  <si>
    <t>Governance Crisis!22</t>
  </si>
  <si>
    <t>Establish a basic owner and inventory for crisis lessons-learned process tied to improvement backlog and management review. Define minimum policy, evidence location and immediate crisis relevance.</t>
  </si>
  <si>
    <t>Document crisis lessons-learned process tied to improvement backlog and management review, assign RACI, define minimum controls/KPIs and collect evidence across the main business units or sites.</t>
  </si>
  <si>
    <t>Standardize crisis lessons-learned process tied to improvement backlog and management review across the organization, close coverage gaps, link it to crisis scenarios and train accountable roles.</t>
  </si>
  <si>
    <t>Measure crisis lessons-learned process tied to improvement backlog and management review, review it periodically, test it against disruption scenarios and integrate it with dependent processes or systems.</t>
  </si>
  <si>
    <t>Optimize and automate crisis lessons-learned process tied to improvement backlog and management review where practical, use leading indicators, run periodic stress tests and update the crisis playbook.</t>
  </si>
  <si>
    <t>Maintain maturity for crisis lessons-learned process tied to improvement backlog and management review. Monitor drift, keep evidence current, benchmark externally and refresh tests after major changes.</t>
  </si>
  <si>
    <t>Governance Crisis!23</t>
  </si>
  <si>
    <t>Establish a basic owner and inventory for workforce inventory by role, location, manager, contract type, employment entity, skill and criticality. Define minimum policy, evidence location and immediate crisis relevance.</t>
  </si>
  <si>
    <t>Document workforce inventory by role, location, manager, contract type, employment entity, skill and criticality, assign RACI, define minimum controls/KPIs and collect evidence across the main business units or sites.</t>
  </si>
  <si>
    <t>Standardize workforce inventory by role, location, manager, contract type, employment entity, skill and criticality across the organization, close coverage gaps, link it to crisis scenarios and train accountable roles.</t>
  </si>
  <si>
    <t>Measure workforce inventory by role, location, manager, contract type, employment entity, skill and criticality, review it periodically, test it against disruption scenarios and integrate it with dependent processes or systems.</t>
  </si>
  <si>
    <t>Optimize and automate workforce inventory by role, location, manager, contract type, employment entity, skill and criticality where practical, use leading indicators, run periodic stress tests and update the crisis playbook.</t>
  </si>
  <si>
    <t>Maintain maturity for workforce inventory by role, location, manager, contract type, employment entity, skill and criticality. Monitor drift, keep evidence current, benchmark externally and refresh tests after major changes.</t>
  </si>
  <si>
    <t>Reduces exposure to Workforce disruption; Pandemic/health crisis; War/security crisis; improves Workforce visibility maturity, continuity and management visibility.</t>
  </si>
  <si>
    <t>HR Workforce!5</t>
  </si>
  <si>
    <t>Establish a basic owner and inventory for critical role mapping by process dependency, customer impact, system access and knowledge concentration. Define minimum policy, evidence location and immediate crisis relevance.</t>
  </si>
  <si>
    <t>Document critical role mapping by process dependency, customer impact, system access and knowledge concentration, assign RACI, define minimum controls/KPIs and collect evidence across the main business units or sites.</t>
  </si>
  <si>
    <t>Standardize critical role mapping by process dependency, customer impact, system access and knowledge concentration across the organization, close coverage gaps, link it to crisis scenarios and train accountable roles.</t>
  </si>
  <si>
    <t>Measure critical role mapping by process dependency, customer impact, system access and knowledge concentration, review it periodically, test it against disruption scenarios and integrate it with dependent processes or systems.</t>
  </si>
  <si>
    <t>Optimize and automate critical role mapping by process dependency, customer impact, system access and knowledge concentration where practical, use leading indicators, run periodic stress tests and update the crisis playbook.</t>
  </si>
  <si>
    <t>Maintain maturity for critical role mapping by process dependency, customer impact, system access and knowledge concentration. Monitor drift, keep evidence current, benchmark externally and refresh tests after major changes.</t>
  </si>
  <si>
    <t>HR Workforce!6</t>
  </si>
  <si>
    <t>Establish a basic owner and inventory for key-person risk for executives, founders, architects, plant specialists, client owners and finance signatories. Define minimum policy, evidence location and immediate crisis relevance.</t>
  </si>
  <si>
    <t>Document key-person risk for executives, founders, architects, plant specialists, client owners and finance signatories, assign RACI, define minimum controls/KPIs and collect evidence across the main business units or sites.</t>
  </si>
  <si>
    <t>Standardize key-person risk for executives, founders, architects, plant specialists, client owners and finance signatories across the organization, close coverage gaps, link it to crisis scenarios and train accountable roles.</t>
  </si>
  <si>
    <t>Measure key-person risk for executives, founders, architects, plant specialists, client owners and finance signatories, review it periodically, test it against disruption scenarios and integrate it with dependent processes or systems.</t>
  </si>
  <si>
    <t>Optimize and automate key-person risk for executives, founders, architects, plant specialists, client owners and finance signatories where practical, use leading indicators, run periodic stress tests and update the crisis playbook.</t>
  </si>
  <si>
    <t>Maintain maturity for key-person risk for executives, founders, architects, plant specialists, client owners and finance signatories. Monitor drift, keep evidence current, benchmark externally and refresh tests after major changes.</t>
  </si>
  <si>
    <t>HR Workforce!7</t>
  </si>
  <si>
    <t>Establish a basic owner and inventory for skills matrix linked to critical processes, systems, products, sites and backup coverage. Define minimum policy, evidence location and immediate crisis relevance.</t>
  </si>
  <si>
    <t>Document skills matrix linked to critical processes, systems, products, sites and backup coverage, assign RACI, define minimum controls/KPIs and collect evidence across the main business units or sites.</t>
  </si>
  <si>
    <t>Standardize skills matrix linked to critical processes, systems, products, sites and backup coverage across the organization, close coverage gaps, link it to crisis scenarios and train accountable roles.</t>
  </si>
  <si>
    <t>Measure skills matrix linked to critical processes, systems, products, sites and backup coverage, review it periodically, test it against disruption scenarios and integrate it with dependent processes or systems.</t>
  </si>
  <si>
    <t>Optimize and automate skills matrix linked to critical processes, systems, products, sites and backup coverage where practical, use leading indicators, run periodic stress tests and update the crisis playbook.</t>
  </si>
  <si>
    <t>Maintain maturity for skills matrix linked to critical processes, systems, products, sites and backup coverage. Monitor drift, keep evidence current, benchmark externally and refresh tests after major changes.</t>
  </si>
  <si>
    <t>HR Workforce!8</t>
  </si>
  <si>
    <t>Establish a basic owner and inventory for minimum staffing levels for critical functions, shifts, production lines and customer support. Define minimum policy, evidence location and immediate crisis relevance.</t>
  </si>
  <si>
    <t>Document minimum staffing levels for critical functions, shifts, production lines and customer support, assign RACI, define minimum controls/KPIs and collect evidence across the main business units or sites.</t>
  </si>
  <si>
    <t>Standardize minimum staffing levels for critical functions, shifts, production lines and customer support across the organization, close coverage gaps, link it to crisis scenarios and train accountable roles.</t>
  </si>
  <si>
    <t>Measure minimum staffing levels for critical functions, shifts, production lines and customer support, review it periodically, test it against disruption scenarios and integrate it with dependent processes or systems.</t>
  </si>
  <si>
    <t>Optimize and automate minimum staffing levels for critical functions, shifts, production lines and customer support where practical, use leading indicators, run periodic stress tests and update the crisis playbook.</t>
  </si>
  <si>
    <t>Maintain maturity for minimum staffing levels for critical functions, shifts, production lines and customer support. Monitor drift, keep evidence current, benchmark externally and refresh tests after major changes.</t>
  </si>
  <si>
    <t>HR Workforce!9</t>
  </si>
  <si>
    <t>Establish a basic owner and inventory for absence trends, sick leave spikes and workforce availability monitoring. Define minimum policy, evidence location and immediate crisis relevance.</t>
  </si>
  <si>
    <t>Document absence trends, sick leave spikes and workforce availability monitoring, assign RACI, define minimum controls/KPIs and collect evidence across the main business units or sites.</t>
  </si>
  <si>
    <t>Standardize absence trends, sick leave spikes and workforce availability monitoring across the organization, close coverage gaps, link it to crisis scenarios and train accountable roles.</t>
  </si>
  <si>
    <t>Measure absence trends, sick leave spikes and workforce availability monitoring, review it periodically, test it against disruption scenarios and integrate it with dependent processes or systems.</t>
  </si>
  <si>
    <t>Optimize and automate absence trends, sick leave spikes and workforce availability monitoring where practical, use leading indicators, run periodic stress tests and update the crisis playbook.</t>
  </si>
  <si>
    <t>Maintain maturity for absence trends, sick leave spikes and workforce availability monitoring. Monitor drift, keep evidence current, benchmark externally and refresh tests after major changes.</t>
  </si>
  <si>
    <t>HR Workforce!10</t>
  </si>
  <si>
    <t>Establish a basic owner and inventory for hiring pipeline resilience for critical roles under market shortage or geographic disruption. Define minimum policy, evidence location and immediate crisis relevance.</t>
  </si>
  <si>
    <t>Document hiring pipeline resilience for critical roles under market shortage or geographic disruption, assign RACI, define minimum controls/KPIs and collect evidence across the main business units or sites.</t>
  </si>
  <si>
    <t>Standardize hiring pipeline resilience for critical roles under market shortage or geographic disruption across the organization, close coverage gaps, link it to crisis scenarios and train accountable roles.</t>
  </si>
  <si>
    <t>Measure hiring pipeline resilience for critical roles under market shortage or geographic disruption, review it periodically, test it against disruption scenarios and integrate it with dependent processes or systems.</t>
  </si>
  <si>
    <t>Optimize and automate hiring pipeline resilience for critical roles under market shortage or geographic disruption where practical, use leading indicators, run periodic stress tests and update the crisis playbook.</t>
  </si>
  <si>
    <t>Maintain maturity for hiring pipeline resilience for critical roles under market shortage or geographic disruption. Monitor drift, keep evidence current, benchmark externally and refresh tests after major changes.</t>
  </si>
  <si>
    <t>Reduces exposure to Workforce disruption; Pandemic/health crisis; War/security crisis; improves Recruitment and retention maturity, continuity and management visibility.</t>
  </si>
  <si>
    <t>HR Workforce!11</t>
  </si>
  <si>
    <t>Establish a basic owner and inventory for time-to-hire tracking by critical role, geography and seniority. Define minimum policy, evidence location and immediate crisis relevance.</t>
  </si>
  <si>
    <t>Document time-to-hire tracking by critical role, geography and seniority, assign RACI, define minimum controls/KPIs and collect evidence across the main business units or sites.</t>
  </si>
  <si>
    <t>Standardize time-to-hire tracking by critical role, geography and seniority across the organization, close coverage gaps, link it to crisis scenarios and train accountable roles.</t>
  </si>
  <si>
    <t>Measure time-to-hire tracking by critical role, geography and seniority, review it periodically, test it against disruption scenarios and integrate it with dependent processes or systems.</t>
  </si>
  <si>
    <t>Optimize and automate time-to-hire tracking by critical role, geography and seniority where practical, use leading indicators, run periodic stress tests and update the crisis playbook.</t>
  </si>
  <si>
    <t>Maintain maturity for time-to-hire tracking by critical role, geography and seniority. Monitor drift, keep evidence current, benchmark externally and refresh tests after major changes.</t>
  </si>
  <si>
    <t>HR Workforce!12</t>
  </si>
  <si>
    <t>Establish a basic owner and inventory for alternative sourcing channels for critical roles, geographies and rare skills. Define minimum policy, evidence location and immediate crisis relevance.</t>
  </si>
  <si>
    <t>Document alternative sourcing channels for critical roles, geographies and rare skills, assign RACI, define minimum controls/KPIs and collect evidence across the main business units or sites.</t>
  </si>
  <si>
    <t>Standardize alternative sourcing channels for critical roles, geographies and rare skills across the organization, close coverage gaps, link it to crisis scenarios and train accountable roles.</t>
  </si>
  <si>
    <t>Measure alternative sourcing channels for critical roles, geographies and rare skills, review it periodically, test it against disruption scenarios and integrate it with dependent processes or systems.</t>
  </si>
  <si>
    <t>Optimize and automate alternative sourcing channels for critical roles, geographies and rare skills where practical, use leading indicators, run periodic stress tests and update the crisis playbook.</t>
  </si>
  <si>
    <t>Maintain maturity for alternative sourcing channels for critical roles, geographies and rare skills. Monitor drift, keep evidence current, benchmark externally and refresh tests after major changes.</t>
  </si>
  <si>
    <t>HR Workforce!13</t>
  </si>
  <si>
    <t>Establish a basic owner and inventory for retention risk monitoring for critical people, high performers and scarce-skill roles. Define minimum policy, evidence location and immediate crisis relevance.</t>
  </si>
  <si>
    <t>Document retention risk monitoring for critical people, high performers and scarce-skill roles, assign RACI, define minimum controls/KPIs and collect evidence across the main business units or sites.</t>
  </si>
  <si>
    <t>Standardize retention risk monitoring for critical people, high performers and scarce-skill roles across the organization, close coverage gaps, link it to crisis scenarios and train accountable roles.</t>
  </si>
  <si>
    <t>Measure retention risk monitoring for critical people, high performers and scarce-skill roles, review it periodically, test it against disruption scenarios and integrate it with dependent processes or systems.</t>
  </si>
  <si>
    <t>Optimize and automate retention risk monitoring for critical people, high performers and scarce-skill roles where practical, use leading indicators, run periodic stress tests and update the crisis playbook.</t>
  </si>
  <si>
    <t>Maintain maturity for retention risk monitoring for critical people, high performers and scarce-skill roles. Monitor drift, keep evidence current, benchmark externally and refresh tests after major changes.</t>
  </si>
  <si>
    <t>HR Workforce!14</t>
  </si>
  <si>
    <t>Establish a basic owner and inventory for compensation and payroll continuity during banking, legal or system disruption. Define minimum policy, evidence location and immediate crisis relevance.</t>
  </si>
  <si>
    <t>Document compensation and payroll continuity during banking, legal or system disruption, assign RACI, define minimum controls/KPIs and collect evidence across the main business units or sites.</t>
  </si>
  <si>
    <t>Standardize compensation and payroll continuity during banking, legal or system disruption across the organization, close coverage gaps, link it to crisis scenarios and train accountable roles.</t>
  </si>
  <si>
    <t>Measure compensation and payroll continuity during banking, legal or system disruption, review it periodically, test it against disruption scenarios and integrate it with dependent processes or systems.</t>
  </si>
  <si>
    <t>Optimize and automate compensation and payroll continuity during banking, legal or system disruption where practical, use leading indicators, run periodic stress tests and update the crisis playbook.</t>
  </si>
  <si>
    <t>Maintain maturity for compensation and payroll continuity during banking, legal or system disruption. Monitor drift, keep evidence current, benchmark externally and refresh tests after major changes.</t>
  </si>
  <si>
    <t>HR Workforce!15</t>
  </si>
  <si>
    <t>Establish a basic owner and inventory for succession planning and deputies for all critical leadership and operational roles. Define minimum policy, evidence location and immediate crisis relevance.</t>
  </si>
  <si>
    <t>Document succession planning and deputies for all critical leadership and operational roles, assign RACI, define minimum controls/KPIs and collect evidence across the main business units or sites.</t>
  </si>
  <si>
    <t>Standardize succession planning and deputies for all critical leadership and operational roles across the organization, close coverage gaps, link it to crisis scenarios and train accountable roles.</t>
  </si>
  <si>
    <t>Measure succession planning and deputies for all critical leadership and operational roles, review it periodically, test it against disruption scenarios and integrate it with dependent processes or systems.</t>
  </si>
  <si>
    <t>Optimize and automate succession planning and deputies for all critical leadership and operational roles where practical, use leading indicators, run periodic stress tests and update the crisis playbook.</t>
  </si>
  <si>
    <t>Maintain maturity for succession planning and deputies for all critical leadership and operational roles. Monitor drift, keep evidence current, benchmark externally and refresh tests after major changes.</t>
  </si>
  <si>
    <t>HR Workforce!16</t>
  </si>
  <si>
    <t>Establish a basic owner and inventory for remote onboarding with secure access, equipment, training and manager support. Define minimum policy, evidence location and immediate crisis relevance.</t>
  </si>
  <si>
    <t>Document remote onboarding with secure access, equipment, training and manager support, assign RACI, define minimum controls/KPIs and collect evidence across the main business units or sites.</t>
  </si>
  <si>
    <t>Standardize remote onboarding with secure access, equipment, training and manager support across the organization, close coverage gaps, link it to crisis scenarios and train accountable roles.</t>
  </si>
  <si>
    <t>Measure remote onboarding with secure access, equipment, training and manager support, review it periodically, test it against disruption scenarios and integrate it with dependent processes or systems.</t>
  </si>
  <si>
    <t>Optimize and automate remote onboarding with secure access, equipment, training and manager support where practical, use leading indicators, run periodic stress tests and update the crisis playbook.</t>
  </si>
  <si>
    <t>Maintain maturity for remote onboarding with secure access, equipment, training and manager support. Monitor drift, keep evidence current, benchmark externally and refresh tests after major changes.</t>
  </si>
  <si>
    <t>Reduces exposure to Workforce disruption; Pandemic/health crisis; War/security crisis; improves Continuity and wellbeing maturity, continuity and management visibility.</t>
  </si>
  <si>
    <t>HR Workforce!17</t>
  </si>
  <si>
    <t>Establish a basic owner and inventory for remote work capability with secure access, connectivity, equipment and documented procedures. Define minimum policy, evidence location and immediate crisis relevance.</t>
  </si>
  <si>
    <t>Document remote work capability with secure access, connectivity, equipment and documented procedures, assign RACI, define minimum controls/KPIs and collect evidence across the main business units or sites.</t>
  </si>
  <si>
    <t>Standardize remote work capability with secure access, connectivity, equipment and documented procedures across the organization, close coverage gaps, link it to crisis scenarios and train accountable roles.</t>
  </si>
  <si>
    <t>Measure remote work capability with secure access, connectivity, equipment and documented procedures, review it periodically, test it against disruption scenarios and integrate it with dependent processes or systems.</t>
  </si>
  <si>
    <t>Optimize and automate remote work capability with secure access, connectivity, equipment and documented procedures where practical, use leading indicators, run periodic stress tests and update the crisis playbook.</t>
  </si>
  <si>
    <t>Maintain maturity for remote work capability with secure access, connectivity, equipment and documented procedures. Monitor drift, keep evidence current, benchmark externally and refresh tests after major changes.</t>
  </si>
  <si>
    <t>HR Workforce!18</t>
  </si>
  <si>
    <t>Establish a basic owner and inventory for backup connectivity options for critical staff and locations. Define minimum policy, evidence location and immediate crisis relevance.</t>
  </si>
  <si>
    <t>Document backup connectivity options for critical staff and locations, assign RACI, define minimum controls/KPIs and collect evidence across the main business units or sites.</t>
  </si>
  <si>
    <t>Standardize backup connectivity options for critical staff and locations across the organization, close coverage gaps, link it to crisis scenarios and train accountable roles.</t>
  </si>
  <si>
    <t>Measure backup connectivity options for critical staff and locations, review it periodically, test it against disruption scenarios and integrate it with dependent processes or systems.</t>
  </si>
  <si>
    <t>Optimize and automate backup connectivity options for critical staff and locations where practical, use leading indicators, run periodic stress tests and update the crisis playbook.</t>
  </si>
  <si>
    <t>Maintain maturity for backup connectivity options for critical staff and locations. Monitor drift, keep evidence current, benchmark externally and refresh tests after major changes.</t>
  </si>
  <si>
    <t>HR Workforce!19</t>
  </si>
  <si>
    <t>Establish a basic owner and inventory for employee location and safety check process during severe incidents. Define minimum policy, evidence location and immediate crisis relevance.</t>
  </si>
  <si>
    <t>Document employee location and safety check process during severe incidents, assign RACI, define minimum controls/KPIs and collect evidence across the main business units or sites.</t>
  </si>
  <si>
    <t>Standardize employee location and safety check process during severe incidents across the organization, close coverage gaps, link it to crisis scenarios and train accountable roles.</t>
  </si>
  <si>
    <t>Measure employee location and safety check process during severe incidents, review it periodically, test it against disruption scenarios and integrate it with dependent processes or systems.</t>
  </si>
  <si>
    <t>Optimize and automate employee location and safety check process during severe incidents where practical, use leading indicators, run periodic stress tests and update the crisis playbook.</t>
  </si>
  <si>
    <t>Maintain maturity for employee location and safety check process during severe incidents. Monitor drift, keep evidence current, benchmark externally and refresh tests after major changes.</t>
  </si>
  <si>
    <t>HR Workforce!20</t>
  </si>
  <si>
    <t>Establish a basic owner and inventory for wellbeing, fatigue, burnout and psychological safety monitoring during prolonged crisis. Define minimum policy, evidence location and immediate crisis relevance.</t>
  </si>
  <si>
    <t>Document wellbeing, fatigue, burnout and psychological safety monitoring during prolonged crisis, assign RACI, define minimum controls/KPIs and collect evidence across the main business units or sites.</t>
  </si>
  <si>
    <t>Standardize wellbeing, fatigue, burnout and psychological safety monitoring during prolonged crisis across the organization, close coverage gaps, link it to crisis scenarios and train accountable roles.</t>
  </si>
  <si>
    <t>Measure wellbeing, fatigue, burnout and psychological safety monitoring during prolonged crisis, review it periodically, test it against disruption scenarios and integrate it with dependent processes or systems.</t>
  </si>
  <si>
    <t>Optimize and automate wellbeing, fatigue, burnout and psychological safety monitoring during prolonged crisis where practical, use leading indicators, run periodic stress tests and update the crisis playbook.</t>
  </si>
  <si>
    <t>Maintain maturity for wellbeing, fatigue, burnout and psychological safety monitoring during prolonged crisis. Monitor drift, keep evidence current, benchmark externally and refresh tests after major changes.</t>
  </si>
  <si>
    <t>HR Workforce!21</t>
  </si>
  <si>
    <t>Establish a basic owner and inventory for emergency HR policies for relocation, evacuation, hardship support, flexible work and temporary staffing. Define minimum policy, evidence location and immediate crisis relevance.</t>
  </si>
  <si>
    <t>Document emergency HR policies for relocation, evacuation, hardship support, flexible work and temporary staffing, assign RACI, define minimum controls/KPIs and collect evidence across the main business units or sites.</t>
  </si>
  <si>
    <t>Standardize emergency HR policies for relocation, evacuation, hardship support, flexible work and temporary staffing across the organization, close coverage gaps, link it to crisis scenarios and train accountable roles.</t>
  </si>
  <si>
    <t>Measure emergency HR policies for relocation, evacuation, hardship support, flexible work and temporary staffing, review it periodically, test it against disruption scenarios and integrate it with dependent processes or systems.</t>
  </si>
  <si>
    <t>Optimize and automate emergency HR policies for relocation, evacuation, hardship support, flexible work and temporary staffing where practical, use leading indicators, run periodic stress tests and update the crisis playbook.</t>
  </si>
  <si>
    <t>Maintain maturity for emergency HR policies for relocation, evacuation, hardship support, flexible work and temporary staffing. Monitor drift, keep evidence current, benchmark externally and refresh tests after major changes.</t>
  </si>
  <si>
    <t>HR Workforce!22</t>
  </si>
  <si>
    <t>Establish a basic owner and inventory for cross-training and knowledge transfer for critical operations and rare skills. Define minimum policy, evidence location and immediate crisis relevance.</t>
  </si>
  <si>
    <t>Document cross-training and knowledge transfer for critical operations and rare skills, assign RACI, define minimum controls/KPIs and collect evidence across the main business units or sites.</t>
  </si>
  <si>
    <t>Standardize cross-training and knowledge transfer for critical operations and rare skills across the organization, close coverage gaps, link it to crisis scenarios and train accountable roles.</t>
  </si>
  <si>
    <t>Measure cross-training and knowledge transfer for critical operations and rare skills, review it periodically, test it against disruption scenarios and integrate it with dependent processes or systems.</t>
  </si>
  <si>
    <t>Optimize and automate cross-training and knowledge transfer for critical operations and rare skills where practical, use leading indicators, run periodic stress tests and update the crisis playbook.</t>
  </si>
  <si>
    <t>Maintain maturity for cross-training and knowledge transfer for critical operations and rare skills. Monitor drift, keep evidence current, benchmark externally and refresh tests after major changes.</t>
  </si>
  <si>
    <t>HR Workforce!23</t>
  </si>
  <si>
    <t>Establish a basic owner and inventory for HRMS reliability, backup, manual fallback and data quality for employee records and emergency contacts. Define minimum policy, evidence location and immediate crisis relevance.</t>
  </si>
  <si>
    <t>Document HRMS reliability, backup, manual fallback and data quality for employee records and emergency contacts, assign RACI, define minimum controls/KPIs and collect evidence across the main business units or sites.</t>
  </si>
  <si>
    <t>Standardize HRMS reliability, backup, manual fallback and data quality for employee records and emergency contacts across the organization, close coverage gaps, link it to crisis scenarios and train accountable roles.</t>
  </si>
  <si>
    <t>Measure HRMS reliability, backup, manual fallback and data quality for employee records and emergency contacts, review it periodically, test it against disruption scenarios and integrate it with dependent processes or systems.</t>
  </si>
  <si>
    <t>Optimize and automate HRMS reliability, backup, manual fallback and data quality for employee records and emergency contacts where practical, use leading indicators, run periodic stress tests and update the crisis playbook.</t>
  </si>
  <si>
    <t>Maintain maturity for HRMS reliability, backup, manual fallback and data quality for employee records and emergency contacts. Monitor drift, keep evidence current, benchmark externally and refresh tests after major changes.</t>
  </si>
  <si>
    <t>Reduces exposure to Workforce disruption; Pandemic/health crisis; War/security crisis; improves HR systems and compliance maturity, continuity and management visibility.</t>
  </si>
  <si>
    <t>HR Workforce!24</t>
  </si>
  <si>
    <t>Establish a basic owner and inventory for joiner-mover-leaver process linked to digital and physical access removal. Define minimum policy, evidence location and immediate crisis relevance.</t>
  </si>
  <si>
    <t>Document joiner-mover-leaver process linked to digital and physical access removal, assign RACI, define minimum controls/KPIs and collect evidence across the main business units or sites.</t>
  </si>
  <si>
    <t>Standardize joiner-mover-leaver process linked to digital and physical access removal across the organization, close coverage gaps, link it to crisis scenarios and train accountable roles.</t>
  </si>
  <si>
    <t>Measure joiner-mover-leaver process linked to digital and physical access removal, review it periodically, test it against disruption scenarios and integrate it with dependent processes or systems.</t>
  </si>
  <si>
    <t>Optimize and automate joiner-mover-leaver process linked to digital and physical access removal where practical, use leading indicators, run periodic stress tests and update the crisis playbook.</t>
  </si>
  <si>
    <t>Maintain maturity for joiner-mover-leaver process linked to digital and physical access removal. Monitor drift, keep evidence current, benchmark externally and refresh tests after major changes.</t>
  </si>
  <si>
    <t>HR Workforce!25</t>
  </si>
  <si>
    <t>Establish a basic owner and inventory for employment compliance by country, contract type, working hours and emergency measures. Define minimum policy, evidence location and immediate crisis relevance.</t>
  </si>
  <si>
    <t>Document employment compliance by country, contract type, working hours and emergency measures, assign RACI, define minimum controls/KPIs and collect evidence across the main business units or sites.</t>
  </si>
  <si>
    <t>Standardize employment compliance by country, contract type, working hours and emergency measures across the organization, close coverage gaps, link it to crisis scenarios and train accountable roles.</t>
  </si>
  <si>
    <t>Measure employment compliance by country, contract type, working hours and emergency measures, review it periodically, test it against disruption scenarios and integrate it with dependent processes or systems.</t>
  </si>
  <si>
    <t>Optimize and automate employment compliance by country, contract type, working hours and emergency measures where practical, use leading indicators, run periodic stress tests and update the crisis playbook.</t>
  </si>
  <si>
    <t>Maintain maturity for employment compliance by country, contract type, working hours and emergency measures. Monitor drift, keep evidence current, benchmark externally and refresh tests after major changes.</t>
  </si>
  <si>
    <t>HR Workforce!26</t>
  </si>
  <si>
    <t>Establish a basic owner and inventory for business travel risk management and employee travel approval process. Define minimum policy, evidence location and immediate crisis relevance.</t>
  </si>
  <si>
    <t>Document business travel risk management and employee travel approval process, assign RACI, define minimum controls/KPIs and collect evidence across the main business units or sites.</t>
  </si>
  <si>
    <t>Standardize business travel risk management and employee travel approval process across the organization, close coverage gaps, link it to crisis scenarios and train accountable roles.</t>
  </si>
  <si>
    <t>Measure business travel risk management and employee travel approval process, review it periodically, test it against disruption scenarios and integrate it with dependent processes or systems.</t>
  </si>
  <si>
    <t>Optimize and automate business travel risk management and employee travel approval process where practical, use leading indicators, run periodic stress tests and update the crisis playbook.</t>
  </si>
  <si>
    <t>Maintain maturity for business travel risk management and employee travel approval process. Monitor drift, keep evidence current, benchmark externally and refresh tests after major changes.</t>
  </si>
  <si>
    <t>HR Workforce!27</t>
  </si>
  <si>
    <t>Establish a basic owner and inventory for health emergency protocols for infectious disease, injury, evacuation and return-to-work. Define minimum policy, evidence location and immediate crisis relevance.</t>
  </si>
  <si>
    <t>Document health emergency protocols for infectious disease, injury, evacuation and return-to-work, assign RACI, define minimum controls/KPIs and collect evidence across the main business units or sites.</t>
  </si>
  <si>
    <t>Standardize health emergency protocols for infectious disease, injury, evacuation and return-to-work across the organization, close coverage gaps, link it to crisis scenarios and train accountable roles.</t>
  </si>
  <si>
    <t>Measure health emergency protocols for infectious disease, injury, evacuation and return-to-work, review it periodically, test it against disruption scenarios and integrate it with dependent processes or systems.</t>
  </si>
  <si>
    <t>Optimize and automate health emergency protocols for infectious disease, injury, evacuation and return-to-work where practical, use leading indicators, run periodic stress tests and update the crisis playbook.</t>
  </si>
  <si>
    <t>Maintain maturity for health emergency protocols for infectious disease, injury, evacuation and return-to-work. Monitor drift, keep evidence current, benchmark externally and refresh tests after major changes.</t>
  </si>
  <si>
    <t>HR Workforce!28</t>
  </si>
  <si>
    <t>Establish a basic owner and inventory for cash visibility by legal entity, bank, currency, restrictions and emergency access. Define minimum policy, evidence location and immediate crisis relevance.</t>
  </si>
  <si>
    <t>Document cash visibility by legal entity, bank, currency, restrictions and emergency access, assign RACI, define minimum controls/KPIs and collect evidence across the main business units or sites.</t>
  </si>
  <si>
    <t>Standardize cash visibility by legal entity, bank, currency, restrictions and emergency access across the organization, close coverage gaps, link it to crisis scenarios and train accountable roles.</t>
  </si>
  <si>
    <t>Measure cash visibility by legal entity, bank, currency, restrictions and emergency access, review it periodically, test it against disruption scenarios and integrate it with dependent processes or systems.</t>
  </si>
  <si>
    <t>Optimize and automate cash visibility by legal entity, bank, currency, restrictions and emergency access where practical, use leading indicators, run periodic stress tests and update the crisis playbook.</t>
  </si>
  <si>
    <t>Maintain maturity for cash visibility by legal entity, bank, currency, restrictions and emergency access. Monitor drift, keep evidence current, benchmark externally and refresh tests after major changes.</t>
  </si>
  <si>
    <t>Reduces exposure to Financial liquidity crisis; Supplier disruption; Fraud risk; improves Financial resilience maturity, continuity and management visibility.</t>
  </si>
  <si>
    <t>Finance Procurement!5</t>
  </si>
  <si>
    <t>Establish a basic owner and inventory for cash-flow forecasting under base, downside and severe crisis scenarios. Define minimum policy, evidence location and immediate crisis relevance.</t>
  </si>
  <si>
    <t>Document cash-flow forecasting under base, downside and severe crisis scenarios, assign RACI, define minimum controls/KPIs and collect evidence across the main business units or sites.</t>
  </si>
  <si>
    <t>Standardize cash-flow forecasting under base, downside and severe crisis scenarios across the organization, close coverage gaps, link it to crisis scenarios and train accountable roles.</t>
  </si>
  <si>
    <t>Measure cash-flow forecasting under base, downside and severe crisis scenarios, review it periodically, test it against disruption scenarios and integrate it with dependent processes or systems.</t>
  </si>
  <si>
    <t>Optimize and automate cash-flow forecasting under base, downside and severe crisis scenarios where practical, use leading indicators, run periodic stress tests and update the crisis playbook.</t>
  </si>
  <si>
    <t>Maintain maturity for cash-flow forecasting under base, downside and severe crisis scenarios. Monitor drift, keep evidence current, benchmark externally and refresh tests after major changes.</t>
  </si>
  <si>
    <t>Finance Procurement!6</t>
  </si>
  <si>
    <t>Establish a basic owner and inventory for liquidity buffers, credit lines, emergency funding options and covenant monitoring. Define minimum policy, evidence location and immediate crisis relevance.</t>
  </si>
  <si>
    <t>Document liquidity buffers, credit lines, emergency funding options and covenant monitoring, assign RACI, define minimum controls/KPIs and collect evidence across the main business units or sites.</t>
  </si>
  <si>
    <t>Standardize liquidity buffers, credit lines, emergency funding options and covenant monitoring across the organization, close coverage gaps, link it to crisis scenarios and train accountable roles.</t>
  </si>
  <si>
    <t>Measure liquidity buffers, credit lines, emergency funding options and covenant monitoring, review it periodically, test it against disruption scenarios and integrate it with dependent processes or systems.</t>
  </si>
  <si>
    <t>Optimize and automate liquidity buffers, credit lines, emergency funding options and covenant monitoring where practical, use leading indicators, run periodic stress tests and update the crisis playbook.</t>
  </si>
  <si>
    <t>Maintain maturity for liquidity buffers, credit lines, emergency funding options and covenant monitoring. Monitor drift, keep evidence current, benchmark externally and refresh tests after major changes.</t>
  </si>
  <si>
    <t>Finance Procurement!7</t>
  </si>
  <si>
    <t>Establish a basic owner and inventory for driver-based financial forecasting linked to sales, delivery, workforce, inventory and production. Define minimum policy, evidence location and immediate crisis relevance.</t>
  </si>
  <si>
    <t>Document driver-based financial forecasting linked to sales, delivery, workforce, inventory and production, assign RACI, define minimum controls/KPIs and collect evidence across the main business units or sites.</t>
  </si>
  <si>
    <t>Standardize driver-based financial forecasting linked to sales, delivery, workforce, inventory and production across the organization, close coverage gaps, link it to crisis scenarios and train accountable roles.</t>
  </si>
  <si>
    <t>Measure driver-based financial forecasting linked to sales, delivery, workforce, inventory and production, review it periodically, test it against disruption scenarios and integrate it with dependent processes or systems.</t>
  </si>
  <si>
    <t>Optimize and automate driver-based financial forecasting linked to sales, delivery, workforce, inventory and production where practical, use leading indicators, run periodic stress tests and update the crisis playbook.</t>
  </si>
  <si>
    <t>Maintain maturity for driver-based financial forecasting linked to sales, delivery, workforce, inventory and production. Monitor drift, keep evidence current, benchmark externally and refresh tests after major changes.</t>
  </si>
  <si>
    <t>Finance Procurement!8</t>
  </si>
  <si>
    <t>Establish a basic owner and inventory for budget flexibility and emergency reallocation rules. Define minimum policy, evidence location and immediate crisis relevance.</t>
  </si>
  <si>
    <t>Document budget flexibility and emergency reallocation rules, assign RACI, define minimum controls/KPIs and collect evidence across the main business units or sites.</t>
  </si>
  <si>
    <t>Standardize budget flexibility and emergency reallocation rules across the organization, close coverage gaps, link it to crisis scenarios and train accountable roles.</t>
  </si>
  <si>
    <t>Measure budget flexibility and emergency reallocation rules, review it periodically, test it against disruption scenarios and integrate it with dependent processes or systems.</t>
  </si>
  <si>
    <t>Optimize and automate budget flexibility and emergency reallocation rules where practical, use leading indicators, run periodic stress tests and update the crisis playbook.</t>
  </si>
  <si>
    <t>Maintain maturity for budget flexibility and emergency reallocation rules. Monitor drift, keep evidence current, benchmark externally and refresh tests after major changes.</t>
  </si>
  <si>
    <t>Finance Procurement!9</t>
  </si>
  <si>
    <t>Establish a basic owner and inventory for financial stress tests for revenue collapse, currency shock, supplier price spikes, debt pressure and delayed receivables. Define minimum policy, evidence location and immediate crisis relevance.</t>
  </si>
  <si>
    <t>Document financial stress tests for revenue collapse, currency shock, supplier price spikes, debt pressure and delayed receivables, assign RACI, define minimum controls/KPIs and collect evidence across the main business units or sites.</t>
  </si>
  <si>
    <t>Standardize financial stress tests for revenue collapse, currency shock, supplier price spikes, debt pressure and delayed receivables across the organization, close coverage gaps, link it to crisis scenarios and train accountable roles.</t>
  </si>
  <si>
    <t>Measure financial stress tests for revenue collapse, currency shock, supplier price spikes, debt pressure and delayed receivables, review it periodically, test it against disruption scenarios and integrate it with dependent processes or systems.</t>
  </si>
  <si>
    <t>Optimize and automate financial stress tests for revenue collapse, currency shock, supplier price spikes, debt pressure and delayed receivables where practical, use leading indicators, run periodic stress tests and update the crisis playbook.</t>
  </si>
  <si>
    <t>Maintain maturity for financial stress tests for revenue collapse, currency shock, supplier price spikes, debt pressure and delayed receivables. Monitor drift, keep evidence current, benchmark externally and refresh tests after major changes.</t>
  </si>
  <si>
    <t>Finance Procurement!10</t>
  </si>
  <si>
    <t>Establish a basic owner and inventory for approval limits and emergency approvals resilient if key approvers are unavailable. Define minimum policy, evidence location and immediate crisis relevance.</t>
  </si>
  <si>
    <t>Document approval limits and emergency approvals resilient if key approvers are unavailable, assign RACI, define minimum controls/KPIs and collect evidence across the main business units or sites.</t>
  </si>
  <si>
    <t>Standardize approval limits and emergency approvals resilient if key approvers are unavailable across the organization, close coverage gaps, link it to crisis scenarios and train accountable roles.</t>
  </si>
  <si>
    <t>Measure approval limits and emergency approvals resilient if key approvers are unavailable, review it periodically, test it against disruption scenarios and integrate it with dependent processes or systems.</t>
  </si>
  <si>
    <t>Optimize and automate approval limits and emergency approvals resilient if key approvers are unavailable where practical, use leading indicators, run periodic stress tests and update the crisis playbook.</t>
  </si>
  <si>
    <t>Maintain maturity for approval limits and emergency approvals resilient if key approvers are unavailable. Monitor drift, keep evidence current, benchmark externally and refresh tests after major changes.</t>
  </si>
  <si>
    <t>Reduces exposure to Financial liquidity crisis; Supplier disruption; Fraud risk; improves Controls and accounting maturity, continuity and management visibility.</t>
  </si>
  <si>
    <t>Finance Procurement!11</t>
  </si>
  <si>
    <t>Establish a basic owner and inventory for segregation of duties in finance, procurement, ERP and payment processes. Define minimum policy, evidence location and immediate crisis relevance.</t>
  </si>
  <si>
    <t>Document segregation of duties in finance, procurement, ERP and payment processes, assign RACI, define minimum controls/KPIs and collect evidence across the main business units or sites.</t>
  </si>
  <si>
    <t>Standardize segregation of duties in finance, procurement, ERP and payment processes across the organization, close coverage gaps, link it to crisis scenarios and train accountable roles.</t>
  </si>
  <si>
    <t>Measure segregation of duties in finance, procurement, ERP and payment processes, review it periodically, test it against disruption scenarios and integrate it with dependent processes or systems.</t>
  </si>
  <si>
    <t>Optimize and automate segregation of duties in finance, procurement, ERP and payment processes where practical, use leading indicators, run periodic stress tests and update the crisis playbook.</t>
  </si>
  <si>
    <t>Maintain maturity for segregation of duties in finance, procurement, ERP and payment processes. Monitor drift, keep evidence current, benchmark externally and refresh tests after major changes.</t>
  </si>
  <si>
    <t>Finance Procurement!12</t>
  </si>
  <si>
    <t>Establish a basic owner and inventory for month-end close continuity under remote work, system outage or unavailable finance staff. Define minimum policy, evidence location and immediate crisis relevance.</t>
  </si>
  <si>
    <t>Document month-end close continuity under remote work, system outage or unavailable finance staff, assign RACI, define minimum controls/KPIs and collect evidence across the main business units or sites.</t>
  </si>
  <si>
    <t>Standardize month-end close continuity under remote work, system outage or unavailable finance staff across the organization, close coverage gaps, link it to crisis scenarios and train accountable roles.</t>
  </si>
  <si>
    <t>Measure month-end close continuity under remote work, system outage or unavailable finance staff, review it periodically, test it against disruption scenarios and integrate it with dependent processes or systems.</t>
  </si>
  <si>
    <t>Optimize and automate month-end close continuity under remote work, system outage or unavailable finance staff where practical, use leading indicators, run periodic stress tests and update the crisis playbook.</t>
  </si>
  <si>
    <t>Maintain maturity for month-end close continuity under remote work, system outage or unavailable finance staff. Monitor drift, keep evidence current, benchmark externally and refresh tests after major changes.</t>
  </si>
  <si>
    <t>Finance Procurement!13</t>
  </si>
  <si>
    <t>Establish a basic owner and inventory for manual fallback procedures for billing, payments, payroll, procurement and accounting close. Define minimum policy, evidence location and immediate crisis relevance.</t>
  </si>
  <si>
    <t>Document manual fallback procedures for billing, payments, payroll, procurement and accounting close, assign RACI, define minimum controls/KPIs and collect evidence across the main business units or sites.</t>
  </si>
  <si>
    <t>Standardize manual fallback procedures for billing, payments, payroll, procurement and accounting close across the organization, close coverage gaps, link it to crisis scenarios and train accountable roles.</t>
  </si>
  <si>
    <t>Measure manual fallback procedures for billing, payments, payroll, procurement and accounting close, review it periodically, test it against disruption scenarios and integrate it with dependent processes or systems.</t>
  </si>
  <si>
    <t>Optimize and automate manual fallback procedures for billing, payments, payroll, procurement and accounting close where practical, use leading indicators, run periodic stress tests and update the crisis playbook.</t>
  </si>
  <si>
    <t>Maintain maturity for manual fallback procedures for billing, payments, payroll, procurement and accounting close. Monitor drift, keep evidence current, benchmark externally and refresh tests after major changes.</t>
  </si>
  <si>
    <t>Finance Procurement!14</t>
  </si>
  <si>
    <t>Establish a basic owner and inventory for fraud risk controls for fake invoices, payment diversion, supplier impersonation and business email compromise. Define minimum policy, evidence location and immediate crisis relevance.</t>
  </si>
  <si>
    <t>Document fraud risk controls for fake invoices, payment diversion, supplier impersonation and business email compromise, assign RACI, define minimum controls/KPIs and collect evidence across the main business units or sites.</t>
  </si>
  <si>
    <t>Standardize fraud risk controls for fake invoices, payment diversion, supplier impersonation and business email compromise across the organization, close coverage gaps, link it to crisis scenarios and train accountable roles.</t>
  </si>
  <si>
    <t>Measure fraud risk controls for fake invoices, payment diversion, supplier impersonation and business email compromise, review it periodically, test it against disruption scenarios and integrate it with dependent processes or systems.</t>
  </si>
  <si>
    <t>Optimize and automate fraud risk controls for fake invoices, payment diversion, supplier impersonation and business email compromise where practical, use leading indicators, run periodic stress tests and update the crisis playbook.</t>
  </si>
  <si>
    <t>Maintain maturity for fraud risk controls for fake invoices, payment diversion, supplier impersonation and business email compromise. Monitor drift, keep evidence current, benchmark externally and refresh tests after major changes.</t>
  </si>
  <si>
    <t>Finance Procurement!15</t>
  </si>
  <si>
    <t>Establish a basic owner and inventory for finance master data controls for chart of accounts, cost centers, vendors, customers and reporting dimensions. Define minimum policy, evidence location and immediate crisis relevance.</t>
  </si>
  <si>
    <t>Document finance master data controls for chart of accounts, cost centers, vendors, customers and reporting dimensions, assign RACI, define minimum controls/KPIs and collect evidence across the main business units or sites.</t>
  </si>
  <si>
    <t>Standardize finance master data controls for chart of accounts, cost centers, vendors, customers and reporting dimensions across the organization, close coverage gaps, link it to crisis scenarios and train accountable roles.</t>
  </si>
  <si>
    <t>Measure finance master data controls for chart of accounts, cost centers, vendors, customers and reporting dimensions, review it periodically, test it against disruption scenarios and integrate it with dependent processes or systems.</t>
  </si>
  <si>
    <t>Optimize and automate finance master data controls for chart of accounts, cost centers, vendors, customers and reporting dimensions where practical, use leading indicators, run periodic stress tests and update the crisis playbook.</t>
  </si>
  <si>
    <t>Maintain maturity for finance master data controls for chart of accounts, cost centers, vendors, customers and reporting dimensions. Monitor drift, keep evidence current, benchmark externally and refresh tests after major changes.</t>
  </si>
  <si>
    <t>Finance Procurement!16</t>
  </si>
  <si>
    <t>Establish a basic owner and inventory for procurement policy covering sourcing, approvals, conflicts of interest and emergency purchasing. Define minimum policy, evidence location and immediate crisis relevance.</t>
  </si>
  <si>
    <t>Document procurement policy covering sourcing, approvals, conflicts of interest and emergency purchasing, assign RACI, define minimum controls/KPIs and collect evidence across the main business units or sites.</t>
  </si>
  <si>
    <t>Standardize procurement policy covering sourcing, approvals, conflicts of interest and emergency purchasing across the organization, close coverage gaps, link it to crisis scenarios and train accountable roles.</t>
  </si>
  <si>
    <t>Measure procurement policy covering sourcing, approvals, conflicts of interest and emergency purchasing, review it periodically, test it against disruption scenarios and integrate it with dependent processes or systems.</t>
  </si>
  <si>
    <t>Optimize and automate procurement policy covering sourcing, approvals, conflicts of interest and emergency purchasing where practical, use leading indicators, run periodic stress tests and update the crisis playbook.</t>
  </si>
  <si>
    <t>Maintain maturity for procurement policy covering sourcing, approvals, conflicts of interest and emergency purchasing. Monitor drift, keep evidence current, benchmark externally and refresh tests after major changes.</t>
  </si>
  <si>
    <t>Reduces exposure to Financial liquidity crisis; Supplier disruption; Fraud risk; improves Procurement and suppliers maturity, continuity and management visibility.</t>
  </si>
  <si>
    <t>Finance Procurement!17</t>
  </si>
  <si>
    <t>Establish a basic owner and inventory for critical supplier classification by business impact, replaceability, geography, financial health and SLA. Define minimum policy, evidence location and immediate crisis relevance.</t>
  </si>
  <si>
    <t>Document critical supplier classification by business impact, replaceability, geography, financial health and SLA, assign RACI, define minimum controls/KPIs and collect evidence across the main business units or sites.</t>
  </si>
  <si>
    <t>Standardize critical supplier classification by business impact, replaceability, geography, financial health and SLA across the organization, close coverage gaps, link it to crisis scenarios and train accountable roles.</t>
  </si>
  <si>
    <t>Measure critical supplier classification by business impact, replaceability, geography, financial health and SLA, review it periodically, test it against disruption scenarios and integrate it with dependent processes or systems.</t>
  </si>
  <si>
    <t>Optimize and automate critical supplier classification by business impact, replaceability, geography, financial health and SLA where practical, use leading indicators, run periodic stress tests and update the crisis playbook.</t>
  </si>
  <si>
    <t>Maintain maturity for critical supplier classification by business impact, replaceability, geography, financial health and SLA. Monitor drift, keep evidence current, benchmark externally and refresh tests after major changes.</t>
  </si>
  <si>
    <t>Finance Procurement!18</t>
  </si>
  <si>
    <t>Establish a basic owner and inventory for single-source and sole-source supplier exposure and mitigation plans. Define minimum policy, evidence location and immediate crisis relevance.</t>
  </si>
  <si>
    <t>Document single-source and sole-source supplier exposure and mitigation plans, assign RACI, define minimum controls/KPIs and collect evidence across the main business units or sites.</t>
  </si>
  <si>
    <t>Standardize single-source and sole-source supplier exposure and mitigation plans across the organization, close coverage gaps, link it to crisis scenarios and train accountable roles.</t>
  </si>
  <si>
    <t>Measure single-source and sole-source supplier exposure and mitigation plans, review it periodically, test it against disruption scenarios and integrate it with dependent processes or systems.</t>
  </si>
  <si>
    <t>Optimize and automate single-source and sole-source supplier exposure and mitigation plans where practical, use leading indicators, run periodic stress tests and update the crisis playbook.</t>
  </si>
  <si>
    <t>Maintain maturity for single-source and sole-source supplier exposure and mitigation plans. Monitor drift, keep evidence current, benchmark externally and refresh tests after major changes.</t>
  </si>
  <si>
    <t>Finance Procurement!19</t>
  </si>
  <si>
    <t>Establish a basic owner and inventory for supplier financial health, sanctions, insurance, delivery reliability and crisis exposure monitoring. Define minimum policy, evidence location and immediate crisis relevance.</t>
  </si>
  <si>
    <t>Document supplier financial health, sanctions, insurance, delivery reliability and crisis exposure monitoring, assign RACI, define minimum controls/KPIs and collect evidence across the main business units or sites.</t>
  </si>
  <si>
    <t>Standardize supplier financial health, sanctions, insurance, delivery reliability and crisis exposure monitoring across the organization, close coverage gaps, link it to crisis scenarios and train accountable roles.</t>
  </si>
  <si>
    <t>Measure supplier financial health, sanctions, insurance, delivery reliability and crisis exposure monitoring, review it periodically, test it against disruption scenarios and integrate it with dependent processes or systems.</t>
  </si>
  <si>
    <t>Optimize and automate supplier financial health, sanctions, insurance, delivery reliability and crisis exposure monitoring where practical, use leading indicators, run periodic stress tests and update the crisis playbook.</t>
  </si>
  <si>
    <t>Maintain maturity for supplier financial health, sanctions, insurance, delivery reliability and crisis exposure monitoring. Monitor drift, keep evidence current, benchmark externally and refresh tests after major changes.</t>
  </si>
  <si>
    <t>Finance Procurement!20</t>
  </si>
  <si>
    <t>Establish a basic owner and inventory for alternative suppliers pre-qualified for critical goods, services, logistics, cloud and contractors. Define minimum policy, evidence location and immediate crisis relevance.</t>
  </si>
  <si>
    <t>Document alternative suppliers pre-qualified for critical goods, services, logistics, cloud and contractors, assign RACI, define minimum controls/KPIs and collect evidence across the main business units or sites.</t>
  </si>
  <si>
    <t>Standardize alternative suppliers pre-qualified for critical goods, services, logistics, cloud and contractors across the organization, close coverage gaps, link it to crisis scenarios and train accountable roles.</t>
  </si>
  <si>
    <t>Measure alternative suppliers pre-qualified for critical goods, services, logistics, cloud and contractors, review it periodically, test it against disruption scenarios and integrate it with dependent processes or systems.</t>
  </si>
  <si>
    <t>Optimize and automate alternative suppliers pre-qualified for critical goods, services, logistics, cloud and contractors where practical, use leading indicators, run periodic stress tests and update the crisis playbook.</t>
  </si>
  <si>
    <t>Maintain maturity for alternative suppliers pre-qualified for critical goods, services, logistics, cloud and contractors. Monitor drift, keep evidence current, benchmark externally and refresh tests after major changes.</t>
  </si>
  <si>
    <t>Finance Procurement!21</t>
  </si>
  <si>
    <t>Establish a basic owner and inventory for emergency purchasing process that preserves essential controls and fraud prevention. Define minimum policy, evidence location and immediate crisis relevance.</t>
  </si>
  <si>
    <t>Document emergency purchasing process that preserves essential controls and fraud prevention, assign RACI, define minimum controls/KPIs and collect evidence across the main business units or sites.</t>
  </si>
  <si>
    <t>Standardize emergency purchasing process that preserves essential controls and fraud prevention across the organization, close coverage gaps, link it to crisis scenarios and train accountable roles.</t>
  </si>
  <si>
    <t>Measure emergency purchasing process that preserves essential controls and fraud prevention, review it periodically, test it against disruption scenarios and integrate it with dependent processes or systems.</t>
  </si>
  <si>
    <t>Optimize and automate emergency purchasing process that preserves essential controls and fraud prevention where practical, use leading indicators, run periodic stress tests and update the crisis playbook.</t>
  </si>
  <si>
    <t>Maintain maturity for emergency purchasing process that preserves essential controls and fraud prevention. Monitor drift, keep evidence current, benchmark externally and refresh tests after major changes.</t>
  </si>
  <si>
    <t>Finance Procurement!22</t>
  </si>
  <si>
    <t>Establish a basic owner and inventory for purchasing triggers linked to demand, lead time, minimum stock and crisis buffers. Define minimum policy, evidence location and immediate crisis relevance.</t>
  </si>
  <si>
    <t>Document purchasing triggers linked to demand, lead time, minimum stock and crisis buffers, assign RACI, define minimum controls/KPIs and collect evidence across the main business units or sites.</t>
  </si>
  <si>
    <t>Standardize purchasing triggers linked to demand, lead time, minimum stock and crisis buffers across the organization, close coverage gaps, link it to crisis scenarios and train accountable roles.</t>
  </si>
  <si>
    <t>Measure purchasing triggers linked to demand, lead time, minimum stock and crisis buffers, review it periodically, test it against disruption scenarios and integrate it with dependent processes or systems.</t>
  </si>
  <si>
    <t>Optimize and automate purchasing triggers linked to demand, lead time, minimum stock and crisis buffers where practical, use leading indicators, run periodic stress tests and update the crisis playbook.</t>
  </si>
  <si>
    <t>Maintain maturity for purchasing triggers linked to demand, lead time, minimum stock and crisis buffers. Monitor drift, keep evidence current, benchmark externally and refresh tests after major changes.</t>
  </si>
  <si>
    <t>Finance Procurement!23</t>
  </si>
  <si>
    <t>Establish a basic owner and inventory for receivables aging, customer payment risk and collection scenarios. Define minimum policy, evidence location and immediate crisis relevance.</t>
  </si>
  <si>
    <t>Document receivables aging, customer payment risk and collection scenarios, assign RACI, define minimum controls/KPIs and collect evidence across the main business units or sites.</t>
  </si>
  <si>
    <t>Standardize receivables aging, customer payment risk and collection scenarios across the organization, close coverage gaps, link it to crisis scenarios and train accountable roles.</t>
  </si>
  <si>
    <t>Measure receivables aging, customer payment risk and collection scenarios, review it periodically, test it against disruption scenarios and integrate it with dependent processes or systems.</t>
  </si>
  <si>
    <t>Optimize and automate receivables aging, customer payment risk and collection scenarios where practical, use leading indicators, run periodic stress tests and update the crisis playbook.</t>
  </si>
  <si>
    <t>Maintain maturity for receivables aging, customer payment risk and collection scenarios. Monitor drift, keep evidence current, benchmark externally and refresh tests after major changes.</t>
  </si>
  <si>
    <t>Reduces exposure to Financial liquidity crisis; Supplier disruption; Fraud risk; improves Working capital maturity, continuity and management visibility.</t>
  </si>
  <si>
    <t>Finance Procurement!24</t>
  </si>
  <si>
    <t>Establish a basic owner and inventory for supplier payment priority rules during cash constraint. Define minimum policy, evidence location and immediate crisis relevance.</t>
  </si>
  <si>
    <t>Document supplier payment priority rules during cash constraint, assign RACI, define minimum controls/KPIs and collect evidence across the main business units or sites.</t>
  </si>
  <si>
    <t>Standardize supplier payment priority rules during cash constraint across the organization, close coverage gaps, link it to crisis scenarios and train accountable roles.</t>
  </si>
  <si>
    <t>Measure supplier payment priority rules during cash constraint, review it periodically, test it against disruption scenarios and integrate it with dependent processes or systems.</t>
  </si>
  <si>
    <t>Optimize and automate supplier payment priority rules during cash constraint where practical, use leading indicators, run periodic stress tests and update the crisis playbook.</t>
  </si>
  <si>
    <t>Maintain maturity for supplier payment priority rules during cash constraint. Monitor drift, keep evidence current, benchmark externally and refresh tests after major changes.</t>
  </si>
  <si>
    <t>Finance Procurement!25</t>
  </si>
  <si>
    <t>Establish a basic owner and inventory for banking resilience with backup banks, signatories, online access and payment release fallback. Define minimum policy, evidence location and immediate crisis relevance.</t>
  </si>
  <si>
    <t>Document banking resilience with backup banks, signatories, online access and payment release fallback, assign RACI, define minimum controls/KPIs and collect evidence across the main business units or sites.</t>
  </si>
  <si>
    <t>Standardize banking resilience with backup banks, signatories, online access and payment release fallback across the organization, close coverage gaps, link it to crisis scenarios and train accountable roles.</t>
  </si>
  <si>
    <t>Measure banking resilience with backup banks, signatories, online access and payment release fallback, review it periodically, test it against disruption scenarios and integrate it with dependent processes or systems.</t>
  </si>
  <si>
    <t>Optimize and automate banking resilience with backup banks, signatories, online access and payment release fallback where practical, use leading indicators, run periodic stress tests and update the crisis playbook.</t>
  </si>
  <si>
    <t>Maintain maturity for banking resilience with backup banks, signatories, online access and payment release fallback. Monitor drift, keep evidence current, benchmark externally and refresh tests after major changes.</t>
  </si>
  <si>
    <t>Finance Procurement!26</t>
  </si>
  <si>
    <t>Establish a basic owner and inventory for tax compliance calendar and statutory reporting continuity. Define minimum policy, evidence location and immediate crisis relevance.</t>
  </si>
  <si>
    <t>Document tax compliance calendar and statutory reporting continuity, assign RACI, define minimum controls/KPIs and collect evidence across the main business units or sites.</t>
  </si>
  <si>
    <t>Standardize tax compliance calendar and statutory reporting continuity across the organization, close coverage gaps, link it to crisis scenarios and train accountable roles.</t>
  </si>
  <si>
    <t>Measure tax compliance calendar and statutory reporting continuity, review it periodically, test it against disruption scenarios and integrate it with dependent processes or systems.</t>
  </si>
  <si>
    <t>Optimize and automate tax compliance calendar and statutory reporting continuity where practical, use leading indicators, run periodic stress tests and update the crisis playbook.</t>
  </si>
  <si>
    <t>Maintain maturity for tax compliance calendar and statutory reporting continuity. Monitor drift, keep evidence current, benchmark externally and refresh tests after major changes.</t>
  </si>
  <si>
    <t>Finance Procurement!27</t>
  </si>
  <si>
    <t>Establish a basic owner and inventory for business interruption insurance fit against realistic recovery scenarios. Define minimum policy, evidence location and immediate crisis relevance.</t>
  </si>
  <si>
    <t>Document business interruption insurance fit against realistic recovery scenarios, assign RACI, define minimum controls/KPIs and collect evidence across the main business units or sites.</t>
  </si>
  <si>
    <t>Standardize business interruption insurance fit against realistic recovery scenarios across the organization, close coverage gaps, link it to crisis scenarios and train accountable roles.</t>
  </si>
  <si>
    <t>Measure business interruption insurance fit against realistic recovery scenarios, review it periodically, test it against disruption scenarios and integrate it with dependent processes or systems.</t>
  </si>
  <si>
    <t>Optimize and automate business interruption insurance fit against realistic recovery scenarios where practical, use leading indicators, run periodic stress tests and update the crisis playbook.</t>
  </si>
  <si>
    <t>Maintain maturity for business interruption insurance fit against realistic recovery scenarios. Monitor drift, keep evidence current, benchmark externally and refresh tests after major changes.</t>
  </si>
  <si>
    <t>Finance Procurement!28</t>
  </si>
  <si>
    <t>Establish a basic owner and inventory for compliance obligations register by jurisdiction, license, customer, industry and function. Define minimum policy, evidence location and immediate crisis relevance.</t>
  </si>
  <si>
    <t>Document compliance obligations register by jurisdiction, license, customer, industry and function, assign RACI, define minimum controls/KPIs and collect evidence across the main business units or sites.</t>
  </si>
  <si>
    <t>Standardize compliance obligations register by jurisdiction, license, customer, industry and function across the organization, close coverage gaps, link it to crisis scenarios and train accountable roles.</t>
  </si>
  <si>
    <t>Measure compliance obligations register by jurisdiction, license, customer, industry and function, review it periodically, test it against disruption scenarios and integrate it with dependent processes or systems.</t>
  </si>
  <si>
    <t>Optimize and automate compliance obligations register by jurisdiction, license, customer, industry and function where practical, use leading indicators, run periodic stress tests and update the crisis playbook.</t>
  </si>
  <si>
    <t>Maintain maturity for compliance obligations register by jurisdiction, license, customer, industry and function. Monitor drift, keep evidence current, benchmark externally and refresh tests after major changes.</t>
  </si>
  <si>
    <t>Reduces exposure to Regulatory/legal shock; Contractual exposure; Data breach; improves Compliance maturity, continuity and management visibility.</t>
  </si>
  <si>
    <t>Legal Risk!5</t>
  </si>
  <si>
    <t>Establish a basic owner and inventory for regulatory reporting calendar and emergency reporting triggers for cyber, safety, finance, environment and privacy. Define minimum policy, evidence location and immediate crisis relevance.</t>
  </si>
  <si>
    <t>Document regulatory reporting calendar and emergency reporting triggers for cyber, safety, finance, environment and privacy, assign RACI, define minimum controls/KPIs and collect evidence across the main business units or sites.</t>
  </si>
  <si>
    <t>Standardize regulatory reporting calendar and emergency reporting triggers for cyber, safety, finance, environment and privacy across the organization, close coverage gaps, link it to crisis scenarios and train accountable roles.</t>
  </si>
  <si>
    <t>Measure regulatory reporting calendar and emergency reporting triggers for cyber, safety, finance, environment and privacy, review it periodically, test it against disruption scenarios and integrate it with dependent processes or systems.</t>
  </si>
  <si>
    <t>Optimize and automate regulatory reporting calendar and emergency reporting triggers for cyber, safety, finance, environment and privacy where practical, use leading indicators, run periodic stress tests and update the crisis playbook.</t>
  </si>
  <si>
    <t>Maintain maturity for regulatory reporting calendar and emergency reporting triggers for cyber, safety, finance, environment and privacy. Monitor drift, keep evidence current, benchmark externally and refresh tests after major changes.</t>
  </si>
  <si>
    <t>Legal Risk!6</t>
  </si>
  <si>
    <t>Establish a basic owner and inventory for sanctions and restricted-party screening for customers, suppliers, owners and payments. Define minimum policy, evidence location and immediate crisis relevance.</t>
  </si>
  <si>
    <t>Document sanctions and restricted-party screening for customers, suppliers, owners and payments, assign RACI, define minimum controls/KPIs and collect evidence across the main business units or sites.</t>
  </si>
  <si>
    <t>Standardize sanctions and restricted-party screening for customers, suppliers, owners and payments across the organization, close coverage gaps, link it to crisis scenarios and train accountable roles.</t>
  </si>
  <si>
    <t>Measure sanctions and restricted-party screening for customers, suppliers, owners and payments, review it periodically, test it against disruption scenarios and integrate it with dependent processes or systems.</t>
  </si>
  <si>
    <t>Optimize and automate sanctions and restricted-party screening for customers, suppliers, owners and payments where practical, use leading indicators, run periodic stress tests and update the crisis playbook.</t>
  </si>
  <si>
    <t>Maintain maturity for sanctions and restricted-party screening for customers, suppliers, owners and payments. Monitor drift, keep evidence current, benchmark externally and refresh tests after major changes.</t>
  </si>
  <si>
    <t>Legal Risk!7</t>
  </si>
  <si>
    <t>Establish a basic owner and inventory for anti-bribery and corruption controls during emergency procurement and high-pressure sales. Define minimum policy, evidence location and immediate crisis relevance.</t>
  </si>
  <si>
    <t>Document anti-bribery and corruption controls during emergency procurement and high-pressure sales, assign RACI, define minimum controls/KPIs and collect evidence across the main business units or sites.</t>
  </si>
  <si>
    <t>Standardize anti-bribery and corruption controls during emergency procurement and high-pressure sales across the organization, close coverage gaps, link it to crisis scenarios and train accountable roles.</t>
  </si>
  <si>
    <t>Measure anti-bribery and corruption controls during emergency procurement and high-pressure sales, review it periodically, test it against disruption scenarios and integrate it with dependent processes or systems.</t>
  </si>
  <si>
    <t>Optimize and automate anti-bribery and corruption controls during emergency procurement and high-pressure sales where practical, use leading indicators, run periodic stress tests and update the crisis playbook.</t>
  </si>
  <si>
    <t>Maintain maturity for anti-bribery and corruption controls during emergency procurement and high-pressure sales. Monitor drift, keep evidence current, benchmark externally and refresh tests after major changes.</t>
  </si>
  <si>
    <t>Legal Risk!8</t>
  </si>
  <si>
    <t>Establish a basic owner and inventory for whistleblowing and misconduct reporting mechanism with investigation process. Define minimum policy, evidence location and immediate crisis relevance.</t>
  </si>
  <si>
    <t>Document whistleblowing and misconduct reporting mechanism with investigation process, assign RACI, define minimum controls/KPIs and collect evidence across the main business units or sites.</t>
  </si>
  <si>
    <t>Standardize whistleblowing and misconduct reporting mechanism with investigation process across the organization, close coverage gaps, link it to crisis scenarios and train accountable roles.</t>
  </si>
  <si>
    <t>Measure whistleblowing and misconduct reporting mechanism with investigation process, review it periodically, test it against disruption scenarios and integrate it with dependent processes or systems.</t>
  </si>
  <si>
    <t>Optimize and automate whistleblowing and misconduct reporting mechanism with investigation process where practical, use leading indicators, run periodic stress tests and update the crisis playbook.</t>
  </si>
  <si>
    <t>Maintain maturity for whistleblowing and misconduct reporting mechanism with investigation process. Monitor drift, keep evidence current, benchmark externally and refresh tests after major changes.</t>
  </si>
  <si>
    <t>Legal Risk!9</t>
  </si>
  <si>
    <t>Establish a basic owner and inventory for legal support continuity if internal or external counsel is unavailable. Define minimum policy, evidence location and immediate crisis relevance.</t>
  </si>
  <si>
    <t>Document legal support continuity if internal or external counsel is unavailable, assign RACI, define minimum controls/KPIs and collect evidence across the main business units or sites.</t>
  </si>
  <si>
    <t>Standardize legal support continuity if internal or external counsel is unavailable across the organization, close coverage gaps, link it to crisis scenarios and train accountable roles.</t>
  </si>
  <si>
    <t>Measure legal support continuity if internal or external counsel is unavailable, review it periodically, test it against disruption scenarios and integrate it with dependent processes or systems.</t>
  </si>
  <si>
    <t>Optimize and automate legal support continuity if internal or external counsel is unavailable where practical, use leading indicators, run periodic stress tests and update the crisis playbook.</t>
  </si>
  <si>
    <t>Maintain maturity for legal support continuity if internal or external counsel is unavailable. Monitor drift, keep evidence current, benchmark externally and refresh tests after major changes.</t>
  </si>
  <si>
    <t>Legal Risk!10</t>
  </si>
  <si>
    <t>Establish a basic owner and inventory for complete contract register for customers, suppliers, leases, loans, employment, insurance and IP. Define minimum policy, evidence location and immediate crisis relevance.</t>
  </si>
  <si>
    <t>Document complete contract register for customers, suppliers, leases, loans, employment, insurance and IP, assign RACI, define minimum controls/KPIs and collect evidence across the main business units or sites.</t>
  </si>
  <si>
    <t>Standardize complete contract register for customers, suppliers, leases, loans, employment, insurance and IP across the organization, close coverage gaps, link it to crisis scenarios and train accountable roles.</t>
  </si>
  <si>
    <t>Measure complete contract register for customers, suppliers, leases, loans, employment, insurance and IP, review it periodically, test it against disruption scenarios and integrate it with dependent processes or systems.</t>
  </si>
  <si>
    <t>Optimize and automate complete contract register for customers, suppliers, leases, loans, employment, insurance and IP where practical, use leading indicators, run periodic stress tests and update the crisis playbook.</t>
  </si>
  <si>
    <t>Maintain maturity for complete contract register for customers, suppliers, leases, loans, employment, insurance and IP. Monitor drift, keep evidence current, benchmark externally and refresh tests after major changes.</t>
  </si>
  <si>
    <t>Reduces exposure to Regulatory/legal shock; Contractual exposure; Data breach; improves Contracts maturity, continuity and management visibility.</t>
  </si>
  <si>
    <t>Legal Risk!11</t>
  </si>
  <si>
    <t>Establish a basic owner and inventory for analysis of force majeure, hardship, termination, liability and continuity clauses in critical contracts. Define minimum policy, evidence location and immediate crisis relevance.</t>
  </si>
  <si>
    <t>Document analysis of force majeure, hardship, termination, liability and continuity clauses in critical contracts, assign RACI, define minimum controls/KPIs and collect evidence across the main business units or sites.</t>
  </si>
  <si>
    <t>Standardize analysis of force majeure, hardship, termination, liability and continuity clauses in critical contracts across the organization, close coverage gaps, link it to crisis scenarios and train accountable roles.</t>
  </si>
  <si>
    <t>Measure analysis of force majeure, hardship, termination, liability and continuity clauses in critical contracts, review it periodically, test it against disruption scenarios and integrate it with dependent processes or systems.</t>
  </si>
  <si>
    <t>Optimize and automate analysis of force majeure, hardship, termination, liability and continuity clauses in critical contracts where practical, use leading indicators, run periodic stress tests and update the crisis playbook.</t>
  </si>
  <si>
    <t>Maintain maturity for analysis of force majeure, hardship, termination, liability and continuity clauses in critical contracts. Monitor drift, keep evidence current, benchmark externally and refresh tests after major changes.</t>
  </si>
  <si>
    <t>Legal Risk!12</t>
  </si>
  <si>
    <t>Establish a basic owner and inventory for customer SLA obligations, penalties, notification timelines and service credits during disruption. Define minimum policy, evidence location and immediate crisis relevance.</t>
  </si>
  <si>
    <t>Document customer SLA obligations, penalties, notification timelines and service credits during disruption, assign RACI, define minimum controls/KPIs and collect evidence across the main business units or sites.</t>
  </si>
  <si>
    <t>Standardize customer SLA obligations, penalties, notification timelines and service credits during disruption across the organization, close coverage gaps, link it to crisis scenarios and train accountable roles.</t>
  </si>
  <si>
    <t>Measure customer SLA obligations, penalties, notification timelines and service credits during disruption, review it periodically, test it against disruption scenarios and integrate it with dependent processes or systems.</t>
  </si>
  <si>
    <t>Optimize and automate customer SLA obligations, penalties, notification timelines and service credits during disruption where practical, use leading indicators, run periodic stress tests and update the crisis playbook.</t>
  </si>
  <si>
    <t>Maintain maturity for customer SLA obligations, penalties, notification timelines and service credits during disruption. Monitor drift, keep evidence current, benchmark externally and refresh tests after major changes.</t>
  </si>
  <si>
    <t>Legal Risk!13</t>
  </si>
  <si>
    <t>Establish a basic owner and inventory for supplier continuity, security, audit, subcontractor and incident notification clauses. Define minimum policy, evidence location and immediate crisis relevance.</t>
  </si>
  <si>
    <t>Document supplier continuity, security, audit, subcontractor and incident notification clauses, assign RACI, define minimum controls/KPIs and collect evidence across the main business units or sites.</t>
  </si>
  <si>
    <t>Standardize supplier continuity, security, audit, subcontractor and incident notification clauses across the organization, close coverage gaps, link it to crisis scenarios and train accountable roles.</t>
  </si>
  <si>
    <t>Measure supplier continuity, security, audit, subcontractor and incident notification clauses, review it periodically, test it against disruption scenarios and integrate it with dependent processes or systems.</t>
  </si>
  <si>
    <t>Optimize and automate supplier continuity, security, audit, subcontractor and incident notification clauses where practical, use leading indicators, run periodic stress tests and update the crisis playbook.</t>
  </si>
  <si>
    <t>Maintain maturity for supplier continuity, security, audit, subcontractor and incident notification clauses. Monitor drift, keep evidence current, benchmark externally and refresh tests after major changes.</t>
  </si>
  <si>
    <t>Legal Risk!14</t>
  </si>
  <si>
    <t>Establish a basic owner and inventory for signatory continuity with powers of attorney, board approvals and emergency delegation. Define minimum policy, evidence location and immediate crisis relevance.</t>
  </si>
  <si>
    <t>Document signatory continuity with powers of attorney, board approvals and emergency delegation, assign RACI, define minimum controls/KPIs and collect evidence across the main business units or sites.</t>
  </si>
  <si>
    <t>Standardize signatory continuity with powers of attorney, board approvals and emergency delegation across the organization, close coverage gaps, link it to crisis scenarios and train accountable roles.</t>
  </si>
  <si>
    <t>Measure signatory continuity with powers of attorney, board approvals and emergency delegation, review it periodically, test it against disruption scenarios and integrate it with dependent processes or systems.</t>
  </si>
  <si>
    <t>Optimize and automate signatory continuity with powers of attorney, board approvals and emergency delegation where practical, use leading indicators, run periodic stress tests and update the crisis playbook.</t>
  </si>
  <si>
    <t>Maintain maturity for signatory continuity with powers of attorney, board approvals and emergency delegation. Monitor drift, keep evidence current, benchmark externally and refresh tests after major changes.</t>
  </si>
  <si>
    <t>Legal Risk!15</t>
  </si>
  <si>
    <t>Establish a basic owner and inventory for insurance claims process linked to incident evidence collection. Define minimum policy, evidence location and immediate crisis relevance.</t>
  </si>
  <si>
    <t>Document insurance claims process linked to incident evidence collection, assign RACI, define minimum controls/KPIs and collect evidence across the main business units or sites.</t>
  </si>
  <si>
    <t>Standardize insurance claims process linked to incident evidence collection across the organization, close coverage gaps, link it to crisis scenarios and train accountable roles.</t>
  </si>
  <si>
    <t>Measure insurance claims process linked to incident evidence collection, review it periodically, test it against disruption scenarios and integrate it with dependent processes or systems.</t>
  </si>
  <si>
    <t>Optimize and automate insurance claims process linked to incident evidence collection where practical, use leading indicators, run periodic stress tests and update the crisis playbook.</t>
  </si>
  <si>
    <t>Maintain maturity for insurance claims process linked to incident evidence collection. Monitor drift, keep evidence current, benchmark externally and refresh tests after major changes.</t>
  </si>
  <si>
    <t>Legal Risk!16</t>
  </si>
  <si>
    <t>Establish a basic owner and inventory for personal data processing map by system, purpose, location, processor and transfer mechanism. Define minimum policy, evidence location and immediate crisis relevance.</t>
  </si>
  <si>
    <t>Document personal data processing map by system, purpose, location, processor and transfer mechanism, assign RACI, define minimum controls/KPIs and collect evidence across the main business units or sites.</t>
  </si>
  <si>
    <t>Standardize personal data processing map by system, purpose, location, processor and transfer mechanism across the organization, close coverage gaps, link it to crisis scenarios and train accountable roles.</t>
  </si>
  <si>
    <t>Measure personal data processing map by system, purpose, location, processor and transfer mechanism, review it periodically, test it against disruption scenarios and integrate it with dependent processes or systems.</t>
  </si>
  <si>
    <t>Optimize and automate personal data processing map by system, purpose, location, processor and transfer mechanism where practical, use leading indicators, run periodic stress tests and update the crisis playbook.</t>
  </si>
  <si>
    <t>Maintain maturity for personal data processing map by system, purpose, location, processor and transfer mechanism. Monitor drift, keep evidence current, benchmark externally and refresh tests after major changes.</t>
  </si>
  <si>
    <t>Reduces exposure to Regulatory/legal shock; Contractual exposure; Data breach; improves Data and IP maturity, continuity and management visibility.</t>
  </si>
  <si>
    <t>Legal Risk!17</t>
  </si>
  <si>
    <t>Establish a basic owner and inventory for breach notification readiness for personal data and customer contractual obligations. Define minimum policy, evidence location and immediate crisis relevance.</t>
  </si>
  <si>
    <t>Document breach notification readiness for personal data and customer contractual obligations, assign RACI, define minimum controls/KPIs and collect evidence across the main business units or sites.</t>
  </si>
  <si>
    <t>Standardize breach notification readiness for personal data and customer contractual obligations across the organization, close coverage gaps, link it to crisis scenarios and train accountable roles.</t>
  </si>
  <si>
    <t>Measure breach notification readiness for personal data and customer contractual obligations, review it periodically, test it against disruption scenarios and integrate it with dependent processes or systems.</t>
  </si>
  <si>
    <t>Optimize and automate breach notification readiness for personal data and customer contractual obligations where practical, use leading indicators, run periodic stress tests and update the crisis playbook.</t>
  </si>
  <si>
    <t>Maintain maturity for breach notification readiness for personal data and customer contractual obligations. Monitor drift, keep evidence current, benchmark externally and refresh tests after major changes.</t>
  </si>
  <si>
    <t>Legal Risk!18</t>
  </si>
  <si>
    <t>Establish a basic owner and inventory for data processing agreements with vendors covering security, incident response, sub-processors and continuity. Define minimum policy, evidence location and immediate crisis relevance.</t>
  </si>
  <si>
    <t>Document data processing agreements with vendors covering security, incident response, sub-processors and continuity, assign RACI, define minimum controls/KPIs and collect evidence across the main business units or sites.</t>
  </si>
  <si>
    <t>Standardize data processing agreements with vendors covering security, incident response, sub-processors and continuity across the organization, close coverage gaps, link it to crisis scenarios and train accountable roles.</t>
  </si>
  <si>
    <t>Measure data processing agreements with vendors covering security, incident response, sub-processors and continuity, review it periodically, test it against disruption scenarios and integrate it with dependent processes or systems.</t>
  </si>
  <si>
    <t>Optimize and automate data processing agreements with vendors covering security, incident response, sub-processors and continuity where practical, use leading indicators, run periodic stress tests and update the crisis playbook.</t>
  </si>
  <si>
    <t>Maintain maturity for data processing agreements with vendors covering security, incident response, sub-processors and continuity. Monitor drift, keep evidence current, benchmark externally and refresh tests after major changes.</t>
  </si>
  <si>
    <t>Legal Risk!19</t>
  </si>
  <si>
    <t>Establish a basic owner and inventory for intellectual property ownership for employees, contractors, suppliers, software, designs, data and AI models. Define minimum policy, evidence location and immediate crisis relevance.</t>
  </si>
  <si>
    <t>Document intellectual property ownership for employees, contractors, suppliers, software, designs, data and AI models, assign RACI, define minimum controls/KPIs and collect evidence across the main business units or sites.</t>
  </si>
  <si>
    <t>Standardize intellectual property ownership for employees, contractors, suppliers, software, designs, data and AI models across the organization, close coverage gaps, link it to crisis scenarios and train accountable roles.</t>
  </si>
  <si>
    <t>Measure intellectual property ownership for employees, contractors, suppliers, software, designs, data and AI models, review it periodically, test it against disruption scenarios and integrate it with dependent processes or systems.</t>
  </si>
  <si>
    <t>Optimize and automate intellectual property ownership for employees, contractors, suppliers, software, designs, data and AI models where practical, use leading indicators, run periodic stress tests and update the crisis playbook.</t>
  </si>
  <si>
    <t>Maintain maturity for intellectual property ownership for employees, contractors, suppliers, software, designs, data and AI models. Monitor drift, keep evidence current, benchmark externally and refresh tests after major changes.</t>
  </si>
  <si>
    <t>Legal Risk!20</t>
  </si>
  <si>
    <t>Establish a basic owner and inventory for software license and open-source compliance for critical systems and products. Define minimum policy, evidence location and immediate crisis relevance.</t>
  </si>
  <si>
    <t>Document software license and open-source compliance for critical systems and products, assign RACI, define minimum controls/KPIs and collect evidence across the main business units or sites.</t>
  </si>
  <si>
    <t>Standardize software license and open-source compliance for critical systems and products across the organization, close coverage gaps, link it to crisis scenarios and train accountable roles.</t>
  </si>
  <si>
    <t>Measure software license and open-source compliance for critical systems and products, review it periodically, test it against disruption scenarios and integrate it with dependent processes or systems.</t>
  </si>
  <si>
    <t>Optimize and automate software license and open-source compliance for critical systems and products where practical, use leading indicators, run periodic stress tests and update the crisis playbook.</t>
  </si>
  <si>
    <t>Maintain maturity for software license and open-source compliance for critical systems and products. Monitor drift, keep evidence current, benchmark externally and refresh tests after major changes.</t>
  </si>
  <si>
    <t>Legal Risk!21</t>
  </si>
  <si>
    <t>Establish a basic owner and inventory for records retention rules for legal, finance, HR, contracts, safety, customer and technical records. Define minimum policy, evidence location and immediate crisis relevance.</t>
  </si>
  <si>
    <t>Document records retention rules for legal, finance, HR, contracts, safety, customer and technical records, assign RACI, define minimum controls/KPIs and collect evidence across the main business units or sites.</t>
  </si>
  <si>
    <t>Standardize records retention rules for legal, finance, HR, contracts, safety, customer and technical records across the organization, close coverage gaps, link it to crisis scenarios and train accountable roles.</t>
  </si>
  <si>
    <t>Measure records retention rules for legal, finance, HR, contracts, safety, customer and technical records, review it periodically, test it against disruption scenarios and integrate it with dependent processes or systems.</t>
  </si>
  <si>
    <t>Optimize and automate records retention rules for legal, finance, HR, contracts, safety, customer and technical records where practical, use leading indicators, run periodic stress tests and update the crisis playbook.</t>
  </si>
  <si>
    <t>Maintain maturity for records retention rules for legal, finance, HR, contracts, safety, customer and technical records. Monitor drift, keep evidence current, benchmark externally and refresh tests after major changes.</t>
  </si>
  <si>
    <t>Legal Risk!22</t>
  </si>
  <si>
    <t>Establish a basic owner and inventory for legal options for relocation, evacuation, furlough, flexible work, terminations or hardship support by country. Define minimum policy, evidence location and immediate crisis relevance.</t>
  </si>
  <si>
    <t>Document legal options for relocation, evacuation, furlough, flexible work, terminations or hardship support by country, assign RACI, define minimum controls/KPIs and collect evidence across the main business units or sites.</t>
  </si>
  <si>
    <t>Standardize legal options for relocation, evacuation, furlough, flexible work, terminations or hardship support by country across the organization, close coverage gaps, link it to crisis scenarios and train accountable roles.</t>
  </si>
  <si>
    <t>Measure legal options for relocation, evacuation, furlough, flexible work, terminations or hardship support by country, review it periodically, test it against disruption scenarios and integrate it with dependent processes or systems.</t>
  </si>
  <si>
    <t>Optimize and automate legal options for relocation, evacuation, furlough, flexible work, terminations or hardship support by country where practical, use leading indicators, run periodic stress tests and update the crisis playbook.</t>
  </si>
  <si>
    <t>Maintain maturity for legal options for relocation, evacuation, furlough, flexible work, terminations or hardship support by country. Monitor drift, keep evidence current, benchmark externally and refresh tests after major changes.</t>
  </si>
  <si>
    <t>Reduces exposure to Regulatory/legal shock; Contractual exposure; Data breach; improves Employment law maturity, continuity and management visibility.</t>
  </si>
  <si>
    <t>Legal Risk!23</t>
  </si>
  <si>
    <t>Establish a basic owner and inventory for labor relations, works council or union obligations during restructuring or crisis measures. Define minimum policy, evidence location and immediate crisis relevance.</t>
  </si>
  <si>
    <t>Document labor relations, works council or union obligations during restructuring or crisis measures, assign RACI, define minimum controls/KPIs and collect evidence across the main business units or sites.</t>
  </si>
  <si>
    <t>Standardize labor relations, works council or union obligations during restructuring or crisis measures across the organization, close coverage gaps, link it to crisis scenarios and train accountable roles.</t>
  </si>
  <si>
    <t>Measure labor relations, works council or union obligations during restructuring or crisis measures, review it periodically, test it against disruption scenarios and integrate it with dependent processes or systems.</t>
  </si>
  <si>
    <t>Optimize and automate labor relations, works council or union obligations during restructuring or crisis measures where practical, use leading indicators, run periodic stress tests and update the crisis playbook.</t>
  </si>
  <si>
    <t>Maintain maturity for labor relations, works council or union obligations during restructuring or crisis measures. Monitor drift, keep evidence current, benchmark externally and refresh tests after major changes.</t>
  </si>
  <si>
    <t>Legal Risk!24</t>
  </si>
  <si>
    <t>Establish a basic owner and inventory for occupational health and safety management system with owners, objectives, audits and management review. Define minimum policy, evidence location and immediate crisis relevance.</t>
  </si>
  <si>
    <t>Document occupational health and safety management system with owners, objectives, audits and management review, assign RACI, define minimum controls/KPIs and collect evidence across the main business units or sites.</t>
  </si>
  <si>
    <t>Standardize occupational health and safety management system with owners, objectives, audits and management review across the organization, close coverage gaps, link it to crisis scenarios and train accountable roles.</t>
  </si>
  <si>
    <t>Measure occupational health and safety management system with owners, objectives, audits and management review, review it periodically, test it against disruption scenarios and integrate it with dependent processes or systems.</t>
  </si>
  <si>
    <t>Optimize and automate occupational health and safety management system with owners, objectives, audits and management review where practical, use leading indicators, run periodic stress tests and update the crisis playbook.</t>
  </si>
  <si>
    <t>Maintain maturity for occupational health and safety management system with owners, objectives, audits and management review. Monitor drift, keep evidence current, benchmark externally and refresh tests after major changes.</t>
  </si>
  <si>
    <t>Reduces exposure to Safety incident; Physical site loss; War/security crisis; Natural disaster; improves OH&amp;S governance maturity, continuity and management visibility.</t>
  </si>
  <si>
    <t>Physical Safety!5</t>
  </si>
  <si>
    <t>Establish a basic owner and inventory for site risk assessments for fire, structure, utilities, hazardous materials, crime, weather, war/security and access. Define minimum policy, evidence location and immediate crisis relevance.</t>
  </si>
  <si>
    <t>Document site risk assessments for fire, structure, utilities, hazardous materials, crime, weather, war/security and access, assign RACI, define minimum controls/KPIs and collect evidence across the main business units or sites.</t>
  </si>
  <si>
    <t>Standardize site risk assessments for fire, structure, utilities, hazardous materials, crime, weather, war/security and access across the organization, close coverage gaps, link it to crisis scenarios and train accountable roles.</t>
  </si>
  <si>
    <t>Measure site risk assessments for fire, structure, utilities, hazardous materials, crime, weather, war/security and access, review it periodically, test it against disruption scenarios and integrate it with dependent processes or systems.</t>
  </si>
  <si>
    <t>Optimize and automate site risk assessments for fire, structure, utilities, hazardous materials, crime, weather, war/security and access where practical, use leading indicators, run periodic stress tests and update the crisis playbook.</t>
  </si>
  <si>
    <t>Maintain maturity for site risk assessments for fire, structure, utilities, hazardous materials, crime, weather, war/security and access. Monitor drift, keep evidence current, benchmark externally and refresh tests after major changes.</t>
  </si>
  <si>
    <t>Physical Safety!6</t>
  </si>
  <si>
    <t>Establish a basic owner and inventory for job hazard analysis for roles, tasks, production activities and field work. Define minimum policy, evidence location and immediate crisis relevance.</t>
  </si>
  <si>
    <t>Document job hazard analysis for roles, tasks, production activities and field work, assign RACI, define minimum controls/KPIs and collect evidence across the main business units or sites.</t>
  </si>
  <si>
    <t>Standardize job hazard analysis for roles, tasks, production activities and field work across the organization, close coverage gaps, link it to crisis scenarios and train accountable roles.</t>
  </si>
  <si>
    <t>Measure job hazard analysis for roles, tasks, production activities and field work, review it periodically, test it against disruption scenarios and integrate it with dependent processes or systems.</t>
  </si>
  <si>
    <t>Optimize and automate job hazard analysis for roles, tasks, production activities and field work where practical, use leading indicators, run periodic stress tests and update the crisis playbook.</t>
  </si>
  <si>
    <t>Maintain maturity for job hazard analysis for roles, tasks, production activities and field work. Monitor drift, keep evidence current, benchmark externally and refresh tests after major changes.</t>
  </si>
  <si>
    <t>Physical Safety!7</t>
  </si>
  <si>
    <t>Establish a basic owner and inventory for contractor and visitor safety induction, permits-to-work, site rules and emergency procedures. Define minimum policy, evidence location and immediate crisis relevance.</t>
  </si>
  <si>
    <t>Document contractor and visitor safety induction, permits-to-work, site rules and emergency procedures, assign RACI, define minimum controls/KPIs and collect evidence across the main business units or sites.</t>
  </si>
  <si>
    <t>Standardize contractor and visitor safety induction, permits-to-work, site rules and emergency procedures across the organization, close coverage gaps, link it to crisis scenarios and train accountable roles.</t>
  </si>
  <si>
    <t>Measure contractor and visitor safety induction, permits-to-work, site rules and emergency procedures, review it periodically, test it against disruption scenarios and integrate it with dependent processes or systems.</t>
  </si>
  <si>
    <t>Optimize and automate contractor and visitor safety induction, permits-to-work, site rules and emergency procedures where practical, use leading indicators, run periodic stress tests and update the crisis playbook.</t>
  </si>
  <si>
    <t>Maintain maturity for contractor and visitor safety induction, permits-to-work, site rules and emergency procedures. Monitor drift, keep evidence current, benchmark externally and refresh tests after major changes.</t>
  </si>
  <si>
    <t>Physical Safety!8</t>
  </si>
  <si>
    <t>Establish a basic owner and inventory for near-miss and safety incident reporting, investigation and corrective action. Define minimum policy, evidence location and immediate crisis relevance.</t>
  </si>
  <si>
    <t>Document near-miss and safety incident reporting, investigation and corrective action, assign RACI, define minimum controls/KPIs and collect evidence across the main business units or sites.</t>
  </si>
  <si>
    <t>Standardize near-miss and safety incident reporting, investigation and corrective action across the organization, close coverage gaps, link it to crisis scenarios and train accountable roles.</t>
  </si>
  <si>
    <t>Measure near-miss and safety incident reporting, investigation and corrective action, review it periodically, test it against disruption scenarios and integrate it with dependent processes or systems.</t>
  </si>
  <si>
    <t>Optimize and automate near-miss and safety incident reporting, investigation and corrective action where practical, use leading indicators, run periodic stress tests and update the crisis playbook.</t>
  </si>
  <si>
    <t>Maintain maturity for near-miss and safety incident reporting, investigation and corrective action. Monitor drift, keep evidence current, benchmark externally and refresh tests after major changes.</t>
  </si>
  <si>
    <t>Physical Safety!9</t>
  </si>
  <si>
    <t>Establish a basic owner and inventory for serious incident escalation to executives, legal, insurers and regulators. Define minimum policy, evidence location and immediate crisis relevance.</t>
  </si>
  <si>
    <t>Document serious incident escalation to executives, legal, insurers and regulators, assign RACI, define minimum controls/KPIs and collect evidence across the main business units or sites.</t>
  </si>
  <si>
    <t>Standardize serious incident escalation to executives, legal, insurers and regulators across the organization, close coverage gaps, link it to crisis scenarios and train accountable roles.</t>
  </si>
  <si>
    <t>Measure serious incident escalation to executives, legal, insurers and regulators, review it periodically, test it against disruption scenarios and integrate it with dependent processes or systems.</t>
  </si>
  <si>
    <t>Optimize and automate serious incident escalation to executives, legal, insurers and regulators where practical, use leading indicators, run periodic stress tests and update the crisis playbook.</t>
  </si>
  <si>
    <t>Maintain maturity for serious incident escalation to executives, legal, insurers and regulators. Monitor drift, keep evidence current, benchmark externally and refresh tests after major changes.</t>
  </si>
  <si>
    <t>Physical Safety!10</t>
  </si>
  <si>
    <t>Establish a basic owner and inventory for critical facility register with occupancy, business processes, utilities, safety risks and recovery priority. Define minimum policy, evidence location and immediate crisis relevance.</t>
  </si>
  <si>
    <t>Document critical facility register with occupancy, business processes, utilities, safety risks and recovery priority, assign RACI, define minimum controls/KPIs and collect evidence across the main business units or sites.</t>
  </si>
  <si>
    <t>Standardize critical facility register with occupancy, business processes, utilities, safety risks and recovery priority across the organization, close coverage gaps, link it to crisis scenarios and train accountable roles.</t>
  </si>
  <si>
    <t>Measure critical facility register with occupancy, business processes, utilities, safety risks and recovery priority, review it periodically, test it against disruption scenarios and integrate it with dependent processes or systems.</t>
  </si>
  <si>
    <t>Optimize and automate critical facility register with occupancy, business processes, utilities, safety risks and recovery priority where practical, use leading indicators, run periodic stress tests and update the crisis playbook.</t>
  </si>
  <si>
    <t>Maintain maturity for critical facility register with occupancy, business processes, utilities, safety risks and recovery priority. Monitor drift, keep evidence current, benchmark externally and refresh tests after major changes.</t>
  </si>
  <si>
    <t>Reduces exposure to Safety incident; Physical site loss; War/security crisis; Natural disaster; improves Facilities and access maturity, continuity and management visibility.</t>
  </si>
  <si>
    <t>Physical Safety!11</t>
  </si>
  <si>
    <t>Establish a basic owner and inventory for building integrity, fire systems, emergency exits, shelters, alarms, lighting and backup power inspection. Define minimum policy, evidence location and immediate crisis relevance.</t>
  </si>
  <si>
    <t>Document building integrity, fire systems, emergency exits, shelters, alarms, lighting and backup power inspection, assign RACI, define minimum controls/KPIs and collect evidence across the main business units or sites.</t>
  </si>
  <si>
    <t>Standardize building integrity, fire systems, emergency exits, shelters, alarms, lighting and backup power inspection across the organization, close coverage gaps, link it to crisis scenarios and train accountable roles.</t>
  </si>
  <si>
    <t>Measure building integrity, fire systems, emergency exits, shelters, alarms, lighting and backup power inspection, review it periodically, test it against disruption scenarios and integrate it with dependent processes or systems.</t>
  </si>
  <si>
    <t>Optimize and automate building integrity, fire systems, emergency exits, shelters, alarms, lighting and backup power inspection where practical, use leading indicators, run periodic stress tests and update the crisis playbook.</t>
  </si>
  <si>
    <t>Maintain maturity for building integrity, fire systems, emergency exits, shelters, alarms, lighting and backup power inspection. Monitor drift, keep evidence current, benchmark externally and refresh tests after major changes.</t>
  </si>
  <si>
    <t>Physical Safety!12</t>
  </si>
  <si>
    <t>Establish a basic owner and inventory for physical access control linked to HR onboarding, offboarding and periodic access review. Define minimum policy, evidence location and immediate crisis relevance.</t>
  </si>
  <si>
    <t>Document physical access control linked to HR onboarding, offboarding and periodic access review, assign RACI, define minimum controls/KPIs and collect evidence across the main business units or sites.</t>
  </si>
  <si>
    <t>Standardize physical access control linked to HR onboarding, offboarding and periodic access review across the organization, close coverage gaps, link it to crisis scenarios and train accountable roles.</t>
  </si>
  <si>
    <t>Measure physical access control linked to HR onboarding, offboarding and periodic access review, review it periodically, test it against disruption scenarios and integrate it with dependent processes or systems.</t>
  </si>
  <si>
    <t>Optimize and automate physical access control linked to HR onboarding, offboarding and periodic access review where practical, use leading indicators, run periodic stress tests and update the crisis playbook.</t>
  </si>
  <si>
    <t>Maintain maturity for physical access control linked to HR onboarding, offboarding and periodic access review. Monitor drift, keep evidence current, benchmark externally and refresh tests after major changes.</t>
  </si>
  <si>
    <t>Physical Safety!13</t>
  </si>
  <si>
    <t>Establish a basic owner and inventory for visitor management covering identity checks, escorting, sensitive areas and evacuation accountability. Define minimum policy, evidence location and immediate crisis relevance.</t>
  </si>
  <si>
    <t>Document visitor management covering identity checks, escorting, sensitive areas and evacuation accountability, assign RACI, define minimum controls/KPIs and collect evidence across the main business units or sites.</t>
  </si>
  <si>
    <t>Standardize visitor management covering identity checks, escorting, sensitive areas and evacuation accountability across the organization, close coverage gaps, link it to crisis scenarios and train accountable roles.</t>
  </si>
  <si>
    <t>Measure visitor management covering identity checks, escorting, sensitive areas and evacuation accountability, review it periodically, test it against disruption scenarios and integrate it with dependent processes or systems.</t>
  </si>
  <si>
    <t>Optimize and automate visitor management covering identity checks, escorting, sensitive areas and evacuation accountability where practical, use leading indicators, run periodic stress tests and update the crisis playbook.</t>
  </si>
  <si>
    <t>Maintain maturity for visitor management covering identity checks, escorting, sensitive areas and evacuation accountability. Monitor drift, keep evidence current, benchmark externally and refresh tests after major changes.</t>
  </si>
  <si>
    <t>Physical Safety!14</t>
  </si>
  <si>
    <t>Establish a basic owner and inventory for security guarding, CCTV, alarm monitoring and response procedures. Define minimum policy, evidence location and immediate crisis relevance.</t>
  </si>
  <si>
    <t>Document security guarding, CCTV, alarm monitoring and response procedures, assign RACI, define minimum controls/KPIs and collect evidence across the main business units or sites.</t>
  </si>
  <si>
    <t>Standardize security guarding, CCTV, alarm monitoring and response procedures across the organization, close coverage gaps, link it to crisis scenarios and train accountable roles.</t>
  </si>
  <si>
    <t>Measure security guarding, CCTV, alarm monitoring and response procedures, review it periodically, test it against disruption scenarios and integrate it with dependent processes or systems.</t>
  </si>
  <si>
    <t>Optimize and automate security guarding, CCTV, alarm monitoring and response procedures where practical, use leading indicators, run periodic stress tests and update the crisis playbook.</t>
  </si>
  <si>
    <t>Maintain maturity for security guarding, CCTV, alarm monitoring and response procedures. Monitor drift, keep evidence current, benchmark externally and refresh tests after major changes.</t>
  </si>
  <si>
    <t>Physical Safety!15</t>
  </si>
  <si>
    <t>Establish a basic owner and inventory for physical asset protection against theft, sabotage, environmental damage and unauthorized access. Define minimum policy, evidence location and immediate crisis relevance.</t>
  </si>
  <si>
    <t>Document physical asset protection against theft, sabotage, environmental damage and unauthorized access, assign RACI, define minimum controls/KPIs and collect evidence across the main business units or sites.</t>
  </si>
  <si>
    <t>Standardize physical asset protection against theft, sabotage, environmental damage and unauthorized access across the organization, close coverage gaps, link it to crisis scenarios and train accountable roles.</t>
  </si>
  <si>
    <t>Measure physical asset protection against theft, sabotage, environmental damage and unauthorized access, review it periodically, test it against disruption scenarios and integrate it with dependent processes or systems.</t>
  </si>
  <si>
    <t>Optimize and automate physical asset protection against theft, sabotage, environmental damage and unauthorized access where practical, use leading indicators, run periodic stress tests and update the crisis playbook.</t>
  </si>
  <si>
    <t>Maintain maturity for physical asset protection against theft, sabotage, environmental damage and unauthorized access. Monitor drift, keep evidence current, benchmark externally and refresh tests after major changes.</t>
  </si>
  <si>
    <t>Physical Safety!16</t>
  </si>
  <si>
    <t>Establish a basic owner and inventory for emergency response plans for fire, medical emergency, violence, bomb threat, shelling, evacuation, shelter-in-place and utility failure. Define minimum policy, evidence location and immediate crisis relevance.</t>
  </si>
  <si>
    <t>Document emergency response plans for fire, medical emergency, violence, bomb threat, shelling, evacuation, shelter-in-place and utility failure, assign RACI, define minimum controls/KPIs and collect evidence across the main business units or sites.</t>
  </si>
  <si>
    <t>Standardize emergency response plans for fire, medical emergency, violence, bomb threat, shelling, evacuation, shelter-in-place and utility failure across the organization, close coverage gaps, link it to crisis scenarios and train accountable roles.</t>
  </si>
  <si>
    <t>Measure emergency response plans for fire, medical emergency, violence, bomb threat, shelling, evacuation, shelter-in-place and utility failure, review it periodically, test it against disruption scenarios and integrate it with dependent processes or systems.</t>
  </si>
  <si>
    <t>Optimize and automate emergency response plans for fire, medical emergency, violence, bomb threat, shelling, evacuation, shelter-in-place and utility failure where practical, use leading indicators, run periodic stress tests and update the crisis playbook.</t>
  </si>
  <si>
    <t>Maintain maturity for emergency response plans for fire, medical emergency, violence, bomb threat, shelling, evacuation, shelter-in-place and utility failure. Monitor drift, keep evidence current, benchmark externally and refresh tests after major changes.</t>
  </si>
  <si>
    <t>Reduces exposure to Safety incident; Physical site loss; War/security crisis; Natural disaster; improves Emergency response maturity, continuity and management visibility.</t>
  </si>
  <si>
    <t>Physical Safety!17</t>
  </si>
  <si>
    <t>Establish a basic owner and inventory for evacuation and shelter drills with attendance, outcomes and corrective actions. Define minimum policy, evidence location and immediate crisis relevance.</t>
  </si>
  <si>
    <t>Document evacuation and shelter drills with attendance, outcomes and corrective actions, assign RACI, define minimum controls/KPIs and collect evidence across the main business units or sites.</t>
  </si>
  <si>
    <t>Standardize evacuation and shelter drills with attendance, outcomes and corrective actions across the organization, close coverage gaps, link it to crisis scenarios and train accountable roles.</t>
  </si>
  <si>
    <t>Measure evacuation and shelter drills with attendance, outcomes and corrective actions, review it periodically, test it against disruption scenarios and integrate it with dependent processes or systems.</t>
  </si>
  <si>
    <t>Optimize and automate evacuation and shelter drills with attendance, outcomes and corrective actions where practical, use leading indicators, run periodic stress tests and update the crisis playbook.</t>
  </si>
  <si>
    <t>Maintain maturity for evacuation and shelter drills with attendance, outcomes and corrective actions. Monitor drift, keep evidence current, benchmark externally and refresh tests after major changes.</t>
  </si>
  <si>
    <t>Physical Safety!18</t>
  </si>
  <si>
    <t>Establish a basic owner and inventory for first aid readiness with trained responders, AEDs, medical contacts and first aid supplies. Define minimum policy, evidence location and immediate crisis relevance.</t>
  </si>
  <si>
    <t>Document first aid readiness with trained responders, AEDs, medical contacts and first aid supplies, assign RACI, define minimum controls/KPIs and collect evidence across the main business units or sites.</t>
  </si>
  <si>
    <t>Standardize first aid readiness with trained responders, AEDs, medical contacts and first aid supplies across the organization, close coverage gaps, link it to crisis scenarios and train accountable roles.</t>
  </si>
  <si>
    <t>Measure first aid readiness with trained responders, AEDs, medical contacts and first aid supplies, review it periodically, test it against disruption scenarios and integrate it with dependent processes or systems.</t>
  </si>
  <si>
    <t>Optimize and automate first aid readiness with trained responders, AEDs, medical contacts and first aid supplies where practical, use leading indicators, run periodic stress tests and update the crisis playbook.</t>
  </si>
  <si>
    <t>Maintain maturity for first aid readiness with trained responders, AEDs, medical contacts and first aid supplies. Monitor drift, keep evidence current, benchmark externally and refresh tests after major changes.</t>
  </si>
  <si>
    <t>Physical Safety!19</t>
  </si>
  <si>
    <t>Establish a basic owner and inventory for mass notification to employees, visitors and contractors during site emergencies. Define minimum policy, evidence location and immediate crisis relevance.</t>
  </si>
  <si>
    <t>Document mass notification to employees, visitors and contractors during site emergencies, assign RACI, define minimum controls/KPIs and collect evidence across the main business units or sites.</t>
  </si>
  <si>
    <t>Standardize mass notification to employees, visitors and contractors during site emergencies across the organization, close coverage gaps, link it to crisis scenarios and train accountable roles.</t>
  </si>
  <si>
    <t>Measure mass notification to employees, visitors and contractors during site emergencies, review it periodically, test it against disruption scenarios and integrate it with dependent processes or systems.</t>
  </si>
  <si>
    <t>Optimize and automate mass notification to employees, visitors and contractors during site emergencies where practical, use leading indicators, run periodic stress tests and update the crisis playbook.</t>
  </si>
  <si>
    <t>Maintain maturity for mass notification to employees, visitors and contractors during site emergencies. Monitor drift, keep evidence current, benchmark externally and refresh tests after major changes.</t>
  </si>
  <si>
    <t>Physical Safety!20</t>
  </si>
  <si>
    <t>Establish a basic owner and inventory for employee and visitor accountability after evacuation or sheltering. Define minimum policy, evidence location and immediate crisis relevance.</t>
  </si>
  <si>
    <t>Document employee and visitor accountability after evacuation or sheltering, assign RACI, define minimum controls/KPIs and collect evidence across the main business units or sites.</t>
  </si>
  <si>
    <t>Standardize employee and visitor accountability after evacuation or sheltering across the organization, close coverage gaps, link it to crisis scenarios and train accountable roles.</t>
  </si>
  <si>
    <t>Measure employee and visitor accountability after evacuation or sheltering, review it periodically, test it against disruption scenarios and integrate it with dependent processes or systems.</t>
  </si>
  <si>
    <t>Optimize and automate employee and visitor accountability after evacuation or sheltering where practical, use leading indicators, run periodic stress tests and update the crisis playbook.</t>
  </si>
  <si>
    <t>Maintain maturity for employee and visitor accountability after evacuation or sheltering. Monitor drift, keep evidence current, benchmark externally and refresh tests after major changes.</t>
  </si>
  <si>
    <t>Physical Safety!21</t>
  </si>
  <si>
    <t>Establish a basic owner and inventory for emergency supplies such as water, batteries, power banks, fuel, PPE, radios and flashlights. Define minimum policy, evidence location and immediate crisis relevance.</t>
  </si>
  <si>
    <t>Document emergency supplies such as water, batteries, power banks, fuel, PPE, radios and flashlights, assign RACI, define minimum controls/KPIs and collect evidence across the main business units or sites.</t>
  </si>
  <si>
    <t>Standardize emergency supplies such as water, batteries, power banks, fuel, PPE, radios and flashlights across the organization, close coverage gaps, link it to crisis scenarios and train accountable roles.</t>
  </si>
  <si>
    <t>Measure emergency supplies such as water, batteries, power banks, fuel, PPE, radios and flashlights, review it periodically, test it against disruption scenarios and integrate it with dependent processes or systems.</t>
  </si>
  <si>
    <t>Optimize and automate emergency supplies such as water, batteries, power banks, fuel, PPE, radios and flashlights where practical, use leading indicators, run periodic stress tests and update the crisis playbook.</t>
  </si>
  <si>
    <t>Maintain maturity for emergency supplies such as water, batteries, power banks, fuel, PPE, radios and flashlights. Monitor drift, keep evidence current, benchmark externally and refresh tests after major changes.</t>
  </si>
  <si>
    <t>Physical Safety!22</t>
  </si>
  <si>
    <t>Establish a basic owner and inventory for air raid, shelling, curfew, checkpoints, movement restriction and shelter procedures for high-risk geographies. Define minimum policy, evidence location and immediate crisis relevance.</t>
  </si>
  <si>
    <t>Document air raid, shelling, curfew, checkpoints, movement restriction and shelter procedures for high-risk geographies, assign RACI, define minimum controls/KPIs and collect evidence across the main business units or sites.</t>
  </si>
  <si>
    <t>Standardize air raid, shelling, curfew, checkpoints, movement restriction and shelter procedures for high-risk geographies across the organization, close coverage gaps, link it to crisis scenarios and train accountable roles.</t>
  </si>
  <si>
    <t>Measure air raid, shelling, curfew, checkpoints, movement restriction and shelter procedures for high-risk geographies, review it periodically, test it against disruption scenarios and integrate it with dependent processes or systems.</t>
  </si>
  <si>
    <t>Optimize and automate air raid, shelling, curfew, checkpoints, movement restriction and shelter procedures for high-risk geographies where practical, use leading indicators, run periodic stress tests and update the crisis playbook.</t>
  </si>
  <si>
    <t>Maintain maturity for air raid, shelling, curfew, checkpoints, movement restriction and shelter procedures for high-risk geographies. Monitor drift, keep evidence current, benchmark externally and refresh tests after major changes.</t>
  </si>
  <si>
    <t>Reduces exposure to Safety incident; Physical site loss; War/security crisis; Natural disaster; improves Security and travel maturity, continuity and management visibility.</t>
  </si>
  <si>
    <t>Physical Safety!23</t>
  </si>
  <si>
    <t>Establish a basic owner and inventory for relocation and evacuation options for employees and critical teams. Define minimum policy, evidence location and immediate crisis relevance.</t>
  </si>
  <si>
    <t>Document relocation and evacuation options for employees and critical teams, assign RACI, define minimum controls/KPIs and collect evidence across the main business units or sites.</t>
  </si>
  <si>
    <t>Standardize relocation and evacuation options for employees and critical teams across the organization, close coverage gaps, link it to crisis scenarios and train accountable roles.</t>
  </si>
  <si>
    <t>Measure relocation and evacuation options for employees and critical teams, review it periodically, test it against disruption scenarios and integrate it with dependent processes or systems.</t>
  </si>
  <si>
    <t>Optimize and automate relocation and evacuation options for employees and critical teams where practical, use leading indicators, run periodic stress tests and update the crisis playbook.</t>
  </si>
  <si>
    <t>Maintain maturity for relocation and evacuation options for employees and critical teams. Monitor drift, keep evidence current, benchmark externally and refresh tests after major changes.</t>
  </si>
  <si>
    <t>Physical Safety!24</t>
  </si>
  <si>
    <t>Establish a basic owner and inventory for travel risk assessment by destination, route, purpose, employee profile and emergency support. Define minimum policy, evidence location and immediate crisis relevance.</t>
  </si>
  <si>
    <t>Document travel risk assessment by destination, route, purpose, employee profile and emergency support, assign RACI, define minimum controls/KPIs and collect evidence across the main business units or sites.</t>
  </si>
  <si>
    <t>Standardize travel risk assessment by destination, route, purpose, employee profile and emergency support across the organization, close coverage gaps, link it to crisis scenarios and train accountable roles.</t>
  </si>
  <si>
    <t>Measure travel risk assessment by destination, route, purpose, employee profile and emergency support, review it periodically, test it against disruption scenarios and integrate it with dependent processes or systems.</t>
  </si>
  <si>
    <t>Optimize and automate travel risk assessment by destination, route, purpose, employee profile and emergency support where practical, use leading indicators, run periodic stress tests and update the crisis playbook.</t>
  </si>
  <si>
    <t>Maintain maturity for travel risk assessment by destination, route, purpose, employee profile and emergency support. Monitor drift, keep evidence current, benchmark externally and refresh tests after major changes.</t>
  </si>
  <si>
    <t>Physical Safety!25</t>
  </si>
  <si>
    <t>Establish a basic owner and inventory for local threat monitoring for critical sites and geographies. Define minimum policy, evidence location and immediate crisis relevance.</t>
  </si>
  <si>
    <t>Document local threat monitoring for critical sites and geographies, assign RACI, define minimum controls/KPIs and collect evidence across the main business units or sites.</t>
  </si>
  <si>
    <t>Standardize local threat monitoring for critical sites and geographies across the organization, close coverage gaps, link it to crisis scenarios and train accountable roles.</t>
  </si>
  <si>
    <t>Measure local threat monitoring for critical sites and geographies, review it periodically, test it against disruption scenarios and integrate it with dependent processes or systems.</t>
  </si>
  <si>
    <t>Optimize and automate local threat monitoring for critical sites and geographies where practical, use leading indicators, run periodic stress tests and update the crisis playbook.</t>
  </si>
  <si>
    <t>Maintain maturity for local threat monitoring for critical sites and geographies. Monitor drift, keep evidence current, benchmark externally and refresh tests after major changes.</t>
  </si>
  <si>
    <t>Physical Safety!26</t>
  </si>
  <si>
    <t>Establish a basic owner and inventory for coordination with fire, police, medical, local administration and utility providers. Define minimum policy, evidence location and immediate crisis relevance.</t>
  </si>
  <si>
    <t>Document coordination with fire, police, medical, local administration and utility providers, assign RACI, define minimum controls/KPIs and collect evidence across the main business units or sites.</t>
  </si>
  <si>
    <t>Standardize coordination with fire, police, medical, local administration and utility providers across the organization, close coverage gaps, link it to crisis scenarios and train accountable roles.</t>
  </si>
  <si>
    <t>Measure coordination with fire, police, medical, local administration and utility providers, review it periodically, test it against disruption scenarios and integrate it with dependent processes or systems.</t>
  </si>
  <si>
    <t>Optimize and automate coordination with fire, police, medical, local administration and utility providers where practical, use leading indicators, run periodic stress tests and update the crisis playbook.</t>
  </si>
  <si>
    <t>Maintain maturity for coordination with fire, police, medical, local administration and utility providers. Monitor drift, keep evidence current, benchmark externally and refresh tests after major changes.</t>
  </si>
  <si>
    <t>Physical Safety!27</t>
  </si>
  <si>
    <t>Establish a basic owner and inventory for backup power for critical sites with capacity, maintenance, fuel and test records. Define minimum policy, evidence location and immediate crisis relevance.</t>
  </si>
  <si>
    <t>Document backup power for critical sites with capacity, maintenance, fuel and test records, assign RACI, define minimum controls/KPIs and collect evidence across the main business units or sites.</t>
  </si>
  <si>
    <t>Standardize backup power for critical sites with capacity, maintenance, fuel and test records across the organization, close coverage gaps, link it to crisis scenarios and train accountable roles.</t>
  </si>
  <si>
    <t>Measure backup power for critical sites with capacity, maintenance, fuel and test records, review it periodically, test it against disruption scenarios and integrate it with dependent processes or systems.</t>
  </si>
  <si>
    <t>Optimize and automate backup power for critical sites with capacity, maintenance, fuel and test records where practical, use leading indicators, run periodic stress tests and update the crisis playbook.</t>
  </si>
  <si>
    <t>Maintain maturity for backup power for critical sites with capacity, maintenance, fuel and test records. Monitor drift, keep evidence current, benchmark externally and refresh tests after major changes.</t>
  </si>
  <si>
    <t>Reduces exposure to Safety incident; Physical site loss; War/security crisis; Natural disaster; improves Utilities and resilience maturity, continuity and management visibility.</t>
  </si>
  <si>
    <t>Physical Safety!28</t>
  </si>
  <si>
    <t>Establish a basic owner and inventory for water, sanitation, HVAC and environmental controls in facility continuity plans. Define minimum policy, evidence location and immediate crisis relevance.</t>
  </si>
  <si>
    <t>Document water, sanitation, HVAC and environmental controls in facility continuity plans, assign RACI, define minimum controls/KPIs and collect evidence across the main business units or sites.</t>
  </si>
  <si>
    <t>Standardize water, sanitation, HVAC and environmental controls in facility continuity plans across the organization, close coverage gaps, link it to crisis scenarios and train accountable roles.</t>
  </si>
  <si>
    <t>Measure water, sanitation, HVAC and environmental controls in facility continuity plans, review it periodically, test it against disruption scenarios and integrate it with dependent processes or systems.</t>
  </si>
  <si>
    <t>Optimize and automate water, sanitation, HVAC and environmental controls in facility continuity plans where practical, use leading indicators, run periodic stress tests and update the crisis playbook.</t>
  </si>
  <si>
    <t>Maintain maturity for water, sanitation, HVAC and environmental controls in facility continuity plans. Monitor drift, keep evidence current, benchmark externally and refresh tests after major changes.</t>
  </si>
  <si>
    <t>Physical Safety!29</t>
  </si>
  <si>
    <t>Establish a basic owner and inventory for backup internet and telecom connectivity at critical sites. Define minimum policy, evidence location and immediate crisis relevance.</t>
  </si>
  <si>
    <t>Document backup internet and telecom connectivity at critical sites, assign RACI, define minimum controls/KPIs and collect evidence across the main business units or sites.</t>
  </si>
  <si>
    <t>Standardize backup internet and telecom connectivity at critical sites across the organization, close coverage gaps, link it to crisis scenarios and train accountable roles.</t>
  </si>
  <si>
    <t>Measure backup internet and telecom connectivity at critical sites, review it periodically, test it against disruption scenarios and integrate it with dependent processes or systems.</t>
  </si>
  <si>
    <t>Optimize and automate backup internet and telecom connectivity at critical sites where practical, use leading indicators, run periodic stress tests and update the crisis playbook.</t>
  </si>
  <si>
    <t>Maintain maturity for backup internet and telecom connectivity at critical sites. Monitor drift, keep evidence current, benchmark externally and refresh tests after major changes.</t>
  </si>
  <si>
    <t>Physical Safety!30</t>
  </si>
  <si>
    <t>Establish a basic owner and inventory for preventive maintenance for safety-critical facility systems. Define minimum policy, evidence location and immediate crisis relevance.</t>
  </si>
  <si>
    <t>Document preventive maintenance for safety-critical facility systems, assign RACI, define minimum controls/KPIs and collect evidence across the main business units or sites.</t>
  </si>
  <si>
    <t>Standardize preventive maintenance for safety-critical facility systems across the organization, close coverage gaps, link it to crisis scenarios and train accountable roles.</t>
  </si>
  <si>
    <t>Measure preventive maintenance for safety-critical facility systems, review it periodically, test it against disruption scenarios and integrate it with dependent processes or systems.</t>
  </si>
  <si>
    <t>Optimize and automate preventive maintenance for safety-critical facility systems where practical, use leading indicators, run periodic stress tests and update the crisis playbook.</t>
  </si>
  <si>
    <t>Maintain maturity for preventive maintenance for safety-critical facility systems. Monitor drift, keep evidence current, benchmark externally and refresh tests after major changes.</t>
  </si>
  <si>
    <t>Physical Safety!31</t>
  </si>
  <si>
    <t>Establish a basic owner and inventory for alternative worksites, temporary facilities, coworking spaces or remote-work options if a site is lost. Define minimum policy, evidence location and immediate crisis relevance.</t>
  </si>
  <si>
    <t>Document alternative worksites, temporary facilities, coworking spaces or remote-work options if a site is lost, assign RACI, define minimum controls/KPIs and collect evidence across the main business units or sites.</t>
  </si>
  <si>
    <t>Standardize alternative worksites, temporary facilities, coworking spaces or remote-work options if a site is lost across the organization, close coverage gaps, link it to crisis scenarios and train accountable roles.</t>
  </si>
  <si>
    <t>Measure alternative worksites, temporary facilities, coworking spaces or remote-work options if a site is lost, review it periodically, test it against disruption scenarios and integrate it with dependent processes or systems.</t>
  </si>
  <si>
    <t>Optimize and automate alternative worksites, temporary facilities, coworking spaces or remote-work options if a site is lost where practical, use leading indicators, run periodic stress tests and update the crisis playbook.</t>
  </si>
  <si>
    <t>Maintain maturity for alternative worksites, temporary facilities, coworking spaces or remote-work options if a site is lost. Monitor drift, keep evidence current, benchmark externally and refresh tests after major changes.</t>
  </si>
  <si>
    <t>Physical Safety!32</t>
  </si>
  <si>
    <t>Establish a basic owner and inventory for documented delivery operating model across functions, teams, sites, vendors and customer interfaces. Define minimum policy, evidence location and immediate crisis relevance.</t>
  </si>
  <si>
    <t>Document documented delivery operating model across functions, teams, sites, vendors and customer interfaces, assign RACI, define minimum controls/KPIs and collect evidence across the main business units or sites.</t>
  </si>
  <si>
    <t>Standardize documented delivery operating model across functions, teams, sites, vendors and customer interfaces across the organization, close coverage gaps, link it to crisis scenarios and train accountable roles.</t>
  </si>
  <si>
    <t>Measure documented delivery operating model across functions, teams, sites, vendors and customer interfaces, review it periodically, test it against disruption scenarios and integrate it with dependent processes or systems.</t>
  </si>
  <si>
    <t>Optimize and automate documented delivery operating model across functions, teams, sites, vendors and customer interfaces where practical, use leading indicators, run periodic stress tests and update the crisis playbook.</t>
  </si>
  <si>
    <t>Maintain maturity for documented delivery operating model across functions, teams, sites, vendors and customer interfaces. Monitor drift, keep evidence current, benchmark externally and refresh tests after major changes.</t>
  </si>
  <si>
    <t>Reduces exposure to Delivery disruption; Customer impact; Workforce disruption; improves Delivery governance maturity, continuity and management visibility.</t>
  </si>
  <si>
    <t>Delivery Ops!5</t>
  </si>
  <si>
    <t>Establish a basic owner and inventory for critical delivery processes ranked by customer, revenue, safety and contractual impact. Define minimum policy, evidence location and immediate crisis relevance.</t>
  </si>
  <si>
    <t>Document critical delivery processes ranked by customer, revenue, safety and contractual impact, assign RACI, define minimum controls/KPIs and collect evidence across the main business units or sites.</t>
  </si>
  <si>
    <t>Standardize critical delivery processes ranked by customer, revenue, safety and contractual impact across the organization, close coverage gaps, link it to crisis scenarios and train accountable roles.</t>
  </si>
  <si>
    <t>Measure critical delivery processes ranked by customer, revenue, safety and contractual impact, review it periodically, test it against disruption scenarios and integrate it with dependent processes or systems.</t>
  </si>
  <si>
    <t>Optimize and automate critical delivery processes ranked by customer, revenue, safety and contractual impact where practical, use leading indicators, run periodic stress tests and update the crisis playbook.</t>
  </si>
  <si>
    <t>Maintain maturity for critical delivery processes ranked by customer, revenue, safety and contractual impact. Monitor drift, keep evidence current, benchmark externally and refresh tests after major changes.</t>
  </si>
  <si>
    <t>Delivery Ops!6</t>
  </si>
  <si>
    <t>Establish a basic owner and inventory for SLA and OLA management with owners, escalation rules and customer communication. Define minimum policy, evidence location and immediate crisis relevance.</t>
  </si>
  <si>
    <t>Document SLA and OLA management with owners, escalation rules and customer communication, assign RACI, define minimum controls/KPIs and collect evidence across the main business units or sites.</t>
  </si>
  <si>
    <t>Standardize SLA and OLA management with owners, escalation rules and customer communication across the organization, close coverage gaps, link it to crisis scenarios and train accountable roles.</t>
  </si>
  <si>
    <t>Measure SLA and OLA management with owners, escalation rules and customer communication, review it periodically, test it against disruption scenarios and integrate it with dependent processes or systems.</t>
  </si>
  <si>
    <t>Optimize and automate SLA and OLA management with owners, escalation rules and customer communication where practical, use leading indicators, run periodic stress tests and update the crisis playbook.</t>
  </si>
  <si>
    <t>Maintain maturity for SLA and OLA management with owners, escalation rules and customer communication. Monitor drift, keep evidence current, benchmark externally and refresh tests after major changes.</t>
  </si>
  <si>
    <t>Delivery Ops!7</t>
  </si>
  <si>
    <t>Establish a basic owner and inventory for operational incident link to delivery impact, customer communication and corrective action. Define minimum policy, evidence location and immediate crisis relevance.</t>
  </si>
  <si>
    <t>Document operational incident link to delivery impact, customer communication and corrective action, assign RACI, define minimum controls/KPIs and collect evidence across the main business units or sites.</t>
  </si>
  <si>
    <t>Standardize operational incident link to delivery impact, customer communication and corrective action across the organization, close coverage gaps, link it to crisis scenarios and train accountable roles.</t>
  </si>
  <si>
    <t>Measure operational incident link to delivery impact, customer communication and corrective action, review it periodically, test it against disruption scenarios and integrate it with dependent processes or systems.</t>
  </si>
  <si>
    <t>Optimize and automate operational incident link to delivery impact, customer communication and corrective action where practical, use leading indicators, run periodic stress tests and update the crisis playbook.</t>
  </si>
  <si>
    <t>Maintain maturity for operational incident link to delivery impact, customer communication and corrective action. Monitor drift, keep evidence current, benchmark externally and refresh tests after major changes.</t>
  </si>
  <si>
    <t>Delivery Ops!8</t>
  </si>
  <si>
    <t>Establish a basic owner and inventory for customer prioritization rules during capacity constraints. Define minimum policy, evidence location and immediate crisis relevance.</t>
  </si>
  <si>
    <t>Document customer prioritization rules during capacity constraints, assign RACI, define minimum controls/KPIs and collect evidence across the main business units or sites.</t>
  </si>
  <si>
    <t>Standardize customer prioritization rules during capacity constraints across the organization, close coverage gaps, link it to crisis scenarios and train accountable roles.</t>
  </si>
  <si>
    <t>Measure customer prioritization rules during capacity constraints, review it periodically, test it against disruption scenarios and integrate it with dependent processes or systems.</t>
  </si>
  <si>
    <t>Optimize and automate customer prioritization rules during capacity constraints where practical, use leading indicators, run periodic stress tests and update the crisis playbook.</t>
  </si>
  <si>
    <t>Maintain maturity for customer prioritization rules during capacity constraints. Monitor drift, keep evidence current, benchmark externally and refresh tests after major changes.</t>
  </si>
  <si>
    <t>Delivery Ops!9</t>
  </si>
  <si>
    <t>Establish a basic owner and inventory for delivery transparency to customers during delays, incidents or disruption. Define minimum policy, evidence location and immediate crisis relevance.</t>
  </si>
  <si>
    <t>Document delivery transparency to customers during delays, incidents or disruption, assign RACI, define minimum controls/KPIs and collect evidence across the main business units or sites.</t>
  </si>
  <si>
    <t>Standardize delivery transparency to customers during delays, incidents or disruption across the organization, close coverage gaps, link it to crisis scenarios and train accountable roles.</t>
  </si>
  <si>
    <t>Measure delivery transparency to customers during delays, incidents or disruption, review it periodically, test it against disruption scenarios and integrate it with dependent processes or systems.</t>
  </si>
  <si>
    <t>Optimize and automate delivery transparency to customers during delays, incidents or disruption where practical, use leading indicators, run periodic stress tests and update the crisis playbook.</t>
  </si>
  <si>
    <t>Maintain maturity for delivery transparency to customers during delays, incidents or disruption. Monitor drift, keep evidence current, benchmark externally and refresh tests after major changes.</t>
  </si>
  <si>
    <t>Delivery Ops!10</t>
  </si>
  <si>
    <t>Establish a basic owner and inventory for capacity planning for people, equipment, production lines, cloud resources, warehouses and suppliers. Define minimum policy, evidence location and immediate crisis relevance.</t>
  </si>
  <si>
    <t>Document capacity planning for people, equipment, production lines, cloud resources, warehouses and suppliers, assign RACI, define minimum controls/KPIs and collect evidence across the main business units or sites.</t>
  </si>
  <si>
    <t>Standardize capacity planning for people, equipment, production lines, cloud resources, warehouses and suppliers across the organization, close coverage gaps, link it to crisis scenarios and train accountable roles.</t>
  </si>
  <si>
    <t>Measure capacity planning for people, equipment, production lines, cloud resources, warehouses and suppliers, review it periodically, test it against disruption scenarios and integrate it with dependent processes or systems.</t>
  </si>
  <si>
    <t>Optimize and automate capacity planning for people, equipment, production lines, cloud resources, warehouses and suppliers where practical, use leading indicators, run periodic stress tests and update the crisis playbook.</t>
  </si>
  <si>
    <t>Maintain maturity for capacity planning for people, equipment, production lines, cloud resources, warehouses and suppliers. Monitor drift, keep evidence current, benchmark externally and refresh tests after major changes.</t>
  </si>
  <si>
    <t>Reduces exposure to Delivery disruption; Customer impact; Workforce disruption; improves Capacity and continuity maturity, continuity and management visibility.</t>
  </si>
  <si>
    <t>Delivery Ops!11</t>
  </si>
  <si>
    <t>Establish a basic owner and inventory for surge capacity for demand spikes, backlog recovery and emergency orders. Define minimum policy, evidence location and immediate crisis relevance.</t>
  </si>
  <si>
    <t>Document surge capacity for demand spikes, backlog recovery and emergency orders, assign RACI, define minimum controls/KPIs and collect evidence across the main business units or sites.</t>
  </si>
  <si>
    <t>Standardize surge capacity for demand spikes, backlog recovery and emergency orders across the organization, close coverage gaps, link it to crisis scenarios and train accountable roles.</t>
  </si>
  <si>
    <t>Measure surge capacity for demand spikes, backlog recovery and emergency orders, review it periodically, test it against disruption scenarios and integrate it with dependent processes or systems.</t>
  </si>
  <si>
    <t>Optimize and automate surge capacity for demand spikes, backlog recovery and emergency orders where practical, use leading indicators, run periodic stress tests and update the crisis playbook.</t>
  </si>
  <si>
    <t>Maintain maturity for surge capacity for demand spikes, backlog recovery and emergency orders. Monitor drift, keep evidence current, benchmark externally and refresh tests after major changes.</t>
  </si>
  <si>
    <t>Delivery Ops!12</t>
  </si>
  <si>
    <t>Establish a basic owner and inventory for minimum viable operating model for severe constraints. Define minimum policy, evidence location and immediate crisis relevance.</t>
  </si>
  <si>
    <t>Document minimum viable operating model for severe constraints, assign RACI, define minimum controls/KPIs and collect evidence across the main business units or sites.</t>
  </si>
  <si>
    <t>Standardize minimum viable operating model for severe constraints across the organization, close coverage gaps, link it to crisis scenarios and train accountable roles.</t>
  </si>
  <si>
    <t>Measure minimum viable operating model for severe constraints, review it periodically, test it against disruption scenarios and integrate it with dependent processes or systems.</t>
  </si>
  <si>
    <t>Optimize and automate minimum viable operating model for severe constraints where practical, use leading indicators, run periodic stress tests and update the crisis playbook.</t>
  </si>
  <si>
    <t>Maintain maturity for minimum viable operating model for severe constraints. Monitor drift, keep evidence current, benchmark externally and refresh tests after major changes.</t>
  </si>
  <si>
    <t>Delivery Ops!13</t>
  </si>
  <si>
    <t>Establish a basic owner and inventory for cross-site or cross-team work transfer if one location or team fails. Define minimum policy, evidence location and immediate crisis relevance.</t>
  </si>
  <si>
    <t>Document cross-site or cross-team work transfer if one location or team fails, assign RACI, define minimum controls/KPIs and collect evidence across the main business units or sites.</t>
  </si>
  <si>
    <t>Standardize cross-site or cross-team work transfer if one location or team fails across the organization, close coverage gaps, link it to crisis scenarios and train accountable roles.</t>
  </si>
  <si>
    <t>Measure cross-site or cross-team work transfer if one location or team fails, review it periodically, test it against disruption scenarios and integrate it with dependent processes or systems.</t>
  </si>
  <si>
    <t>Optimize and automate cross-site or cross-team work transfer if one location or team fails where practical, use leading indicators, run periodic stress tests and update the crisis playbook.</t>
  </si>
  <si>
    <t>Maintain maturity for cross-site or cross-team work transfer if one location or team fails. Monitor drift, keep evidence current, benchmark externally and refresh tests after major changes.</t>
  </si>
  <si>
    <t>Delivery Ops!14</t>
  </si>
  <si>
    <t>Establish a basic owner and inventory for recovery sequencing for processes, systems, teams, sites and customers. Define minimum policy, evidence location and immediate crisis relevance.</t>
  </si>
  <si>
    <t>Document recovery sequencing for processes, systems, teams, sites and customers, assign RACI, define minimum controls/KPIs and collect evidence across the main business units or sites.</t>
  </si>
  <si>
    <t>Standardize recovery sequencing for processes, systems, teams, sites and customers across the organization, close coverage gaps, link it to crisis scenarios and train accountable roles.</t>
  </si>
  <si>
    <t>Measure recovery sequencing for processes, systems, teams, sites and customers, review it periodically, test it against disruption scenarios and integrate it with dependent processes or systems.</t>
  </si>
  <si>
    <t>Optimize and automate recovery sequencing for processes, systems, teams, sites and customers where practical, use leading indicators, run periodic stress tests and update the crisis playbook.</t>
  </si>
  <si>
    <t>Maintain maturity for recovery sequencing for processes, systems, teams, sites and customers. Monitor drift, keep evidence current, benchmark externally and refresh tests after major changes.</t>
  </si>
  <si>
    <t>Delivery Ops!15</t>
  </si>
  <si>
    <t>Establish a basic owner and inventory for delivery tabletop exercises with absent people, unavailable systems or supplier failure. Define minimum policy, evidence location and immediate crisis relevance.</t>
  </si>
  <si>
    <t>Document delivery tabletop exercises with absent people, unavailable systems or supplier failure, assign RACI, define minimum controls/KPIs and collect evidence across the main business units or sites.</t>
  </si>
  <si>
    <t>Standardize delivery tabletop exercises with absent people, unavailable systems or supplier failure across the organization, close coverage gaps, link it to crisis scenarios and train accountable roles.</t>
  </si>
  <si>
    <t>Measure delivery tabletop exercises with absent people, unavailable systems or supplier failure, review it periodically, test it against disruption scenarios and integrate it with dependent processes or systems.</t>
  </si>
  <si>
    <t>Optimize and automate delivery tabletop exercises with absent people, unavailable systems or supplier failure where practical, use leading indicators, run periodic stress tests and update the crisis playbook.</t>
  </si>
  <si>
    <t>Maintain maturity for delivery tabletop exercises with absent people, unavailable systems or supplier failure. Monitor drift, keep evidence current, benchmark externally and refresh tests after major changes.</t>
  </si>
  <si>
    <t>Delivery Ops!16</t>
  </si>
  <si>
    <t>Establish a basic owner and inventory for SOP documentation for critical delivery activities. Define minimum policy, evidence location and immediate crisis relevance.</t>
  </si>
  <si>
    <t>Document SOP documentation for critical delivery activities, assign RACI, define minimum controls/KPIs and collect evidence across the main business units or sites.</t>
  </si>
  <si>
    <t>Standardize SOP documentation for critical delivery activities across the organization, close coverage gaps, link it to crisis scenarios and train accountable roles.</t>
  </si>
  <si>
    <t>Measure SOP documentation for critical delivery activities, review it periodically, test it against disruption scenarios and integrate it with dependent processes or systems.</t>
  </si>
  <si>
    <t>Optimize and automate SOP documentation for critical delivery activities where practical, use leading indicators, run periodic stress tests and update the crisis playbook.</t>
  </si>
  <si>
    <t>Maintain maturity for SOP documentation for critical delivery activities. Monitor drift, keep evidence current, benchmark externally and refresh tests after major changes.</t>
  </si>
  <si>
    <t>Reduces exposure to Delivery disruption; Customer impact; Workforce disruption; improves Process control maturity, continuity and management visibility.</t>
  </si>
  <si>
    <t>Delivery Ops!17</t>
  </si>
  <si>
    <t>Establish a basic owner and inventory for handover procedures between shifts, teams, vendors and customers. Define minimum policy, evidence location and immediate crisis relevance.</t>
  </si>
  <si>
    <t>Document handover procedures between shifts, teams, vendors and customers, assign RACI, define minimum controls/KPIs and collect evidence across the main business units or sites.</t>
  </si>
  <si>
    <t>Standardize handover procedures between shifts, teams, vendors and customers across the organization, close coverage gaps, link it to crisis scenarios and train accountable roles.</t>
  </si>
  <si>
    <t>Measure handover procedures between shifts, teams, vendors and customers, review it periodically, test it against disruption scenarios and integrate it with dependent processes or systems.</t>
  </si>
  <si>
    <t>Optimize and automate handover procedures between shifts, teams, vendors and customers where practical, use leading indicators, run periodic stress tests and update the crisis playbook.</t>
  </si>
  <si>
    <t>Maintain maturity for handover procedures between shifts, teams, vendors and customers. Monitor drift, keep evidence current, benchmark externally and refresh tests after major changes.</t>
  </si>
  <si>
    <t>Delivery Ops!18</t>
  </si>
  <si>
    <t>Establish a basic owner and inventory for quality gates across delivery, production, release or service lifecycle. Define minimum policy, evidence location and immediate crisis relevance.</t>
  </si>
  <si>
    <t>Document quality gates across delivery, production, release or service lifecycle, assign RACI, define minimum controls/KPIs and collect evidence across the main business units or sites.</t>
  </si>
  <si>
    <t>Standardize quality gates across delivery, production, release or service lifecycle across the organization, close coverage gaps, link it to crisis scenarios and train accountable roles.</t>
  </si>
  <si>
    <t>Measure quality gates across delivery, production, release or service lifecycle, review it periodically, test it against disruption scenarios and integrate it with dependent processes or systems.</t>
  </si>
  <si>
    <t>Optimize and automate quality gates across delivery, production, release or service lifecycle where practical, use leading indicators, run periodic stress tests and update the crisis playbook.</t>
  </si>
  <si>
    <t>Maintain maturity for quality gates across delivery, production, release or service lifecycle. Monitor drift, keep evidence current, benchmark externally and refresh tests after major changes.</t>
  </si>
  <si>
    <t>Delivery Ops!19</t>
  </si>
  <si>
    <t>Establish a basic owner and inventory for change control with risk, customer impact, rollback and communication. Define minimum policy, evidence location and immediate crisis relevance.</t>
  </si>
  <si>
    <t>Document change control with risk, customer impact, rollback and communication, assign RACI, define minimum controls/KPIs and collect evidence across the main business units or sites.</t>
  </si>
  <si>
    <t>Standardize change control with risk, customer impact, rollback and communication across the organization, close coverage gaps, link it to crisis scenarios and train accountable roles.</t>
  </si>
  <si>
    <t>Measure change control with risk, customer impact, rollback and communication, review it periodically, test it against disruption scenarios and integrate it with dependent processes or systems.</t>
  </si>
  <si>
    <t>Optimize and automate change control with risk, customer impact, rollback and communication where practical, use leading indicators, run periodic stress tests and update the crisis playbook.</t>
  </si>
  <si>
    <t>Maintain maturity for change control with risk, customer impact, rollback and communication. Monitor drift, keep evidence current, benchmark externally and refresh tests after major changes.</t>
  </si>
  <si>
    <t>Delivery Ops!20</t>
  </si>
  <si>
    <t>Establish a basic owner and inventory for manual workarounds if delivery systems are unavailable. Define minimum policy, evidence location and immediate crisis relevance.</t>
  </si>
  <si>
    <t>Document manual workarounds if delivery systems are unavailable, assign RACI, define minimum controls/KPIs and collect evidence across the main business units or sites.</t>
  </si>
  <si>
    <t>Standardize manual workarounds if delivery systems are unavailable across the organization, close coverage gaps, link it to crisis scenarios and train accountable roles.</t>
  </si>
  <si>
    <t>Measure manual workarounds if delivery systems are unavailable, review it periodically, test it against disruption scenarios and integrate it with dependent processes or systems.</t>
  </si>
  <si>
    <t>Optimize and automate manual workarounds if delivery systems are unavailable where practical, use leading indicators, run periodic stress tests and update the crisis playbook.</t>
  </si>
  <si>
    <t>Maintain maturity for manual workarounds if delivery systems are unavailable. Monitor drift, keep evidence current, benchmark externally and refresh tests after major changes.</t>
  </si>
  <si>
    <t>Delivery Ops!21</t>
  </si>
  <si>
    <t>Establish a basic owner and inventory for root cause analysis for recurring delivery failures. Define minimum policy, evidence location and immediate crisis relevance.</t>
  </si>
  <si>
    <t>Document root cause analysis for recurring delivery failures, assign RACI, define minimum controls/KPIs and collect evidence across the main business units or sites.</t>
  </si>
  <si>
    <t>Standardize root cause analysis for recurring delivery failures across the organization, close coverage gaps, link it to crisis scenarios and train accountable roles.</t>
  </si>
  <si>
    <t>Measure root cause analysis for recurring delivery failures, review it periodically, test it against disruption scenarios and integrate it with dependent processes or systems.</t>
  </si>
  <si>
    <t>Optimize and automate root cause analysis for recurring delivery failures where practical, use leading indicators, run periodic stress tests and update the crisis playbook.</t>
  </si>
  <si>
    <t>Maintain maturity for root cause analysis for recurring delivery failures. Monitor drift, keep evidence current, benchmark externally and refresh tests after major changes.</t>
  </si>
  <si>
    <t>Delivery Ops!22</t>
  </si>
  <si>
    <t>Establish a basic owner and inventory for real-time visibility into orders, backlog, incidents, production, logistics and service performance. Define minimum policy, evidence location and immediate crisis relevance.</t>
  </si>
  <si>
    <t>Document real-time visibility into orders, backlog, incidents, production, logistics and service performance, assign RACI, define minimum controls/KPIs and collect evidence across the main business units or sites.</t>
  </si>
  <si>
    <t>Standardize real-time visibility into orders, backlog, incidents, production, logistics and service performance across the organization, close coverage gaps, link it to crisis scenarios and train accountable roles.</t>
  </si>
  <si>
    <t>Measure real-time visibility into orders, backlog, incidents, production, logistics and service performance, review it periodically, test it against disruption scenarios and integrate it with dependent processes or systems.</t>
  </si>
  <si>
    <t>Optimize and automate real-time visibility into orders, backlog, incidents, production, logistics and service performance where practical, use leading indicators, run periodic stress tests and update the crisis playbook.</t>
  </si>
  <si>
    <t>Maintain maturity for real-time visibility into orders, backlog, incidents, production, logistics and service performance. Monitor drift, keep evidence current, benchmark externally and refresh tests after major changes.</t>
  </si>
  <si>
    <t>Reduces exposure to Delivery disruption; Customer impact; Workforce disruption; improves Operational visibility maturity, continuity and management visibility.</t>
  </si>
  <si>
    <t>Delivery Ops!23</t>
  </si>
  <si>
    <t>Establish a basic owner and inventory for operational KPIs for delivery quality, timeliness, throughput, cost, incidents and customer impact. Define minimum policy, evidence location and immediate crisis relevance.</t>
  </si>
  <si>
    <t>Document operational KPIs for delivery quality, timeliness, throughput, cost, incidents and customer impact, assign RACI, define minimum controls/KPIs and collect evidence across the main business units or sites.</t>
  </si>
  <si>
    <t>Standardize operational KPIs for delivery quality, timeliness, throughput, cost, incidents and customer impact across the organization, close coverage gaps, link it to crisis scenarios and train accountable roles.</t>
  </si>
  <si>
    <t>Measure operational KPIs for delivery quality, timeliness, throughput, cost, incidents and customer impact, review it periodically, test it against disruption scenarios and integrate it with dependent processes or systems.</t>
  </si>
  <si>
    <t>Optimize and automate operational KPIs for delivery quality, timeliness, throughput, cost, incidents and customer impact where practical, use leading indicators, run periodic stress tests and update the crisis playbook.</t>
  </si>
  <si>
    <t>Maintain maturity for operational KPIs for delivery quality, timeliness, throughput, cost, incidents and customer impact. Monitor drift, keep evidence current, benchmark externally and refresh tests after major changes.</t>
  </si>
  <si>
    <t>Delivery Ops!24</t>
  </si>
  <si>
    <t>Establish a basic owner and inventory for backlog aging analysis linked to customer risk, revenue risk and operational constraints. Define minimum policy, evidence location and immediate crisis relevance.</t>
  </si>
  <si>
    <t>Document backlog aging analysis linked to customer risk, revenue risk and operational constraints, assign RACI, define minimum controls/KPIs and collect evidence across the main business units or sites.</t>
  </si>
  <si>
    <t>Standardize backlog aging analysis linked to customer risk, revenue risk and operational constraints across the organization, close coverage gaps, link it to crisis scenarios and train accountable roles.</t>
  </si>
  <si>
    <t>Measure backlog aging analysis linked to customer risk, revenue risk and operational constraints, review it periodically, test it against disruption scenarios and integrate it with dependent processes or systems.</t>
  </si>
  <si>
    <t>Optimize and automate backlog aging analysis linked to customer risk, revenue risk and operational constraints where practical, use leading indicators, run periodic stress tests and update the crisis playbook.</t>
  </si>
  <si>
    <t>Maintain maturity for backlog aging analysis linked to customer risk, revenue risk and operational constraints. Monitor drift, keep evidence current, benchmark externally and refresh tests after major changes.</t>
  </si>
  <si>
    <t>Delivery Ops!25</t>
  </si>
  <si>
    <t>Establish a basic owner and inventory for customer-specific runbooks for critical accounts. Define minimum policy, evidence location and immediate crisis relevance.</t>
  </si>
  <si>
    <t>Document customer-specific runbooks for critical accounts, assign RACI, define minimum controls/KPIs and collect evidence across the main business units or sites.</t>
  </si>
  <si>
    <t>Standardize customer-specific runbooks for critical accounts across the organization, close coverage gaps, link it to crisis scenarios and train accountable roles.</t>
  </si>
  <si>
    <t>Measure customer-specific runbooks for critical accounts, review it periodically, test it against disruption scenarios and integrate it with dependent processes or systems.</t>
  </si>
  <si>
    <t>Optimize and automate customer-specific runbooks for critical accounts where practical, use leading indicators, run periodic stress tests and update the crisis playbook.</t>
  </si>
  <si>
    <t>Maintain maturity for customer-specific runbooks for critical accounts. Monitor drift, keep evidence current, benchmark externally and refresh tests after major changes.</t>
  </si>
  <si>
    <t>Delivery Ops!26</t>
  </si>
  <si>
    <t>Establish a basic owner and inventory for critical tools, equipment and licenses required for delivery. Define minimum policy, evidence location and immediate crisis relevance.</t>
  </si>
  <si>
    <t>Document critical tools, equipment and licenses required for delivery, assign RACI, define minimum controls/KPIs and collect evidence across the main business units or sites.</t>
  </si>
  <si>
    <t>Standardize critical tools, equipment and licenses required for delivery across the organization, close coverage gaps, link it to crisis scenarios and train accountable roles.</t>
  </si>
  <si>
    <t>Measure critical tools, equipment and licenses required for delivery, review it periodically, test it against disruption scenarios and integrate it with dependent processes or systems.</t>
  </si>
  <si>
    <t>Optimize and automate critical tools, equipment and licenses required for delivery where practical, use leading indicators, run periodic stress tests and update the crisis playbook.</t>
  </si>
  <si>
    <t>Maintain maturity for critical tools, equipment and licenses required for delivery. Monitor drift, keep evidence current, benchmark externally and refresh tests after major changes.</t>
  </si>
  <si>
    <t>Delivery Ops!27</t>
  </si>
  <si>
    <t>Establish a basic owner and inventory for geographic delivery exposure by customer, supplier, team and site location. Define minimum policy, evidence location and immediate crisis relevance.</t>
  </si>
  <si>
    <t>Document geographic delivery exposure by customer, supplier, team and site location, assign RACI, define minimum controls/KPIs and collect evidence across the main business units or sites.</t>
  </si>
  <si>
    <t>Standardize geographic delivery exposure by customer, supplier, team and site location across the organization, close coverage gaps, link it to crisis scenarios and train accountable roles.</t>
  </si>
  <si>
    <t>Measure geographic delivery exposure by customer, supplier, team and site location, review it periodically, test it against disruption scenarios and integrate it with dependent processes or systems.</t>
  </si>
  <si>
    <t>Optimize and automate geographic delivery exposure by customer, supplier, team and site location where practical, use leading indicators, run periodic stress tests and update the crisis playbook.</t>
  </si>
  <si>
    <t>Maintain maturity for geographic delivery exposure by customer, supplier, team and site location. Monitor drift, keep evidence current, benchmark externally and refresh tests after major changes.</t>
  </si>
  <si>
    <t>Delivery Ops!28</t>
  </si>
  <si>
    <t>Establish a basic owner and inventory for end-to-end supply chain map from raw materials and suppliers to production, logistics, delivery and customers. Define minimum policy, evidence location and immediate crisis relevance.</t>
  </si>
  <si>
    <t>Document end-to-end supply chain map from raw materials and suppliers to production, logistics, delivery and customers, assign RACI, define minimum controls/KPIs and collect evidence across the main business units or sites.</t>
  </si>
  <si>
    <t>Standardize end-to-end supply chain map from raw materials and suppliers to production, logistics, delivery and customers across the organization, close coverage gaps, link it to crisis scenarios and train accountable roles.</t>
  </si>
  <si>
    <t>Measure end-to-end supply chain map from raw materials and suppliers to production, logistics, delivery and customers, review it periodically, test it against disruption scenarios and integrate it with dependent processes or systems.</t>
  </si>
  <si>
    <t>Optimize and automate end-to-end supply chain map from raw materials and suppliers to production, logistics, delivery and customers where practical, use leading indicators, run periodic stress tests and update the crisis playbook.</t>
  </si>
  <si>
    <t>Maintain maturity for end-to-end supply chain map from raw materials and suppliers to production, logistics, delivery and customers. Monitor drift, keep evidence current, benchmark externally and refresh tests after major changes.</t>
  </si>
  <si>
    <t>Reduces exposure to Supplier/logistics disruption; Manufacturing disruption; Demand shock; improves Supply chain design maturity, continuity and management visibility.</t>
  </si>
  <si>
    <t>Supply Chain!5</t>
  </si>
  <si>
    <t>Establish a basic owner and inventory for visibility beyond tier-1 suppliers for critical materials, components and services. Define minimum policy, evidence location and immediate crisis relevance.</t>
  </si>
  <si>
    <t>Document visibility beyond tier-1 suppliers for critical materials, components and services, assign RACI, define minimum controls/KPIs and collect evidence across the main business units or sites.</t>
  </si>
  <si>
    <t>Standardize visibility beyond tier-1 suppliers for critical materials, components and services across the organization, close coverage gaps, link it to crisis scenarios and train accountable roles.</t>
  </si>
  <si>
    <t>Measure visibility beyond tier-1 suppliers for critical materials, components and services, review it periodically, test it against disruption scenarios and integrate it with dependent processes or systems.</t>
  </si>
  <si>
    <t>Optimize and automate visibility beyond tier-1 suppliers for critical materials, components and services where practical, use leading indicators, run periodic stress tests and update the crisis playbook.</t>
  </si>
  <si>
    <t>Maintain maturity for visibility beyond tier-1 suppliers for critical materials, components and services. Monitor drift, keep evidence current, benchmark externally and refresh tests after major changes.</t>
  </si>
  <si>
    <t>Supply Chain!6</t>
  </si>
  <si>
    <t>Establish a basic owner and inventory for supplier criticality scoring by business impact, availability, substitution, lead time and geography. Define minimum policy, evidence location and immediate crisis relevance.</t>
  </si>
  <si>
    <t>Document supplier criticality scoring by business impact, availability, substitution, lead time and geography, assign RACI, define minimum controls/KPIs and collect evidence across the main business units or sites.</t>
  </si>
  <si>
    <t>Standardize supplier criticality scoring by business impact, availability, substitution, lead time and geography across the organization, close coverage gaps, link it to crisis scenarios and train accountable roles.</t>
  </si>
  <si>
    <t>Measure supplier criticality scoring by business impact, availability, substitution, lead time and geography, review it periodically, test it against disruption scenarios and integrate it with dependent processes or systems.</t>
  </si>
  <si>
    <t>Optimize and automate supplier criticality scoring by business impact, availability, substitution, lead time and geography where practical, use leading indicators, run periodic stress tests and update the crisis playbook.</t>
  </si>
  <si>
    <t>Maintain maturity for supplier criticality scoring by business impact, availability, substitution, lead time and geography. Monitor drift, keep evidence current, benchmark externally and refresh tests after major changes.</t>
  </si>
  <si>
    <t>Supply Chain!7</t>
  </si>
  <si>
    <t>Establish a basic owner and inventory for supplier concentration by spend, dependency, category, geography and product line. Define minimum policy, evidence location and immediate crisis relevance.</t>
  </si>
  <si>
    <t>Document supplier concentration by spend, dependency, category, geography and product line, assign RACI, define minimum controls/KPIs and collect evidence across the main business units or sites.</t>
  </si>
  <si>
    <t>Standardize supplier concentration by spend, dependency, category, geography and product line across the organization, close coverage gaps, link it to crisis scenarios and train accountable roles.</t>
  </si>
  <si>
    <t>Measure supplier concentration by spend, dependency, category, geography and product line, review it periodically, test it against disruption scenarios and integrate it with dependent processes or systems.</t>
  </si>
  <si>
    <t>Optimize and automate supplier concentration by spend, dependency, category, geography and product line where practical, use leading indicators, run periodic stress tests and update the crisis playbook.</t>
  </si>
  <si>
    <t>Maintain maturity for supplier concentration by spend, dependency, category, geography and product line. Monitor drift, keep evidence current, benchmark externally and refresh tests after major changes.</t>
  </si>
  <si>
    <t>Supply Chain!8</t>
  </si>
  <si>
    <t>Establish a basic owner and inventory for critical supplier continuity plans, recovery times and incident notification commitments. Define minimum policy, evidence location and immediate crisis relevance.</t>
  </si>
  <si>
    <t>Document critical supplier continuity plans, recovery times and incident notification commitments, assign RACI, define minimum controls/KPIs and collect evidence across the main business units or sites.</t>
  </si>
  <si>
    <t>Standardize critical supplier continuity plans, recovery times and incident notification commitments across the organization, close coverage gaps, link it to crisis scenarios and train accountable roles.</t>
  </si>
  <si>
    <t>Measure critical supplier continuity plans, recovery times and incident notification commitments, review it periodically, test it against disruption scenarios and integrate it with dependent processes or systems.</t>
  </si>
  <si>
    <t>Optimize and automate critical supplier continuity plans, recovery times and incident notification commitments where practical, use leading indicators, run periodic stress tests and update the crisis playbook.</t>
  </si>
  <si>
    <t>Maintain maturity for critical supplier continuity plans, recovery times and incident notification commitments. Monitor drift, keep evidence current, benchmark externally and refresh tests after major changes.</t>
  </si>
  <si>
    <t>Supply Chain!9</t>
  </si>
  <si>
    <t>Establish a basic owner and inventory for pre-qualified alternative suppliers for critical categories. Define minimum policy, evidence location and immediate crisis relevance.</t>
  </si>
  <si>
    <t>Document pre-qualified alternative suppliers for critical categories, assign RACI, define minimum controls/KPIs and collect evidence across the main business units or sites.</t>
  </si>
  <si>
    <t>Standardize pre-qualified alternative suppliers for critical categories across the organization, close coverage gaps, link it to crisis scenarios and train accountable roles.</t>
  </si>
  <si>
    <t>Measure pre-qualified alternative suppliers for critical categories, review it periodically, test it against disruption scenarios and integrate it with dependent processes or systems.</t>
  </si>
  <si>
    <t>Optimize and automate pre-qualified alternative suppliers for critical categories where practical, use leading indicators, run periodic stress tests and update the crisis playbook.</t>
  </si>
  <si>
    <t>Maintain maturity for pre-qualified alternative suppliers for critical categories. Monitor drift, keep evidence current, benchmark externally and refresh tests after major changes.</t>
  </si>
  <si>
    <t>Supply Chain!10</t>
  </si>
  <si>
    <t>Establish a basic owner and inventory for critical logistics routes, carriers, ports, borders, warehouses and transit risks. Define minimum policy, evidence location and immediate crisis relevance.</t>
  </si>
  <si>
    <t>Document critical logistics routes, carriers, ports, borders, warehouses and transit risks, assign RACI, define minimum controls/KPIs and collect evidence across the main business units or sites.</t>
  </si>
  <si>
    <t>Standardize critical logistics routes, carriers, ports, borders, warehouses and transit risks across the organization, close coverage gaps, link it to crisis scenarios and train accountable roles.</t>
  </si>
  <si>
    <t>Measure critical logistics routes, carriers, ports, borders, warehouses and transit risks, review it periodically, test it against disruption scenarios and integrate it with dependent processes or systems.</t>
  </si>
  <si>
    <t>Optimize and automate critical logistics routes, carriers, ports, borders, warehouses and transit risks where practical, use leading indicators, run periodic stress tests and update the crisis playbook.</t>
  </si>
  <si>
    <t>Maintain maturity for critical logistics routes, carriers, ports, borders, warehouses and transit risks. Monitor drift, keep evidence current, benchmark externally and refresh tests after major changes.</t>
  </si>
  <si>
    <t>Reduces exposure to Supplier/logistics disruption; Manufacturing disruption; Demand shock; improves Logistics maturity, continuity and management visibility.</t>
  </si>
  <si>
    <t>Supply Chain!11</t>
  </si>
  <si>
    <t>Establish a basic owner and inventory for alternative carriers, routes and warehouses for disruption scenarios. Define minimum policy, evidence location and immediate crisis relevance.</t>
  </si>
  <si>
    <t>Document alternative carriers, routes and warehouses for disruption scenarios, assign RACI, define minimum controls/KPIs and collect evidence across the main business units or sites.</t>
  </si>
  <si>
    <t>Standardize alternative carriers, routes and warehouses for disruption scenarios across the organization, close coverage gaps, link it to crisis scenarios and train accountable roles.</t>
  </si>
  <si>
    <t>Measure alternative carriers, routes and warehouses for disruption scenarios, review it periodically, test it against disruption scenarios and integrate it with dependent processes or systems.</t>
  </si>
  <si>
    <t>Optimize and automate alternative carriers, routes and warehouses for disruption scenarios where practical, use leading indicators, run periodic stress tests and update the crisis playbook.</t>
  </si>
  <si>
    <t>Maintain maturity for alternative carriers, routes and warehouses for disruption scenarios. Monitor drift, keep evidence current, benchmark externally and refresh tests after major changes.</t>
  </si>
  <si>
    <t>Supply Chain!12</t>
  </si>
  <si>
    <t>Establish a basic owner and inventory for transport capacity for peak demand or disruption periods. Define minimum policy, evidence location and immediate crisis relevance.</t>
  </si>
  <si>
    <t>Document transport capacity for peak demand or disruption periods, assign RACI, define minimum controls/KPIs and collect evidence across the main business units or sites.</t>
  </si>
  <si>
    <t>Standardize transport capacity for peak demand or disruption periods across the organization, close coverage gaps, link it to crisis scenarios and train accountable roles.</t>
  </si>
  <si>
    <t>Measure transport capacity for peak demand or disruption periods, review it periodically, test it against disruption scenarios and integrate it with dependent processes or systems.</t>
  </si>
  <si>
    <t>Optimize and automate transport capacity for peak demand or disruption periods where practical, use leading indicators, run periodic stress tests and update the crisis playbook.</t>
  </si>
  <si>
    <t>Maintain maturity for transport capacity for peak demand or disruption periods. Monitor drift, keep evidence current, benchmark externally and refresh tests after major changes.</t>
  </si>
  <si>
    <t>Supply Chain!13</t>
  </si>
  <si>
    <t>Establish a basic owner and inventory for shipment tracking and reliable ETA communication for critical shipments. Define minimum policy, evidence location and immediate crisis relevance.</t>
  </si>
  <si>
    <t>Document shipment tracking and reliable ETA communication for critical shipments, assign RACI, define minimum controls/KPIs and collect evidence across the main business units or sites.</t>
  </si>
  <si>
    <t>Standardize shipment tracking and reliable ETA communication for critical shipments across the organization, close coverage gaps, link it to crisis scenarios and train accountable roles.</t>
  </si>
  <si>
    <t>Measure shipment tracking and reliable ETA communication for critical shipments, review it periodically, test it against disruption scenarios and integrate it with dependent processes or systems.</t>
  </si>
  <si>
    <t>Optimize and automate shipment tracking and reliable ETA communication for critical shipments where practical, use leading indicators, run periodic stress tests and update the crisis playbook.</t>
  </si>
  <si>
    <t>Maintain maturity for shipment tracking and reliable ETA communication for critical shipments. Monitor drift, keep evidence current, benchmark externally and refresh tests after major changes.</t>
  </si>
  <si>
    <t>Supply Chain!14</t>
  </si>
  <si>
    <t>Establish a basic owner and inventory for customs, import/export, sanctions and trade documentation controls. Define minimum policy, evidence location and immediate crisis relevance.</t>
  </si>
  <si>
    <t>Document customs, import/export, sanctions and trade documentation controls, assign RACI, define minimum controls/KPIs and collect evidence across the main business units or sites.</t>
  </si>
  <si>
    <t>Standardize customs, import/export, sanctions and trade documentation controls across the organization, close coverage gaps, link it to crisis scenarios and train accountable roles.</t>
  </si>
  <si>
    <t>Measure customs, import/export, sanctions and trade documentation controls, review it periodically, test it against disruption scenarios and integrate it with dependent processes or systems.</t>
  </si>
  <si>
    <t>Optimize and automate customs, import/export, sanctions and trade documentation controls where practical, use leading indicators, run periodic stress tests and update the crisis playbook.</t>
  </si>
  <si>
    <t>Maintain maturity for customs, import/export, sanctions and trade documentation controls. Monitor drift, keep evidence current, benchmark externally and refresh tests after major changes.</t>
  </si>
  <si>
    <t>Supply Chain!15</t>
  </si>
  <si>
    <t>Establish a basic owner and inventory for Incoterms, insurance, liability and delivery obligations for critical flows. Define minimum policy, evidence location and immediate crisis relevance.</t>
  </si>
  <si>
    <t>Document Incoterms, insurance, liability and delivery obligations for critical flows, assign RACI, define minimum controls/KPIs and collect evidence across the main business units or sites.</t>
  </si>
  <si>
    <t>Standardize Incoterms, insurance, liability and delivery obligations for critical flows across the organization, close coverage gaps, link it to crisis scenarios and train accountable roles.</t>
  </si>
  <si>
    <t>Measure Incoterms, insurance, liability and delivery obligations for critical flows, review it periodically, test it against disruption scenarios and integrate it with dependent processes or systems.</t>
  </si>
  <si>
    <t>Optimize and automate Incoterms, insurance, liability and delivery obligations for critical flows where practical, use leading indicators, run periodic stress tests and update the crisis playbook.</t>
  </si>
  <si>
    <t>Maintain maturity for Incoterms, insurance, liability and delivery obligations for critical flows. Monitor drift, keep evidence current, benchmark externally and refresh tests after major changes.</t>
  </si>
  <si>
    <t>Supply Chain!16</t>
  </si>
  <si>
    <t>Establish a basic owner and inventory for safety stock, reorder points, min/max levels and buffer rules by criticality and lead time. Define minimum policy, evidence location and immediate crisis relevance.</t>
  </si>
  <si>
    <t>Document safety stock, reorder points, min/max levels and buffer rules by criticality and lead time, assign RACI, define minimum controls/KPIs and collect evidence across the main business units or sites.</t>
  </si>
  <si>
    <t>Standardize safety stock, reorder points, min/max levels and buffer rules by criticality and lead time across the organization, close coverage gaps, link it to crisis scenarios and train accountable roles.</t>
  </si>
  <si>
    <t>Measure safety stock, reorder points, min/max levels and buffer rules by criticality and lead time, review it periodically, test it against disruption scenarios and integrate it with dependent processes or systems.</t>
  </si>
  <si>
    <t>Optimize and automate safety stock, reorder points, min/max levels and buffer rules by criticality and lead time where practical, use leading indicators, run periodic stress tests and update the crisis playbook.</t>
  </si>
  <si>
    <t>Maintain maturity for safety stock, reorder points, min/max levels and buffer rules by criticality and lead time. Monitor drift, keep evidence current, benchmark externally and refresh tests after major changes.</t>
  </si>
  <si>
    <t>Reduces exposure to Supplier/logistics disruption; Manufacturing disruption; Demand shock; improves Inventory and planning maturity, continuity and management visibility.</t>
  </si>
  <si>
    <t>Supply Chain!17</t>
  </si>
  <si>
    <t>Establish a basic owner and inventory for inventory visibility by SKU, location, status, shelf life, batch and ownership. Define minimum policy, evidence location and immediate crisis relevance.</t>
  </si>
  <si>
    <t>Document inventory visibility by SKU, location, status, shelf life, batch and ownership, assign RACI, define minimum controls/KPIs and collect evidence across the main business units or sites.</t>
  </si>
  <si>
    <t>Standardize inventory visibility by SKU, location, status, shelf life, batch and ownership across the organization, close coverage gaps, link it to crisis scenarios and train accountable roles.</t>
  </si>
  <si>
    <t>Measure inventory visibility by SKU, location, status, shelf life, batch and ownership, review it periodically, test it against disruption scenarios and integrate it with dependent processes or systems.</t>
  </si>
  <si>
    <t>Optimize and automate inventory visibility by SKU, location, status, shelf life, batch and ownership where practical, use leading indicators, run periodic stress tests and update the crisis playbook.</t>
  </si>
  <si>
    <t>Maintain maturity for inventory visibility by SKU, location, status, shelf life, batch and ownership. Monitor drift, keep evidence current, benchmark externally and refresh tests after major changes.</t>
  </si>
  <si>
    <t>Supply Chain!18</t>
  </si>
  <si>
    <t>Establish a basic owner and inventory for slow-moving, obsolete or stagnant inventory analysis linked to sales and procurement decisions. Define minimum policy, evidence location and immediate crisis relevance.</t>
  </si>
  <si>
    <t>Document slow-moving, obsolete or stagnant inventory analysis linked to sales and procurement decisions, assign RACI, define minimum controls/KPIs and collect evidence across the main business units or sites.</t>
  </si>
  <si>
    <t>Standardize slow-moving, obsolete or stagnant inventory analysis linked to sales and procurement decisions across the organization, close coverage gaps, link it to crisis scenarios and train accountable roles.</t>
  </si>
  <si>
    <t>Measure slow-moving, obsolete or stagnant inventory analysis linked to sales and procurement decisions, review it periodically, test it against disruption scenarios and integrate it with dependent processes or systems.</t>
  </si>
  <si>
    <t>Optimize and automate slow-moving, obsolete or stagnant inventory analysis linked to sales and procurement decisions where practical, use leading indicators, run periodic stress tests and update the crisis playbook.</t>
  </si>
  <si>
    <t>Maintain maturity for slow-moving, obsolete or stagnant inventory analysis linked to sales and procurement decisions. Monitor drift, keep evidence current, benchmark externally and refresh tests after major changes.</t>
  </si>
  <si>
    <t>Supply Chain!19</t>
  </si>
  <si>
    <t>Establish a basic owner and inventory for critical materials and spare parts buffers sized using risk, demand variability and supplier lead time. Define minimum policy, evidence location and immediate crisis relevance.</t>
  </si>
  <si>
    <t>Document critical materials and spare parts buffers sized using risk, demand variability and supplier lead time, assign RACI, define minimum controls/KPIs and collect evidence across the main business units or sites.</t>
  </si>
  <si>
    <t>Standardize critical materials and spare parts buffers sized using risk, demand variability and supplier lead time across the organization, close coverage gaps, link it to crisis scenarios and train accountable roles.</t>
  </si>
  <si>
    <t>Measure critical materials and spare parts buffers sized using risk, demand variability and supplier lead time, review it periodically, test it against disruption scenarios and integrate it with dependent processes or systems.</t>
  </si>
  <si>
    <t>Optimize and automate critical materials and spare parts buffers sized using risk, demand variability and supplier lead time where practical, use leading indicators, run periodic stress tests and update the crisis playbook.</t>
  </si>
  <si>
    <t>Maintain maturity for critical materials and spare parts buffers sized using risk, demand variability and supplier lead time. Monitor drift, keep evidence current, benchmark externally and refresh tests after major changes.</t>
  </si>
  <si>
    <t>Supply Chain!20</t>
  </si>
  <si>
    <t>Establish a basic owner and inventory for demand forecast integrated with sales pipeline, history, seasonality and crisis scenarios. Define minimum policy, evidence location and immediate crisis relevance.</t>
  </si>
  <si>
    <t>Document demand forecast integrated with sales pipeline, history, seasonality and crisis scenarios, assign RACI, define minimum controls/KPIs and collect evidence across the main business units or sites.</t>
  </si>
  <si>
    <t>Standardize demand forecast integrated with sales pipeline, history, seasonality and crisis scenarios across the organization, close coverage gaps, link it to crisis scenarios and train accountable roles.</t>
  </si>
  <si>
    <t>Measure demand forecast integrated with sales pipeline, history, seasonality and crisis scenarios, review it periodically, test it against disruption scenarios and integrate it with dependent processes or systems.</t>
  </si>
  <si>
    <t>Optimize and automate demand forecast integrated with sales pipeline, history, seasonality and crisis scenarios where practical, use leading indicators, run periodic stress tests and update the crisis playbook.</t>
  </si>
  <si>
    <t>Maintain maturity for demand forecast integrated with sales pipeline, history, seasonality and crisis scenarios. Monitor drift, keep evidence current, benchmark externally and refresh tests after major changes.</t>
  </si>
  <si>
    <t>Supply Chain!21</t>
  </si>
  <si>
    <t>Establish a basic owner and inventory for S&amp;OP or IBP process connecting sales, finance, production, procurement and logistics. Define minimum policy, evidence location and immediate crisis relevance.</t>
  </si>
  <si>
    <t>Document S&amp;OP or IBP process connecting sales, finance, production, procurement and logistics, assign RACI, define minimum controls/KPIs and collect evidence across the main business units or sites.</t>
  </si>
  <si>
    <t>Standardize S&amp;OP or IBP process connecting sales, finance, production, procurement and logistics across the organization, close coverage gaps, link it to crisis scenarios and train accountable roles.</t>
  </si>
  <si>
    <t>Measure S&amp;OP or IBP process connecting sales, finance, production, procurement and logistics, review it periodically, test it against disruption scenarios and integrate it with dependent processes or systems.</t>
  </si>
  <si>
    <t>Optimize and automate S&amp;OP or IBP process connecting sales, finance, production, procurement and logistics where practical, use leading indicators, run periodic stress tests and update the crisis playbook.</t>
  </si>
  <si>
    <t>Maintain maturity for S&amp;OP or IBP process connecting sales, finance, production, procurement and logistics. Monitor drift, keep evidence current, benchmark externally and refresh tests after major changes.</t>
  </si>
  <si>
    <t>Supply Chain!22</t>
  </si>
  <si>
    <t>Establish a basic owner and inventory for planning cycle acceleration during crisis without losing data quality. Define minimum policy, evidence location and immediate crisis relevance.</t>
  </si>
  <si>
    <t>Document planning cycle acceleration during crisis without losing data quality, assign RACI, define minimum controls/KPIs and collect evidence across the main business units or sites.</t>
  </si>
  <si>
    <t>Standardize planning cycle acceleration during crisis without losing data quality across the organization, close coverage gaps, link it to crisis scenarios and train accountable roles.</t>
  </si>
  <si>
    <t>Measure planning cycle acceleration during crisis without losing data quality, review it periodically, test it against disruption scenarios and integrate it with dependent processes or systems.</t>
  </si>
  <si>
    <t>Optimize and automate planning cycle acceleration during crisis without losing data quality where practical, use leading indicators, run periodic stress tests and update the crisis playbook.</t>
  </si>
  <si>
    <t>Maintain maturity for planning cycle acceleration during crisis without losing data quality. Monitor drift, keep evidence current, benchmark externally and refresh tests after major changes.</t>
  </si>
  <si>
    <t>Supply Chain!23</t>
  </si>
  <si>
    <t>Establish a basic owner and inventory for ERP, MRP, WMS, TMS and supplier portal integration and resilience. Define minimum policy, evidence location and immediate crisis relevance.</t>
  </si>
  <si>
    <t>Document ERP, MRP, WMS, TMS and supplier portal integration and resilience, assign RACI, define minimum controls/KPIs and collect evidence across the main business units or sites.</t>
  </si>
  <si>
    <t>Standardize ERP, MRP, WMS, TMS and supplier portal integration and resilience across the organization, close coverage gaps, link it to crisis scenarios and train accountable roles.</t>
  </si>
  <si>
    <t>Measure ERP, MRP, WMS, TMS and supplier portal integration and resilience, review it periodically, test it against disruption scenarios and integrate it with dependent processes or systems.</t>
  </si>
  <si>
    <t>Optimize and automate ERP, MRP, WMS, TMS and supplier portal integration and resilience where practical, use leading indicators, run periodic stress tests and update the crisis playbook.</t>
  </si>
  <si>
    <t>Maintain maturity for ERP, MRP, WMS, TMS and supplier portal integration and resilience. Monitor drift, keep evidence current, benchmark externally and refresh tests after major changes.</t>
  </si>
  <si>
    <t>Reduces exposure to Supplier/logistics disruption; Manufacturing disruption; Demand shock; improves Technology and risk maturity, continuity and management visibility.</t>
  </si>
  <si>
    <t>Supply Chain!24</t>
  </si>
  <si>
    <t>Establish a basic owner and inventory for supply chain early warning monitoring for supplier, geopolitical, weather, port, customs and price risks. Define minimum policy, evidence location and immediate crisis relevance.</t>
  </si>
  <si>
    <t>Document supply chain early warning monitoring for supplier, geopolitical, weather, port, customs and price risks, assign RACI, define minimum controls/KPIs and collect evidence across the main business units or sites.</t>
  </si>
  <si>
    <t>Standardize supply chain early warning monitoring for supplier, geopolitical, weather, port, customs and price risks across the organization, close coverage gaps, link it to crisis scenarios and train accountable roles.</t>
  </si>
  <si>
    <t>Measure supply chain early warning monitoring for supplier, geopolitical, weather, port, customs and price risks, review it periodically, test it against disruption scenarios and integrate it with dependent processes or systems.</t>
  </si>
  <si>
    <t>Optimize and automate supply chain early warning monitoring for supplier, geopolitical, weather, port, customs and price risks where practical, use leading indicators, run periodic stress tests and update the crisis playbook.</t>
  </si>
  <si>
    <t>Maintain maturity for supply chain early warning monitoring for supplier, geopolitical, weather, port, customs and price risks. Monitor drift, keep evidence current, benchmark externally and refresh tests after major changes.</t>
  </si>
  <si>
    <t>Supply Chain!25</t>
  </si>
  <si>
    <t>Establish a basic owner and inventory for supply cost volatility monitoring for freight, energy, commodities and currency. Define minimum policy, evidence location and immediate crisis relevance.</t>
  </si>
  <si>
    <t>Document supply cost volatility monitoring for freight, energy, commodities and currency, assign RACI, define minimum controls/KPIs and collect evidence across the main business units or sites.</t>
  </si>
  <si>
    <t>Standardize supply cost volatility monitoring for freight, energy, commodities and currency across the organization, close coverage gaps, link it to crisis scenarios and train accountable roles.</t>
  </si>
  <si>
    <t>Measure supply cost volatility monitoring for freight, energy, commodities and currency, review it periodically, test it against disruption scenarios and integrate it with dependent processes or systems.</t>
  </si>
  <si>
    <t>Optimize and automate supply cost volatility monitoring for freight, energy, commodities and currency where practical, use leading indicators, run periodic stress tests and update the crisis playbook.</t>
  </si>
  <si>
    <t>Maintain maturity for supply cost volatility monitoring for freight, energy, commodities and currency. Monitor drift, keep evidence current, benchmark externally and refresh tests after major changes.</t>
  </si>
  <si>
    <t>Supply Chain!26</t>
  </si>
  <si>
    <t>Establish a basic owner and inventory for allocation rules when supply is insufficient to serve all customers. Define minimum policy, evidence location and immediate crisis relevance.</t>
  </si>
  <si>
    <t>Document allocation rules when supply is insufficient to serve all customers, assign RACI, define minimum controls/KPIs and collect evidence across the main business units or sites.</t>
  </si>
  <si>
    <t>Standardize allocation rules when supply is insufficient to serve all customers across the organization, close coverage gaps, link it to crisis scenarios and train accountable roles.</t>
  </si>
  <si>
    <t>Measure allocation rules when supply is insufficient to serve all customers, review it periodically, test it against disruption scenarios and integrate it with dependent processes or systems.</t>
  </si>
  <si>
    <t>Optimize and automate allocation rules when supply is insufficient to serve all customers where practical, use leading indicators, run periodic stress tests and update the crisis playbook.</t>
  </si>
  <si>
    <t>Maintain maturity for allocation rules when supply is insufficient to serve all customers. Monitor drift, keep evidence current, benchmark externally and refresh tests after major changes.</t>
  </si>
  <si>
    <t>Supply Chain!27</t>
  </si>
  <si>
    <t>Establish a basic owner and inventory for SKU, supplier, BOM, lead-time and replenishment master data quality. Define minimum policy, evidence location and immediate crisis relevance.</t>
  </si>
  <si>
    <t>Document SKU, supplier, BOM, lead-time and replenishment master data quality, assign RACI, define minimum controls/KPIs and collect evidence across the main business units or sites.</t>
  </si>
  <si>
    <t>Standardize SKU, supplier, BOM, lead-time and replenishment master data quality across the organization, close coverage gaps, link it to crisis scenarios and train accountable roles.</t>
  </si>
  <si>
    <t>Measure SKU, supplier, BOM, lead-time and replenishment master data quality, review it periodically, test it against disruption scenarios and integrate it with dependent processes or systems.</t>
  </si>
  <si>
    <t>Optimize and automate SKU, supplier, BOM, lead-time and replenishment master data quality where practical, use leading indicators, run periodic stress tests and update the crisis playbook.</t>
  </si>
  <si>
    <t>Maintain maturity for SKU, supplier, BOM, lead-time and replenishment master data quality. Monitor drift, keep evidence current, benchmark externally and refresh tests after major changes.</t>
  </si>
  <si>
    <t>Supply Chain!28</t>
  </si>
  <si>
    <t>Establish a basic owner and inventory for approved substitution rules for materials, components and suppliers. Define minimum policy, evidence location and immediate crisis relevance.</t>
  </si>
  <si>
    <t>Document approved substitution rules for materials, components and suppliers, assign RACI, define minimum controls/KPIs and collect evidence across the main business units or sites.</t>
  </si>
  <si>
    <t>Standardize approved substitution rules for materials, components and suppliers across the organization, close coverage gaps, link it to crisis scenarios and train accountable roles.</t>
  </si>
  <si>
    <t>Measure approved substitution rules for materials, components and suppliers, review it periodically, test it against disruption scenarios and integrate it with dependent processes or systems.</t>
  </si>
  <si>
    <t>Optimize and automate approved substitution rules for materials, components and suppliers where practical, use leading indicators, run periodic stress tests and update the crisis playbook.</t>
  </si>
  <si>
    <t>Maintain maturity for approved substitution rules for materials, components and suppliers. Monitor drift, keep evidence current, benchmark externally and refresh tests after major changes.</t>
  </si>
  <si>
    <t>Supply Chain!29</t>
  </si>
  <si>
    <t>Establish a basic owner and inventory for production footprint by plant, line, product family, capacity, workforce and crisis exposure. Define minimum policy, evidence location and immediate crisis relevance.</t>
  </si>
  <si>
    <t>Document production footprint by plant, line, product family, capacity, workforce and crisis exposure, assign RACI, define minimum controls/KPIs and collect evidence across the main business units or sites.</t>
  </si>
  <si>
    <t>Standardize production footprint by plant, line, product family, capacity, workforce and crisis exposure across the organization, close coverage gaps, link it to crisis scenarios and train accountable roles.</t>
  </si>
  <si>
    <t>Measure production footprint by plant, line, product family, capacity, workforce and crisis exposure, review it periodically, test it against disruption scenarios and integrate it with dependent processes or systems.</t>
  </si>
  <si>
    <t>Optimize and automate production footprint by plant, line, product family, capacity, workforce and crisis exposure where practical, use leading indicators, run periodic stress tests and update the crisis playbook.</t>
  </si>
  <si>
    <t>Maintain maturity for production footprint by plant, line, product family, capacity, workforce and crisis exposure. Monitor drift, keep evidence current, benchmark externally and refresh tests after major changes.</t>
  </si>
  <si>
    <t>Reduces exposure to Manufacturing disruption; Safety incident; Energy outage; Cyberattack; improves Production footprint maturity, continuity and management visibility.</t>
  </si>
  <si>
    <t>Manufacturing MES!5</t>
  </si>
  <si>
    <t>Establish a basic owner and inventory for production planning integrated with demand, supply, inventory, workforce and maintenance constraints. Define minimum policy, evidence location and immediate crisis relevance.</t>
  </si>
  <si>
    <t>Document production planning integrated with demand, supply, inventory, workforce and maintenance constraints, assign RACI, define minimum controls/KPIs and collect evidence across the main business units or sites.</t>
  </si>
  <si>
    <t>Standardize production planning integrated with demand, supply, inventory, workforce and maintenance constraints across the organization, close coverage gaps, link it to crisis scenarios and train accountable roles.</t>
  </si>
  <si>
    <t>Measure production planning integrated with demand, supply, inventory, workforce and maintenance constraints, review it periodically, test it against disruption scenarios and integrate it with dependent processes or systems.</t>
  </si>
  <si>
    <t>Optimize and automate production planning integrated with demand, supply, inventory, workforce and maintenance constraints where practical, use leading indicators, run periodic stress tests and update the crisis playbook.</t>
  </si>
  <si>
    <t>Maintain maturity for production planning integrated with demand, supply, inventory, workforce and maintenance constraints. Monitor drift, keep evidence current, benchmark externally and refresh tests after major changes.</t>
  </si>
  <si>
    <t>Manufacturing MES!6</t>
  </si>
  <si>
    <t>Establish a basic owner and inventory for finite capacity planning for bottlenecks, machines, shifts and labor. Define minimum policy, evidence location and immediate crisis relevance.</t>
  </si>
  <si>
    <t>Document finite capacity planning for bottlenecks, machines, shifts and labor, assign RACI, define minimum controls/KPIs and collect evidence across the main business units or sites.</t>
  </si>
  <si>
    <t>Standardize finite capacity planning for bottlenecks, machines, shifts and labor across the organization, close coverage gaps, link it to crisis scenarios and train accountable roles.</t>
  </si>
  <si>
    <t>Measure finite capacity planning for bottlenecks, machines, shifts and labor, review it periodically, test it against disruption scenarios and integrate it with dependent processes or systems.</t>
  </si>
  <si>
    <t>Optimize and automate finite capacity planning for bottlenecks, machines, shifts and labor where practical, use leading indicators, run periodic stress tests and update the crisis playbook.</t>
  </si>
  <si>
    <t>Maintain maturity for finite capacity planning for bottlenecks, machines, shifts and labor. Monitor drift, keep evidence current, benchmark externally and refresh tests after major changes.</t>
  </si>
  <si>
    <t>Manufacturing MES!7</t>
  </si>
  <si>
    <t>Establish a basic owner and inventory for minimum viable production under staff absence, utility outage, supplier delay or site risk. Define minimum policy, evidence location and immediate crisis relevance.</t>
  </si>
  <si>
    <t>Document minimum viable production under staff absence, utility outage, supplier delay or site risk, assign RACI, define minimum controls/KPIs and collect evidence across the main business units or sites.</t>
  </si>
  <si>
    <t>Standardize minimum viable production under staff absence, utility outage, supplier delay or site risk across the organization, close coverage gaps, link it to crisis scenarios and train accountable roles.</t>
  </si>
  <si>
    <t>Measure minimum viable production under staff absence, utility outage, supplier delay or site risk, review it periodically, test it against disruption scenarios and integrate it with dependent processes or systems.</t>
  </si>
  <si>
    <t>Optimize and automate minimum viable production under staff absence, utility outage, supplier delay or site risk where practical, use leading indicators, run periodic stress tests and update the crisis playbook.</t>
  </si>
  <si>
    <t>Maintain maturity for minimum viable production under staff absence, utility outage, supplier delay or site risk. Monitor drift, keep evidence current, benchmark externally and refresh tests after major changes.</t>
  </si>
  <si>
    <t>Manufacturing MES!8</t>
  </si>
  <si>
    <t>Establish a basic owner and inventory for line or site transferability if a facility fails. Define minimum policy, evidence location and immediate crisis relevance.</t>
  </si>
  <si>
    <t>Document line or site transferability if a facility fails, assign RACI, define minimum controls/KPIs and collect evidence across the main business units or sites.</t>
  </si>
  <si>
    <t>Standardize line or site transferability if a facility fails across the organization, close coverage gaps, link it to crisis scenarios and train accountable roles.</t>
  </si>
  <si>
    <t>Measure line or site transferability if a facility fails, review it periodically, test it against disruption scenarios and integrate it with dependent processes or systems.</t>
  </si>
  <si>
    <t>Optimize and automate line or site transferability if a facility fails where practical, use leading indicators, run periodic stress tests and update the crisis playbook.</t>
  </si>
  <si>
    <t>Maintain maturity for line or site transferability if a facility fails. Monitor drift, keep evidence current, benchmark externally and refresh tests after major changes.</t>
  </si>
  <si>
    <t>Manufacturing MES!9</t>
  </si>
  <si>
    <t>Establish a basic owner and inventory for contract manufacturing capacity, quality, continuity, security and compliance. Define minimum policy, evidence location and immediate crisis relevance.</t>
  </si>
  <si>
    <t>Document contract manufacturing capacity, quality, continuity, security and compliance, assign RACI, define minimum controls/KPIs and collect evidence across the main business units or sites.</t>
  </si>
  <si>
    <t>Standardize contract manufacturing capacity, quality, continuity, security and compliance across the organization, close coverage gaps, link it to crisis scenarios and train accountable roles.</t>
  </si>
  <si>
    <t>Measure contract manufacturing capacity, quality, continuity, security and compliance, review it periodically, test it against disruption scenarios and integrate it with dependent processes or systems.</t>
  </si>
  <si>
    <t>Optimize and automate contract manufacturing capacity, quality, continuity, security and compliance where practical, use leading indicators, run periodic stress tests and update the crisis playbook.</t>
  </si>
  <si>
    <t>Maintain maturity for contract manufacturing capacity, quality, continuity, security and compliance. Monitor drift, keep evidence current, benchmark externally and refresh tests after major changes.</t>
  </si>
  <si>
    <t>Manufacturing MES!10</t>
  </si>
  <si>
    <t>Establish a basic owner and inventory for MES or equivalent shop-floor control for orders, operations, traceability, downtime and quality. Define minimum policy, evidence location and immediate crisis relevance.</t>
  </si>
  <si>
    <t>Document MES or equivalent shop-floor control for orders, operations, traceability, downtime and quality, assign RACI, define minimum controls/KPIs and collect evidence across the main business units or sites.</t>
  </si>
  <si>
    <t>Standardize MES or equivalent shop-floor control for orders, operations, traceability, downtime and quality across the organization, close coverage gaps, link it to crisis scenarios and train accountable roles.</t>
  </si>
  <si>
    <t>Measure MES or equivalent shop-floor control for orders, operations, traceability, downtime and quality, review it periodically, test it against disruption scenarios and integrate it with dependent processes or systems.</t>
  </si>
  <si>
    <t>Optimize and automate MES or equivalent shop-floor control for orders, operations, traceability, downtime and quality where practical, use leading indicators, run periodic stress tests and update the crisis playbook.</t>
  </si>
  <si>
    <t>Maintain maturity for MES or equivalent shop-floor control for orders, operations, traceability, downtime and quality. Monitor drift, keep evidence current, benchmark externally and refresh tests after major changes.</t>
  </si>
  <si>
    <t>Reduces exposure to Manufacturing disruption; Safety incident; Energy outage; Cyberattack; improves MES and shop floor maturity, continuity and management visibility.</t>
  </si>
  <si>
    <t>Manufacturing MES!11</t>
  </si>
  <si>
    <t>Establish a basic owner and inventory for MES manual or offline fallback procedures. Define minimum policy, evidence location and immediate crisis relevance.</t>
  </si>
  <si>
    <t>Document MES manual or offline fallback procedures, assign RACI, define minimum controls/KPIs and collect evidence across the main business units or sites.</t>
  </si>
  <si>
    <t>Standardize MES manual or offline fallback procedures across the organization, close coverage gaps, link it to crisis scenarios and train accountable roles.</t>
  </si>
  <si>
    <t>Measure MES manual or offline fallback procedures, review it periodically, test it against disruption scenarios and integrate it with dependent processes or systems.</t>
  </si>
  <si>
    <t>Optimize and automate MES manual or offline fallback procedures where practical, use leading indicators, run periodic stress tests and update the crisis playbook.</t>
  </si>
  <si>
    <t>Maintain maturity for MES manual or offline fallback procedures. Monitor drift, keep evidence current, benchmark externally and refresh tests after major changes.</t>
  </si>
  <si>
    <t>Manufacturing MES!12</t>
  </si>
  <si>
    <t>Establish a basic owner and inventory for ERP-MES-MRP-WMS-quality-maintenance integration and reconciliation. Define minimum policy, evidence location and immediate crisis relevance.</t>
  </si>
  <si>
    <t>Document ERP-MES-MRP-WMS-quality-maintenance integration and reconciliation, assign RACI, define minimum controls/KPIs and collect evidence across the main business units or sites.</t>
  </si>
  <si>
    <t>Standardize ERP-MES-MRP-WMS-quality-maintenance integration and reconciliation across the organization, close coverage gaps, link it to crisis scenarios and train accountable roles.</t>
  </si>
  <si>
    <t>Measure ERP-MES-MRP-WMS-quality-maintenance integration and reconciliation, review it periodically, test it against disruption scenarios and integrate it with dependent processes or systems.</t>
  </si>
  <si>
    <t>Optimize and automate ERP-MES-MRP-WMS-quality-maintenance integration and reconciliation where practical, use leading indicators, run periodic stress tests and update the crisis playbook.</t>
  </si>
  <si>
    <t>Maintain maturity for ERP-MES-MRP-WMS-quality-maintenance integration and reconciliation. Monitor drift, keep evidence current, benchmark externally and refresh tests after major changes.</t>
  </si>
  <si>
    <t>Manufacturing MES!13</t>
  </si>
  <si>
    <t>Establish a basic owner and inventory for machine data collection for states, output, downtime, cycle time, defects and energy. Define minimum policy, evidence location and immediate crisis relevance.</t>
  </si>
  <si>
    <t>Document machine data collection for states, output, downtime, cycle time, defects and energy, assign RACI, define minimum controls/KPIs and collect evidence across the main business units or sites.</t>
  </si>
  <si>
    <t>Standardize machine data collection for states, output, downtime, cycle time, defects and energy across the organization, close coverage gaps, link it to crisis scenarios and train accountable roles.</t>
  </si>
  <si>
    <t>Measure machine data collection for states, output, downtime, cycle time, defects and energy, review it periodically, test it against disruption scenarios and integrate it with dependent processes or systems.</t>
  </si>
  <si>
    <t>Optimize and automate machine data collection for states, output, downtime, cycle time, defects and energy where practical, use leading indicators, run periodic stress tests and update the crisis playbook.</t>
  </si>
  <si>
    <t>Maintain maturity for machine data collection for states, output, downtime, cycle time, defects and energy. Monitor drift, keep evidence current, benchmark externally and refresh tests after major changes.</t>
  </si>
  <si>
    <t>Manufacturing MES!14</t>
  </si>
  <si>
    <t>Establish a basic owner and inventory for OEE, downtime reasons, microstops, rejects and performance loss analysis. Define minimum policy, evidence location and immediate crisis relevance.</t>
  </si>
  <si>
    <t>Document OEE, downtime reasons, microstops, rejects and performance loss analysis, assign RACI, define minimum controls/KPIs and collect evidence across the main business units or sites.</t>
  </si>
  <si>
    <t>Standardize OEE, downtime reasons, microstops, rejects and performance loss analysis across the organization, close coverage gaps, link it to crisis scenarios and train accountable roles.</t>
  </si>
  <si>
    <t>Measure OEE, downtime reasons, microstops, rejects and performance loss analysis, review it periodically, test it against disruption scenarios and integrate it with dependent processes or systems.</t>
  </si>
  <si>
    <t>Optimize and automate OEE, downtime reasons, microstops, rejects and performance loss analysis where practical, use leading indicators, run periodic stress tests and update the crisis playbook.</t>
  </si>
  <si>
    <t>Maintain maturity for OEE, downtime reasons, microstops, rejects and performance loss analysis. Monitor drift, keep evidence current, benchmark externally and refresh tests after major changes.</t>
  </si>
  <si>
    <t>Manufacturing MES!15</t>
  </si>
  <si>
    <t>Establish a basic owner and inventory for production data standards, reason codes and master data across lines and sites. Define minimum policy, evidence location and immediate crisis relevance.</t>
  </si>
  <si>
    <t>Document production data standards, reason codes and master data across lines and sites, assign RACI, define minimum controls/KPIs and collect evidence across the main business units or sites.</t>
  </si>
  <si>
    <t>Standardize production data standards, reason codes and master data across lines and sites across the organization, close coverage gaps, link it to crisis scenarios and train accountable roles.</t>
  </si>
  <si>
    <t>Measure production data standards, reason codes and master data across lines and sites, review it periodically, test it against disruption scenarios and integrate it with dependent processes or systems.</t>
  </si>
  <si>
    <t>Optimize and automate production data standards, reason codes and master data across lines and sites where practical, use leading indicators, run periodic stress tests and update the crisis playbook.</t>
  </si>
  <si>
    <t>Maintain maturity for production data standards, reason codes and master data across lines and sites. Monitor drift, keep evidence current, benchmark externally and refresh tests after major changes.</t>
  </si>
  <si>
    <t>Manufacturing MES!16</t>
  </si>
  <si>
    <t>Establish a basic owner and inventory for preventive maintenance based on criticality, manufacturer requirements and failure history. Define minimum policy, evidence location and immediate crisis relevance.</t>
  </si>
  <si>
    <t>Document preventive maintenance based on criticality, manufacturer requirements and failure history, assign RACI, define minimum controls/KPIs and collect evidence across the main business units or sites.</t>
  </si>
  <si>
    <t>Standardize preventive maintenance based on criticality, manufacturer requirements and failure history across the organization, close coverage gaps, link it to crisis scenarios and train accountable roles.</t>
  </si>
  <si>
    <t>Measure preventive maintenance based on criticality, manufacturer requirements and failure history, review it periodically, test it against disruption scenarios and integrate it with dependent processes or systems.</t>
  </si>
  <si>
    <t>Optimize and automate preventive maintenance based on criticality, manufacturer requirements and failure history where practical, use leading indicators, run periodic stress tests and update the crisis playbook.</t>
  </si>
  <si>
    <t>Maintain maturity for preventive maintenance based on criticality, manufacturer requirements and failure history. Monitor drift, keep evidence current, benchmark externally and refresh tests after major changes.</t>
  </si>
  <si>
    <t>Reduces exposure to Manufacturing disruption; Safety incident; Energy outage; Cyberattack; improves Maintenance and assets maturity, continuity and management visibility.</t>
  </si>
  <si>
    <t>Manufacturing MES!17</t>
  </si>
  <si>
    <t>Establish a basic owner and inventory for critical spare parts identification, stocking or sourcing with acceptable lead times. Define minimum policy, evidence location and immediate crisis relevance.</t>
  </si>
  <si>
    <t>Document critical spare parts identification, stocking or sourcing with acceptable lead times, assign RACI, define minimum controls/KPIs and collect evidence across the main business units or sites.</t>
  </si>
  <si>
    <t>Standardize critical spare parts identification, stocking or sourcing with acceptable lead times across the organization, close coverage gaps, link it to crisis scenarios and train accountable roles.</t>
  </si>
  <si>
    <t>Measure critical spare parts identification, stocking or sourcing with acceptable lead times, review it periodically, test it against disruption scenarios and integrate it with dependent processes or systems.</t>
  </si>
  <si>
    <t>Optimize and automate critical spare parts identification, stocking or sourcing with acceptable lead times where practical, use leading indicators, run periodic stress tests and update the crisis playbook.</t>
  </si>
  <si>
    <t>Maintain maturity for critical spare parts identification, stocking or sourcing with acceptable lead times. Monitor drift, keep evidence current, benchmark externally and refresh tests after major changes.</t>
  </si>
  <si>
    <t>Manufacturing MES!18</t>
  </si>
  <si>
    <t>Establish a basic owner and inventory for predictive or condition-based maintenance for critical assets where economically justified. Define minimum policy, evidence location and immediate crisis relevance.</t>
  </si>
  <si>
    <t>Document predictive or condition-based maintenance for critical assets where economically justified, assign RACI, define minimum controls/KPIs and collect evidence across the main business units or sites.</t>
  </si>
  <si>
    <t>Standardize predictive or condition-based maintenance for critical assets where economically justified across the organization, close coverage gaps, link it to crisis scenarios and train accountable roles.</t>
  </si>
  <si>
    <t>Measure predictive or condition-based maintenance for critical assets where economically justified, review it periodically, test it against disruption scenarios and integrate it with dependent processes or systems.</t>
  </si>
  <si>
    <t>Optimize and automate predictive or condition-based maintenance for critical assets where economically justified where practical, use leading indicators, run periodic stress tests and update the crisis playbook.</t>
  </si>
  <si>
    <t>Maintain maturity for predictive or condition-based maintenance for critical assets where economically justified. Monitor drift, keep evidence current, benchmark externally and refresh tests after major changes.</t>
  </si>
  <si>
    <t>Manufacturing MES!19</t>
  </si>
  <si>
    <t>Establish a basic owner and inventory for utility dependency map for electricity, gas, water, compressed air, HVAC and other utilities. Define minimum policy, evidence location and immediate crisis relevance.</t>
  </si>
  <si>
    <t>Document utility dependency map for electricity, gas, water, compressed air, HVAC and other utilities, assign RACI, define minimum controls/KPIs and collect evidence across the main business units or sites.</t>
  </si>
  <si>
    <t>Standardize utility dependency map for electricity, gas, water, compressed air, HVAC and other utilities across the organization, close coverage gaps, link it to crisis scenarios and train accountable roles.</t>
  </si>
  <si>
    <t>Measure utility dependency map for electricity, gas, water, compressed air, HVAC and other utilities, review it periodically, test it against disruption scenarios and integrate it with dependent processes or systems.</t>
  </si>
  <si>
    <t>Optimize and automate utility dependency map for electricity, gas, water, compressed air, HVAC and other utilities where practical, use leading indicators, run periodic stress tests and update the crisis playbook.</t>
  </si>
  <si>
    <t>Maintain maturity for utility dependency map for electricity, gas, water, compressed air, HVAC and other utilities. Monitor drift, keep evidence current, benchmark externally and refresh tests after major changes.</t>
  </si>
  <si>
    <t>Manufacturing MES!20</t>
  </si>
  <si>
    <t>Establish a basic owner and inventory for backup utility options for critical production processes. Define minimum policy, evidence location and immediate crisis relevance.</t>
  </si>
  <si>
    <t>Document backup utility options for critical production processes, assign RACI, define minimum controls/KPIs and collect evidence across the main business units or sites.</t>
  </si>
  <si>
    <t>Standardize backup utility options for critical production processes across the organization, close coverage gaps, link it to crisis scenarios and train accountable roles.</t>
  </si>
  <si>
    <t>Measure backup utility options for critical production processes, review it periodically, test it against disruption scenarios and integrate it with dependent processes or systems.</t>
  </si>
  <si>
    <t>Optimize and automate backup utility options for critical production processes where practical, use leading indicators, run periodic stress tests and update the crisis playbook.</t>
  </si>
  <si>
    <t>Maintain maturity for backup utility options for critical production processes. Monitor drift, keep evidence current, benchmark externally and refresh tests after major changes.</t>
  </si>
  <si>
    <t>Manufacturing MES!21</t>
  </si>
  <si>
    <t>Establish a basic owner and inventory for asset management for critical production equipment, tooling and calibration. Define minimum policy, evidence location and immediate crisis relevance.</t>
  </si>
  <si>
    <t>Document asset management for critical production equipment, tooling and calibration, assign RACI, define minimum controls/KPIs and collect evidence across the main business units or sites.</t>
  </si>
  <si>
    <t>Standardize asset management for critical production equipment, tooling and calibration across the organization, close coverage gaps, link it to crisis scenarios and train accountable roles.</t>
  </si>
  <si>
    <t>Measure asset management for critical production equipment, tooling and calibration, review it periodically, test it against disruption scenarios and integrate it with dependent processes or systems.</t>
  </si>
  <si>
    <t>Optimize and automate asset management for critical production equipment, tooling and calibration where practical, use leading indicators, run periodic stress tests and update the crisis playbook.</t>
  </si>
  <si>
    <t>Maintain maturity for asset management for critical production equipment, tooling and calibration. Monitor drift, keep evidence current, benchmark externally and refresh tests after major changes.</t>
  </si>
  <si>
    <t>Manufacturing MES!22</t>
  </si>
  <si>
    <t>Establish a basic owner and inventory for quality controls, inspections, sampling, nonconformance and corrective actions integrated into production. Define minimum policy, evidence location and immediate crisis relevance.</t>
  </si>
  <si>
    <t>Document quality controls, inspections, sampling, nonconformance and corrective actions integrated into production, assign RACI, define minimum controls/KPIs and collect evidence across the main business units or sites.</t>
  </si>
  <si>
    <t>Standardize quality controls, inspections, sampling, nonconformance and corrective actions integrated into production across the organization, close coverage gaps, link it to crisis scenarios and train accountable roles.</t>
  </si>
  <si>
    <t>Measure quality controls, inspections, sampling, nonconformance and corrective actions integrated into production, review it periodically, test it against disruption scenarios and integrate it with dependent processes or systems.</t>
  </si>
  <si>
    <t>Optimize and automate quality controls, inspections, sampling, nonconformance and corrective actions integrated into production where practical, use leading indicators, run periodic stress tests and update the crisis playbook.</t>
  </si>
  <si>
    <t>Maintain maturity for quality controls, inspections, sampling, nonconformance and corrective actions integrated into production. Monitor drift, keep evidence current, benchmark externally and refresh tests after major changes.</t>
  </si>
  <si>
    <t>Reduces exposure to Manufacturing disruption; Safety incident; Energy outage; Cyberattack; improves Quality and safety maturity, continuity and management visibility.</t>
  </si>
  <si>
    <t>Manufacturing MES!23</t>
  </si>
  <si>
    <t>Establish a basic owner and inventory for traceability of products, batches, materials, operators and process parameters. Define minimum policy, evidence location and immediate crisis relevance.</t>
  </si>
  <si>
    <t>Document traceability of products, batches, materials, operators and process parameters, assign RACI, define minimum controls/KPIs and collect evidence across the main business units or sites.</t>
  </si>
  <si>
    <t>Standardize traceability of products, batches, materials, operators and process parameters across the organization, close coverage gaps, link it to crisis scenarios and train accountable roles.</t>
  </si>
  <si>
    <t>Measure traceability of products, batches, materials, operators and process parameters, review it periodically, test it against disruption scenarios and integrate it with dependent processes or systems.</t>
  </si>
  <si>
    <t>Optimize and automate traceability of products, batches, materials, operators and process parameters where practical, use leading indicators, run periodic stress tests and update the crisis playbook.</t>
  </si>
  <si>
    <t>Maintain maturity for traceability of products, batches, materials, operators and process parameters. Monitor drift, keep evidence current, benchmark externally and refresh tests after major changes.</t>
  </si>
  <si>
    <t>Manufacturing MES!24</t>
  </si>
  <si>
    <t>Establish a basic owner and inventory for BOM, routing, recipe and engineering change control synchronized with ERP/MES. Define minimum policy, evidence location and immediate crisis relevance.</t>
  </si>
  <si>
    <t>Document BOM, routing, recipe and engineering change control synchronized with ERP/MES, assign RACI, define minimum controls/KPIs and collect evidence across the main business units or sites.</t>
  </si>
  <si>
    <t>Standardize BOM, routing, recipe and engineering change control synchronized with ERP/MES across the organization, close coverage gaps, link it to crisis scenarios and train accountable roles.</t>
  </si>
  <si>
    <t>Measure BOM, routing, recipe and engineering change control synchronized with ERP/MES, review it periodically, test it against disruption scenarios and integrate it with dependent processes or systems.</t>
  </si>
  <si>
    <t>Optimize and automate BOM, routing, recipe and engineering change control synchronized with ERP/MES where practical, use leading indicators, run periodic stress tests and update the crisis playbook.</t>
  </si>
  <si>
    <t>Maintain maturity for BOM, routing, recipe and engineering change control synchronized with ERP/MES. Monitor drift, keep evidence current, benchmark externally and refresh tests after major changes.</t>
  </si>
  <si>
    <t>Manufacturing MES!25</t>
  </si>
  <si>
    <t>Establish a basic owner and inventory for operator training and certification for equipment, safety, quality and emergency procedures. Define minimum policy, evidence location and immediate crisis relevance.</t>
  </si>
  <si>
    <t>Document operator training and certification for equipment, safety, quality and emergency procedures, assign RACI, define minimum controls/KPIs and collect evidence across the main business units or sites.</t>
  </si>
  <si>
    <t>Standardize operator training and certification for equipment, safety, quality and emergency procedures across the organization, close coverage gaps, link it to crisis scenarios and train accountable roles.</t>
  </si>
  <si>
    <t>Measure operator training and certification for equipment, safety, quality and emergency procedures, review it periodically, test it against disruption scenarios and integrate it with dependent processes or systems.</t>
  </si>
  <si>
    <t>Optimize and automate operator training and certification for equipment, safety, quality and emergency procedures where practical, use leading indicators, run periodic stress tests and update the crisis playbook.</t>
  </si>
  <si>
    <t>Maintain maturity for operator training and certification for equipment, safety, quality and emergency procedures. Monitor drift, keep evidence current, benchmark externally and refresh tests after major changes.</t>
  </si>
  <si>
    <t>Manufacturing MES!26</t>
  </si>
  <si>
    <t>Establish a basic owner and inventory for machine safety controls, guarding, emergency stops and lockout/tagout. Define minimum policy, evidence location and immediate crisis relevance.</t>
  </si>
  <si>
    <t>Document machine safety controls, guarding, emergency stops and lockout/tagout, assign RACI, define minimum controls/KPIs and collect evidence across the main business units or sites.</t>
  </si>
  <si>
    <t>Standardize machine safety controls, guarding, emergency stops and lockout/tagout across the organization, close coverage gaps, link it to crisis scenarios and train accountable roles.</t>
  </si>
  <si>
    <t>Measure machine safety controls, guarding, emergency stops and lockout/tagout, review it periodically, test it against disruption scenarios and integrate it with dependent processes or systems.</t>
  </si>
  <si>
    <t>Optimize and automate machine safety controls, guarding, emergency stops and lockout/tagout where practical, use leading indicators, run periodic stress tests and update the crisis playbook.</t>
  </si>
  <si>
    <t>Maintain maturity for machine safety controls, guarding, emergency stops and lockout/tagout. Monitor drift, keep evidence current, benchmark externally and refresh tests after major changes.</t>
  </si>
  <si>
    <t>Manufacturing MES!27</t>
  </si>
  <si>
    <t>Establish a basic owner and inventory for rework, scrap, yield loss and defect cost analysis. Define minimum policy, evidence location and immediate crisis relevance.</t>
  </si>
  <si>
    <t>Document rework, scrap, yield loss and defect cost analysis, assign RACI, define minimum controls/KPIs and collect evidence across the main business units or sites.</t>
  </si>
  <si>
    <t>Standardize rework, scrap, yield loss and defect cost analysis across the organization, close coverage gaps, link it to crisis scenarios and train accountable roles.</t>
  </si>
  <si>
    <t>Measure rework, scrap, yield loss and defect cost analysis, review it periodically, test it against disruption scenarios and integrate it with dependent processes or systems.</t>
  </si>
  <si>
    <t>Optimize and automate rework, scrap, yield loss and defect cost analysis where practical, use leading indicators, run periodic stress tests and update the crisis playbook.</t>
  </si>
  <si>
    <t>Maintain maturity for rework, scrap, yield loss and defect cost analysis. Monitor drift, keep evidence current, benchmark externally and refresh tests after major changes.</t>
  </si>
  <si>
    <t>Manufacturing MES!28</t>
  </si>
  <si>
    <t>Establish a basic owner and inventory for OT asset inventory for PLCs, SCADA, HMIs, industrial networks and engineering workstations. Define minimum policy, evidence location and immediate crisis relevance.</t>
  </si>
  <si>
    <t>Document OT asset inventory for PLCs, SCADA, HMIs, industrial networks and engineering workstations, assign RACI, define minimum controls/KPIs and collect evidence across the main business units or sites.</t>
  </si>
  <si>
    <t>Standardize OT asset inventory for PLCs, SCADA, HMIs, industrial networks and engineering workstations across the organization, close coverage gaps, link it to crisis scenarios and train accountable roles.</t>
  </si>
  <si>
    <t>Measure OT asset inventory for PLCs, SCADA, HMIs, industrial networks and engineering workstations, review it periodically, test it against disruption scenarios and integrate it with dependent processes or systems.</t>
  </si>
  <si>
    <t>Optimize and automate OT asset inventory for PLCs, SCADA, HMIs, industrial networks and engineering workstations where practical, use leading indicators, run periodic stress tests and update the crisis playbook.</t>
  </si>
  <si>
    <t>Maintain maturity for OT asset inventory for PLCs, SCADA, HMIs, industrial networks and engineering workstations. Monitor drift, keep evidence current, benchmark externally and refresh tests after major changes.</t>
  </si>
  <si>
    <t>Reduces exposure to Manufacturing disruption; Safety incident; Energy outage; Cyberattack; improves OT security maturity, continuity and management visibility.</t>
  </si>
  <si>
    <t>Manufacturing MES!29</t>
  </si>
  <si>
    <t>Establish a basic owner and inventory for OT network segmentation and secure remote access for vendors and maintenance. Define minimum policy, evidence location and immediate crisis relevance.</t>
  </si>
  <si>
    <t>Document OT network segmentation and secure remote access for vendors and maintenance, assign RACI, define minimum controls/KPIs and collect evidence across the main business units or sites.</t>
  </si>
  <si>
    <t>Standardize OT network segmentation and secure remote access for vendors and maintenance across the organization, close coverage gaps, link it to crisis scenarios and train accountable roles.</t>
  </si>
  <si>
    <t>Measure OT network segmentation and secure remote access for vendors and maintenance, review it periodically, test it against disruption scenarios and integrate it with dependent processes or systems.</t>
  </si>
  <si>
    <t>Optimize and automate OT network segmentation and secure remote access for vendors and maintenance where practical, use leading indicators, run periodic stress tests and update the crisis playbook.</t>
  </si>
  <si>
    <t>Maintain maturity for OT network segmentation and secure remote access for vendors and maintenance. Monitor drift, keep evidence current, benchmark externally and refresh tests after major changes.</t>
  </si>
  <si>
    <t>Manufacturing MES!30</t>
  </si>
  <si>
    <t>Establish a basic owner and inventory for PLC, HMI, SCADA and recipe configuration backup and restore testing. Define minimum policy, evidence location and immediate crisis relevance.</t>
  </si>
  <si>
    <t>Document PLC, HMI, SCADA and recipe configuration backup and restore testing, assign RACI, define minimum controls/KPIs and collect evidence across the main business units or sites.</t>
  </si>
  <si>
    <t>Standardize PLC, HMI, SCADA and recipe configuration backup and restore testing across the organization, close coverage gaps, link it to crisis scenarios and train accountable roles.</t>
  </si>
  <si>
    <t>Measure PLC, HMI, SCADA and recipe configuration backup and restore testing, review it periodically, test it against disruption scenarios and integrate it with dependent processes or systems.</t>
  </si>
  <si>
    <t>Optimize and automate PLC, HMI, SCADA and recipe configuration backup and restore testing where practical, use leading indicators, run periodic stress tests and update the crisis playbook.</t>
  </si>
  <si>
    <t>Maintain maturity for PLC, HMI, SCADA and recipe configuration backup and restore testing. Monitor drift, keep evidence current, benchmark externally and refresh tests after major changes.</t>
  </si>
  <si>
    <t>Manufacturing MES!31</t>
  </si>
  <si>
    <t>Establish a basic owner and inventory for cyber incident response procedures specific to production and OT. Define minimum policy, evidence location and immediate crisis relevance.</t>
  </si>
  <si>
    <t>Document cyber incident response procedures specific to production and OT, assign RACI, define minimum controls/KPIs and collect evidence across the main business units or sites.</t>
  </si>
  <si>
    <t>Standardize cyber incident response procedures specific to production and OT across the organization, close coverage gaps, link it to crisis scenarios and train accountable roles.</t>
  </si>
  <si>
    <t>Measure cyber incident response procedures specific to production and OT, review it periodically, test it against disruption scenarios and integrate it with dependent processes or systems.</t>
  </si>
  <si>
    <t>Optimize and automate cyber incident response procedures specific to production and OT where practical, use leading indicators, run periodic stress tests and update the crisis playbook.</t>
  </si>
  <si>
    <t>Maintain maturity for cyber incident response procedures specific to production and OT. Monitor drift, keep evidence current, benchmark externally and refresh tests after major changes.</t>
  </si>
  <si>
    <t>Manufacturing MES!32</t>
  </si>
  <si>
    <t>Establish a basic owner and inventory for CRM as single source of truth for accounts, contacts, opportunities, activities and forecasts. Define minimum policy, evidence location and immediate crisis relevance.</t>
  </si>
  <si>
    <t>Document CRM as single source of truth for accounts, contacts, opportunities, activities and forecasts, assign RACI, define minimum controls/KPIs and collect evidence across the main business units or sites.</t>
  </si>
  <si>
    <t>Standardize CRM as single source of truth for accounts, contacts, opportunities, activities and forecasts across the organization, close coverage gaps, link it to crisis scenarios and train accountable roles.</t>
  </si>
  <si>
    <t>Measure CRM as single source of truth for accounts, contacts, opportunities, activities and forecasts, review it periodically, test it against disruption scenarios and integrate it with dependent processes or systems.</t>
  </si>
  <si>
    <t>Optimize and automate CRM as single source of truth for accounts, contacts, opportunities, activities and forecasts where practical, use leading indicators, run periodic stress tests and update the crisis playbook.</t>
  </si>
  <si>
    <t>Maintain maturity for CRM as single source of truth for accounts, contacts, opportunities, activities and forecasts. Monitor drift, keep evidence current, benchmark externally and refresh tests after major changes.</t>
  </si>
  <si>
    <t>Reduces exposure to Demand shock; Revenue loss; Reputation crisis; improves CRM foundation maturity, continuity and management visibility.</t>
  </si>
  <si>
    <t>Sales CRM!5</t>
  </si>
  <si>
    <t>Establish a basic owner and inventory for CRM data quality for segmentation, pipeline, ICP, offerings, win/loss reasons and customer health. Define minimum policy, evidence location and immediate crisis relevance.</t>
  </si>
  <si>
    <t>Document CRM data quality for segmentation, pipeline, ICP, offerings, win/loss reasons and customer health, assign RACI, define minimum controls/KPIs and collect evidence across the main business units or sites.</t>
  </si>
  <si>
    <t>Standardize CRM data quality for segmentation, pipeline, ICP, offerings, win/loss reasons and customer health across the organization, close coverage gaps, link it to crisis scenarios and train accountable roles.</t>
  </si>
  <si>
    <t>Measure CRM data quality for segmentation, pipeline, ICP, offerings, win/loss reasons and customer health, review it periodically, test it against disruption scenarios and integrate it with dependent processes or systems.</t>
  </si>
  <si>
    <t>Optimize and automate CRM data quality for segmentation, pipeline, ICP, offerings, win/loss reasons and customer health where practical, use leading indicators, run periodic stress tests and update the crisis playbook.</t>
  </si>
  <si>
    <t>Maintain maturity for CRM data quality for segmentation, pipeline, ICP, offerings, win/loss reasons and customer health. Monitor drift, keep evidence current, benchmark externally and refresh tests after major changes.</t>
  </si>
  <si>
    <t>Sales CRM!6</t>
  </si>
  <si>
    <t>Establish a basic owner and inventory for CRM-ERP integration for orders, pricing, billing, collections and revenue visibility. Define minimum policy, evidence location and immediate crisis relevance.</t>
  </si>
  <si>
    <t>Document CRM-ERP integration for orders, pricing, billing, collections and revenue visibility, assign RACI, define minimum controls/KPIs and collect evidence across the main business units or sites.</t>
  </si>
  <si>
    <t>Standardize CRM-ERP integration for orders, pricing, billing, collections and revenue visibility across the organization, close coverage gaps, link it to crisis scenarios and train accountable roles.</t>
  </si>
  <si>
    <t>Measure CRM-ERP integration for orders, pricing, billing, collections and revenue visibility, review it periodically, test it against disruption scenarios and integrate it with dependent processes or systems.</t>
  </si>
  <si>
    <t>Optimize and automate CRM-ERP integration for orders, pricing, billing, collections and revenue visibility where practical, use leading indicators, run periodic stress tests and update the crisis playbook.</t>
  </si>
  <si>
    <t>Maintain maturity for CRM-ERP integration for orders, pricing, billing, collections and revenue visibility. Monitor drift, keep evidence current, benchmark externally and refresh tests after major changes.</t>
  </si>
  <si>
    <t>Sales CRM!7</t>
  </si>
  <si>
    <t>Establish a basic owner and inventory for sales process governance from lead to opportunity to contract to handover. Define minimum policy, evidence location and immediate crisis relevance.</t>
  </si>
  <si>
    <t>Document sales process governance from lead to opportunity to contract to handover, assign RACI, define minimum controls/KPIs and collect evidence across the main business units or sites.</t>
  </si>
  <si>
    <t>Standardize sales process governance from lead to opportunity to contract to handover across the organization, close coverage gaps, link it to crisis scenarios and train accountable roles.</t>
  </si>
  <si>
    <t>Measure sales process governance from lead to opportunity to contract to handover, review it periodically, test it against disruption scenarios and integrate it with dependent processes or systems.</t>
  </si>
  <si>
    <t>Optimize and automate sales process governance from lead to opportunity to contract to handover where practical, use leading indicators, run periodic stress tests and update the crisis playbook.</t>
  </si>
  <si>
    <t>Maintain maturity for sales process governance from lead to opportunity to contract to handover. Monitor drift, keep evidence current, benchmark externally and refresh tests after major changes.</t>
  </si>
  <si>
    <t>Sales CRM!8</t>
  </si>
  <si>
    <t>Establish a basic owner and inventory for customer and contract data linked to renewal, SLA and revenue risk. Define minimum policy, evidence location and immediate crisis relevance.</t>
  </si>
  <si>
    <t>Document customer and contract data linked to renewal, SLA and revenue risk, assign RACI, define minimum controls/KPIs and collect evidence across the main business units or sites.</t>
  </si>
  <si>
    <t>Standardize customer and contract data linked to renewal, SLA and revenue risk across the organization, close coverage gaps, link it to crisis scenarios and train accountable roles.</t>
  </si>
  <si>
    <t>Measure customer and contract data linked to renewal, SLA and revenue risk, review it periodically, test it against disruption scenarios and integrate it with dependent processes or systems.</t>
  </si>
  <si>
    <t>Optimize and automate customer and contract data linked to renewal, SLA and revenue risk where practical, use leading indicators, run periodic stress tests and update the crisis playbook.</t>
  </si>
  <si>
    <t>Maintain maturity for customer and contract data linked to renewal, SLA and revenue risk. Monitor drift, keep evidence current, benchmark externally and refresh tests after major changes.</t>
  </si>
  <si>
    <t>Sales CRM!9</t>
  </si>
  <si>
    <t>Establish a basic owner and inventory for pipeline qualification criteria and stage exit rules. Define minimum policy, evidence location and immediate crisis relevance.</t>
  </si>
  <si>
    <t>Document pipeline qualification criteria and stage exit rules, assign RACI, define minimum controls/KPIs and collect evidence across the main business units or sites.</t>
  </si>
  <si>
    <t>Standardize pipeline qualification criteria and stage exit rules across the organization, close coverage gaps, link it to crisis scenarios and train accountable roles.</t>
  </si>
  <si>
    <t>Measure pipeline qualification criteria and stage exit rules, review it periodically, test it against disruption scenarios and integrate it with dependent processes or systems.</t>
  </si>
  <si>
    <t>Optimize and automate pipeline qualification criteria and stage exit rules where practical, use leading indicators, run periodic stress tests and update the crisis playbook.</t>
  </si>
  <si>
    <t>Maintain maturity for pipeline qualification criteria and stage exit rules. Monitor drift, keep evidence current, benchmark externally and refresh tests after major changes.</t>
  </si>
  <si>
    <t>Reduces exposure to Demand shock; Revenue loss; Reputation crisis; improves Pipeline and forecast maturity, continuity and management visibility.</t>
  </si>
  <si>
    <t>Sales CRM!10</t>
  </si>
  <si>
    <t>Establish a basic owner and inventory for pipeline coverage relative to targets, sales cycle, win rate and crisis scenarios. Define minimum policy, evidence location and immediate crisis relevance.</t>
  </si>
  <si>
    <t>Document pipeline coverage relative to targets, sales cycle, win rate and crisis scenarios, assign RACI, define minimum controls/KPIs and collect evidence across the main business units or sites.</t>
  </si>
  <si>
    <t>Standardize pipeline coverage relative to targets, sales cycle, win rate and crisis scenarios across the organization, close coverage gaps, link it to crisis scenarios and train accountable roles.</t>
  </si>
  <si>
    <t>Measure pipeline coverage relative to targets, sales cycle, win rate and crisis scenarios, review it periodically, test it against disruption scenarios and integrate it with dependent processes or systems.</t>
  </si>
  <si>
    <t>Optimize and automate pipeline coverage relative to targets, sales cycle, win rate and crisis scenarios where practical, use leading indicators, run periodic stress tests and update the crisis playbook.</t>
  </si>
  <si>
    <t>Maintain maturity for pipeline coverage relative to targets, sales cycle, win rate and crisis scenarios. Monitor drift, keep evidence current, benchmark externally and refresh tests after major changes.</t>
  </si>
  <si>
    <t>Sales CRM!11</t>
  </si>
  <si>
    <t>Establish a basic owner and inventory for sales forecast cadence connected to finance, delivery and supply planning. Define minimum policy, evidence location and immediate crisis relevance.</t>
  </si>
  <si>
    <t>Document sales forecast cadence connected to finance, delivery and supply planning, assign RACI, define minimum controls/KPIs and collect evidence across the main business units or sites.</t>
  </si>
  <si>
    <t>Standardize sales forecast cadence connected to finance, delivery and supply planning across the organization, close coverage gaps, link it to crisis scenarios and train accountable roles.</t>
  </si>
  <si>
    <t>Measure sales forecast cadence connected to finance, delivery and supply planning, review it periodically, test it against disruption scenarios and integrate it with dependent processes or systems.</t>
  </si>
  <si>
    <t>Optimize and automate sales forecast cadence connected to finance, delivery and supply planning where practical, use leading indicators, run periodic stress tests and update the crisis playbook.</t>
  </si>
  <si>
    <t>Maintain maturity for sales forecast cadence connected to finance, delivery and supply planning. Monitor drift, keep evidence current, benchmark externally and refresh tests after major changes.</t>
  </si>
  <si>
    <t>Sales CRM!12</t>
  </si>
  <si>
    <t>Establish a basic owner and inventory for sales forecast stress tests for delayed decisions, budget cuts and customer churn. Define minimum policy, evidence location and immediate crisis relevance.</t>
  </si>
  <si>
    <t>Document sales forecast stress tests for delayed decisions, budget cuts and customer churn, assign RACI, define minimum controls/KPIs and collect evidence across the main business units or sites.</t>
  </si>
  <si>
    <t>Standardize sales forecast stress tests for delayed decisions, budget cuts and customer churn across the organization, close coverage gaps, link it to crisis scenarios and train accountable roles.</t>
  </si>
  <si>
    <t>Measure sales forecast stress tests for delayed decisions, budget cuts and customer churn, review it periodically, test it against disruption scenarios and integrate it with dependent processes or systems.</t>
  </si>
  <si>
    <t>Optimize and automate sales forecast stress tests for delayed decisions, budget cuts and customer churn where practical, use leading indicators, run periodic stress tests and update the crisis playbook.</t>
  </si>
  <si>
    <t>Maintain maturity for sales forecast stress tests for delayed decisions, budget cuts and customer churn. Monitor drift, keep evidence current, benchmark externally and refresh tests after major changes.</t>
  </si>
  <si>
    <t>Sales CRM!13</t>
  </si>
  <si>
    <t>Establish a basic owner and inventory for sales analytics by conversion, cycle time, win rate, deal size, margin and loss reason. Define minimum policy, evidence location and immediate crisis relevance.</t>
  </si>
  <si>
    <t>Document sales analytics by conversion, cycle time, win rate, deal size, margin and loss reason, assign RACI, define minimum controls/KPIs and collect evidence across the main business units or sites.</t>
  </si>
  <si>
    <t>Standardize sales analytics by conversion, cycle time, win rate, deal size, margin and loss reason across the organization, close coverage gaps, link it to crisis scenarios and train accountable roles.</t>
  </si>
  <si>
    <t>Measure sales analytics by conversion, cycle time, win rate, deal size, margin and loss reason, review it periodically, test it against disruption scenarios and integrate it with dependent processes or systems.</t>
  </si>
  <si>
    <t>Optimize and automate sales analytics by conversion, cycle time, win rate, deal size, margin and loss reason where practical, use leading indicators, run periodic stress tests and update the crisis playbook.</t>
  </si>
  <si>
    <t>Maintain maturity for sales analytics by conversion, cycle time, win rate, deal size, margin and loss reason. Monitor drift, keep evidence current, benchmark externally and refresh tests after major changes.</t>
  </si>
  <si>
    <t>Sales CRM!14</t>
  </si>
  <si>
    <t>Establish a basic owner and inventory for customer health scoring using usage, satisfaction, payment behavior, delivery issues and engagement. Define minimum policy, evidence location and immediate crisis relevance.</t>
  </si>
  <si>
    <t>Document customer health scoring using usage, satisfaction, payment behavior, delivery issues and engagement, assign RACI, define minimum controls/KPIs and collect evidence across the main business units or sites.</t>
  </si>
  <si>
    <t>Standardize customer health scoring using usage, satisfaction, payment behavior, delivery issues and engagement across the organization, close coverage gaps, link it to crisis scenarios and train accountable roles.</t>
  </si>
  <si>
    <t>Measure customer health scoring using usage, satisfaction, payment behavior, delivery issues and engagement, review it periodically, test it against disruption scenarios and integrate it with dependent processes or systems.</t>
  </si>
  <si>
    <t>Optimize and automate customer health scoring using usage, satisfaction, payment behavior, delivery issues and engagement where practical, use leading indicators, run periodic stress tests and update the crisis playbook.</t>
  </si>
  <si>
    <t>Maintain maturity for customer health scoring using usage, satisfaction, payment behavior, delivery issues and engagement. Monitor drift, keep evidence current, benchmark externally and refresh tests after major changes.</t>
  </si>
  <si>
    <t>Reduces exposure to Demand shock; Revenue loss; Reputation crisis; improves Customer continuity maturity, continuity and management visibility.</t>
  </si>
  <si>
    <t>Sales CRM!15</t>
  </si>
  <si>
    <t>Establish a basic owner and inventory for churn risk identification, prioritization and mitigation actions. Define minimum policy, evidence location and immediate crisis relevance.</t>
  </si>
  <si>
    <t>Document churn risk identification, prioritization and mitigation actions, assign RACI, define minimum controls/KPIs and collect evidence across the main business units or sites.</t>
  </si>
  <si>
    <t>Standardize churn risk identification, prioritization and mitigation actions across the organization, close coverage gaps, link it to crisis scenarios and train accountable roles.</t>
  </si>
  <si>
    <t>Measure churn risk identification, prioritization and mitigation actions, review it periodically, test it against disruption scenarios and integrate it with dependent processes or systems.</t>
  </si>
  <si>
    <t>Optimize and automate churn risk identification, prioritization and mitigation actions where practical, use leading indicators, run periodic stress tests and update the crisis playbook.</t>
  </si>
  <si>
    <t>Maintain maturity for churn risk identification, prioritization and mitigation actions. Monitor drift, keep evidence current, benchmark externally and refresh tests after major changes.</t>
  </si>
  <si>
    <t>Sales CRM!16</t>
  </si>
  <si>
    <t>Establish a basic owner and inventory for renewal calendar and proactive renewal process. Define minimum policy, evidence location and immediate crisis relevance.</t>
  </si>
  <si>
    <t>Document renewal calendar and proactive renewal process, assign RACI, define minimum controls/KPIs and collect evidence across the main business units or sites.</t>
  </si>
  <si>
    <t>Standardize renewal calendar and proactive renewal process across the organization, close coverage gaps, link it to crisis scenarios and train accountable roles.</t>
  </si>
  <si>
    <t>Measure renewal calendar and proactive renewal process, review it periodically, test it against disruption scenarios and integrate it with dependent processes or systems.</t>
  </si>
  <si>
    <t>Optimize and automate renewal calendar and proactive renewal process where practical, use leading indicators, run periodic stress tests and update the crisis playbook.</t>
  </si>
  <si>
    <t>Maintain maturity for renewal calendar and proactive renewal process. Monitor drift, keep evidence current, benchmark externally and refresh tests after major changes.</t>
  </si>
  <si>
    <t>Sales CRM!17</t>
  </si>
  <si>
    <t>Establish a basic owner and inventory for critical account plans covering stakeholders, risks, contracts, renewals and crisis communication. Define minimum policy, evidence location and immediate crisis relevance.</t>
  </si>
  <si>
    <t>Document critical account plans covering stakeholders, risks, contracts, renewals and crisis communication, assign RACI, define minimum controls/KPIs and collect evidence across the main business units or sites.</t>
  </si>
  <si>
    <t>Standardize critical account plans covering stakeholders, risks, contracts, renewals and crisis communication across the organization, close coverage gaps, link it to crisis scenarios and train accountable roles.</t>
  </si>
  <si>
    <t>Measure critical account plans covering stakeholders, risks, contracts, renewals and crisis communication, review it periodically, test it against disruption scenarios and integrate it with dependent processes or systems.</t>
  </si>
  <si>
    <t>Optimize and automate critical account plans covering stakeholders, risks, contracts, renewals and crisis communication where practical, use leading indicators, run periodic stress tests and update the crisis playbook.</t>
  </si>
  <si>
    <t>Maintain maturity for critical account plans covering stakeholders, risks, contracts, renewals and crisis communication. Monitor drift, keep evidence current, benchmark externally and refresh tests after major changes.</t>
  </si>
  <si>
    <t>Sales CRM!18</t>
  </si>
  <si>
    <t>Establish a basic owner and inventory for customer notification rules for incidents, delays, cyber events and service disruption. Define minimum policy, evidence location and immediate crisis relevance.</t>
  </si>
  <si>
    <t>Document customer notification rules for incidents, delays, cyber events and service disruption, assign RACI, define minimum controls/KPIs and collect evidence across the main business units or sites.</t>
  </si>
  <si>
    <t>Standardize customer notification rules for incidents, delays, cyber events and service disruption across the organization, close coverage gaps, link it to crisis scenarios and train accountable roles.</t>
  </si>
  <si>
    <t>Measure customer notification rules for incidents, delays, cyber events and service disruption, review it periodically, test it against disruption scenarios and integrate it with dependent processes or systems.</t>
  </si>
  <si>
    <t>Optimize and automate customer notification rules for incidents, delays, cyber events and service disruption where practical, use leading indicators, run periodic stress tests and update the crisis playbook.</t>
  </si>
  <si>
    <t>Maintain maturity for customer notification rules for incidents, delays, cyber events and service disruption. Monitor drift, keep evidence current, benchmark externally and refresh tests after major changes.</t>
  </si>
  <si>
    <t>Sales CRM!19</t>
  </si>
  <si>
    <t>Establish a basic owner and inventory for support knowledge base and agent fallback if experienced people are unavailable. Define minimum policy, evidence location and immediate crisis relevance.</t>
  </si>
  <si>
    <t>Document support knowledge base and agent fallback if experienced people are unavailable, assign RACI, define minimum controls/KPIs and collect evidence across the main business units or sites.</t>
  </si>
  <si>
    <t>Standardize support knowledge base and agent fallback if experienced people are unavailable across the organization, close coverage gaps, link it to crisis scenarios and train accountable roles.</t>
  </si>
  <si>
    <t>Measure support knowledge base and agent fallback if experienced people are unavailable, review it periodically, test it against disruption scenarios and integrate it with dependent processes or systems.</t>
  </si>
  <si>
    <t>Optimize and automate support knowledge base and agent fallback if experienced people are unavailable where practical, use leading indicators, run periodic stress tests and update the crisis playbook.</t>
  </si>
  <si>
    <t>Maintain maturity for support knowledge base and agent fallback if experienced people are unavailable. Monitor drift, keep evidence current, benchmark externally and refresh tests after major changes.</t>
  </si>
  <si>
    <t>Sales CRM!20</t>
  </si>
  <si>
    <t>Establish a basic owner and inventory for discount governance, pricing exceptions, payment terms and margin protection. Define minimum policy, evidence location and immediate crisis relevance.</t>
  </si>
  <si>
    <t>Document discount governance, pricing exceptions, payment terms and margin protection, assign RACI, define minimum controls/KPIs and collect evidence across the main business units or sites.</t>
  </si>
  <si>
    <t>Standardize discount governance, pricing exceptions, payment terms and margin protection across the organization, close coverage gaps, link it to crisis scenarios and train accountable roles.</t>
  </si>
  <si>
    <t>Measure discount governance, pricing exceptions, payment terms and margin protection, review it periodically, test it against disruption scenarios and integrate it with dependent processes or systems.</t>
  </si>
  <si>
    <t>Optimize and automate discount governance, pricing exceptions, payment terms and margin protection where practical, use leading indicators, run periodic stress tests and update the crisis playbook.</t>
  </si>
  <si>
    <t>Maintain maturity for discount governance, pricing exceptions, payment terms and margin protection. Monitor drift, keep evidence current, benchmark externally and refresh tests after major changes.</t>
  </si>
  <si>
    <t>Reduces exposure to Demand shock; Revenue loss; Reputation crisis; improves Revenue controls maturity, continuity and management visibility.</t>
  </si>
  <si>
    <t>Sales CRM!21</t>
  </si>
  <si>
    <t>Establish a basic owner and inventory for deal review for margin, delivery feasibility, legal obligations, security and crisis risk. Define minimum policy, evidence location and immediate crisis relevance.</t>
  </si>
  <si>
    <t>Document deal review for margin, delivery feasibility, legal obligations, security and crisis risk, assign RACI, define minimum controls/KPIs and collect evidence across the main business units or sites.</t>
  </si>
  <si>
    <t>Standardize deal review for margin, delivery feasibility, legal obligations, security and crisis risk across the organization, close coverage gaps, link it to crisis scenarios and train accountable roles.</t>
  </si>
  <si>
    <t>Measure deal review for margin, delivery feasibility, legal obligations, security and crisis risk, review it periodically, test it against disruption scenarios and integrate it with dependent processes or systems.</t>
  </si>
  <si>
    <t>Optimize and automate deal review for margin, delivery feasibility, legal obligations, security and crisis risk where practical, use leading indicators, run periodic stress tests and update the crisis playbook.</t>
  </si>
  <si>
    <t>Maintain maturity for deal review for margin, delivery feasibility, legal obligations, security and crisis risk. Monitor drift, keep evidence current, benchmark externally and refresh tests after major changes.</t>
  </si>
  <si>
    <t>Sales CRM!22</t>
  </si>
  <si>
    <t>Establish a basic owner and inventory for customer concentration risk by revenue, margin, geography and industry. Define minimum policy, evidence location and immediate crisis relevance.</t>
  </si>
  <si>
    <t>Document customer concentration risk by revenue, margin, geography and industry, assign RACI, define minimum controls/KPIs and collect evidence across the main business units or sites.</t>
  </si>
  <si>
    <t>Standardize customer concentration risk by revenue, margin, geography and industry across the organization, close coverage gaps, link it to crisis scenarios and train accountable roles.</t>
  </si>
  <si>
    <t>Measure customer concentration risk by revenue, margin, geography and industry, review it periodically, test it against disruption scenarios and integrate it with dependent processes or systems.</t>
  </si>
  <si>
    <t>Optimize and automate customer concentration risk by revenue, margin, geography and industry where practical, use leading indicators, run periodic stress tests and update the crisis playbook.</t>
  </si>
  <si>
    <t>Maintain maturity for customer concentration risk by revenue, margin, geography and industry. Monitor drift, keep evidence current, benchmark externally and refresh tests after major changes.</t>
  </si>
  <si>
    <t>Sales CRM!23</t>
  </si>
  <si>
    <t>Establish a basic owner and inventory for sales channel continuity if offices close, travel stops, events cancel or one channel fails. Define minimum policy, evidence location and immediate crisis relevance.</t>
  </si>
  <si>
    <t>Document sales channel continuity if offices close, travel stops, events cancel or one channel fails, assign RACI, define minimum controls/KPIs and collect evidence across the main business units or sites.</t>
  </si>
  <si>
    <t>Standardize sales channel continuity if offices close, travel stops, events cancel or one channel fails across the organization, close coverage gaps, link it to crisis scenarios and train accountable roles.</t>
  </si>
  <si>
    <t>Measure sales channel continuity if offices close, travel stops, events cancel or one channel fails, review it periodically, test it against disruption scenarios and integrate it with dependent processes or systems.</t>
  </si>
  <si>
    <t>Optimize and automate sales channel continuity if offices close, travel stops, events cancel or one channel fails where practical, use leading indicators, run periodic stress tests and update the crisis playbook.</t>
  </si>
  <si>
    <t>Maintain maturity for sales channel continuity if offices close, travel stops, events cancel or one channel fails. Monitor drift, keep evidence current, benchmark externally and refresh tests after major changes.</t>
  </si>
  <si>
    <t>Sales CRM!24</t>
  </si>
  <si>
    <t>Establish a basic owner and inventory for ecommerce continuity for payments, logistics, website, stock and customer support where relevant. Define minimum policy, evidence location and immediate crisis relevance.</t>
  </si>
  <si>
    <t>Document ecommerce continuity for payments, logistics, website, stock and customer support where relevant, assign RACI, define minimum controls/KPIs and collect evidence across the main business units or sites.</t>
  </si>
  <si>
    <t>Standardize ecommerce continuity for payments, logistics, website, stock and customer support where relevant across the organization, close coverage gaps, link it to crisis scenarios and train accountable roles.</t>
  </si>
  <si>
    <t>Measure ecommerce continuity for payments, logistics, website, stock and customer support where relevant, review it periodically, test it against disruption scenarios and integrate it with dependent processes or systems.</t>
  </si>
  <si>
    <t>Optimize and automate ecommerce continuity for payments, logistics, website, stock and customer support where relevant where practical, use leading indicators, run periodic stress tests and update the crisis playbook.</t>
  </si>
  <si>
    <t>Maintain maturity for ecommerce continuity for payments, logistics, website, stock and customer support where relevant. Monitor drift, keep evidence current, benchmark externally and refresh tests after major changes.</t>
  </si>
  <si>
    <t>Sales CRM!25</t>
  </si>
  <si>
    <t>Establish a basic owner and inventory for brand positioning aligned with ICP, offering, differentiation and proof points. Define minimum policy, evidence location and immediate crisis relevance.</t>
  </si>
  <si>
    <t>Document brand positioning aligned with ICP, offering, differentiation and proof points, assign RACI, define minimum controls/KPIs and collect evidence across the main business units or sites.</t>
  </si>
  <si>
    <t>Standardize brand positioning aligned with ICP, offering, differentiation and proof points across the organization, close coverage gaps, link it to crisis scenarios and train accountable roles.</t>
  </si>
  <si>
    <t>Measure brand positioning aligned with ICP, offering, differentiation and proof points, review it periodically, test it against disruption scenarios and integrate it with dependent processes or systems.</t>
  </si>
  <si>
    <t>Optimize and automate brand positioning aligned with ICP, offering, differentiation and proof points where practical, use leading indicators, run periodic stress tests and update the crisis playbook.</t>
  </si>
  <si>
    <t>Maintain maturity for brand positioning aligned with ICP, offering, differentiation and proof points. Monitor drift, keep evidence current, benchmark externally and refresh tests after major changes.</t>
  </si>
  <si>
    <t>Reduces exposure to Reputation crisis; Demand shock; IT outage; improves Brand and market presence maturity, continuity and management visibility.</t>
  </si>
  <si>
    <t>Marketing Comms!5</t>
  </si>
  <si>
    <t>Establish a basic owner and inventory for digital channel dependency across website, search, paid media, social, events and partners. Define minimum policy, evidence location and immediate crisis relevance.</t>
  </si>
  <si>
    <t>Document digital channel dependency across website, search, paid media, social, events and partners, assign RACI, define minimum controls/KPIs and collect evidence across the main business units or sites.</t>
  </si>
  <si>
    <t>Standardize digital channel dependency across website, search, paid media, social, events and partners across the organization, close coverage gaps, link it to crisis scenarios and train accountable roles.</t>
  </si>
  <si>
    <t>Measure digital channel dependency across website, search, paid media, social, events and partners, review it periodically, test it against disruption scenarios and integrate it with dependent processes or systems.</t>
  </si>
  <si>
    <t>Optimize and automate digital channel dependency across website, search, paid media, social, events and partners where practical, use leading indicators, run periodic stress tests and update the crisis playbook.</t>
  </si>
  <si>
    <t>Maintain maturity for digital channel dependency across website, search, paid media, social, events and partners. Monitor drift, keep evidence current, benchmark externally and refresh tests after major changes.</t>
  </si>
  <si>
    <t>Marketing Comms!6</t>
  </si>
  <si>
    <t>Establish a basic owner and inventory for website and lead-form availability during traffic spikes, cyberattacks or hosting outages. Define minimum policy, evidence location and immediate crisis relevance.</t>
  </si>
  <si>
    <t>Document website and lead-form availability during traffic spikes, cyberattacks or hosting outages, assign RACI, define minimum controls/KPIs and collect evidence across the main business units or sites.</t>
  </si>
  <si>
    <t>Standardize website and lead-form availability during traffic spikes, cyberattacks or hosting outages across the organization, close coverage gaps, link it to crisis scenarios and train accountable roles.</t>
  </si>
  <si>
    <t>Measure website and lead-form availability during traffic spikes, cyberattacks or hosting outages, review it periodically, test it against disruption scenarios and integrate it with dependent processes or systems.</t>
  </si>
  <si>
    <t>Optimize and automate website and lead-form availability during traffic spikes, cyberattacks or hosting outages where practical, use leading indicators, run periodic stress tests and update the crisis playbook.</t>
  </si>
  <si>
    <t>Maintain maturity for website and lead-form availability during traffic spikes, cyberattacks or hosting outages. Monitor drift, keep evidence current, benchmark externally and refresh tests after major changes.</t>
  </si>
  <si>
    <t>Marketing Comms!7</t>
  </si>
  <si>
    <t>Establish a basic owner and inventory for campaign performance, attribution, conversion, CAC and channel ROI measurement. Define minimum policy, evidence location and immediate crisis relevance.</t>
  </si>
  <si>
    <t>Document campaign performance, attribution, conversion, CAC and channel ROI measurement, assign RACI, define minimum controls/KPIs and collect evidence across the main business units or sites.</t>
  </si>
  <si>
    <t>Standardize campaign performance, attribution, conversion, CAC and channel ROI measurement across the organization, close coverage gaps, link it to crisis scenarios and train accountable roles.</t>
  </si>
  <si>
    <t>Measure campaign performance, attribution, conversion, CAC and channel ROI measurement, review it periodically, test it against disruption scenarios and integrate it with dependent processes or systems.</t>
  </si>
  <si>
    <t>Optimize and automate campaign performance, attribution, conversion, CAC and channel ROI measurement where practical, use leading indicators, run periodic stress tests and update the crisis playbook.</t>
  </si>
  <si>
    <t>Maintain maturity for campaign performance, attribution, conversion, CAC and channel ROI measurement. Monitor drift, keep evidence current, benchmark externally and refresh tests after major changes.</t>
  </si>
  <si>
    <t>Marketing Comms!8</t>
  </si>
  <si>
    <t>Establish a basic owner and inventory for lead capture, routing, qualification and follow-up resilience. Define minimum policy, evidence location and immediate crisis relevance.</t>
  </si>
  <si>
    <t>Document lead capture, routing, qualification and follow-up resilience, assign RACI, define minimum controls/KPIs and collect evidence across the main business units or sites.</t>
  </si>
  <si>
    <t>Standardize lead capture, routing, qualification and follow-up resilience across the organization, close coverage gaps, link it to crisis scenarios and train accountable roles.</t>
  </si>
  <si>
    <t>Measure lead capture, routing, qualification and follow-up resilience, review it periodically, test it against disruption scenarios and integrate it with dependent processes or systems.</t>
  </si>
  <si>
    <t>Optimize and automate lead capture, routing, qualification and follow-up resilience where practical, use leading indicators, run periodic stress tests and update the crisis playbook.</t>
  </si>
  <si>
    <t>Maintain maturity for lead capture, routing, qualification and follow-up resilience. Monitor drift, keep evidence current, benchmark externally and refresh tests after major changes.</t>
  </si>
  <si>
    <t>Marketing Comms!9</t>
  </si>
  <si>
    <t>Establish a basic owner and inventory for approved crisis communication templates for customers, employees, media, regulators and partners. Define minimum policy, evidence location and immediate crisis relevance.</t>
  </si>
  <si>
    <t>Document approved crisis communication templates for customers, employees, media, regulators and partners, assign RACI, define minimum controls/KPIs and collect evidence across the main business units or sites.</t>
  </si>
  <si>
    <t>Standardize approved crisis communication templates for customers, employees, media, regulators and partners across the organization, close coverage gaps, link it to crisis scenarios and train accountable roles.</t>
  </si>
  <si>
    <t>Measure approved crisis communication templates for customers, employees, media, regulators and partners, review it periodically, test it against disruption scenarios and integrate it with dependent processes or systems.</t>
  </si>
  <si>
    <t>Optimize and automate approved crisis communication templates for customers, employees, media, regulators and partners where practical, use leading indicators, run periodic stress tests and update the crisis playbook.</t>
  </si>
  <si>
    <t>Maintain maturity for approved crisis communication templates for customers, employees, media, regulators and partners. Monitor drift, keep evidence current, benchmark externally and refresh tests after major changes.</t>
  </si>
  <si>
    <t>Reduces exposure to Reputation crisis; Demand shock; IT outage; improves Crisis communication maturity, continuity and management visibility.</t>
  </si>
  <si>
    <t>Marketing Comms!10</t>
  </si>
  <si>
    <t>Establish a basic owner and inventory for spokesperson identification, media training and backup coverage. Define minimum policy, evidence location and immediate crisis relevance.</t>
  </si>
  <si>
    <t>Document spokesperson identification, media training and backup coverage, assign RACI, define minimum controls/KPIs and collect evidence across the main business units or sites.</t>
  </si>
  <si>
    <t>Standardize spokesperson identification, media training and backup coverage across the organization, close coverage gaps, link it to crisis scenarios and train accountable roles.</t>
  </si>
  <si>
    <t>Measure spokesperson identification, media training and backup coverage, review it periodically, test it against disruption scenarios and integrate it with dependent processes or systems.</t>
  </si>
  <si>
    <t>Optimize and automate spokesperson identification, media training and backup coverage where practical, use leading indicators, run periodic stress tests and update the crisis playbook.</t>
  </si>
  <si>
    <t>Maintain maturity for spokesperson identification, media training and backup coverage. Monitor drift, keep evidence current, benchmark externally and refresh tests after major changes.</t>
  </si>
  <si>
    <t>Marketing Comms!11</t>
  </si>
  <si>
    <t>Establish a basic owner and inventory for media, social, review and customer sentiment monitoring. Define minimum policy, evidence location and immediate crisis relevance.</t>
  </si>
  <si>
    <t>Document media, social, review and customer sentiment monitoring, assign RACI, define minimum controls/KPIs and collect evidence across the main business units or sites.</t>
  </si>
  <si>
    <t>Standardize media, social, review and customer sentiment monitoring across the organization, close coverage gaps, link it to crisis scenarios and train accountable roles.</t>
  </si>
  <si>
    <t>Measure media, social, review and customer sentiment monitoring, review it periodically, test it against disruption scenarios and integrate it with dependent processes or systems.</t>
  </si>
  <si>
    <t>Optimize and automate media, social, review and customer sentiment monitoring where practical, use leading indicators, run periodic stress tests and update the crisis playbook.</t>
  </si>
  <si>
    <t>Maintain maturity for media, social, review and customer sentiment monitoring. Monitor drift, keep evidence current, benchmark externally and refresh tests after major changes.</t>
  </si>
  <si>
    <t>Marketing Comms!12</t>
  </si>
  <si>
    <t>Establish a basic owner and inventory for escalation and approval rules for sensitive public responses. Define minimum policy, evidence location and immediate crisis relevance.</t>
  </si>
  <si>
    <t>Document escalation and approval rules for sensitive public responses, assign RACI, define minimum controls/KPIs and collect evidence across the main business units or sites.</t>
  </si>
  <si>
    <t>Standardize escalation and approval rules for sensitive public responses across the organization, close coverage gaps, link it to crisis scenarios and train accountable roles.</t>
  </si>
  <si>
    <t>Measure escalation and approval rules for sensitive public responses, review it periodically, test it against disruption scenarios and integrate it with dependent processes or systems.</t>
  </si>
  <si>
    <t>Optimize and automate escalation and approval rules for sensitive public responses where practical, use leading indicators, run periodic stress tests and update the crisis playbook.</t>
  </si>
  <si>
    <t>Maintain maturity for escalation and approval rules for sensitive public responses. Monitor drift, keep evidence current, benchmark externally and refresh tests after major changes.</t>
  </si>
  <si>
    <t>Marketing Comms!13</t>
  </si>
  <si>
    <t>Establish a basic owner and inventory for customer communication channel diversity across email, phone, portal, SMS, account managers and social media. Define minimum policy, evidence location and immediate crisis relevance.</t>
  </si>
  <si>
    <t>Document customer communication channel diversity across email, phone, portal, SMS, account managers and social media, assign RACI, define minimum controls/KPIs and collect evidence across the main business units or sites.</t>
  </si>
  <si>
    <t>Standardize customer communication channel diversity across email, phone, portal, SMS, account managers and social media across the organization, close coverage gaps, link it to crisis scenarios and train accountable roles.</t>
  </si>
  <si>
    <t>Measure customer communication channel diversity across email, phone, portal, SMS, account managers and social media, review it periodically, test it against disruption scenarios and integrate it with dependent processes or systems.</t>
  </si>
  <si>
    <t>Optimize and automate customer communication channel diversity across email, phone, portal, SMS, account managers and social media where practical, use leading indicators, run periodic stress tests and update the crisis playbook.</t>
  </si>
  <si>
    <t>Maintain maturity for customer communication channel diversity across email, phone, portal, SMS, account managers and social media. Monitor drift, keep evidence current, benchmark externally and refresh tests after major changes.</t>
  </si>
  <si>
    <t>Marketing Comms!14</t>
  </si>
  <si>
    <t>Establish a basic owner and inventory for misinformation, impersonation, fake invoice and brand-abuse response process. Define minimum policy, evidence location and immediate crisis relevance.</t>
  </si>
  <si>
    <t>Document misinformation, impersonation, fake invoice and brand-abuse response process, assign RACI, define minimum controls/KPIs and collect evidence across the main business units or sites.</t>
  </si>
  <si>
    <t>Standardize misinformation, impersonation, fake invoice and brand-abuse response process across the organization, close coverage gaps, link it to crisis scenarios and train accountable roles.</t>
  </si>
  <si>
    <t>Measure misinformation, impersonation, fake invoice and brand-abuse response process, review it periodically, test it against disruption scenarios and integrate it with dependent processes or systems.</t>
  </si>
  <si>
    <t>Optimize and automate misinformation, impersonation, fake invoice and brand-abuse response process where practical, use leading indicators, run periodic stress tests and update the crisis playbook.</t>
  </si>
  <si>
    <t>Maintain maturity for misinformation, impersonation, fake invoice and brand-abuse response process. Monitor drift, keep evidence current, benchmark externally and refresh tests after major changes.</t>
  </si>
  <si>
    <t>Marketing Comms!15</t>
  </si>
  <si>
    <t>Establish a basic owner and inventory for critical marketing and communication asset access if cloud tools or key people are unavailable. Define minimum policy, evidence location and immediate crisis relevance.</t>
  </si>
  <si>
    <t>Document critical marketing and communication asset access if cloud tools or key people are unavailable, assign RACI, define minimum controls/KPIs and collect evidence across the main business units or sites.</t>
  </si>
  <si>
    <t>Standardize critical marketing and communication asset access if cloud tools or key people are unavailable across the organization, close coverage gaps, link it to crisis scenarios and train accountable roles.</t>
  </si>
  <si>
    <t>Measure critical marketing and communication asset access if cloud tools or key people are unavailable, review it periodically, test it against disruption scenarios and integrate it with dependent processes or systems.</t>
  </si>
  <si>
    <t>Optimize and automate critical marketing and communication asset access if cloud tools or key people are unavailable where practical, use leading indicators, run periodic stress tests and update the crisis playbook.</t>
  </si>
  <si>
    <t>Maintain maturity for critical marketing and communication asset access if cloud tools or key people are unavailable. Monitor drift, keep evidence current, benchmark externally and refresh tests after major changes.</t>
  </si>
  <si>
    <t>Reduces exposure to Reputation crisis; Demand shock; IT outage; improves Marketing operations maturity, continuity and management visibility.</t>
  </si>
  <si>
    <t>Marketing Comms!16</t>
  </si>
  <si>
    <t>Establish a basic owner and inventory for marketing automation, email, analytics, CMS, domain and DNS dependency documentation. Define minimum policy, evidence location and immediate crisis relevance.</t>
  </si>
  <si>
    <t>Document marketing automation, email, analytics, CMS, domain and DNS dependency documentation, assign RACI, define minimum controls/KPIs and collect evidence across the main business units or sites.</t>
  </si>
  <si>
    <t>Standardize marketing automation, email, analytics, CMS, domain and DNS dependency documentation across the organization, close coverage gaps, link it to crisis scenarios and train accountable roles.</t>
  </si>
  <si>
    <t>Measure marketing automation, email, analytics, CMS, domain and DNS dependency documentation, review it periodically, test it against disruption scenarios and integrate it with dependent processes or systems.</t>
  </si>
  <si>
    <t>Optimize and automate marketing automation, email, analytics, CMS, domain and DNS dependency documentation where practical, use leading indicators, run periodic stress tests and update the crisis playbook.</t>
  </si>
  <si>
    <t>Maintain maturity for marketing automation, email, analytics, CMS, domain and DNS dependency documentation. Monitor drift, keep evidence current, benchmark externally and refresh tests after major changes.</t>
  </si>
  <si>
    <t>Marketing Comms!17</t>
  </si>
  <si>
    <t>Establish a basic owner and inventory for privacy, consent, unsubscribe, advertising claims and industry marketing compliance. Define minimum policy, evidence location and immediate crisis relevance.</t>
  </si>
  <si>
    <t>Document privacy, consent, unsubscribe, advertising claims and industry marketing compliance, assign RACI, define minimum controls/KPIs and collect evidence across the main business units or sites.</t>
  </si>
  <si>
    <t>Standardize privacy, consent, unsubscribe, advertising claims and industry marketing compliance across the organization, close coverage gaps, link it to crisis scenarios and train accountable roles.</t>
  </si>
  <si>
    <t>Measure privacy, consent, unsubscribe, advertising claims and industry marketing compliance, review it periodically, test it against disruption scenarios and integrate it with dependent processes or systems.</t>
  </si>
  <si>
    <t>Optimize and automate privacy, consent, unsubscribe, advertising claims and industry marketing compliance where practical, use leading indicators, run periodic stress tests and update the crisis playbook.</t>
  </si>
  <si>
    <t>Maintain maturity for privacy, consent, unsubscribe, advertising claims and industry marketing compliance. Monitor drift, keep evidence current, benchmark externally and refresh tests after major changes.</t>
  </si>
  <si>
    <t>Marketing Comms!18</t>
  </si>
  <si>
    <t>Establish a basic owner and inventory for demand-generation playbooks for budget cuts, channel failure, competitive pressure or geopolitical restrictions. Define minimum policy, evidence location and immediate crisis relevance.</t>
  </si>
  <si>
    <t>Document demand-generation playbooks for budget cuts, channel failure, competitive pressure or geopolitical restrictions, assign RACI, define minimum controls/KPIs and collect evidence across the main business units or sites.</t>
  </si>
  <si>
    <t>Standardize demand-generation playbooks for budget cuts, channel failure, competitive pressure or geopolitical restrictions across the organization, close coverage gaps, link it to crisis scenarios and train accountable roles.</t>
  </si>
  <si>
    <t>Measure demand-generation playbooks for budget cuts, channel failure, competitive pressure or geopolitical restrictions, review it periodically, test it against disruption scenarios and integrate it with dependent processes or systems.</t>
  </si>
  <si>
    <t>Optimize and automate demand-generation playbooks for budget cuts, channel failure, competitive pressure or geopolitical restrictions where practical, use leading indicators, run periodic stress tests and update the crisis playbook.</t>
  </si>
  <si>
    <t>Maintain maturity for demand-generation playbooks for budget cuts, channel failure, competitive pressure or geopolitical restrictions. Monitor drift, keep evidence current, benchmark externally and refresh tests after major changes.</t>
  </si>
  <si>
    <t>Marketing Comms!19</t>
  </si>
  <si>
    <t>Establish a basic owner and inventory for sales-marketing alignment on ICP, lead definitions, messages, offers and crisis concerns. Define minimum policy, evidence location and immediate crisis relevance.</t>
  </si>
  <si>
    <t>Document sales-marketing alignment on ICP, lead definitions, messages, offers and crisis concerns, assign RACI, define minimum controls/KPIs and collect evidence across the main business units or sites.</t>
  </si>
  <si>
    <t>Standardize sales-marketing alignment on ICP, lead definitions, messages, offers and crisis concerns across the organization, close coverage gaps, link it to crisis scenarios and train accountable roles.</t>
  </si>
  <si>
    <t>Measure sales-marketing alignment on ICP, lead definitions, messages, offers and crisis concerns, review it periodically, test it against disruption scenarios and integrate it with dependent processes or systems.</t>
  </si>
  <si>
    <t>Optimize and automate sales-marketing alignment on ICP, lead definitions, messages, offers and crisis concerns where practical, use leading indicators, run periodic stress tests and update the crisis playbook.</t>
  </si>
  <si>
    <t>Maintain maturity for sales-marketing alignment on ICP, lead definitions, messages, offers and crisis concerns. Monitor drift, keep evidence current, benchmark externally and refresh tests after major changes.</t>
  </si>
  <si>
    <t>Marketing Comms!20</t>
  </si>
  <si>
    <t>Establish a basic owner and inventory for trust assets such as security, privacy, continuity, compliance and customer proof materials. Define minimum policy, evidence location and immediate crisis relevance.</t>
  </si>
  <si>
    <t>Document trust assets such as security, privacy, continuity, compliance and customer proof materials, assign RACI, define minimum controls/KPIs and collect evidence across the main business units or sites.</t>
  </si>
  <si>
    <t>Standardize trust assets such as security, privacy, continuity, compliance and customer proof materials across the organization, close coverage gaps, link it to crisis scenarios and train accountable roles.</t>
  </si>
  <si>
    <t>Measure trust assets such as security, privacy, continuity, compliance and customer proof materials, review it periodically, test it against disruption scenarios and integrate it with dependent processes or systems.</t>
  </si>
  <si>
    <t>Optimize and automate trust assets such as security, privacy, continuity, compliance and customer proof materials where practical, use leading indicators, run periodic stress tests and update the crisis playbook.</t>
  </si>
  <si>
    <t>Maintain maturity for trust assets such as security, privacy, continuity, compliance and customer proof materials. Monitor drift, keep evidence current, benchmark externally and refresh tests after major changes.</t>
  </si>
  <si>
    <t>Marketing Comms!21</t>
  </si>
  <si>
    <t>Establish a basic owner and inventory for complete inventory of applications, infrastructure, cloud accounts, integrations, data stores and owners. Define minimum policy, evidence location and immediate crisis relevance.</t>
  </si>
  <si>
    <t>Document complete inventory of applications, infrastructure, cloud accounts, integrations, data stores and owners, assign RACI, define minimum controls/KPIs and collect evidence across the main business units or sites.</t>
  </si>
  <si>
    <t>Standardize complete inventory of applications, infrastructure, cloud accounts, integrations, data stores and owners across the organization, close coverage gaps, link it to crisis scenarios and train accountable roles.</t>
  </si>
  <si>
    <t>Measure complete inventory of applications, infrastructure, cloud accounts, integrations, data stores and owners, review it periodically, test it against disruption scenarios and integrate it with dependent processes or systems.</t>
  </si>
  <si>
    <t>Optimize and automate complete inventory of applications, infrastructure, cloud accounts, integrations, data stores and owners where practical, use leading indicators, run periodic stress tests and update the crisis playbook.</t>
  </si>
  <si>
    <t>Maintain maturity for complete inventory of applications, infrastructure, cloud accounts, integrations, data stores and owners. Monitor drift, keep evidence current, benchmark externally and refresh tests after major changes.</t>
  </si>
  <si>
    <t>Reduces exposure to IT outage; Cloud outage; Data loss; Cyberattack; improves IT inventory and architecture maturity, continuity and management visibility.</t>
  </si>
  <si>
    <t>IT Cloud DR!5</t>
  </si>
  <si>
    <t>Establish a basic owner and inventory for system criticality tiering by business process, RTO, RPO, users and data sensitivity. Define minimum policy, evidence location and immediate crisis relevance.</t>
  </si>
  <si>
    <t>Document system criticality tiering by business process, RTO, RPO, users and data sensitivity, assign RACI, define minimum controls/KPIs and collect evidence across the main business units or sites.</t>
  </si>
  <si>
    <t>Standardize system criticality tiering by business process, RTO, RPO, users and data sensitivity across the organization, close coverage gaps, link it to crisis scenarios and train accountable roles.</t>
  </si>
  <si>
    <t>Measure system criticality tiering by business process, RTO, RPO, users and data sensitivity, review it periodically, test it against disruption scenarios and integrate it with dependent processes or systems.</t>
  </si>
  <si>
    <t>Optimize and automate system criticality tiering by business process, RTO, RPO, users and data sensitivity where practical, use leading indicators, run periodic stress tests and update the crisis playbook.</t>
  </si>
  <si>
    <t>Maintain maturity for system criticality tiering by business process, RTO, RPO, users and data sensitivity. Monitor drift, keep evidence current, benchmark externally and refresh tests after major changes.</t>
  </si>
  <si>
    <t>IT Cloud DR!6</t>
  </si>
  <si>
    <t>Establish a basic owner and inventory for current-state and target-state IT architecture documentation. Define minimum policy, evidence location and immediate crisis relevance.</t>
  </si>
  <si>
    <t>Document current-state and target-state IT architecture documentation, assign RACI, define minimum controls/KPIs and collect evidence across the main business units or sites.</t>
  </si>
  <si>
    <t>Standardize current-state and target-state IT architecture documentation across the organization, close coverage gaps, link it to crisis scenarios and train accountable roles.</t>
  </si>
  <si>
    <t>Measure current-state and target-state IT architecture documentation, review it periodically, test it against disruption scenarios and integrate it with dependent processes or systems.</t>
  </si>
  <si>
    <t>Optimize and automate current-state and target-state IT architecture documentation where practical, use leading indicators, run periodic stress tests and update the crisis playbook.</t>
  </si>
  <si>
    <t>Maintain maturity for current-state and target-state IT architecture documentation. Monitor drift, keep evidence current, benchmark externally and refresh tests after major changes.</t>
  </si>
  <si>
    <t>IT Cloud DR!7</t>
  </si>
  <si>
    <t>Establish a basic owner and inventory for technical single points of failure across network, identity, DNS, cloud, databases, integrations and support teams. Define minimum policy, evidence location and immediate crisis relevance.</t>
  </si>
  <si>
    <t>Document technical single points of failure across network, identity, DNS, cloud, databases, integrations and support teams, assign RACI, define minimum controls/KPIs and collect evidence across the main business units or sites.</t>
  </si>
  <si>
    <t>Standardize technical single points of failure across network, identity, DNS, cloud, databases, integrations and support teams across the organization, close coverage gaps, link it to crisis scenarios and train accountable roles.</t>
  </si>
  <si>
    <t>Measure technical single points of failure across network, identity, DNS, cloud, databases, integrations and support teams, review it periodically, test it against disruption scenarios and integrate it with dependent processes or systems.</t>
  </si>
  <si>
    <t>Optimize and automate technical single points of failure across network, identity, DNS, cloud, databases, integrations and support teams where practical, use leading indicators, run periodic stress tests and update the crisis playbook.</t>
  </si>
  <si>
    <t>Maintain maturity for technical single points of failure across network, identity, DNS, cloud, databases, integrations and support teams. Monitor drift, keep evidence current, benchmark externally and refresh tests after major changes.</t>
  </si>
  <si>
    <t>IT Cloud DR!8</t>
  </si>
  <si>
    <t>Establish a basic owner and inventory for legacy system risk for vendor support, skills, security, integration and replacement options. Define minimum policy, evidence location and immediate crisis relevance.</t>
  </si>
  <si>
    <t>Document legacy system risk for vendor support, skills, security, integration and replacement options, assign RACI, define minimum controls/KPIs and collect evidence across the main business units or sites.</t>
  </si>
  <si>
    <t>Standardize legacy system risk for vendor support, skills, security, integration and replacement options across the organization, close coverage gaps, link it to crisis scenarios and train accountable roles.</t>
  </si>
  <si>
    <t>Measure legacy system risk for vendor support, skills, security, integration and replacement options, review it periodically, test it against disruption scenarios and integrate it with dependent processes or systems.</t>
  </si>
  <si>
    <t>Optimize and automate legacy system risk for vendor support, skills, security, integration and replacement options where practical, use leading indicators, run periodic stress tests and update the crisis playbook.</t>
  </si>
  <si>
    <t>Maintain maturity for legacy system risk for vendor support, skills, security, integration and replacement options. Monitor drift, keep evidence current, benchmark externally and refresh tests after major changes.</t>
  </si>
  <si>
    <t>IT Cloud DR!9</t>
  </si>
  <si>
    <t>Establish a basic owner and inventory for technical debt register linked to resilience, security and business impact. Define minimum policy, evidence location and immediate crisis relevance.</t>
  </si>
  <si>
    <t>Document technical debt register linked to resilience, security and business impact, assign RACI, define minimum controls/KPIs and collect evidence across the main business units or sites.</t>
  </si>
  <si>
    <t>Standardize technical debt register linked to resilience, security and business impact across the organization, close coverage gaps, link it to crisis scenarios and train accountable roles.</t>
  </si>
  <si>
    <t>Measure technical debt register linked to resilience, security and business impact, review it periodically, test it against disruption scenarios and integrate it with dependent processes or systems.</t>
  </si>
  <si>
    <t>Optimize and automate technical debt register linked to resilience, security and business impact where practical, use leading indicators, run periodic stress tests and update the crisis playbook.</t>
  </si>
  <si>
    <t>Maintain maturity for technical debt register linked to resilience, security and business impact. Monitor drift, keep evidence current, benchmark externally and refresh tests after major changes.</t>
  </si>
  <si>
    <t>IT Cloud DR!10</t>
  </si>
  <si>
    <t>Establish a basic owner and inventory for cloud account, subscription or project governance with ownership, billing, IAM, tagging and guardrails. Define minimum policy, evidence location and immediate crisis relevance.</t>
  </si>
  <si>
    <t>Document cloud account, subscription or project governance with ownership, billing, IAM, tagging and guardrails, assign RACI, define minimum controls/KPIs and collect evidence across the main business units or sites.</t>
  </si>
  <si>
    <t>Standardize cloud account, subscription or project governance with ownership, billing, IAM, tagging and guardrails across the organization, close coverage gaps, link it to crisis scenarios and train accountable roles.</t>
  </si>
  <si>
    <t>Measure cloud account, subscription or project governance with ownership, billing, IAM, tagging and guardrails, review it periodically, test it against disruption scenarios and integrate it with dependent processes or systems.</t>
  </si>
  <si>
    <t>Optimize and automate cloud account, subscription or project governance with ownership, billing, IAM, tagging and guardrails where practical, use leading indicators, run periodic stress tests and update the crisis playbook.</t>
  </si>
  <si>
    <t>Maintain maturity for cloud account, subscription or project governance with ownership, billing, IAM, tagging and guardrails. Monitor drift, keep evidence current, benchmark externally and refresh tests after major changes.</t>
  </si>
  <si>
    <t>Reduces exposure to IT outage; Cloud outage; Data loss; Cyberattack; improves Cloud usage maturity, continuity and management visibility.</t>
  </si>
  <si>
    <t>IT Cloud DR!11</t>
  </si>
  <si>
    <t>Establish a basic owner and inventory for cloud provider, SaaS, region and managed-service concentration risk. Define minimum policy, evidence location and immediate crisis relevance.</t>
  </si>
  <si>
    <t>Document cloud provider, SaaS, region and managed-service concentration risk, assign RACI, define minimum controls/KPIs and collect evidence across the main business units or sites.</t>
  </si>
  <si>
    <t>Standardize cloud provider, SaaS, region and managed-service concentration risk across the organization, close coverage gaps, link it to crisis scenarios and train accountable roles.</t>
  </si>
  <si>
    <t>Measure cloud provider, SaaS, region and managed-service concentration risk, review it periodically, test it against disruption scenarios and integrate it with dependent processes or systems.</t>
  </si>
  <si>
    <t>Optimize and automate cloud provider, SaaS, region and managed-service concentration risk where practical, use leading indicators, run periodic stress tests and update the crisis playbook.</t>
  </si>
  <si>
    <t>Maintain maturity for cloud provider, SaaS, region and managed-service concentration risk. Monitor drift, keep evidence current, benchmark externally and refresh tests after major changes.</t>
  </si>
  <si>
    <t>IT Cloud DR!12</t>
  </si>
  <si>
    <t>Establish a basic owner and inventory for multi-region, multi-zone or failover design for critical cloud services where justified. Define minimum policy, evidence location and immediate crisis relevance.</t>
  </si>
  <si>
    <t>Document multi-region, multi-zone or failover design for critical cloud services where justified, assign RACI, define minimum controls/KPIs and collect evidence across the main business units or sites.</t>
  </si>
  <si>
    <t>Standardize multi-region, multi-zone or failover design for critical cloud services where justified across the organization, close coverage gaps, link it to crisis scenarios and train accountable roles.</t>
  </si>
  <si>
    <t>Measure multi-region, multi-zone or failover design for critical cloud services where justified, review it periodically, test it against disruption scenarios and integrate it with dependent processes or systems.</t>
  </si>
  <si>
    <t>Optimize and automate multi-region, multi-zone or failover design for critical cloud services where justified where practical, use leading indicators, run periodic stress tests and update the crisis playbook.</t>
  </si>
  <si>
    <t>Maintain maturity for multi-region, multi-zone or failover design for critical cloud services where justified. Monitor drift, keep evidence current, benchmark externally and refresh tests after major changes.</t>
  </si>
  <si>
    <t>IT Cloud DR!13</t>
  </si>
  <si>
    <t>Establish a basic owner and inventory for cloud cost monitoring, budgets, alerts, forecasting and FinOps practices. Define minimum policy, evidence location and immediate crisis relevance.</t>
  </si>
  <si>
    <t>Document cloud cost monitoring, budgets, alerts, forecasting and FinOps practices, assign RACI, define minimum controls/KPIs and collect evidence across the main business units or sites.</t>
  </si>
  <si>
    <t>Standardize cloud cost monitoring, budgets, alerts, forecasting and FinOps practices across the organization, close coverage gaps, link it to crisis scenarios and train accountable roles.</t>
  </si>
  <si>
    <t>Measure cloud cost monitoring, budgets, alerts, forecasting and FinOps practices, review it periodically, test it against disruption scenarios and integrate it with dependent processes or systems.</t>
  </si>
  <si>
    <t>Optimize and automate cloud cost monitoring, budgets, alerts, forecasting and FinOps practices where practical, use leading indicators, run periodic stress tests and update the crisis playbook.</t>
  </si>
  <si>
    <t>Maintain maturity for cloud cost monitoring, budgets, alerts, forecasting and FinOps practices. Monitor drift, keep evidence current, benchmark externally and refresh tests after major changes.</t>
  </si>
  <si>
    <t>IT Cloud DR!14</t>
  </si>
  <si>
    <t>Establish a basic owner and inventory for cloud security posture management for public exposure, encryption, logging, secrets and misconfigurations. Define minimum policy, evidence location and immediate crisis relevance.</t>
  </si>
  <si>
    <t>Document cloud security posture management for public exposure, encryption, logging, secrets and misconfigurations, assign RACI, define minimum controls/KPIs and collect evidence across the main business units or sites.</t>
  </si>
  <si>
    <t>Standardize cloud security posture management for public exposure, encryption, logging, secrets and misconfigurations across the organization, close coverage gaps, link it to crisis scenarios and train accountable roles.</t>
  </si>
  <si>
    <t>Measure cloud security posture management for public exposure, encryption, logging, secrets and misconfigurations, review it periodically, test it against disruption scenarios and integrate it with dependent processes or systems.</t>
  </si>
  <si>
    <t>Optimize and automate cloud security posture management for public exposure, encryption, logging, secrets and misconfigurations where practical, use leading indicators, run periodic stress tests and update the crisis playbook.</t>
  </si>
  <si>
    <t>Maintain maturity for cloud security posture management for public exposure, encryption, logging, secrets and misconfigurations. Monitor drift, keep evidence current, benchmark externally and refresh tests after major changes.</t>
  </si>
  <si>
    <t>IT Cloud DR!15</t>
  </si>
  <si>
    <t>Establish a basic owner and inventory for cloud backup and restore of configurations, data, infrastructure-as-code and managed services. Define minimum policy, evidence location and immediate crisis relevance.</t>
  </si>
  <si>
    <t>Document cloud backup and restore of configurations, data, infrastructure-as-code and managed services, assign RACI, define minimum controls/KPIs and collect evidence across the main business units or sites.</t>
  </si>
  <si>
    <t>Standardize cloud backup and restore of configurations, data, infrastructure-as-code and managed services across the organization, close coverage gaps, link it to crisis scenarios and train accountable roles.</t>
  </si>
  <si>
    <t>Measure cloud backup and restore of configurations, data, infrastructure-as-code and managed services, review it periodically, test it against disruption scenarios and integrate it with dependent processes or systems.</t>
  </si>
  <si>
    <t>Optimize and automate cloud backup and restore of configurations, data, infrastructure-as-code and managed services where practical, use leading indicators, run periodic stress tests and update the crisis playbook.</t>
  </si>
  <si>
    <t>Maintain maturity for cloud backup and restore of configurations, data, infrastructure-as-code and managed services. Monitor drift, keep evidence current, benchmark externally and refresh tests after major changes.</t>
  </si>
  <si>
    <t>IT Cloud DR!16</t>
  </si>
  <si>
    <t>Establish a basic owner and inventory for backup coverage for systems, databases, files, SaaS data, configurations and cloud resources. Define minimum policy, evidence location and immediate crisis relevance.</t>
  </si>
  <si>
    <t>Document backup coverage for systems, databases, files, SaaS data, configurations and cloud resources, assign RACI, define minimum controls/KPIs and collect evidence across the main business units or sites.</t>
  </si>
  <si>
    <t>Standardize backup coverage for systems, databases, files, SaaS data, configurations and cloud resources across the organization, close coverage gaps, link it to crisis scenarios and train accountable roles.</t>
  </si>
  <si>
    <t>Measure backup coverage for systems, databases, files, SaaS data, configurations and cloud resources, review it periodically, test it against disruption scenarios and integrate it with dependent processes or systems.</t>
  </si>
  <si>
    <t>Optimize and automate backup coverage for systems, databases, files, SaaS data, configurations and cloud resources where practical, use leading indicators, run periodic stress tests and update the crisis playbook.</t>
  </si>
  <si>
    <t>Maintain maturity for backup coverage for systems, databases, files, SaaS data, configurations and cloud resources. Monitor drift, keep evidence current, benchmark externally and refresh tests after major changes.</t>
  </si>
  <si>
    <t>Reduces exposure to IT outage; Cloud outage; Data loss; Cyberattack; improves Resilience and DR maturity, continuity and management visibility.</t>
  </si>
  <si>
    <t>IT Cloud DR!17</t>
  </si>
  <si>
    <t>Establish a basic owner and inventory for regular restore testing against defined RTO and RPO. Define minimum policy, evidence location and immediate crisis relevance.</t>
  </si>
  <si>
    <t>Document regular restore testing against defined RTO and RPO, assign RACI, define minimum controls/KPIs and collect evidence across the main business units or sites.</t>
  </si>
  <si>
    <t>Standardize regular restore testing against defined RTO and RPO across the organization, close coverage gaps, link it to crisis scenarios and train accountable roles.</t>
  </si>
  <si>
    <t>Measure regular restore testing against defined RTO and RPO, review it periodically, test it against disruption scenarios and integrate it with dependent processes or systems.</t>
  </si>
  <si>
    <t>Optimize and automate regular restore testing against defined RTO and RPO where practical, use leading indicators, run periodic stress tests and update the crisis playbook.</t>
  </si>
  <si>
    <t>Maintain maturity for regular restore testing against defined RTO and RPO. Monitor drift, keep evidence current, benchmark externally and refresh tests after major changes.</t>
  </si>
  <si>
    <t>IT Cloud DR!18</t>
  </si>
  <si>
    <t>Establish a basic owner and inventory for DR runbooks for critical systems with owners, dependencies and communication rules. Define minimum policy, evidence location and immediate crisis relevance.</t>
  </si>
  <si>
    <t>Document DR runbooks for critical systems with owners, dependencies and communication rules, assign RACI, define minimum controls/KPIs and collect evidence across the main business units or sites.</t>
  </si>
  <si>
    <t>Standardize DR runbooks for critical systems with owners, dependencies and communication rules across the organization, close coverage gaps, link it to crisis scenarios and train accountable roles.</t>
  </si>
  <si>
    <t>Measure DR runbooks for critical systems with owners, dependencies and communication rules, review it periodically, test it against disruption scenarios and integrate it with dependent processes or systems.</t>
  </si>
  <si>
    <t>Optimize and automate DR runbooks for critical systems with owners, dependencies and communication rules where practical, use leading indicators, run periodic stress tests and update the crisis playbook.</t>
  </si>
  <si>
    <t>Maintain maturity for DR runbooks for critical systems with owners, dependencies and communication rules. Monitor drift, keep evidence current, benchmark externally and refresh tests after major changes.</t>
  </si>
  <si>
    <t>IT Cloud DR!19</t>
  </si>
  <si>
    <t>Establish a basic owner and inventory for DR exercises for ransomware, cloud region failure, identity outage and data corruption. Define minimum policy, evidence location and immediate crisis relevance.</t>
  </si>
  <si>
    <t>Document DR exercises for ransomware, cloud region failure, identity outage and data corruption, assign RACI, define minimum controls/KPIs and collect evidence across the main business units or sites.</t>
  </si>
  <si>
    <t>Standardize DR exercises for ransomware, cloud region failure, identity outage and data corruption across the organization, close coverage gaps, link it to crisis scenarios and train accountable roles.</t>
  </si>
  <si>
    <t>Measure DR exercises for ransomware, cloud region failure, identity outage and data corruption, review it periodically, test it against disruption scenarios and integrate it with dependent processes or systems.</t>
  </si>
  <si>
    <t>Optimize and automate DR exercises for ransomware, cloud region failure, identity outage and data corruption where practical, use leading indicators, run periodic stress tests and update the crisis playbook.</t>
  </si>
  <si>
    <t>Maintain maturity for DR exercises for ransomware, cloud region failure, identity outage and data corruption. Monitor drift, keep evidence current, benchmark externally and refresh tests after major changes.</t>
  </si>
  <si>
    <t>IT Cloud DR!20</t>
  </si>
  <si>
    <t>Establish a basic owner and inventory for manual fallback for critical IT-dependent business processes. Define minimum policy, evidence location and immediate crisis relevance.</t>
  </si>
  <si>
    <t>Document manual fallback for critical IT-dependent business processes, assign RACI, define minimum controls/KPIs and collect evidence across the main business units or sites.</t>
  </si>
  <si>
    <t>Standardize manual fallback for critical IT-dependent business processes across the organization, close coverage gaps, link it to crisis scenarios and train accountable roles.</t>
  </si>
  <si>
    <t>Measure manual fallback for critical IT-dependent business processes, review it periodically, test it against disruption scenarios and integrate it with dependent processes or systems.</t>
  </si>
  <si>
    <t>Optimize and automate manual fallback for critical IT-dependent business processes where practical, use leading indicators, run periodic stress tests and update the crisis playbook.</t>
  </si>
  <si>
    <t>Maintain maturity for manual fallback for critical IT-dependent business processes. Monitor drift, keep evidence current, benchmark externally and refresh tests after major changes.</t>
  </si>
  <si>
    <t>IT Cloud DR!21</t>
  </si>
  <si>
    <t>Establish a basic owner and inventory for on-call coverage, escalation and vendor support for critical systems. Define minimum policy, evidence location and immediate crisis relevance.</t>
  </si>
  <si>
    <t>Document on-call coverage, escalation and vendor support for critical systems, assign RACI, define minimum controls/KPIs and collect evidence across the main business units or sites.</t>
  </si>
  <si>
    <t>Standardize on-call coverage, escalation and vendor support for critical systems across the organization, close coverage gaps, link it to crisis scenarios and train accountable roles.</t>
  </si>
  <si>
    <t>Measure on-call coverage, escalation and vendor support for critical systems, review it periodically, test it against disruption scenarios and integrate it with dependent processes or systems.</t>
  </si>
  <si>
    <t>Optimize and automate on-call coverage, escalation and vendor support for critical systems where practical, use leading indicators, run periodic stress tests and update the crisis playbook.</t>
  </si>
  <si>
    <t>Maintain maturity for on-call coverage, escalation and vendor support for critical systems. Monitor drift, keep evidence current, benchmark externally and refresh tests after major changes.</t>
  </si>
  <si>
    <t>IT Cloud DR!22</t>
  </si>
  <si>
    <t>Establish a basic owner and inventory for IT service management for incidents, requests, problems, changes and assets. Define minimum policy, evidence location and immediate crisis relevance.</t>
  </si>
  <si>
    <t>Document IT service management for incidents, requests, problems, changes and assets, assign RACI, define minimum controls/KPIs and collect evidence across the main business units or sites.</t>
  </si>
  <si>
    <t>Standardize IT service management for incidents, requests, problems, changes and assets across the organization, close coverage gaps, link it to crisis scenarios and train accountable roles.</t>
  </si>
  <si>
    <t>Measure IT service management for incidents, requests, problems, changes and assets, review it periodically, test it against disruption scenarios and integrate it with dependent processes or systems.</t>
  </si>
  <si>
    <t>Optimize and automate IT service management for incidents, requests, problems, changes and assets where practical, use leading indicators, run periodic stress tests and update the crisis playbook.</t>
  </si>
  <si>
    <t>Maintain maturity for IT service management for incidents, requests, problems, changes and assets. Monitor drift, keep evidence current, benchmark externally and refresh tests after major changes.</t>
  </si>
  <si>
    <t>Reduces exposure to IT outage; Cloud outage; Data loss; Cyberattack; improves Operations maturity, continuity and management visibility.</t>
  </si>
  <si>
    <t>IT Cloud DR!23</t>
  </si>
  <si>
    <t>Establish a basic owner and inventory for monitoring and alerting for availability, performance, capacity, security and user impact. Define minimum policy, evidence location and immediate crisis relevance.</t>
  </si>
  <si>
    <t>Document monitoring and alerting for availability, performance, capacity, security and user impact, assign RACI, define minimum controls/KPIs and collect evidence across the main business units or sites.</t>
  </si>
  <si>
    <t>Standardize monitoring and alerting for availability, performance, capacity, security and user impact across the organization, close coverage gaps, link it to crisis scenarios and train accountable roles.</t>
  </si>
  <si>
    <t>Measure monitoring and alerting for availability, performance, capacity, security and user impact, review it periodically, test it against disruption scenarios and integrate it with dependent processes or systems.</t>
  </si>
  <si>
    <t>Optimize and automate monitoring and alerting for availability, performance, capacity, security and user impact where practical, use leading indicators, run periodic stress tests and update the crisis playbook.</t>
  </si>
  <si>
    <t>Maintain maturity for monitoring and alerting for availability, performance, capacity, security and user impact. Monitor drift, keep evidence current, benchmark externally and refresh tests after major changes.</t>
  </si>
  <si>
    <t>IT Cloud DR!24</t>
  </si>
  <si>
    <t>Establish a basic owner and inventory for network resilience for internet, DNS, firewalls, VPN/ZTNA, routing and telecom. Define minimum policy, evidence location and immediate crisis relevance.</t>
  </si>
  <si>
    <t>Document network resilience for internet, DNS, firewalls, VPN/ZTNA, routing and telecom, assign RACI, define minimum controls/KPIs and collect evidence across the main business units or sites.</t>
  </si>
  <si>
    <t>Standardize network resilience for internet, DNS, firewalls, VPN/ZTNA, routing and telecom across the organization, close coverage gaps, link it to crisis scenarios and train accountable roles.</t>
  </si>
  <si>
    <t>Measure network resilience for internet, DNS, firewalls, VPN/ZTNA, routing and telecom, review it periodically, test it against disruption scenarios and integrate it with dependent processes or systems.</t>
  </si>
  <si>
    <t>Optimize and automate network resilience for internet, DNS, firewalls, VPN/ZTNA, routing and telecom where practical, use leading indicators, run periodic stress tests and update the crisis playbook.</t>
  </si>
  <si>
    <t>Maintain maturity for network resilience for internet, DNS, firewalls, VPN/ZTNA, routing and telecom. Monitor drift, keep evidence current, benchmark externally and refresh tests after major changes.</t>
  </si>
  <si>
    <t>IT Cloud DR!25</t>
  </si>
  <si>
    <t>Establish a basic owner and inventory for secure remote access for critical users during remote-only operations. Define minimum policy, evidence location and immediate crisis relevance.</t>
  </si>
  <si>
    <t>Document secure remote access for critical users during remote-only operations, assign RACI, define minimum controls/KPIs and collect evidence across the main business units or sites.</t>
  </si>
  <si>
    <t>Standardize secure remote access for critical users during remote-only operations across the organization, close coverage gaps, link it to crisis scenarios and train accountable roles.</t>
  </si>
  <si>
    <t>Measure secure remote access for critical users during remote-only operations, review it periodically, test it against disruption scenarios and integrate it with dependent processes or systems.</t>
  </si>
  <si>
    <t>Optimize and automate secure remote access for critical users during remote-only operations where practical, use leading indicators, run periodic stress tests and update the crisis playbook.</t>
  </si>
  <si>
    <t>Maintain maturity for secure remote access for critical users during remote-only operations. Monitor drift, keep evidence current, benchmark externally and refresh tests after major changes.</t>
  </si>
  <si>
    <t>IT Cloud DR!26</t>
  </si>
  <si>
    <t>Establish a basic owner and inventory for endpoint inventory, patching, encryption, backup and remote management. Define minimum policy, evidence location and immediate crisis relevance.</t>
  </si>
  <si>
    <t>Document endpoint inventory, patching, encryption, backup and remote management, assign RACI, define minimum controls/KPIs and collect evidence across the main business units or sites.</t>
  </si>
  <si>
    <t>Standardize endpoint inventory, patching, encryption, backup and remote management across the organization, close coverage gaps, link it to crisis scenarios and train accountable roles.</t>
  </si>
  <si>
    <t>Measure endpoint inventory, patching, encryption, backup and remote management, review it periodically, test it against disruption scenarios and integrate it with dependent processes or systems.</t>
  </si>
  <si>
    <t>Optimize and automate endpoint inventory, patching, encryption, backup and remote management where practical, use leading indicators, run periodic stress tests and update the crisis playbook.</t>
  </si>
  <si>
    <t>Maintain maturity for endpoint inventory, patching, encryption, backup and remote management. Monitor drift, keep evidence current, benchmark externally and refresh tests after major changes.</t>
  </si>
  <si>
    <t>IT Cloud DR!27</t>
  </si>
  <si>
    <t>Establish a basic owner and inventory for license continuity for software, cloud services and critical SaaS tools. Define minimum policy, evidence location and immediate crisis relevance.</t>
  </si>
  <si>
    <t>Document license continuity for software, cloud services and critical SaaS tools, assign RACI, define minimum controls/KPIs and collect evidence across the main business units or sites.</t>
  </si>
  <si>
    <t>Standardize license continuity for software, cloud services and critical SaaS tools across the organization, close coverage gaps, link it to crisis scenarios and train accountable roles.</t>
  </si>
  <si>
    <t>Measure license continuity for software, cloud services and critical SaaS tools, review it periodically, test it against disruption scenarios and integrate it with dependent processes or systems.</t>
  </si>
  <si>
    <t>Optimize and automate license continuity for software, cloud services and critical SaaS tools where practical, use leading indicators, run periodic stress tests and update the crisis playbook.</t>
  </si>
  <si>
    <t>Maintain maturity for license continuity for software, cloud services and critical SaaS tools. Monitor drift, keep evidence current, benchmark externally and refresh tests after major changes.</t>
  </si>
  <si>
    <t>IT Cloud DR!28</t>
  </si>
  <si>
    <t>Establish a basic owner and inventory for critical SaaS assessment for availability, export, backup, admin access, integrations and contract continuity. Define minimum policy, evidence location and immediate crisis relevance.</t>
  </si>
  <si>
    <t>Document critical SaaS assessment for availability, export, backup, admin access, integrations and contract continuity, assign RACI, define minimum controls/KPIs and collect evidence across the main business units or sites.</t>
  </si>
  <si>
    <t>Standardize critical SaaS assessment for availability, export, backup, admin access, integrations and contract continuity across the organization, close coverage gaps, link it to crisis scenarios and train accountable roles.</t>
  </si>
  <si>
    <t>Measure critical SaaS assessment for availability, export, backup, admin access, integrations and contract continuity, review it periodically, test it against disruption scenarios and integrate it with dependent processes or systems.</t>
  </si>
  <si>
    <t>Optimize and automate critical SaaS assessment for availability, export, backup, admin access, integrations and contract continuity where practical, use leading indicators, run periodic stress tests and update the crisis playbook.</t>
  </si>
  <si>
    <t>Maintain maturity for critical SaaS assessment for availability, export, backup, admin access, integrations and contract continuity. Monitor drift, keep evidence current, benchmark externally and refresh tests after major changes.</t>
  </si>
  <si>
    <t>Reduces exposure to IT outage; Cloud outage; Data loss; Cyberattack; improves SaaS and integrations maturity, continuity and management visibility.</t>
  </si>
  <si>
    <t>IT Cloud DR!29</t>
  </si>
  <si>
    <t>Establish a basic owner and inventory for SaaS data backup or exportability if provider or account becomes unavailable. Define minimum policy, evidence location and immediate crisis relevance.</t>
  </si>
  <si>
    <t>Document SaaS data backup or exportability if provider or account becomes unavailable, assign RACI, define minimum controls/KPIs and collect evidence across the main business units or sites.</t>
  </si>
  <si>
    <t>Standardize SaaS data backup or exportability if provider or account becomes unavailable across the organization, close coverage gaps, link it to crisis scenarios and train accountable roles.</t>
  </si>
  <si>
    <t>Measure SaaS data backup or exportability if provider or account becomes unavailable, review it periodically, test it against disruption scenarios and integrate it with dependent processes or systems.</t>
  </si>
  <si>
    <t>Optimize and automate SaaS data backup or exportability if provider or account becomes unavailable where practical, use leading indicators, run periodic stress tests and update the crisis playbook.</t>
  </si>
  <si>
    <t>Maintain maturity for SaaS data backup or exportability if provider or account becomes unavailable. Monitor drift, keep evidence current, benchmark externally and refresh tests after major changes.</t>
  </si>
  <si>
    <t>IT Cloud DR!30</t>
  </si>
  <si>
    <t>Establish a basic owner and inventory for API, ETL, middleware, file exchange and manual integration catalog. Define minimum policy, evidence location and immediate crisis relevance.</t>
  </si>
  <si>
    <t>Document API, ETL, middleware, file exchange and manual integration catalog, assign RACI, define minimum controls/KPIs and collect evidence across the main business units or sites.</t>
  </si>
  <si>
    <t>Standardize API, ETL, middleware, file exchange and manual integration catalog across the organization, close coverage gaps, link it to crisis scenarios and train accountable roles.</t>
  </si>
  <si>
    <t>Measure API, ETL, middleware, file exchange and manual integration catalog, review it periodically, test it against disruption scenarios and integrate it with dependent processes or systems.</t>
  </si>
  <si>
    <t>Optimize and automate API, ETL, middleware, file exchange and manual integration catalog where practical, use leading indicators, run periodic stress tests and update the crisis playbook.</t>
  </si>
  <si>
    <t>Maintain maturity for API, ETL, middleware, file exchange and manual integration catalog. Monitor drift, keep evidence current, benchmark externally and refresh tests after major changes.</t>
  </si>
  <si>
    <t>IT Cloud DR!31</t>
  </si>
  <si>
    <t>Establish a basic owner and inventory for integration monitoring, retry, queue, reconciliation and fallback procedures. Define minimum policy, evidence location and immediate crisis relevance.</t>
  </si>
  <si>
    <t>Document integration monitoring, retry, queue, reconciliation and fallback procedures, assign RACI, define minimum controls/KPIs and collect evidence across the main business units or sites.</t>
  </si>
  <si>
    <t>Standardize integration monitoring, retry, queue, reconciliation and fallback procedures across the organization, close coverage gaps, link it to crisis scenarios and train accountable roles.</t>
  </si>
  <si>
    <t>Measure integration monitoring, retry, queue, reconciliation and fallback procedures, review it periodically, test it against disruption scenarios and integrate it with dependent processes or systems.</t>
  </si>
  <si>
    <t>Optimize and automate integration monitoring, retry, queue, reconciliation and fallback procedures where practical, use leading indicators, run periodic stress tests and update the crisis playbook.</t>
  </si>
  <si>
    <t>Maintain maturity for integration monitoring, retry, queue, reconciliation and fallback procedures. Monitor drift, keep evidence current, benchmark externally and refresh tests after major changes.</t>
  </si>
  <si>
    <t>IT Cloud DR!32</t>
  </si>
  <si>
    <t>Establish a basic owner and inventory for configuration management and version control for infrastructure, cloud and applications. Define minimum policy, evidence location and immediate crisis relevance.</t>
  </si>
  <si>
    <t>Document configuration management and version control for infrastructure, cloud and applications, assign RACI, define minimum controls/KPIs and collect evidence across the main business units or sites.</t>
  </si>
  <si>
    <t>Standardize configuration management and version control for infrastructure, cloud and applications across the organization, close coverage gaps, link it to crisis scenarios and train accountable roles.</t>
  </si>
  <si>
    <t>Measure configuration management and version control for infrastructure, cloud and applications, review it periodically, test it against disruption scenarios and integrate it with dependent processes or systems.</t>
  </si>
  <si>
    <t>Optimize and automate configuration management and version control for infrastructure, cloud and applications where practical, use leading indicators, run periodic stress tests and update the crisis playbook.</t>
  </si>
  <si>
    <t>Maintain maturity for configuration management and version control for infrastructure, cloud and applications. Monitor drift, keep evidence current, benchmark externally and refresh tests after major changes.</t>
  </si>
  <si>
    <t>IT Cloud DR!33</t>
  </si>
  <si>
    <t>Establish a basic owner and inventory for ERP process coverage for finance, procurement, inventory, orders, production or project accounting. Define minimum policy, evidence location and immediate crisis relevance.</t>
  </si>
  <si>
    <t>Document ERP process coverage for finance, procurement, inventory, orders, production or project accounting, assign RACI, define minimum controls/KPIs and collect evidence across the main business units or sites.</t>
  </si>
  <si>
    <t>Standardize ERP process coverage for finance, procurement, inventory, orders, production or project accounting across the organization, close coverage gaps, link it to crisis scenarios and train accountable roles.</t>
  </si>
  <si>
    <t>Measure ERP process coverage for finance, procurement, inventory, orders, production or project accounting, review it periodically, test it against disruption scenarios and integrate it with dependent processes or systems.</t>
  </si>
  <si>
    <t>Optimize and automate ERP process coverage for finance, procurement, inventory, orders, production or project accounting where practical, use leading indicators, run periodic stress tests and update the crisis playbook.</t>
  </si>
  <si>
    <t>Maintain maturity for ERP process coverage for finance, procurement, inventory, orders, production or project accounting. Monitor drift, keep evidence current, benchmark externally and refresh tests after major changes.</t>
  </si>
  <si>
    <t>Reduces exposure to IT outage; Decision failure; Process disruption; improves ERP maturity, continuity and management visibility.</t>
  </si>
  <si>
    <t>Business Systems!5</t>
  </si>
  <si>
    <t>Establish a basic owner and inventory for ERP master data governance for customers, suppliers, items, BOMs, chart of accounts, cost centers and pricing. Define minimum policy, evidence location and immediate crisis relevance.</t>
  </si>
  <si>
    <t>Document ERP master data governance for customers, suppliers, items, BOMs, chart of accounts, cost centers and pricing, assign RACI, define minimum controls/KPIs and collect evidence across the main business units or sites.</t>
  </si>
  <si>
    <t>Standardize ERP master data governance for customers, suppliers, items, BOMs, chart of accounts, cost centers and pricing across the organization, close coverage gaps, link it to crisis scenarios and train accountable roles.</t>
  </si>
  <si>
    <t>Measure ERP master data governance for customers, suppliers, items, BOMs, chart of accounts, cost centers and pricing, review it periodically, test it against disruption scenarios and integrate it with dependent processes or systems.</t>
  </si>
  <si>
    <t>Optimize and automate ERP master data governance for customers, suppliers, items, BOMs, chart of accounts, cost centers and pricing where practical, use leading indicators, run periodic stress tests and update the crisis playbook.</t>
  </si>
  <si>
    <t>Maintain maturity for ERP master data governance for customers, suppliers, items, BOMs, chart of accounts, cost centers and pricing. Monitor drift, keep evidence current, benchmark externally and refresh tests after major changes.</t>
  </si>
  <si>
    <t>Business Systems!6</t>
  </si>
  <si>
    <t>Establish a basic owner and inventory for ERP access controls, approvals and segregation of duties. Define minimum policy, evidence location and immediate crisis relevance.</t>
  </si>
  <si>
    <t>Document ERP access controls, approvals and segregation of duties, assign RACI, define minimum controls/KPIs and collect evidence across the main business units or sites.</t>
  </si>
  <si>
    <t>Standardize ERP access controls, approvals and segregation of duties across the organization, close coverage gaps, link it to crisis scenarios and train accountable roles.</t>
  </si>
  <si>
    <t>Measure ERP access controls, approvals and segregation of duties, review it periodically, test it against disruption scenarios and integrate it with dependent processes or systems.</t>
  </si>
  <si>
    <t>Optimize and automate ERP access controls, approvals and segregation of duties where practical, use leading indicators, run periodic stress tests and update the crisis playbook.</t>
  </si>
  <si>
    <t>Maintain maturity for ERP access controls, approvals and segregation of duties. Monitor drift, keep evidence current, benchmark externally and refresh tests after major changes.</t>
  </si>
  <si>
    <t>Business Systems!7</t>
  </si>
  <si>
    <t>Establish a basic owner and inventory for ERP continuity with RTO, RPO, backup, vendor support and manual fallback. Define minimum policy, evidence location and immediate crisis relevance.</t>
  </si>
  <si>
    <t>Document ERP continuity with RTO, RPO, backup, vendor support and manual fallback, assign RACI, define minimum controls/KPIs and collect evidence across the main business units or sites.</t>
  </si>
  <si>
    <t>Standardize ERP continuity with RTO, RPO, backup, vendor support and manual fallback across the organization, close coverage gaps, link it to crisis scenarios and train accountable roles.</t>
  </si>
  <si>
    <t>Measure ERP continuity with RTO, RPO, backup, vendor support and manual fallback, review it periodically, test it against disruption scenarios and integrate it with dependent processes or systems.</t>
  </si>
  <si>
    <t>Optimize and automate ERP continuity with RTO, RPO, backup, vendor support and manual fallback where practical, use leading indicators, run periodic stress tests and update the crisis playbook.</t>
  </si>
  <si>
    <t>Maintain maturity for ERP continuity with RTO, RPO, backup, vendor support and manual fallback. Monitor drift, keep evidence current, benchmark externally and refresh tests after major changes.</t>
  </si>
  <si>
    <t>Business Systems!8</t>
  </si>
  <si>
    <t>Establish a basic owner and inventory for ERP workflow for procure-to-pay, order-to-cash, record-to-report and plan-to-produce where relevant. Define minimum policy, evidence location and immediate crisis relevance.</t>
  </si>
  <si>
    <t>Document ERP workflow for procure-to-pay, order-to-cash, record-to-report and plan-to-produce where relevant, assign RACI, define minimum controls/KPIs and collect evidence across the main business units or sites.</t>
  </si>
  <si>
    <t>Standardize ERP workflow for procure-to-pay, order-to-cash, record-to-report and plan-to-produce where relevant across the organization, close coverage gaps, link it to crisis scenarios and train accountable roles.</t>
  </si>
  <si>
    <t>Measure ERP workflow for procure-to-pay, order-to-cash, record-to-report and plan-to-produce where relevant, review it periodically, test it against disruption scenarios and integrate it with dependent processes or systems.</t>
  </si>
  <si>
    <t>Optimize and automate ERP workflow for procure-to-pay, order-to-cash, record-to-report and plan-to-produce where relevant where practical, use leading indicators, run periodic stress tests and update the crisis playbook.</t>
  </si>
  <si>
    <t>Maintain maturity for ERP workflow for procure-to-pay, order-to-cash, record-to-report and plan-to-produce where relevant. Monitor drift, keep evidence current, benchmark externally and refresh tests after major changes.</t>
  </si>
  <si>
    <t>Business Systems!9</t>
  </si>
  <si>
    <t>Establish a basic owner and inventory for CRM process coverage for lead-to-cash, customer ownership, pipeline, forecast and account management. Define minimum policy, evidence location and immediate crisis relevance.</t>
  </si>
  <si>
    <t>Document CRM process coverage for lead-to-cash, customer ownership, pipeline, forecast and account management, assign RACI, define minimum controls/KPIs and collect evidence across the main business units or sites.</t>
  </si>
  <si>
    <t>Standardize CRM process coverage for lead-to-cash, customer ownership, pipeline, forecast and account management across the organization, close coverage gaps, link it to crisis scenarios and train accountable roles.</t>
  </si>
  <si>
    <t>Measure CRM process coverage for lead-to-cash, customer ownership, pipeline, forecast and account management, review it periodically, test it against disruption scenarios and integrate it with dependent processes or systems.</t>
  </si>
  <si>
    <t>Optimize and automate CRM process coverage for lead-to-cash, customer ownership, pipeline, forecast and account management where practical, use leading indicators, run periodic stress tests and update the crisis playbook.</t>
  </si>
  <si>
    <t>Maintain maturity for CRM process coverage for lead-to-cash, customer ownership, pipeline, forecast and account management. Monitor drift, keep evidence current, benchmark externally and refresh tests after major changes.</t>
  </si>
  <si>
    <t>Reduces exposure to IT outage; Decision failure; Process disruption; improves CRM and commerce maturity, continuity and management visibility.</t>
  </si>
  <si>
    <t>Business Systems!10</t>
  </si>
  <si>
    <t>Establish a basic owner and inventory for CRM integration with ERP, billing, support, ecommerce and marketing automation. Define minimum policy, evidence location and immediate crisis relevance.</t>
  </si>
  <si>
    <t>Document CRM integration with ERP, billing, support, ecommerce and marketing automation, assign RACI, define minimum controls/KPIs and collect evidence across the main business units or sites.</t>
  </si>
  <si>
    <t>Standardize CRM integration with ERP, billing, support, ecommerce and marketing automation across the organization, close coverage gaps, link it to crisis scenarios and train accountable roles.</t>
  </si>
  <si>
    <t>Measure CRM integration with ERP, billing, support, ecommerce and marketing automation, review it periodically, test it against disruption scenarios and integrate it with dependent processes or systems.</t>
  </si>
  <si>
    <t>Optimize and automate CRM integration with ERP, billing, support, ecommerce and marketing automation where practical, use leading indicators, run periodic stress tests and update the crisis playbook.</t>
  </si>
  <si>
    <t>Maintain maturity for CRM integration with ERP, billing, support, ecommerce and marketing automation. Monitor drift, keep evidence current, benchmark externally and refresh tests after major changes.</t>
  </si>
  <si>
    <t>Business Systems!11</t>
  </si>
  <si>
    <t>Establish a basic owner and inventory for ecommerce platform resilience for stock, orders, payments, taxes, fulfilment and customer notifications. Define minimum policy, evidence location and immediate crisis relevance.</t>
  </si>
  <si>
    <t>Document ecommerce platform resilience for stock, orders, payments, taxes, fulfilment and customer notifications, assign RACI, define minimum controls/KPIs and collect evidence across the main business units or sites.</t>
  </si>
  <si>
    <t>Standardize ecommerce platform resilience for stock, orders, payments, taxes, fulfilment and customer notifications across the organization, close coverage gaps, link it to crisis scenarios and train accountable roles.</t>
  </si>
  <si>
    <t>Measure ecommerce platform resilience for stock, orders, payments, taxes, fulfilment and customer notifications, review it periodically, test it against disruption scenarios and integrate it with dependent processes or systems.</t>
  </si>
  <si>
    <t>Optimize and automate ecommerce platform resilience for stock, orders, payments, taxes, fulfilment and customer notifications where practical, use leading indicators, run periodic stress tests and update the crisis playbook.</t>
  </si>
  <si>
    <t>Maintain maturity for ecommerce platform resilience for stock, orders, payments, taxes, fulfilment and customer notifications. Monitor drift, keep evidence current, benchmark externally and refresh tests after major changes.</t>
  </si>
  <si>
    <t>Business Systems!12</t>
  </si>
  <si>
    <t>Establish a basic owner and inventory for customer portal availability and data accuracy during disruption. Define minimum policy, evidence location and immediate crisis relevance.</t>
  </si>
  <si>
    <t>Document customer portal availability and data accuracy during disruption, assign RACI, define minimum controls/KPIs and collect evidence across the main business units or sites.</t>
  </si>
  <si>
    <t>Standardize customer portal availability and data accuracy during disruption across the organization, close coverage gaps, link it to crisis scenarios and train accountable roles.</t>
  </si>
  <si>
    <t>Measure customer portal availability and data accuracy during disruption, review it periodically, test it against disruption scenarios and integrate it with dependent processes or systems.</t>
  </si>
  <si>
    <t>Optimize and automate customer portal availability and data accuracy during disruption where practical, use leading indicators, run periodic stress tests and update the crisis playbook.</t>
  </si>
  <si>
    <t>Maintain maturity for customer portal availability and data accuracy during disruption. Monitor drift, keep evidence current, benchmark externally and refresh tests after major changes.</t>
  </si>
  <si>
    <t>Business Systems!13</t>
  </si>
  <si>
    <t>Establish a basic owner and inventory for MES support for production orders, execution, traceability, downtime, quality and labor. Define minimum policy, evidence location and immediate crisis relevance.</t>
  </si>
  <si>
    <t>Document MES support for production orders, execution, traceability, downtime, quality and labor, assign RACI, define minimum controls/KPIs and collect evidence across the main business units or sites.</t>
  </si>
  <si>
    <t>Standardize MES support for production orders, execution, traceability, downtime, quality and labor across the organization, close coverage gaps, link it to crisis scenarios and train accountable roles.</t>
  </si>
  <si>
    <t>Measure MES support for production orders, execution, traceability, downtime, quality and labor, review it periodically, test it against disruption scenarios and integrate it with dependent processes or systems.</t>
  </si>
  <si>
    <t>Optimize and automate MES support for production orders, execution, traceability, downtime, quality and labor where practical, use leading indicators, run periodic stress tests and update the crisis playbook.</t>
  </si>
  <si>
    <t>Maintain maturity for MES support for production orders, execution, traceability, downtime, quality and labor. Monitor drift, keep evidence current, benchmark externally and refresh tests after major changes.</t>
  </si>
  <si>
    <t>Reduces exposure to IT outage; Decision failure; Process disruption; improves MES WMS TMS maturity, continuity and management visibility.</t>
  </si>
  <si>
    <t>Business Systems!14</t>
  </si>
  <si>
    <t>Establish a basic owner and inventory for MES-ERP integration for orders, inventory consumption, output and quality data. Define minimum policy, evidence location and immediate crisis relevance.</t>
  </si>
  <si>
    <t>Document MES-ERP integration for orders, inventory consumption, output and quality data, assign RACI, define minimum controls/KPIs and collect evidence across the main business units or sites.</t>
  </si>
  <si>
    <t>Standardize MES-ERP integration for orders, inventory consumption, output and quality data across the organization, close coverage gaps, link it to crisis scenarios and train accountable roles.</t>
  </si>
  <si>
    <t>Measure MES-ERP integration for orders, inventory consumption, output and quality data, review it periodically, test it against disruption scenarios and integrate it with dependent processes or systems.</t>
  </si>
  <si>
    <t>Optimize and automate MES-ERP integration for orders, inventory consumption, output and quality data where practical, use leading indicators, run periodic stress tests and update the crisis playbook.</t>
  </si>
  <si>
    <t>Maintain maturity for MES-ERP integration for orders, inventory consumption, output and quality data. Monitor drift, keep evidence current, benchmark externally and refresh tests after major changes.</t>
  </si>
  <si>
    <t>Business Systems!15</t>
  </si>
  <si>
    <t>Establish a basic owner and inventory for WMS support for inventory movement, location, status, batch, picking, packing and cycle counts. Define minimum policy, evidence location and immediate crisis relevance.</t>
  </si>
  <si>
    <t>Document WMS support for inventory movement, location, status, batch, picking, packing and cycle counts, assign RACI, define minimum controls/KPIs and collect evidence across the main business units or sites.</t>
  </si>
  <si>
    <t>Standardize WMS support for inventory movement, location, status, batch, picking, packing and cycle counts across the organization, close coverage gaps, link it to crisis scenarios and train accountable roles.</t>
  </si>
  <si>
    <t>Measure WMS support for inventory movement, location, status, batch, picking, packing and cycle counts, review it periodically, test it against disruption scenarios and integrate it with dependent processes or systems.</t>
  </si>
  <si>
    <t>Optimize and automate WMS support for inventory movement, location, status, batch, picking, packing and cycle counts where practical, use leading indicators, run periodic stress tests and update the crisis playbook.</t>
  </si>
  <si>
    <t>Maintain maturity for WMS support for inventory movement, location, status, batch, picking, packing and cycle counts. Monitor drift, keep evidence current, benchmark externally and refresh tests after major changes.</t>
  </si>
  <si>
    <t>Business Systems!16</t>
  </si>
  <si>
    <t>Establish a basic owner and inventory for TMS support for carrier booking, route planning, tracking and delivery visibility. Define minimum policy, evidence location and immediate crisis relevance.</t>
  </si>
  <si>
    <t>Document TMS support for carrier booking, route planning, tracking and delivery visibility, assign RACI, define minimum controls/KPIs and collect evidence across the main business units or sites.</t>
  </si>
  <si>
    <t>Standardize TMS support for carrier booking, route planning, tracking and delivery visibility across the organization, close coverage gaps, link it to crisis scenarios and train accountable roles.</t>
  </si>
  <si>
    <t>Measure TMS support for carrier booking, route planning, tracking and delivery visibility, review it periodically, test it against disruption scenarios and integrate it with dependent processes or systems.</t>
  </si>
  <si>
    <t>Optimize and automate TMS support for carrier booking, route planning, tracking and delivery visibility where practical, use leading indicators, run periodic stress tests and update the crisis playbook.</t>
  </si>
  <si>
    <t>Maintain maturity for TMS support for carrier booking, route planning, tracking and delivery visibility. Monitor drift, keep evidence current, benchmark externally and refresh tests after major changes.</t>
  </si>
  <si>
    <t>Business Systems!17</t>
  </si>
  <si>
    <t>Establish a basic owner and inventory for HRMS coverage for employee records, roles, skills, absence, payroll inputs and emergency contacts. Define minimum policy, evidence location and immediate crisis relevance.</t>
  </si>
  <si>
    <t>Document HRMS coverage for employee records, roles, skills, absence, payroll inputs and emergency contacts, assign RACI, define minimum controls/KPIs and collect evidence across the main business units or sites.</t>
  </si>
  <si>
    <t>Standardize HRMS coverage for employee records, roles, skills, absence, payroll inputs and emergency contacts across the organization, close coverage gaps, link it to crisis scenarios and train accountable roles.</t>
  </si>
  <si>
    <t>Measure HRMS coverage for employee records, roles, skills, absence, payroll inputs and emergency contacts, review it periodically, test it against disruption scenarios and integrate it with dependent processes or systems.</t>
  </si>
  <si>
    <t>Optimize and automate HRMS coverage for employee records, roles, skills, absence, payroll inputs and emergency contacts where practical, use leading indicators, run periodic stress tests and update the crisis playbook.</t>
  </si>
  <si>
    <t>Maintain maturity for HRMS coverage for employee records, roles, skills, absence, payroll inputs and emergency contacts. Monitor drift, keep evidence current, benchmark externally and refresh tests after major changes.</t>
  </si>
  <si>
    <t>Reduces exposure to IT outage; Decision failure; Process disruption; improves HRMS and finance systems maturity, continuity and management visibility.</t>
  </si>
  <si>
    <t>Business Systems!18</t>
  </si>
  <si>
    <t>Establish a basic owner and inventory for HRMS data quality for employee location, manager, emergency contacts and criticality. Define minimum policy, evidence location and immediate crisis relevance.</t>
  </si>
  <si>
    <t>Document HRMS data quality for employee location, manager, emergency contacts and criticality, assign RACI, define minimum controls/KPIs and collect evidence across the main business units or sites.</t>
  </si>
  <si>
    <t>Standardize HRMS data quality for employee location, manager, emergency contacts and criticality across the organization, close coverage gaps, link it to crisis scenarios and train accountable roles.</t>
  </si>
  <si>
    <t>Measure HRMS data quality for employee location, manager, emergency contacts and criticality, review it periodically, test it against disruption scenarios and integrate it with dependent processes or systems.</t>
  </si>
  <si>
    <t>Optimize and automate HRMS data quality for employee location, manager, emergency contacts and criticality where practical, use leading indicators, run periodic stress tests and update the crisis playbook.</t>
  </si>
  <si>
    <t>Maintain maturity for HRMS data quality for employee location, manager, emergency contacts and criticality. Monitor drift, keep evidence current, benchmark externally and refresh tests after major changes.</t>
  </si>
  <si>
    <t>Business Systems!19</t>
  </si>
  <si>
    <t>Establish a basic owner and inventory for finance, banking, expense, payroll and procurement system integration or reconciliation. Define minimum policy, evidence location and immediate crisis relevance.</t>
  </si>
  <si>
    <t>Document finance, banking, expense, payroll and procurement system integration or reconciliation, assign RACI, define minimum controls/KPIs and collect evidence across the main business units or sites.</t>
  </si>
  <si>
    <t>Standardize finance, banking, expense, payroll and procurement system integration or reconciliation across the organization, close coverage gaps, link it to crisis scenarios and train accountable roles.</t>
  </si>
  <si>
    <t>Measure finance, banking, expense, payroll and procurement system integration or reconciliation, review it periodically, test it against disruption scenarios and integrate it with dependent processes or systems.</t>
  </si>
  <si>
    <t>Optimize and automate finance, banking, expense, payroll and procurement system integration or reconciliation where practical, use leading indicators, run periodic stress tests and update the crisis playbook.</t>
  </si>
  <si>
    <t>Maintain maturity for finance, banking, expense, payroll and procurement system integration or reconciliation. Monitor drift, keep evidence current, benchmark externally and refresh tests after major changes.</t>
  </si>
  <si>
    <t>Business Systems!20</t>
  </si>
  <si>
    <t>Establish a basic owner and inventory for payroll system continuity and manual payroll fallback. Define minimum policy, evidence location and immediate crisis relevance.</t>
  </si>
  <si>
    <t>Document payroll system continuity and manual payroll fallback, assign RACI, define minimum controls/KPIs and collect evidence across the main business units or sites.</t>
  </si>
  <si>
    <t>Standardize payroll system continuity and manual payroll fallback across the organization, close coverage gaps, link it to crisis scenarios and train accountable roles.</t>
  </si>
  <si>
    <t>Measure payroll system continuity and manual payroll fallback, review it periodically, test it against disruption scenarios and integrate it with dependent processes or systems.</t>
  </si>
  <si>
    <t>Optimize and automate payroll system continuity and manual payroll fallback where practical, use leading indicators, run periodic stress tests and update the crisis playbook.</t>
  </si>
  <si>
    <t>Maintain maturity for payroll system continuity and manual payroll fallback. Monitor drift, keep evidence current, benchmark externally and refresh tests after major changes.</t>
  </si>
  <si>
    <t>Business Systems!21</t>
  </si>
  <si>
    <t>Establish a basic owner and inventory for system ownership with business owner, technical owner, data owner and support owner. Define minimum policy, evidence location and immediate crisis relevance.</t>
  </si>
  <si>
    <t>Document system ownership with business owner, technical owner, data owner and support owner, assign RACI, define minimum controls/KPIs and collect evidence across the main business units or sites.</t>
  </si>
  <si>
    <t>Standardize system ownership with business owner, technical owner, data owner and support owner across the organization, close coverage gaps, link it to crisis scenarios and train accountable roles.</t>
  </si>
  <si>
    <t>Measure system ownership with business owner, technical owner, data owner and support owner, review it periodically, test it against disruption scenarios and integrate it with dependent processes or systems.</t>
  </si>
  <si>
    <t>Optimize and automate system ownership with business owner, technical owner, data owner and support owner where practical, use leading indicators, run periodic stress tests and update the crisis playbook.</t>
  </si>
  <si>
    <t>Maintain maturity for system ownership with business owner, technical owner, data owner and support owner. Monitor drift, keep evidence current, benchmark externally and refresh tests after major changes.</t>
  </si>
  <si>
    <t>Reduces exposure to IT outage; Decision failure; Process disruption; improves Governance and lifecycle maturity, continuity and management visibility.</t>
  </si>
  <si>
    <t>Business Systems!22</t>
  </si>
  <si>
    <t>Establish a basic owner and inventory for critical system lifecycle review for fit, cost, risk, security, scalability and replacement needs. Define minimum policy, evidence location and immediate crisis relevance.</t>
  </si>
  <si>
    <t>Document critical system lifecycle review for fit, cost, risk, security, scalability and replacement needs, assign RACI, define minimum controls/KPIs and collect evidence across the main business units or sites.</t>
  </si>
  <si>
    <t>Standardize critical system lifecycle review for fit, cost, risk, security, scalability and replacement needs across the organization, close coverage gaps, link it to crisis scenarios and train accountable roles.</t>
  </si>
  <si>
    <t>Measure critical system lifecycle review for fit, cost, risk, security, scalability and replacement needs, review it periodically, test it against disruption scenarios and integrate it with dependent processes or systems.</t>
  </si>
  <si>
    <t>Optimize and automate critical system lifecycle review for fit, cost, risk, security, scalability and replacement needs where practical, use leading indicators, run periodic stress tests and update the crisis playbook.</t>
  </si>
  <si>
    <t>Maintain maturity for critical system lifecycle review for fit, cost, risk, security, scalability and replacement needs. Monitor drift, keep evidence current, benchmark externally and refresh tests after major changes.</t>
  </si>
  <si>
    <t>Business Systems!23</t>
  </si>
  <si>
    <t>Establish a basic owner and inventory for shadow IT inventory for business-critical spreadsheets, scripts, low-code apps and unmanaged SaaS. Define minimum policy, evidence location and immediate crisis relevance.</t>
  </si>
  <si>
    <t>Document shadow IT inventory for business-critical spreadsheets, scripts, low-code apps and unmanaged SaaS, assign RACI, define minimum controls/KPIs and collect evidence across the main business units or sites.</t>
  </si>
  <si>
    <t>Standardize shadow IT inventory for business-critical spreadsheets, scripts, low-code apps and unmanaged SaaS across the organization, close coverage gaps, link it to crisis scenarios and train accountable roles.</t>
  </si>
  <si>
    <t>Measure shadow IT inventory for business-critical spreadsheets, scripts, low-code apps and unmanaged SaaS, review it periodically, test it against disruption scenarios and integrate it with dependent processes or systems.</t>
  </si>
  <si>
    <t>Optimize and automate shadow IT inventory for business-critical spreadsheets, scripts, low-code apps and unmanaged SaaS where practical, use leading indicators, run periodic stress tests and update the crisis playbook.</t>
  </si>
  <si>
    <t>Maintain maturity for shadow IT inventory for business-critical spreadsheets, scripts, low-code apps and unmanaged SaaS. Monitor drift, keep evidence current, benchmark externally and refresh tests after major changes.</t>
  </si>
  <si>
    <t>Business Systems!24</t>
  </si>
  <si>
    <t>Establish a basic owner and inventory for admin account governance across ERP, CRM, HRMS, MES, BI and SaaS tools. Define minimum policy, evidence location and immediate crisis relevance.</t>
  </si>
  <si>
    <t>Document admin account governance across ERP, CRM, HRMS, MES, BI and SaaS tools, assign RACI, define minimum controls/KPIs and collect evidence across the main business units or sites.</t>
  </si>
  <si>
    <t>Standardize admin account governance across ERP, CRM, HRMS, MES, BI and SaaS tools across the organization, close coverage gaps, link it to crisis scenarios and train accountable roles.</t>
  </si>
  <si>
    <t>Measure admin account governance across ERP, CRM, HRMS, MES, BI and SaaS tools, review it periodically, test it against disruption scenarios and integrate it with dependent processes or systems.</t>
  </si>
  <si>
    <t>Optimize and automate admin account governance across ERP, CRM, HRMS, MES, BI and SaaS tools where practical, use leading indicators, run periodic stress tests and update the crisis playbook.</t>
  </si>
  <si>
    <t>Maintain maturity for admin account governance across ERP, CRM, HRMS, MES, BI and SaaS tools. Monitor drift, keep evidence current, benchmark externally and refresh tests after major changes.</t>
  </si>
  <si>
    <t>Business Systems!25</t>
  </si>
  <si>
    <t>Establish a basic owner and inventory for data portability and export procedures for critical systems. Define minimum policy, evidence location and immediate crisis relevance.</t>
  </si>
  <si>
    <t>Document data portability and export procedures for critical systems, assign RACI, define minimum controls/KPIs and collect evidence across the main business units or sites.</t>
  </si>
  <si>
    <t>Standardize data portability and export procedures for critical systems across the organization, close coverage gaps, link it to crisis scenarios and train accountable roles.</t>
  </si>
  <si>
    <t>Measure data portability and export procedures for critical systems, review it periodically, test it against disruption scenarios and integrate it with dependent processes or systems.</t>
  </si>
  <si>
    <t>Optimize and automate data portability and export procedures for critical systems where practical, use leading indicators, run periodic stress tests and update the crisis playbook.</t>
  </si>
  <si>
    <t>Maintain maturity for data portability and export procedures for critical systems. Monitor drift, keep evidence current, benchmark externally and refresh tests after major changes.</t>
  </si>
  <si>
    <t>Business Systems!26</t>
  </si>
  <si>
    <t>Establish a basic owner and inventory for configuration and customization documentation for critical business systems. Define minimum policy, evidence location and immediate crisis relevance.</t>
  </si>
  <si>
    <t>Document configuration and customization documentation for critical business systems, assign RACI, define minimum controls/KPIs and collect evidence across the main business units or sites.</t>
  </si>
  <si>
    <t>Standardize configuration and customization documentation for critical business systems across the organization, close coverage gaps, link it to crisis scenarios and train accountable roles.</t>
  </si>
  <si>
    <t>Measure configuration and customization documentation for critical business systems, review it periodically, test it against disruption scenarios and integrate it with dependent processes or systems.</t>
  </si>
  <si>
    <t>Optimize and automate configuration and customization documentation for critical business systems where practical, use leading indicators, run periodic stress tests and update the crisis playbook.</t>
  </si>
  <si>
    <t>Maintain maturity for configuration and customization documentation for critical business systems. Monitor drift, keep evidence current, benchmark externally and refresh tests after major changes.</t>
  </si>
  <si>
    <t>Business Systems!27</t>
  </si>
  <si>
    <t>Establish a basic owner and inventory for data owners and stewards for critical data domains. Define minimum policy, evidence location and immediate crisis relevance.</t>
  </si>
  <si>
    <t>Document data owners and stewards for critical data domains, assign RACI, define minimum controls/KPIs and collect evidence across the main business units or sites.</t>
  </si>
  <si>
    <t>Standardize data owners and stewards for critical data domains across the organization, close coverage gaps, link it to crisis scenarios and train accountable roles.</t>
  </si>
  <si>
    <t>Measure data owners and stewards for critical data domains, review it periodically, test it against disruption scenarios and integrate it with dependent processes or systems.</t>
  </si>
  <si>
    <t>Optimize and automate data owners and stewards for critical data domains where practical, use leading indicators, run periodic stress tests and update the crisis playbook.</t>
  </si>
  <si>
    <t>Maintain maturity for data owners and stewards for critical data domains. Monitor drift, keep evidence current, benchmark externally and refresh tests after major changes.</t>
  </si>
  <si>
    <t>Reduces exposure to Decision failure; Data loss; Regulatory/legal shock; improves Data governance maturity, continuity and management visibility.</t>
  </si>
  <si>
    <t>Data BI AI!5</t>
  </si>
  <si>
    <t>Establish a basic owner and inventory for data catalog of critical datasets, reports, dashboards, data sources and users. Define minimum policy, evidence location and immediate crisis relevance.</t>
  </si>
  <si>
    <t>Document data catalog of critical datasets, reports, dashboards, data sources and users, assign RACI, define minimum controls/KPIs and collect evidence across the main business units or sites.</t>
  </si>
  <si>
    <t>Standardize data catalog of critical datasets, reports, dashboards, data sources and users across the organization, close coverage gaps, link it to crisis scenarios and train accountable roles.</t>
  </si>
  <si>
    <t>Measure data catalog of critical datasets, reports, dashboards, data sources and users, review it periodically, test it against disruption scenarios and integrate it with dependent processes or systems.</t>
  </si>
  <si>
    <t>Optimize and automate data catalog of critical datasets, reports, dashboards, data sources and users where practical, use leading indicators, run periodic stress tests and update the crisis playbook.</t>
  </si>
  <si>
    <t>Maintain maturity for data catalog of critical datasets, reports, dashboards, data sources and users. Monitor drift, keep evidence current, benchmark externally and refresh tests after major changes.</t>
  </si>
  <si>
    <t>Data BI AI!6</t>
  </si>
  <si>
    <t>Establish a basic owner and inventory for consistent metric definitions across finance, sales, operations, HR, supply chain and manufacturing. Define minimum policy, evidence location and immediate crisis relevance.</t>
  </si>
  <si>
    <t>Document consistent metric definitions across finance, sales, operations, HR, supply chain and manufacturing, assign RACI, define minimum controls/KPIs and collect evidence across the main business units or sites.</t>
  </si>
  <si>
    <t>Standardize consistent metric definitions across finance, sales, operations, HR, supply chain and manufacturing across the organization, close coverage gaps, link it to crisis scenarios and train accountable roles.</t>
  </si>
  <si>
    <t>Measure consistent metric definitions across finance, sales, operations, HR, supply chain and manufacturing, review it periodically, test it against disruption scenarios and integrate it with dependent processes or systems.</t>
  </si>
  <si>
    <t>Optimize and automate consistent metric definitions across finance, sales, operations, HR, supply chain and manufacturing where practical, use leading indicators, run periodic stress tests and update the crisis playbook.</t>
  </si>
  <si>
    <t>Maintain maturity for consistent metric definitions across finance, sales, operations, HR, supply chain and manufacturing. Monitor drift, keep evidence current, benchmark externally and refresh tests after major changes.</t>
  </si>
  <si>
    <t>Data BI AI!7</t>
  </si>
  <si>
    <t>Establish a basic owner and inventory for data quality rules, monitoring and issue resolution process. Define minimum policy, evidence location and immediate crisis relevance.</t>
  </si>
  <si>
    <t>Document data quality rules, monitoring and issue resolution process, assign RACI, define minimum controls/KPIs and collect evidence across the main business units or sites.</t>
  </si>
  <si>
    <t>Standardize data quality rules, monitoring and issue resolution process across the organization, close coverage gaps, link it to crisis scenarios and train accountable roles.</t>
  </si>
  <si>
    <t>Measure data quality rules, monitoring and issue resolution process, review it periodically, test it against disruption scenarios and integrate it with dependent processes or systems.</t>
  </si>
  <si>
    <t>Optimize and automate data quality rules, monitoring and issue resolution process where practical, use leading indicators, run periodic stress tests and update the crisis playbook.</t>
  </si>
  <si>
    <t>Maintain maturity for data quality rules, monitoring and issue resolution process. Monitor drift, keep evidence current, benchmark externally and refresh tests after major changes.</t>
  </si>
  <si>
    <t>Data BI AI!8</t>
  </si>
  <si>
    <t>Establish a basic owner and inventory for data classification by sensitivity, business criticality, privacy and retention requirement. Define minimum policy, evidence location and immediate crisis relevance.</t>
  </si>
  <si>
    <t>Document data classification by sensitivity, business criticality, privacy and retention requirement, assign RACI, define minimum controls/KPIs and collect evidence across the main business units or sites.</t>
  </si>
  <si>
    <t>Standardize data classification by sensitivity, business criticality, privacy and retention requirement across the organization, close coverage gaps, link it to crisis scenarios and train accountable roles.</t>
  </si>
  <si>
    <t>Measure data classification by sensitivity, business criticality, privacy and retention requirement, review it periodically, test it against disruption scenarios and integrate it with dependent processes or systems.</t>
  </si>
  <si>
    <t>Optimize and automate data classification by sensitivity, business criticality, privacy and retention requirement where practical, use leading indicators, run periodic stress tests and update the crisis playbook.</t>
  </si>
  <si>
    <t>Maintain maturity for data classification by sensitivity, business criticality, privacy and retention requirement. Monitor drift, keep evidence current, benchmark externally and refresh tests after major changes.</t>
  </si>
  <si>
    <t>Data BI AI!9</t>
  </si>
  <si>
    <t>Establish a basic owner and inventory for data access governance for datasets, warehouses, BI reports and analytics workspaces. Define minimum policy, evidence location and immediate crisis relevance.</t>
  </si>
  <si>
    <t>Document data access governance for datasets, warehouses, BI reports and analytics workspaces, assign RACI, define minimum controls/KPIs and collect evidence across the main business units or sites.</t>
  </si>
  <si>
    <t>Standardize data access governance for datasets, warehouses, BI reports and analytics workspaces across the organization, close coverage gaps, link it to crisis scenarios and train accountable roles.</t>
  </si>
  <si>
    <t>Measure data access governance for datasets, warehouses, BI reports and analytics workspaces, review it periodically, test it against disruption scenarios and integrate it with dependent processes or systems.</t>
  </si>
  <si>
    <t>Optimize and automate data access governance for datasets, warehouses, BI reports and analytics workspaces where practical, use leading indicators, run periodic stress tests and update the crisis playbook.</t>
  </si>
  <si>
    <t>Maintain maturity for data access governance for datasets, warehouses, BI reports and analytics workspaces. Monitor drift, keep evidence current, benchmark externally and refresh tests after major changes.</t>
  </si>
  <si>
    <t>Data BI AI!10</t>
  </si>
  <si>
    <t>Establish a basic owner and inventory for data architecture from source systems to warehouse, lake, BI, AI models and reports. Define minimum policy, evidence location and immediate crisis relevance.</t>
  </si>
  <si>
    <t>Document data architecture from source systems to warehouse, lake, BI, AI models and reports, assign RACI, define minimum controls/KPIs and collect evidence across the main business units or sites.</t>
  </si>
  <si>
    <t>Standardize data architecture from source systems to warehouse, lake, BI, AI models and reports across the organization, close coverage gaps, link it to crisis scenarios and train accountable roles.</t>
  </si>
  <si>
    <t>Measure data architecture from source systems to warehouse, lake, BI, AI models and reports, review it periodically, test it against disruption scenarios and integrate it with dependent processes or systems.</t>
  </si>
  <si>
    <t>Optimize and automate data architecture from source systems to warehouse, lake, BI, AI models and reports where practical, use leading indicators, run periodic stress tests and update the crisis playbook.</t>
  </si>
  <si>
    <t>Maintain maturity for data architecture from source systems to warehouse, lake, BI, AI models and reports. Monitor drift, keep evidence current, benchmark externally and refresh tests after major changes.</t>
  </si>
  <si>
    <t>Reduces exposure to Decision failure; Data loss; Regulatory/legal shock; improves Data architecture maturity, continuity and management visibility.</t>
  </si>
  <si>
    <t>Data BI AI!11</t>
  </si>
  <si>
    <t>Establish a basic owner and inventory for ETL or ELT monitoring for failures, latency, completeness and reconciliation. Define minimum policy, evidence location and immediate crisis relevance.</t>
  </si>
  <si>
    <t>Document ETL or ELT monitoring for failures, latency, completeness and reconciliation, assign RACI, define minimum controls/KPIs and collect evidence across the main business units or sites.</t>
  </si>
  <si>
    <t>Standardize ETL or ELT monitoring for failures, latency, completeness and reconciliation across the organization, close coverage gaps, link it to crisis scenarios and train accountable roles.</t>
  </si>
  <si>
    <t>Measure ETL or ELT monitoring for failures, latency, completeness and reconciliation, review it periodically, test it against disruption scenarios and integrate it with dependent processes or systems.</t>
  </si>
  <si>
    <t>Optimize and automate ETL or ELT monitoring for failures, latency, completeness and reconciliation where practical, use leading indicators, run periodic stress tests and update the crisis playbook.</t>
  </si>
  <si>
    <t>Maintain maturity for ETL or ELT monitoring for failures, latency, completeness and reconciliation. Monitor drift, keep evidence current, benchmark externally and refresh tests after major changes.</t>
  </si>
  <si>
    <t>Data BI AI!12</t>
  </si>
  <si>
    <t>Establish a basic owner and inventory for data lineage for critical KPIs, regulatory reports and board dashboards. Define minimum policy, evidence location and immediate crisis relevance.</t>
  </si>
  <si>
    <t>Document data lineage for critical KPIs, regulatory reports and board dashboards, assign RACI, define minimum controls/KPIs and collect evidence across the main business units or sites.</t>
  </si>
  <si>
    <t>Standardize data lineage for critical KPIs, regulatory reports and board dashboards across the organization, close coverage gaps, link it to crisis scenarios and train accountable roles.</t>
  </si>
  <si>
    <t>Measure data lineage for critical KPIs, regulatory reports and board dashboards, review it periodically, test it against disruption scenarios and integrate it with dependent processes or systems.</t>
  </si>
  <si>
    <t>Optimize and automate data lineage for critical KPIs, regulatory reports and board dashboards where practical, use leading indicators, run periodic stress tests and update the crisis playbook.</t>
  </si>
  <si>
    <t>Maintain maturity for data lineage for critical KPIs, regulatory reports and board dashboards. Monitor drift, keep evidence current, benchmark externally and refresh tests after major changes.</t>
  </si>
  <si>
    <t>Data BI AI!13</t>
  </si>
  <si>
    <t>Establish a basic owner and inventory for backup and recovery for critical datasets, warehouses, BI content and analytics code. Define minimum policy, evidence location and immediate crisis relevance.</t>
  </si>
  <si>
    <t>Document backup and recovery for critical datasets, warehouses, BI content and analytics code, assign RACI, define minimum controls/KPIs and collect evidence across the main business units or sites.</t>
  </si>
  <si>
    <t>Standardize backup and recovery for critical datasets, warehouses, BI content and analytics code across the organization, close coverage gaps, link it to crisis scenarios and train accountable roles.</t>
  </si>
  <si>
    <t>Measure backup and recovery for critical datasets, warehouses, BI content and analytics code, review it periodically, test it against disruption scenarios and integrate it with dependent processes or systems.</t>
  </si>
  <si>
    <t>Optimize and automate backup and recovery for critical datasets, warehouses, BI content and analytics code where practical, use leading indicators, run periodic stress tests and update the crisis playbook.</t>
  </si>
  <si>
    <t>Maintain maturity for backup and recovery for critical datasets, warehouses, BI content and analytics code. Monitor drift, keep evidence current, benchmark externally and refresh tests after major changes.</t>
  </si>
  <si>
    <t>Data BI AI!14</t>
  </si>
  <si>
    <t>Establish a basic owner and inventory for retention and deletion rules for structured and unstructured data. Define minimum policy, evidence location and immediate crisis relevance.</t>
  </si>
  <si>
    <t>Document retention and deletion rules for structured and unstructured data, assign RACI, define minimum controls/KPIs and collect evidence across the main business units or sites.</t>
  </si>
  <si>
    <t>Standardize retention and deletion rules for structured and unstructured data across the organization, close coverage gaps, link it to crisis scenarios and train accountable roles.</t>
  </si>
  <si>
    <t>Measure retention and deletion rules for structured and unstructured data, review it periodically, test it against disruption scenarios and integrate it with dependent processes or systems.</t>
  </si>
  <si>
    <t>Optimize and automate retention and deletion rules for structured and unstructured data where practical, use leading indicators, run periodic stress tests and update the crisis playbook.</t>
  </si>
  <si>
    <t>Maintain maturity for retention and deletion rules for structured and unstructured data. Monitor drift, keep evidence current, benchmark externally and refresh tests after major changes.</t>
  </si>
  <si>
    <t>Data BI AI!15</t>
  </si>
  <si>
    <t>Establish a basic owner and inventory for external data source validation for quality, licensing, availability and continuity. Define minimum policy, evidence location and immediate crisis relevance.</t>
  </si>
  <si>
    <t>Document external data source validation for quality, licensing, availability and continuity, assign RACI, define minimum controls/KPIs and collect evidence across the main business units or sites.</t>
  </si>
  <si>
    <t>Standardize external data source validation for quality, licensing, availability and continuity across the organization, close coverage gaps, link it to crisis scenarios and train accountable roles.</t>
  </si>
  <si>
    <t>Measure external data source validation for quality, licensing, availability and continuity, review it periodically, test it against disruption scenarios and integrate it with dependent processes or systems.</t>
  </si>
  <si>
    <t>Optimize and automate external data source validation for quality, licensing, availability and continuity where practical, use leading indicators, run periodic stress tests and update the crisis playbook.</t>
  </si>
  <si>
    <t>Maintain maturity for external data source validation for quality, licensing, availability and continuity. Monitor drift, keep evidence current, benchmark externally and refresh tests after major changes.</t>
  </si>
  <si>
    <t>Data BI AI!16</t>
  </si>
  <si>
    <t>Establish a basic owner and inventory for executive dashboards for crisis KPIs such as cash, workforce, supply, delivery, revenue and incidents. Define minimum policy, evidence location and immediate crisis relevance.</t>
  </si>
  <si>
    <t>Document executive dashboards for crisis KPIs such as cash, workforce, supply, delivery, revenue and incidents, assign RACI, define minimum controls/KPIs and collect evidence across the main business units or sites.</t>
  </si>
  <si>
    <t>Standardize executive dashboards for crisis KPIs such as cash, workforce, supply, delivery, revenue and incidents across the organization, close coverage gaps, link it to crisis scenarios and train accountable roles.</t>
  </si>
  <si>
    <t>Measure executive dashboards for crisis KPIs such as cash, workforce, supply, delivery, revenue and incidents, review it periodically, test it against disruption scenarios and integrate it with dependent processes or systems.</t>
  </si>
  <si>
    <t>Optimize and automate executive dashboards for crisis KPIs such as cash, workforce, supply, delivery, revenue and incidents where practical, use leading indicators, run periodic stress tests and update the crisis playbook.</t>
  </si>
  <si>
    <t>Maintain maturity for executive dashboards for crisis KPIs such as cash, workforce, supply, delivery, revenue and incidents. Monitor drift, keep evidence current, benchmark externally and refresh tests after major changes.</t>
  </si>
  <si>
    <t>Reduces exposure to Decision failure; Data loss; Regulatory/legal shock; improves BI and analytics maturity, continuity and management visibility.</t>
  </si>
  <si>
    <t>Data BI AI!17</t>
  </si>
  <si>
    <t>Establish a basic owner and inventory for operational dashboards for daily management and crisis response. Define minimum policy, evidence location and immediate crisis relevance.</t>
  </si>
  <si>
    <t>Document operational dashboards for daily management and crisis response, assign RACI, define minimum controls/KPIs and collect evidence across the main business units or sites.</t>
  </si>
  <si>
    <t>Standardize operational dashboards for daily management and crisis response across the organization, close coverage gaps, link it to crisis scenarios and train accountable roles.</t>
  </si>
  <si>
    <t>Measure operational dashboards for daily management and crisis response, review it periodically, test it against disruption scenarios and integrate it with dependent processes or systems.</t>
  </si>
  <si>
    <t>Optimize and automate operational dashboards for daily management and crisis response where practical, use leading indicators, run periodic stress tests and update the crisis playbook.</t>
  </si>
  <si>
    <t>Maintain maturity for operational dashboards for daily management and crisis response. Monitor drift, keep evidence current, benchmark externally and refresh tests after major changes.</t>
  </si>
  <si>
    <t>Data BI AI!18</t>
  </si>
  <si>
    <t>Establish a basic owner and inventory for single source of truth for critical reports instead of manually reconciled spreadsheets. Define minimum policy, evidence location and immediate crisis relevance.</t>
  </si>
  <si>
    <t>Document single source of truth for critical reports instead of manually reconciled spreadsheets, assign RACI, define minimum controls/KPIs and collect evidence across the main business units or sites.</t>
  </si>
  <si>
    <t>Standardize single source of truth for critical reports instead of manually reconciled spreadsheets across the organization, close coverage gaps, link it to crisis scenarios and train accountable roles.</t>
  </si>
  <si>
    <t>Measure single source of truth for critical reports instead of manually reconciled spreadsheets, review it periodically, test it against disruption scenarios and integrate it with dependent processes or systems.</t>
  </si>
  <si>
    <t>Optimize and automate single source of truth for critical reports instead of manually reconciled spreadsheets where practical, use leading indicators, run periodic stress tests and update the crisis playbook.</t>
  </si>
  <si>
    <t>Maintain maturity for single source of truth for critical reports instead of manually reconciled spreadsheets. Monitor drift, keep evidence current, benchmark externally and refresh tests after major changes.</t>
  </si>
  <si>
    <t>Data BI AI!19</t>
  </si>
  <si>
    <t>Establish a basic owner and inventory for self-service analytics governance to avoid uncontrolled reporting. Define minimum policy, evidence location and immediate crisis relevance.</t>
  </si>
  <si>
    <t>Document self-service analytics governance to avoid uncontrolled reporting, assign RACI, define minimum controls/KPIs and collect evidence across the main business units or sites.</t>
  </si>
  <si>
    <t>Standardize self-service analytics governance to avoid uncontrolled reporting across the organization, close coverage gaps, link it to crisis scenarios and train accountable roles.</t>
  </si>
  <si>
    <t>Measure self-service analytics governance to avoid uncontrolled reporting, review it periodically, test it against disruption scenarios and integrate it with dependent processes or systems.</t>
  </si>
  <si>
    <t>Optimize and automate self-service analytics governance to avoid uncontrolled reporting where practical, use leading indicators, run periodic stress tests and update the crisis playbook.</t>
  </si>
  <si>
    <t>Maintain maturity for self-service analytics governance to avoid uncontrolled reporting. Monitor drift, keep evidence current, benchmark externally and refresh tests after major changes.</t>
  </si>
  <si>
    <t>Data BI AI!20</t>
  </si>
  <si>
    <t>Establish a basic owner and inventory for rapid ad hoc crisis reporting without breaking data controls. Define minimum policy, evidence location and immediate crisis relevance.</t>
  </si>
  <si>
    <t>Document rapid ad hoc crisis reporting without breaking data controls, assign RACI, define minimum controls/KPIs and collect evidence across the main business units or sites.</t>
  </si>
  <si>
    <t>Standardize rapid ad hoc crisis reporting without breaking data controls across the organization, close coverage gaps, link it to crisis scenarios and train accountable roles.</t>
  </si>
  <si>
    <t>Measure rapid ad hoc crisis reporting without breaking data controls, review it periodically, test it against disruption scenarios and integrate it with dependent processes or systems.</t>
  </si>
  <si>
    <t>Optimize and automate rapid ad hoc crisis reporting without breaking data controls where practical, use leading indicators, run periodic stress tests and update the crisis playbook.</t>
  </si>
  <si>
    <t>Maintain maturity for rapid ad hoc crisis reporting without breaking data controls. Monitor drift, keep evidence current, benchmark externally and refresh tests after major changes.</t>
  </si>
  <si>
    <t>Data BI AI!21</t>
  </si>
  <si>
    <t>Establish a basic owner and inventory for data literacy of managers and employees interpreting KPIs, forecasts and analytics. Define minimum policy, evidence location and immediate crisis relevance.</t>
  </si>
  <si>
    <t>Document data literacy of managers and employees interpreting KPIs, forecasts and analytics, assign RACI, define minimum controls/KPIs and collect evidence across the main business units or sites.</t>
  </si>
  <si>
    <t>Standardize data literacy of managers and employees interpreting KPIs, forecasts and analytics across the organization, close coverage gaps, link it to crisis scenarios and train accountable roles.</t>
  </si>
  <si>
    <t>Measure data literacy of managers and employees interpreting KPIs, forecasts and analytics, review it periodically, test it against disruption scenarios and integrate it with dependent processes or systems.</t>
  </si>
  <si>
    <t>Optimize and automate data literacy of managers and employees interpreting KPIs, forecasts and analytics where practical, use leading indicators, run periodic stress tests and update the crisis playbook.</t>
  </si>
  <si>
    <t>Maintain maturity for data literacy of managers and employees interpreting KPIs, forecasts and analytics. Monitor drift, keep evidence current, benchmark externally and refresh tests after major changes.</t>
  </si>
  <si>
    <t>Data BI AI!22</t>
  </si>
  <si>
    <t>Establish a basic owner and inventory for forecasting capability for demand, cash, inventory, workforce, production, churn or supplier risk. Define minimum policy, evidence location and immediate crisis relevance.</t>
  </si>
  <si>
    <t>Document forecasting capability for demand, cash, inventory, workforce, production, churn or supplier risk, assign RACI, define minimum controls/KPIs and collect evidence across the main business units or sites.</t>
  </si>
  <si>
    <t>Standardize forecasting capability for demand, cash, inventory, workforce, production, churn or supplier risk across the organization, close coverage gaps, link it to crisis scenarios and train accountable roles.</t>
  </si>
  <si>
    <t>Measure forecasting capability for demand, cash, inventory, workforce, production, churn or supplier risk, review it periodically, test it against disruption scenarios and integrate it with dependent processes or systems.</t>
  </si>
  <si>
    <t>Optimize and automate forecasting capability for demand, cash, inventory, workforce, production, churn or supplier risk where practical, use leading indicators, run periodic stress tests and update the crisis playbook.</t>
  </si>
  <si>
    <t>Maintain maturity for forecasting capability for demand, cash, inventory, workforce, production, churn or supplier risk. Monitor drift, keep evidence current, benchmark externally and refresh tests after major changes.</t>
  </si>
  <si>
    <t>Reduces exposure to Decision failure; Data loss; Regulatory/legal shock; improves Forecasting and scenarios maturity, continuity and management visibility.</t>
  </si>
  <si>
    <t>Data BI AI!23</t>
  </si>
  <si>
    <t>Establish a basic owner and inventory for scenario modeling using sales, suppliers, workforce, cash, inventory and system downtime. Define minimum policy, evidence location and immediate crisis relevance.</t>
  </si>
  <si>
    <t>Document scenario modeling using sales, suppliers, workforce, cash, inventory and system downtime, assign RACI, define minimum controls/KPIs and collect evidence across the main business units or sites.</t>
  </si>
  <si>
    <t>Standardize scenario modeling using sales, suppliers, workforce, cash, inventory and system downtime across the organization, close coverage gaps, link it to crisis scenarios and train accountable roles.</t>
  </si>
  <si>
    <t>Measure scenario modeling using sales, suppliers, workforce, cash, inventory and system downtime, review it periodically, test it against disruption scenarios and integrate it with dependent processes or systems.</t>
  </si>
  <si>
    <t>Optimize and automate scenario modeling using sales, suppliers, workforce, cash, inventory and system downtime where practical, use leading indicators, run periodic stress tests and update the crisis playbook.</t>
  </si>
  <si>
    <t>Maintain maturity for scenario modeling using sales, suppliers, workforce, cash, inventory and system downtime. Monitor drift, keep evidence current, benchmark externally and refresh tests after major changes.</t>
  </si>
  <si>
    <t>Data BI AI!24</t>
  </si>
  <si>
    <t>Establish a basic owner and inventory for leading indicators and early warnings built from internal and external data. Define minimum policy, evidence location and immediate crisis relevance.</t>
  </si>
  <si>
    <t>Document leading indicators and early warnings built from internal and external data, assign RACI, define minimum controls/KPIs and collect evidence across the main business units or sites.</t>
  </si>
  <si>
    <t>Standardize leading indicators and early warnings built from internal and external data across the organization, close coverage gaps, link it to crisis scenarios and train accountable roles.</t>
  </si>
  <si>
    <t>Measure leading indicators and early warnings built from internal and external data, review it periodically, test it against disruption scenarios and integrate it with dependent processes or systems.</t>
  </si>
  <si>
    <t>Optimize and automate leading indicators and early warnings built from internal and external data where practical, use leading indicators, run periodic stress tests and update the crisis playbook.</t>
  </si>
  <si>
    <t>Maintain maturity for leading indicators and early warnings built from internal and external data. Monitor drift, keep evidence current, benchmark externally and refresh tests after major changes.</t>
  </si>
  <si>
    <t>Data BI AI!25</t>
  </si>
  <si>
    <t>Establish a basic owner and inventory for model validation and backtesting for forecasts and risk models. Define minimum policy, evidence location and immediate crisis relevance.</t>
  </si>
  <si>
    <t>Document model validation and backtesting for forecasts and risk models, assign RACI, define minimum controls/KPIs and collect evidence across the main business units or sites.</t>
  </si>
  <si>
    <t>Standardize model validation and backtesting for forecasts and risk models across the organization, close coverage gaps, link it to crisis scenarios and train accountable roles.</t>
  </si>
  <si>
    <t>Measure model validation and backtesting for forecasts and risk models, review it periodically, test it against disruption scenarios and integrate it with dependent processes or systems.</t>
  </si>
  <si>
    <t>Optimize and automate model validation and backtesting for forecasts and risk models where practical, use leading indicators, run periodic stress tests and update the crisis playbook.</t>
  </si>
  <si>
    <t>Maintain maturity for model validation and backtesting for forecasts and risk models. Monitor drift, keep evidence current, benchmark externally and refresh tests after major changes.</t>
  </si>
  <si>
    <t>Data BI AI!26</t>
  </si>
  <si>
    <t>Establish a basic owner and inventory for AI and analytics use case portfolio linked to business value, risk and feasibility. Define minimum policy, evidence location and immediate crisis relevance.</t>
  </si>
  <si>
    <t>Document AI and analytics use case portfolio linked to business value, risk and feasibility, assign RACI, define minimum controls/KPIs and collect evidence across the main business units or sites.</t>
  </si>
  <si>
    <t>Standardize AI and analytics use case portfolio linked to business value, risk and feasibility across the organization, close coverage gaps, link it to crisis scenarios and train accountable roles.</t>
  </si>
  <si>
    <t>Measure AI and analytics use case portfolio linked to business value, risk and feasibility, review it periodically, test it against disruption scenarios and integrate it with dependent processes or systems.</t>
  </si>
  <si>
    <t>Optimize and automate AI and analytics use case portfolio linked to business value, risk and feasibility where practical, use leading indicators, run periodic stress tests and update the crisis playbook.</t>
  </si>
  <si>
    <t>Maintain maturity for AI and analytics use case portfolio linked to business value, risk and feasibility. Monitor drift, keep evidence current, benchmark externally and refresh tests after major changes.</t>
  </si>
  <si>
    <t>Reduces exposure to Decision failure; Data loss; Regulatory/legal shock; improves AI readiness maturity, continuity and management visibility.</t>
  </si>
  <si>
    <t>Data BI AI!27</t>
  </si>
  <si>
    <t>Establish a basic owner and inventory for AI governance for privacy, security, explainability, bias, human oversight and model risk. Define minimum policy, evidence location and immediate crisis relevance.</t>
  </si>
  <si>
    <t>Document AI governance for privacy, security, explainability, bias, human oversight and model risk, assign RACI, define minimum controls/KPIs and collect evidence across the main business units or sites.</t>
  </si>
  <si>
    <t>Standardize AI governance for privacy, security, explainability, bias, human oversight and model risk across the organization, close coverage gaps, link it to crisis scenarios and train accountable roles.</t>
  </si>
  <si>
    <t>Measure AI governance for privacy, security, explainability, bias, human oversight and model risk, review it periodically, test it against disruption scenarios and integrate it with dependent processes or systems.</t>
  </si>
  <si>
    <t>Optimize and automate AI governance for privacy, security, explainability, bias, human oversight and model risk where practical, use leading indicators, run periodic stress tests and update the crisis playbook.</t>
  </si>
  <si>
    <t>Maintain maturity for AI governance for privacy, security, explainability, bias, human oversight and model risk. Monitor drift, keep evidence current, benchmark externally and refresh tests after major changes.</t>
  </si>
  <si>
    <t>Data BI AI!28</t>
  </si>
  <si>
    <t>Establish a basic owner and inventory for LLM usage policy covering data leakage, IP, accuracy, approval and acceptable use. Define minimum policy, evidence location and immediate crisis relevance.</t>
  </si>
  <si>
    <t>Document LLM usage policy covering data leakage, IP, accuracy, approval and acceptable use, assign RACI, define minimum controls/KPIs and collect evidence across the main business units or sites.</t>
  </si>
  <si>
    <t>Standardize LLM usage policy covering data leakage, IP, accuracy, approval and acceptable use across the organization, close coverage gaps, link it to crisis scenarios and train accountable roles.</t>
  </si>
  <si>
    <t>Measure LLM usage policy covering data leakage, IP, accuracy, approval and acceptable use, review it periodically, test it against disruption scenarios and integrate it with dependent processes or systems.</t>
  </si>
  <si>
    <t>Optimize and automate LLM usage policy covering data leakage, IP, accuracy, approval and acceptable use where practical, use leading indicators, run periodic stress tests and update the crisis playbook.</t>
  </si>
  <si>
    <t>Maintain maturity for LLM usage policy covering data leakage, IP, accuracy, approval and acceptable use. Monitor drift, keep evidence current, benchmark externally and refresh tests after major changes.</t>
  </si>
  <si>
    <t>Data BI AI!29</t>
  </si>
  <si>
    <t>Establish a basic owner and inventory for AI model register and monitoring for drift, accuracy, performance and business impact. Define minimum policy, evidence location and immediate crisis relevance.</t>
  </si>
  <si>
    <t>Document AI model register and monitoring for drift, accuracy, performance and business impact, assign RACI, define minimum controls/KPIs and collect evidence across the main business units or sites.</t>
  </si>
  <si>
    <t>Standardize AI model register and monitoring for drift, accuracy, performance and business impact across the organization, close coverage gaps, link it to crisis scenarios and train accountable roles.</t>
  </si>
  <si>
    <t>Measure AI model register and monitoring for drift, accuracy, performance and business impact, review it periodically, test it against disruption scenarios and integrate it with dependent processes or systems.</t>
  </si>
  <si>
    <t>Optimize and automate AI model register and monitoring for drift, accuracy, performance and business impact where practical, use leading indicators, run periodic stress tests and update the crisis playbook.</t>
  </si>
  <si>
    <t>Maintain maturity for AI model register and monitoring for drift, accuracy, performance and business impact. Monitor drift, keep evidence current, benchmark externally and refresh tests after major changes.</t>
  </si>
  <si>
    <t>Data BI AI!30</t>
  </si>
  <si>
    <t>Establish a basic owner and inventory for responsible AI controls for customer-facing, employee-facing and decision-support use cases. Define minimum policy, evidence location and immediate crisis relevance.</t>
  </si>
  <si>
    <t>Document responsible AI controls for customer-facing, employee-facing and decision-support use cases, assign RACI, define minimum controls/KPIs and collect evidence across the main business units or sites.</t>
  </si>
  <si>
    <t>Standardize responsible AI controls for customer-facing, employee-facing and decision-support use cases across the organization, close coverage gaps, link it to crisis scenarios and train accountable roles.</t>
  </si>
  <si>
    <t>Measure responsible AI controls for customer-facing, employee-facing and decision-support use cases, review it periodically, test it against disruption scenarios and integrate it with dependent processes or systems.</t>
  </si>
  <si>
    <t>Optimize and automate responsible AI controls for customer-facing, employee-facing and decision-support use cases where practical, use leading indicators, run periodic stress tests and update the crisis playbook.</t>
  </si>
  <si>
    <t>Maintain maturity for responsible AI controls for customer-facing, employee-facing and decision-support use cases. Monitor drift, keep evidence current, benchmark externally and refresh tests after major changes.</t>
  </si>
  <si>
    <t>Data BI AI!31</t>
  </si>
  <si>
    <t>Establish a basic owner and inventory for information security management system with policies, owners, risks and controls. Define minimum policy, evidence location and immediate crisis relevance.</t>
  </si>
  <si>
    <t>Document information security management system with policies, owners, risks and controls, assign RACI, define minimum controls/KPIs and collect evidence across the main business units or sites.</t>
  </si>
  <si>
    <t>Standardize information security management system with policies, owners, risks and controls across the organization, close coverage gaps, link it to crisis scenarios and train accountable roles.</t>
  </si>
  <si>
    <t>Measure information security management system with policies, owners, risks and controls, review it periodically, test it against disruption scenarios and integrate it with dependent processes or systems.</t>
  </si>
  <si>
    <t>Optimize and automate information security management system with policies, owners, risks and controls where practical, use leading indicators, run periodic stress tests and update the crisis playbook.</t>
  </si>
  <si>
    <t>Maintain maturity for information security management system with policies, owners, risks and controls. Monitor drift, keep evidence current, benchmark externally and refresh tests after major changes.</t>
  </si>
  <si>
    <t>Reduces exposure to Cyberattack; Data breach; Ransomware; Insider threat; improves Security governance maturity, continuity and management visibility.</t>
  </si>
  <si>
    <t>Cyber Privacy!5</t>
  </si>
  <si>
    <t>Establish a basic owner and inventory for cyber risk register linked to business impact and crisis scenarios. Define minimum policy, evidence location and immediate crisis relevance.</t>
  </si>
  <si>
    <t>Document cyber risk register linked to business impact and crisis scenarios, assign RACI, define minimum controls/KPIs and collect evidence across the main business units or sites.</t>
  </si>
  <si>
    <t>Standardize cyber risk register linked to business impact and crisis scenarios across the organization, close coverage gaps, link it to crisis scenarios and train accountable roles.</t>
  </si>
  <si>
    <t>Measure cyber risk register linked to business impact and crisis scenarios, review it periodically, test it against disruption scenarios and integrate it with dependent processes or systems.</t>
  </si>
  <si>
    <t>Optimize and automate cyber risk register linked to business impact and crisis scenarios where practical, use leading indicators, run periodic stress tests and update the crisis playbook.</t>
  </si>
  <si>
    <t>Maintain maturity for cyber risk register linked to business impact and crisis scenarios. Monitor drift, keep evidence current, benchmark externally and refresh tests after major changes.</t>
  </si>
  <si>
    <t>Cyber Privacy!6</t>
  </si>
  <si>
    <t>Establish a basic owner and inventory for security KPI reporting to leadership covering vulnerabilities, incidents, MFA, phishing, backups and access reviews. Define minimum policy, evidence location and immediate crisis relevance.</t>
  </si>
  <si>
    <t>Document security KPI reporting to leadership covering vulnerabilities, incidents, MFA, phishing, backups and access reviews, assign RACI, define minimum controls/KPIs and collect evidence across the main business units or sites.</t>
  </si>
  <si>
    <t>Standardize security KPI reporting to leadership covering vulnerabilities, incidents, MFA, phishing, backups and access reviews across the organization, close coverage gaps, link it to crisis scenarios and train accountable roles.</t>
  </si>
  <si>
    <t>Measure security KPI reporting to leadership covering vulnerabilities, incidents, MFA, phishing, backups and access reviews, review it periodically, test it against disruption scenarios and integrate it with dependent processes or systems.</t>
  </si>
  <si>
    <t>Optimize and automate security KPI reporting to leadership covering vulnerabilities, incidents, MFA, phishing, backups and access reviews where practical, use leading indicators, run periodic stress tests and update the crisis playbook.</t>
  </si>
  <si>
    <t>Maintain maturity for security KPI reporting to leadership covering vulnerabilities, incidents, MFA, phishing, backups and access reviews. Monitor drift, keep evidence current, benchmark externally and refresh tests after major changes.</t>
  </si>
  <si>
    <t>Cyber Privacy!7</t>
  </si>
  <si>
    <t>Establish a basic owner and inventory for security evidence readiness for customers, regulators, insurers and partners. Define minimum policy, evidence location and immediate crisis relevance.</t>
  </si>
  <si>
    <t>Document security evidence readiness for customers, regulators, insurers and partners, assign RACI, define minimum controls/KPIs and collect evidence across the main business units or sites.</t>
  </si>
  <si>
    <t>Standardize security evidence readiness for customers, regulators, insurers and partners across the organization, close coverage gaps, link it to crisis scenarios and train accountable roles.</t>
  </si>
  <si>
    <t>Measure security evidence readiness for customers, regulators, insurers and partners, review it periodically, test it against disruption scenarios and integrate it with dependent processes or systems.</t>
  </si>
  <si>
    <t>Optimize and automate security evidence readiness for customers, regulators, insurers and partners where practical, use leading indicators, run periodic stress tests and update the crisis playbook.</t>
  </si>
  <si>
    <t>Maintain maturity for security evidence readiness for customers, regulators, insurers and partners. Monitor drift, keep evidence current, benchmark externally and refresh tests after major changes.</t>
  </si>
  <si>
    <t>Cyber Privacy!8</t>
  </si>
  <si>
    <t>Establish a basic owner and inventory for third-party cyber risk assessment for critical vendors and outsourced services. Define minimum policy, evidence location and immediate crisis relevance.</t>
  </si>
  <si>
    <t>Document third-party cyber risk assessment for critical vendors and outsourced services, assign RACI, define minimum controls/KPIs and collect evidence across the main business units or sites.</t>
  </si>
  <si>
    <t>Standardize third-party cyber risk assessment for critical vendors and outsourced services across the organization, close coverage gaps, link it to crisis scenarios and train accountable roles.</t>
  </si>
  <si>
    <t>Measure third-party cyber risk assessment for critical vendors and outsourced services, review it periodically, test it against disruption scenarios and integrate it with dependent processes or systems.</t>
  </si>
  <si>
    <t>Optimize and automate third-party cyber risk assessment for critical vendors and outsourced services where practical, use leading indicators, run periodic stress tests and update the crisis playbook.</t>
  </si>
  <si>
    <t>Maintain maturity for third-party cyber risk assessment for critical vendors and outsourced services. Monitor drift, keep evidence current, benchmark externally and refresh tests after major changes.</t>
  </si>
  <si>
    <t>Cyber Privacy!9</t>
  </si>
  <si>
    <t>Establish a basic owner and inventory for security awareness and phishing training for employees and contractors. Define minimum policy, evidence location and immediate crisis relevance.</t>
  </si>
  <si>
    <t>Document security awareness and phishing training for employees and contractors, assign RACI, define minimum controls/KPIs and collect evidence across the main business units or sites.</t>
  </si>
  <si>
    <t>Standardize security awareness and phishing training for employees and contractors across the organization, close coverage gaps, link it to crisis scenarios and train accountable roles.</t>
  </si>
  <si>
    <t>Measure security awareness and phishing training for employees and contractors, review it periodically, test it against disruption scenarios and integrate it with dependent processes or systems.</t>
  </si>
  <si>
    <t>Optimize and automate security awareness and phishing training for employees and contractors where practical, use leading indicators, run periodic stress tests and update the crisis playbook.</t>
  </si>
  <si>
    <t>Maintain maturity for security awareness and phishing training for employees and contractors. Monitor drift, keep evidence current, benchmark externally and refresh tests after major changes.</t>
  </si>
  <si>
    <t>Cyber Privacy!10</t>
  </si>
  <si>
    <t>Establish a basic owner and inventory for joiner-mover-leaver access lifecycle across systems, SaaS and physical access. Define minimum policy, evidence location and immediate crisis relevance.</t>
  </si>
  <si>
    <t>Document joiner-mover-leaver access lifecycle across systems, SaaS and physical access, assign RACI, define minimum controls/KPIs and collect evidence across the main business units or sites.</t>
  </si>
  <si>
    <t>Standardize joiner-mover-leaver access lifecycle across systems, SaaS and physical access across the organization, close coverage gaps, link it to crisis scenarios and train accountable roles.</t>
  </si>
  <si>
    <t>Measure joiner-mover-leaver access lifecycle across systems, SaaS and physical access, review it periodically, test it against disruption scenarios and integrate it with dependent processes or systems.</t>
  </si>
  <si>
    <t>Optimize and automate joiner-mover-leaver access lifecycle across systems, SaaS and physical access where practical, use leading indicators, run periodic stress tests and update the crisis playbook.</t>
  </si>
  <si>
    <t>Maintain maturity for joiner-mover-leaver access lifecycle across systems, SaaS and physical access. Monitor drift, keep evidence current, benchmark externally and refresh tests after major changes.</t>
  </si>
  <si>
    <t>Reduces exposure to Cyberattack; Data breach; Ransomware; Insider threat; improves Identity and access maturity, continuity and management visibility.</t>
  </si>
  <si>
    <t>Cyber Privacy!11</t>
  </si>
  <si>
    <t>Establish a basic owner and inventory for MFA enforcement for email, cloud, VPN/ZTNA, admin accounts, finance systems and critical SaaS. Define minimum policy, evidence location and immediate crisis relevance.</t>
  </si>
  <si>
    <t>Document MFA enforcement for email, cloud, VPN/ZTNA, admin accounts, finance systems and critical SaaS, assign RACI, define minimum controls/KPIs and collect evidence across the main business units or sites.</t>
  </si>
  <si>
    <t>Standardize MFA enforcement for email, cloud, VPN/ZTNA, admin accounts, finance systems and critical SaaS across the organization, close coverage gaps, link it to crisis scenarios and train accountable roles.</t>
  </si>
  <si>
    <t>Measure MFA enforcement for email, cloud, VPN/ZTNA, admin accounts, finance systems and critical SaaS, review it periodically, test it against disruption scenarios and integrate it with dependent processes or systems.</t>
  </si>
  <si>
    <t>Optimize and automate MFA enforcement for email, cloud, VPN/ZTNA, admin accounts, finance systems and critical SaaS where practical, use leading indicators, run periodic stress tests and update the crisis playbook.</t>
  </si>
  <si>
    <t>Maintain maturity for MFA enforcement for email, cloud, VPN/ZTNA, admin accounts, finance systems and critical SaaS. Monitor drift, keep evidence current, benchmark externally and refresh tests after major changes.</t>
  </si>
  <si>
    <t>Cyber Privacy!12</t>
  </si>
  <si>
    <t>Establish a basic owner and inventory for privileged access management for admin accounts and superusers. Define minimum policy, evidence location and immediate crisis relevance.</t>
  </si>
  <si>
    <t>Document privileged access management for admin accounts and superusers, assign RACI, define minimum controls/KPIs and collect evidence across the main business units or sites.</t>
  </si>
  <si>
    <t>Standardize privileged access management for admin accounts and superusers across the organization, close coverage gaps, link it to crisis scenarios and train accountable roles.</t>
  </si>
  <si>
    <t>Measure privileged access management for admin accounts and superusers, review it periodically, test it against disruption scenarios and integrate it with dependent processes or systems.</t>
  </si>
  <si>
    <t>Optimize and automate privileged access management for admin accounts and superusers where practical, use leading indicators, run periodic stress tests and update the crisis playbook.</t>
  </si>
  <si>
    <t>Maintain maturity for privileged access management for admin accounts and superusers. Monitor drift, keep evidence current, benchmark externally and refresh tests after major changes.</t>
  </si>
  <si>
    <t>Cyber Privacy!13</t>
  </si>
  <si>
    <t>Establish a basic owner and inventory for break-glass account control, monitoring and testing. Define minimum policy, evidence location and immediate crisis relevance.</t>
  </si>
  <si>
    <t>Document break-glass account control, monitoring and testing, assign RACI, define minimum controls/KPIs and collect evidence across the main business units or sites.</t>
  </si>
  <si>
    <t>Standardize break-glass account control, monitoring and testing across the organization, close coverage gaps, link it to crisis scenarios and train accountable roles.</t>
  </si>
  <si>
    <t>Measure break-glass account control, monitoring and testing, review it periodically, test it against disruption scenarios and integrate it with dependent processes or systems.</t>
  </si>
  <si>
    <t>Optimize and automate break-glass account control, monitoring and testing where practical, use leading indicators, run periodic stress tests and update the crisis playbook.</t>
  </si>
  <si>
    <t>Maintain maturity for break-glass account control, monitoring and testing. Monitor drift, keep evidence current, benchmark externally and refresh tests after major changes.</t>
  </si>
  <si>
    <t>Cyber Privacy!14</t>
  </si>
  <si>
    <t>Establish a basic owner and inventory for third-party access that is limited, monitored, time-bound and reviewed. Define minimum policy, evidence location and immediate crisis relevance.</t>
  </si>
  <si>
    <t>Document third-party access that is limited, monitored, time-bound and reviewed, assign RACI, define minimum controls/KPIs and collect evidence across the main business units or sites.</t>
  </si>
  <si>
    <t>Standardize third-party access that is limited, monitored, time-bound and reviewed across the organization, close coverage gaps, link it to crisis scenarios and train accountable roles.</t>
  </si>
  <si>
    <t>Measure third-party access that is limited, monitored, time-bound and reviewed, review it periodically, test it against disruption scenarios and integrate it with dependent processes or systems.</t>
  </si>
  <si>
    <t>Optimize and automate third-party access that is limited, monitored, time-bound and reviewed where practical, use leading indicators, run periodic stress tests and update the crisis playbook.</t>
  </si>
  <si>
    <t>Maintain maturity for third-party access that is limited, monitored, time-bound and reviewed. Monitor drift, keep evidence current, benchmark externally and refresh tests after major changes.</t>
  </si>
  <si>
    <t>Cyber Privacy!15</t>
  </si>
  <si>
    <t>Establish a basic owner and inventory for access reviews for critical systems, datasets, ERP, CRM, HRMS, MES and cloud. Define minimum policy, evidence location and immediate crisis relevance.</t>
  </si>
  <si>
    <t>Document access reviews for critical systems, datasets, ERP, CRM, HRMS, MES and cloud, assign RACI, define minimum controls/KPIs and collect evidence across the main business units or sites.</t>
  </si>
  <si>
    <t>Standardize access reviews for critical systems, datasets, ERP, CRM, HRMS, MES and cloud across the organization, close coverage gaps, link it to crisis scenarios and train accountable roles.</t>
  </si>
  <si>
    <t>Measure access reviews for critical systems, datasets, ERP, CRM, HRMS, MES and cloud, review it periodically, test it against disruption scenarios and integrate it with dependent processes or systems.</t>
  </si>
  <si>
    <t>Optimize and automate access reviews for critical systems, datasets, ERP, CRM, HRMS, MES and cloud where practical, use leading indicators, run periodic stress tests and update the crisis playbook.</t>
  </si>
  <si>
    <t>Maintain maturity for access reviews for critical systems, datasets, ERP, CRM, HRMS, MES and cloud. Monitor drift, keep evidence current, benchmark externally and refresh tests after major changes.</t>
  </si>
  <si>
    <t>Cyber Privacy!16</t>
  </si>
  <si>
    <t>Establish a basic owner and inventory for endpoint protection with EDR, disk encryption, patching and remote management. Define minimum policy, evidence location and immediate crisis relevance.</t>
  </si>
  <si>
    <t>Document endpoint protection with EDR, disk encryption, patching and remote management, assign RACI, define minimum controls/KPIs and collect evidence across the main business units or sites.</t>
  </si>
  <si>
    <t>Standardize endpoint protection with EDR, disk encryption, patching and remote management across the organization, close coverage gaps, link it to crisis scenarios and train accountable roles.</t>
  </si>
  <si>
    <t>Measure endpoint protection with EDR, disk encryption, patching and remote management, review it periodically, test it against disruption scenarios and integrate it with dependent processes or systems.</t>
  </si>
  <si>
    <t>Optimize and automate endpoint protection with EDR, disk encryption, patching and remote management where practical, use leading indicators, run periodic stress tests and update the crisis playbook.</t>
  </si>
  <si>
    <t>Maintain maturity for endpoint protection with EDR, disk encryption, patching and remote management. Monitor drift, keep evidence current, benchmark externally and refresh tests after major changes.</t>
  </si>
  <si>
    <t>Reduces exposure to Cyberattack; Data breach; Ransomware; Insider threat; improves Protection maturity, continuity and management visibility.</t>
  </si>
  <si>
    <t>Cyber Privacy!17</t>
  </si>
  <si>
    <t>Establish a basic owner and inventory for vulnerability and patch management prioritized by risk, exposure and asset criticality. Define minimum policy, evidence location and immediate crisis relevance.</t>
  </si>
  <si>
    <t>Document vulnerability and patch management prioritized by risk, exposure and asset criticality, assign RACI, define minimum controls/KPIs and collect evidence across the main business units or sites.</t>
  </si>
  <si>
    <t>Standardize vulnerability and patch management prioritized by risk, exposure and asset criticality across the organization, close coverage gaps, link it to crisis scenarios and train accountable roles.</t>
  </si>
  <si>
    <t>Measure vulnerability and patch management prioritized by risk, exposure and asset criticality, review it periodically, test it against disruption scenarios and integrate it with dependent processes or systems.</t>
  </si>
  <si>
    <t>Optimize and automate vulnerability and patch management prioritized by risk, exposure and asset criticality where practical, use leading indicators, run periodic stress tests and update the crisis playbook.</t>
  </si>
  <si>
    <t>Maintain maturity for vulnerability and patch management prioritized by risk, exposure and asset criticality. Monitor drift, keep evidence current, benchmark externally and refresh tests after major changes.</t>
  </si>
  <si>
    <t>Cyber Privacy!18</t>
  </si>
  <si>
    <t>Establish a basic owner and inventory for network segmentation for users, servers, cloud, OT, guest, production and sensitive systems. Define minimum policy, evidence location and immediate crisis relevance.</t>
  </si>
  <si>
    <t>Document network segmentation for users, servers, cloud, OT, guest, production and sensitive systems, assign RACI, define minimum controls/KPIs and collect evidence across the main business units or sites.</t>
  </si>
  <si>
    <t>Standardize network segmentation for users, servers, cloud, OT, guest, production and sensitive systems across the organization, close coverage gaps, link it to crisis scenarios and train accountable roles.</t>
  </si>
  <si>
    <t>Measure network segmentation for users, servers, cloud, OT, guest, production and sensitive systems, review it periodically, test it against disruption scenarios and integrate it with dependent processes or systems.</t>
  </si>
  <si>
    <t>Optimize and automate network segmentation for users, servers, cloud, OT, guest, production and sensitive systems where practical, use leading indicators, run periodic stress tests and update the crisis playbook.</t>
  </si>
  <si>
    <t>Maintain maturity for network segmentation for users, servers, cloud, OT, guest, production and sensitive systems. Monitor drift, keep evidence current, benchmark externally and refresh tests after major changes.</t>
  </si>
  <si>
    <t>Cyber Privacy!19</t>
  </si>
  <si>
    <t>Establish a basic owner and inventory for email protection against phishing, spoofing, malware and business email compromise. Define minimum policy, evidence location and immediate crisis relevance.</t>
  </si>
  <si>
    <t>Document email protection against phishing, spoofing, malware and business email compromise, assign RACI, define minimum controls/KPIs and collect evidence across the main business units or sites.</t>
  </si>
  <si>
    <t>Standardize email protection against phishing, spoofing, malware and business email compromise across the organization, close coverage gaps, link it to crisis scenarios and train accountable roles.</t>
  </si>
  <si>
    <t>Measure email protection against phishing, spoofing, malware and business email compromise, review it periodically, test it against disruption scenarios and integrate it with dependent processes or systems.</t>
  </si>
  <si>
    <t>Optimize and automate email protection against phishing, spoofing, malware and business email compromise where practical, use leading indicators, run periodic stress tests and update the crisis playbook.</t>
  </si>
  <si>
    <t>Maintain maturity for email protection against phishing, spoofing, malware and business email compromise. Monitor drift, keep evidence current, benchmark externally and refresh tests after major changes.</t>
  </si>
  <si>
    <t>Cyber Privacy!20</t>
  </si>
  <si>
    <t>Establish a basic owner and inventory for cloud security guardrails for IAM, logging, encryption, public exposure, secrets and network access. Define minimum policy, evidence location and immediate crisis relevance.</t>
  </si>
  <si>
    <t>Document cloud security guardrails for IAM, logging, encryption, public exposure, secrets and network access, assign RACI, define minimum controls/KPIs and collect evidence across the main business units or sites.</t>
  </si>
  <si>
    <t>Standardize cloud security guardrails for IAM, logging, encryption, public exposure, secrets and network access across the organization, close coverage gaps, link it to crisis scenarios and train accountable roles.</t>
  </si>
  <si>
    <t>Measure cloud security guardrails for IAM, logging, encryption, public exposure, secrets and network access, review it periodically, test it against disruption scenarios and integrate it with dependent processes or systems.</t>
  </si>
  <si>
    <t>Optimize and automate cloud security guardrails for IAM, logging, encryption, public exposure, secrets and network access where practical, use leading indicators, run periodic stress tests and update the crisis playbook.</t>
  </si>
  <si>
    <t>Maintain maturity for cloud security guardrails for IAM, logging, encryption, public exposure, secrets and network access. Monitor drift, keep evidence current, benchmark externally and refresh tests after major changes.</t>
  </si>
  <si>
    <t>Cyber Privacy!21</t>
  </si>
  <si>
    <t>Establish a basic owner and inventory for secrets, API keys, certificates and credentials management and rotation. Define minimum policy, evidence location and immediate crisis relevance.</t>
  </si>
  <si>
    <t>Document secrets, API keys, certificates and credentials management and rotation, assign RACI, define minimum controls/KPIs and collect evidence across the main business units or sites.</t>
  </si>
  <si>
    <t>Standardize secrets, API keys, certificates and credentials management and rotation across the organization, close coverage gaps, link it to crisis scenarios and train accountable roles.</t>
  </si>
  <si>
    <t>Measure secrets, API keys, certificates and credentials management and rotation, review it periodically, test it against disruption scenarios and integrate it with dependent processes or systems.</t>
  </si>
  <si>
    <t>Optimize and automate secrets, API keys, certificates and credentials management and rotation where practical, use leading indicators, run periodic stress tests and update the crisis playbook.</t>
  </si>
  <si>
    <t>Maintain maturity for secrets, API keys, certificates and credentials management and rotation. Monitor drift, keep evidence current, benchmark externally and refresh tests after major changes.</t>
  </si>
  <si>
    <t>Cyber Privacy!22</t>
  </si>
  <si>
    <t>Establish a basic owner and inventory for encryption for sensitive data at rest and in transit. Define minimum policy, evidence location and immediate crisis relevance.</t>
  </si>
  <si>
    <t>Document encryption for sensitive data at rest and in transit, assign RACI, define minimum controls/KPIs and collect evidence across the main business units or sites.</t>
  </si>
  <si>
    <t>Standardize encryption for sensitive data at rest and in transit across the organization, close coverage gaps, link it to crisis scenarios and train accountable roles.</t>
  </si>
  <si>
    <t>Measure encryption for sensitive data at rest and in transit, review it periodically, test it against disruption scenarios and integrate it with dependent processes or systems.</t>
  </si>
  <si>
    <t>Optimize and automate encryption for sensitive data at rest and in transit where practical, use leading indicators, run periodic stress tests and update the crisis playbook.</t>
  </si>
  <si>
    <t>Maintain maturity for encryption for sensitive data at rest and in transit. Monitor drift, keep evidence current, benchmark externally and refresh tests after major changes.</t>
  </si>
  <si>
    <t>Cyber Privacy!23</t>
  </si>
  <si>
    <t>Establish a basic owner and inventory for DLP controls for sensitive data in email, cloud storage, endpoints and collaboration tools. Define minimum policy, evidence location and immediate crisis relevance.</t>
  </si>
  <si>
    <t>Document DLP controls for sensitive data in email, cloud storage, endpoints and collaboration tools, assign RACI, define minimum controls/KPIs and collect evidence across the main business units or sites.</t>
  </si>
  <si>
    <t>Standardize DLP controls for sensitive data in email, cloud storage, endpoints and collaboration tools across the organization, close coverage gaps, link it to crisis scenarios and train accountable roles.</t>
  </si>
  <si>
    <t>Measure DLP controls for sensitive data in email, cloud storage, endpoints and collaboration tools, review it periodically, test it against disruption scenarios and integrate it with dependent processes or systems.</t>
  </si>
  <si>
    <t>Optimize and automate DLP controls for sensitive data in email, cloud storage, endpoints and collaboration tools where practical, use leading indicators, run periodic stress tests and update the crisis playbook.</t>
  </si>
  <si>
    <t>Maintain maturity for DLP controls for sensitive data in email, cloud storage, endpoints and collaboration tools. Monitor drift, keep evidence current, benchmark externally and refresh tests after major changes.</t>
  </si>
  <si>
    <t>Cyber Privacy!24</t>
  </si>
  <si>
    <t>Establish a basic owner and inventory for log collection and monitoring for identity, endpoints, cloud, network, critical apps and security tools. Define minimum policy, evidence location and immediate crisis relevance.</t>
  </si>
  <si>
    <t>Document log collection and monitoring for identity, endpoints, cloud, network, critical apps and security tools, assign RACI, define minimum controls/KPIs and collect evidence across the main business units or sites.</t>
  </si>
  <si>
    <t>Standardize log collection and monitoring for identity, endpoints, cloud, network, critical apps and security tools across the organization, close coverage gaps, link it to crisis scenarios and train accountable roles.</t>
  </si>
  <si>
    <t>Measure log collection and monitoring for identity, endpoints, cloud, network, critical apps and security tools, review it periodically, test it against disruption scenarios and integrate it with dependent processes or systems.</t>
  </si>
  <si>
    <t>Optimize and automate log collection and monitoring for identity, endpoints, cloud, network, critical apps and security tools where practical, use leading indicators, run periodic stress tests and update the crisis playbook.</t>
  </si>
  <si>
    <t>Maintain maturity for log collection and monitoring for identity, endpoints, cloud, network, critical apps and security tools. Monitor drift, keep evidence current, benchmark externally and refresh tests after major changes.</t>
  </si>
  <si>
    <t>Reduces exposure to Cyberattack; Data breach; Ransomware; Insider threat; improves Detection and response maturity, continuity and management visibility.</t>
  </si>
  <si>
    <t>Cyber Privacy!25</t>
  </si>
  <si>
    <t>Establish a basic owner and inventory for threat detection coverage mapped to likely threat scenarios. Define minimum policy, evidence location and immediate crisis relevance.</t>
  </si>
  <si>
    <t>Document threat detection coverage mapped to likely threat scenarios, assign RACI, define minimum controls/KPIs and collect evidence across the main business units or sites.</t>
  </si>
  <si>
    <t>Standardize threat detection coverage mapped to likely threat scenarios across the organization, close coverage gaps, link it to crisis scenarios and train accountable roles.</t>
  </si>
  <si>
    <t>Measure threat detection coverage mapped to likely threat scenarios, review it periodically, test it against disruption scenarios and integrate it with dependent processes or systems.</t>
  </si>
  <si>
    <t>Optimize and automate threat detection coverage mapped to likely threat scenarios where practical, use leading indicators, run periodic stress tests and update the crisis playbook.</t>
  </si>
  <si>
    <t>Maintain maturity for threat detection coverage mapped to likely threat scenarios. Monitor drift, keep evidence current, benchmark externally and refresh tests after major changes.</t>
  </si>
  <si>
    <t>Cyber Privacy!26</t>
  </si>
  <si>
    <t>Establish a basic owner and inventory for cyber incident response plan involving IT, legal, communications, executives and insurers. Define minimum policy, evidence location and immediate crisis relevance.</t>
  </si>
  <si>
    <t>Document cyber incident response plan involving IT, legal, communications, executives and insurers, assign RACI, define minimum controls/KPIs and collect evidence across the main business units or sites.</t>
  </si>
  <si>
    <t>Standardize cyber incident response plan involving IT, legal, communications, executives and insurers across the organization, close coverage gaps, link it to crisis scenarios and train accountable roles.</t>
  </si>
  <si>
    <t>Measure cyber incident response plan involving IT, legal, communications, executives and insurers, review it periodically, test it against disruption scenarios and integrate it with dependent processes or systems.</t>
  </si>
  <si>
    <t>Optimize and automate cyber incident response plan involving IT, legal, communications, executives and insurers where practical, use leading indicators, run periodic stress tests and update the crisis playbook.</t>
  </si>
  <si>
    <t>Maintain maturity for cyber incident response plan involving IT, legal, communications, executives and insurers. Monitor drift, keep evidence current, benchmark externally and refresh tests after major changes.</t>
  </si>
  <si>
    <t>Cyber Privacy!27</t>
  </si>
  <si>
    <t>Establish a basic owner and inventory for ransomware playbook covering isolation, recovery, communication, legal and decision-making. Define minimum policy, evidence location and immediate crisis relevance.</t>
  </si>
  <si>
    <t>Document ransomware playbook covering isolation, recovery, communication, legal and decision-making, assign RACI, define minimum controls/KPIs and collect evidence across the main business units or sites.</t>
  </si>
  <si>
    <t>Standardize ransomware playbook covering isolation, recovery, communication, legal and decision-making across the organization, close coverage gaps, link it to crisis scenarios and train accountable roles.</t>
  </si>
  <si>
    <t>Measure ransomware playbook covering isolation, recovery, communication, legal and decision-making, review it periodically, test it against disruption scenarios and integrate it with dependent processes or systems.</t>
  </si>
  <si>
    <t>Optimize and automate ransomware playbook covering isolation, recovery, communication, legal and decision-making where practical, use leading indicators, run periodic stress tests and update the crisis playbook.</t>
  </si>
  <si>
    <t>Maintain maturity for ransomware playbook covering isolation, recovery, communication, legal and decision-making. Monitor drift, keep evidence current, benchmark externally and refresh tests after major changes.</t>
  </si>
  <si>
    <t>Cyber Privacy!28</t>
  </si>
  <si>
    <t>Establish a basic owner and inventory for cyber incident exercises with business, legal, communication, IT and executives. Define minimum policy, evidence location and immediate crisis relevance.</t>
  </si>
  <si>
    <t>Document cyber incident exercises with business, legal, communication, IT and executives, assign RACI, define minimum controls/KPIs and collect evidence across the main business units or sites.</t>
  </si>
  <si>
    <t>Standardize cyber incident exercises with business, legal, communication, IT and executives across the organization, close coverage gaps, link it to crisis scenarios and train accountable roles.</t>
  </si>
  <si>
    <t>Measure cyber incident exercises with business, legal, communication, IT and executives, review it periodically, test it against disruption scenarios and integrate it with dependent processes or systems.</t>
  </si>
  <si>
    <t>Optimize and automate cyber incident exercises with business, legal, communication, IT and executives where practical, use leading indicators, run periodic stress tests and update the crisis playbook.</t>
  </si>
  <si>
    <t>Maintain maturity for cyber incident exercises with business, legal, communication, IT and executives. Monitor drift, keep evidence current, benchmark externally and refresh tests after major changes.</t>
  </si>
  <si>
    <t>Cyber Privacy!29</t>
  </si>
  <si>
    <t>Establish a basic owner and inventory for immutable or isolated backups protected against ransomware. Define minimum policy, evidence location and immediate crisis relevance.</t>
  </si>
  <si>
    <t>Document immutable or isolated backups protected against ransomware, assign RACI, define minimum controls/KPIs and collect evidence across the main business units or sites.</t>
  </si>
  <si>
    <t>Standardize immutable or isolated backups protected against ransomware across the organization, close coverage gaps, link it to crisis scenarios and train accountable roles.</t>
  </si>
  <si>
    <t>Measure immutable or isolated backups protected against ransomware, review it periodically, test it against disruption scenarios and integrate it with dependent processes or systems.</t>
  </si>
  <si>
    <t>Optimize and automate immutable or isolated backups protected against ransomware where practical, use leading indicators, run periodic stress tests and update the crisis playbook.</t>
  </si>
  <si>
    <t>Maintain maturity for immutable or isolated backups protected against ransomware. Monitor drift, keep evidence current, benchmark externally and refresh tests after major changes.</t>
  </si>
  <si>
    <t>Cyber Privacy!30</t>
  </si>
  <si>
    <t>Establish a basic owner and inventory for secure SDLC for internally developed applications, APIs and integrations. Define minimum policy, evidence location and immediate crisis relevance.</t>
  </si>
  <si>
    <t>Document secure SDLC for internally developed applications, APIs and integrations, assign RACI, define minimum controls/KPIs and collect evidence across the main business units or sites.</t>
  </si>
  <si>
    <t>Standardize secure SDLC for internally developed applications, APIs and integrations across the organization, close coverage gaps, link it to crisis scenarios and train accountable roles.</t>
  </si>
  <si>
    <t>Measure secure SDLC for internally developed applications, APIs and integrations, review it periodically, test it against disruption scenarios and integrate it with dependent processes or systems.</t>
  </si>
  <si>
    <t>Optimize and automate secure SDLC for internally developed applications, APIs and integrations where practical, use leading indicators, run periodic stress tests and update the crisis playbook.</t>
  </si>
  <si>
    <t>Maintain maturity for secure SDLC for internally developed applications, APIs and integrations. Monitor drift, keep evidence current, benchmark externally and refresh tests after major changes.</t>
  </si>
  <si>
    <t>Reduces exposure to Cyberattack; Data breach; Ransomware; Insider threat; improves Application and OT security maturity, continuity and management visibility.</t>
  </si>
  <si>
    <t>Cyber Privacy!31</t>
  </si>
  <si>
    <t>Establish a basic owner and inventory for application vulnerability testing through SAST, DAST, code review and penetration testing. Define minimum policy, evidence location and immediate crisis relevance.</t>
  </si>
  <si>
    <t>Document application vulnerability testing through SAST, DAST, code review and penetration testing, assign RACI, define minimum controls/KPIs and collect evidence across the main business units or sites.</t>
  </si>
  <si>
    <t>Standardize application vulnerability testing through SAST, DAST, code review and penetration testing across the organization, close coverage gaps, link it to crisis scenarios and train accountable roles.</t>
  </si>
  <si>
    <t>Measure application vulnerability testing through SAST, DAST, code review and penetration testing, review it periodically, test it against disruption scenarios and integrate it with dependent processes or systems.</t>
  </si>
  <si>
    <t>Optimize and automate application vulnerability testing through SAST, DAST, code review and penetration testing where practical, use leading indicators, run periodic stress tests and update the crisis playbook.</t>
  </si>
  <si>
    <t>Maintain maturity for application vulnerability testing through SAST, DAST, code review and penetration testing. Monitor drift, keep evidence current, benchmark externally and refresh tests after major changes.</t>
  </si>
  <si>
    <t>Cyber Privacy!32</t>
  </si>
  <si>
    <t>Cyber Privacy!33</t>
  </si>
  <si>
    <t>Establish a basic owner and inventory for OT network segmentation and secure remote vendor access. Define minimum policy, evidence location and immediate crisis relevance.</t>
  </si>
  <si>
    <t>Document OT network segmentation and secure remote vendor access, assign RACI, define minimum controls/KPIs and collect evidence across the main business units or sites.</t>
  </si>
  <si>
    <t>Standardize OT network segmentation and secure remote vendor access across the organization, close coverage gaps, link it to crisis scenarios and train accountable roles.</t>
  </si>
  <si>
    <t>Measure OT network segmentation and secure remote vendor access, review it periodically, test it against disruption scenarios and integrate it with dependent processes or systems.</t>
  </si>
  <si>
    <t>Optimize and automate OT network segmentation and secure remote vendor access where practical, use leading indicators, run periodic stress tests and update the crisis playbook.</t>
  </si>
  <si>
    <t>Maintain maturity for OT network segmentation and secure remote vendor access. Monitor drift, keep evidence current, benchmark externally and refresh tests after major changes.</t>
  </si>
  <si>
    <t>Cyber Privacy!34</t>
  </si>
  <si>
    <t>Establish a basic owner and inventory for OT backup and restore of PLC, HMI, SCADA and recipe configurations. Define minimum policy, evidence location and immediate crisis relevance.</t>
  </si>
  <si>
    <t>Document OT backup and restore of PLC, HMI, SCADA and recipe configurations, assign RACI, define minimum controls/KPIs and collect evidence across the main business units or sites.</t>
  </si>
  <si>
    <t>Standardize OT backup and restore of PLC, HMI, SCADA and recipe configurations across the organization, close coverage gaps, link it to crisis scenarios and train accountable roles.</t>
  </si>
  <si>
    <t>Measure OT backup and restore of PLC, HMI, SCADA and recipe configurations, review it periodically, test it against disruption scenarios and integrate it with dependent processes or systems.</t>
  </si>
  <si>
    <t>Optimize and automate OT backup and restore of PLC, HMI, SCADA and recipe configurations where practical, use leading indicators, run periodic stress tests and update the crisis playbook.</t>
  </si>
  <si>
    <t>Maintain maturity for OT backup and restore of PLC, HMI, SCADA and recipe configurations. Monitor drift, keep evidence current, benchmark externally and refresh tests after major changes.</t>
  </si>
  <si>
    <t>Cyber Privacy!35</t>
  </si>
  <si>
    <t>Establish a basic owner and inventory for privacy governance with roles, lawful basis, DPIA, RoPA and data subject processes. Define minimum policy, evidence location and immediate crisis relevance.</t>
  </si>
  <si>
    <t>Document privacy governance with roles, lawful basis, DPIA, RoPA and data subject processes, assign RACI, define minimum controls/KPIs and collect evidence across the main business units or sites.</t>
  </si>
  <si>
    <t>Standardize privacy governance with roles, lawful basis, DPIA, RoPA and data subject processes across the organization, close coverage gaps, link it to crisis scenarios and train accountable roles.</t>
  </si>
  <si>
    <t>Measure privacy governance with roles, lawful basis, DPIA, RoPA and data subject processes, review it periodically, test it against disruption scenarios and integrate it with dependent processes or systems.</t>
  </si>
  <si>
    <t>Optimize and automate privacy governance with roles, lawful basis, DPIA, RoPA and data subject processes where practical, use leading indicators, run periodic stress tests and update the crisis playbook.</t>
  </si>
  <si>
    <t>Maintain maturity for privacy governance with roles, lawful basis, DPIA, RoPA and data subject processes. Monitor drift, keep evidence current, benchmark externally and refresh tests after major changes.</t>
  </si>
  <si>
    <t>Reduces exposure to Cyberattack; Data breach; Ransomware; Insider threat; improves Privacy maturity, continuity and management visibility.</t>
  </si>
  <si>
    <t>Cyber Privacy!36</t>
  </si>
  <si>
    <t>Establish a basic owner and inventory for personal data breach detection, assessment and notification within required timelines. Define minimum policy, evidence location and immediate crisis relevance.</t>
  </si>
  <si>
    <t>Document personal data breach detection, assessment and notification within required timelines, assign RACI, define minimum controls/KPIs and collect evidence across the main business units or sites.</t>
  </si>
  <si>
    <t>Standardize personal data breach detection, assessment and notification within required timelines across the organization, close coverage gaps, link it to crisis scenarios and train accountable roles.</t>
  </si>
  <si>
    <t>Measure personal data breach detection, assessment and notification within required timelines, review it periodically, test it against disruption scenarios and integrate it with dependent processes or systems.</t>
  </si>
  <si>
    <t>Optimize and automate personal data breach detection, assessment and notification within required timelines where practical, use leading indicators, run periodic stress tests and update the crisis playbook.</t>
  </si>
  <si>
    <t>Maintain maturity for personal data breach detection, assessment and notification within required timelines. Monitor drift, keep evidence current, benchmark externally and refresh tests after major changes.</t>
  </si>
  <si>
    <t>Cyber Privacy!37</t>
  </si>
  <si>
    <t>Establish a basic owner and inventory for vendor data processing agreements covering security, sub-processors, incident notification and continuity. Define minimum policy, evidence location and immediate crisis relevance.</t>
  </si>
  <si>
    <t>Document vendor data processing agreements covering security, sub-processors, incident notification and continuity, assign RACI, define minimum controls/KPIs and collect evidence across the main business units or sites.</t>
  </si>
  <si>
    <t>Standardize vendor data processing agreements covering security, sub-processors, incident notification and continuity across the organization, close coverage gaps, link it to crisis scenarios and train accountable roles.</t>
  </si>
  <si>
    <t>Measure vendor data processing agreements covering security, sub-processors, incident notification and continuity, review it periodically, test it against disruption scenarios and integrate it with dependent processes or systems.</t>
  </si>
  <si>
    <t>Optimize and automate vendor data processing agreements covering security, sub-processors, incident notification and continuity where practical, use leading indicators, run periodic stress tests and update the crisis playbook.</t>
  </si>
  <si>
    <t>Maintain maturity for vendor data processing agreements covering security, sub-processors, incident notification and continuity. Monitor drift, keep evidence current, benchmark externally and refresh tests after major changes.</t>
  </si>
  <si>
    <t>Cyber Privacy!38</t>
  </si>
  <si>
    <t>Establish a basic owner and inventory for process architecture covering major value streams and support processes. Define minimum policy, evidence location and immediate crisis relevance.</t>
  </si>
  <si>
    <t>Document process architecture covering major value streams and support processes, assign RACI, define minimum controls/KPIs and collect evidence across the main business units or sites.</t>
  </si>
  <si>
    <t>Standardize process architecture covering major value streams and support processes across the organization, close coverage gaps, link it to crisis scenarios and train accountable roles.</t>
  </si>
  <si>
    <t>Measure process architecture covering major value streams and support processes, review it periodically, test it against disruption scenarios and integrate it with dependent processes or systems.</t>
  </si>
  <si>
    <t>Optimize and automate process architecture covering major value streams and support processes where practical, use leading indicators, run periodic stress tests and update the crisis playbook.</t>
  </si>
  <si>
    <t>Maintain maturity for process architecture covering major value streams and support processes. Monitor drift, keep evidence current, benchmark externally and refresh tests after major changes.</t>
  </si>
  <si>
    <t>Reduces exposure to Execution failure; Delivery disruption; Decision failure; improves Process management maturity, continuity and management visibility.</t>
  </si>
  <si>
    <t>Quality Portfolio!5</t>
  </si>
  <si>
    <t>Establish a basic owner and inventory for process ownership for critical processes with inputs, outputs, controls and KPIs. Define minimum policy, evidence location and immediate crisis relevance.</t>
  </si>
  <si>
    <t>Document process ownership for critical processes with inputs, outputs, controls and KPIs, assign RACI, define minimum controls/KPIs and collect evidence across the main business units or sites.</t>
  </si>
  <si>
    <t>Standardize process ownership for critical processes with inputs, outputs, controls and KPIs across the organization, close coverage gaps, link it to crisis scenarios and train accountable roles.</t>
  </si>
  <si>
    <t>Measure process ownership for critical processes with inputs, outputs, controls and KPIs, review it periodically, test it against disruption scenarios and integrate it with dependent processes or systems.</t>
  </si>
  <si>
    <t>Optimize and automate process ownership for critical processes with inputs, outputs, controls and KPIs where practical, use leading indicators, run periodic stress tests and update the crisis playbook.</t>
  </si>
  <si>
    <t>Maintain maturity for process ownership for critical processes with inputs, outputs, controls and KPIs. Monitor drift, keep evidence current, benchmark externally and refresh tests after major changes.</t>
  </si>
  <si>
    <t>Quality Portfolio!6</t>
  </si>
  <si>
    <t>Establish a basic owner and inventory for process maturity assessment for automation, measurement, resilience and improvement. Define minimum policy, evidence location and immediate crisis relevance.</t>
  </si>
  <si>
    <t>Document process maturity assessment for automation, measurement, resilience and improvement, assign RACI, define minimum controls/KPIs and collect evidence across the main business units or sites.</t>
  </si>
  <si>
    <t>Standardize process maturity assessment for automation, measurement, resilience and improvement across the organization, close coverage gaps, link it to crisis scenarios and train accountable roles.</t>
  </si>
  <si>
    <t>Measure process maturity assessment for automation, measurement, resilience and improvement, review it periodically, test it against disruption scenarios and integrate it with dependent processes or systems.</t>
  </si>
  <si>
    <t>Optimize and automate process maturity assessment for automation, measurement, resilience and improvement where practical, use leading indicators, run periodic stress tests and update the crisis playbook.</t>
  </si>
  <si>
    <t>Maintain maturity for process maturity assessment for automation, measurement, resilience and improvement. Monitor drift, keep evidence current, benchmark externally and refresh tests after major changes.</t>
  </si>
  <si>
    <t>Quality Portfolio!7</t>
  </si>
  <si>
    <t>Establish a basic owner and inventory for SOP and policy document control with versioning, ownership and review cadence. Define minimum policy, evidence location and immediate crisis relevance.</t>
  </si>
  <si>
    <t>Document SOP and policy document control with versioning, ownership and review cadence, assign RACI, define minimum controls/KPIs and collect evidence across the main business units or sites.</t>
  </si>
  <si>
    <t>Standardize SOP and policy document control with versioning, ownership and review cadence across the organization, close coverage gaps, link it to crisis scenarios and train accountable roles.</t>
  </si>
  <si>
    <t>Measure SOP and policy document control with versioning, ownership and review cadence, review it periodically, test it against disruption scenarios and integrate it with dependent processes or systems.</t>
  </si>
  <si>
    <t>Optimize and automate SOP and policy document control with versioning, ownership and review cadence where practical, use leading indicators, run periodic stress tests and update the crisis playbook.</t>
  </si>
  <si>
    <t>Maintain maturity for SOP and policy document control with versioning, ownership and review cadence. Monitor drift, keep evidence current, benchmark externally and refresh tests after major changes.</t>
  </si>
  <si>
    <t>Quality Portfolio!8</t>
  </si>
  <si>
    <t>Establish a basic owner and inventory for process automation documented, monitored and covered by manual fallback. Define minimum policy, evidence location and immediate crisis relevance.</t>
  </si>
  <si>
    <t>Document process automation documented, monitored and covered by manual fallback, assign RACI, define minimum controls/KPIs and collect evidence across the main business units or sites.</t>
  </si>
  <si>
    <t>Standardize process automation documented, monitored and covered by manual fallback across the organization, close coverage gaps, link it to crisis scenarios and train accountable roles.</t>
  </si>
  <si>
    <t>Measure process automation documented, monitored and covered by manual fallback, review it periodically, test it against disruption scenarios and integrate it with dependent processes or systems.</t>
  </si>
  <si>
    <t>Optimize and automate process automation documented, monitored and covered by manual fallback where practical, use leading indicators, run periodic stress tests and update the crisis playbook.</t>
  </si>
  <si>
    <t>Maintain maturity for process automation documented, monitored and covered by manual fallback. Monitor drift, keep evidence current, benchmark externally and refresh tests after major changes.</t>
  </si>
  <si>
    <t>Quality Portfolio!9</t>
  </si>
  <si>
    <t>Establish a basic owner and inventory for quality objectives linked to customer, delivery and operational performance. Define minimum policy, evidence location and immediate crisis relevance.</t>
  </si>
  <si>
    <t>Document quality objectives linked to customer, delivery and operational performance, assign RACI, define minimum controls/KPIs and collect evidence across the main business units or sites.</t>
  </si>
  <si>
    <t>Standardize quality objectives linked to customer, delivery and operational performance across the organization, close coverage gaps, link it to crisis scenarios and train accountable roles.</t>
  </si>
  <si>
    <t>Measure quality objectives linked to customer, delivery and operational performance, review it periodically, test it against disruption scenarios and integrate it with dependent processes or systems.</t>
  </si>
  <si>
    <t>Optimize and automate quality objectives linked to customer, delivery and operational performance where practical, use leading indicators, run periodic stress tests and update the crisis playbook.</t>
  </si>
  <si>
    <t>Maintain maturity for quality objectives linked to customer, delivery and operational performance. Monitor drift, keep evidence current, benchmark externally and refresh tests after major changes.</t>
  </si>
  <si>
    <t>Reduces exposure to Execution failure; Delivery disruption; Decision failure; improves Quality management maturity, continuity and management visibility.</t>
  </si>
  <si>
    <t>Quality Portfolio!10</t>
  </si>
  <si>
    <t>Establish a basic owner and inventory for nonconformity, defect, complaint and corrective action management. Define minimum policy, evidence location and immediate crisis relevance.</t>
  </si>
  <si>
    <t>Document nonconformity, defect, complaint and corrective action management, assign RACI, define minimum controls/KPIs and collect evidence across the main business units or sites.</t>
  </si>
  <si>
    <t>Standardize nonconformity, defect, complaint and corrective action management across the organization, close coverage gaps, link it to crisis scenarios and train accountable roles.</t>
  </si>
  <si>
    <t>Measure nonconformity, defect, complaint and corrective action management, review it periodically, test it against disruption scenarios and integrate it with dependent processes or systems.</t>
  </si>
  <si>
    <t>Optimize and automate nonconformity, defect, complaint and corrective action management where practical, use leading indicators, run periodic stress tests and update the crisis playbook.</t>
  </si>
  <si>
    <t>Maintain maturity for nonconformity, defect, complaint and corrective action management. Monitor drift, keep evidence current, benchmark externally and refresh tests after major changes.</t>
  </si>
  <si>
    <t>Quality Portfolio!11</t>
  </si>
  <si>
    <t>Establish a basic owner and inventory for internal audit program for critical processes and controls. Define minimum policy, evidence location and immediate crisis relevance.</t>
  </si>
  <si>
    <t>Document internal audit program for critical processes and controls, assign RACI, define minimum controls/KPIs and collect evidence across the main business units or sites.</t>
  </si>
  <si>
    <t>Standardize internal audit program for critical processes and controls across the organization, close coverage gaps, link it to crisis scenarios and train accountable roles.</t>
  </si>
  <si>
    <t>Measure internal audit program for critical processes and controls, review it periodically, test it against disruption scenarios and integrate it with dependent processes or systems.</t>
  </si>
  <si>
    <t>Optimize and automate internal audit program for critical processes and controls where practical, use leading indicators, run periodic stress tests and update the crisis playbook.</t>
  </si>
  <si>
    <t>Maintain maturity for internal audit program for critical processes and controls. Monitor drift, keep evidence current, benchmark externally and refresh tests after major changes.</t>
  </si>
  <si>
    <t>Quality Portfolio!12</t>
  </si>
  <si>
    <t>Establish a basic owner and inventory for control testing for effectiveness, not only existence. Define minimum policy, evidence location and immediate crisis relevance.</t>
  </si>
  <si>
    <t>Document control testing for effectiveness, not only existence, assign RACI, define minimum controls/KPIs and collect evidence across the main business units or sites.</t>
  </si>
  <si>
    <t>Standardize control testing for effectiveness, not only existence across the organization, close coverage gaps, link it to crisis scenarios and train accountable roles.</t>
  </si>
  <si>
    <t>Measure control testing for effectiveness, not only existence, review it periodically, test it against disruption scenarios and integrate it with dependent processes or systems.</t>
  </si>
  <si>
    <t>Optimize and automate control testing for effectiveness, not only existence where practical, use leading indicators, run periodic stress tests and update the crisis playbook.</t>
  </si>
  <si>
    <t>Maintain maturity for control testing for effectiveness, not only existence. Monitor drift, keep evidence current, benchmark externally and refresh tests after major changes.</t>
  </si>
  <si>
    <t>Quality Portfolio!13</t>
  </si>
  <si>
    <t>Establish a basic owner and inventory for customer complaint handling and root cause analysis. Define minimum policy, evidence location and immediate crisis relevance.</t>
  </si>
  <si>
    <t>Document customer complaint handling and root cause analysis, assign RACI, define minimum controls/KPIs and collect evidence across the main business units or sites.</t>
  </si>
  <si>
    <t>Standardize customer complaint handling and root cause analysis across the organization, close coverage gaps, link it to crisis scenarios and train accountable roles.</t>
  </si>
  <si>
    <t>Measure customer complaint handling and root cause analysis, review it periodically, test it against disruption scenarios and integrate it with dependent processes or systems.</t>
  </si>
  <si>
    <t>Optimize and automate customer complaint handling and root cause analysis where practical, use leading indicators, run periodic stress tests and update the crisis playbook.</t>
  </si>
  <si>
    <t>Maintain maturity for customer complaint handling and root cause analysis. Monitor drift, keep evidence current, benchmark externally and refresh tests after major changes.</t>
  </si>
  <si>
    <t>Quality Portfolio!14</t>
  </si>
  <si>
    <t>Establish a basic owner and inventory for portfolio governance with prioritization, capacity, benefits, risks and dependencies. Define minimum policy, evidence location and immediate crisis relevance.</t>
  </si>
  <si>
    <t>Document portfolio governance with prioritization, capacity, benefits, risks and dependencies, assign RACI, define minimum controls/KPIs and collect evidence across the main business units or sites.</t>
  </si>
  <si>
    <t>Standardize portfolio governance with prioritization, capacity, benefits, risks and dependencies across the organization, close coverage gaps, link it to crisis scenarios and train accountable roles.</t>
  </si>
  <si>
    <t>Measure portfolio governance with prioritization, capacity, benefits, risks and dependencies, review it periodically, test it against disruption scenarios and integrate it with dependent processes or systems.</t>
  </si>
  <si>
    <t>Optimize and automate portfolio governance with prioritization, capacity, benefits, risks and dependencies where practical, use leading indicators, run periodic stress tests and update the crisis playbook.</t>
  </si>
  <si>
    <t>Maintain maturity for portfolio governance with prioritization, capacity, benefits, risks and dependencies. Monitor drift, keep evidence current, benchmark externally and refresh tests after major changes.</t>
  </si>
  <si>
    <t>Reduces exposure to Execution failure; Delivery disruption; Decision failure; improves Portfolio and change maturity, continuity and management visibility.</t>
  </si>
  <si>
    <t>Quality Portfolio!15</t>
  </si>
  <si>
    <t>Establish a basic owner and inventory for rapid reprioritization of initiatives during crisis using value, urgency, risk and capacity. Define minimum policy, evidence location and immediate crisis relevance.</t>
  </si>
  <si>
    <t>Document rapid reprioritization of initiatives during crisis using value, urgency, risk and capacity, assign RACI, define minimum controls/KPIs and collect evidence across the main business units or sites.</t>
  </si>
  <si>
    <t>Standardize rapid reprioritization of initiatives during crisis using value, urgency, risk and capacity across the organization, close coverage gaps, link it to crisis scenarios and train accountable roles.</t>
  </si>
  <si>
    <t>Measure rapid reprioritization of initiatives during crisis using value, urgency, risk and capacity, review it periodically, test it against disruption scenarios and integrate it with dependent processes or systems.</t>
  </si>
  <si>
    <t>Optimize and automate rapid reprioritization of initiatives during crisis using value, urgency, risk and capacity where practical, use leading indicators, run periodic stress tests and update the crisis playbook.</t>
  </si>
  <si>
    <t>Maintain maturity for rapid reprioritization of initiatives during crisis using value, urgency, risk and capacity. Monitor drift, keep evidence current, benchmark externally and refresh tests after major changes.</t>
  </si>
  <si>
    <t>Quality Portfolio!16</t>
  </si>
  <si>
    <t>Establish a basic owner and inventory for benefits realization tracking for resilience, digital and operational initiatives. Define minimum policy, evidence location and immediate crisis relevance.</t>
  </si>
  <si>
    <t>Document benefits realization tracking for resilience, digital and operational initiatives, assign RACI, define minimum controls/KPIs and collect evidence across the main business units or sites.</t>
  </si>
  <si>
    <t>Standardize benefits realization tracking for resilience, digital and operational initiatives across the organization, close coverage gaps, link it to crisis scenarios and train accountable roles.</t>
  </si>
  <si>
    <t>Measure benefits realization tracking for resilience, digital and operational initiatives, review it periodically, test it against disruption scenarios and integrate it with dependent processes or systems.</t>
  </si>
  <si>
    <t>Optimize and automate benefits realization tracking for resilience, digital and operational initiatives where practical, use leading indicators, run periodic stress tests and update the crisis playbook.</t>
  </si>
  <si>
    <t>Maintain maturity for benefits realization tracking for resilience, digital and operational initiatives. Monitor drift, keep evidence current, benchmark externally and refresh tests after major changes.</t>
  </si>
  <si>
    <t>Quality Portfolio!17</t>
  </si>
  <si>
    <t>Establish a basic owner and inventory for change adoption management with communication, training, sponsor accountability and adoption metrics. Define minimum policy, evidence location and immediate crisis relevance.</t>
  </si>
  <si>
    <t>Document change adoption management with communication, training, sponsor accountability and adoption metrics, assign RACI, define minimum controls/KPIs and collect evidence across the main business units or sites.</t>
  </si>
  <si>
    <t>Standardize change adoption management with communication, training, sponsor accountability and adoption metrics across the organization, close coverage gaps, link it to crisis scenarios and train accountable roles.</t>
  </si>
  <si>
    <t>Measure change adoption management with communication, training, sponsor accountability and adoption metrics, review it periodically, test it against disruption scenarios and integrate it with dependent processes or systems.</t>
  </si>
  <si>
    <t>Optimize and automate change adoption management with communication, training, sponsor accountability and adoption metrics where practical, use leading indicators, run periodic stress tests and update the crisis playbook.</t>
  </si>
  <si>
    <t>Maintain maturity for change adoption management with communication, training, sponsor accountability and adoption metrics. Monitor drift, keep evidence current, benchmark externally and refresh tests after major changes.</t>
  </si>
  <si>
    <t>Quality Portfolio!18</t>
  </si>
  <si>
    <t>Establish a basic owner and inventory for improvement backlog linked to incidents, audits, customer feedback, risk and strategy. Define minimum policy, evidence location and immediate crisis relevance.</t>
  </si>
  <si>
    <t>Document improvement backlog linked to incidents, audits, customer feedback, risk and strategy, assign RACI, define minimum controls/KPIs and collect evidence across the main business units or sites.</t>
  </si>
  <si>
    <t>Standardize improvement backlog linked to incidents, audits, customer feedback, risk and strategy across the organization, close coverage gaps, link it to crisis scenarios and train accountable roles.</t>
  </si>
  <si>
    <t>Measure improvement backlog linked to incidents, audits, customer feedback, risk and strategy, review it periodically, test it against disruption scenarios and integrate it with dependent processes or systems.</t>
  </si>
  <si>
    <t>Optimize and automate improvement backlog linked to incidents, audits, customer feedback, risk and strategy where practical, use leading indicators, run periodic stress tests and update the crisis playbook.</t>
  </si>
  <si>
    <t>Maintain maturity for improvement backlog linked to incidents, audits, customer feedback, risk and strategy. Monitor drift, keep evidence current, benchmark externally and refresh tests after major changes.</t>
  </si>
  <si>
    <t>Quality Portfolio!19</t>
  </si>
  <si>
    <t>Establish a basic owner and inventory for KPI hierarchy from strategy to functions, processes, teams and crisis readiness. Define minimum policy, evidence location and immediate crisis relevance.</t>
  </si>
  <si>
    <t>Document KPI hierarchy from strategy to functions, processes, teams and crisis readiness, assign RACI, define minimum controls/KPIs and collect evidence across the main business units or sites.</t>
  </si>
  <si>
    <t>Standardize KPI hierarchy from strategy to functions, processes, teams and crisis readiness across the organization, close coverage gaps, link it to crisis scenarios and train accountable roles.</t>
  </si>
  <si>
    <t>Measure KPI hierarchy from strategy to functions, processes, teams and crisis readiness, review it periodically, test it against disruption scenarios and integrate it with dependent processes or systems.</t>
  </si>
  <si>
    <t>Optimize and automate KPI hierarchy from strategy to functions, processes, teams and crisis readiness where practical, use leading indicators, run periodic stress tests and update the crisis playbook.</t>
  </si>
  <si>
    <t>Maintain maturity for KPI hierarchy from strategy to functions, processes, teams and crisis readiness. Monitor drift, keep evidence current, benchmark externally and refresh tests after major changes.</t>
  </si>
  <si>
    <t>Reduces exposure to Execution failure; Delivery disruption; Decision failure; improves Management system maturity, continuity and management visibility.</t>
  </si>
  <si>
    <t>Quality Portfolio!20</t>
  </si>
  <si>
    <t>Establish a basic owner and inventory for management review of performance, risks, audit findings, incidents, customers and improvements. Define minimum policy, evidence location and immediate crisis relevance.</t>
  </si>
  <si>
    <t>Document management review of performance, risks, audit findings, incidents, customers and improvements, assign RACI, define minimum controls/KPIs and collect evidence across the main business units or sites.</t>
  </si>
  <si>
    <t>Standardize management review of performance, risks, audit findings, incidents, customers and improvements across the organization, close coverage gaps, link it to crisis scenarios and train accountable roles.</t>
  </si>
  <si>
    <t>Measure management review of performance, risks, audit findings, incidents, customers and improvements, review it periodically, test it against disruption scenarios and integrate it with dependent processes or systems.</t>
  </si>
  <si>
    <t>Optimize and automate management review of performance, risks, audit findings, incidents, customers and improvements where practical, use leading indicators, run periodic stress tests and update the crisis playbook.</t>
  </si>
  <si>
    <t>Maintain maturity for management review of performance, risks, audit findings, incidents, customers and improvements. Monitor drift, keep evidence current, benchmark externally and refresh tests after major changes.</t>
  </si>
  <si>
    <t>Quality Portfolio!21</t>
  </si>
  <si>
    <t>Establish a basic owner and inventory for decision log for major decisions with alternatives, risks, assumptions, owners and follow-up. Define minimum policy, evidence location and immediate crisis relevance.</t>
  </si>
  <si>
    <t>Document decision log for major decisions with alternatives, risks, assumptions, owners and follow-up, assign RACI, define minimum controls/KPIs and collect evidence across the main business units or sites.</t>
  </si>
  <si>
    <t>Standardize decision log for major decisions with alternatives, risks, assumptions, owners and follow-up across the organization, close coverage gaps, link it to crisis scenarios and train accountable roles.</t>
  </si>
  <si>
    <t>Measure decision log for major decisions with alternatives, risks, assumptions, owners and follow-up, review it periodically, test it against disruption scenarios and integrate it with dependent processes or systems.</t>
  </si>
  <si>
    <t>Optimize and automate decision log for major decisions with alternatives, risks, assumptions, owners and follow-up where practical, use leading indicators, run periodic stress tests and update the crisis playbook.</t>
  </si>
  <si>
    <t>Maintain maturity for decision log for major decisions with alternatives, risks, assumptions, owners and follow-up. Monitor drift, keep evidence current, benchmark externally and refresh tests after major changes.</t>
  </si>
  <si>
    <t>Quality Portfolio!22</t>
  </si>
  <si>
    <t>Establish a basic owner and inventory for evidence readiness for audits, customers, insurers or regulators during crisis. Define minimum policy, evidence location and immediate crisis relevance.</t>
  </si>
  <si>
    <t>Document evidence readiness for audits, customers, insurers or regulators during crisis, assign RACI, define minimum controls/KPIs and collect evidence across the main business units or sites.</t>
  </si>
  <si>
    <t>Standardize evidence readiness for audits, customers, insurers or regulators during crisis across the organization, close coverage gaps, link it to crisis scenarios and train accountable roles.</t>
  </si>
  <si>
    <t>Measure evidence readiness for audits, customers, insurers or regulators during crisis, review it periodically, test it against disruption scenarios and integrate it with dependent processes or systems.</t>
  </si>
  <si>
    <t>Optimize and automate evidence readiness for audits, customers, insurers or regulators during crisis where practical, use leading indicators, run periodic stress tests and update the crisis playbook.</t>
  </si>
  <si>
    <t>Maintain maturity for evidence readiness for audits, customers, insurers or regulators during crisis. Monitor drift, keep evidence current, benchmark externally and refresh tests after major changes.</t>
  </si>
  <si>
    <t>Quality Portfolio!23</t>
  </si>
  <si>
    <t>Establish a basic owner and inventory for organizational alignment using McKinsey 7S or equivalent lens. Define minimum policy, evidence location and immediate crisis relevance.</t>
  </si>
  <si>
    <t>Document organizational alignment using McKinsey 7S or equivalent lens, assign RACI, define minimum controls/KPIs and collect evidence across the main business units or sites.</t>
  </si>
  <si>
    <t>Standardize organizational alignment using McKinsey 7S or equivalent lens across the organization, close coverage gaps, link it to crisis scenarios and train accountable roles.</t>
  </si>
  <si>
    <t>Measure organizational alignment using McKinsey 7S or equivalent lens, review it periodically, test it against disruption scenarios and integrate it with dependent processes or systems.</t>
  </si>
  <si>
    <t>Optimize and automate organizational alignment using McKinsey 7S or equivalent lens where practical, use leading indicators, run periodic stress tests and update the crisis playbook.</t>
  </si>
  <si>
    <t>Maintain maturity for organizational alignment using McKinsey 7S or equivalent lens. Monitor drift, keep evidence current, benchmark externally and refresh tests after major changes.</t>
  </si>
  <si>
    <t>Quality Portfolio!24</t>
  </si>
  <si>
    <t>Executive Recommendations and WSJF Prioritization</t>
  </si>
  <si>
    <t>This sheet pulls scores from all domain tabs. Filter Show = Yes and sort by Rank ascending. Rank now uses scenario-adjusted and industry-adjusted WSJF.</t>
  </si>
  <si>
    <t>Actionable recommendations</t>
  </si>
  <si>
    <t>Critical/High risks</t>
  </si>
  <si>
    <t>Digitalization gap items</t>
  </si>
  <si>
    <t>Resilience gap items</t>
  </si>
  <si>
    <t>Process maturity gap items</t>
  </si>
  <si>
    <t>Assessed questions</t>
  </si>
  <si>
    <t>Show</t>
  </si>
  <si>
    <t>Current score</t>
  </si>
  <si>
    <t>Target level</t>
  </si>
  <si>
    <t>Recommendation</t>
  </si>
  <si>
    <t>Question weight</t>
  </si>
  <si>
    <t>Digitalization relevance</t>
  </si>
  <si>
    <t>Resilience relevance</t>
  </si>
  <si>
    <t>Process maturity relevance</t>
  </si>
  <si>
    <t>Action owner</t>
  </si>
  <si>
    <t>Due date</t>
  </si>
  <si>
    <t>Selected crisis multiplier</t>
  </si>
  <si>
    <t>Scenario-adjusted WSJF</t>
  </si>
  <si>
    <t>Scenario mitigation theme</t>
  </si>
  <si>
    <t>Mapped initiative ID</t>
  </si>
  <si>
    <t>Mapped initiative</t>
  </si>
  <si>
    <t>Initiative WSJF</t>
  </si>
  <si>
    <t>Initiative roadmap wave</t>
  </si>
  <si>
    <t>Organizational Risk Summary</t>
  </si>
  <si>
    <t>This sheet pulls active risks from the questionnaire. Rank now uses scenario-adjusted and industry-adjusted WSJF, while the original risk score remains visible.</t>
  </si>
  <si>
    <t>Average risk score</t>
  </si>
  <si>
    <t>Top risk score</t>
  </si>
  <si>
    <t>Unassessed questions</t>
  </si>
  <si>
    <t>Avg risk score</t>
  </si>
  <si>
    <t>Max risk score</t>
  </si>
  <si>
    <t>Avg WSJF</t>
  </si>
  <si>
    <t>Unassessed</t>
  </si>
  <si>
    <t>Risk category</t>
  </si>
  <si>
    <t>Risk statement</t>
  </si>
  <si>
    <t>Likelihood 1-5</t>
  </si>
  <si>
    <t>Impact 1-5</t>
  </si>
  <si>
    <t>Priority score 1-5</t>
  </si>
  <si>
    <t>Risk treatment / mitigation</t>
  </si>
  <si>
    <t>Risk owner</t>
  </si>
  <si>
    <t>Source question</t>
  </si>
  <si>
    <t>Scenario-adjusted risk score</t>
  </si>
  <si>
    <t>Industry-adjusted risk score</t>
  </si>
  <si>
    <t>Risk Library / Hidden Vocabulary</t>
  </si>
  <si>
    <t>Internal admin sheet. Each row is one questionnaire item. Score-specific risk statements, risk treatments and complexity values are used by the visible Risk Summary sheet.</t>
  </si>
  <si>
    <t>Risk event</t>
  </si>
  <si>
    <t>Risk drivers</t>
  </si>
  <si>
    <t>Risk if score 0</t>
  </si>
  <si>
    <t>Risk if score 1</t>
  </si>
  <si>
    <t>Risk if score 2</t>
  </si>
  <si>
    <t>Risk if score 3</t>
  </si>
  <si>
    <t>Risk if score 4</t>
  </si>
  <si>
    <t>Risk if score 5</t>
  </si>
  <si>
    <t>Risk treatment if score 0</t>
  </si>
  <si>
    <t>Risk treatment if score 1</t>
  </si>
  <si>
    <t>Risk treatment if score 2</t>
  </si>
  <si>
    <t>Risk treatment if score 3</t>
  </si>
  <si>
    <t>Risk treatment if score 4</t>
  </si>
  <si>
    <t>Risk treatment if score 5</t>
  </si>
  <si>
    <t>Immature capability for legal entity structure, ownership, subsidiaries and operating countries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</si>
  <si>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legal entity structure, ownership, subsidiaries and operating countries.</t>
  </si>
  <si>
    <t>Severe risk: legal entity structure, ownership, subsidiaries and operating countries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</si>
  <si>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legal entity structure, ownership, subsidiaries and operating countries depends on informal practices or individual knowledge. Disruption may expose unclear exposure across entities, sites and markets, delayed strategic response and underestimated crisis impact and slow recovery.</t>
  </si>
  <si>
    <t>Elevated risk: legal entity structure, ownership, subsidiaries and operating countries is partially controlled, but coverage, evidence or testing is inconsistent. Crisis response may be fragmented.</t>
  </si>
  <si>
    <t>Moderate risk: legal entity structure, ownership, subsidiaries and operating countries is documented and owned, but measurement, stress testing and integration with dependent processes need strengthening.</t>
  </si>
  <si>
    <t>Residual risk: legal entity structure, ownership, subsidiaries and operating countries is measured and reviewed, but monitoring, automation or scenario testing should be improved to prevent maturity drift.</t>
  </si>
  <si>
    <t>Low residual risk: legal entity structure, ownership, subsidiaries and operating countries is mature and crisis-tested. Maintain monitoring, evidence, ownership and periodic stress testing.</t>
  </si>
  <si>
    <t>Create an immediate risk owner, minimum control baseline and fallback procedure for legal entity structure, ownership, subsidiaries and operating countries. Add it to the crisis risk register and collect first evidence.</t>
  </si>
  <si>
    <t>Document legal entity structure, ownership, subsidiaries and operating countries, assign RACI, define minimum controls and KPIs, and validate coverage across key sites, teams or systems.</t>
  </si>
  <si>
    <t>Standardize legal entity structure, ownership, subsidiaries and operating countries, close coverage gaps, train accountable roles and connect controls to the relevant crisis scenarios and continuity plans.</t>
  </si>
  <si>
    <t>Measure and test legal entity structure, ownership, subsidiaries and operating countries, run tabletop or operational stress tests, integrate it with dependent processes and update crisis playbooks.</t>
  </si>
  <si>
    <t>Automate monitoring where practical, define leading indicators, run periodic scenario tests and track residual risk after each major change.</t>
  </si>
  <si>
    <t>Sustain maturity for legal entity structure, ownership, subsidiaries and operating countries: keep evidence current, monitor drift, benchmark externally and refresh risk tests after organizational, system or market changes.</t>
  </si>
  <si>
    <t>Immature capability for business model, value proposition, revenue streams and cost drivers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</si>
  <si>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business model, value proposition, revenue streams and cost drivers.</t>
  </si>
  <si>
    <t>Severe risk: business model, value proposition, revenue streams and cost drivers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</si>
  <si>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business model, value proposition, revenue streams and cost drivers depends on informal practices or individual knowledge. Disruption may expose unclear exposure across entities, sites and markets, delayed strategic response and underestimated crisis impact and slow recovery.</t>
  </si>
  <si>
    <t>Elevated risk: business model, value proposition, revenue streams and cost drivers is partially controlled, but coverage, evidence or testing is inconsistent. Crisis response may be fragmented.</t>
  </si>
  <si>
    <t>Moderate risk: business model, value proposition, revenue streams and cost drivers is documented and owned, but measurement, stress testing and integration with dependent processes need strengthening.</t>
  </si>
  <si>
    <t>Residual risk: business model, value proposition, revenue streams and cost drivers is measured and reviewed, but monitoring, automation or scenario testing should be improved to prevent maturity drift.</t>
  </si>
  <si>
    <t>Low residual risk: business model, value proposition, revenue streams and cost drivers is mature and crisis-tested. Maintain monitoring, evidence, ownership and periodic stress testing.</t>
  </si>
  <si>
    <t>Create an immediate risk owner, minimum control baseline and fallback procedure for business model, value proposition, revenue streams and cost drivers. Add it to the crisis risk register and collect first evidence.</t>
  </si>
  <si>
    <t>Document business model, value proposition, revenue streams and cost drivers, assign RACI, define minimum controls and KPIs, and validate coverage across key sites, teams or systems.</t>
  </si>
  <si>
    <t>Standardize business model, value proposition, revenue streams and cost drivers, close coverage gaps, train accountable roles and connect controls to the relevant crisis scenarios and continuity plans.</t>
  </si>
  <si>
    <t>Measure and test business model, value proposition, revenue streams and cost drivers, run tabletop or operational stress tests, integrate it with dependent processes and update crisis playbooks.</t>
  </si>
  <si>
    <t>Sustain maturity for business model, value proposition, revenue streams and cost drivers: keep evidence current, monitor drift, benchmark externally and refresh risk tests after organizational, system or market changes.</t>
  </si>
  <si>
    <t>Immature capability for critical products and services ranked by revenue, margin and continuity priority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</si>
  <si>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critical products and services ranked by revenue, margin and continuity priority.</t>
  </si>
  <si>
    <t>Severe risk: critical products and services ranked by revenue, margin and continuity priority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</si>
  <si>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critical products and services ranked by revenue, margin and continuity priority depends on informal practices or individual knowledge. Disruption may expose unclear exposure across entities, sites and markets, delayed strategic response and underestimated crisis impact and slow recovery.</t>
  </si>
  <si>
    <t>Elevated risk: critical products and services ranked by revenue, margin and continuity priority is partially controlled, but coverage, evidence or testing is inconsistent. Crisis response may be fragmented.</t>
  </si>
  <si>
    <t>Moderate risk: critical products and services ranked by revenue, margin and continuity priority is documented and owned, but measurement, stress testing and integration with dependent processes need strengthening.</t>
  </si>
  <si>
    <t>Residual risk: critical products and services ranked by revenue, margin and continuity priority is measured and reviewed, but monitoring, automation or scenario testing should be improved to prevent maturity drift.</t>
  </si>
  <si>
    <t>Low residual risk: critical products and services ranked by revenue, margin and continuity priority is mature and crisis-tested. Maintain monitoring, evidence, ownership and periodic stress testing.</t>
  </si>
  <si>
    <t>Create an immediate risk owner, minimum control baseline and fallback procedure for critical products and services ranked by revenue, margin and continuity priority. Add it to the crisis risk register and collect first evidence.</t>
  </si>
  <si>
    <t>Document critical products and services ranked by revenue, margin and continuity priority, assign RACI, define minimum controls and KPIs, and validate coverage across key sites, teams or systems.</t>
  </si>
  <si>
    <t>Standardize critical products and services ranked by revenue, margin and continuity priority, close coverage gaps, train accountable roles and connect controls to the relevant crisis scenarios and continuity plans.</t>
  </si>
  <si>
    <t>Measure and test critical products and services ranked by revenue, margin and continuity priority, run tabletop or operational stress tests, integrate it with dependent processes and update crisis playbooks.</t>
  </si>
  <si>
    <t>Sustain maturity for critical products and services ranked by revenue, margin and continuity priority: keep evidence current, monitor drift, benchmark externally and refresh risk tests after organizational, system or market changes.</t>
  </si>
  <si>
    <t>Immature capability for operating model: centralized, distributed, outsourced, remote or hybrid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</si>
  <si>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operating model: centralized, distributed, outsourced, remote or hybrid.</t>
  </si>
  <si>
    <t>Severe risk: operating model: centralized, distributed, outsourced, remote or hybrid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</si>
  <si>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operating model: centralized, distributed, outsourced, remote or hybrid depends on informal practices or individual knowledge. Disruption may expose unclear exposure across entities, sites and markets, delayed strategic response and underestimated crisis impact and slow recovery.</t>
  </si>
  <si>
    <t>Elevated risk: operating model: centralized, distributed, outsourced, remote or hybrid is partially controlled, but coverage, evidence or testing is inconsistent. Crisis response may be fragmented.</t>
  </si>
  <si>
    <t>Moderate risk: operating model: centralized, distributed, outsourced, remote or hybrid is documented and owned, but measurement, stress testing and integration with dependent processes need strengthening.</t>
  </si>
  <si>
    <t>Residual risk: operating model: centralized, distributed, outsourced, remote or hybrid is measured and reviewed, but monitoring, automation or scenario testing should be improved to prevent maturity drift.</t>
  </si>
  <si>
    <t>Low residual risk: operating model: centralized, distributed, outsourced, remote or hybrid is mature and crisis-tested. Maintain monitoring, evidence, ownership and periodic stress testing.</t>
  </si>
  <si>
    <t>Create an immediate risk owner, minimum control baseline and fallback procedure for operating model: centralized, distributed, outsourced, remote or hybrid. Add it to the crisis risk register and collect first evidence.</t>
  </si>
  <si>
    <t>Document operating model: centralized, distributed, outsourced, remote or hybrid, assign RACI, define minimum controls and KPIs, and validate coverage across key sites, teams or systems.</t>
  </si>
  <si>
    <t>Standardize operating model: centralized, distributed, outsourced, remote or hybrid, close coverage gaps, train accountable roles and connect controls to the relevant crisis scenarios and continuity plans.</t>
  </si>
  <si>
    <t>Measure and test operating model: centralized, distributed, outsourced, remote or hybrid, run tabletop or operational stress tests, integrate it with dependent processes and update crisis playbooks.</t>
  </si>
  <si>
    <t>Sustain maturity for operating model: centralized, distributed, outsourced, remote or hybrid: keep evidence current, monitor drift, benchmark externally and refresh risk tests after organizational, system or market changes.</t>
  </si>
  <si>
    <t>Immature capability for critical assets: people, facilities, systems, data, equipment and intellectual property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</si>
  <si>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critical assets: people, facilities, systems, data, equipment and intellectual property.</t>
  </si>
  <si>
    <t>Severe risk: critical assets: people, facilities, systems, data, equipment and intellectual property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</si>
  <si>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critical assets: people, facilities, systems, data, equipment and intellectual property depends on informal practices or individual knowledge. Disruption may expose unclear exposure across entities, sites and markets, delayed strategic response and underestimated crisis impact and slow recovery.</t>
  </si>
  <si>
    <t>Elevated risk: critical assets: people, facilities, systems, data, equipment and intellectual property is partially controlled, but coverage, evidence or testing is inconsistent. Crisis response may be fragmented.</t>
  </si>
  <si>
    <t>Moderate risk: critical assets: people, facilities, systems, data, equipment and intellectual property is documented and owned, but measurement, stress testing and integration with dependent processes need strengthening.</t>
  </si>
  <si>
    <t>Residual risk: critical assets: people, facilities, systems, data, equipment and intellectual property is measured and reviewed, but monitoring, automation or scenario testing should be improved to prevent maturity drift.</t>
  </si>
  <si>
    <t>Low residual risk: critical assets: people, facilities, systems, data, equipment and intellectual property is mature and crisis-tested. Maintain monitoring, evidence, ownership and periodic stress testing.</t>
  </si>
  <si>
    <t>Create an immediate risk owner, minimum control baseline and fallback procedure for critical assets: people, facilities, systems, data, equipment and intellectual property. Add it to the crisis risk register and collect first evidence.</t>
  </si>
  <si>
    <t>Document critical assets: people, facilities, systems, data, equipment and intellectual property, assign RACI, define minimum controls and KPIs, and validate coverage across key sites, teams or systems.</t>
  </si>
  <si>
    <t>Standardize critical assets: people, facilities, systems, data, equipment and intellectual property, close coverage gaps, train accountable roles and connect controls to the relevant crisis scenarios and continuity plans.</t>
  </si>
  <si>
    <t>Measure and test critical assets: people, facilities, systems, data, equipment and intellectual property, run tabletop or operational stress tests, integrate it with dependent processes and update crisis playbooks.</t>
  </si>
  <si>
    <t>Sustain maturity for critical assets: people, facilities, systems, data, equipment and intellectual property: keep evidence current, monitor drift, benchmark externally and refresh risk tests after organizational, system or market changes.</t>
  </si>
  <si>
    <t>Immature capability for regulatory exposure by country, market, product and customer type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</si>
  <si>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regulatory exposure by country, market, product and customer type.</t>
  </si>
  <si>
    <t>Severe risk: regulatory exposure by country, market, product and customer type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</si>
  <si>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regulatory exposure by country, market, product and customer type depends on informal practices or individual knowledge. Disruption may expose unclear exposure across entities, sites and markets, delayed strategic response and underestimated crisis impact and slow recovery.</t>
  </si>
  <si>
    <t>Elevated risk: regulatory exposure by country, market, product and customer type is partially controlled, but coverage, evidence or testing is inconsistent. Crisis response may be fragmented.</t>
  </si>
  <si>
    <t>Moderate risk: regulatory exposure by country, market, product and customer type is documented and owned, but measurement, stress testing and integration with dependent processes need strengthening.</t>
  </si>
  <si>
    <t>Residual risk: regulatory exposure by country, market, product and customer type is measured and reviewed, but monitoring, automation or scenario testing should be improved to prevent maturity drift.</t>
  </si>
  <si>
    <t>Low residual risk: regulatory exposure by country, market, product and customer type is mature and crisis-tested. Maintain monitoring, evidence, ownership and periodic stress testing.</t>
  </si>
  <si>
    <t>Create an immediate risk owner, minimum control baseline and fallback procedure for regulatory exposure by country, market, product and customer type. Add it to the crisis risk register and collect first evidence.</t>
  </si>
  <si>
    <t>Document regulatory exposure by country, market, product and customer type, assign RACI, define minimum controls and KPIs, and validate coverage across key sites, teams or systems.</t>
  </si>
  <si>
    <t>Standardize regulatory exposure by country, market, product and customer type, close coverage gaps, train accountable roles and connect controls to the relevant crisis scenarios and continuity plans.</t>
  </si>
  <si>
    <t>Measure and test regulatory exposure by country, market, product and customer type, run tabletop or operational stress tests, integrate it with dependent processes and update crisis playbooks.</t>
  </si>
  <si>
    <t>Sustain maturity for regulatory exposure by country, market, product and customer type: keep evidence current, monitor drift, benchmark externally and refresh risk tests after organizational, system or market changes.</t>
  </si>
  <si>
    <t>Immature capability for insurance coverage for business interruption, cyber, liability, property and key assets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</si>
  <si>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insurance coverage for business interruption, cyber, liability, property and key assets.</t>
  </si>
  <si>
    <t>Severe risk: insurance coverage for business interruption, cyber, liability, property and key assets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</si>
  <si>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insurance coverage for business interruption, cyber, liability, property and key assets depends on informal practices or individual knowledge. Disruption may expose unclear exposure across entities, sites and markets, delayed strategic response and underestimated crisis impact and slow recovery.</t>
  </si>
  <si>
    <t>Elevated risk: insurance coverage for business interruption, cyber, liability, property and key assets is partially controlled, but coverage, evidence or testing is inconsistent. Crisis response may be fragmented.</t>
  </si>
  <si>
    <t>Moderate risk: insurance coverage for business interruption, cyber, liability, property and key assets is documented and owned, but measurement, stress testing and integration with dependent processes need strengthening.</t>
  </si>
  <si>
    <t>Residual risk: insurance coverage for business interruption, cyber, liability, property and key assets is measured and reviewed, but monitoring, automation or scenario testing should be improved to prevent maturity drift.</t>
  </si>
  <si>
    <t>Low residual risk: insurance coverage for business interruption, cyber, liability, property and key assets is mature and crisis-tested. Maintain monitoring, evidence, ownership and periodic stress testing.</t>
  </si>
  <si>
    <t>Create an immediate risk owner, minimum control baseline and fallback procedure for insurance coverage for business interruption, cyber, liability, property and key assets. Add it to the crisis risk register and collect first evidence.</t>
  </si>
  <si>
    <t>Document insurance coverage for business interruption, cyber, liability, property and key assets, assign RACI, define minimum controls and KPIs, and validate coverage across key sites, teams or systems.</t>
  </si>
  <si>
    <t>Standardize insurance coverage for business interruption, cyber, liability, property and key assets, close coverage gaps, train accountable roles and connect controls to the relevant crisis scenarios and continuity plans.</t>
  </si>
  <si>
    <t>Measure and test insurance coverage for business interruption, cyber, liability, property and key assets, run tabletop or operational stress tests, integrate it with dependent processes and update crisis playbooks.</t>
  </si>
  <si>
    <t>Sustain maturity for insurance coverage for business interruption, cyber, liability, property and key assets: keep evidence current, monitor drift, benchmark externally and refresh risk tests after organizational, system or market changes.</t>
  </si>
  <si>
    <t>Immature capability for workforce distribution by country, city, function, contract type and criticality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</si>
  <si>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workforce distribution by country, city, function, contract type and criticality.</t>
  </si>
  <si>
    <t>Severe risk: workforce distribution by country, city, function, contract type and criticality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</si>
  <si>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workforce distribution by country, city, function, contract type and criticality depends on informal practices or individual knowledge. Disruption may expose unclear exposure across entities, sites and markets, delayed strategic response and underestimated crisis impact and slow recovery.</t>
  </si>
  <si>
    <t>Elevated risk: workforce distribution by country, city, function, contract type and criticality is partially controlled, but coverage, evidence or testing is inconsistent. Crisis response may be fragmented.</t>
  </si>
  <si>
    <t>Moderate risk: workforce distribution by country, city, function, contract type and criticality is documented and owned, but measurement, stress testing and integration with dependent processes need strengthening.</t>
  </si>
  <si>
    <t>Residual risk: workforce distribution by country, city, function, contract type and criticality is measured and reviewed, but monitoring, automation or scenario testing should be improved to prevent maturity drift.</t>
  </si>
  <si>
    <t>Low residual risk: workforce distribution by country, city, function, contract type and criticality is mature and crisis-tested. Maintain monitoring, evidence, ownership and periodic stress testing.</t>
  </si>
  <si>
    <t>Create an immediate risk owner, minimum control baseline and fallback procedure for workforce distribution by country, city, function, contract type and criticality. Add it to the crisis risk register and collect first evidence.</t>
  </si>
  <si>
    <t>Document workforce distribution by country, city, function, contract type and criticality, assign RACI, define minimum controls and KPIs, and validate coverage across key sites, teams or systems.</t>
  </si>
  <si>
    <t>Standardize workforce distribution by country, city, function, contract type and criticality, close coverage gaps, train accountable roles and connect controls to the relevant crisis scenarios and continuity plans.</t>
  </si>
  <si>
    <t>Measure and test workforce distribution by country, city, function, contract type and criticality, run tabletop or operational stress tests, integrate it with dependent processes and update crisis playbooks.</t>
  </si>
  <si>
    <t>Sustain maturity for workforce distribution by country, city, function, contract type and criticality: keep evidence current, monitor drift, benchmark externally and refresh risk tests after organizational, system or market changes.</t>
  </si>
  <si>
    <t>Immature capability for site distribution across offices, plants, warehouses, stores, labs and data centers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</si>
  <si>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site distribution across offices, plants, warehouses, stores, labs and data centers.</t>
  </si>
  <si>
    <t>Severe risk: site distribution across offices, plants, warehouses, stores, labs and data centers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</si>
  <si>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site distribution across offices, plants, warehouses, stores, labs and data centers depends on informal practices or individual knowledge. Disruption may expose unclear exposure across entities, sites and markets, delayed strategic response and underestimated crisis impact and slow recovery.</t>
  </si>
  <si>
    <t>Elevated risk: site distribution across offices, plants, warehouses, stores, labs and data centers is partially controlled, but coverage, evidence or testing is inconsistent. Crisis response may be fragmented.</t>
  </si>
  <si>
    <t>Moderate risk: site distribution across offices, plants, warehouses, stores, labs and data centers is documented and owned, but measurement, stress testing and integration with dependent processes need strengthening.</t>
  </si>
  <si>
    <t>Residual risk: site distribution across offices, plants, warehouses, stores, labs and data centers is measured and reviewed, but monitoring, automation or scenario testing should be improved to prevent maturity drift.</t>
  </si>
  <si>
    <t>Low residual risk: site distribution across offices, plants, warehouses, stores, labs and data centers is mature and crisis-tested. Maintain monitoring, evidence, ownership and periodic stress testing.</t>
  </si>
  <si>
    <t>Create an immediate risk owner, minimum control baseline and fallback procedure for site distribution across offices, plants, warehouses, stores, labs and data centers. Add it to the crisis risk register and collect first evidence.</t>
  </si>
  <si>
    <t>Document site distribution across offices, plants, warehouses, stores, labs and data centers, assign RACI, define minimum controls and KPIs, and validate coverage across key sites, teams or systems.</t>
  </si>
  <si>
    <t>Standardize site distribution across offices, plants, warehouses, stores, labs and data centers, close coverage gaps, train accountable roles and connect controls to the relevant crisis scenarios and continuity plans.</t>
  </si>
  <si>
    <t>Measure and test site distribution across offices, plants, warehouses, stores, labs and data centers, run tabletop or operational stress tests, integrate it with dependent processes and update crisis playbooks.</t>
  </si>
  <si>
    <t>Sustain maturity for site distribution across offices, plants, warehouses, stores, labs and data centers: keep evidence current, monitor drift, benchmark externally and refresh risk tests after organizational, system or market changes.</t>
  </si>
  <si>
    <t>Immature capability for revenue distribution by country, currency, customer geography and market exposure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</si>
  <si>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revenue distribution by country, currency, customer geography and market exposure.</t>
  </si>
  <si>
    <t>Severe risk: revenue distribution by country, currency, customer geography and market exposure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</si>
  <si>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revenue distribution by country, currency, customer geography and market exposure depends on informal practices or individual knowledge. Disruption may expose unclear exposure across entities, sites and markets, delayed strategic response and underestimated crisis impact and slow recovery.</t>
  </si>
  <si>
    <t>Elevated risk: revenue distribution by country, currency, customer geography and market exposure is partially controlled, but coverage, evidence or testing is inconsistent. Crisis response may be fragmented.</t>
  </si>
  <si>
    <t>Moderate risk: revenue distribution by country, currency, customer geography and market exposure is documented and owned, but measurement, stress testing and integration with dependent processes need strengthening.</t>
  </si>
  <si>
    <t>Residual risk: revenue distribution by country, currency, customer geography and market exposure is measured and reviewed, but monitoring, automation or scenario testing should be improved to prevent maturity drift.</t>
  </si>
  <si>
    <t>Low residual risk: revenue distribution by country, currency, customer geography and market exposure is mature and crisis-tested. Maintain monitoring, evidence, ownership and periodic stress testing.</t>
  </si>
  <si>
    <t>Create an immediate risk owner, minimum control baseline and fallback procedure for revenue distribution by country, currency, customer geography and market exposure. Add it to the crisis risk register and collect first evidence.</t>
  </si>
  <si>
    <t>Document revenue distribution by country, currency, customer geography and market exposure, assign RACI, define minimum controls and KPIs, and validate coverage across key sites, teams or systems.</t>
  </si>
  <si>
    <t>Standardize revenue distribution by country, currency, customer geography and market exposure, close coverage gaps, train accountable roles and connect controls to the relevant crisis scenarios and continuity plans.</t>
  </si>
  <si>
    <t>Measure and test revenue distribution by country, currency, customer geography and market exposure, run tabletop or operational stress tests, integrate it with dependent processes and update crisis playbooks.</t>
  </si>
  <si>
    <t>Sustain maturity for revenue distribution by country, currency, customer geography and market exposure: keep evidence current, monitor drift, benchmark externally and refresh risk tests after organizational, system or market changes.</t>
  </si>
  <si>
    <t>Immature capability for supplier distribution by country, tier, criticality and replacement options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</si>
  <si>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supplier distribution by country, tier, criticality and replacement options.</t>
  </si>
  <si>
    <t>Severe risk: supplier distribution by country, tier, criticality and replacement options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</si>
  <si>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supplier distribution by country, tier, criticality and replacement options depends on informal practices or individual knowledge. Disruption may expose unclear exposure across entities, sites and markets, delayed strategic response and underestimated crisis impact and slow recovery.</t>
  </si>
  <si>
    <t>Elevated risk: supplier distribution by country, tier, criticality and replacement options is partially controlled, but coverage, evidence or testing is inconsistent. Crisis response may be fragmented.</t>
  </si>
  <si>
    <t>Moderate risk: supplier distribution by country, tier, criticality and replacement options is documented and owned, but measurement, stress testing and integration with dependent processes need strengthening.</t>
  </si>
  <si>
    <t>Residual risk: supplier distribution by country, tier, criticality and replacement options is measured and reviewed, but monitoring, automation or scenario testing should be improved to prevent maturity drift.</t>
  </si>
  <si>
    <t>Low residual risk: supplier distribution by country, tier, criticality and replacement options is mature and crisis-tested. Maintain monitoring, evidence, ownership and periodic stress testing.</t>
  </si>
  <si>
    <t>Create an immediate risk owner, minimum control baseline and fallback procedure for supplier distribution by country, tier, criticality and replacement options. Add it to the crisis risk register and collect first evidence.</t>
  </si>
  <si>
    <t>Document supplier distribution by country, tier, criticality and replacement options, assign RACI, define minimum controls and KPIs, and validate coverage across key sites, teams or systems.</t>
  </si>
  <si>
    <t>Standardize supplier distribution by country, tier, criticality and replacement options, close coverage gaps, train accountable roles and connect controls to the relevant crisis scenarios and continuity plans.</t>
  </si>
  <si>
    <t>Measure and test supplier distribution by country, tier, criticality and replacement options, run tabletop or operational stress tests, integrate it with dependent processes and update crisis playbooks.</t>
  </si>
  <si>
    <t>Sustain maturity for supplier distribution by country, tier, criticality and replacement options: keep evidence current, monitor drift, benchmark externally and refresh risk tests after organizational, system or market changes.</t>
  </si>
  <si>
    <t>Immature capability for customer distribution by geography, industry, contract and crisis sensitivity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</si>
  <si>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customer distribution by geography, industry, contract and crisis sensitivity.</t>
  </si>
  <si>
    <t>Severe risk: customer distribution by geography, industry, contract and crisis sensitivity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</si>
  <si>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customer distribution by geography, industry, contract and crisis sensitivity depends on informal practices or individual knowledge. Disruption may expose unclear exposure across entities, sites and markets, delayed strategic response and underestimated crisis impact and slow recovery.</t>
  </si>
  <si>
    <t>Elevated risk: customer distribution by geography, industry, contract and crisis sensitivity is partially controlled, but coverage, evidence or testing is inconsistent. Crisis response may be fragmented.</t>
  </si>
  <si>
    <t>Moderate risk: customer distribution by geography, industry, contract and crisis sensitivity is documented and owned, but measurement, stress testing and integration with dependent processes need strengthening.</t>
  </si>
  <si>
    <t>Residual risk: customer distribution by geography, industry, contract and crisis sensitivity is measured and reviewed, but monitoring, automation or scenario testing should be improved to prevent maturity drift.</t>
  </si>
  <si>
    <t>Low residual risk: customer distribution by geography, industry, contract and crisis sensitivity is mature and crisis-tested. Maintain monitoring, evidence, ownership and periodic stress testing.</t>
  </si>
  <si>
    <t>Create an immediate risk owner, minimum control baseline and fallback procedure for customer distribution by geography, industry, contract and crisis sensitivity. Add it to the crisis risk register and collect first evidence.</t>
  </si>
  <si>
    <t>Document customer distribution by geography, industry, contract and crisis sensitivity, assign RACI, define minimum controls and KPIs, and validate coverage across key sites, teams or systems.</t>
  </si>
  <si>
    <t>Standardize customer distribution by geography, industry, contract and crisis sensitivity, close coverage gaps, train accountable roles and connect controls to the relevant crisis scenarios and continuity plans.</t>
  </si>
  <si>
    <t>Measure and test customer distribution by geography, industry, contract and crisis sensitivity, run tabletop or operational stress tests, integrate it with dependent processes and update crisis playbooks.</t>
  </si>
  <si>
    <t>Sustain maturity for customer distribution by geography, industry, contract and crisis sensitivity: keep evidence current, monitor drift, benchmark externally and refresh risk tests after organizational, system or market changes.</t>
  </si>
  <si>
    <t>Immature capability for country risk monitoring for war, sanctions, political instability, natural disaster and energy risks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</si>
  <si>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country risk monitoring for war, sanctions, political instability, natural disaster and energy risks.</t>
  </si>
  <si>
    <t>Severe risk: country risk monitoring for war, sanctions, political instability, natural disaster and energy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</si>
  <si>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country risk monitoring for war, sanctions, political instability, natural disaster and energy risks depends on informal practices or individual knowledge. Disruption may expose unclear exposure across entities, sites and markets, delayed strategic response and underestimated crisis impact and slow recovery.</t>
  </si>
  <si>
    <t>Elevated risk: country risk monitoring for war, sanctions, political instability, natural disaster and energy risks is partially controlled, but coverage, evidence or testing is inconsistent. Crisis response may be fragmented.</t>
  </si>
  <si>
    <t>Moderate risk: country risk monitoring for war, sanctions, political instability, natural disaster and energy risks is documented and owned, but measurement, stress testing and integration with dependent processes need strengthening.</t>
  </si>
  <si>
    <t>Residual risk: country risk monitoring for war, sanctions, political instability, natural disaster and energy risks is measured and reviewed, but monitoring, automation or scenario testing should be improved to prevent maturity drift.</t>
  </si>
  <si>
    <t>Low residual risk: country risk monitoring for war, sanctions, political instability, natural disaster and energy risks is mature and crisis-tested. Maintain monitoring, evidence, ownership and periodic stress testing.</t>
  </si>
  <si>
    <t>Create an immediate risk owner, minimum control baseline and fallback procedure for country risk monitoring for war, sanctions, political instability, natural disaster and energy risks. Add it to the crisis risk register and collect first evidence.</t>
  </si>
  <si>
    <t>Document country risk monitoring for war, sanctions, political instability, natural disaster and energy risks, assign RACI, define minimum controls and KPIs, and validate coverage across key sites, teams or systems.</t>
  </si>
  <si>
    <t>Standardize country risk monitoring for war, sanctions, political instability, natural disaster and energy risks, close coverage gaps, train accountable roles and connect controls to the relevant crisis scenarios and continuity plans.</t>
  </si>
  <si>
    <t>Measure and test country risk monitoring for war, sanctions, political instability, natural disaster and energy risks, run tabletop or operational stress tests, integrate it with dependent processes and update crisis playbooks.</t>
  </si>
  <si>
    <t>Sustain maturity for country risk monitoring for war, sanctions, political instability, natural disaster and energy risks: keep evidence current, monitor drift, benchmark externally and refresh risk tests after organizational, system or market changes.</t>
  </si>
  <si>
    <t>Immature capability for relocation and alternative location options for critical teams and operations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</si>
  <si>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relocation and alternative location options for critical teams and operations.</t>
  </si>
  <si>
    <t>Severe risk: relocation and alternative location options for critical teams and operations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</si>
  <si>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relocation and alternative location options for critical teams and operations depends on informal practices or individual knowledge. Disruption may expose unclear exposure across entities, sites and markets, delayed strategic response and underestimated crisis impact and slow recovery.</t>
  </si>
  <si>
    <t>Elevated risk: relocation and alternative location options for critical teams and operations is partially controlled, but coverage, evidence or testing is inconsistent. Crisis response may be fragmented.</t>
  </si>
  <si>
    <t>Moderate risk: relocation and alternative location options for critical teams and operations is documented and owned, but measurement, stress testing and integration with dependent processes need strengthening.</t>
  </si>
  <si>
    <t>Residual risk: relocation and alternative location options for critical teams and operations is measured and reviewed, but monitoring, automation or scenario testing should be improved to prevent maturity drift.</t>
  </si>
  <si>
    <t>Low residual risk: relocation and alternative location options for critical teams and operations is mature and crisis-tested. Maintain monitoring, evidence, ownership and periodic stress testing.</t>
  </si>
  <si>
    <t>Create an immediate risk owner, minimum control baseline and fallback procedure for relocation and alternative location options for critical teams and operations. Add it to the crisis risk register and collect first evidence.</t>
  </si>
  <si>
    <t>Document relocation and alternative location options for critical teams and operations, assign RACI, define minimum controls and KPIs, and validate coverage across key sites, teams or systems.</t>
  </si>
  <si>
    <t>Standardize relocation and alternative location options for critical teams and operations, close coverage gaps, train accountable roles and connect controls to the relevant crisis scenarios and continuity plans.</t>
  </si>
  <si>
    <t>Measure and test relocation and alternative location options for critical teams and operations, run tabletop or operational stress tests, integrate it with dependent processes and update crisis playbooks.</t>
  </si>
  <si>
    <t>Sustain maturity for relocation and alternative location options for critical teams and operations: keep evidence current, monitor drift, benchmark externally and refresh risk tests after organizational, system or market changes.</t>
  </si>
  <si>
    <t>Immature capability for dependencies between sites, teams, suppliers, customers, systems and critical processes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</si>
  <si>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dependencies between sites, teams, suppliers, customers, systems and critical processes.</t>
  </si>
  <si>
    <t>Severe risk: dependencies between sites, teams, suppliers, customers, systems and critical processes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</si>
  <si>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dependencies between sites, teams, suppliers, customers, systems and critical processes depends on informal practices or individual knowledge. Disruption may expose unclear exposure across entities, sites and markets, delayed strategic response and underestimated crisis impact and slow recovery.</t>
  </si>
  <si>
    <t>Elevated risk: dependencies between sites, teams, suppliers, customers, systems and critical processes is partially controlled, but coverage, evidence or testing is inconsistent. Crisis response may be fragmented.</t>
  </si>
  <si>
    <t>Moderate risk: dependencies between sites, teams, suppliers, customers, systems and critical processes is documented and owned, but measurement, stress testing and integration with dependent processes need strengthening.</t>
  </si>
  <si>
    <t>Residual risk: dependencies between sites, teams, suppliers, customers, systems and critical processes is measured and reviewed, but monitoring, automation or scenario testing should be improved to prevent maturity drift.</t>
  </si>
  <si>
    <t>Low residual risk: dependencies between sites, teams, suppliers, customers, systems and critical processes is mature and crisis-tested. Maintain monitoring, evidence, ownership and periodic stress testing.</t>
  </si>
  <si>
    <t>Create an immediate risk owner, minimum control baseline and fallback procedure for dependencies between sites, teams, suppliers, customers, systems and critical processes. Add it to the crisis risk register and collect first evidence.</t>
  </si>
  <si>
    <t>Document dependencies between sites, teams, suppliers, customers, systems and critical processes, assign RACI, define minimum controls and KPIs, and validate coverage across key sites, teams or systems.</t>
  </si>
  <si>
    <t>Standardize dependencies between sites, teams, suppliers, customers, systems and critical processes, close coverage gaps, train accountable roles and connect controls to the relevant crisis scenarios and continuity plans.</t>
  </si>
  <si>
    <t>Measure and test dependencies between sites, teams, suppliers, customers, systems and critical processes, run tabletop or operational stress tests, integrate it with dependent processes and update crisis playbooks.</t>
  </si>
  <si>
    <t>Sustain maturity for dependencies between sites, teams, suppliers, customers, systems and critical processes: keep evidence current, monitor drift, benchmark externally and refresh risk tests after organizational, system or market changes.</t>
  </si>
  <si>
    <t>Immature capability for single-country, single-site and single-provider concentration risks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</si>
  <si>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single-country, single-site and single-provider concentration risks.</t>
  </si>
  <si>
    <t>Severe risk: single-country, single-site and single-provider concentration risks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</si>
  <si>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single-country, single-site and single-provider concentration risks depends on informal practices or individual knowledge. Disruption may expose unclear exposure across entities, sites and markets, delayed strategic response and underestimated crisis impact and slow recovery.</t>
  </si>
  <si>
    <t>Elevated risk: single-country, single-site and single-provider concentration risks is partially controlled, but coverage, evidence or testing is inconsistent. Crisis response may be fragmented.</t>
  </si>
  <si>
    <t>Moderate risk: single-country, single-site and single-provider concentration risks is documented and owned, but measurement, stress testing and integration with dependent processes need strengthening.</t>
  </si>
  <si>
    <t>Residual risk: single-country, single-site and single-provider concentration risks is measured and reviewed, but monitoring, automation or scenario testing should be improved to prevent maturity drift.</t>
  </si>
  <si>
    <t>Low residual risk: single-country, single-site and single-provider concentration risks is mature and crisis-tested. Maintain monitoring, evidence, ownership and periodic stress testing.</t>
  </si>
  <si>
    <t>Create an immediate risk owner, minimum control baseline and fallback procedure for single-country, single-site and single-provider concentration risks. Add it to the crisis risk register and collect first evidence.</t>
  </si>
  <si>
    <t>Document single-country, single-site and single-provider concentration risks, assign RACI, define minimum controls and KPIs, and validate coverage across key sites, teams or systems.</t>
  </si>
  <si>
    <t>Standardize single-country, single-site and single-provider concentration risks, close coverage gaps, train accountable roles and connect controls to the relevant crisis scenarios and continuity plans.</t>
  </si>
  <si>
    <t>Measure and test single-country, single-site and single-provider concentration risks, run tabletop or operational stress tests, integrate it with dependent processes and update crisis playbooks.</t>
  </si>
  <si>
    <t>Sustain maturity for single-country, single-site and single-provider concentration risks: keep evidence current, monitor drift, benchmark externally and refresh risk tests after organizational, system or market changes.</t>
  </si>
  <si>
    <t>Immature capability for external stakeholder map: owners, banks, regulators, insurers, local authorities and strategic partners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</si>
  <si>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external stakeholder map: owners, banks, regulators, insurers, local authorities and strategic partners.</t>
  </si>
  <si>
    <t>Severe risk: external stakeholder map: owners, banks, regulators, insurers, local authorities and strategic partners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</si>
  <si>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external stakeholder map: owners, banks, regulators, insurers, local authorities and strategic partners depends on informal practices or individual knowledge. Disruption may expose unclear exposure across entities, sites and markets, delayed strategic response and underestimated crisis impact and slow recovery.</t>
  </si>
  <si>
    <t>Elevated risk: external stakeholder map: owners, banks, regulators, insurers, local authorities and strategic partners is partially controlled, but coverage, evidence or testing is inconsistent. Crisis response may be fragmented.</t>
  </si>
  <si>
    <t>Moderate risk: external stakeholder map: owners, banks, regulators, insurers, local authorities and strategic partners is documented and owned, but measurement, stress testing and integration with dependent processes need strengthening.</t>
  </si>
  <si>
    <t>Residual risk: external stakeholder map: owners, banks, regulators, insurers, local authorities and strategic partners is measured and reviewed, but monitoring, automation or scenario testing should be improved to prevent maturity drift.</t>
  </si>
  <si>
    <t>Low residual risk: external stakeholder map: owners, banks, regulators, insurers, local authorities and strategic partners is mature and crisis-tested. Maintain monitoring, evidence, ownership and periodic stress testing.</t>
  </si>
  <si>
    <t>Create an immediate risk owner, minimum control baseline and fallback procedure for external stakeholder map: owners, banks, regulators, insurers, local authorities and strategic partners. Add it to the crisis risk register and collect first evidence.</t>
  </si>
  <si>
    <t>Document external stakeholder map: owners, banks, regulators, insurers, local authorities and strategic partners, assign RACI, define minimum controls and KPIs, and validate coverage across key sites, teams or systems.</t>
  </si>
  <si>
    <t>Standardize external stakeholder map: owners, banks, regulators, insurers, local authorities and strategic partners, close coverage gaps, train accountable roles and connect controls to the relevant crisis scenarios and continuity plans.</t>
  </si>
  <si>
    <t>Measure and test external stakeholder map: owners, banks, regulators, insurers, local authorities and strategic partners, run tabletop or operational stress tests, integrate it with dependent processes and update crisis playbooks.</t>
  </si>
  <si>
    <t>Sustain maturity for external stakeholder map: owners, banks, regulators, insurers, local authorities and strategic partners: keep evidence current, monitor drift, benchmark externally and refresh risk tests after organizational, system or market changes.</t>
  </si>
  <si>
    <t>Immature capability for data residency and cross-border transfer exposure by system and geography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</si>
  <si>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data residency and cross-border transfer exposure by system and geography.</t>
  </si>
  <si>
    <t>Severe risk: data residency and cross-border transfer exposure by system and geography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</si>
  <si>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data residency and cross-border transfer exposure by system and geography depends on informal practices or individual knowledge. Disruption may expose unclear exposure across entities, sites and markets, delayed strategic response and underestimated crisis impact and slow recovery.</t>
  </si>
  <si>
    <t>Elevated risk: data residency and cross-border transfer exposure by system and geography is partially controlled, but coverage, evidence or testing is inconsistent. Crisis response may be fragmented.</t>
  </si>
  <si>
    <t>Moderate risk: data residency and cross-border transfer exposure by system and geography is documented and owned, but measurement, stress testing and integration with dependent processes need strengthening.</t>
  </si>
  <si>
    <t>Residual risk: data residency and cross-border transfer exposure by system and geography is measured and reviewed, but monitoring, automation or scenario testing should be improved to prevent maturity drift.</t>
  </si>
  <si>
    <t>Low residual risk: data residency and cross-border transfer exposure by system and geography is mature and crisis-tested. Maintain monitoring, evidence, ownership and periodic stress testing.</t>
  </si>
  <si>
    <t>Create an immediate risk owner, minimum control baseline and fallback procedure for data residency and cross-border transfer exposure by system and geography. Add it to the crisis risk register and collect first evidence.</t>
  </si>
  <si>
    <t>Document data residency and cross-border transfer exposure by system and geography, assign RACI, define minimum controls and KPIs, and validate coverage across key sites, teams or systems.</t>
  </si>
  <si>
    <t>Standardize data residency and cross-border transfer exposure by system and geography, close coverage gaps, train accountable roles and connect controls to the relevant crisis scenarios and continuity plans.</t>
  </si>
  <si>
    <t>Measure and test data residency and cross-border transfer exposure by system and geography, run tabletop or operational stress tests, integrate it with dependent processes and update crisis playbooks.</t>
  </si>
  <si>
    <t>Sustain maturity for data residency and cross-border transfer exposure by system and geography: keep evidence current, monitor drift, benchmark externally and refresh risk tests after organizational, system or market changes.</t>
  </si>
  <si>
    <t>Immature capability for acceptable downtime thresholds by geography, function, customer and process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</si>
  <si>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acceptable downtime thresholds by geography, function, customer and process.</t>
  </si>
  <si>
    <t>Severe risk: acceptable downtime thresholds by geography, function, customer and process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</si>
  <si>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acceptable downtime thresholds by geography, function, customer and process depends on informal practices or individual knowledge. Disruption may expose unclear exposure across entities, sites and markets, delayed strategic response and underestimated crisis impact and slow recovery.</t>
  </si>
  <si>
    <t>Elevated risk: acceptable downtime thresholds by geography, function, customer and process is partially controlled, but coverage, evidence or testing is inconsistent. Crisis response may be fragmented.</t>
  </si>
  <si>
    <t>Moderate risk: acceptable downtime thresholds by geography, function, customer and process is documented and owned, but measurement, stress testing and integration with dependent processes need strengthening.</t>
  </si>
  <si>
    <t>Residual risk: acceptable downtime thresholds by geography, function, customer and process is measured and reviewed, but monitoring, automation or scenario testing should be improved to prevent maturity drift.</t>
  </si>
  <si>
    <t>Low residual risk: acceptable downtime thresholds by geography, function, customer and process is mature and crisis-tested. Maintain monitoring, evidence, ownership and periodic stress testing.</t>
  </si>
  <si>
    <t>Create an immediate risk owner, minimum control baseline and fallback procedure for acceptable downtime thresholds by geography, function, customer and process. Add it to the crisis risk register and collect first evidence.</t>
  </si>
  <si>
    <t>Document acceptable downtime thresholds by geography, function, customer and process, assign RACI, define minimum controls and KPIs, and validate coverage across key sites, teams or systems.</t>
  </si>
  <si>
    <t>Standardize acceptable downtime thresholds by geography, function, customer and process, close coverage gaps, train accountable roles and connect controls to the relevant crisis scenarios and continuity plans.</t>
  </si>
  <si>
    <t>Measure and test acceptable downtime thresholds by geography, function, customer and process, run tabletop or operational stress tests, integrate it with dependent processes and update crisis playbooks.</t>
  </si>
  <si>
    <t>Sustain maturity for acceptable downtime thresholds by geography, function, customer and process: keep evidence current, monitor drift, benchmark externally and refresh risk tests after organizational, system or market changes.</t>
  </si>
  <si>
    <t>Immature capability for crisis exposure profile for each major business line and operating geography may lead to unclear exposure across entities, sites and markets, delayed strategic response and underestimated crisis impact during Geopolitical risk; Physical site loss; Regulatory/legal shock.</t>
  </si>
  <si>
    <t>Low maturity, weak ownership, incomplete evidence, insufficient testing and poor integration with crisis-management routines for crisis exposure profile for each major business line and operating geography.</t>
  </si>
  <si>
    <t>Severe risk: crisis exposure profile for each major business line and operating geography is not reliably controlled. During Geopolitical risk; Physical site loss; Regulatory/legal shock, the organization may face unclear exposure across entities, sites and markets, delayed strategic response and underestimated crisis impact with limited visibility or accountability.</t>
  </si>
  <si>
    <t>High risk: crisis exposure profile for each major business line and operating geography depends on informal practices or individual knowledge. Disruption may expose unclear exposure across entities, sites and markets, delayed strategic response and underestimated crisis impact and slow recovery.</t>
  </si>
  <si>
    <t>Elevated risk: crisis exposure profile for each major business line and operating geography is partially controlled, but coverage, evidence or testing is inconsistent. Crisis response may be fragmented.</t>
  </si>
  <si>
    <t>Moderate risk: crisis exposure profile for each major business line and operating geography is documented and owned, but measurement, stress testing and integration with dependent processes need strengthening.</t>
  </si>
  <si>
    <t>Residual risk: crisis exposure profile for each major business line and operating geography is measured and reviewed, but monitoring, automation or scenario testing should be improved to prevent maturity drift.</t>
  </si>
  <si>
    <t>Low residual risk: crisis exposure profile for each major business line and operating geography is mature and crisis-tested. Maintain monitoring, evidence, ownership and periodic stress testing.</t>
  </si>
  <si>
    <t>Create an immediate risk owner, minimum control baseline and fallback procedure for crisis exposure profile for each major business line and operating geography. Add it to the crisis risk register and collect first evidence.</t>
  </si>
  <si>
    <t>Document crisis exposure profile for each major business line and operating geography, assign RACI, define minimum controls and KPIs, and validate coverage across key sites, teams or systems.</t>
  </si>
  <si>
    <t>Standardize crisis exposure profile for each major business line and operating geography, close coverage gaps, train accountable roles and connect controls to the relevant crisis scenarios and continuity plans.</t>
  </si>
  <si>
    <t>Measure and test crisis exposure profile for each major business line and operating geography, run tabletop or operational stress tests, integrate it with dependent processes and update crisis playbooks.</t>
  </si>
  <si>
    <t>Sustain maturity for crisis exposure profile for each major business line and operating geography: keep evidence current, monitor drift, benchmark externally and refresh risk tests after organizational, system or market changes.</t>
  </si>
  <si>
    <t>Immature capability for documented strategy translated into objectives, KPIs, budgets and accountable owners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</si>
  <si>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documented strategy translated into objectives, KPIs, budgets and accountable owners.</t>
  </si>
  <si>
    <t>Severe risk: documented strategy translated into objectives, KPIs, budgets and accountable owners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</si>
  <si>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documented strategy translated into objectives, KPIs, budgets and accountable owners depends on informal practices or individual knowledge. Disruption may expose weak crisis positioning, poor prioritization of segments, revenue leakage and inability to adapt the offering and slow recovery.</t>
  </si>
  <si>
    <t>Elevated risk: documented strategy translated into objectives, KPIs, budgets and accountable owners is partially controlled, but coverage, evidence or testing is inconsistent. Crisis response may be fragmented.</t>
  </si>
  <si>
    <t>Moderate risk: documented strategy translated into objectives, KPIs, budgets and accountable owners is documented and owned, but measurement, stress testing and integration with dependent processes need strengthening.</t>
  </si>
  <si>
    <t>Residual risk: documented strategy translated into objectives, KPIs, budgets and accountable owners is measured and reviewed, but monitoring, automation or scenario testing should be improved to prevent maturity drift.</t>
  </si>
  <si>
    <t>Low residual risk: documented strategy translated into objectives, KPIs, budgets and accountable owners is mature and crisis-tested. Maintain monitoring, evidence, ownership and periodic stress testing.</t>
  </si>
  <si>
    <t>Create an immediate risk owner, minimum control baseline and fallback procedure for documented strategy translated into objectives, KPIs, budgets and accountable owners. Add it to the crisis risk register and collect first evidence.</t>
  </si>
  <si>
    <t>Document documented strategy translated into objectives, KPIs, budgets and accountable owners, assign RACI, define minimum controls and KPIs, and validate coverage across key sites, teams or systems.</t>
  </si>
  <si>
    <t>Standardize documented strategy translated into objectives, KPIs, budgets and accountable owners, close coverage gaps, train accountable roles and connect controls to the relevant crisis scenarios and continuity plans.</t>
  </si>
  <si>
    <t>Measure and test documented strategy translated into objectives, KPIs, budgets and accountable owners, run tabletop or operational stress tests, integrate it with dependent processes and update crisis playbooks.</t>
  </si>
  <si>
    <t>Sustain maturity for documented strategy translated into objectives, KPIs, budgets and accountable owners: keep evidence current, monitor drift, benchmark externally and refresh risk tests after organizational, system or market changes.</t>
  </si>
  <si>
    <t>Immature capability for explicit strategic assumptions and periodic challenge of those assumptions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</si>
  <si>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explicit strategic assumptions and periodic challenge of those assumptions.</t>
  </si>
  <si>
    <t>Severe risk: explicit strategic assumptions and periodic challenge of those assumptions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</si>
  <si>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explicit strategic assumptions and periodic challenge of those assumptions depends on informal practices or individual knowledge. Disruption may expose weak crisis positioning, poor prioritization of segments, revenue leakage and inability to adapt the offering and slow recovery.</t>
  </si>
  <si>
    <t>Elevated risk: explicit strategic assumptions and periodic challenge of those assumptions is partially controlled, but coverage, evidence or testing is inconsistent. Crisis response may be fragmented.</t>
  </si>
  <si>
    <t>Moderate risk: explicit strategic assumptions and periodic challenge of those assumptions is documented and owned, but measurement, stress testing and integration with dependent processes need strengthening.</t>
  </si>
  <si>
    <t>Residual risk: explicit strategic assumptions and periodic challenge of those assumptions is measured and reviewed, but monitoring, automation or scenario testing should be improved to prevent maturity drift.</t>
  </si>
  <si>
    <t>Low residual risk: explicit strategic assumptions and periodic challenge of those assumptions is mature and crisis-tested. Maintain monitoring, evidence, ownership and periodic stress testing.</t>
  </si>
  <si>
    <t>Create an immediate risk owner, minimum control baseline and fallback procedure for explicit strategic assumptions and periodic challenge of those assumptions. Add it to the crisis risk register and collect first evidence.</t>
  </si>
  <si>
    <t>Document explicit strategic assumptions and periodic challenge of those assumptions, assign RACI, define minimum controls and KPIs, and validate coverage across key sites, teams or systems.</t>
  </si>
  <si>
    <t>Standardize explicit strategic assumptions and periodic challenge of those assumptions, close coverage gaps, train accountable roles and connect controls to the relevant crisis scenarios and continuity plans.</t>
  </si>
  <si>
    <t>Measure and test explicit strategic assumptions and periodic challenge of those assumptions, run tabletop or operational stress tests, integrate it with dependent processes and update crisis playbooks.</t>
  </si>
  <si>
    <t>Sustain maturity for explicit strategic assumptions and periodic challenge of those assumptions: keep evidence current, monitor drift, benchmark externally and refresh risk tests after organizational, system or market changes.</t>
  </si>
  <si>
    <t>Immature capability for crisis-resilient strategy including adaptation, continuity, digital enablement and recovery options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</si>
  <si>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crisis-resilient strategy including adaptation, continuity, digital enablement and recovery options.</t>
  </si>
  <si>
    <t>Severe risk: crisis-resilient strategy including adaptation, continuity, digital enablement and recovery options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</si>
  <si>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crisis-resilient strategy including adaptation, continuity, digital enablement and recovery options depends on informal practices or individual knowledge. Disruption may expose weak crisis positioning, poor prioritization of segments, revenue leakage and inability to adapt the offering and slow recovery.</t>
  </si>
  <si>
    <t>Elevated risk: crisis-resilient strategy including adaptation, continuity, digital enablement and recovery options is partially controlled, but coverage, evidence or testing is inconsistent. Crisis response may be fragmented.</t>
  </si>
  <si>
    <t>Moderate risk: crisis-resilient strategy including adaptation, continuity, digital enablement and recovery options is documented and owned, but measurement, stress testing and integration with dependent processes need strengthening.</t>
  </si>
  <si>
    <t>Residual risk: crisis-resilient strategy including adaptation, continuity, digital enablement and recovery options is measured and reviewed, but monitoring, automation or scenario testing should be improved to prevent maturity drift.</t>
  </si>
  <si>
    <t>Low residual risk: crisis-resilient strategy including adaptation, continuity, digital enablement and recovery options is mature and crisis-tested. Maintain monitoring, evidence, ownership and periodic stress testing.</t>
  </si>
  <si>
    <t>Create an immediate risk owner, minimum control baseline and fallback procedure for crisis-resilient strategy including adaptation, continuity, digital enablement and recovery options. Add it to the crisis risk register and collect first evidence.</t>
  </si>
  <si>
    <t>Document crisis-resilient strategy including adaptation, continuity, digital enablement and recovery options, assign RACI, define minimum controls and KPIs, and validate coverage across key sites, teams or systems.</t>
  </si>
  <si>
    <t>Standardize crisis-resilient strategy including adaptation, continuity, digital enablement and recovery options, close coverage gaps, train accountable roles and connect controls to the relevant crisis scenarios and continuity plans.</t>
  </si>
  <si>
    <t>Measure and test crisis-resilient strategy including adaptation, continuity, digital enablement and recovery options, run tabletop or operational stress tests, integrate it with dependent processes and update crisis playbooks.</t>
  </si>
  <si>
    <t>Sustain maturity for crisis-resilient strategy including adaptation, continuity, digital enablement and recovery options: keep evidence current, monitor drift, benchmark externally and refresh risk tests after organizational, system or market changes.</t>
  </si>
  <si>
    <t>Immature capability for strategic priorities ranked by business value, urgency, risk and resource constraints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</si>
  <si>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strategic priorities ranked by business value, urgency, risk and resource constraints.</t>
  </si>
  <si>
    <t>Severe risk: strategic priorities ranked by business value, urgency, risk and resource constraints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</si>
  <si>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strategic priorities ranked by business value, urgency, risk and resource constraints depends on informal practices or individual knowledge. Disruption may expose weak crisis positioning, poor prioritization of segments, revenue leakage and inability to adapt the offering and slow recovery.</t>
  </si>
  <si>
    <t>Elevated risk: strategic priorities ranked by business value, urgency, risk and resource constraints is partially controlled, but coverage, evidence or testing is inconsistent. Crisis response may be fragmented.</t>
  </si>
  <si>
    <t>Moderate risk: strategic priorities ranked by business value, urgency, risk and resource constraints is documented and owned, but measurement, stress testing and integration with dependent processes need strengthening.</t>
  </si>
  <si>
    <t>Residual risk: strategic priorities ranked by business value, urgency, risk and resource constraints is measured and reviewed, but monitoring, automation or scenario testing should be improved to prevent maturity drift.</t>
  </si>
  <si>
    <t>Low residual risk: strategic priorities ranked by business value, urgency, risk and resource constraints is mature and crisis-tested. Maintain monitoring, evidence, ownership and periodic stress testing.</t>
  </si>
  <si>
    <t>Create an immediate risk owner, minimum control baseline and fallback procedure for strategic priorities ranked by business value, urgency, risk and resource constraints. Add it to the crisis risk register and collect first evidence.</t>
  </si>
  <si>
    <t>Document strategic priorities ranked by business value, urgency, risk and resource constraints, assign RACI, define minimum controls and KPIs, and validate coverage across key sites, teams or systems.</t>
  </si>
  <si>
    <t>Standardize strategic priorities ranked by business value, urgency, risk and resource constraints, close coverage gaps, train accountable roles and connect controls to the relevant crisis scenarios and continuity plans.</t>
  </si>
  <si>
    <t>Measure and test strategic priorities ranked by business value, urgency, risk and resource constraints, run tabletop or operational stress tests, integrate it with dependent processes and update crisis playbooks.</t>
  </si>
  <si>
    <t>Sustain maturity for strategic priorities ranked by business value, urgency, risk and resource constraints: keep evidence current, monitor drift, benchmark externally and refresh risk tests after organizational, system or market changes.</t>
  </si>
  <si>
    <t>Immature capability for strategic options for pivoting under demand shock, war, regulation, supply or liquidity crisis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</si>
  <si>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strategic options for pivoting under demand shock, war, regulation, supply or liquidity crisis.</t>
  </si>
  <si>
    <t>Severe risk: strategic options for pivoting under demand shock, war, regulation, supply or liquidity crisis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</si>
  <si>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strategic options for pivoting under demand shock, war, regulation, supply or liquidity crisis depends on informal practices or individual knowledge. Disruption may expose weak crisis positioning, poor prioritization of segments, revenue leakage and inability to adapt the offering and slow recovery.</t>
  </si>
  <si>
    <t>Elevated risk: strategic options for pivoting under demand shock, war, regulation, supply or liquidity crisis is partially controlled, but coverage, evidence or testing is inconsistent. Crisis response may be fragmented.</t>
  </si>
  <si>
    <t>Moderate risk: strategic options for pivoting under demand shock, war, regulation, supply or liquidity crisis is documented and owned, but measurement, stress testing and integration with dependent processes need strengthening.</t>
  </si>
  <si>
    <t>Residual risk: strategic options for pivoting under demand shock, war, regulation, supply or liquidity crisis is measured and reviewed, but monitoring, automation or scenario testing should be improved to prevent maturity drift.</t>
  </si>
  <si>
    <t>Low residual risk: strategic options for pivoting under demand shock, war, regulation, supply or liquidity crisis is mature and crisis-tested. Maintain monitoring, evidence, ownership and periodic stress testing.</t>
  </si>
  <si>
    <t>Create an immediate risk owner, minimum control baseline and fallback procedure for strategic options for pivoting under demand shock, war, regulation, supply or liquidity crisis. Add it to the crisis risk register and collect first evidence.</t>
  </si>
  <si>
    <t>Document strategic options for pivoting under demand shock, war, regulation, supply or liquidity crisis, assign RACI, define minimum controls and KPIs, and validate coverage across key sites, teams or systems.</t>
  </si>
  <si>
    <t>Standardize strategic options for pivoting under demand shock, war, regulation, supply or liquidity crisis, close coverage gaps, train accountable roles and connect controls to the relevant crisis scenarios and continuity plans.</t>
  </si>
  <si>
    <t>Measure and test strategic options for pivoting under demand shock, war, regulation, supply or liquidity crisis, run tabletop or operational stress tests, integrate it with dependent processes and update crisis playbooks.</t>
  </si>
  <si>
    <t>Sustain maturity for strategic options for pivoting under demand shock, war, regulation, supply or liquidity crisis: keep evidence current, monitor drift, benchmark externally and refresh risk tests after organizational, system or market changes.</t>
  </si>
  <si>
    <t>Immature capability for alignment between strategy, structure, systems, skills, staff, leadership style and culture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</si>
  <si>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alignment between strategy, structure, systems, skills, staff, leadership style and culture.</t>
  </si>
  <si>
    <t>Severe risk: alignment between strategy, structure, systems, skills, staff, leadership style and culture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</si>
  <si>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alignment between strategy, structure, systems, skills, staff, leadership style and culture depends on informal practices or individual knowledge. Disruption may expose weak crisis positioning, poor prioritization of segments, revenue leakage and inability to adapt the offering and slow recovery.</t>
  </si>
  <si>
    <t>Elevated risk: alignment between strategy, structure, systems, skills, staff, leadership style and culture is partially controlled, but coverage, evidence or testing is inconsistent. Crisis response may be fragmented.</t>
  </si>
  <si>
    <t>Moderate risk: alignment between strategy, structure, systems, skills, staff, leadership style and culture is documented and owned, but measurement, stress testing and integration with dependent processes need strengthening.</t>
  </si>
  <si>
    <t>Residual risk: alignment between strategy, structure, systems, skills, staff, leadership style and culture is measured and reviewed, but monitoring, automation or scenario testing should be improved to prevent maturity drift.</t>
  </si>
  <si>
    <t>Low residual risk: alignment between strategy, structure, systems, skills, staff, leadership style and culture is mature and crisis-tested. Maintain monitoring, evidence, ownership and periodic stress testing.</t>
  </si>
  <si>
    <t>Create an immediate risk owner, minimum control baseline and fallback procedure for alignment between strategy, structure, systems, skills, staff, leadership style and culture. Add it to the crisis risk register and collect first evidence.</t>
  </si>
  <si>
    <t>Document alignment between strategy, structure, systems, skills, staff, leadership style and culture, assign RACI, define minimum controls and KPIs, and validate coverage across key sites, teams or systems.</t>
  </si>
  <si>
    <t>Standardize alignment between strategy, structure, systems, skills, staff, leadership style and culture, close coverage gaps, train accountable roles and connect controls to the relevant crisis scenarios and continuity plans.</t>
  </si>
  <si>
    <t>Measure and test alignment between strategy, structure, systems, skills, staff, leadership style and culture, run tabletop or operational stress tests, integrate it with dependent processes and update crisis playbooks.</t>
  </si>
  <si>
    <t>Sustain maturity for alignment between strategy, structure, systems, skills, staff, leadership style and culture: keep evidence current, monitor drift, benchmark externally and refresh risk tests after organizational, system or market changes.</t>
  </si>
  <si>
    <t>Immature capability for ideal customer profile by segment, geography, industry, company size, pain, budget and buying trigger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</si>
  <si>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ideal customer profile by segment, geography, industry, company size, pain, budget and buying trigger.</t>
  </si>
  <si>
    <t>Severe risk: ideal customer profile by segment, geography, industry, company size, pain, budget and buying trigger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</si>
  <si>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ideal customer profile by segment, geography, industry, company size, pain, budget and buying trigger depends on informal practices or individual knowledge. Disruption may expose weak crisis positioning, poor prioritization of segments, revenue leakage and inability to adapt the offering and slow recovery.</t>
  </si>
  <si>
    <t>Elevated risk: ideal customer profile by segment, geography, industry, company size, pain, budget and buying trigger is partially controlled, but coverage, evidence or testing is inconsistent. Crisis response may be fragmented.</t>
  </si>
  <si>
    <t>Moderate risk: ideal customer profile by segment, geography, industry, company size, pain, budget and buying trigger is documented and owned, but measurement, stress testing and integration with dependent processes need strengthening.</t>
  </si>
  <si>
    <t>Residual risk: ideal customer profile by segment, geography, industry, company size, pain, budget and buying trigger is measured and reviewed, but monitoring, automation or scenario testing should be improved to prevent maturity drift.</t>
  </si>
  <si>
    <t>Low residual risk: ideal customer profile by segment, geography, industry, company size, pain, budget and buying trigger is mature and crisis-tested. Maintain monitoring, evidence, ownership and periodic stress testing.</t>
  </si>
  <si>
    <t>Create an immediate risk owner, minimum control baseline and fallback procedure for ideal customer profile by segment, geography, industry, company size, pain, budget and buying trigger. Add it to the crisis risk register and collect first evidence.</t>
  </si>
  <si>
    <t>Document ideal customer profile by segment, geography, industry, company size, pain, budget and buying trigger, assign RACI, define minimum controls and KPIs, and validate coverage across key sites, teams or systems.</t>
  </si>
  <si>
    <t>Standardize ideal customer profile by segment, geography, industry, company size, pain, budget and buying trigger, close coverage gaps, train accountable roles and connect controls to the relevant crisis scenarios and continuity plans.</t>
  </si>
  <si>
    <t>Measure and test ideal customer profile by segment, geography, industry, company size, pain, budget and buying trigger, run tabletop or operational stress tests, integrate it with dependent processes and update crisis playbooks.</t>
  </si>
  <si>
    <t>Sustain maturity for ideal customer profile by segment, geography, industry, company size, pain, budget and buying trigger: keep evidence current, monitor drift, benchmark externally and refresh risk tests after organizational, system or market changes.</t>
  </si>
  <si>
    <t>Immature capability for buyer personas covering economic buyer, technical buyer, user, influencer and blocker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</si>
  <si>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buyer personas covering economic buyer, technical buyer, user, influencer and blocker.</t>
  </si>
  <si>
    <t>Severe risk: buyer personas covering economic buyer, technical buyer, user, influencer and blocker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</si>
  <si>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buyer personas covering economic buyer, technical buyer, user, influencer and blocker depends on informal practices or individual knowledge. Disruption may expose weak crisis positioning, poor prioritization of segments, revenue leakage and inability to adapt the offering and slow recovery.</t>
  </si>
  <si>
    <t>Elevated risk: buyer personas covering economic buyer, technical buyer, user, influencer and blocker is partially controlled, but coverage, evidence or testing is inconsistent. Crisis response may be fragmented.</t>
  </si>
  <si>
    <t>Moderate risk: buyer personas covering economic buyer, technical buyer, user, influencer and blocker is documented and owned, but measurement, stress testing and integration with dependent processes need strengthening.</t>
  </si>
  <si>
    <t>Residual risk: buyer personas covering economic buyer, technical buyer, user, influencer and blocker is measured and reviewed, but monitoring, automation or scenario testing should be improved to prevent maturity drift.</t>
  </si>
  <si>
    <t>Low residual risk: buyer personas covering economic buyer, technical buyer, user, influencer and blocker is mature and crisis-tested. Maintain monitoring, evidence, ownership and periodic stress testing.</t>
  </si>
  <si>
    <t>Create an immediate risk owner, minimum control baseline and fallback procedure for buyer personas covering economic buyer, technical buyer, user, influencer and blocker. Add it to the crisis risk register and collect first evidence.</t>
  </si>
  <si>
    <t>Document buyer personas covering economic buyer, technical buyer, user, influencer and blocker, assign RACI, define minimum controls and KPIs, and validate coverage across key sites, teams or systems.</t>
  </si>
  <si>
    <t>Standardize buyer personas covering economic buyer, technical buyer, user, influencer and blocker, close coverage gaps, train accountable roles and connect controls to the relevant crisis scenarios and continuity plans.</t>
  </si>
  <si>
    <t>Measure and test buyer personas covering economic buyer, technical buyer, user, influencer and blocker, run tabletop or operational stress tests, integrate it with dependent processes and update crisis playbooks.</t>
  </si>
  <si>
    <t>Sustain maturity for buyer personas covering economic buyer, technical buyer, user, influencer and blocker: keep evidence current, monitor drift, benchmark externally and refresh risk tests after organizational, system or market changes.</t>
  </si>
  <si>
    <t>Immature capability for validated customer problems, jobs-to-be-done, urgency triggers and willingness to pay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</si>
  <si>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validated customer problems, jobs-to-be-done, urgency triggers and willingness to pay.</t>
  </si>
  <si>
    <t>Severe risk: validated customer problems, jobs-to-be-done, urgency triggers and willingness to pay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</si>
  <si>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validated customer problems, jobs-to-be-done, urgency triggers and willingness to pay depends on informal practices or individual knowledge. Disruption may expose weak crisis positioning, poor prioritization of segments, revenue leakage and inability to adapt the offering and slow recovery.</t>
  </si>
  <si>
    <t>Elevated risk: validated customer problems, jobs-to-be-done, urgency triggers and willingness to pay is partially controlled, but coverage, evidence or testing is inconsistent. Crisis response may be fragmented.</t>
  </si>
  <si>
    <t>Moderate risk: validated customer problems, jobs-to-be-done, urgency triggers and willingness to pay is documented and owned, but measurement, stress testing and integration with dependent processes need strengthening.</t>
  </si>
  <si>
    <t>Residual risk: validated customer problems, jobs-to-be-done, urgency triggers and willingness to pay is measured and reviewed, but monitoring, automation or scenario testing should be improved to prevent maturity drift.</t>
  </si>
  <si>
    <t>Low residual risk: validated customer problems, jobs-to-be-done, urgency triggers and willingness to pay is mature and crisis-tested. Maintain monitoring, evidence, ownership and periodic stress testing.</t>
  </si>
  <si>
    <t>Create an immediate risk owner, minimum control baseline and fallback procedure for validated customer problems, jobs-to-be-done, urgency triggers and willingness to pay. Add it to the crisis risk register and collect first evidence.</t>
  </si>
  <si>
    <t>Document validated customer problems, jobs-to-be-done, urgency triggers and willingness to pay, assign RACI, define minimum controls and KPIs, and validate coverage across key sites, teams or systems.</t>
  </si>
  <si>
    <t>Standardize validated customer problems, jobs-to-be-done, urgency triggers and willingness to pay, close coverage gaps, train accountable roles and connect controls to the relevant crisis scenarios and continuity plans.</t>
  </si>
  <si>
    <t>Measure and test validated customer problems, jobs-to-be-done, urgency triggers and willingness to pay, run tabletop or operational stress tests, integrate it with dependent processes and update crisis playbooks.</t>
  </si>
  <si>
    <t>Sustain maturity for validated customer problems, jobs-to-be-done, urgency triggers and willingness to pay: keep evidence current, monitor drift, benchmark externally and refresh risk tests after organizational, system or market changes.</t>
  </si>
  <si>
    <t>Immature capability for market segmentation by attractiveness, accessibility, profitability and crisis sensitivity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</si>
  <si>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market segmentation by attractiveness, accessibility, profitability and crisis sensitivity.</t>
  </si>
  <si>
    <t>Severe risk: market segmentation by attractiveness, accessibility, profitability and crisis sensitivity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</si>
  <si>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market segmentation by attractiveness, accessibility, profitability and crisis sensitivity depends on informal practices or individual knowledge. Disruption may expose weak crisis positioning, poor prioritization of segments, revenue leakage and inability to adapt the offering and slow recovery.</t>
  </si>
  <si>
    <t>Elevated risk: market segmentation by attractiveness, accessibility, profitability and crisis sensitivity is partially controlled, but coverage, evidence or testing is inconsistent. Crisis response may be fragmented.</t>
  </si>
  <si>
    <t>Moderate risk: market segmentation by attractiveness, accessibility, profitability and crisis sensitivity is documented and owned, but measurement, stress testing and integration with dependent processes need strengthening.</t>
  </si>
  <si>
    <t>Residual risk: market segmentation by attractiveness, accessibility, profitability and crisis sensitivity is measured and reviewed, but monitoring, automation or scenario testing should be improved to prevent maturity drift.</t>
  </si>
  <si>
    <t>Low residual risk: market segmentation by attractiveness, accessibility, profitability and crisis sensitivity is mature and crisis-tested. Maintain monitoring, evidence, ownership and periodic stress testing.</t>
  </si>
  <si>
    <t>Create an immediate risk owner, minimum control baseline and fallback procedure for market segmentation by attractiveness, accessibility, profitability and crisis sensitivity. Add it to the crisis risk register and collect first evidence.</t>
  </si>
  <si>
    <t>Document market segmentation by attractiveness, accessibility, profitability and crisis sensitivity, assign RACI, define minimum controls and KPIs, and validate coverage across key sites, teams or systems.</t>
  </si>
  <si>
    <t>Standardize market segmentation by attractiveness, accessibility, profitability and crisis sensitivity, close coverage gaps, train accountable roles and connect controls to the relevant crisis scenarios and continuity plans.</t>
  </si>
  <si>
    <t>Measure and test market segmentation by attractiveness, accessibility, profitability and crisis sensitivity, run tabletop or operational stress tests, integrate it with dependent processes and update crisis playbooks.</t>
  </si>
  <si>
    <t>Sustain maturity for market segmentation by attractiveness, accessibility, profitability and crisis sensitivity: keep evidence current, monitor drift, benchmark externally and refresh risk tests after organizational, system or market changes.</t>
  </si>
  <si>
    <t>Immature capability for market size and growth assumptions with explicit evidence and uncertainty level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</si>
  <si>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market size and growth assumptions with explicit evidence and uncertainty level.</t>
  </si>
  <si>
    <t>Severe risk: market size and growth assumptions with explicit evidence and uncertainty level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</si>
  <si>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market size and growth assumptions with explicit evidence and uncertainty level depends on informal practices or individual knowledge. Disruption may expose weak crisis positioning, poor prioritization of segments, revenue leakage and inability to adapt the offering and slow recovery.</t>
  </si>
  <si>
    <t>Elevated risk: market size and growth assumptions with explicit evidence and uncertainty level is partially controlled, but coverage, evidence or testing is inconsistent. Crisis response may be fragmented.</t>
  </si>
  <si>
    <t>Moderate risk: market size and growth assumptions with explicit evidence and uncertainty level is documented and owned, but measurement, stress testing and integration with dependent processes need strengthening.</t>
  </si>
  <si>
    <t>Residual risk: market size and growth assumptions with explicit evidence and uncertainty level is measured and reviewed, but monitoring, automation or scenario testing should be improved to prevent maturity drift.</t>
  </si>
  <si>
    <t>Low residual risk: market size and growth assumptions with explicit evidence and uncertainty level is mature and crisis-tested. Maintain monitoring, evidence, ownership and periodic stress testing.</t>
  </si>
  <si>
    <t>Create an immediate risk owner, minimum control baseline and fallback procedure for market size and growth assumptions with explicit evidence and uncertainty level. Add it to the crisis risk register and collect first evidence.</t>
  </si>
  <si>
    <t>Document market size and growth assumptions with explicit evidence and uncertainty level, assign RACI, define minimum controls and KPIs, and validate coverage across key sites, teams or systems.</t>
  </si>
  <si>
    <t>Standardize market size and growth assumptions with explicit evidence and uncertainty level, close coverage gaps, train accountable roles and connect controls to the relevant crisis scenarios and continuity plans.</t>
  </si>
  <si>
    <t>Measure and test market size and growth assumptions with explicit evidence and uncertainty level, run tabletop or operational stress tests, integrate it with dependent processes and update crisis playbooks.</t>
  </si>
  <si>
    <t>Sustain maturity for market size and growth assumptions with explicit evidence and uncertainty level: keep evidence current, monitor drift, benchmark externally and refresh risk tests after organizational, system or market changes.</t>
  </si>
  <si>
    <t>Immature capability for customer concentration and exposure to specific industries, geographies or budget cycles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</si>
  <si>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customer concentration and exposure to specific industries, geographies or budget cycles.</t>
  </si>
  <si>
    <t>Severe risk: customer concentration and exposure to specific industries, geographies or budget cycles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</si>
  <si>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customer concentration and exposure to specific industries, geographies or budget cycles depends on informal practices or individual knowledge. Disruption may expose weak crisis positioning, poor prioritization of segments, revenue leakage and inability to adapt the offering and slow recovery.</t>
  </si>
  <si>
    <t>Elevated risk: customer concentration and exposure to specific industries, geographies or budget cycles is partially controlled, but coverage, evidence or testing is inconsistent. Crisis response may be fragmented.</t>
  </si>
  <si>
    <t>Moderate risk: customer concentration and exposure to specific industries, geographies or budget cycles is documented and owned, but measurement, stress testing and integration with dependent processes need strengthening.</t>
  </si>
  <si>
    <t>Residual risk: customer concentration and exposure to specific industries, geographies or budget cycles is measured and reviewed, but monitoring, automation or scenario testing should be improved to prevent maturity drift.</t>
  </si>
  <si>
    <t>Low residual risk: customer concentration and exposure to specific industries, geographies or budget cycles is mature and crisis-tested. Maintain monitoring, evidence, ownership and periodic stress testing.</t>
  </si>
  <si>
    <t>Create an immediate risk owner, minimum control baseline and fallback procedure for customer concentration and exposure to specific industries, geographies or budget cycles. Add it to the crisis risk register and collect first evidence.</t>
  </si>
  <si>
    <t>Document customer concentration and exposure to specific industries, geographies or budget cycles, assign RACI, define minimum controls and KPIs, and validate coverage across key sites, teams or systems.</t>
  </si>
  <si>
    <t>Standardize customer concentration and exposure to specific industries, geographies or budget cycles, close coverage gaps, train accountable roles and connect controls to the relevant crisis scenarios and continuity plans.</t>
  </si>
  <si>
    <t>Measure and test customer concentration and exposure to specific industries, geographies or budget cycles, run tabletop or operational stress tests, integrate it with dependent processes and update crisis playbooks.</t>
  </si>
  <si>
    <t>Sustain maturity for customer concentration and exposure to specific industries, geographies or budget cycles: keep evidence current, monitor drift, benchmark externally and refresh risk tests after organizational, system or market changes.</t>
  </si>
  <si>
    <t>Immature capability for structured offering catalog with packages, scope, outcomes, assumptions and delivery requirements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</si>
  <si>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structured offering catalog with packages, scope, outcomes, assumptions and delivery requirements.</t>
  </si>
  <si>
    <t>Severe risk: structured offering catalog with packages, scope, outcomes, assumptions and delivery requirements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</si>
  <si>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structured offering catalog with packages, scope, outcomes, assumptions and delivery requirements depends on informal practices or individual knowledge. Disruption may expose weak crisis positioning, poor prioritization of segments, revenue leakage and inability to adapt the offering and slow recovery.</t>
  </si>
  <si>
    <t>Elevated risk: structured offering catalog with packages, scope, outcomes, assumptions and delivery requirements is partially controlled, but coverage, evidence or testing is inconsistent. Crisis response may be fragmented.</t>
  </si>
  <si>
    <t>Moderate risk: structured offering catalog with packages, scope, outcomes, assumptions and delivery requirements is documented and owned, but measurement, stress testing and integration with dependent processes need strengthening.</t>
  </si>
  <si>
    <t>Residual risk: structured offering catalog with packages, scope, outcomes, assumptions and delivery requirements is measured and reviewed, but monitoring, automation or scenario testing should be improved to prevent maturity drift.</t>
  </si>
  <si>
    <t>Low residual risk: structured offering catalog with packages, scope, outcomes, assumptions and delivery requirements is mature and crisis-tested. Maintain monitoring, evidence, ownership and periodic stress testing.</t>
  </si>
  <si>
    <t>Create an immediate risk owner, minimum control baseline and fallback procedure for structured offering catalog with packages, scope, outcomes, assumptions and delivery requirements. Add it to the crisis risk register and collect first evidence.</t>
  </si>
  <si>
    <t>Document structured offering catalog with packages, scope, outcomes, assumptions and delivery requirements, assign RACI, define minimum controls and KPIs, and validate coverage across key sites, teams or systems.</t>
  </si>
  <si>
    <t>Standardize structured offering catalog with packages, scope, outcomes, assumptions and delivery requirements, close coverage gaps, train accountable roles and connect controls to the relevant crisis scenarios and continuity plans.</t>
  </si>
  <si>
    <t>Measure and test structured offering catalog with packages, scope, outcomes, assumptions and delivery requirements, run tabletop or operational stress tests, integrate it with dependent processes and update crisis playbooks.</t>
  </si>
  <si>
    <t>Sustain maturity for structured offering catalog with packages, scope, outcomes, assumptions and delivery requirements: keep evidence current, monitor drift, benchmark externally and refresh risk tests after organizational, system or market changes.</t>
  </si>
  <si>
    <t>Immature capability for clear differentiation against direct competitors, substitutes and in-house alternatives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</si>
  <si>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clear differentiation against direct competitors, substitutes and in-house alternatives.</t>
  </si>
  <si>
    <t>Severe risk: clear differentiation against direct competitors, substitutes and in-house alternatives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</si>
  <si>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clear differentiation against direct competitors, substitutes and in-house alternatives depends on informal practices or individual knowledge. Disruption may expose weak crisis positioning, poor prioritization of segments, revenue leakage and inability to adapt the offering and slow recovery.</t>
  </si>
  <si>
    <t>Elevated risk: clear differentiation against direct competitors, substitutes and in-house alternatives is partially controlled, but coverage, evidence or testing is inconsistent. Crisis response may be fragmented.</t>
  </si>
  <si>
    <t>Moderate risk: clear differentiation against direct competitors, substitutes and in-house alternatives is documented and owned, but measurement, stress testing and integration with dependent processes need strengthening.</t>
  </si>
  <si>
    <t>Residual risk: clear differentiation against direct competitors, substitutes and in-house alternatives is measured and reviewed, but monitoring, automation or scenario testing should be improved to prevent maturity drift.</t>
  </si>
  <si>
    <t>Low residual risk: clear differentiation against direct competitors, substitutes and in-house alternatives is mature and crisis-tested. Maintain monitoring, evidence, ownership and periodic stress testing.</t>
  </si>
  <si>
    <t>Create an immediate risk owner, minimum control baseline and fallback procedure for clear differentiation against direct competitors, substitutes and in-house alternatives. Add it to the crisis risk register and collect first evidence.</t>
  </si>
  <si>
    <t>Document clear differentiation against direct competitors, substitutes and in-house alternatives, assign RACI, define minimum controls and KPIs, and validate coverage across key sites, teams or systems.</t>
  </si>
  <si>
    <t>Standardize clear differentiation against direct competitors, substitutes and in-house alternatives, close coverage gaps, train accountable roles and connect controls to the relevant crisis scenarios and continuity plans.</t>
  </si>
  <si>
    <t>Measure and test clear differentiation against direct competitors, substitutes and in-house alternatives, run tabletop or operational stress tests, integrate it with dependent processes and update crisis playbooks.</t>
  </si>
  <si>
    <t>Sustain maturity for clear differentiation against direct competitors, substitutes and in-house alternatives: keep evidence current, monitor drift, benchmark externally and refresh risk tests after organizational, system or market changes.</t>
  </si>
  <si>
    <t>Immature capability for value proposition linked to measurable customer economic value, risk reduction or continuity impact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</si>
  <si>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value proposition linked to measurable customer economic value, risk reduction or continuity impact.</t>
  </si>
  <si>
    <t>Severe risk: value proposition linked to measurable customer economic value, risk reduction or continuity impact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</si>
  <si>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value proposition linked to measurable customer economic value, risk reduction or continuity impact depends on informal practices or individual knowledge. Disruption may expose weak crisis positioning, poor prioritization of segments, revenue leakage and inability to adapt the offering and slow recovery.</t>
  </si>
  <si>
    <t>Elevated risk: value proposition linked to measurable customer economic value, risk reduction or continuity impact is partially controlled, but coverage, evidence or testing is inconsistent. Crisis response may be fragmented.</t>
  </si>
  <si>
    <t>Moderate risk: value proposition linked to measurable customer economic value, risk reduction or continuity impact is documented and owned, but measurement, stress testing and integration with dependent processes need strengthening.</t>
  </si>
  <si>
    <t>Residual risk: value proposition linked to measurable customer economic value, risk reduction or continuity impact is measured and reviewed, but monitoring, automation or scenario testing should be improved to prevent maturity drift.</t>
  </si>
  <si>
    <t>Low residual risk: value proposition linked to measurable customer economic value, risk reduction or continuity impact is mature and crisis-tested. Maintain monitoring, evidence, ownership and periodic stress testing.</t>
  </si>
  <si>
    <t>Create an immediate risk owner, minimum control baseline and fallback procedure for value proposition linked to measurable customer economic value, risk reduction or continuity impact. Add it to the crisis risk register and collect first evidence.</t>
  </si>
  <si>
    <t>Document value proposition linked to measurable customer economic value, risk reduction or continuity impact, assign RACI, define minimum controls and KPIs, and validate coverage across key sites, teams or systems.</t>
  </si>
  <si>
    <t>Standardize value proposition linked to measurable customer economic value, risk reduction or continuity impact, close coverage gaps, train accountable roles and connect controls to the relevant crisis scenarios and continuity plans.</t>
  </si>
  <si>
    <t>Measure and test value proposition linked to measurable customer economic value, risk reduction or continuity impact, run tabletop or operational stress tests, integrate it with dependent processes and update crisis playbooks.</t>
  </si>
  <si>
    <t>Sustain maturity for value proposition linked to measurable customer economic value, risk reduction or continuity impact: keep evidence current, monitor drift, benchmark externally and refresh risk tests after organizational, system or market changes.</t>
  </si>
  <si>
    <t>Immature capability for pricing strategy with margin thresholds, discount governance and crisis boundaries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</si>
  <si>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pricing strategy with margin thresholds, discount governance and crisis boundaries.</t>
  </si>
  <si>
    <t>Severe risk: pricing strategy with margin thresholds, discount governance and crisis boundaries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</si>
  <si>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pricing strategy with margin thresholds, discount governance and crisis boundaries depends on informal practices or individual knowledge. Disruption may expose weak crisis positioning, poor prioritization of segments, revenue leakage and inability to adapt the offering and slow recovery.</t>
  </si>
  <si>
    <t>Elevated risk: pricing strategy with margin thresholds, discount governance and crisis boundaries is partially controlled, but coverage, evidence or testing is inconsistent. Crisis response may be fragmented.</t>
  </si>
  <si>
    <t>Moderate risk: pricing strategy with margin thresholds, discount governance and crisis boundaries is documented and owned, but measurement, stress testing and integration with dependent processes need strengthening.</t>
  </si>
  <si>
    <t>Residual risk: pricing strategy with margin thresholds, discount governance and crisis boundaries is measured and reviewed, but monitoring, automation or scenario testing should be improved to prevent maturity drift.</t>
  </si>
  <si>
    <t>Low residual risk: pricing strategy with margin thresholds, discount governance and crisis boundaries is mature and crisis-tested. Maintain monitoring, evidence, ownership and periodic stress testing.</t>
  </si>
  <si>
    <t>Create an immediate risk owner, minimum control baseline and fallback procedure for pricing strategy with margin thresholds, discount governance and crisis boundaries. Add it to the crisis risk register and collect first evidence.</t>
  </si>
  <si>
    <t>Document pricing strategy with margin thresholds, discount governance and crisis boundaries, assign RACI, define minimum controls and KPIs, and validate coverage across key sites, teams or systems.</t>
  </si>
  <si>
    <t>Standardize pricing strategy with margin thresholds, discount governance and crisis boundaries, close coverage gaps, train accountable roles and connect controls to the relevant crisis scenarios and continuity plans.</t>
  </si>
  <si>
    <t>Measure and test pricing strategy with margin thresholds, discount governance and crisis boundaries, run tabletop or operational stress tests, integrate it with dependent processes and update crisis playbooks.</t>
  </si>
  <si>
    <t>Sustain maturity for pricing strategy with margin thresholds, discount governance and crisis boundaries: keep evidence current, monitor drift, benchmark externally and refresh risk tests after organizational, system or market changes.</t>
  </si>
  <si>
    <t>Immature capability for proof assets such as case studies, references, certifications, security evidence and continuity commitments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</si>
  <si>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proof assets such as case studies, references, certifications, security evidence and continuity commitments.</t>
  </si>
  <si>
    <t>Severe risk: proof assets such as case studies, references, certifications, security evidence and continuity commitments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</si>
  <si>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proof assets such as case studies, references, certifications, security evidence and continuity commitments depends on informal practices or individual knowledge. Disruption may expose weak crisis positioning, poor prioritization of segments, revenue leakage and inability to adapt the offering and slow recovery.</t>
  </si>
  <si>
    <t>Elevated risk: proof assets such as case studies, references, certifications, security evidence and continuity commitments is partially controlled, but coverage, evidence or testing is inconsistent. Crisis response may be fragmented.</t>
  </si>
  <si>
    <t>Moderate risk: proof assets such as case studies, references, certifications, security evidence and continuity commitments is documented and owned, but measurement, stress testing and integration with dependent processes need strengthening.</t>
  </si>
  <si>
    <t>Residual risk: proof assets such as case studies, references, certifications, security evidence and continuity commitments is measured and reviewed, but monitoring, automation or scenario testing should be improved to prevent maturity drift.</t>
  </si>
  <si>
    <t>Low residual risk: proof assets such as case studies, references, certifications, security evidence and continuity commitments is mature and crisis-tested. Maintain monitoring, evidence, ownership and periodic stress testing.</t>
  </si>
  <si>
    <t>Create an immediate risk owner, minimum control baseline and fallback procedure for proof assets such as case studies, references, certifications, security evidence and continuity commitments. Add it to the crisis risk register and collect first evidence.</t>
  </si>
  <si>
    <t>Document proof assets such as case studies, references, certifications, security evidence and continuity commitments, assign RACI, define minimum controls and KPIs, and validate coverage across key sites, teams or systems.</t>
  </si>
  <si>
    <t>Standardize proof assets such as case studies, references, certifications, security evidence and continuity commitments, close coverage gaps, train accountable roles and connect controls to the relevant crisis scenarios and continuity plans.</t>
  </si>
  <si>
    <t>Measure and test proof assets such as case studies, references, certifications, security evidence and continuity commitments, run tabletop or operational stress tests, integrate it with dependent processes and update crisis playbooks.</t>
  </si>
  <si>
    <t>Sustain maturity for proof assets such as case studies, references, certifications, security evidence and continuity commitments: keep evidence current, monitor drift, benchmark externally and refresh risk tests after organizational, system or market changes.</t>
  </si>
  <si>
    <t>Immature capability for product or service modularity that allows budget-sensitive or crisis-driven adaptation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</si>
  <si>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product or service modularity that allows budget-sensitive or crisis-driven adaptation.</t>
  </si>
  <si>
    <t>Severe risk: product or service modularity that allows budget-sensitive or crisis-driven adaptation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</si>
  <si>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product or service modularity that allows budget-sensitive or crisis-driven adaptation depends on informal practices or individual knowledge. Disruption may expose weak crisis positioning, poor prioritization of segments, revenue leakage and inability to adapt the offering and slow recovery.</t>
  </si>
  <si>
    <t>Elevated risk: product or service modularity that allows budget-sensitive or crisis-driven adaptation is partially controlled, but coverage, evidence or testing is inconsistent. Crisis response may be fragmented.</t>
  </si>
  <si>
    <t>Moderate risk: product or service modularity that allows budget-sensitive or crisis-driven adaptation is documented and owned, but measurement, stress testing and integration with dependent processes need strengthening.</t>
  </si>
  <si>
    <t>Residual risk: product or service modularity that allows budget-sensitive or crisis-driven adaptation is measured and reviewed, but monitoring, automation or scenario testing should be improved to prevent maturity drift.</t>
  </si>
  <si>
    <t>Low residual risk: product or service modularity that allows budget-sensitive or crisis-driven adaptation is mature and crisis-tested. Maintain monitoring, evidence, ownership and periodic stress testing.</t>
  </si>
  <si>
    <t>Create an immediate risk owner, minimum control baseline and fallback procedure for product or service modularity that allows budget-sensitive or crisis-driven adaptation. Add it to the crisis risk register and collect first evidence.</t>
  </si>
  <si>
    <t>Document product or service modularity that allows budget-sensitive or crisis-driven adaptation, assign RACI, define minimum controls and KPIs, and validate coverage across key sites, teams or systems.</t>
  </si>
  <si>
    <t>Standardize product or service modularity that allows budget-sensitive or crisis-driven adaptation, close coverage gaps, train accountable roles and connect controls to the relevant crisis scenarios and continuity plans.</t>
  </si>
  <si>
    <t>Measure and test product or service modularity that allows budget-sensitive or crisis-driven adaptation, run tabletop or operational stress tests, integrate it with dependent processes and update crisis playbooks.</t>
  </si>
  <si>
    <t>Sustain maturity for product or service modularity that allows budget-sensitive or crisis-driven adaptation: keep evidence current, monitor drift, benchmark externally and refresh risk tests after organizational, system or market changes.</t>
  </si>
  <si>
    <t>Immature capability for sales playbooks for ICPs, offerings, objections, competitors and crisis-specific customer concerns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</si>
  <si>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sales playbooks for ICPs, offerings, objections, competitors and crisis-specific customer concerns.</t>
  </si>
  <si>
    <t>Severe risk: sales playbooks for ICPs, offerings, objections, competitors and crisis-specific customer concerns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</si>
  <si>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sales playbooks for ICPs, offerings, objections, competitors and crisis-specific customer concerns depends on informal practices or individual knowledge. Disruption may expose weak crisis positioning, poor prioritization of segments, revenue leakage and inability to adapt the offering and slow recovery.</t>
  </si>
  <si>
    <t>Elevated risk: sales playbooks for ICPs, offerings, objections, competitors and crisis-specific customer concerns is partially controlled, but coverage, evidence or testing is inconsistent. Crisis response may be fragmented.</t>
  </si>
  <si>
    <t>Moderate risk: sales playbooks for ICPs, offerings, objections, competitors and crisis-specific customer concerns is documented and owned, but measurement, stress testing and integration with dependent processes need strengthening.</t>
  </si>
  <si>
    <t>Residual risk: sales playbooks for ICPs, offerings, objections, competitors and crisis-specific customer concerns is measured and reviewed, but monitoring, automation or scenario testing should be improved to prevent maturity drift.</t>
  </si>
  <si>
    <t>Low residual risk: sales playbooks for ICPs, offerings, objections, competitors and crisis-specific customer concerns is mature and crisis-tested. Maintain monitoring, evidence, ownership and periodic stress testing.</t>
  </si>
  <si>
    <t>Create an immediate risk owner, minimum control baseline and fallback procedure for sales playbooks for ICPs, offerings, objections, competitors and crisis-specific customer concerns. Add it to the crisis risk register and collect first evidence.</t>
  </si>
  <si>
    <t>Document sales playbooks for ICPs, offerings, objections, competitors and crisis-specific customer concerns, assign RACI, define minimum controls and KPIs, and validate coverage across key sites, teams or systems.</t>
  </si>
  <si>
    <t>Standardize sales playbooks for ICPs, offerings, objections, competitors and crisis-specific customer concerns, close coverage gaps, train accountable roles and connect controls to the relevant crisis scenarios and continuity plans.</t>
  </si>
  <si>
    <t>Measure and test sales playbooks for ICPs, offerings, objections, competitors and crisis-specific customer concerns, run tabletop or operational stress tests, integrate it with dependent processes and update crisis playbooks.</t>
  </si>
  <si>
    <t>Sustain maturity for sales playbooks for ICPs, offerings, objections, competitors and crisis-specific customer concerns: keep evidence current, monitor drift, benchmark externally and refresh risk tests after organizational, system or market changes.</t>
  </si>
  <si>
    <t>Immature capability for pipeline governance with clear stages, qualification criteria, forecast probability and CRM discipline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</si>
  <si>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pipeline governance with clear stages, qualification criteria, forecast probability and CRM discipline.</t>
  </si>
  <si>
    <t>Severe risk: pipeline governance with clear stages, qualification criteria, forecast probability and CRM discipline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</si>
  <si>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pipeline governance with clear stages, qualification criteria, forecast probability and CRM discipline depends on informal practices or individual knowledge. Disruption may expose weak crisis positioning, poor prioritization of segments, revenue leakage and inability to adapt the offering and slow recovery.</t>
  </si>
  <si>
    <t>Elevated risk: pipeline governance with clear stages, qualification criteria, forecast probability and CRM discipline is partially controlled, but coverage, evidence or testing is inconsistent. Crisis response may be fragmented.</t>
  </si>
  <si>
    <t>Moderate risk: pipeline governance with clear stages, qualification criteria, forecast probability and CRM discipline is documented and owned, but measurement, stress testing and integration with dependent processes need strengthening.</t>
  </si>
  <si>
    <t>Residual risk: pipeline governance with clear stages, qualification criteria, forecast probability and CRM discipline is measured and reviewed, but monitoring, automation or scenario testing should be improved to prevent maturity drift.</t>
  </si>
  <si>
    <t>Low residual risk: pipeline governance with clear stages, qualification criteria, forecast probability and CRM discipline is mature and crisis-tested. Maintain monitoring, evidence, ownership and periodic stress testing.</t>
  </si>
  <si>
    <t>Create an immediate risk owner, minimum control baseline and fallback procedure for pipeline governance with clear stages, qualification criteria, forecast probability and CRM discipline. Add it to the crisis risk register and collect first evidence.</t>
  </si>
  <si>
    <t>Document pipeline governance with clear stages, qualification criteria, forecast probability and CRM discipline, assign RACI, define minimum controls and KPIs, and validate coverage across key sites, teams or systems.</t>
  </si>
  <si>
    <t>Standardize pipeline governance with clear stages, qualification criteria, forecast probability and CRM discipline, close coverage gaps, train accountable roles and connect controls to the relevant crisis scenarios and continuity plans.</t>
  </si>
  <si>
    <t>Measure and test pipeline governance with clear stages, qualification criteria, forecast probability and CRM discipline, run tabletop or operational stress tests, integrate it with dependent processes and update crisis playbooks.</t>
  </si>
  <si>
    <t>Sustain maturity for pipeline governance with clear stages, qualification criteria, forecast probability and CRM discipline: keep evidence current, monitor drift, benchmark externally and refresh risk tests after organizational, system or market changes.</t>
  </si>
  <si>
    <t>Immature capability for channel strategy across direct sales, partners, ecommerce, marketplaces, distributors and digital channels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</si>
  <si>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channel strategy across direct sales, partners, ecommerce, marketplaces, distributors and digital channels.</t>
  </si>
  <si>
    <t>Severe risk: channel strategy across direct sales, partners, ecommerce, marketplaces, distributors and digital channels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</si>
  <si>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channel strategy across direct sales, partners, ecommerce, marketplaces, distributors and digital channels depends on informal practices or individual knowledge. Disruption may expose weak crisis positioning, poor prioritization of segments, revenue leakage and inability to adapt the offering and slow recovery.</t>
  </si>
  <si>
    <t>Elevated risk: channel strategy across direct sales, partners, ecommerce, marketplaces, distributors and digital channels is partially controlled, but coverage, evidence or testing is inconsistent. Crisis response may be fragmented.</t>
  </si>
  <si>
    <t>Moderate risk: channel strategy across direct sales, partners, ecommerce, marketplaces, distributors and digital channels is documented and owned, but measurement, stress testing and integration with dependent processes need strengthening.</t>
  </si>
  <si>
    <t>Residual risk: channel strategy across direct sales, partners, ecommerce, marketplaces, distributors and digital channels is measured and reviewed, but monitoring, automation or scenario testing should be improved to prevent maturity drift.</t>
  </si>
  <si>
    <t>Low residual risk: channel strategy across direct sales, partners, ecommerce, marketplaces, distributors and digital channels is mature and crisis-tested. Maintain monitoring, evidence, ownership and periodic stress testing.</t>
  </si>
  <si>
    <t>Create an immediate risk owner, minimum control baseline and fallback procedure for channel strategy across direct sales, partners, ecommerce, marketplaces, distributors and digital channels. Add it to the crisis risk register and collect first evidence.</t>
  </si>
  <si>
    <t>Document channel strategy across direct sales, partners, ecommerce, marketplaces, distributors and digital channels, assign RACI, define minimum controls and KPIs, and validate coverage across key sites, teams or systems.</t>
  </si>
  <si>
    <t>Standardize channel strategy across direct sales, partners, ecommerce, marketplaces, distributors and digital channels, close coverage gaps, train accountable roles and connect controls to the relevant crisis scenarios and continuity plans.</t>
  </si>
  <si>
    <t>Measure and test channel strategy across direct sales, partners, ecommerce, marketplaces, distributors and digital channels, run tabletop or operational stress tests, integrate it with dependent processes and update crisis playbooks.</t>
  </si>
  <si>
    <t>Sustain maturity for channel strategy across direct sales, partners, ecommerce, marketplaces, distributors and digital channels: keep evidence current, monitor drift, benchmark externally and refresh risk tests after organizational, system or market changes.</t>
  </si>
  <si>
    <t>Immature capability for win/loss analysis feeding back into strategy, offering, pricing and messaging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</si>
  <si>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win/loss analysis feeding back into strategy, offering, pricing and messaging.</t>
  </si>
  <si>
    <t>Severe risk: win/loss analysis feeding back into strategy, offering, pricing and messaging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</si>
  <si>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win/loss analysis feeding back into strategy, offering, pricing and messaging depends on informal practices or individual knowledge. Disruption may expose weak crisis positioning, poor prioritization of segments, revenue leakage and inability to adapt the offering and slow recovery.</t>
  </si>
  <si>
    <t>Elevated risk: win/loss analysis feeding back into strategy, offering, pricing and messaging is partially controlled, but coverage, evidence or testing is inconsistent. Crisis response may be fragmented.</t>
  </si>
  <si>
    <t>Moderate risk: win/loss analysis feeding back into strategy, offering, pricing and messaging is documented and owned, but measurement, stress testing and integration with dependent processes need strengthening.</t>
  </si>
  <si>
    <t>Residual risk: win/loss analysis feeding back into strategy, offering, pricing and messaging is measured and reviewed, but monitoring, automation or scenario testing should be improved to prevent maturity drift.</t>
  </si>
  <si>
    <t>Low residual risk: win/loss analysis feeding back into strategy, offering, pricing and messaging is mature and crisis-tested. Maintain monitoring, evidence, ownership and periodic stress testing.</t>
  </si>
  <si>
    <t>Create an immediate risk owner, minimum control baseline and fallback procedure for win/loss analysis feeding back into strategy, offering, pricing and messaging. Add it to the crisis risk register and collect first evidence.</t>
  </si>
  <si>
    <t>Document win/loss analysis feeding back into strategy, offering, pricing and messaging, assign RACI, define minimum controls and KPIs, and validate coverage across key sites, teams or systems.</t>
  </si>
  <si>
    <t>Standardize win/loss analysis feeding back into strategy, offering, pricing and messaging, close coverage gaps, train accountable roles and connect controls to the relevant crisis scenarios and continuity plans.</t>
  </si>
  <si>
    <t>Measure and test win/loss analysis feeding back into strategy, offering, pricing and messaging, run tabletop or operational stress tests, integrate it with dependent processes and update crisis playbooks.</t>
  </si>
  <si>
    <t>Sustain maturity for win/loss analysis feeding back into strategy, offering, pricing and messaging: keep evidence current, monitor drift, benchmark externally and refresh risk tests after organizational, system or market changes.</t>
  </si>
  <si>
    <t>Immature capability for sales forecast stress testing for delayed decisions, budget cuts and customer churn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</si>
  <si>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sales forecast stress testing for delayed decisions, budget cuts and customer churn.</t>
  </si>
  <si>
    <t>Severe risk: sales forecast stress testing for delayed decisions, budget cuts and customer churn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</si>
  <si>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sales forecast stress testing for delayed decisions, budget cuts and customer churn depends on informal practices or individual knowledge. Disruption may expose weak crisis positioning, poor prioritization of segments, revenue leakage and inability to adapt the offering and slow recovery.</t>
  </si>
  <si>
    <t>Elevated risk: sales forecast stress testing for delayed decisions, budget cuts and customer churn is partially controlled, but coverage, evidence or testing is inconsistent. Crisis response may be fragmented.</t>
  </si>
  <si>
    <t>Moderate risk: sales forecast stress testing for delayed decisions, budget cuts and customer churn is documented and owned, but measurement, stress testing and integration with dependent processes need strengthening.</t>
  </si>
  <si>
    <t>Residual risk: sales forecast stress testing for delayed decisions, budget cuts and customer churn is measured and reviewed, but monitoring, automation or scenario testing should be improved to prevent maturity drift.</t>
  </si>
  <si>
    <t>Low residual risk: sales forecast stress testing for delayed decisions, budget cuts and customer churn is mature and crisis-tested. Maintain monitoring, evidence, ownership and periodic stress testing.</t>
  </si>
  <si>
    <t>Create an immediate risk owner, minimum control baseline and fallback procedure for sales forecast stress testing for delayed decisions, budget cuts and customer churn. Add it to the crisis risk register and collect first evidence.</t>
  </si>
  <si>
    <t>Document sales forecast stress testing for delayed decisions, budget cuts and customer churn, assign RACI, define minimum controls and KPIs, and validate coverage across key sites, teams or systems.</t>
  </si>
  <si>
    <t>Standardize sales forecast stress testing for delayed decisions, budget cuts and customer churn, close coverage gaps, train accountable roles and connect controls to the relevant crisis scenarios and continuity plans.</t>
  </si>
  <si>
    <t>Measure and test sales forecast stress testing for delayed decisions, budget cuts and customer churn, run tabletop or operational stress tests, integrate it with dependent processes and update crisis playbooks.</t>
  </si>
  <si>
    <t>Sustain maturity for sales forecast stress testing for delayed decisions, budget cuts and customer churn: keep evidence current, monitor drift, benchmark externally and refresh risk tests after organizational, system or market changes.</t>
  </si>
  <si>
    <t>Immature capability for leading indicators for demand, churn, pricing pressure, conversion, sales velocity and customer health may lead to weak crisis positioning, poor prioritization of segments, revenue leakage and inability to adapt the offering during Demand shock; Financial liquidity crisis; Reputation crisis.</t>
  </si>
  <si>
    <t>Low maturity, weak ownership, incomplete evidence, insufficient testing and poor integration with crisis-management routines for leading indicators for demand, churn, pricing pressure, conversion, sales velocity and customer health.</t>
  </si>
  <si>
    <t>Severe risk: leading indicators for demand, churn, pricing pressure, conversion, sales velocity and customer health is not reliably controlled. During Demand shock; Financial liquidity crisis; Reputation crisis, the organization may face weak crisis positioning, poor prioritization of segments, revenue leakage and inability to adapt the offering with limited visibility or accountability.</t>
  </si>
  <si>
    <t>High risk: leading indicators for demand, churn, pricing pressure, conversion, sales velocity and customer health depends on informal practices or individual knowledge. Disruption may expose weak crisis positioning, poor prioritization of segments, revenue leakage and inability to adapt the offering and slow recovery.</t>
  </si>
  <si>
    <t>Elevated risk: leading indicators for demand, churn, pricing pressure, conversion, sales velocity and customer health is partially controlled, but coverage, evidence or testing is inconsistent. Crisis response may be fragmented.</t>
  </si>
  <si>
    <t>Moderate risk: leading indicators for demand, churn, pricing pressure, conversion, sales velocity and customer health is documented and owned, but measurement, stress testing and integration with dependent processes need strengthening.</t>
  </si>
  <si>
    <t>Residual risk: leading indicators for demand, churn, pricing pressure, conversion, sales velocity and customer health is measured and reviewed, but monitoring, automation or scenario testing should be improved to prevent maturity drift.</t>
  </si>
  <si>
    <t>Low residual risk: leading indicators for demand, churn, pricing pressure, conversion, sales velocity and customer health is mature and crisis-tested. Maintain monitoring, evidence, ownership and periodic stress testing.</t>
  </si>
  <si>
    <t>Create an immediate risk owner, minimum control baseline and fallback procedure for leading indicators for demand, churn, pricing pressure, conversion, sales velocity and customer health. Add it to the crisis risk register and collect first evidence.</t>
  </si>
  <si>
    <t>Document leading indicators for demand, churn, pricing pressure, conversion, sales velocity and customer health, assign RACI, define minimum controls and KPIs, and validate coverage across key sites, teams or systems.</t>
  </si>
  <si>
    <t>Standardize leading indicators for demand, churn, pricing pressure, conversion, sales velocity and customer health, close coverage gaps, train accountable roles and connect controls to the relevant crisis scenarios and continuity plans.</t>
  </si>
  <si>
    <t>Measure and test leading indicators for demand, churn, pricing pressure, conversion, sales velocity and customer health, run tabletop or operational stress tests, integrate it with dependent processes and update crisis playbooks.</t>
  </si>
  <si>
    <t>Sustain maturity for leading indicators for demand, churn, pricing pressure, conversion, sales velocity and customer health: keep evidence current, monitor drift, benchmark externally and refresh risk tests after organizational, system or market changes.</t>
  </si>
  <si>
    <t>Immature capability for formal crisis management structure with named roles, deputies, escalation paths and decision authority may lead to slow decisions, unclear escalation, duplicated actions and weak crisis command during All crisis types.</t>
  </si>
  <si>
    <t>Low maturity, weak ownership, incomplete evidence, insufficient testing and poor integration with crisis-management routines for formal crisis management structure with named roles, deputies, escalation paths and decision authority.</t>
  </si>
  <si>
    <t>Severe risk: formal crisis management structure with named roles, deputies, escalation paths and decision authority is not reliably controlled. During All crisis types, the organization may face slow decisions, unclear escalation, duplicated actions and weak crisis command with limited visibility or accountability.</t>
  </si>
  <si>
    <t>High risk: formal crisis management structure with named roles, deputies, escalation paths and decision authority depends on informal practices or individual knowledge. Disruption may expose slow decisions, unclear escalation, duplicated actions and weak crisis command and slow recovery.</t>
  </si>
  <si>
    <t>Elevated risk: formal crisis management structure with named roles, deputies, escalation paths and decision authority is partially controlled, but coverage, evidence or testing is inconsistent. Crisis response may be fragmented.</t>
  </si>
  <si>
    <t>Moderate risk: formal crisis management structure with named roles, deputies, escalation paths and decision authority is documented and owned, but measurement, stress testing and integration with dependent processes need strengthening.</t>
  </si>
  <si>
    <t>Residual risk: formal crisis management structure with named roles, deputies, escalation paths and decision authority is measured and reviewed, but monitoring, automation or scenario testing should be improved to prevent maturity drift.</t>
  </si>
  <si>
    <t>Low residual risk: formal crisis management structure with named roles, deputies, escalation paths and decision authority is mature and crisis-tested. Maintain monitoring, evidence, ownership and periodic stress testing.</t>
  </si>
  <si>
    <t>Create an immediate risk owner, minimum control baseline and fallback procedure for formal crisis management structure with named roles, deputies, escalation paths and decision authority. Add it to the crisis risk register and collect first evidence.</t>
  </si>
  <si>
    <t>Document formal crisis management structure with named roles, deputies, escalation paths and decision authority, assign RACI, define minimum controls and KPIs, and validate coverage across key sites, teams or systems.</t>
  </si>
  <si>
    <t>Standardize formal crisis management structure with named roles, deputies, escalation paths and decision authority, close coverage gaps, train accountable roles and connect controls to the relevant crisis scenarios and continuity plans.</t>
  </si>
  <si>
    <t>Measure and test formal crisis management structure with named roles, deputies, escalation paths and decision authority, run tabletop or operational stress tests, integrate it with dependent processes and update crisis playbooks.</t>
  </si>
  <si>
    <t>Sustain maturity for formal crisis management structure with named roles, deputies, escalation paths and decision authority: keep evidence current, monitor drift, benchmark externally and refresh risk tests after organizational, system or market changes.</t>
  </si>
  <si>
    <t>Immature capability for executive crisis team trained for cross-functional crisis response may lead to slow decisions, unclear escalation, duplicated actions and weak crisis command during All crisis types.</t>
  </si>
  <si>
    <t>Low maturity, weak ownership, incomplete evidence, insufficient testing and poor integration with crisis-management routines for executive crisis team trained for cross-functional crisis response.</t>
  </si>
  <si>
    <t>Severe risk: executive crisis team trained for cross-functional crisis response is not reliably controlled. During All crisis types, the organization may face slow decisions, unclear escalation, duplicated actions and weak crisis command with limited visibility or accountability.</t>
  </si>
  <si>
    <t>High risk: executive crisis team trained for cross-functional crisis response depends on informal practices or individual knowledge. Disruption may expose slow decisions, unclear escalation, duplicated actions and weak crisis command and slow recovery.</t>
  </si>
  <si>
    <t>Elevated risk: executive crisis team trained for cross-functional crisis response is partially controlled, but coverage, evidence or testing is inconsistent. Crisis response may be fragmented.</t>
  </si>
  <si>
    <t>Moderate risk: executive crisis team trained for cross-functional crisis response is documented and owned, but measurement, stress testing and integration with dependent processes need strengthening.</t>
  </si>
  <si>
    <t>Residual risk: executive crisis team trained for cross-functional crisis response is measured and reviewed, but monitoring, automation or scenario testing should be improved to prevent maturity drift.</t>
  </si>
  <si>
    <t>Low residual risk: executive crisis team trained for cross-functional crisis response is mature and crisis-tested. Maintain monitoring, evidence, ownership and periodic stress testing.</t>
  </si>
  <si>
    <t>Create an immediate risk owner, minimum control baseline and fallback procedure for executive crisis team trained for cross-functional crisis response. Add it to the crisis risk register and collect first evidence.</t>
  </si>
  <si>
    <t>Document executive crisis team trained for cross-functional crisis response, assign RACI, define minimum controls and KPIs, and validate coverage across key sites, teams or systems.</t>
  </si>
  <si>
    <t>Standardize executive crisis team trained for cross-functional crisis response, close coverage gaps, train accountable roles and connect controls to the relevant crisis scenarios and continuity plans.</t>
  </si>
  <si>
    <t>Measure and test executive crisis team trained for cross-functional crisis response, run tabletop or operational stress tests, integrate it with dependent processes and update crisis playbooks.</t>
  </si>
  <si>
    <t>Sustain maturity for executive crisis team trained for cross-functional crisis response: keep evidence current, monitor drift, benchmark externally and refresh risk tests after organizational, system or market changes.</t>
  </si>
  <si>
    <t>Immature capability for clear crisis decision rights for finance, people, operations, IT, legal, safety and communications may lead to slow decisions, unclear escalation, duplicated actions and weak crisis command during All crisis types.</t>
  </si>
  <si>
    <t>Low maturity, weak ownership, incomplete evidence, insufficient testing and poor integration with crisis-management routines for clear crisis decision rights for finance, people, operations, IT, legal, safety and communications.</t>
  </si>
  <si>
    <t>Severe risk: clear crisis decision rights for finance, people, operations, IT, legal, safety and communications is not reliably controlled. During All crisis types, the organization may face slow decisions, unclear escalation, duplicated actions and weak crisis command with limited visibility or accountability.</t>
  </si>
  <si>
    <t>High risk: clear crisis decision rights for finance, people, operations, IT, legal, safety and communications depends on informal practices or individual knowledge. Disruption may expose slow decisions, unclear escalation, duplicated actions and weak crisis command and slow recovery.</t>
  </si>
  <si>
    <t>Elevated risk: clear crisis decision rights for finance, people, operations, IT, legal, safety and communications is partially controlled, but coverage, evidence or testing is inconsistent. Crisis response may be fragmented.</t>
  </si>
  <si>
    <t>Moderate risk: clear crisis decision rights for finance, people, operations, IT, legal, safety and communications is documented and owned, but measurement, stress testing and integration with dependent processes need strengthening.</t>
  </si>
  <si>
    <t>Residual risk: clear crisis decision rights for finance, people, operations, IT, legal, safety and communications is measured and reviewed, but monitoring, automation or scenario testing should be improved to prevent maturity drift.</t>
  </si>
  <si>
    <t>Low residual risk: clear crisis decision rights for finance, people, operations, IT, legal, safety and communications is mature and crisis-tested. Maintain monitoring, evidence, ownership and periodic stress testing.</t>
  </si>
  <si>
    <t>Create an immediate risk owner, minimum control baseline and fallback procedure for clear crisis decision rights for finance, people, operations, IT, legal, safety and communications. Add it to the crisis risk register and collect first evidence.</t>
  </si>
  <si>
    <t>Document clear crisis decision rights for finance, people, operations, IT, legal, safety and communications, assign RACI, define minimum controls and KPIs, and validate coverage across key sites, teams or systems.</t>
  </si>
  <si>
    <t>Standardize clear crisis decision rights for finance, people, operations, IT, legal, safety and communications, close coverage gaps, train accountable roles and connect controls to the relevant crisis scenarios and continuity plans.</t>
  </si>
  <si>
    <t>Measure and test clear crisis decision rights for finance, people, operations, IT, legal, safety and communications, run tabletop or operational stress tests, integrate it with dependent processes and update crisis playbooks.</t>
  </si>
  <si>
    <t>Sustain maturity for clear crisis decision rights for finance, people, operations, IT, legal, safety and communications: keep evidence current, monitor drift, benchmark externally and refresh risk tests after organizational, system or market changes.</t>
  </si>
  <si>
    <t>Immature capability for crisis cadence for situation reports, decisions, action owners, deadlines and follow-up may lead to slow decisions, unclear escalation, duplicated actions and weak crisis command during All crisis types.</t>
  </si>
  <si>
    <t>Low maturity, weak ownership, incomplete evidence, insufficient testing and poor integration with crisis-management routines for crisis cadence for situation reports, decisions, action owners, deadlines and follow-up.</t>
  </si>
  <si>
    <t>Severe risk: crisis cadence for situation reports, decisions, action owners, deadlines and follow-up is not reliably controlled. During All crisis types, the organization may face slow decisions, unclear escalation, duplicated actions and weak crisis command with limited visibility or accountability.</t>
  </si>
  <si>
    <t>High risk: crisis cadence for situation reports, decisions, action owners, deadlines and follow-up depends on informal practices or individual knowledge. Disruption may expose slow decisions, unclear escalation, duplicated actions and weak crisis command and slow recovery.</t>
  </si>
  <si>
    <t>Elevated risk: crisis cadence for situation reports, decisions, action owners, deadlines and follow-up is partially controlled, but coverage, evidence or testing is inconsistent. Crisis response may be fragmented.</t>
  </si>
  <si>
    <t>Moderate risk: crisis cadence for situation reports, decisions, action owners, deadlines and follow-up is documented and owned, but measurement, stress testing and integration with dependent processes need strengthening.</t>
  </si>
  <si>
    <t>Residual risk: crisis cadence for situation reports, decisions, action owners, deadlines and follow-up is measured and reviewed, but monitoring, automation or scenario testing should be improved to prevent maturity drift.</t>
  </si>
  <si>
    <t>Low residual risk: crisis cadence for situation reports, decisions, action owners, deadlines and follow-up is mature and crisis-tested. Maintain monitoring, evidence, ownership and periodic stress testing.</t>
  </si>
  <si>
    <t>Create an immediate risk owner, minimum control baseline and fallback procedure for crisis cadence for situation reports, decisions, action owners, deadlines and follow-up. Add it to the crisis risk register and collect first evidence.</t>
  </si>
  <si>
    <t>Document crisis cadence for situation reports, decisions, action owners, deadlines and follow-up, assign RACI, define minimum controls and KPIs, and validate coverage across key sites, teams or systems.</t>
  </si>
  <si>
    <t>Standardize crisis cadence for situation reports, decisions, action owners, deadlines and follow-up, close coverage gaps, train accountable roles and connect controls to the relevant crisis scenarios and continuity plans.</t>
  </si>
  <si>
    <t>Measure and test crisis cadence for situation reports, decisions, action owners, deadlines and follow-up, run tabletop or operational stress tests, integrate it with dependent processes and update crisis playbooks.</t>
  </si>
  <si>
    <t>Sustain maturity for crisis cadence for situation reports, decisions, action owners, deadlines and follow-up: keep evidence current, monitor drift, benchmark externally and refresh risk tests after organizational, system or market changes.</t>
  </si>
  <si>
    <t>Immature capability for board or owner-level oversight of resilience, continuity and enterprise risk may lead to slow decisions, unclear escalation, duplicated actions and weak crisis command during All crisis types.</t>
  </si>
  <si>
    <t>Low maturity, weak ownership, incomplete evidence, insufficient testing and poor integration with crisis-management routines for board or owner-level oversight of resilience, continuity and enterprise risk.</t>
  </si>
  <si>
    <t>Severe risk: board or owner-level oversight of resilience, continuity and enterprise risk is not reliably controlled. During All crisis types, the organization may face slow decisions, unclear escalation, duplicated actions and weak crisis command with limited visibility or accountability.</t>
  </si>
  <si>
    <t>High risk: board or owner-level oversight of resilience, continuity and enterprise risk depends on informal practices or individual knowledge. Disruption may expose slow decisions, unclear escalation, duplicated actions and weak crisis command and slow recovery.</t>
  </si>
  <si>
    <t>Elevated risk: board or owner-level oversight of resilience, continuity and enterprise risk is partially controlled, but coverage, evidence or testing is inconsistent. Crisis response may be fragmented.</t>
  </si>
  <si>
    <t>Moderate risk: board or owner-level oversight of resilience, continuity and enterprise risk is documented and owned, but measurement, stress testing and integration with dependent processes need strengthening.</t>
  </si>
  <si>
    <t>Residual risk: board or owner-level oversight of resilience, continuity and enterprise risk is measured and reviewed, but monitoring, automation or scenario testing should be improved to prevent maturity drift.</t>
  </si>
  <si>
    <t>Low residual risk: board or owner-level oversight of resilience, continuity and enterprise risk is mature and crisis-tested. Maintain monitoring, evidence, ownership and periodic stress testing.</t>
  </si>
  <si>
    <t>Create an immediate risk owner, minimum control baseline and fallback procedure for board or owner-level oversight of resilience, continuity and enterprise risk. Add it to the crisis risk register and collect first evidence.</t>
  </si>
  <si>
    <t>Document board or owner-level oversight of resilience, continuity and enterprise risk, assign RACI, define minimum controls and KPIs, and validate coverage across key sites, teams or systems.</t>
  </si>
  <si>
    <t>Standardize board or owner-level oversight of resilience, continuity and enterprise risk, close coverage gaps, train accountable roles and connect controls to the relevant crisis scenarios and continuity plans.</t>
  </si>
  <si>
    <t>Measure and test board or owner-level oversight of resilience, continuity and enterprise risk, run tabletop or operational stress tests, integrate it with dependent processes and update crisis playbooks.</t>
  </si>
  <si>
    <t>Sustain maturity for board or owner-level oversight of resilience, continuity and enterprise risk: keep evidence current, monitor drift, benchmark externally and refresh risk tests after organizational, system or market changes.</t>
  </si>
  <si>
    <t>Immature capability for emergency spending authority and budget release rules may lead to slow decisions, unclear escalation, duplicated actions and weak crisis command during All crisis types.</t>
  </si>
  <si>
    <t>Low maturity, weak ownership, incomplete evidence, insufficient testing and poor integration with crisis-management routines for emergency spending authority and budget release rules.</t>
  </si>
  <si>
    <t>Severe risk: emergency spending authority and budget release rules is not reliably controlled. During All crisis types, the organization may face slow decisions, unclear escalation, duplicated actions and weak crisis command with limited visibility or accountability.</t>
  </si>
  <si>
    <t>High risk: emergency spending authority and budget release rules depends on informal practices or individual knowledge. Disruption may expose slow decisions, unclear escalation, duplicated actions and weak crisis command and slow recovery.</t>
  </si>
  <si>
    <t>Elevated risk: emergency spending authority and budget release rules is partially controlled, but coverage, evidence or testing is inconsistent. Crisis response may be fragmented.</t>
  </si>
  <si>
    <t>Moderate risk: emergency spending authority and budget release rules is documented and owned, but measurement, stress testing and integration with dependent processes need strengthening.</t>
  </si>
  <si>
    <t>Residual risk: emergency spending authority and budget release rules is measured and reviewed, but monitoring, automation or scenario testing should be improved to prevent maturity drift.</t>
  </si>
  <si>
    <t>Low residual risk: emergency spending authority and budget release rules is mature and crisis-tested. Maintain monitoring, evidence, ownership and periodic stress testing.</t>
  </si>
  <si>
    <t>Create an immediate risk owner, minimum control baseline and fallback procedure for emergency spending authority and budget release rules. Add it to the crisis risk register and collect first evidence.</t>
  </si>
  <si>
    <t>Document emergency spending authority and budget release rules, assign RACI, define minimum controls and KPIs, and validate coverage across key sites, teams or systems.</t>
  </si>
  <si>
    <t>Standardize emergency spending authority and budget release rules, close coverage gaps, train accountable roles and connect controls to the relevant crisis scenarios and continuity plans.</t>
  </si>
  <si>
    <t>Measure and test emergency spending authority and budget release rules, run tabletop or operational stress tests, integrate it with dependent processes and update crisis playbooks.</t>
  </si>
  <si>
    <t>Sustain maturity for emergency spending authority and budget release rules: keep evidence current, monitor drift, benchmark externally and refresh risk tests after organizational, system or market changes.</t>
  </si>
  <si>
    <t>Immature capability for enterprise risk register with owners, likelihood, impact, controls, triggers and residual risk may lead to slow decisions, unclear escalation, duplicated actions and weak crisis command during All crisis types.</t>
  </si>
  <si>
    <t>Low maturity, weak ownership, incomplete evidence, insufficient testing and poor integration with crisis-management routines for enterprise risk register with owners, likelihood, impact, controls, triggers and residual risk.</t>
  </si>
  <si>
    <t>Severe risk: enterprise risk register with owners, likelihood, impact, controls, triggers and residual risk is not reliably controlled. During All crisis types, the organization may face slow decisions, unclear escalation, duplicated actions and weak crisis command with limited visibility or accountability.</t>
  </si>
  <si>
    <t>High risk: enterprise risk register with owners, likelihood, impact, controls, triggers and residual risk depends on informal practices or individual knowledge. Disruption may expose slow decisions, unclear escalation, duplicated actions and weak crisis command and slow recovery.</t>
  </si>
  <si>
    <t>Elevated risk: enterprise risk register with owners, likelihood, impact, controls, triggers and residual risk is partially controlled, but coverage, evidence or testing is inconsistent. Crisis response may be fragmented.</t>
  </si>
  <si>
    <t>Moderate risk: enterprise risk register with owners, likelihood, impact, controls, triggers and residual risk is documented and owned, but measurement, stress testing and integration with dependent processes need strengthening.</t>
  </si>
  <si>
    <t>Residual risk: enterprise risk register with owners, likelihood, impact, controls, triggers and residual risk is measured and reviewed, but monitoring, automation or scenario testing should be improved to prevent maturity drift.</t>
  </si>
  <si>
    <t>Low residual risk: enterprise risk register with owners, likelihood, impact, controls, triggers and residual risk is mature and crisis-tested. Maintain monitoring, evidence, ownership and periodic stress testing.</t>
  </si>
  <si>
    <t>Create an immediate risk owner, minimum control baseline and fallback procedure for enterprise risk register with owners, likelihood, impact, controls, triggers and residual risk. Add it to the crisis risk register and collect first evidence.</t>
  </si>
  <si>
    <t>Document enterprise risk register with owners, likelihood, impact, controls, triggers and residual risk, assign RACI, define minimum controls and KPIs, and validate coverage across key sites, teams or systems.</t>
  </si>
  <si>
    <t>Standardize enterprise risk register with owners, likelihood, impact, controls, triggers and residual risk, close coverage gaps, train accountable roles and connect controls to the relevant crisis scenarios and continuity plans.</t>
  </si>
  <si>
    <t>Measure and test enterprise risk register with owners, likelihood, impact, controls, triggers and residual risk, run tabletop or operational stress tests, integrate it with dependent processes and update crisis playbooks.</t>
  </si>
  <si>
    <t>Sustain maturity for enterprise risk register with owners, likelihood, impact, controls, triggers and residual risk: keep evidence current, monitor drift, benchmark externally and refresh risk tests after organizational, system or market changes.</t>
  </si>
  <si>
    <t>Immature capability for risk appetite for safety, cash, cyber, delivery, compliance, reputation and operational continuity may lead to slow decisions, unclear escalation, duplicated actions and weak crisis command during All crisis types.</t>
  </si>
  <si>
    <t>Low maturity, weak ownership, incomplete evidence, insufficient testing and poor integration with crisis-management routines for risk appetite for safety, cash, cyber, delivery, compliance, reputation and operational continuity.</t>
  </si>
  <si>
    <t>Severe risk: risk appetite for safety, cash, cyber, delivery, compliance, reputation and operational continuity is not reliably controlled. During All crisis types, the organization may face slow decisions, unclear escalation, duplicated actions and weak crisis command with limited visibility or accountability.</t>
  </si>
  <si>
    <t>High risk: risk appetite for safety, cash, cyber, delivery, compliance, reputation and operational continuity depends on informal practices or individual knowledge. Disruption may expose slow decisions, unclear escalation, duplicated actions and weak crisis command and slow recovery.</t>
  </si>
  <si>
    <t>Elevated risk: risk appetite for safety, cash, cyber, delivery, compliance, reputation and operational continuity is partially controlled, but coverage, evidence or testing is inconsistent. Crisis response may be fragmented.</t>
  </si>
  <si>
    <t>Moderate risk: risk appetite for safety, cash, cyber, delivery, compliance, reputation and operational continuity is documented and owned, but measurement, stress testing and integration with dependent processes need strengthening.</t>
  </si>
  <si>
    <t>Residual risk: risk appetite for safety, cash, cyber, delivery, compliance, reputation and operational continuity is measured and reviewed, but monitoring, automation or scenario testing should be improved to prevent maturity drift.</t>
  </si>
  <si>
    <t>Low residual risk: risk appetite for safety, cash, cyber, delivery, compliance, reputation and operational continuity is mature and crisis-tested. Maintain monitoring, evidence, ownership and periodic stress testing.</t>
  </si>
  <si>
    <t>Create an immediate risk owner, minimum control baseline and fallback procedure for risk appetite for safety, cash, cyber, delivery, compliance, reputation and operational continuity. Add it to the crisis risk register and collect first evidence.</t>
  </si>
  <si>
    <t>Document risk appetite for safety, cash, cyber, delivery, compliance, reputation and operational continuity, assign RACI, define minimum controls and KPIs, and validate coverage across key sites, teams or systems.</t>
  </si>
  <si>
    <t>Standardize risk appetite for safety, cash, cyber, delivery, compliance, reputation and operational continuity, close coverage gaps, train accountable roles and connect controls to the relevant crisis scenarios and continuity plans.</t>
  </si>
  <si>
    <t>Measure and test risk appetite for safety, cash, cyber, delivery, compliance, reputation and operational continuity, run tabletop or operational stress tests, integrate it with dependent processes and update crisis playbooks.</t>
  </si>
  <si>
    <t>Sustain maturity for risk appetite for safety, cash, cyber, delivery, compliance, reputation and operational continuity: keep evidence current, monitor drift, benchmark externally and refresh risk tests after organizational, system or market changes.</t>
  </si>
  <si>
    <t>Immature capability for early warning indicators for major crisis types and objective crisis activation triggers may lead to slow decisions, unclear escalation, duplicated actions and weak crisis command during All crisis types.</t>
  </si>
  <si>
    <t>Low maturity, weak ownership, incomplete evidence, insufficient testing and poor integration with crisis-management routines for early warning indicators for major crisis types and objective crisis activation triggers.</t>
  </si>
  <si>
    <t>Severe risk: early warning indicators for major crisis types and objective crisis activation triggers is not reliably controlled. During All crisis types, the organization may face slow decisions, unclear escalation, duplicated actions and weak crisis command with limited visibility or accountability.</t>
  </si>
  <si>
    <t>High risk: early warning indicators for major crisis types and objective crisis activation triggers depends on informal practices or individual knowledge. Disruption may expose slow decisions, unclear escalation, duplicated actions and weak crisis command and slow recovery.</t>
  </si>
  <si>
    <t>Elevated risk: early warning indicators for major crisis types and objective crisis activation triggers is partially controlled, but coverage, evidence or testing is inconsistent. Crisis response may be fragmented.</t>
  </si>
  <si>
    <t>Moderate risk: early warning indicators for major crisis types and objective crisis activation triggers is documented and owned, but measurement, stress testing and integration with dependent processes need strengthening.</t>
  </si>
  <si>
    <t>Residual risk: early warning indicators for major crisis types and objective crisis activation triggers is measured and reviewed, but monitoring, automation or scenario testing should be improved to prevent maturity drift.</t>
  </si>
  <si>
    <t>Low residual risk: early warning indicators for major crisis types and objective crisis activation triggers is mature and crisis-tested. Maintain monitoring, evidence, ownership and periodic stress testing.</t>
  </si>
  <si>
    <t>Create an immediate risk owner, minimum control baseline and fallback procedure for early warning indicators for major crisis types and objective crisis activation triggers. Add it to the crisis risk register and collect first evidence.</t>
  </si>
  <si>
    <t>Document early warning indicators for major crisis types and objective crisis activation triggers, assign RACI, define minimum controls and KPIs, and validate coverage across key sites, teams or systems.</t>
  </si>
  <si>
    <t>Standardize early warning indicators for major crisis types and objective crisis activation triggers, close coverage gaps, train accountable roles and connect controls to the relevant crisis scenarios and continuity plans.</t>
  </si>
  <si>
    <t>Measure and test early warning indicators for major crisis types and objective crisis activation triggers, run tabletop or operational stress tests, integrate it with dependent processes and update crisis playbooks.</t>
  </si>
  <si>
    <t>Sustain maturity for early warning indicators for major crisis types and objective crisis activation triggers: keep evidence current, monitor drift, benchmark externally and refresh risk tests after organizational, system or market changes.</t>
  </si>
  <si>
    <t>Immature capability for business impact analysis across functions, sites, systems, people and suppliers may lead to slow decisions, unclear escalation, duplicated actions and weak crisis command during All crisis types.</t>
  </si>
  <si>
    <t>Low maturity, weak ownership, incomplete evidence, insufficient testing and poor integration with crisis-management routines for business impact analysis across functions, sites, systems, people and suppliers.</t>
  </si>
  <si>
    <t>Severe risk: business impact analysis across functions, sites, systems, people and suppliers is not reliably controlled. During All crisis types, the organization may face slow decisions, unclear escalation, duplicated actions and weak crisis command with limited visibility or accountability.</t>
  </si>
  <si>
    <t>High risk: business impact analysis across functions, sites, systems, people and suppliers depends on informal practices or individual knowledge. Disruption may expose slow decisions, unclear escalation, duplicated actions and weak crisis command and slow recovery.</t>
  </si>
  <si>
    <t>Elevated risk: business impact analysis across functions, sites, systems, people and suppliers is partially controlled, but coverage, evidence or testing is inconsistent. Crisis response may be fragmented.</t>
  </si>
  <si>
    <t>Moderate risk: business impact analysis across functions, sites, systems, people and suppliers is documented and owned, but measurement, stress testing and integration with dependent processes need strengthening.</t>
  </si>
  <si>
    <t>Residual risk: business impact analysis across functions, sites, systems, people and suppliers is measured and reviewed, but monitoring, automation or scenario testing should be improved to prevent maturity drift.</t>
  </si>
  <si>
    <t>Low residual risk: business impact analysis across functions, sites, systems, people and suppliers is mature and crisis-tested. Maintain monitoring, evidence, ownership and periodic stress testing.</t>
  </si>
  <si>
    <t>Create an immediate risk owner, minimum control baseline and fallback procedure for business impact analysis across functions, sites, systems, people and suppliers. Add it to the crisis risk register and collect first evidence.</t>
  </si>
  <si>
    <t>Document business impact analysis across functions, sites, systems, people and suppliers, assign RACI, define minimum controls and KPIs, and validate coverage across key sites, teams or systems.</t>
  </si>
  <si>
    <t>Standardize business impact analysis across functions, sites, systems, people and suppliers, close coverage gaps, train accountable roles and connect controls to the relevant crisis scenarios and continuity plans.</t>
  </si>
  <si>
    <t>Measure and test business impact analysis across functions, sites, systems, people and suppliers, run tabletop or operational stress tests, integrate it with dependent processes and update crisis playbooks.</t>
  </si>
  <si>
    <t>Sustain maturity for business impact analysis across functions, sites, systems, people and suppliers: keep evidence current, monitor drift, benchmark externally and refresh risk tests after organizational, system or market changes.</t>
  </si>
  <si>
    <t>Immature capability for business continuity plans covering critical processes, people, systems, sites, suppliers and communication may lead to slow decisions, unclear escalation, duplicated actions and weak crisis command during All crisis types.</t>
  </si>
  <si>
    <t>Low maturity, weak ownership, incomplete evidence, insufficient testing and poor integration with crisis-management routines for business continuity plans covering critical processes, people, systems, sites, suppliers and communication.</t>
  </si>
  <si>
    <t>Severe risk: business continuity plans covering critical processes, people, systems, sites, suppliers and communication is not reliably controlled. During All crisis types, the organization may face slow decisions, unclear escalation, duplicated actions and weak crisis command with limited visibility or accountability.</t>
  </si>
  <si>
    <t>High risk: business continuity plans covering critical processes, people, systems, sites, suppliers and communication depends on informal practices or individual knowledge. Disruption may expose slow decisions, unclear escalation, duplicated actions and weak crisis command and slow recovery.</t>
  </si>
  <si>
    <t>Elevated risk: business continuity plans covering critical processes, people, systems, sites, suppliers and communication is partially controlled, but coverage, evidence or testing is inconsistent. Crisis response may be fragmented.</t>
  </si>
  <si>
    <t>Moderate risk: business continuity plans covering critical processes, people, systems, sites, suppliers and communication is documented and owned, but measurement, stress testing and integration with dependent processes need strengthening.</t>
  </si>
  <si>
    <t>Residual risk: business continuity plans covering critical processes, people, systems, sites, suppliers and communication is measured and reviewed, but monitoring, automation or scenario testing should be improved to prevent maturity drift.</t>
  </si>
  <si>
    <t>Low residual risk: business continuity plans covering critical processes, people, systems, sites, suppliers and communication is mature and crisis-tested. Maintain monitoring, evidence, ownership and periodic stress testing.</t>
  </si>
  <si>
    <t>Create an immediate risk owner, minimum control baseline and fallback procedure for business continuity plans covering critical processes, people, systems, sites, suppliers and communication. Add it to the crisis risk register and collect first evidence.</t>
  </si>
  <si>
    <t>Document business continuity plans covering critical processes, people, systems, sites, suppliers and communication, assign RACI, define minimum controls and KPIs, and validate coverage across key sites, teams or systems.</t>
  </si>
  <si>
    <t>Standardize business continuity plans covering critical processes, people, systems, sites, suppliers and communication, close coverage gaps, train accountable roles and connect controls to the relevant crisis scenarios and continuity plans.</t>
  </si>
  <si>
    <t>Measure and test business continuity plans covering critical processes, people, systems, sites, suppliers and communication, run tabletop or operational stress tests, integrate it with dependent processes and update crisis playbooks.</t>
  </si>
  <si>
    <t>Sustain maturity for business continuity plans covering critical processes, people, systems, sites, suppliers and communication: keep evidence current, monitor drift, benchmark externally and refresh risk tests after organizational, system or market changes.</t>
  </si>
  <si>
    <t>Immature capability for scenario library covering cyberattack, war/security, site loss, supplier disruption, cloud outage, pandemic, demand shock and liquidity crisis may lead to slow decisions, unclear escalation, duplicated actions and weak crisis command during All crisis types.</t>
  </si>
  <si>
    <t>Low maturity, weak ownership, incomplete evidence, insufficient testing and poor integration with crisis-management routines for scenario library covering cyberattack, war/security, site loss, supplier disruption, cloud outage, pandemic, demand shock and liquidity crisis.</t>
  </si>
  <si>
    <t>Severe risk: scenario library covering cyberattack, war/security, site loss, supplier disruption, cloud outage, pandemic, demand shock and liquidity crisis is not reliably controlled. During All crisis types, the organization may face slow decisions, unclear escalation, duplicated actions and weak crisis command with limited visibility or accountability.</t>
  </si>
  <si>
    <t>High risk: scenario library covering cyberattack, war/security, site loss, supplier disruption, cloud outage, pandemic, demand shock and liquidity crisis depends on informal practices or individual knowledge. Disruption may expose slow decisions, unclear escalation, duplicated actions and weak crisis command and slow recovery.</t>
  </si>
  <si>
    <t>Elevated risk: scenario library covering cyberattack, war/security, site loss, supplier disruption, cloud outage, pandemic, demand shock and liquidity crisis is partially controlled, but coverage, evidence or testing is inconsistent. Crisis response may be fragmented.</t>
  </si>
  <si>
    <t>Moderate risk: scenario library covering cyberattack, war/security, site loss, supplier disruption, cloud outage, pandemic, demand shock and liquidity crisis is documented and owned, but measurement, stress testing and integration with dependent processes need strengthening.</t>
  </si>
  <si>
    <t>Residual risk: scenario library covering cyberattack, war/security, site loss, supplier disruption, cloud outage, pandemic, demand shock and liquidity crisis is measured and reviewed, but monitoring, automation or scenario testing should be improved to prevent maturity drift.</t>
  </si>
  <si>
    <t>Low residual risk: scenario library covering cyberattack, war/security, site loss, supplier disruption, cloud outage, pandemic, demand shock and liquidity crisis is mature and crisis-tested. Maintain monitoring, evidence, ownership and periodic stress testing.</t>
  </si>
  <si>
    <t>Create an immediate risk owner, minimum control baseline and fallback procedure for scenario library covering cyberattack, war/security, site loss, supplier disruption, cloud outage, pandemic, demand shock and liquidity crisis. Add it to the crisis risk register and collect first evidence.</t>
  </si>
  <si>
    <t>Document scenario library covering cyberattack, war/security, site loss, supplier disruption, cloud outage, pandemic, demand shock and liquidity crisis, assign RACI, define minimum controls and KPIs, and validate coverage across key sites, teams or systems.</t>
  </si>
  <si>
    <t>Standardize scenario library covering cyberattack, war/security, site loss, supplier disruption, cloud outage, pandemic, demand shock and liquidity crisis, close coverage gaps, train accountable roles and connect controls to the relevant crisis scenarios and continuity plans.</t>
  </si>
  <si>
    <t>Measure and test scenario library covering cyberattack, war/security, site loss, supplier disruption, cloud outage, pandemic, demand shock and liquidity crisis, run tabletop or operational stress tests, integrate it with dependent processes and update crisis playbooks.</t>
  </si>
  <si>
    <t>Sustain maturity for scenario library covering cyberattack, war/security, site loss, supplier disruption, cloud outage, pandemic, demand shock and liquidity crisis: keep evidence current, monitor drift, benchmark externally and refresh risk tests after organizational, system or market changes.</t>
  </si>
  <si>
    <t>Immature capability for continuity testing through tabletop exercises, simulations and real incident reviews may lead to slow decisions, unclear escalation, duplicated actions and weak crisis command during All crisis types.</t>
  </si>
  <si>
    <t>Low maturity, weak ownership, incomplete evidence, insufficient testing and poor integration with crisis-management routines for continuity testing through tabletop exercises, simulations and real incident reviews.</t>
  </si>
  <si>
    <t>Severe risk: continuity testing through tabletop exercises, simulations and real incident reviews is not reliably controlled. During All crisis types, the organization may face slow decisions, unclear escalation, duplicated actions and weak crisis command with limited visibility or accountability.</t>
  </si>
  <si>
    <t>High risk: continuity testing through tabletop exercises, simulations and real incident reviews depends on informal practices or individual knowledge. Disruption may expose slow decisions, unclear escalation, duplicated actions and weak crisis command and slow recovery.</t>
  </si>
  <si>
    <t>Elevated risk: continuity testing through tabletop exercises, simulations and real incident reviews is partially controlled, but coverage, evidence or testing is inconsistent. Crisis response may be fragmented.</t>
  </si>
  <si>
    <t>Moderate risk: continuity testing through tabletop exercises, simulations and real incident reviews is documented and owned, but measurement, stress testing and integration with dependent processes need strengthening.</t>
  </si>
  <si>
    <t>Residual risk: continuity testing through tabletop exercises, simulations and real incident reviews is measured and reviewed, but monitoring, automation or scenario testing should be improved to prevent maturity drift.</t>
  </si>
  <si>
    <t>Low residual risk: continuity testing through tabletop exercises, simulations and real incident reviews is mature and crisis-tested. Maintain monitoring, evidence, ownership and periodic stress testing.</t>
  </si>
  <si>
    <t>Create an immediate risk owner, minimum control baseline and fallback procedure for continuity testing through tabletop exercises, simulations and real incident reviews. Add it to the crisis risk register and collect first evidence.</t>
  </si>
  <si>
    <t>Document continuity testing through tabletop exercises, simulations and real incident reviews, assign RACI, define minimum controls and KPIs, and validate coverage across key sites, teams or systems.</t>
  </si>
  <si>
    <t>Standardize continuity testing through tabletop exercises, simulations and real incident reviews, close coverage gaps, train accountable roles and connect controls to the relevant crisis scenarios and continuity plans.</t>
  </si>
  <si>
    <t>Measure and test continuity testing through tabletop exercises, simulations and real incident reviews, run tabletop or operational stress tests, integrate it with dependent processes and update crisis playbooks.</t>
  </si>
  <si>
    <t>Sustain maturity for continuity testing through tabletop exercises, simulations and real incident reviews: keep evidence current, monitor drift, benchmark externally and refresh risk tests after organizational, system or market changes.</t>
  </si>
  <si>
    <t>Immature capability for common incident classification model for severity, impact, escalation and communication may lead to slow decisions, unclear escalation, duplicated actions and weak crisis command during All crisis types.</t>
  </si>
  <si>
    <t>Low maturity, weak ownership, incomplete evidence, insufficient testing and poor integration with crisis-management routines for common incident classification model for severity, impact, escalation and communication.</t>
  </si>
  <si>
    <t>Severe risk: common incident classification model for severity, impact, escalation and communication is not reliably controlled. During All crisis types, the organization may face slow decisions, unclear escalation, duplicated actions and weak crisis command with limited visibility or accountability.</t>
  </si>
  <si>
    <t>High risk: common incident classification model for severity, impact, escalation and communication depends on informal practices or individual knowledge. Disruption may expose slow decisions, unclear escalation, duplicated actions and weak crisis command and slow recovery.</t>
  </si>
  <si>
    <t>Elevated risk: common incident classification model for severity, impact, escalation and communication is partially controlled, but coverage, evidence or testing is inconsistent. Crisis response may be fragmented.</t>
  </si>
  <si>
    <t>Moderate risk: common incident classification model for severity, impact, escalation and communication is documented and owned, but measurement, stress testing and integration with dependent processes need strengthening.</t>
  </si>
  <si>
    <t>Residual risk: common incident classification model for severity, impact, escalation and communication is measured and reviewed, but monitoring, automation or scenario testing should be improved to prevent maturity drift.</t>
  </si>
  <si>
    <t>Low residual risk: common incident classification model for severity, impact, escalation and communication is mature and crisis-tested. Maintain monitoring, evidence, ownership and periodic stress testing.</t>
  </si>
  <si>
    <t>Create an immediate risk owner, minimum control baseline and fallback procedure for common incident classification model for severity, impact, escalation and communication. Add it to the crisis risk register and collect first evidence.</t>
  </si>
  <si>
    <t>Document common incident classification model for severity, impact, escalation and communication, assign RACI, define minimum controls and KPIs, and validate coverage across key sites, teams or systems.</t>
  </si>
  <si>
    <t>Standardize common incident classification model for severity, impact, escalation and communication, close coverage gaps, train accountable roles and connect controls to the relevant crisis scenarios and continuity plans.</t>
  </si>
  <si>
    <t>Measure and test common incident classification model for severity, impact, escalation and communication, run tabletop or operational stress tests, integrate it with dependent processes and update crisis playbooks.</t>
  </si>
  <si>
    <t>Sustain maturity for common incident classification model for severity, impact, escalation and communication: keep evidence current, monitor drift, benchmark externally and refresh risk tests after organizational, system or market changes.</t>
  </si>
  <si>
    <t>Immature capability for post-incident review process that converts incidents into corrective and preventive actions may lead to slow decisions, unclear escalation, duplicated actions and weak crisis command during All crisis types.</t>
  </si>
  <si>
    <t>Low maturity, weak ownership, incomplete evidence, insufficient testing and poor integration with crisis-management routines for post-incident review process that converts incidents into corrective and preventive actions.</t>
  </si>
  <si>
    <t>Severe risk: post-incident review process that converts incidents into corrective and preventive actions is not reliably controlled. During All crisis types, the organization may face slow decisions, unclear escalation, duplicated actions and weak crisis command with limited visibility or accountability.</t>
  </si>
  <si>
    <t>High risk: post-incident review process that converts incidents into corrective and preventive actions depends on informal practices or individual knowledge. Disruption may expose slow decisions, unclear escalation, duplicated actions and weak crisis command and slow recovery.</t>
  </si>
  <si>
    <t>Elevated risk: post-incident review process that converts incidents into corrective and preventive actions is partially controlled, but coverage, evidence or testing is inconsistent. Crisis response may be fragmented.</t>
  </si>
  <si>
    <t>Moderate risk: post-incident review process that converts incidents into corrective and preventive actions is documented and owned, but measurement, stress testing and integration with dependent processes need strengthening.</t>
  </si>
  <si>
    <t>Residual risk: post-incident review process that converts incidents into corrective and preventive actions is measured and reviewed, but monitoring, automation or scenario testing should be improved to prevent maturity drift.</t>
  </si>
  <si>
    <t>Low residual risk: post-incident review process that converts incidents into corrective and preventive actions is mature and crisis-tested. Maintain monitoring, evidence, ownership and periodic stress testing.</t>
  </si>
  <si>
    <t>Create an immediate risk owner, minimum control baseline and fallback procedure for post-incident review process that converts incidents into corrective and preventive actions. Add it to the crisis risk register and collect first evidence.</t>
  </si>
  <si>
    <t>Document post-incident review process that converts incidents into corrective and preventive actions, assign RACI, define minimum controls and KPIs, and validate coverage across key sites, teams or systems.</t>
  </si>
  <si>
    <t>Standardize post-incident review process that converts incidents into corrective and preventive actions, close coverage gaps, train accountable roles and connect controls to the relevant crisis scenarios and continuity plans.</t>
  </si>
  <si>
    <t>Measure and test post-incident review process that converts incidents into corrective and preventive actions, run tabletop or operational stress tests, integrate it with dependent processes and update crisis playbooks.</t>
  </si>
  <si>
    <t>Sustain maturity for post-incident review process that converts incidents into corrective and preventive actions: keep evidence current, monitor drift, benchmark externally and refresh risk tests after organizational, system or market changes.</t>
  </si>
  <si>
    <t>Immature capability for interdependency map linking functions, sites, systems, people, suppliers and customers may lead to slow decisions, unclear escalation, duplicated actions and weak crisis command during All crisis types.</t>
  </si>
  <si>
    <t>Low maturity, weak ownership, incomplete evidence, insufficient testing and poor integration with crisis-management routines for interdependency map linking functions, sites, systems, people, suppliers and customers.</t>
  </si>
  <si>
    <t>Severe risk: interdependency map linking functions, sites, systems, people, suppliers and customers is not reliably controlled. During All crisis types, the organization may face slow decisions, unclear escalation, duplicated actions and weak crisis command with limited visibility or accountability.</t>
  </si>
  <si>
    <t>High risk: interdependency map linking functions, sites, systems, people, suppliers and customers depends on informal practices or individual knowledge. Disruption may expose slow decisions, unclear escalation, duplicated actions and weak crisis command and slow recovery.</t>
  </si>
  <si>
    <t>Elevated risk: interdependency map linking functions, sites, systems, people, suppliers and customers is partially controlled, but coverage, evidence or testing is inconsistent. Crisis response may be fragmented.</t>
  </si>
  <si>
    <t>Moderate risk: interdependency map linking functions, sites, systems, people, suppliers and customers is documented and owned, but measurement, stress testing and integration with dependent processes need strengthening.</t>
  </si>
  <si>
    <t>Residual risk: interdependency map linking functions, sites, systems, people, suppliers and customers is measured and reviewed, but monitoring, automation or scenario testing should be improved to prevent maturity drift.</t>
  </si>
  <si>
    <t>Low residual risk: interdependency map linking functions, sites, systems, people, suppliers and customers is mature and crisis-tested. Maintain monitoring, evidence, ownership and periodic stress testing.</t>
  </si>
  <si>
    <t>Create an immediate risk owner, minimum control baseline and fallback procedure for interdependency map linking functions, sites, systems, people, suppliers and customers. Add it to the crisis risk register and collect first evidence.</t>
  </si>
  <si>
    <t>Document interdependency map linking functions, sites, systems, people, suppliers and customers, assign RACI, define minimum controls and KPIs, and validate coverage across key sites, teams or systems.</t>
  </si>
  <si>
    <t>Standardize interdependency map linking functions, sites, systems, people, suppliers and customers, close coverage gaps, train accountable roles and connect controls to the relevant crisis scenarios and continuity plans.</t>
  </si>
  <si>
    <t>Measure and test interdependency map linking functions, sites, systems, people, suppliers and customers, run tabletop or operational stress tests, integrate it with dependent processes and update crisis playbooks.</t>
  </si>
  <si>
    <t>Sustain maturity for interdependency map linking functions, sites, systems, people, suppliers and customers: keep evidence current, monitor drift, benchmark externally and refresh risk tests after organizational, system or market changes.</t>
  </si>
  <si>
    <t>Immature capability for crisis communication protocol for employees, customers, suppliers, regulators, insurers and media may lead to slow decisions, unclear escalation, duplicated actions and weak crisis command during All crisis types.</t>
  </si>
  <si>
    <t>Low maturity, weak ownership, incomplete evidence, insufficient testing and poor integration with crisis-management routines for crisis communication protocol for employees, customers, suppliers, regulators, insurers and media.</t>
  </si>
  <si>
    <t>Severe risk: crisis communication protocol for employees, customers, suppliers, regulators, insurers and media is not reliably controlled. During All crisis types, the organization may face slow decisions, unclear escalation, duplicated actions and weak crisis command with limited visibility or accountability.</t>
  </si>
  <si>
    <t>High risk: crisis communication protocol for employees, customers, suppliers, regulators, insurers and media depends on informal practices or individual knowledge. Disruption may expose slow decisions, unclear escalation, duplicated actions and weak crisis command and slow recovery.</t>
  </si>
  <si>
    <t>Elevated risk: crisis communication protocol for employees, customers, suppliers, regulators, insurers and media is partially controlled, but coverage, evidence or testing is inconsistent. Crisis response may be fragmented.</t>
  </si>
  <si>
    <t>Moderate risk: crisis communication protocol for employees, customers, suppliers, regulators, insurers and media is documented and owned, but measurement, stress testing and integration with dependent processes need strengthening.</t>
  </si>
  <si>
    <t>Residual risk: crisis communication protocol for employees, customers, suppliers, regulators, insurers and media is measured and reviewed, but monitoring, automation or scenario testing should be improved to prevent maturity drift.</t>
  </si>
  <si>
    <t>Low residual risk: crisis communication protocol for employees, customers, suppliers, regulators, insurers and media is mature and crisis-tested. Maintain monitoring, evidence, ownership and periodic stress testing.</t>
  </si>
  <si>
    <t>Create an immediate risk owner, minimum control baseline and fallback procedure for crisis communication protocol for employees, customers, suppliers, regulators, insurers and media. Add it to the crisis risk register and collect first evidence.</t>
  </si>
  <si>
    <t>Document crisis communication protocol for employees, customers, suppliers, regulators, insurers and media, assign RACI, define minimum controls and KPIs, and validate coverage across key sites, teams or systems.</t>
  </si>
  <si>
    <t>Standardize crisis communication protocol for employees, customers, suppliers, regulators, insurers and media, close coverage gaps, train accountable roles and connect controls to the relevant crisis scenarios and continuity plans.</t>
  </si>
  <si>
    <t>Measure and test crisis communication protocol for employees, customers, suppliers, regulators, insurers and media, run tabletop or operational stress tests, integrate it with dependent processes and update crisis playbooks.</t>
  </si>
  <si>
    <t>Sustain maturity for crisis communication protocol for employees, customers, suppliers, regulators, insurers and media: keep evidence current, monitor drift, benchmark externally and refresh risk tests after organizational, system or market changes.</t>
  </si>
  <si>
    <t>Immature capability for mass notification and emergency coordination tools may lead to slow decisions, unclear escalation, duplicated actions and weak crisis command during All crisis types.</t>
  </si>
  <si>
    <t>Low maturity, weak ownership, incomplete evidence, insufficient testing and poor integration with crisis-management routines for mass notification and emergency coordination tools.</t>
  </si>
  <si>
    <t>Severe risk: mass notification and emergency coordination tools is not reliably controlled. During All crisis types, the organization may face slow decisions, unclear escalation, duplicated actions and weak crisis command with limited visibility or accountability.</t>
  </si>
  <si>
    <t>High risk: mass notification and emergency coordination tools depends on informal practices or individual knowledge. Disruption may expose slow decisions, unclear escalation, duplicated actions and weak crisis command and slow recovery.</t>
  </si>
  <si>
    <t>Elevated risk: mass notification and emergency coordination tools is partially controlled, but coverage, evidence or testing is inconsistent. Crisis response may be fragmented.</t>
  </si>
  <si>
    <t>Moderate risk: mass notification and emergency coordination tools is documented and owned, but measurement, stress testing and integration with dependent processes need strengthening.</t>
  </si>
  <si>
    <t>Residual risk: mass notification and emergency coordination tools is measured and reviewed, but monitoring, automation or scenario testing should be improved to prevent maturity drift.</t>
  </si>
  <si>
    <t>Low residual risk: mass notification and emergency coordination tools is mature and crisis-tested. Maintain monitoring, evidence, ownership and periodic stress testing.</t>
  </si>
  <si>
    <t>Create an immediate risk owner, minimum control baseline and fallback procedure for mass notification and emergency coordination tools. Add it to the crisis risk register and collect first evidence.</t>
  </si>
  <si>
    <t>Document mass notification and emergency coordination tools, assign RACI, define minimum controls and KPIs, and validate coverage across key sites, teams or systems.</t>
  </si>
  <si>
    <t>Standardize mass notification and emergency coordination tools, close coverage gaps, train accountable roles and connect controls to the relevant crisis scenarios and continuity plans.</t>
  </si>
  <si>
    <t>Measure and test mass notification and emergency coordination tools, run tabletop or operational stress tests, integrate it with dependent processes and update crisis playbooks.</t>
  </si>
  <si>
    <t>Sustain maturity for mass notification and emergency coordination tools: keep evidence current, monitor drift, benchmark externally and refresh risk tests after organizational, system or market changes.</t>
  </si>
  <si>
    <t>Immature capability for crisis lessons-learned process tied to improvement backlog and management review may lead to slow decisions, unclear escalation, duplicated actions and weak crisis command during All crisis types.</t>
  </si>
  <si>
    <t>Low maturity, weak ownership, incomplete evidence, insufficient testing and poor integration with crisis-management routines for crisis lessons-learned process tied to improvement backlog and management review.</t>
  </si>
  <si>
    <t>Severe risk: crisis lessons-learned process tied to improvement backlog and management review is not reliably controlled. During All crisis types, the organization may face slow decisions, unclear escalation, duplicated actions and weak crisis command with limited visibility or accountability.</t>
  </si>
  <si>
    <t>High risk: crisis lessons-learned process tied to improvement backlog and management review depends on informal practices or individual knowledge. Disruption may expose slow decisions, unclear escalation, duplicated actions and weak crisis command and slow recovery.</t>
  </si>
  <si>
    <t>Elevated risk: crisis lessons-learned process tied to improvement backlog and management review is partially controlled, but coverage, evidence or testing is inconsistent. Crisis response may be fragmented.</t>
  </si>
  <si>
    <t>Moderate risk: crisis lessons-learned process tied to improvement backlog and management review is documented and owned, but measurement, stress testing and integration with dependent processes need strengthening.</t>
  </si>
  <si>
    <t>Residual risk: crisis lessons-learned process tied to improvement backlog and management review is measured and reviewed, but monitoring, automation or scenario testing should be improved to prevent maturity drift.</t>
  </si>
  <si>
    <t>Low residual risk: crisis lessons-learned process tied to improvement backlog and management review is mature and crisis-tested. Maintain monitoring, evidence, ownership and periodic stress testing.</t>
  </si>
  <si>
    <t>Create an immediate risk owner, minimum control baseline and fallback procedure for crisis lessons-learned process tied to improvement backlog and management review. Add it to the crisis risk register and collect first evidence.</t>
  </si>
  <si>
    <t>Document crisis lessons-learned process tied to improvement backlog and management review, assign RACI, define minimum controls and KPIs, and validate coverage across key sites, teams or systems.</t>
  </si>
  <si>
    <t>Standardize crisis lessons-learned process tied to improvement backlog and management review, close coverage gaps, train accountable roles and connect controls to the relevant crisis scenarios and continuity plans.</t>
  </si>
  <si>
    <t>Measure and test crisis lessons-learned process tied to improvement backlog and management review, run tabletop or operational stress tests, integrate it with dependent processes and update crisis playbooks.</t>
  </si>
  <si>
    <t>Sustain maturity for crisis lessons-learned process tied to improvement backlog and management review: keep evidence current, monitor drift, benchmark externally and refresh risk tests after organizational, system or market changes.</t>
  </si>
  <si>
    <t>Immature capability for workforce inventory by role, location, manager, contract type, employment entity, skill and criticality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</si>
  <si>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workforce inventory by role, location, manager, contract type, employment entity, skill and criticality.</t>
  </si>
  <si>
    <t>Severe risk: workforce inventory by role, location, manager, contract type, employment entity, skill and criticality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</si>
  <si>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workforce inventory by role, location, manager, contract type, employment entity, skill and criticality depends on informal practices or individual knowledge. Disruption may expose loss of critical knowledge, reduced productivity, unmanaged absenteeism and inability to keep essential work running and slow recovery.</t>
  </si>
  <si>
    <t>Elevated risk: workforce inventory by role, location, manager, contract type, employment entity, skill and criticality is partially controlled, but coverage, evidence or testing is inconsistent. Crisis response may be fragmented.</t>
  </si>
  <si>
    <t>Moderate risk: workforce inventory by role, location, manager, contract type, employment entity, skill and criticality is documented and owned, but measurement, stress testing and integration with dependent processes need strengthening.</t>
  </si>
  <si>
    <t>Residual risk: workforce inventory by role, location, manager, contract type, employment entity, skill and criticality is measured and reviewed, but monitoring, automation or scenario testing should be improved to prevent maturity drift.</t>
  </si>
  <si>
    <t>Low residual risk: workforce inventory by role, location, manager, contract type, employment entity, skill and criticality is mature and crisis-tested. Maintain monitoring, evidence, ownership and periodic stress testing.</t>
  </si>
  <si>
    <t>Create an immediate risk owner, minimum control baseline and fallback procedure for workforce inventory by role, location, manager, contract type, employment entity, skill and criticality. Add it to the crisis risk register and collect first evidence.</t>
  </si>
  <si>
    <t>Document workforce inventory by role, location, manager, contract type, employment entity, skill and criticality, assign RACI, define minimum controls and KPIs, and validate coverage across key sites, teams or systems.</t>
  </si>
  <si>
    <t>Standardize workforce inventory by role, location, manager, contract type, employment entity, skill and criticality, close coverage gaps, train accountable roles and connect controls to the relevant crisis scenarios and continuity plans.</t>
  </si>
  <si>
    <t>Measure and test workforce inventory by role, location, manager, contract type, employment entity, skill and criticality, run tabletop or operational stress tests, integrate it with dependent processes and update crisis playbooks.</t>
  </si>
  <si>
    <t>Sustain maturity for workforce inventory by role, location, manager, contract type, employment entity, skill and criticality: keep evidence current, monitor drift, benchmark externally and refresh risk tests after organizational, system or market changes.</t>
  </si>
  <si>
    <t>Immature capability for critical role mapping by process dependency, customer impact, system access and knowledge concentration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</si>
  <si>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critical role mapping by process dependency, customer impact, system access and knowledge concentration.</t>
  </si>
  <si>
    <t>Severe risk: critical role mapping by process dependency, customer impact, system access and knowledge concentration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</si>
  <si>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critical role mapping by process dependency, customer impact, system access and knowledge concentration depends on informal practices or individual knowledge. Disruption may expose loss of critical knowledge, reduced productivity, unmanaged absenteeism and inability to keep essential work running and slow recovery.</t>
  </si>
  <si>
    <t>Elevated risk: critical role mapping by process dependency, customer impact, system access and knowledge concentration is partially controlled, but coverage, evidence or testing is inconsistent. Crisis response may be fragmented.</t>
  </si>
  <si>
    <t>Moderate risk: critical role mapping by process dependency, customer impact, system access and knowledge concentration is documented and owned, but measurement, stress testing and integration with dependent processes need strengthening.</t>
  </si>
  <si>
    <t>Residual risk: critical role mapping by process dependency, customer impact, system access and knowledge concentration is measured and reviewed, but monitoring, automation or scenario testing should be improved to prevent maturity drift.</t>
  </si>
  <si>
    <t>Low residual risk: critical role mapping by process dependency, customer impact, system access and knowledge concentration is mature and crisis-tested. Maintain monitoring, evidence, ownership and periodic stress testing.</t>
  </si>
  <si>
    <t>Create an immediate risk owner, minimum control baseline and fallback procedure for critical role mapping by process dependency, customer impact, system access and knowledge concentration. Add it to the crisis risk register and collect first evidence.</t>
  </si>
  <si>
    <t>Document critical role mapping by process dependency, customer impact, system access and knowledge concentration, assign RACI, define minimum controls and KPIs, and validate coverage across key sites, teams or systems.</t>
  </si>
  <si>
    <t>Standardize critical role mapping by process dependency, customer impact, system access and knowledge concentration, close coverage gaps, train accountable roles and connect controls to the relevant crisis scenarios and continuity plans.</t>
  </si>
  <si>
    <t>Measure and test critical role mapping by process dependency, customer impact, system access and knowledge concentration, run tabletop or operational stress tests, integrate it with dependent processes and update crisis playbooks.</t>
  </si>
  <si>
    <t>Sustain maturity for critical role mapping by process dependency, customer impact, system access and knowledge concentration: keep evidence current, monitor drift, benchmark externally and refresh risk tests after organizational, system or market changes.</t>
  </si>
  <si>
    <t>Immature capability for key-person risk for executives, founders, architects, plant specialists, client owners and finance signatories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</si>
  <si>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key-person risk for executives, founders, architects, plant specialists, client owners and finance signatories.</t>
  </si>
  <si>
    <t>Severe risk: key-person risk for executives, founders, architects, plant specialists, client owners and finance signatories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</si>
  <si>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key-person risk for executives, founders, architects, plant specialists, client owners and finance signatories depends on informal practices or individual knowledge. Disruption may expose loss of critical knowledge, reduced productivity, unmanaged absenteeism and inability to keep essential work running and slow recovery.</t>
  </si>
  <si>
    <t>Elevated risk: key-person risk for executives, founders, architects, plant specialists, client owners and finance signatories is partially controlled, but coverage, evidence or testing is inconsistent. Crisis response may be fragmented.</t>
  </si>
  <si>
    <t>Moderate risk: key-person risk for executives, founders, architects, plant specialists, client owners and finance signatories is documented and owned, but measurement, stress testing and integration with dependent processes need strengthening.</t>
  </si>
  <si>
    <t>Residual risk: key-person risk for executives, founders, architects, plant specialists, client owners and finance signatories is measured and reviewed, but monitoring, automation or scenario testing should be improved to prevent maturity drift.</t>
  </si>
  <si>
    <t>Low residual risk: key-person risk for executives, founders, architects, plant specialists, client owners and finance signatories is mature and crisis-tested. Maintain monitoring, evidence, ownership and periodic stress testing.</t>
  </si>
  <si>
    <t>Create an immediate risk owner, minimum control baseline and fallback procedure for key-person risk for executives, founders, architects, plant specialists, client owners and finance signatories. Add it to the crisis risk register and collect first evidence.</t>
  </si>
  <si>
    <t>Document key-person risk for executives, founders, architects, plant specialists, client owners and finance signatories, assign RACI, define minimum controls and KPIs, and validate coverage across key sites, teams or systems.</t>
  </si>
  <si>
    <t>Standardize key-person risk for executives, founders, architects, plant specialists, client owners and finance signatories, close coverage gaps, train accountable roles and connect controls to the relevant crisis scenarios and continuity plans.</t>
  </si>
  <si>
    <t>Measure and test key-person risk for executives, founders, architects, plant specialists, client owners and finance signatories, run tabletop or operational stress tests, integrate it with dependent processes and update crisis playbooks.</t>
  </si>
  <si>
    <t>Sustain maturity for key-person risk for executives, founders, architects, plant specialists, client owners and finance signatories: keep evidence current, monitor drift, benchmark externally and refresh risk tests after organizational, system or market changes.</t>
  </si>
  <si>
    <t>Immature capability for skills matrix linked to critical processes, systems, products, sites and backup coverage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</si>
  <si>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skills matrix linked to critical processes, systems, products, sites and backup coverage.</t>
  </si>
  <si>
    <t>Severe risk: skills matrix linked to critical processes, systems, products, sites and backup coverage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</si>
  <si>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skills matrix linked to critical processes, systems, products, sites and backup coverage depends on informal practices or individual knowledge. Disruption may expose loss of critical knowledge, reduced productivity, unmanaged absenteeism and inability to keep essential work running and slow recovery.</t>
  </si>
  <si>
    <t>Elevated risk: skills matrix linked to critical processes, systems, products, sites and backup coverage is partially controlled, but coverage, evidence or testing is inconsistent. Crisis response may be fragmented.</t>
  </si>
  <si>
    <t>Moderate risk: skills matrix linked to critical processes, systems, products, sites and backup coverage is documented and owned, but measurement, stress testing and integration with dependent processes need strengthening.</t>
  </si>
  <si>
    <t>Residual risk: skills matrix linked to critical processes, systems, products, sites and backup coverage is measured and reviewed, but monitoring, automation or scenario testing should be improved to prevent maturity drift.</t>
  </si>
  <si>
    <t>Low residual risk: skills matrix linked to critical processes, systems, products, sites and backup coverage is mature and crisis-tested. Maintain monitoring, evidence, ownership and periodic stress testing.</t>
  </si>
  <si>
    <t>Create an immediate risk owner, minimum control baseline and fallback procedure for skills matrix linked to critical processes, systems, products, sites and backup coverage. Add it to the crisis risk register and collect first evidence.</t>
  </si>
  <si>
    <t>Document skills matrix linked to critical processes, systems, products, sites and backup coverage, assign RACI, define minimum controls and KPIs, and validate coverage across key sites, teams or systems.</t>
  </si>
  <si>
    <t>Standardize skills matrix linked to critical processes, systems, products, sites and backup coverage, close coverage gaps, train accountable roles and connect controls to the relevant crisis scenarios and continuity plans.</t>
  </si>
  <si>
    <t>Measure and test skills matrix linked to critical processes, systems, products, sites and backup coverage, run tabletop or operational stress tests, integrate it with dependent processes and update crisis playbooks.</t>
  </si>
  <si>
    <t>Sustain maturity for skills matrix linked to critical processes, systems, products, sites and backup coverage: keep evidence current, monitor drift, benchmark externally and refresh risk tests after organizational, system or market changes.</t>
  </si>
  <si>
    <t>Immature capability for minimum staffing levels for critical functions, shifts, production lines and customer support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</si>
  <si>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minimum staffing levels for critical functions, shifts, production lines and customer support.</t>
  </si>
  <si>
    <t>Severe risk: minimum staffing levels for critical functions, shifts, production lines and customer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</si>
  <si>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minimum staffing levels for critical functions, shifts, production lines and customer support depends on informal practices or individual knowledge. Disruption may expose loss of critical knowledge, reduced productivity, unmanaged absenteeism and inability to keep essential work running and slow recovery.</t>
  </si>
  <si>
    <t>Elevated risk: minimum staffing levels for critical functions, shifts, production lines and customer support is partially controlled, but coverage, evidence or testing is inconsistent. Crisis response may be fragmented.</t>
  </si>
  <si>
    <t>Moderate risk: minimum staffing levels for critical functions, shifts, production lines and customer support is documented and owned, but measurement, stress testing and integration with dependent processes need strengthening.</t>
  </si>
  <si>
    <t>Residual risk: minimum staffing levels for critical functions, shifts, production lines and customer support is measured and reviewed, but monitoring, automation or scenario testing should be improved to prevent maturity drift.</t>
  </si>
  <si>
    <t>Low residual risk: minimum staffing levels for critical functions, shifts, production lines and customer support is mature and crisis-tested. Maintain monitoring, evidence, ownership and periodic stress testing.</t>
  </si>
  <si>
    <t>Create an immediate risk owner, minimum control baseline and fallback procedure for minimum staffing levels for critical functions, shifts, production lines and customer support. Add it to the crisis risk register and collect first evidence.</t>
  </si>
  <si>
    <t>Document minimum staffing levels for critical functions, shifts, production lines and customer support, assign RACI, define minimum controls and KPIs, and validate coverage across key sites, teams or systems.</t>
  </si>
  <si>
    <t>Standardize minimum staffing levels for critical functions, shifts, production lines and customer support, close coverage gaps, train accountable roles and connect controls to the relevant crisis scenarios and continuity plans.</t>
  </si>
  <si>
    <t>Measure and test minimum staffing levels for critical functions, shifts, production lines and customer support, run tabletop or operational stress tests, integrate it with dependent processes and update crisis playbooks.</t>
  </si>
  <si>
    <t>Sustain maturity for minimum staffing levels for critical functions, shifts, production lines and customer support: keep evidence current, monitor drift, benchmark externally and refresh risk tests after organizational, system or market changes.</t>
  </si>
  <si>
    <t>Immature capability for absence trends, sick leave spikes and workforce availability monitoring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</si>
  <si>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absence trends, sick leave spikes and workforce availability monitoring.</t>
  </si>
  <si>
    <t>Severe risk: absence trends, sick leave spikes and workforce availability monitoring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</si>
  <si>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absence trends, sick leave spikes and workforce availability monitoring depends on informal practices or individual knowledge. Disruption may expose loss of critical knowledge, reduced productivity, unmanaged absenteeism and inability to keep essential work running and slow recovery.</t>
  </si>
  <si>
    <t>Elevated risk: absence trends, sick leave spikes and workforce availability monitoring is partially controlled, but coverage, evidence or testing is inconsistent. Crisis response may be fragmented.</t>
  </si>
  <si>
    <t>Moderate risk: absence trends, sick leave spikes and workforce availability monitoring is documented and owned, but measurement, stress testing and integration with dependent processes need strengthening.</t>
  </si>
  <si>
    <t>Residual risk: absence trends, sick leave spikes and workforce availability monitoring is measured and reviewed, but monitoring, automation or scenario testing should be improved to prevent maturity drift.</t>
  </si>
  <si>
    <t>Low residual risk: absence trends, sick leave spikes and workforce availability monitoring is mature and crisis-tested. Maintain monitoring, evidence, ownership and periodic stress testing.</t>
  </si>
  <si>
    <t>Create an immediate risk owner, minimum control baseline and fallback procedure for absence trends, sick leave spikes and workforce availability monitoring. Add it to the crisis risk register and collect first evidence.</t>
  </si>
  <si>
    <t>Document absence trends, sick leave spikes and workforce availability monitoring, assign RACI, define minimum controls and KPIs, and validate coverage across key sites, teams or systems.</t>
  </si>
  <si>
    <t>Standardize absence trends, sick leave spikes and workforce availability monitoring, close coverage gaps, train accountable roles and connect controls to the relevant crisis scenarios and continuity plans.</t>
  </si>
  <si>
    <t>Measure and test absence trends, sick leave spikes and workforce availability monitoring, run tabletop or operational stress tests, integrate it with dependent processes and update crisis playbooks.</t>
  </si>
  <si>
    <t>Sustain maturity for absence trends, sick leave spikes and workforce availability monitoring: keep evidence current, monitor drift, benchmark externally and refresh risk tests after organizational, system or market changes.</t>
  </si>
  <si>
    <t>Immature capability for hiring pipeline resilience for critical roles under market shortage or geographic disruption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</si>
  <si>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hiring pipeline resilience for critical roles under market shortage or geographic disruption.</t>
  </si>
  <si>
    <t>Severe risk: hiring pipeline resilience for critical roles under market shortage or geographic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</si>
  <si>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hiring pipeline resilience for critical roles under market shortage or geographic disruption depends on informal practices or individual knowledge. Disruption may expose loss of critical knowledge, reduced productivity, unmanaged absenteeism and inability to keep essential work running and slow recovery.</t>
  </si>
  <si>
    <t>Elevated risk: hiring pipeline resilience for critical roles under market shortage or geographic disruption is partially controlled, but coverage, evidence or testing is inconsistent. Crisis response may be fragmented.</t>
  </si>
  <si>
    <t>Moderate risk: hiring pipeline resilience for critical roles under market shortage or geographic disruption is documented and owned, but measurement, stress testing and integration with dependent processes need strengthening.</t>
  </si>
  <si>
    <t>Residual risk: hiring pipeline resilience for critical roles under market shortage or geographic disruption is measured and reviewed, but monitoring, automation or scenario testing should be improved to prevent maturity drift.</t>
  </si>
  <si>
    <t>Low residual risk: hiring pipeline resilience for critical roles under market shortage or geographic disruption is mature and crisis-tested. Maintain monitoring, evidence, ownership and periodic stress testing.</t>
  </si>
  <si>
    <t>Create an immediate risk owner, minimum control baseline and fallback procedure for hiring pipeline resilience for critical roles under market shortage or geographic disruption. Add it to the crisis risk register and collect first evidence.</t>
  </si>
  <si>
    <t>Document hiring pipeline resilience for critical roles under market shortage or geographic disruption, assign RACI, define minimum controls and KPIs, and validate coverage across key sites, teams or systems.</t>
  </si>
  <si>
    <t>Standardize hiring pipeline resilience for critical roles under market shortage or geographic disruption, close coverage gaps, train accountable roles and connect controls to the relevant crisis scenarios and continuity plans.</t>
  </si>
  <si>
    <t>Measure and test hiring pipeline resilience for critical roles under market shortage or geographic disruption, run tabletop or operational stress tests, integrate it with dependent processes and update crisis playbooks.</t>
  </si>
  <si>
    <t>Sustain maturity for hiring pipeline resilience for critical roles under market shortage or geographic disruption: keep evidence current, monitor drift, benchmark externally and refresh risk tests after organizational, system or market changes.</t>
  </si>
  <si>
    <t>Immature capability for time-to-hire tracking by critical role, geography and seniority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</si>
  <si>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time-to-hire tracking by critical role, geography and seniority.</t>
  </si>
  <si>
    <t>Severe risk: time-to-hire tracking by critical role, geography and seniority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</si>
  <si>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time-to-hire tracking by critical role, geography and seniority depends on informal practices or individual knowledge. Disruption may expose loss of critical knowledge, reduced productivity, unmanaged absenteeism and inability to keep essential work running and slow recovery.</t>
  </si>
  <si>
    <t>Elevated risk: time-to-hire tracking by critical role, geography and seniority is partially controlled, but coverage, evidence or testing is inconsistent. Crisis response may be fragmented.</t>
  </si>
  <si>
    <t>Moderate risk: time-to-hire tracking by critical role, geography and seniority is documented and owned, but measurement, stress testing and integration with dependent processes need strengthening.</t>
  </si>
  <si>
    <t>Residual risk: time-to-hire tracking by critical role, geography and seniority is measured and reviewed, but monitoring, automation or scenario testing should be improved to prevent maturity drift.</t>
  </si>
  <si>
    <t>Low residual risk: time-to-hire tracking by critical role, geography and seniority is mature and crisis-tested. Maintain monitoring, evidence, ownership and periodic stress testing.</t>
  </si>
  <si>
    <t>Create an immediate risk owner, minimum control baseline and fallback procedure for time-to-hire tracking by critical role, geography and seniority. Add it to the crisis risk register and collect first evidence.</t>
  </si>
  <si>
    <t>Document time-to-hire tracking by critical role, geography and seniority, assign RACI, define minimum controls and KPIs, and validate coverage across key sites, teams or systems.</t>
  </si>
  <si>
    <t>Standardize time-to-hire tracking by critical role, geography and seniority, close coverage gaps, train accountable roles and connect controls to the relevant crisis scenarios and continuity plans.</t>
  </si>
  <si>
    <t>Measure and test time-to-hire tracking by critical role, geography and seniority, run tabletop or operational stress tests, integrate it with dependent processes and update crisis playbooks.</t>
  </si>
  <si>
    <t>Sustain maturity for time-to-hire tracking by critical role, geography and seniority: keep evidence current, monitor drift, benchmark externally and refresh risk tests after organizational, system or market changes.</t>
  </si>
  <si>
    <t>Immature capability for alternative sourcing channels for critical roles, geographies and rare skills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</si>
  <si>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alternative sourcing channels for critical roles, geographies and rare skills.</t>
  </si>
  <si>
    <t>Severe risk: alternative sourcing channels for critical roles, geographies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</si>
  <si>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alternative sourcing channels for critical roles, geographies and rare skills depends on informal practices or individual knowledge. Disruption may expose loss of critical knowledge, reduced productivity, unmanaged absenteeism and inability to keep essential work running and slow recovery.</t>
  </si>
  <si>
    <t>Elevated risk: alternative sourcing channels for critical roles, geographies and rare skills is partially controlled, but coverage, evidence or testing is inconsistent. Crisis response may be fragmented.</t>
  </si>
  <si>
    <t>Moderate risk: alternative sourcing channels for critical roles, geographies and rare skills is documented and owned, but measurement, stress testing and integration with dependent processes need strengthening.</t>
  </si>
  <si>
    <t>Residual risk: alternative sourcing channels for critical roles, geographies and rare skills is measured and reviewed, but monitoring, automation or scenario testing should be improved to prevent maturity drift.</t>
  </si>
  <si>
    <t>Low residual risk: alternative sourcing channels for critical roles, geographies and rare skills is mature and crisis-tested. Maintain monitoring, evidence, ownership and periodic stress testing.</t>
  </si>
  <si>
    <t>Create an immediate risk owner, minimum control baseline and fallback procedure for alternative sourcing channels for critical roles, geographies and rare skills. Add it to the crisis risk register and collect first evidence.</t>
  </si>
  <si>
    <t>Document alternative sourcing channels for critical roles, geographies and rare skills, assign RACI, define minimum controls and KPIs, and validate coverage across key sites, teams or systems.</t>
  </si>
  <si>
    <t>Standardize alternative sourcing channels for critical roles, geographies and rare skills, close coverage gaps, train accountable roles and connect controls to the relevant crisis scenarios and continuity plans.</t>
  </si>
  <si>
    <t>Measure and test alternative sourcing channels for critical roles, geographies and rare skills, run tabletop or operational stress tests, integrate it with dependent processes and update crisis playbooks.</t>
  </si>
  <si>
    <t>Sustain maturity for alternative sourcing channels for critical roles, geographies and rare skills: keep evidence current, monitor drift, benchmark externally and refresh risk tests after organizational, system or market changes.</t>
  </si>
  <si>
    <t>Immature capability for retention risk monitoring for critical people, high performers and scarce-skill roles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</si>
  <si>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retention risk monitoring for critical people, high performers and scarce-skill roles.</t>
  </si>
  <si>
    <t>Severe risk: retention risk monitoring for critical people, high performers and scarce-skill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</si>
  <si>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retention risk monitoring for critical people, high performers and scarce-skill roles depends on informal practices or individual knowledge. Disruption may expose loss of critical knowledge, reduced productivity, unmanaged absenteeism and inability to keep essential work running and slow recovery.</t>
  </si>
  <si>
    <t>Elevated risk: retention risk monitoring for critical people, high performers and scarce-skill roles is partially controlled, but coverage, evidence or testing is inconsistent. Crisis response may be fragmented.</t>
  </si>
  <si>
    <t>Moderate risk: retention risk monitoring for critical people, high performers and scarce-skill roles is documented and owned, but measurement, stress testing and integration with dependent processes need strengthening.</t>
  </si>
  <si>
    <t>Residual risk: retention risk monitoring for critical people, high performers and scarce-skill roles is measured and reviewed, but monitoring, automation or scenario testing should be improved to prevent maturity drift.</t>
  </si>
  <si>
    <t>Low residual risk: retention risk monitoring for critical people, high performers and scarce-skill roles is mature and crisis-tested. Maintain monitoring, evidence, ownership and periodic stress testing.</t>
  </si>
  <si>
    <t>Create an immediate risk owner, minimum control baseline and fallback procedure for retention risk monitoring for critical people, high performers and scarce-skill roles. Add it to the crisis risk register and collect first evidence.</t>
  </si>
  <si>
    <t>Document retention risk monitoring for critical people, high performers and scarce-skill roles, assign RACI, define minimum controls and KPIs, and validate coverage across key sites, teams or systems.</t>
  </si>
  <si>
    <t>Standardize retention risk monitoring for critical people, high performers and scarce-skill roles, close coverage gaps, train accountable roles and connect controls to the relevant crisis scenarios and continuity plans.</t>
  </si>
  <si>
    <t>Measure and test retention risk monitoring for critical people, high performers and scarce-skill roles, run tabletop or operational stress tests, integrate it with dependent processes and update crisis playbooks.</t>
  </si>
  <si>
    <t>Sustain maturity for retention risk monitoring for critical people, high performers and scarce-skill roles: keep evidence current, monitor drift, benchmark externally and refresh risk tests after organizational, system or market changes.</t>
  </si>
  <si>
    <t>Immature capability for compensation and payroll continuity during banking, legal or system disruption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</si>
  <si>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compensation and payroll continuity during banking, legal or system disruption.</t>
  </si>
  <si>
    <t>Severe risk: compensation and payroll continuity during banking, legal or system disruption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</si>
  <si>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compensation and payroll continuity during banking, legal or system disruption depends on informal practices or individual knowledge. Disruption may expose loss of critical knowledge, reduced productivity, unmanaged absenteeism and inability to keep essential work running and slow recovery.</t>
  </si>
  <si>
    <t>Elevated risk: compensation and payroll continuity during banking, legal or system disruption is partially controlled, but coverage, evidence or testing is inconsistent. Crisis response may be fragmented.</t>
  </si>
  <si>
    <t>Moderate risk: compensation and payroll continuity during banking, legal or system disruption is documented and owned, but measurement, stress testing and integration with dependent processes need strengthening.</t>
  </si>
  <si>
    <t>Residual risk: compensation and payroll continuity during banking, legal or system disruption is measured and reviewed, but monitoring, automation or scenario testing should be improved to prevent maturity drift.</t>
  </si>
  <si>
    <t>Low residual risk: compensation and payroll continuity during banking, legal or system disruption is mature and crisis-tested. Maintain monitoring, evidence, ownership and periodic stress testing.</t>
  </si>
  <si>
    <t>Create an immediate risk owner, minimum control baseline and fallback procedure for compensation and payroll continuity during banking, legal or system disruption. Add it to the crisis risk register and collect first evidence.</t>
  </si>
  <si>
    <t>Document compensation and payroll continuity during banking, legal or system disruption, assign RACI, define minimum controls and KPIs, and validate coverage across key sites, teams or systems.</t>
  </si>
  <si>
    <t>Standardize compensation and payroll continuity during banking, legal or system disruption, close coverage gaps, train accountable roles and connect controls to the relevant crisis scenarios and continuity plans.</t>
  </si>
  <si>
    <t>Measure and test compensation and payroll continuity during banking, legal or system disruption, run tabletop or operational stress tests, integrate it with dependent processes and update crisis playbooks.</t>
  </si>
  <si>
    <t>Sustain maturity for compensation and payroll continuity during banking, legal or system disruption: keep evidence current, monitor drift, benchmark externally and refresh risk tests after organizational, system or market changes.</t>
  </si>
  <si>
    <t>Immature capability for succession planning and deputies for all critical leadership and operational roles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</si>
  <si>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succession planning and deputies for all critical leadership and operational roles.</t>
  </si>
  <si>
    <t>Severe risk: succession planning and deputies for all critical leadership and operational roles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</si>
  <si>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succession planning and deputies for all critical leadership and operational roles depends on informal practices or individual knowledge. Disruption may expose loss of critical knowledge, reduced productivity, unmanaged absenteeism and inability to keep essential work running and slow recovery.</t>
  </si>
  <si>
    <t>Elevated risk: succession planning and deputies for all critical leadership and operational roles is partially controlled, but coverage, evidence or testing is inconsistent. Crisis response may be fragmented.</t>
  </si>
  <si>
    <t>Moderate risk: succession planning and deputies for all critical leadership and operational roles is documented and owned, but measurement, stress testing and integration with dependent processes need strengthening.</t>
  </si>
  <si>
    <t>Residual risk: succession planning and deputies for all critical leadership and operational roles is measured and reviewed, but monitoring, automation or scenario testing should be improved to prevent maturity drift.</t>
  </si>
  <si>
    <t>Low residual risk: succession planning and deputies for all critical leadership and operational roles is mature and crisis-tested. Maintain monitoring, evidence, ownership and periodic stress testing.</t>
  </si>
  <si>
    <t>Create an immediate risk owner, minimum control baseline and fallback procedure for succession planning and deputies for all critical leadership and operational roles. Add it to the crisis risk register and collect first evidence.</t>
  </si>
  <si>
    <t>Document succession planning and deputies for all critical leadership and operational roles, assign RACI, define minimum controls and KPIs, and validate coverage across key sites, teams or systems.</t>
  </si>
  <si>
    <t>Standardize succession planning and deputies for all critical leadership and operational roles, close coverage gaps, train accountable roles and connect controls to the relevant crisis scenarios and continuity plans.</t>
  </si>
  <si>
    <t>Measure and test succession planning and deputies for all critical leadership and operational roles, run tabletop or operational stress tests, integrate it with dependent processes and update crisis playbooks.</t>
  </si>
  <si>
    <t>Sustain maturity for succession planning and deputies for all critical leadership and operational roles: keep evidence current, monitor drift, benchmark externally and refresh risk tests after organizational, system or market changes.</t>
  </si>
  <si>
    <t>Immature capability for remote onboarding with secure access, equipment, training and manager support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</si>
  <si>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remote onboarding with secure access, equipment, training and manager support.</t>
  </si>
  <si>
    <t>Severe risk: remote onboarding with secure access, equipment, training and manager support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</si>
  <si>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remote onboarding with secure access, equipment, training and manager support depends on informal practices or individual knowledge. Disruption may expose loss of critical knowledge, reduced productivity, unmanaged absenteeism and inability to keep essential work running and slow recovery.</t>
  </si>
  <si>
    <t>Elevated risk: remote onboarding with secure access, equipment, training and manager support is partially controlled, but coverage, evidence or testing is inconsistent. Crisis response may be fragmented.</t>
  </si>
  <si>
    <t>Moderate risk: remote onboarding with secure access, equipment, training and manager support is documented and owned, but measurement, stress testing and integration with dependent processes need strengthening.</t>
  </si>
  <si>
    <t>Residual risk: remote onboarding with secure access, equipment, training and manager support is measured and reviewed, but monitoring, automation or scenario testing should be improved to prevent maturity drift.</t>
  </si>
  <si>
    <t>Low residual risk: remote onboarding with secure access, equipment, training and manager support is mature and crisis-tested. Maintain monitoring, evidence, ownership and periodic stress testing.</t>
  </si>
  <si>
    <t>Create an immediate risk owner, minimum control baseline and fallback procedure for remote onboarding with secure access, equipment, training and manager support. Add it to the crisis risk register and collect first evidence.</t>
  </si>
  <si>
    <t>Document remote onboarding with secure access, equipment, training and manager support, assign RACI, define minimum controls and KPIs, and validate coverage across key sites, teams or systems.</t>
  </si>
  <si>
    <t>Standardize remote onboarding with secure access, equipment, training and manager support, close coverage gaps, train accountable roles and connect controls to the relevant crisis scenarios and continuity plans.</t>
  </si>
  <si>
    <t>Measure and test remote onboarding with secure access, equipment, training and manager support, run tabletop or operational stress tests, integrate it with dependent processes and update crisis playbooks.</t>
  </si>
  <si>
    <t>Sustain maturity for remote onboarding with secure access, equipment, training and manager support: keep evidence current, monitor drift, benchmark externally and refresh risk tests after organizational, system or market changes.</t>
  </si>
  <si>
    <t>Immature capability for remote work capability with secure access, connectivity, equipment and documented procedures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</si>
  <si>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remote work capability with secure access, connectivity, equipment and documented procedures.</t>
  </si>
  <si>
    <t>Severe risk: remote work capability with secure access, connectivity, equipment and documented procedures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</si>
  <si>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remote work capability with secure access, connectivity, equipment and documented procedures depends on informal practices or individual knowledge. Disruption may expose loss of critical knowledge, reduced productivity, unmanaged absenteeism and inability to keep essential work running and slow recovery.</t>
  </si>
  <si>
    <t>Elevated risk: remote work capability with secure access, connectivity, equipment and documented procedures is partially controlled, but coverage, evidence or testing is inconsistent. Crisis response may be fragmented.</t>
  </si>
  <si>
    <t>Moderate risk: remote work capability with secure access, connectivity, equipment and documented procedures is documented and owned, but measurement, stress testing and integration with dependent processes need strengthening.</t>
  </si>
  <si>
    <t>Residual risk: remote work capability with secure access, connectivity, equipment and documented procedures is measured and reviewed, but monitoring, automation or scenario testing should be improved to prevent maturity drift.</t>
  </si>
  <si>
    <t>Low residual risk: remote work capability with secure access, connectivity, equipment and documented procedures is mature and crisis-tested. Maintain monitoring, evidence, ownership and periodic stress testing.</t>
  </si>
  <si>
    <t>Create an immediate risk owner, minimum control baseline and fallback procedure for remote work capability with secure access, connectivity, equipment and documented procedures. Add it to the crisis risk register and collect first evidence.</t>
  </si>
  <si>
    <t>Document remote work capability with secure access, connectivity, equipment and documented procedures, assign RACI, define minimum controls and KPIs, and validate coverage across key sites, teams or systems.</t>
  </si>
  <si>
    <t>Standardize remote work capability with secure access, connectivity, equipment and documented procedures, close coverage gaps, train accountable roles and connect controls to the relevant crisis scenarios and continuity plans.</t>
  </si>
  <si>
    <t>Measure and test remote work capability with secure access, connectivity, equipment and documented procedures, run tabletop or operational stress tests, integrate it with dependent processes and update crisis playbooks.</t>
  </si>
  <si>
    <t>Sustain maturity for remote work capability with secure access, connectivity, equipment and documented procedures: keep evidence current, monitor drift, benchmark externally and refresh risk tests after organizational, system or market changes.</t>
  </si>
  <si>
    <t>Immature capability for backup connectivity options for critical staff and locations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</si>
  <si>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backup connectivity options for critical staff and locations.</t>
  </si>
  <si>
    <t>Severe risk: backup connectivity options for critical staff and locations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</si>
  <si>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backup connectivity options for critical staff and locations depends on informal practices or individual knowledge. Disruption may expose loss of critical knowledge, reduced productivity, unmanaged absenteeism and inability to keep essential work running and slow recovery.</t>
  </si>
  <si>
    <t>Elevated risk: backup connectivity options for critical staff and locations is partially controlled, but coverage, evidence or testing is inconsistent. Crisis response may be fragmented.</t>
  </si>
  <si>
    <t>Moderate risk: backup connectivity options for critical staff and locations is documented and owned, but measurement, stress testing and integration with dependent processes need strengthening.</t>
  </si>
  <si>
    <t>Residual risk: backup connectivity options for critical staff and locations is measured and reviewed, but monitoring, automation or scenario testing should be improved to prevent maturity drift.</t>
  </si>
  <si>
    <t>Low residual risk: backup connectivity options for critical staff and locations is mature and crisis-tested. Maintain monitoring, evidence, ownership and periodic stress testing.</t>
  </si>
  <si>
    <t>Create an immediate risk owner, minimum control baseline and fallback procedure for backup connectivity options for critical staff and locations. Add it to the crisis risk register and collect first evidence.</t>
  </si>
  <si>
    <t>Document backup connectivity options for critical staff and locations, assign RACI, define minimum controls and KPIs, and validate coverage across key sites, teams or systems.</t>
  </si>
  <si>
    <t>Standardize backup connectivity options for critical staff and locations, close coverage gaps, train accountable roles and connect controls to the relevant crisis scenarios and continuity plans.</t>
  </si>
  <si>
    <t>Measure and test backup connectivity options for critical staff and locations, run tabletop or operational stress tests, integrate it with dependent processes and update crisis playbooks.</t>
  </si>
  <si>
    <t>Sustain maturity for backup connectivity options for critical staff and locations: keep evidence current, monitor drift, benchmark externally and refresh risk tests after organizational, system or market changes.</t>
  </si>
  <si>
    <t>Immature capability for employee location and safety check process during severe incidents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</si>
  <si>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employee location and safety check process during severe incidents.</t>
  </si>
  <si>
    <t>Severe risk: employee location and safety check process during severe incidents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</si>
  <si>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employee location and safety check process during severe incidents depends on informal practices or individual knowledge. Disruption may expose loss of critical knowledge, reduced productivity, unmanaged absenteeism and inability to keep essential work running and slow recovery.</t>
  </si>
  <si>
    <t>Elevated risk: employee location and safety check process during severe incidents is partially controlled, but coverage, evidence or testing is inconsistent. Crisis response may be fragmented.</t>
  </si>
  <si>
    <t>Moderate risk: employee location and safety check process during severe incidents is documented and owned, but measurement, stress testing and integration with dependent processes need strengthening.</t>
  </si>
  <si>
    <t>Residual risk: employee location and safety check process during severe incidents is measured and reviewed, but monitoring, automation or scenario testing should be improved to prevent maturity drift.</t>
  </si>
  <si>
    <t>Low residual risk: employee location and safety check process during severe incidents is mature and crisis-tested. Maintain monitoring, evidence, ownership and periodic stress testing.</t>
  </si>
  <si>
    <t>Create an immediate risk owner, minimum control baseline and fallback procedure for employee location and safety check process during severe incidents. Add it to the crisis risk register and collect first evidence.</t>
  </si>
  <si>
    <t>Document employee location and safety check process during severe incidents, assign RACI, define minimum controls and KPIs, and validate coverage across key sites, teams or systems.</t>
  </si>
  <si>
    <t>Standardize employee location and safety check process during severe incidents, close coverage gaps, train accountable roles and connect controls to the relevant crisis scenarios and continuity plans.</t>
  </si>
  <si>
    <t>Measure and test employee location and safety check process during severe incidents, run tabletop or operational stress tests, integrate it with dependent processes and update crisis playbooks.</t>
  </si>
  <si>
    <t>Sustain maturity for employee location and safety check process during severe incidents: keep evidence current, monitor drift, benchmark externally and refresh risk tests after organizational, system or market changes.</t>
  </si>
  <si>
    <t>Immature capability for wellbeing, fatigue, burnout and psychological safety monitoring during prolonged crisis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</si>
  <si>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wellbeing, fatigue, burnout and psychological safety monitoring during prolonged crisis.</t>
  </si>
  <si>
    <t>Severe risk: wellbeing, fatigue, burnout and psychological safety monitoring during prolonged crisis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</si>
  <si>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wellbeing, fatigue, burnout and psychological safety monitoring during prolonged crisis depends on informal practices or individual knowledge. Disruption may expose loss of critical knowledge, reduced productivity, unmanaged absenteeism and inability to keep essential work running and slow recovery.</t>
  </si>
  <si>
    <t>Elevated risk: wellbeing, fatigue, burnout and psychological safety monitoring during prolonged crisis is partially controlled, but coverage, evidence or testing is inconsistent. Crisis response may be fragmented.</t>
  </si>
  <si>
    <t>Moderate risk: wellbeing, fatigue, burnout and psychological safety monitoring during prolonged crisis is documented and owned, but measurement, stress testing and integration with dependent processes need strengthening.</t>
  </si>
  <si>
    <t>Residual risk: wellbeing, fatigue, burnout and psychological safety monitoring during prolonged crisis is measured and reviewed, but monitoring, automation or scenario testing should be improved to prevent maturity drift.</t>
  </si>
  <si>
    <t>Low residual risk: wellbeing, fatigue, burnout and psychological safety monitoring during prolonged crisis is mature and crisis-tested. Maintain monitoring, evidence, ownership and periodic stress testing.</t>
  </si>
  <si>
    <t>Create an immediate risk owner, minimum control baseline and fallback procedure for wellbeing, fatigue, burnout and psychological safety monitoring during prolonged crisis. Add it to the crisis risk register and collect first evidence.</t>
  </si>
  <si>
    <t>Document wellbeing, fatigue, burnout and psychological safety monitoring during prolonged crisis, assign RACI, define minimum controls and KPIs, and validate coverage across key sites, teams or systems.</t>
  </si>
  <si>
    <t>Standardize wellbeing, fatigue, burnout and psychological safety monitoring during prolonged crisis, close coverage gaps, train accountable roles and connect controls to the relevant crisis scenarios and continuity plans.</t>
  </si>
  <si>
    <t>Measure and test wellbeing, fatigue, burnout and psychological safety monitoring during prolonged crisis, run tabletop or operational stress tests, integrate it with dependent processes and update crisis playbooks.</t>
  </si>
  <si>
    <t>Sustain maturity for wellbeing, fatigue, burnout and psychological safety monitoring during prolonged crisis: keep evidence current, monitor drift, benchmark externally and refresh risk tests after organizational, system or market changes.</t>
  </si>
  <si>
    <t>Immature capability for emergency HR policies for relocation, evacuation, hardship support, flexible work and temporary staffing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</si>
  <si>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emergency HR policies for relocation, evacuation, hardship support, flexible work and temporary staffing.</t>
  </si>
  <si>
    <t>Severe risk: emergency HR policies for relocation, evacuation, hardship support, flexible work and temporary staffing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</si>
  <si>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emergency HR policies for relocation, evacuation, hardship support, flexible work and temporary staffing depends on informal practices or individual knowledge. Disruption may expose loss of critical knowledge, reduced productivity, unmanaged absenteeism and inability to keep essential work running and slow recovery.</t>
  </si>
  <si>
    <t>Elevated risk: emergency HR policies for relocation, evacuation, hardship support, flexible work and temporary staffing is partially controlled, but coverage, evidence or testing is inconsistent. Crisis response may be fragmented.</t>
  </si>
  <si>
    <t>Moderate risk: emergency HR policies for relocation, evacuation, hardship support, flexible work and temporary staffing is documented and owned, but measurement, stress testing and integration with dependent processes need strengthening.</t>
  </si>
  <si>
    <t>Residual risk: emergency HR policies for relocation, evacuation, hardship support, flexible work and temporary staffing is measured and reviewed, but monitoring, automation or scenario testing should be improved to prevent maturity drift.</t>
  </si>
  <si>
    <t>Low residual risk: emergency HR policies for relocation, evacuation, hardship support, flexible work and temporary staffing is mature and crisis-tested. Maintain monitoring, evidence, ownership and periodic stress testing.</t>
  </si>
  <si>
    <t>Create an immediate risk owner, minimum control baseline and fallback procedure for emergency HR policies for relocation, evacuation, hardship support, flexible work and temporary staffing. Add it to the crisis risk register and collect first evidence.</t>
  </si>
  <si>
    <t>Document emergency HR policies for relocation, evacuation, hardship support, flexible work and temporary staffing, assign RACI, define minimum controls and KPIs, and validate coverage across key sites, teams or systems.</t>
  </si>
  <si>
    <t>Standardize emergency HR policies for relocation, evacuation, hardship support, flexible work and temporary staffing, close coverage gaps, train accountable roles and connect controls to the relevant crisis scenarios and continuity plans.</t>
  </si>
  <si>
    <t>Measure and test emergency HR policies for relocation, evacuation, hardship support, flexible work and temporary staffing, run tabletop or operational stress tests, integrate it with dependent processes and update crisis playbooks.</t>
  </si>
  <si>
    <t>Sustain maturity for emergency HR policies for relocation, evacuation, hardship support, flexible work and temporary staffing: keep evidence current, monitor drift, benchmark externally and refresh risk tests after organizational, system or market changes.</t>
  </si>
  <si>
    <t>Immature capability for cross-training and knowledge transfer for critical operations and rare skills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</si>
  <si>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cross-training and knowledge transfer for critical operations and rare skills.</t>
  </si>
  <si>
    <t>Severe risk: cross-training and knowledge transfer for critical operations and rare skills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</si>
  <si>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cross-training and knowledge transfer for critical operations and rare skills depends on informal practices or individual knowledge. Disruption may expose loss of critical knowledge, reduced productivity, unmanaged absenteeism and inability to keep essential work running and slow recovery.</t>
  </si>
  <si>
    <t>Elevated risk: cross-training and knowledge transfer for critical operations and rare skills is partially controlled, but coverage, evidence or testing is inconsistent. Crisis response may be fragmented.</t>
  </si>
  <si>
    <t>Moderate risk: cross-training and knowledge transfer for critical operations and rare skills is documented and owned, but measurement, stress testing and integration with dependent processes need strengthening.</t>
  </si>
  <si>
    <t>Residual risk: cross-training and knowledge transfer for critical operations and rare skills is measured and reviewed, but monitoring, automation or scenario testing should be improved to prevent maturity drift.</t>
  </si>
  <si>
    <t>Low residual risk: cross-training and knowledge transfer for critical operations and rare skills is mature and crisis-tested. Maintain monitoring, evidence, ownership and periodic stress testing.</t>
  </si>
  <si>
    <t>Create an immediate risk owner, minimum control baseline and fallback procedure for cross-training and knowledge transfer for critical operations and rare skills. Add it to the crisis risk register and collect first evidence.</t>
  </si>
  <si>
    <t>Document cross-training and knowledge transfer for critical operations and rare skills, assign RACI, define minimum controls and KPIs, and validate coverage across key sites, teams or systems.</t>
  </si>
  <si>
    <t>Standardize cross-training and knowledge transfer for critical operations and rare skills, close coverage gaps, train accountable roles and connect controls to the relevant crisis scenarios and continuity plans.</t>
  </si>
  <si>
    <t>Measure and test cross-training and knowledge transfer for critical operations and rare skills, run tabletop or operational stress tests, integrate it with dependent processes and update crisis playbooks.</t>
  </si>
  <si>
    <t>Sustain maturity for cross-training and knowledge transfer for critical operations and rare skills: keep evidence current, monitor drift, benchmark externally and refresh risk tests after organizational, system or market changes.</t>
  </si>
  <si>
    <t>Immature capability for HRMS reliability, backup, manual fallback and data quality for employee records and emergency contacts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</si>
  <si>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HRMS reliability, backup, manual fallback and data quality for employee records and emergency contacts.</t>
  </si>
  <si>
    <t>Severe risk: HRMS reliability, backup, manual fallback and data quality for employee records and emergency contacts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</si>
  <si>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HRMS reliability, backup, manual fallback and data quality for employee records and emergency contacts depends on informal practices or individual knowledge. Disruption may expose loss of critical knowledge, reduced productivity, unmanaged absenteeism and inability to keep essential work running and slow recovery.</t>
  </si>
  <si>
    <t>Elevated risk: HRMS reliability, backup, manual fallback and data quality for employee records and emergency contacts is partially controlled, but coverage, evidence or testing is inconsistent. Crisis response may be fragmented.</t>
  </si>
  <si>
    <t>Moderate risk: HRMS reliability, backup, manual fallback and data quality for employee records and emergency contacts is documented and owned, but measurement, stress testing and integration with dependent processes need strengthening.</t>
  </si>
  <si>
    <t>Residual risk: HRMS reliability, backup, manual fallback and data quality for employee records and emergency contacts is measured and reviewed, but monitoring, automation or scenario testing should be improved to prevent maturity drift.</t>
  </si>
  <si>
    <t>Low residual risk: HRMS reliability, backup, manual fallback and data quality for employee records and emergency contacts is mature and crisis-tested. Maintain monitoring, evidence, ownership and periodic stress testing.</t>
  </si>
  <si>
    <t>Create an immediate risk owner, minimum control baseline and fallback procedure for HRMS reliability, backup, manual fallback and data quality for employee records and emergency contacts. Add it to the crisis risk register and collect first evidence.</t>
  </si>
  <si>
    <t>Document HRMS reliability, backup, manual fallback and data quality for employee records and emergency contacts, assign RACI, define minimum controls and KPIs, and validate coverage across key sites, teams or systems.</t>
  </si>
  <si>
    <t>Standardize HRMS reliability, backup, manual fallback and data quality for employee records and emergency contacts, close coverage gaps, train accountable roles and connect controls to the relevant crisis scenarios and continuity plans.</t>
  </si>
  <si>
    <t>Measure and test HRMS reliability, backup, manual fallback and data quality for employee records and emergency contacts, run tabletop or operational stress tests, integrate it with dependent processes and update crisis playbooks.</t>
  </si>
  <si>
    <t>Sustain maturity for HRMS reliability, backup, manual fallback and data quality for employee records and emergency contacts: keep evidence current, monitor drift, benchmark externally and refresh risk tests after organizational, system or market changes.</t>
  </si>
  <si>
    <t>Immature capability for joiner-mover-leaver process linked to digital and physical access removal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</si>
  <si>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joiner-mover-leaver process linked to digital and physical access removal.</t>
  </si>
  <si>
    <t>Severe risk: joiner-mover-leaver process linked to digital and physical access removal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</si>
  <si>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joiner-mover-leaver process linked to digital and physical access removal depends on informal practices or individual knowledge. Disruption may expose loss of critical knowledge, reduced productivity, unmanaged absenteeism and inability to keep essential work running and slow recovery.</t>
  </si>
  <si>
    <t>Elevated risk: joiner-mover-leaver process linked to digital and physical access removal is partially controlled, but coverage, evidence or testing is inconsistent. Crisis response may be fragmented.</t>
  </si>
  <si>
    <t>Moderate risk: joiner-mover-leaver process linked to digital and physical access removal is documented and owned, but measurement, stress testing and integration with dependent processes need strengthening.</t>
  </si>
  <si>
    <t>Residual risk: joiner-mover-leaver process linked to digital and physical access removal is measured and reviewed, but monitoring, automation or scenario testing should be improved to prevent maturity drift.</t>
  </si>
  <si>
    <t>Low residual risk: joiner-mover-leaver process linked to digital and physical access removal is mature and crisis-tested. Maintain monitoring, evidence, ownership and periodic stress testing.</t>
  </si>
  <si>
    <t>Create an immediate risk owner, minimum control baseline and fallback procedure for joiner-mover-leaver process linked to digital and physical access removal. Add it to the crisis risk register and collect first evidence.</t>
  </si>
  <si>
    <t>Document joiner-mover-leaver process linked to digital and physical access removal, assign RACI, define minimum controls and KPIs, and validate coverage across key sites, teams or systems.</t>
  </si>
  <si>
    <t>Standardize joiner-mover-leaver process linked to digital and physical access removal, close coverage gaps, train accountable roles and connect controls to the relevant crisis scenarios and continuity plans.</t>
  </si>
  <si>
    <t>Measure and test joiner-mover-leaver process linked to digital and physical access removal, run tabletop or operational stress tests, integrate it with dependent processes and update crisis playbooks.</t>
  </si>
  <si>
    <t>Sustain maturity for joiner-mover-leaver process linked to digital and physical access removal: keep evidence current, monitor drift, benchmark externally and refresh risk tests after organizational, system or market changes.</t>
  </si>
  <si>
    <t>Immature capability for employment compliance by country, contract type, working hours and emergency measures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</si>
  <si>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employment compliance by country, contract type, working hours and emergency measures.</t>
  </si>
  <si>
    <t>Severe risk: employment compliance by country, contract type, working hours and emergency measures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</si>
  <si>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employment compliance by country, contract type, working hours and emergency measures depends on informal practices or individual knowledge. Disruption may expose loss of critical knowledge, reduced productivity, unmanaged absenteeism and inability to keep essential work running and slow recovery.</t>
  </si>
  <si>
    <t>Elevated risk: employment compliance by country, contract type, working hours and emergency measures is partially controlled, but coverage, evidence or testing is inconsistent. Crisis response may be fragmented.</t>
  </si>
  <si>
    <t>Moderate risk: employment compliance by country, contract type, working hours and emergency measures is documented and owned, but measurement, stress testing and integration with dependent processes need strengthening.</t>
  </si>
  <si>
    <t>Residual risk: employment compliance by country, contract type, working hours and emergency measures is measured and reviewed, but monitoring, automation or scenario testing should be improved to prevent maturity drift.</t>
  </si>
  <si>
    <t>Low residual risk: employment compliance by country, contract type, working hours and emergency measures is mature and crisis-tested. Maintain monitoring, evidence, ownership and periodic stress testing.</t>
  </si>
  <si>
    <t>Create an immediate risk owner, minimum control baseline and fallback procedure for employment compliance by country, contract type, working hours and emergency measures. Add it to the crisis risk register and collect first evidence.</t>
  </si>
  <si>
    <t>Document employment compliance by country, contract type, working hours and emergency measures, assign RACI, define minimum controls and KPIs, and validate coverage across key sites, teams or systems.</t>
  </si>
  <si>
    <t>Standardize employment compliance by country, contract type, working hours and emergency measures, close coverage gaps, train accountable roles and connect controls to the relevant crisis scenarios and continuity plans.</t>
  </si>
  <si>
    <t>Measure and test employment compliance by country, contract type, working hours and emergency measures, run tabletop or operational stress tests, integrate it with dependent processes and update crisis playbooks.</t>
  </si>
  <si>
    <t>Sustain maturity for employment compliance by country, contract type, working hours and emergency measures: keep evidence current, monitor drift, benchmark externally and refresh risk tests after organizational, system or market changes.</t>
  </si>
  <si>
    <t>Immature capability for business travel risk management and employee travel approval process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</si>
  <si>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business travel risk management and employee travel approval process.</t>
  </si>
  <si>
    <t>Severe risk: business travel risk management and employee travel approval process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</si>
  <si>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business travel risk management and employee travel approval process depends on informal practices or individual knowledge. Disruption may expose loss of critical knowledge, reduced productivity, unmanaged absenteeism and inability to keep essential work running and slow recovery.</t>
  </si>
  <si>
    <t>Elevated risk: business travel risk management and employee travel approval process is partially controlled, but coverage, evidence or testing is inconsistent. Crisis response may be fragmented.</t>
  </si>
  <si>
    <t>Moderate risk: business travel risk management and employee travel approval process is documented and owned, but measurement, stress testing and integration with dependent processes need strengthening.</t>
  </si>
  <si>
    <t>Residual risk: business travel risk management and employee travel approval process is measured and reviewed, but monitoring, automation or scenario testing should be improved to prevent maturity drift.</t>
  </si>
  <si>
    <t>Low residual risk: business travel risk management and employee travel approval process is mature and crisis-tested. Maintain monitoring, evidence, ownership and periodic stress testing.</t>
  </si>
  <si>
    <t>Create an immediate risk owner, minimum control baseline and fallback procedure for business travel risk management and employee travel approval process. Add it to the crisis risk register and collect first evidence.</t>
  </si>
  <si>
    <t>Document business travel risk management and employee travel approval process, assign RACI, define minimum controls and KPIs, and validate coverage across key sites, teams or systems.</t>
  </si>
  <si>
    <t>Standardize business travel risk management and employee travel approval process, close coverage gaps, train accountable roles and connect controls to the relevant crisis scenarios and continuity plans.</t>
  </si>
  <si>
    <t>Measure and test business travel risk management and employee travel approval process, run tabletop or operational stress tests, integrate it with dependent processes and update crisis playbooks.</t>
  </si>
  <si>
    <t>Sustain maturity for business travel risk management and employee travel approval process: keep evidence current, monitor drift, benchmark externally and refresh risk tests after organizational, system or market changes.</t>
  </si>
  <si>
    <t>Immature capability for health emergency protocols for infectious disease, injury, evacuation and return-to-work may lead to loss of critical knowledge, reduced productivity, unmanaged absenteeism and inability to keep essential work running during Workforce disruption; Pandemic/health crisis; War/security crisis.</t>
  </si>
  <si>
    <t>Low maturity, weak ownership, incomplete evidence, insufficient testing and poor integration with crisis-management routines for health emergency protocols for infectious disease, injury, evacuation and return-to-work.</t>
  </si>
  <si>
    <t>Severe risk: health emergency protocols for infectious disease, injury, evacuation and return-to-work is not reliably controlled. During Workforce disruption; Pandemic/health crisis; War/security crisis, the organization may face loss of critical knowledge, reduced productivity, unmanaged absenteeism and inability to keep essential work running with limited visibility or accountability.</t>
  </si>
  <si>
    <t>High risk: health emergency protocols for infectious disease, injury, evacuation and return-to-work depends on informal practices or individual knowledge. Disruption may expose loss of critical knowledge, reduced productivity, unmanaged absenteeism and inability to keep essential work running and slow recovery.</t>
  </si>
  <si>
    <t>Elevated risk: health emergency protocols for infectious disease, injury, evacuation and return-to-work is partially controlled, but coverage, evidence or testing is inconsistent. Crisis response may be fragmented.</t>
  </si>
  <si>
    <t>Moderate risk: health emergency protocols for infectious disease, injury, evacuation and return-to-work is documented and owned, but measurement, stress testing and integration with dependent processes need strengthening.</t>
  </si>
  <si>
    <t>Residual risk: health emergency protocols for infectious disease, injury, evacuation and return-to-work is measured and reviewed, but monitoring, automation or scenario testing should be improved to prevent maturity drift.</t>
  </si>
  <si>
    <t>Low residual risk: health emergency protocols for infectious disease, injury, evacuation and return-to-work is mature and crisis-tested. Maintain monitoring, evidence, ownership and periodic stress testing.</t>
  </si>
  <si>
    <t>Create an immediate risk owner, minimum control baseline and fallback procedure for health emergency protocols for infectious disease, injury, evacuation and return-to-work. Add it to the crisis risk register and collect first evidence.</t>
  </si>
  <si>
    <t>Document health emergency protocols for infectious disease, injury, evacuation and return-to-work, assign RACI, define minimum controls and KPIs, and validate coverage across key sites, teams or systems.</t>
  </si>
  <si>
    <t>Standardize health emergency protocols for infectious disease, injury, evacuation and return-to-work, close coverage gaps, train accountable roles and connect controls to the relevant crisis scenarios and continuity plans.</t>
  </si>
  <si>
    <t>Measure and test health emergency protocols for infectious disease, injury, evacuation and return-to-work, run tabletop or operational stress tests, integrate it with dependent processes and update crisis playbooks.</t>
  </si>
  <si>
    <t>Sustain maturity for health emergency protocols for infectious disease, injury, evacuation and return-to-work: keep evidence current, monitor drift, benchmark externally and refresh risk tests after organizational, system or market changes.</t>
  </si>
  <si>
    <t>Immature capability for cash visibility by legal entity, bank, currency, restrictions and emergency access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</si>
  <si>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cash visibility by legal entity, bank, currency, restrictions and emergency access.</t>
  </si>
  <si>
    <t>Severe risk: cash visibility by legal entity, bank, currency, restrictions and emergency access is not reliably controlled. During Financial liquidity crisis; Supplier disruption; Fraud risk, the organization may face cash-flow stress, uncontrolled spend, supplier payment disruption and weak financial visibility with limited visibility or accountability.</t>
  </si>
  <si>
    <t>High risk: cash visibility by legal entity, bank, currency, restrictions and emergency access depends on informal practices or individual knowledge. Disruption may expose cash-flow stress, uncontrolled spend, supplier payment disruption and weak financial visibility and slow recovery.</t>
  </si>
  <si>
    <t>Elevated risk: cash visibility by legal entity, bank, currency, restrictions and emergency access is partially controlled, but coverage, evidence or testing is inconsistent. Crisis response may be fragmented.</t>
  </si>
  <si>
    <t>Moderate risk: cash visibility by legal entity, bank, currency, restrictions and emergency access is documented and owned, but measurement, stress testing and integration with dependent processes need strengthening.</t>
  </si>
  <si>
    <t>Residual risk: cash visibility by legal entity, bank, currency, restrictions and emergency access is measured and reviewed, but monitoring, automation or scenario testing should be improved to prevent maturity drift.</t>
  </si>
  <si>
    <t>Low residual risk: cash visibility by legal entity, bank, currency, restrictions and emergency access is mature and crisis-tested. Maintain monitoring, evidence, ownership and periodic stress testing.</t>
  </si>
  <si>
    <t>Create an immediate risk owner, minimum control baseline and fallback procedure for cash visibility by legal entity, bank, currency, restrictions and emergency access. Add it to the crisis risk register and collect first evidence.</t>
  </si>
  <si>
    <t>Document cash visibility by legal entity, bank, currency, restrictions and emergency access, assign RACI, define minimum controls and KPIs, and validate coverage across key sites, teams or systems.</t>
  </si>
  <si>
    <t>Standardize cash visibility by legal entity, bank, currency, restrictions and emergency access, close coverage gaps, train accountable roles and connect controls to the relevant crisis scenarios and continuity plans.</t>
  </si>
  <si>
    <t>Measure and test cash visibility by legal entity, bank, currency, restrictions and emergency access, run tabletop or operational stress tests, integrate it with dependent processes and update crisis playbooks.</t>
  </si>
  <si>
    <t>Sustain maturity for cash visibility by legal entity, bank, currency, restrictions and emergency access: keep evidence current, monitor drift, benchmark externally and refresh risk tests after organizational, system or market changes.</t>
  </si>
  <si>
    <t>Immature capability for cash-flow forecasting under base, downside and severe crisis scenarios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</si>
  <si>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cash-flow forecasting under base, downside and severe crisis scenarios.</t>
  </si>
  <si>
    <t>Severe risk: cash-flow forecasting under base, downside and severe crisis scenarios is not reliably controlled. During Financial liquidity crisis; Supplier disruption; Fraud risk, the organization may face cash-flow stress, uncontrolled spend, supplier payment disruption and weak financial visibility with limited visibility or accountability.</t>
  </si>
  <si>
    <t>High risk: cash-flow forecasting under base, downside and severe crisis scenarios depends on informal practices or individual knowledge. Disruption may expose cash-flow stress, uncontrolled spend, supplier payment disruption and weak financial visibility and slow recovery.</t>
  </si>
  <si>
    <t>Elevated risk: cash-flow forecasting under base, downside and severe crisis scenarios is partially controlled, but coverage, evidence or testing is inconsistent. Crisis response may be fragmented.</t>
  </si>
  <si>
    <t>Moderate risk: cash-flow forecasting under base, downside and severe crisis scenarios is documented and owned, but measurement, stress testing and integration with dependent processes need strengthening.</t>
  </si>
  <si>
    <t>Residual risk: cash-flow forecasting under base, downside and severe crisis scenarios is measured and reviewed, but monitoring, automation or scenario testing should be improved to prevent maturity drift.</t>
  </si>
  <si>
    <t>Low residual risk: cash-flow forecasting under base, downside and severe crisis scenarios is mature and crisis-tested. Maintain monitoring, evidence, ownership and periodic stress testing.</t>
  </si>
  <si>
    <t>Create an immediate risk owner, minimum control baseline and fallback procedure for cash-flow forecasting under base, downside and severe crisis scenarios. Add it to the crisis risk register and collect first evidence.</t>
  </si>
  <si>
    <t>Document cash-flow forecasting under base, downside and severe crisis scenarios, assign RACI, define minimum controls and KPIs, and validate coverage across key sites, teams or systems.</t>
  </si>
  <si>
    <t>Standardize cash-flow forecasting under base, downside and severe crisis scenarios, close coverage gaps, train accountable roles and connect controls to the relevant crisis scenarios and continuity plans.</t>
  </si>
  <si>
    <t>Measure and test cash-flow forecasting under base, downside and severe crisis scenarios, run tabletop or operational stress tests, integrate it with dependent processes and update crisis playbooks.</t>
  </si>
  <si>
    <t>Sustain maturity for cash-flow forecasting under base, downside and severe crisis scenarios: keep evidence current, monitor drift, benchmark externally and refresh risk tests after organizational, system or market changes.</t>
  </si>
  <si>
    <t>Immature capability for liquidity buffers, credit lines, emergency funding options and covenant monitoring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</si>
  <si>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liquidity buffers, credit lines, emergency funding options and covenant monitoring.</t>
  </si>
  <si>
    <t>Severe risk: liquidity buffers, credit lines, emergency funding options and covenant monitoring is not reliably controlled. During Financial liquidity crisis; Supplier disruption; Fraud risk, the organization may face cash-flow stress, uncontrolled spend, supplier payment disruption and weak financial visibility with limited visibility or accountability.</t>
  </si>
  <si>
    <t>High risk: liquidity buffers, credit lines, emergency funding options and covenant monitoring depends on informal practices or individual knowledge. Disruption may expose cash-flow stress, uncontrolled spend, supplier payment disruption and weak financial visibility and slow recovery.</t>
  </si>
  <si>
    <t>Elevated risk: liquidity buffers, credit lines, emergency funding options and covenant monitoring is partially controlled, but coverage, evidence or testing is inconsistent. Crisis response may be fragmented.</t>
  </si>
  <si>
    <t>Moderate risk: liquidity buffers, credit lines, emergency funding options and covenant monitoring is documented and owned, but measurement, stress testing and integration with dependent processes need strengthening.</t>
  </si>
  <si>
    <t>Residual risk: liquidity buffers, credit lines, emergency funding options and covenant monitoring is measured and reviewed, but monitoring, automation or scenario testing should be improved to prevent maturity drift.</t>
  </si>
  <si>
    <t>Low residual risk: liquidity buffers, credit lines, emergency funding options and covenant monitoring is mature and crisis-tested. Maintain monitoring, evidence, ownership and periodic stress testing.</t>
  </si>
  <si>
    <t>Create an immediate risk owner, minimum control baseline and fallback procedure for liquidity buffers, credit lines, emergency funding options and covenant monitoring. Add it to the crisis risk register and collect first evidence.</t>
  </si>
  <si>
    <t>Document liquidity buffers, credit lines, emergency funding options and covenant monitoring, assign RACI, define minimum controls and KPIs, and validate coverage across key sites, teams or systems.</t>
  </si>
  <si>
    <t>Standardize liquidity buffers, credit lines, emergency funding options and covenant monitoring, close coverage gaps, train accountable roles and connect controls to the relevant crisis scenarios and continuity plans.</t>
  </si>
  <si>
    <t>Measure and test liquidity buffers, credit lines, emergency funding options and covenant monitoring, run tabletop or operational stress tests, integrate it with dependent processes and update crisis playbooks.</t>
  </si>
  <si>
    <t>Sustain maturity for liquidity buffers, credit lines, emergency funding options and covenant monitoring: keep evidence current, monitor drift, benchmark externally and refresh risk tests after organizational, system or market changes.</t>
  </si>
  <si>
    <t>Immature capability for driver-based financial forecasting linked to sales, delivery, workforce, inventory and production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</si>
  <si>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driver-based financial forecasting linked to sales, delivery, workforce, inventory and production.</t>
  </si>
  <si>
    <t>Severe risk: driver-based financial forecasting linked to sales, delivery, workforce, inventory and production is not reliably controlled. During Financial liquidity crisis; Supplier disruption; Fraud risk, the organization may face cash-flow stress, uncontrolled spend, supplier payment disruption and weak financial visibility with limited visibility or accountability.</t>
  </si>
  <si>
    <t>High risk: driver-based financial forecasting linked to sales, delivery, workforce, inventory and production depends on informal practices or individual knowledge. Disruption may expose cash-flow stress, uncontrolled spend, supplier payment disruption and weak financial visibility and slow recovery.</t>
  </si>
  <si>
    <t>Elevated risk: driver-based financial forecasting linked to sales, delivery, workforce, inventory and production is partially controlled, but coverage, evidence or testing is inconsistent. Crisis response may be fragmented.</t>
  </si>
  <si>
    <t>Moderate risk: driver-based financial forecasting linked to sales, delivery, workforce, inventory and production is documented and owned, but measurement, stress testing and integration with dependent processes need strengthening.</t>
  </si>
  <si>
    <t>Residual risk: driver-based financial forecasting linked to sales, delivery, workforce, inventory and production is measured and reviewed, but monitoring, automation or scenario testing should be improved to prevent maturity drift.</t>
  </si>
  <si>
    <t>Low residual risk: driver-based financial forecasting linked to sales, delivery, workforce, inventory and production is mature and crisis-tested. Maintain monitoring, evidence, ownership and periodic stress testing.</t>
  </si>
  <si>
    <t>Create an immediate risk owner, minimum control baseline and fallback procedure for driver-based financial forecasting linked to sales, delivery, workforce, inventory and production. Add it to the crisis risk register and collect first evidence.</t>
  </si>
  <si>
    <t>Document driver-based financial forecasting linked to sales, delivery, workforce, inventory and production, assign RACI, define minimum controls and KPIs, and validate coverage across key sites, teams or systems.</t>
  </si>
  <si>
    <t>Standardize driver-based financial forecasting linked to sales, delivery, workforce, inventory and production, close coverage gaps, train accountable roles and connect controls to the relevant crisis scenarios and continuity plans.</t>
  </si>
  <si>
    <t>Measure and test driver-based financial forecasting linked to sales, delivery, workforce, inventory and production, run tabletop or operational stress tests, integrate it with dependent processes and update crisis playbooks.</t>
  </si>
  <si>
    <t>Sustain maturity for driver-based financial forecasting linked to sales, delivery, workforce, inventory and production: keep evidence current, monitor drift, benchmark externally and refresh risk tests after organizational, system or market changes.</t>
  </si>
  <si>
    <t>Immature capability for budget flexibility and emergency reallocation rules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</si>
  <si>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budget flexibility and emergency reallocation rules.</t>
  </si>
  <si>
    <t>Severe risk: budget flexibility and emergency reallocation rules is not reliably controlled. During Financial liquidity crisis; Supplier disruption; Fraud risk, the organization may face cash-flow stress, uncontrolled spend, supplier payment disruption and weak financial visibility with limited visibility or accountability.</t>
  </si>
  <si>
    <t>High risk: budget flexibility and emergency reallocation rules depends on informal practices or individual knowledge. Disruption may expose cash-flow stress, uncontrolled spend, supplier payment disruption and weak financial visibility and slow recovery.</t>
  </si>
  <si>
    <t>Elevated risk: budget flexibility and emergency reallocation rules is partially controlled, but coverage, evidence or testing is inconsistent. Crisis response may be fragmented.</t>
  </si>
  <si>
    <t>Moderate risk: budget flexibility and emergency reallocation rules is documented and owned, but measurement, stress testing and integration with dependent processes need strengthening.</t>
  </si>
  <si>
    <t>Residual risk: budget flexibility and emergency reallocation rules is measured and reviewed, but monitoring, automation or scenario testing should be improved to prevent maturity drift.</t>
  </si>
  <si>
    <t>Low residual risk: budget flexibility and emergency reallocation rules is mature and crisis-tested. Maintain monitoring, evidence, ownership and periodic stress testing.</t>
  </si>
  <si>
    <t>Create an immediate risk owner, minimum control baseline and fallback procedure for budget flexibility and emergency reallocation rules. Add it to the crisis risk register and collect first evidence.</t>
  </si>
  <si>
    <t>Document budget flexibility and emergency reallocation rules, assign RACI, define minimum controls and KPIs, and validate coverage across key sites, teams or systems.</t>
  </si>
  <si>
    <t>Standardize budget flexibility and emergency reallocation rules, close coverage gaps, train accountable roles and connect controls to the relevant crisis scenarios and continuity plans.</t>
  </si>
  <si>
    <t>Measure and test budget flexibility and emergency reallocation rules, run tabletop or operational stress tests, integrate it with dependent processes and update crisis playbooks.</t>
  </si>
  <si>
    <t>Sustain maturity for budget flexibility and emergency reallocation rules: keep evidence current, monitor drift, benchmark externally and refresh risk tests after organizational, system or market changes.</t>
  </si>
  <si>
    <t>Immature capability for financial stress tests for revenue collapse, currency shock, supplier price spikes, debt pressure and delayed receivables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</si>
  <si>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financial stress tests for revenue collapse, currency shock, supplier price spikes, debt pressure and delayed receivables.</t>
  </si>
  <si>
    <t>Severe risk: financial stress tests for revenue collapse, currency shock, supplier price spikes, debt pressure and delayed receivables is not reliably controlled. During Financial liquidity crisis; Supplier disruption; Fraud risk, the organization may face cash-flow stress, uncontrolled spend, supplier payment disruption and weak financial visibility with limited visibility or accountability.</t>
  </si>
  <si>
    <t>High risk: financial stress tests for revenue collapse, currency shock, supplier price spikes, debt pressure and delayed receivables depends on informal practices or individual knowledge. Disruption may expose cash-flow stress, uncontrolled spend, supplier payment disruption and weak financial visibility and slow recovery.</t>
  </si>
  <si>
    <t>Elevated risk: financial stress tests for revenue collapse, currency shock, supplier price spikes, debt pressure and delayed receivables is partially controlled, but coverage, evidence or testing is inconsistent. Crisis response may be fragmented.</t>
  </si>
  <si>
    <t>Moderate risk: financial stress tests for revenue collapse, currency shock, supplier price spikes, debt pressure and delayed receivables is documented and owned, but measurement, stress testing and integration with dependent processes need strengthening.</t>
  </si>
  <si>
    <t>Residual risk: financial stress tests for revenue collapse, currency shock, supplier price spikes, debt pressure and delayed receivables is measured and reviewed, but monitoring, automation or scenario testing should be improved to prevent maturity drift.</t>
  </si>
  <si>
    <t>Low residual risk: financial stress tests for revenue collapse, currency shock, supplier price spikes, debt pressure and delayed receivables is mature and crisis-tested. Maintain monitoring, evidence, ownership and periodic stress testing.</t>
  </si>
  <si>
    <t>Create an immediate risk owner, minimum control baseline and fallback procedure for financial stress tests for revenue collapse, currency shock, supplier price spikes, debt pressure and delayed receivables. Add it to the crisis risk register and collect first evidence.</t>
  </si>
  <si>
    <t>Document financial stress tests for revenue collapse, currency shock, supplier price spikes, debt pressure and delayed receivables, assign RACI, define minimum controls and KPIs, and validate coverage across key sites, teams or systems.</t>
  </si>
  <si>
    <t>Standardize financial stress tests for revenue collapse, currency shock, supplier price spikes, debt pressure and delayed receivables, close coverage gaps, train accountable roles and connect controls to the relevant crisis scenarios and continuity plans.</t>
  </si>
  <si>
    <t>Measure and test financial stress tests for revenue collapse, currency shock, supplier price spikes, debt pressure and delayed receivables, run tabletop or operational stress tests, integrate it with dependent processes and update crisis playbooks.</t>
  </si>
  <si>
    <t>Sustain maturity for financial stress tests for revenue collapse, currency shock, supplier price spikes, debt pressure and delayed receivables: keep evidence current, monitor drift, benchmark externally and refresh risk tests after organizational, system or market changes.</t>
  </si>
  <si>
    <t>Immature capability for approval limits and emergency approvals resilient if key approvers are unavailable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</si>
  <si>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approval limits and emergency approvals resilient if key approvers are unavailable.</t>
  </si>
  <si>
    <t>Severe risk: approval limits and emergency approvals resilient if key approvers are unavailable is not reliably controlled. During Financial liquidity crisis; Supplier disruption; Fraud risk, the organization may face cash-flow stress, uncontrolled spend, supplier payment disruption and weak financial visibility with limited visibility or accountability.</t>
  </si>
  <si>
    <t>High risk: approval limits and emergency approvals resilient if key approvers are unavailable depends on informal practices or individual knowledge. Disruption may expose cash-flow stress, uncontrolled spend, supplier payment disruption and weak financial visibility and slow recovery.</t>
  </si>
  <si>
    <t>Elevated risk: approval limits and emergency approvals resilient if key approvers are unavailable is partially controlled, but coverage, evidence or testing is inconsistent. Crisis response may be fragmented.</t>
  </si>
  <si>
    <t>Moderate risk: approval limits and emergency approvals resilient if key approvers are unavailable is documented and owned, but measurement, stress testing and integration with dependent processes need strengthening.</t>
  </si>
  <si>
    <t>Residual risk: approval limits and emergency approvals resilient if key approvers are unavailable is measured and reviewed, but monitoring, automation or scenario testing should be improved to prevent maturity drift.</t>
  </si>
  <si>
    <t>Low residual risk: approval limits and emergency approvals resilient if key approvers are unavailable is mature and crisis-tested. Maintain monitoring, evidence, ownership and periodic stress testing.</t>
  </si>
  <si>
    <t>Create an immediate risk owner, minimum control baseline and fallback procedure for approval limits and emergency approvals resilient if key approvers are unavailable. Add it to the crisis risk register and collect first evidence.</t>
  </si>
  <si>
    <t>Document approval limits and emergency approvals resilient if key approvers are unavailable, assign RACI, define minimum controls and KPIs, and validate coverage across key sites, teams or systems.</t>
  </si>
  <si>
    <t>Standardize approval limits and emergency approvals resilient if key approvers are unavailable, close coverage gaps, train accountable roles and connect controls to the relevant crisis scenarios and continuity plans.</t>
  </si>
  <si>
    <t>Measure and test approval limits and emergency approvals resilient if key approvers are unavailable, run tabletop or operational stress tests, integrate it with dependent processes and update crisis playbooks.</t>
  </si>
  <si>
    <t>Sustain maturity for approval limits and emergency approvals resilient if key approvers are unavailable: keep evidence current, monitor drift, benchmark externally and refresh risk tests after organizational, system or market changes.</t>
  </si>
  <si>
    <t>Immature capability for segregation of duties in finance, procurement, ERP and payment processes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</si>
  <si>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segregation of duties in finance, procurement, ERP and payment processes.</t>
  </si>
  <si>
    <t>Severe risk: segregation of duties in finance, procurement, ERP and payment processes is not reliably controlled. During Financial liquidity crisis; Supplier disruption; Fraud risk, the organization may face cash-flow stress, uncontrolled spend, supplier payment disruption and weak financial visibility with limited visibility or accountability.</t>
  </si>
  <si>
    <t>High risk: segregation of duties in finance, procurement, ERP and payment processes depends on informal practices or individual knowledge. Disruption may expose cash-flow stress, uncontrolled spend, supplier payment disruption and weak financial visibility and slow recovery.</t>
  </si>
  <si>
    <t>Elevated risk: segregation of duties in finance, procurement, ERP and payment processes is partially controlled, but coverage, evidence or testing is inconsistent. Crisis response may be fragmented.</t>
  </si>
  <si>
    <t>Moderate risk: segregation of duties in finance, procurement, ERP and payment processes is documented and owned, but measurement, stress testing and integration with dependent processes need strengthening.</t>
  </si>
  <si>
    <t>Residual risk: segregation of duties in finance, procurement, ERP and payment processes is measured and reviewed, but monitoring, automation or scenario testing should be improved to prevent maturity drift.</t>
  </si>
  <si>
    <t>Low residual risk: segregation of duties in finance, procurement, ERP and payment processes is mature and crisis-tested. Maintain monitoring, evidence, ownership and periodic stress testing.</t>
  </si>
  <si>
    <t>Create an immediate risk owner, minimum control baseline and fallback procedure for segregation of duties in finance, procurement, ERP and payment processes. Add it to the crisis risk register and collect first evidence.</t>
  </si>
  <si>
    <t>Document segregation of duties in finance, procurement, ERP and payment processes, assign RACI, define minimum controls and KPIs, and validate coverage across key sites, teams or systems.</t>
  </si>
  <si>
    <t>Standardize segregation of duties in finance, procurement, ERP and payment processes, close coverage gaps, train accountable roles and connect controls to the relevant crisis scenarios and continuity plans.</t>
  </si>
  <si>
    <t>Measure and test segregation of duties in finance, procurement, ERP and payment processes, run tabletop or operational stress tests, integrate it with dependent processes and update crisis playbooks.</t>
  </si>
  <si>
    <t>Sustain maturity for segregation of duties in finance, procurement, ERP and payment processes: keep evidence current, monitor drift, benchmark externally and refresh risk tests after organizational, system or market changes.</t>
  </si>
  <si>
    <t>Immature capability for month-end close continuity under remote work, system outage or unavailable finance staff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</si>
  <si>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month-end close continuity under remote work, system outage or unavailable finance staff.</t>
  </si>
  <si>
    <t>Severe risk: month-end close continuity under remote work, system outage or unavailable finance staff is not reliably controlled. During Financial liquidity crisis; Supplier disruption; Fraud risk, the organization may face cash-flow stress, uncontrolled spend, supplier payment disruption and weak financial visibility with limited visibility or accountability.</t>
  </si>
  <si>
    <t>High risk: month-end close continuity under remote work, system outage or unavailable finance staff depends on informal practices or individual knowledge. Disruption may expose cash-flow stress, uncontrolled spend, supplier payment disruption and weak financial visibility and slow recovery.</t>
  </si>
  <si>
    <t>Elevated risk: month-end close continuity under remote work, system outage or unavailable finance staff is partially controlled, but coverage, evidence or testing is inconsistent. Crisis response may be fragmented.</t>
  </si>
  <si>
    <t>Moderate risk: month-end close continuity under remote work, system outage or unavailable finance staff is documented and owned, but measurement, stress testing and integration with dependent processes need strengthening.</t>
  </si>
  <si>
    <t>Residual risk: month-end close continuity under remote work, system outage or unavailable finance staff is measured and reviewed, but monitoring, automation or scenario testing should be improved to prevent maturity drift.</t>
  </si>
  <si>
    <t>Low residual risk: month-end close continuity under remote work, system outage or unavailable finance staff is mature and crisis-tested. Maintain monitoring, evidence, ownership and periodic stress testing.</t>
  </si>
  <si>
    <t>Create an immediate risk owner, minimum control baseline and fallback procedure for month-end close continuity under remote work, system outage or unavailable finance staff. Add it to the crisis risk register and collect first evidence.</t>
  </si>
  <si>
    <t>Document month-end close continuity under remote work, system outage or unavailable finance staff, assign RACI, define minimum controls and KPIs, and validate coverage across key sites, teams or systems.</t>
  </si>
  <si>
    <t>Standardize month-end close continuity under remote work, system outage or unavailable finance staff, close coverage gaps, train accountable roles and connect controls to the relevant crisis scenarios and continuity plans.</t>
  </si>
  <si>
    <t>Measure and test month-end close continuity under remote work, system outage or unavailable finance staff, run tabletop or operational stress tests, integrate it with dependent processes and update crisis playbooks.</t>
  </si>
  <si>
    <t>Sustain maturity for month-end close continuity under remote work, system outage or unavailable finance staff: keep evidence current, monitor drift, benchmark externally and refresh risk tests after organizational, system or market changes.</t>
  </si>
  <si>
    <t>Immature capability for manual fallback procedures for billing, payments, payroll, procurement and accounting close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</si>
  <si>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manual fallback procedures for billing, payments, payroll, procurement and accounting close.</t>
  </si>
  <si>
    <t>Severe risk: manual fallback procedures for billing, payments, payroll, procurement and accounting close is not reliably controlled. During Financial liquidity crisis; Supplier disruption; Fraud risk, the organization may face cash-flow stress, uncontrolled spend, supplier payment disruption and weak financial visibility with limited visibility or accountability.</t>
  </si>
  <si>
    <t>High risk: manual fallback procedures for billing, payments, payroll, procurement and accounting close depends on informal practices or individual knowledge. Disruption may expose cash-flow stress, uncontrolled spend, supplier payment disruption and weak financial visibility and slow recovery.</t>
  </si>
  <si>
    <t>Elevated risk: manual fallback procedures for billing, payments, payroll, procurement and accounting close is partially controlled, but coverage, evidence or testing is inconsistent. Crisis response may be fragmented.</t>
  </si>
  <si>
    <t>Moderate risk: manual fallback procedures for billing, payments, payroll, procurement and accounting close is documented and owned, but measurement, stress testing and integration with dependent processes need strengthening.</t>
  </si>
  <si>
    <t>Residual risk: manual fallback procedures for billing, payments, payroll, procurement and accounting close is measured and reviewed, but monitoring, automation or scenario testing should be improved to prevent maturity drift.</t>
  </si>
  <si>
    <t>Low residual risk: manual fallback procedures for billing, payments, payroll, procurement and accounting close is mature and crisis-tested. Maintain monitoring, evidence, ownership and periodic stress testing.</t>
  </si>
  <si>
    <t>Create an immediate risk owner, minimum control baseline and fallback procedure for manual fallback procedures for billing, payments, payroll, procurement and accounting close. Add it to the crisis risk register and collect first evidence.</t>
  </si>
  <si>
    <t>Document manual fallback procedures for billing, payments, payroll, procurement and accounting close, assign RACI, define minimum controls and KPIs, and validate coverage across key sites, teams or systems.</t>
  </si>
  <si>
    <t>Standardize manual fallback procedures for billing, payments, payroll, procurement and accounting close, close coverage gaps, train accountable roles and connect controls to the relevant crisis scenarios and continuity plans.</t>
  </si>
  <si>
    <t>Measure and test manual fallback procedures for billing, payments, payroll, procurement and accounting close, run tabletop or operational stress tests, integrate it with dependent processes and update crisis playbooks.</t>
  </si>
  <si>
    <t>Sustain maturity for manual fallback procedures for billing, payments, payroll, procurement and accounting close: keep evidence current, monitor drift, benchmark externally and refresh risk tests after organizational, system or market changes.</t>
  </si>
  <si>
    <t>Immature capability for fraud risk controls for fake invoices, payment diversion, supplier impersonation and business email compromise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</si>
  <si>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fraud risk controls for fake invoices, payment diversion, supplier impersonation and business email compromise.</t>
  </si>
  <si>
    <t>Severe risk: fraud risk controls for fake invoices, payment diversion, supplier impersonation and business email compromise is not reliably controlled. During Financial liquidity crisis; Supplier disruption; Fraud risk, the organization may face cash-flow stress, uncontrolled spend, supplier payment disruption and weak financial visibility with limited visibility or accountability.</t>
  </si>
  <si>
    <t>High risk: fraud risk controls for fake invoices, payment diversion, supplier impersonation and business email compromise depends on informal practices or individual knowledge. Disruption may expose cash-flow stress, uncontrolled spend, supplier payment disruption and weak financial visibility and slow recovery.</t>
  </si>
  <si>
    <t>Elevated risk: fraud risk controls for fake invoices, payment diversion, supplier impersonation and business email compromise is partially controlled, but coverage, evidence or testing is inconsistent. Crisis response may be fragmented.</t>
  </si>
  <si>
    <t>Moderate risk: fraud risk controls for fake invoices, payment diversion, supplier impersonation and business email compromise is documented and owned, but measurement, stress testing and integration with dependent processes need strengthening.</t>
  </si>
  <si>
    <t>Residual risk: fraud risk controls for fake invoices, payment diversion, supplier impersonation and business email compromise is measured and reviewed, but monitoring, automation or scenario testing should be improved to prevent maturity drift.</t>
  </si>
  <si>
    <t>Low residual risk: fraud risk controls for fake invoices, payment diversion, supplier impersonation and business email compromise is mature and crisis-tested. Maintain monitoring, evidence, ownership and periodic stress testing.</t>
  </si>
  <si>
    <t>Create an immediate risk owner, minimum control baseline and fallback procedure for fraud risk controls for fake invoices, payment diversion, supplier impersonation and business email compromise. Add it to the crisis risk register and collect first evidence.</t>
  </si>
  <si>
    <t>Document fraud risk controls for fake invoices, payment diversion, supplier impersonation and business email compromise, assign RACI, define minimum controls and KPIs, and validate coverage across key sites, teams or systems.</t>
  </si>
  <si>
    <t>Standardize fraud risk controls for fake invoices, payment diversion, supplier impersonation and business email compromise, close coverage gaps, train accountable roles and connect controls to the relevant crisis scenarios and continuity plans.</t>
  </si>
  <si>
    <t>Measure and test fraud risk controls for fake invoices, payment diversion, supplier impersonation and business email compromise, run tabletop or operational stress tests, integrate it with dependent processes and update crisis playbooks.</t>
  </si>
  <si>
    <t>Sustain maturity for fraud risk controls for fake invoices, payment diversion, supplier impersonation and business email compromise: keep evidence current, monitor drift, benchmark externally and refresh risk tests after organizational, system or market changes.</t>
  </si>
  <si>
    <t>Immature capability for finance master data controls for chart of accounts, cost centers, vendors, customers and reporting dimensions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</si>
  <si>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finance master data controls for chart of accounts, cost centers, vendors, customers and reporting dimensions.</t>
  </si>
  <si>
    <t>Severe risk: finance master data controls for chart of accounts, cost centers, vendors, customers and reporting dimensions is not reliably controlled. During Financial liquidity crisis; Supplier disruption; Fraud risk, the organization may face cash-flow stress, uncontrolled spend, supplier payment disruption and weak financial visibility with limited visibility or accountability.</t>
  </si>
  <si>
    <t>High risk: finance master data controls for chart of accounts, cost centers, vendors, customers and reporting dimensions depends on informal practices or individual knowledge. Disruption may expose cash-flow stress, uncontrolled spend, supplier payment disruption and weak financial visibility and slow recovery.</t>
  </si>
  <si>
    <t>Elevated risk: finance master data controls for chart of accounts, cost centers, vendors, customers and reporting dimensions is partially controlled, but coverage, evidence or testing is inconsistent. Crisis response may be fragmented.</t>
  </si>
  <si>
    <t>Moderate risk: finance master data controls for chart of accounts, cost centers, vendors, customers and reporting dimensions is documented and owned, but measurement, stress testing and integration with dependent processes need strengthening.</t>
  </si>
  <si>
    <t>Residual risk: finance master data controls for chart of accounts, cost centers, vendors, customers and reporting dimensions is measured and reviewed, but monitoring, automation or scenario testing should be improved to prevent maturity drift.</t>
  </si>
  <si>
    <t>Low residual risk: finance master data controls for chart of accounts, cost centers, vendors, customers and reporting dimensions is mature and crisis-tested. Maintain monitoring, evidence, ownership and periodic stress testing.</t>
  </si>
  <si>
    <t>Create an immediate risk owner, minimum control baseline and fallback procedure for finance master data controls for chart of accounts, cost centers, vendors, customers and reporting dimensions. Add it to the crisis risk register and collect first evidence.</t>
  </si>
  <si>
    <t>Document finance master data controls for chart of accounts, cost centers, vendors, customers and reporting dimensions, assign RACI, define minimum controls and KPIs, and validate coverage across key sites, teams or systems.</t>
  </si>
  <si>
    <t>Standardize finance master data controls for chart of accounts, cost centers, vendors, customers and reporting dimensions, close coverage gaps, train accountable roles and connect controls to the relevant crisis scenarios and continuity plans.</t>
  </si>
  <si>
    <t>Measure and test finance master data controls for chart of accounts, cost centers, vendors, customers and reporting dimensions, run tabletop or operational stress tests, integrate it with dependent processes and update crisis playbooks.</t>
  </si>
  <si>
    <t>Sustain maturity for finance master data controls for chart of accounts, cost centers, vendors, customers and reporting dimensions: keep evidence current, monitor drift, benchmark externally and refresh risk tests after organizational, system or market changes.</t>
  </si>
  <si>
    <t>Immature capability for procurement policy covering sourcing, approvals, conflicts of interest and emergency purchasing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</si>
  <si>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procurement policy covering sourcing, approvals, conflicts of interest and emergency purchasing.</t>
  </si>
  <si>
    <t>Severe risk: procurement policy covering sourcing, approvals, conflicts of interest and emergency purchasing is not reliably controlled. During Financial liquidity crisis; Supplier disruption; Fraud risk, the organization may face cash-flow stress, uncontrolled spend, supplier payment disruption and weak financial visibility with limited visibility or accountability.</t>
  </si>
  <si>
    <t>High risk: procurement policy covering sourcing, approvals, conflicts of interest and emergency purchasing depends on informal practices or individual knowledge. Disruption may expose cash-flow stress, uncontrolled spend, supplier payment disruption and weak financial visibility and slow recovery.</t>
  </si>
  <si>
    <t>Elevated risk: procurement policy covering sourcing, approvals, conflicts of interest and emergency purchasing is partially controlled, but coverage, evidence or testing is inconsistent. Crisis response may be fragmented.</t>
  </si>
  <si>
    <t>Moderate risk: procurement policy covering sourcing, approvals, conflicts of interest and emergency purchasing is documented and owned, but measurement, stress testing and integration with dependent processes need strengthening.</t>
  </si>
  <si>
    <t>Residual risk: procurement policy covering sourcing, approvals, conflicts of interest and emergency purchasing is measured and reviewed, but monitoring, automation or scenario testing should be improved to prevent maturity drift.</t>
  </si>
  <si>
    <t>Low residual risk: procurement policy covering sourcing, approvals, conflicts of interest and emergency purchasing is mature and crisis-tested. Maintain monitoring, evidence, ownership and periodic stress testing.</t>
  </si>
  <si>
    <t>Create an immediate risk owner, minimum control baseline and fallback procedure for procurement policy covering sourcing, approvals, conflicts of interest and emergency purchasing. Add it to the crisis risk register and collect first evidence.</t>
  </si>
  <si>
    <t>Document procurement policy covering sourcing, approvals, conflicts of interest and emergency purchasing, assign RACI, define minimum controls and KPIs, and validate coverage across key sites, teams or systems.</t>
  </si>
  <si>
    <t>Standardize procurement policy covering sourcing, approvals, conflicts of interest and emergency purchasing, close coverage gaps, train accountable roles and connect controls to the relevant crisis scenarios and continuity plans.</t>
  </si>
  <si>
    <t>Measure and test procurement policy covering sourcing, approvals, conflicts of interest and emergency purchasing, run tabletop or operational stress tests, integrate it with dependent processes and update crisis playbooks.</t>
  </si>
  <si>
    <t>Sustain maturity for procurement policy covering sourcing, approvals, conflicts of interest and emergency purchasing: keep evidence current, monitor drift, benchmark externally and refresh risk tests after organizational, system or market changes.</t>
  </si>
  <si>
    <t>Immature capability for critical supplier classification by business impact, replaceability, geography, financial health and SLA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</si>
  <si>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critical supplier classification by business impact, replaceability, geography, financial health and SLA.</t>
  </si>
  <si>
    <t>Severe risk: critical supplier classification by business impact, replaceability, geography, financial health and SLA is not reliably controlled. During Financial liquidity crisis; Supplier disruption; Fraud risk, the organization may face cash-flow stress, uncontrolled spend, supplier payment disruption and weak financial visibility with limited visibility or accountability.</t>
  </si>
  <si>
    <t>High risk: critical supplier classification by business impact, replaceability, geography, financial health and SLA depends on informal practices or individual knowledge. Disruption may expose cash-flow stress, uncontrolled spend, supplier payment disruption and weak financial visibility and slow recovery.</t>
  </si>
  <si>
    <t>Elevated risk: critical supplier classification by business impact, replaceability, geography, financial health and SLA is partially controlled, but coverage, evidence or testing is inconsistent. Crisis response may be fragmented.</t>
  </si>
  <si>
    <t>Moderate risk: critical supplier classification by business impact, replaceability, geography, financial health and SLA is documented and owned, but measurement, stress testing and integration with dependent processes need strengthening.</t>
  </si>
  <si>
    <t>Residual risk: critical supplier classification by business impact, replaceability, geography, financial health and SLA is measured and reviewed, but monitoring, automation or scenario testing should be improved to prevent maturity drift.</t>
  </si>
  <si>
    <t>Low residual risk: critical supplier classification by business impact, replaceability, geography, financial health and SLA is mature and crisis-tested. Maintain monitoring, evidence, ownership and periodic stress testing.</t>
  </si>
  <si>
    <t>Create an immediate risk owner, minimum control baseline and fallback procedure for critical supplier classification by business impact, replaceability, geography, financial health and SLA. Add it to the crisis risk register and collect first evidence.</t>
  </si>
  <si>
    <t>Document critical supplier classification by business impact, replaceability, geography, financial health and SLA, assign RACI, define minimum controls and KPIs, and validate coverage across key sites, teams or systems.</t>
  </si>
  <si>
    <t>Standardize critical supplier classification by business impact, replaceability, geography, financial health and SLA, close coverage gaps, train accountable roles and connect controls to the relevant crisis scenarios and continuity plans.</t>
  </si>
  <si>
    <t>Measure and test critical supplier classification by business impact, replaceability, geography, financial health and SLA, run tabletop or operational stress tests, integrate it with dependent processes and update crisis playbooks.</t>
  </si>
  <si>
    <t>Sustain maturity for critical supplier classification by business impact, replaceability, geography, financial health and SLA: keep evidence current, monitor drift, benchmark externally and refresh risk tests after organizational, system or market changes.</t>
  </si>
  <si>
    <t>Immature capability for single-source and sole-source supplier exposure and mitigation plans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</si>
  <si>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single-source and sole-source supplier exposure and mitigation plans.</t>
  </si>
  <si>
    <t>Severe risk: single-source and sole-source supplier exposure and mitigation plans is not reliably controlled. During Financial liquidity crisis; Supplier disruption; Fraud risk, the organization may face cash-flow stress, uncontrolled spend, supplier payment disruption and weak financial visibility with limited visibility or accountability.</t>
  </si>
  <si>
    <t>High risk: single-source and sole-source supplier exposure and mitigation plans depends on informal practices or individual knowledge. Disruption may expose cash-flow stress, uncontrolled spend, supplier payment disruption and weak financial visibility and slow recovery.</t>
  </si>
  <si>
    <t>Elevated risk: single-source and sole-source supplier exposure and mitigation plans is partially controlled, but coverage, evidence or testing is inconsistent. Crisis response may be fragmented.</t>
  </si>
  <si>
    <t>Moderate risk: single-source and sole-source supplier exposure and mitigation plans is documented and owned, but measurement, stress testing and integration with dependent processes need strengthening.</t>
  </si>
  <si>
    <t>Residual risk: single-source and sole-source supplier exposure and mitigation plans is measured and reviewed, but monitoring, automation or scenario testing should be improved to prevent maturity drift.</t>
  </si>
  <si>
    <t>Low residual risk: single-source and sole-source supplier exposure and mitigation plans is mature and crisis-tested. Maintain monitoring, evidence, ownership and periodic stress testing.</t>
  </si>
  <si>
    <t>Create an immediate risk owner, minimum control baseline and fallback procedure for single-source and sole-source supplier exposure and mitigation plans. Add it to the crisis risk register and collect first evidence.</t>
  </si>
  <si>
    <t>Document single-source and sole-source supplier exposure and mitigation plans, assign RACI, define minimum controls and KPIs, and validate coverage across key sites, teams or systems.</t>
  </si>
  <si>
    <t>Standardize single-source and sole-source supplier exposure and mitigation plans, close coverage gaps, train accountable roles and connect controls to the relevant crisis scenarios and continuity plans.</t>
  </si>
  <si>
    <t>Measure and test single-source and sole-source supplier exposure and mitigation plans, run tabletop or operational stress tests, integrate it with dependent processes and update crisis playbooks.</t>
  </si>
  <si>
    <t>Sustain maturity for single-source and sole-source supplier exposure and mitigation plans: keep evidence current, monitor drift, benchmark externally and refresh risk tests after organizational, system or market changes.</t>
  </si>
  <si>
    <t>Immature capability for supplier financial health, sanctions, insurance, delivery reliability and crisis exposure monitoring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</si>
  <si>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supplier financial health, sanctions, insurance, delivery reliability and crisis exposure monitoring.</t>
  </si>
  <si>
    <t>Severe risk: supplier financial health, sanctions, insurance, delivery reliability and crisis exposure monitoring is not reliably controlled. During Financial liquidity crisis; Supplier disruption; Fraud risk, the organization may face cash-flow stress, uncontrolled spend, supplier payment disruption and weak financial visibility with limited visibility or accountability.</t>
  </si>
  <si>
    <t>High risk: supplier financial health, sanctions, insurance, delivery reliability and crisis exposure monitoring depends on informal practices or individual knowledge. Disruption may expose cash-flow stress, uncontrolled spend, supplier payment disruption and weak financial visibility and slow recovery.</t>
  </si>
  <si>
    <t>Elevated risk: supplier financial health, sanctions, insurance, delivery reliability and crisis exposure monitoring is partially controlled, but coverage, evidence or testing is inconsistent. Crisis response may be fragmented.</t>
  </si>
  <si>
    <t>Moderate risk: supplier financial health, sanctions, insurance, delivery reliability and crisis exposure monitoring is documented and owned, but measurement, stress testing and integration with dependent processes need strengthening.</t>
  </si>
  <si>
    <t>Residual risk: supplier financial health, sanctions, insurance, delivery reliability and crisis exposure monitoring is measured and reviewed, but monitoring, automation or scenario testing should be improved to prevent maturity drift.</t>
  </si>
  <si>
    <t>Low residual risk: supplier financial health, sanctions, insurance, delivery reliability and crisis exposure monitoring is mature and crisis-tested. Maintain monitoring, evidence, ownership and periodic stress testing.</t>
  </si>
  <si>
    <t>Create an immediate risk owner, minimum control baseline and fallback procedure for supplier financial health, sanctions, insurance, delivery reliability and crisis exposure monitoring. Add it to the crisis risk register and collect first evidence.</t>
  </si>
  <si>
    <t>Document supplier financial health, sanctions, insurance, delivery reliability and crisis exposure monitoring, assign RACI, define minimum controls and KPIs, and validate coverage across key sites, teams or systems.</t>
  </si>
  <si>
    <t>Standardize supplier financial health, sanctions, insurance, delivery reliability and crisis exposure monitoring, close coverage gaps, train accountable roles and connect controls to the relevant crisis scenarios and continuity plans.</t>
  </si>
  <si>
    <t>Measure and test supplier financial health, sanctions, insurance, delivery reliability and crisis exposure monitoring, run tabletop or operational stress tests, integrate it with dependent processes and update crisis playbooks.</t>
  </si>
  <si>
    <t>Sustain maturity for supplier financial health, sanctions, insurance, delivery reliability and crisis exposure monitoring: keep evidence current, monitor drift, benchmark externally and refresh risk tests after organizational, system or market changes.</t>
  </si>
  <si>
    <t>Immature capability for alternative suppliers pre-qualified for critical goods, services, logistics, cloud and contractors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</si>
  <si>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alternative suppliers pre-qualified for critical goods, services, logistics, cloud and contractors.</t>
  </si>
  <si>
    <t>Severe risk: alternative suppliers pre-qualified for critical goods, services, logistics, cloud and contractors is not reliably controlled. During Financial liquidity crisis; Supplier disruption; Fraud risk, the organization may face cash-flow stress, uncontrolled spend, supplier payment disruption and weak financial visibility with limited visibility or accountability.</t>
  </si>
  <si>
    <t>High risk: alternative suppliers pre-qualified for critical goods, services, logistics, cloud and contractors depends on informal practices or individual knowledge. Disruption may expose cash-flow stress, uncontrolled spend, supplier payment disruption and weak financial visibility and slow recovery.</t>
  </si>
  <si>
    <t>Elevated risk: alternative suppliers pre-qualified for critical goods, services, logistics, cloud and contractors is partially controlled, but coverage, evidence or testing is inconsistent. Crisis response may be fragmented.</t>
  </si>
  <si>
    <t>Moderate risk: alternative suppliers pre-qualified for critical goods, services, logistics, cloud and contractors is documented and owned, but measurement, stress testing and integration with dependent processes need strengthening.</t>
  </si>
  <si>
    <t>Residual risk: alternative suppliers pre-qualified for critical goods, services, logistics, cloud and contractors is measured and reviewed, but monitoring, automation or scenario testing should be improved to prevent maturity drift.</t>
  </si>
  <si>
    <t>Low residual risk: alternative suppliers pre-qualified for critical goods, services, logistics, cloud and contractors is mature and crisis-tested. Maintain monitoring, evidence, ownership and periodic stress testing.</t>
  </si>
  <si>
    <t>Create an immediate risk owner, minimum control baseline and fallback procedure for alternative suppliers pre-qualified for critical goods, services, logistics, cloud and contractors. Add it to the crisis risk register and collect first evidence.</t>
  </si>
  <si>
    <t>Document alternative suppliers pre-qualified for critical goods, services, logistics, cloud and contractors, assign RACI, define minimum controls and KPIs, and validate coverage across key sites, teams or systems.</t>
  </si>
  <si>
    <t>Standardize alternative suppliers pre-qualified for critical goods, services, logistics, cloud and contractors, close coverage gaps, train accountable roles and connect controls to the relevant crisis scenarios and continuity plans.</t>
  </si>
  <si>
    <t>Measure and test alternative suppliers pre-qualified for critical goods, services, logistics, cloud and contractors, run tabletop or operational stress tests, integrate it with dependent processes and update crisis playbooks.</t>
  </si>
  <si>
    <t>Sustain maturity for alternative suppliers pre-qualified for critical goods, services, logistics, cloud and contractors: keep evidence current, monitor drift, benchmark externally and refresh risk tests after organizational, system or market changes.</t>
  </si>
  <si>
    <t>Immature capability for emergency purchasing process that preserves essential controls and fraud prevention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</si>
  <si>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emergency purchasing process that preserves essential controls and fraud prevention.</t>
  </si>
  <si>
    <t>Severe risk: emergency purchasing process that preserves essential controls and fraud prevention is not reliably controlled. During Financial liquidity crisis; Supplier disruption; Fraud risk, the organization may face cash-flow stress, uncontrolled spend, supplier payment disruption and weak financial visibility with limited visibility or accountability.</t>
  </si>
  <si>
    <t>High risk: emergency purchasing process that preserves essential controls and fraud prevention depends on informal practices or individual knowledge. Disruption may expose cash-flow stress, uncontrolled spend, supplier payment disruption and weak financial visibility and slow recovery.</t>
  </si>
  <si>
    <t>Elevated risk: emergency purchasing process that preserves essential controls and fraud prevention is partially controlled, but coverage, evidence or testing is inconsistent. Crisis response may be fragmented.</t>
  </si>
  <si>
    <t>Moderate risk: emergency purchasing process that preserves essential controls and fraud prevention is documented and owned, but measurement, stress testing and integration with dependent processes need strengthening.</t>
  </si>
  <si>
    <t>Residual risk: emergency purchasing process that preserves essential controls and fraud prevention is measured and reviewed, but monitoring, automation or scenario testing should be improved to prevent maturity drift.</t>
  </si>
  <si>
    <t>Low residual risk: emergency purchasing process that preserves essential controls and fraud prevention is mature and crisis-tested. Maintain monitoring, evidence, ownership and periodic stress testing.</t>
  </si>
  <si>
    <t>Create an immediate risk owner, minimum control baseline and fallback procedure for emergency purchasing process that preserves essential controls and fraud prevention. Add it to the crisis risk register and collect first evidence.</t>
  </si>
  <si>
    <t>Document emergency purchasing process that preserves essential controls and fraud prevention, assign RACI, define minimum controls and KPIs, and validate coverage across key sites, teams or systems.</t>
  </si>
  <si>
    <t>Standardize emergency purchasing process that preserves essential controls and fraud prevention, close coverage gaps, train accountable roles and connect controls to the relevant crisis scenarios and continuity plans.</t>
  </si>
  <si>
    <t>Measure and test emergency purchasing process that preserves essential controls and fraud prevention, run tabletop or operational stress tests, integrate it with dependent processes and update crisis playbooks.</t>
  </si>
  <si>
    <t>Sustain maturity for emergency purchasing process that preserves essential controls and fraud prevention: keep evidence current, monitor drift, benchmark externally and refresh risk tests after organizational, system or market changes.</t>
  </si>
  <si>
    <t>Immature capability for purchasing triggers linked to demand, lead time, minimum stock and crisis buffers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</si>
  <si>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purchasing triggers linked to demand, lead time, minimum stock and crisis buffers.</t>
  </si>
  <si>
    <t>Severe risk: purchasing triggers linked to demand, lead time, minimum stock and crisis buffers is not reliably controlled. During Financial liquidity crisis; Supplier disruption; Fraud risk, the organization may face cash-flow stress, uncontrolled spend, supplier payment disruption and weak financial visibility with limited visibility or accountability.</t>
  </si>
  <si>
    <t>High risk: purchasing triggers linked to demand, lead time, minimum stock and crisis buffers depends on informal practices or individual knowledge. Disruption may expose cash-flow stress, uncontrolled spend, supplier payment disruption and weak financial visibility and slow recovery.</t>
  </si>
  <si>
    <t>Elevated risk: purchasing triggers linked to demand, lead time, minimum stock and crisis buffers is partially controlled, but coverage, evidence or testing is inconsistent. Crisis response may be fragmented.</t>
  </si>
  <si>
    <t>Moderate risk: purchasing triggers linked to demand, lead time, minimum stock and crisis buffers is documented and owned, but measurement, stress testing and integration with dependent processes need strengthening.</t>
  </si>
  <si>
    <t>Residual risk: purchasing triggers linked to demand, lead time, minimum stock and crisis buffers is measured and reviewed, but monitoring, automation or scenario testing should be improved to prevent maturity drift.</t>
  </si>
  <si>
    <t>Low residual risk: purchasing triggers linked to demand, lead time, minimum stock and crisis buffers is mature and crisis-tested. Maintain monitoring, evidence, ownership and periodic stress testing.</t>
  </si>
  <si>
    <t>Create an immediate risk owner, minimum control baseline and fallback procedure for purchasing triggers linked to demand, lead time, minimum stock and crisis buffers. Add it to the crisis risk register and collect first evidence.</t>
  </si>
  <si>
    <t>Document purchasing triggers linked to demand, lead time, minimum stock and crisis buffers, assign RACI, define minimum controls and KPIs, and validate coverage across key sites, teams or systems.</t>
  </si>
  <si>
    <t>Standardize purchasing triggers linked to demand, lead time, minimum stock and crisis buffers, close coverage gaps, train accountable roles and connect controls to the relevant crisis scenarios and continuity plans.</t>
  </si>
  <si>
    <t>Measure and test purchasing triggers linked to demand, lead time, minimum stock and crisis buffers, run tabletop or operational stress tests, integrate it with dependent processes and update crisis playbooks.</t>
  </si>
  <si>
    <t>Sustain maturity for purchasing triggers linked to demand, lead time, minimum stock and crisis buffers: keep evidence current, monitor drift, benchmark externally and refresh risk tests after organizational, system or market changes.</t>
  </si>
  <si>
    <t>Immature capability for receivables aging, customer payment risk and collection scenarios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</si>
  <si>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receivables aging, customer payment risk and collection scenarios.</t>
  </si>
  <si>
    <t>Severe risk: receivables aging, customer payment risk and collection scenarios is not reliably controlled. During Financial liquidity crisis; Supplier disruption; Fraud risk, the organization may face cash-flow stress, uncontrolled spend, supplier payment disruption and weak financial visibility with limited visibility or accountability.</t>
  </si>
  <si>
    <t>High risk: receivables aging, customer payment risk and collection scenarios depends on informal practices or individual knowledge. Disruption may expose cash-flow stress, uncontrolled spend, supplier payment disruption and weak financial visibility and slow recovery.</t>
  </si>
  <si>
    <t>Elevated risk: receivables aging, customer payment risk and collection scenarios is partially controlled, but coverage, evidence or testing is inconsistent. Crisis response may be fragmented.</t>
  </si>
  <si>
    <t>Moderate risk: receivables aging, customer payment risk and collection scenarios is documented and owned, but measurement, stress testing and integration with dependent processes need strengthening.</t>
  </si>
  <si>
    <t>Residual risk: receivables aging, customer payment risk and collection scenarios is measured and reviewed, but monitoring, automation or scenario testing should be improved to prevent maturity drift.</t>
  </si>
  <si>
    <t>Low residual risk: receivables aging, customer payment risk and collection scenarios is mature and crisis-tested. Maintain monitoring, evidence, ownership and periodic stress testing.</t>
  </si>
  <si>
    <t>Create an immediate risk owner, minimum control baseline and fallback procedure for receivables aging, customer payment risk and collection scenarios. Add it to the crisis risk register and collect first evidence.</t>
  </si>
  <si>
    <t>Document receivables aging, customer payment risk and collection scenarios, assign RACI, define minimum controls and KPIs, and validate coverage across key sites, teams or systems.</t>
  </si>
  <si>
    <t>Standardize receivables aging, customer payment risk and collection scenarios, close coverage gaps, train accountable roles and connect controls to the relevant crisis scenarios and continuity plans.</t>
  </si>
  <si>
    <t>Measure and test receivables aging, customer payment risk and collection scenarios, run tabletop or operational stress tests, integrate it with dependent processes and update crisis playbooks.</t>
  </si>
  <si>
    <t>Sustain maturity for receivables aging, customer payment risk and collection scenarios: keep evidence current, monitor drift, benchmark externally and refresh risk tests after organizational, system or market changes.</t>
  </si>
  <si>
    <t>Immature capability for supplier payment priority rules during cash constraint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</si>
  <si>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supplier payment priority rules during cash constraint.</t>
  </si>
  <si>
    <t>Severe risk: supplier payment priority rules during cash constraint is not reliably controlled. During Financial liquidity crisis; Supplier disruption; Fraud risk, the organization may face cash-flow stress, uncontrolled spend, supplier payment disruption and weak financial visibility with limited visibility or accountability.</t>
  </si>
  <si>
    <t>High risk: supplier payment priority rules during cash constraint depends on informal practices or individual knowledge. Disruption may expose cash-flow stress, uncontrolled spend, supplier payment disruption and weak financial visibility and slow recovery.</t>
  </si>
  <si>
    <t>Elevated risk: supplier payment priority rules during cash constraint is partially controlled, but coverage, evidence or testing is inconsistent. Crisis response may be fragmented.</t>
  </si>
  <si>
    <t>Moderate risk: supplier payment priority rules during cash constraint is documented and owned, but measurement, stress testing and integration with dependent processes need strengthening.</t>
  </si>
  <si>
    <t>Residual risk: supplier payment priority rules during cash constraint is measured and reviewed, but monitoring, automation or scenario testing should be improved to prevent maturity drift.</t>
  </si>
  <si>
    <t>Low residual risk: supplier payment priority rules during cash constraint is mature and crisis-tested. Maintain monitoring, evidence, ownership and periodic stress testing.</t>
  </si>
  <si>
    <t>Create an immediate risk owner, minimum control baseline and fallback procedure for supplier payment priority rules during cash constraint. Add it to the crisis risk register and collect first evidence.</t>
  </si>
  <si>
    <t>Document supplier payment priority rules during cash constraint, assign RACI, define minimum controls and KPIs, and validate coverage across key sites, teams or systems.</t>
  </si>
  <si>
    <t>Standardize supplier payment priority rules during cash constraint, close coverage gaps, train accountable roles and connect controls to the relevant crisis scenarios and continuity plans.</t>
  </si>
  <si>
    <t>Measure and test supplier payment priority rules during cash constraint, run tabletop or operational stress tests, integrate it with dependent processes and update crisis playbooks.</t>
  </si>
  <si>
    <t>Sustain maturity for supplier payment priority rules during cash constraint: keep evidence current, monitor drift, benchmark externally and refresh risk tests after organizational, system or market changes.</t>
  </si>
  <si>
    <t>Immature capability for banking resilience with backup banks, signatories, online access and payment release fallback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</si>
  <si>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banking resilience with backup banks, signatories, online access and payment release fallback.</t>
  </si>
  <si>
    <t>Severe risk: banking resilience with backup banks, signatories, online access and payment release fallback is not reliably controlled. During Financial liquidity crisis; Supplier disruption; Fraud risk, the organization may face cash-flow stress, uncontrolled spend, supplier payment disruption and weak financial visibility with limited visibility or accountability.</t>
  </si>
  <si>
    <t>High risk: banking resilience with backup banks, signatories, online access and payment release fallback depends on informal practices or individual knowledge. Disruption may expose cash-flow stress, uncontrolled spend, supplier payment disruption and weak financial visibility and slow recovery.</t>
  </si>
  <si>
    <t>Elevated risk: banking resilience with backup banks, signatories, online access and payment release fallback is partially controlled, but coverage, evidence or testing is inconsistent. Crisis response may be fragmented.</t>
  </si>
  <si>
    <t>Moderate risk: banking resilience with backup banks, signatories, online access and payment release fallback is documented and owned, but measurement, stress testing and integration with dependent processes need strengthening.</t>
  </si>
  <si>
    <t>Residual risk: banking resilience with backup banks, signatories, online access and payment release fallback is measured and reviewed, but monitoring, automation or scenario testing should be improved to prevent maturity drift.</t>
  </si>
  <si>
    <t>Low residual risk: banking resilience with backup banks, signatories, online access and payment release fallback is mature and crisis-tested. Maintain monitoring, evidence, ownership and periodic stress testing.</t>
  </si>
  <si>
    <t>Create an immediate risk owner, minimum control baseline and fallback procedure for banking resilience with backup banks, signatories, online access and payment release fallback. Add it to the crisis risk register and collect first evidence.</t>
  </si>
  <si>
    <t>Document banking resilience with backup banks, signatories, online access and payment release fallback, assign RACI, define minimum controls and KPIs, and validate coverage across key sites, teams or systems.</t>
  </si>
  <si>
    <t>Standardize banking resilience with backup banks, signatories, online access and payment release fallback, close coverage gaps, train accountable roles and connect controls to the relevant crisis scenarios and continuity plans.</t>
  </si>
  <si>
    <t>Measure and test banking resilience with backup banks, signatories, online access and payment release fallback, run tabletop or operational stress tests, integrate it with dependent processes and update crisis playbooks.</t>
  </si>
  <si>
    <t>Sustain maturity for banking resilience with backup banks, signatories, online access and payment release fallback: keep evidence current, monitor drift, benchmark externally and refresh risk tests after organizational, system or market changes.</t>
  </si>
  <si>
    <t>Immature capability for tax compliance calendar and statutory reporting continuity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</si>
  <si>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tax compliance calendar and statutory reporting continuity.</t>
  </si>
  <si>
    <t>Severe risk: tax compliance calendar and statutory reporting continuity is not reliably controlled. During Financial liquidity crisis; Supplier disruption; Fraud risk, the organization may face cash-flow stress, uncontrolled spend, supplier payment disruption and weak financial visibility with limited visibility or accountability.</t>
  </si>
  <si>
    <t>High risk: tax compliance calendar and statutory reporting continuity depends on informal practices or individual knowledge. Disruption may expose cash-flow stress, uncontrolled spend, supplier payment disruption and weak financial visibility and slow recovery.</t>
  </si>
  <si>
    <t>Elevated risk: tax compliance calendar and statutory reporting continuity is partially controlled, but coverage, evidence or testing is inconsistent. Crisis response may be fragmented.</t>
  </si>
  <si>
    <t>Moderate risk: tax compliance calendar and statutory reporting continuity is documented and owned, but measurement, stress testing and integration with dependent processes need strengthening.</t>
  </si>
  <si>
    <t>Residual risk: tax compliance calendar and statutory reporting continuity is measured and reviewed, but monitoring, automation or scenario testing should be improved to prevent maturity drift.</t>
  </si>
  <si>
    <t>Low residual risk: tax compliance calendar and statutory reporting continuity is mature and crisis-tested. Maintain monitoring, evidence, ownership and periodic stress testing.</t>
  </si>
  <si>
    <t>Create an immediate risk owner, minimum control baseline and fallback procedure for tax compliance calendar and statutory reporting continuity. Add it to the crisis risk register and collect first evidence.</t>
  </si>
  <si>
    <t>Document tax compliance calendar and statutory reporting continuity, assign RACI, define minimum controls and KPIs, and validate coverage across key sites, teams or systems.</t>
  </si>
  <si>
    <t>Standardize tax compliance calendar and statutory reporting continuity, close coverage gaps, train accountable roles and connect controls to the relevant crisis scenarios and continuity plans.</t>
  </si>
  <si>
    <t>Measure and test tax compliance calendar and statutory reporting continuity, run tabletop or operational stress tests, integrate it with dependent processes and update crisis playbooks.</t>
  </si>
  <si>
    <t>Sustain maturity for tax compliance calendar and statutory reporting continuity: keep evidence current, monitor drift, benchmark externally and refresh risk tests after organizational, system or market changes.</t>
  </si>
  <si>
    <t>Immature capability for business interruption insurance fit against realistic recovery scenarios may lead to cash-flow stress, uncontrolled spend, supplier payment disruption and weak financial visibility during Financial liquidity crisis; Supplier disruption; Fraud risk.</t>
  </si>
  <si>
    <t>Low maturity, weak ownership, incomplete evidence, insufficient testing and poor integration with crisis-management routines for business interruption insurance fit against realistic recovery scenarios.</t>
  </si>
  <si>
    <t>Severe risk: business interruption insurance fit against realistic recovery scenarios is not reliably controlled. During Financial liquidity crisis; Supplier disruption; Fraud risk, the organization may face cash-flow stress, uncontrolled spend, supplier payment disruption and weak financial visibility with limited visibility or accountability.</t>
  </si>
  <si>
    <t>High risk: business interruption insurance fit against realistic recovery scenarios depends on informal practices or individual knowledge. Disruption may expose cash-flow stress, uncontrolled spend, supplier payment disruption and weak financial visibility and slow recovery.</t>
  </si>
  <si>
    <t>Elevated risk: business interruption insurance fit against realistic recovery scenarios is partially controlled, but coverage, evidence or testing is inconsistent. Crisis response may be fragmented.</t>
  </si>
  <si>
    <t>Moderate risk: business interruption insurance fit against realistic recovery scenarios is documented and owned, but measurement, stress testing and integration with dependent processes need strengthening.</t>
  </si>
  <si>
    <t>Residual risk: business interruption insurance fit against realistic recovery scenarios is measured and reviewed, but monitoring, automation or scenario testing should be improved to prevent maturity drift.</t>
  </si>
  <si>
    <t>Low residual risk: business interruption insurance fit against realistic recovery scenarios is mature and crisis-tested. Maintain monitoring, evidence, ownership and periodic stress testing.</t>
  </si>
  <si>
    <t>Create an immediate risk owner, minimum control baseline and fallback procedure for business interruption insurance fit against realistic recovery scenarios. Add it to the crisis risk register and collect first evidence.</t>
  </si>
  <si>
    <t>Document business interruption insurance fit against realistic recovery scenarios, assign RACI, define minimum controls and KPIs, and validate coverage across key sites, teams or systems.</t>
  </si>
  <si>
    <t>Standardize business interruption insurance fit against realistic recovery scenarios, close coverage gaps, train accountable roles and connect controls to the relevant crisis scenarios and continuity plans.</t>
  </si>
  <si>
    <t>Measure and test business interruption insurance fit against realistic recovery scenarios, run tabletop or operational stress tests, integrate it with dependent processes and update crisis playbooks.</t>
  </si>
  <si>
    <t>Sustain maturity for business interruption insurance fit against realistic recovery scenarios: keep evidence current, monitor drift, benchmark externally and refresh risk tests after organizational, system or market changes.</t>
  </si>
  <si>
    <t>Immature capability for compliance obligations register by jurisdiction, license, customer, industry and function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</si>
  <si>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compliance obligations register by jurisdiction, license, customer, industry and function.</t>
  </si>
  <si>
    <t>Severe risk: compliance obligations register by jurisdiction, license, customer, industry and function is not reliably controlled. During Regulatory/legal shock; Contractual exposure; Data breach, the organization may face contractual disputes, compliance breaches, regulatory penalties and delayed legal response with limited visibility or accountability.</t>
  </si>
  <si>
    <t>High risk: compliance obligations register by jurisdiction, license, customer, industry and function depends on informal practices or individual knowledge. Disruption may expose contractual disputes, compliance breaches, regulatory penalties and delayed legal response and slow recovery.</t>
  </si>
  <si>
    <t>Elevated risk: compliance obligations register by jurisdiction, license, customer, industry and function is partially controlled, but coverage, evidence or testing is inconsistent. Crisis response may be fragmented.</t>
  </si>
  <si>
    <t>Moderate risk: compliance obligations register by jurisdiction, license, customer, industry and function is documented and owned, but measurement, stress testing and integration with dependent processes need strengthening.</t>
  </si>
  <si>
    <t>Residual risk: compliance obligations register by jurisdiction, license, customer, industry and function is measured and reviewed, but monitoring, automation or scenario testing should be improved to prevent maturity drift.</t>
  </si>
  <si>
    <t>Low residual risk: compliance obligations register by jurisdiction, license, customer, industry and function is mature and crisis-tested. Maintain monitoring, evidence, ownership and periodic stress testing.</t>
  </si>
  <si>
    <t>Create an immediate risk owner, minimum control baseline and fallback procedure for compliance obligations register by jurisdiction, license, customer, industry and function. Add it to the crisis risk register and collect first evidence.</t>
  </si>
  <si>
    <t>Document compliance obligations register by jurisdiction, license, customer, industry and function, assign RACI, define minimum controls and KPIs, and validate coverage across key sites, teams or systems.</t>
  </si>
  <si>
    <t>Standardize compliance obligations register by jurisdiction, license, customer, industry and function, close coverage gaps, train accountable roles and connect controls to the relevant crisis scenarios and continuity plans.</t>
  </si>
  <si>
    <t>Measure and test compliance obligations register by jurisdiction, license, customer, industry and function, run tabletop or operational stress tests, integrate it with dependent processes and update crisis playbooks.</t>
  </si>
  <si>
    <t>Sustain maturity for compliance obligations register by jurisdiction, license, customer, industry and function: keep evidence current, monitor drift, benchmark externally and refresh risk tests after organizational, system or market changes.</t>
  </si>
  <si>
    <t>Immature capability for regulatory reporting calendar and emergency reporting triggers for cyber, safety, finance, environment and privacy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</si>
  <si>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regulatory reporting calendar and emergency reporting triggers for cyber, safety, finance, environment and privacy.</t>
  </si>
  <si>
    <t>Severe risk: regulatory reporting calendar and emergency reporting triggers for cyber, safety, finance, environment and privacy is not reliably controlled. During Regulatory/legal shock; Contractual exposure; Data breach, the organization may face contractual disputes, compliance breaches, regulatory penalties and delayed legal response with limited visibility or accountability.</t>
  </si>
  <si>
    <t>High risk: regulatory reporting calendar and emergency reporting triggers for cyber, safety, finance, environment and privacy depends on informal practices or individual knowledge. Disruption may expose contractual disputes, compliance breaches, regulatory penalties and delayed legal response and slow recovery.</t>
  </si>
  <si>
    <t>Elevated risk: regulatory reporting calendar and emergency reporting triggers for cyber, safety, finance, environment and privacy is partially controlled, but coverage, evidence or testing is inconsistent. Crisis response may be fragmented.</t>
  </si>
  <si>
    <t>Moderate risk: regulatory reporting calendar and emergency reporting triggers for cyber, safety, finance, environment and privacy is documented and owned, but measurement, stress testing and integration with dependent processes need strengthening.</t>
  </si>
  <si>
    <t>Residual risk: regulatory reporting calendar and emergency reporting triggers for cyber, safety, finance, environment and privacy is measured and reviewed, but monitoring, automation or scenario testing should be improved to prevent maturity drift.</t>
  </si>
  <si>
    <t>Low residual risk: regulatory reporting calendar and emergency reporting triggers for cyber, safety, finance, environment and privacy is mature and crisis-tested. Maintain monitoring, evidence, ownership and periodic stress testing.</t>
  </si>
  <si>
    <t>Create an immediate risk owner, minimum control baseline and fallback procedure for regulatory reporting calendar and emergency reporting triggers for cyber, safety, finance, environment and privacy. Add it to the crisis risk register and collect first evidence.</t>
  </si>
  <si>
    <t>Document regulatory reporting calendar and emergency reporting triggers for cyber, safety, finance, environment and privacy, assign RACI, define minimum controls and KPIs, and validate coverage across key sites, teams or systems.</t>
  </si>
  <si>
    <t>Standardize regulatory reporting calendar and emergency reporting triggers for cyber, safety, finance, environment and privacy, close coverage gaps, train accountable roles and connect controls to the relevant crisis scenarios and continuity plans.</t>
  </si>
  <si>
    <t>Measure and test regulatory reporting calendar and emergency reporting triggers for cyber, safety, finance, environment and privacy, run tabletop or operational stress tests, integrate it with dependent processes and update crisis playbooks.</t>
  </si>
  <si>
    <t>Sustain maturity for regulatory reporting calendar and emergency reporting triggers for cyber, safety, finance, environment and privacy: keep evidence current, monitor drift, benchmark externally and refresh risk tests after organizational, system or market changes.</t>
  </si>
  <si>
    <t>Immature capability for sanctions and restricted-party screening for customers, suppliers, owners and payments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</si>
  <si>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sanctions and restricted-party screening for customers, suppliers, owners and payments.</t>
  </si>
  <si>
    <t>Severe risk: sanctions and restricted-party screening for customers, suppliers, owners and payments is not reliably controlled. During Regulatory/legal shock; Contractual exposure; Data breach, the organization may face contractual disputes, compliance breaches, regulatory penalties and delayed legal response with limited visibility or accountability.</t>
  </si>
  <si>
    <t>High risk: sanctions and restricted-party screening for customers, suppliers, owners and payments depends on informal practices or individual knowledge. Disruption may expose contractual disputes, compliance breaches, regulatory penalties and delayed legal response and slow recovery.</t>
  </si>
  <si>
    <t>Elevated risk: sanctions and restricted-party screening for customers, suppliers, owners and payments is partially controlled, but coverage, evidence or testing is inconsistent. Crisis response may be fragmented.</t>
  </si>
  <si>
    <t>Moderate risk: sanctions and restricted-party screening for customers, suppliers, owners and payments is documented and owned, but measurement, stress testing and integration with dependent processes need strengthening.</t>
  </si>
  <si>
    <t>Residual risk: sanctions and restricted-party screening for customers, suppliers, owners and payments is measured and reviewed, but monitoring, automation or scenario testing should be improved to prevent maturity drift.</t>
  </si>
  <si>
    <t>Low residual risk: sanctions and restricted-party screening for customers, suppliers, owners and payments is mature and crisis-tested. Maintain monitoring, evidence, ownership and periodic stress testing.</t>
  </si>
  <si>
    <t>Create an immediate risk owner, minimum control baseline and fallback procedure for sanctions and restricted-party screening for customers, suppliers, owners and payments. Add it to the crisis risk register and collect first evidence.</t>
  </si>
  <si>
    <t>Document sanctions and restricted-party screening for customers, suppliers, owners and payments, assign RACI, define minimum controls and KPIs, and validate coverage across key sites, teams or systems.</t>
  </si>
  <si>
    <t>Standardize sanctions and restricted-party screening for customers, suppliers, owners and payments, close coverage gaps, train accountable roles and connect controls to the relevant crisis scenarios and continuity plans.</t>
  </si>
  <si>
    <t>Measure and test sanctions and restricted-party screening for customers, suppliers, owners and payments, run tabletop or operational stress tests, integrate it with dependent processes and update crisis playbooks.</t>
  </si>
  <si>
    <t>Sustain maturity for sanctions and restricted-party screening for customers, suppliers, owners and payments: keep evidence current, monitor drift, benchmark externally and refresh risk tests after organizational, system or market changes.</t>
  </si>
  <si>
    <t>Immature capability for anti-bribery and corruption controls during emergency procurement and high-pressure sales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</si>
  <si>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anti-bribery and corruption controls during emergency procurement and high-pressure sales.</t>
  </si>
  <si>
    <t>Severe risk: anti-bribery and corruption controls during emergency procurement and high-pressure sales is not reliably controlled. During Regulatory/legal shock; Contractual exposure; Data breach, the organization may face contractual disputes, compliance breaches, regulatory penalties and delayed legal response with limited visibility or accountability.</t>
  </si>
  <si>
    <t>High risk: anti-bribery and corruption controls during emergency procurement and high-pressure sales depends on informal practices or individual knowledge. Disruption may expose contractual disputes, compliance breaches, regulatory penalties and delayed legal response and slow recovery.</t>
  </si>
  <si>
    <t>Elevated risk: anti-bribery and corruption controls during emergency procurement and high-pressure sales is partially controlled, but coverage, evidence or testing is inconsistent. Crisis response may be fragmented.</t>
  </si>
  <si>
    <t>Moderate risk: anti-bribery and corruption controls during emergency procurement and high-pressure sales is documented and owned, but measurement, stress testing and integration with dependent processes need strengthening.</t>
  </si>
  <si>
    <t>Residual risk: anti-bribery and corruption controls during emergency procurement and high-pressure sales is measured and reviewed, but monitoring, automation or scenario testing should be improved to prevent maturity drift.</t>
  </si>
  <si>
    <t>Low residual risk: anti-bribery and corruption controls during emergency procurement and high-pressure sales is mature and crisis-tested. Maintain monitoring, evidence, ownership and periodic stress testing.</t>
  </si>
  <si>
    <t>Create an immediate risk owner, minimum control baseline and fallback procedure for anti-bribery and corruption controls during emergency procurement and high-pressure sales. Add it to the crisis risk register and collect first evidence.</t>
  </si>
  <si>
    <t>Document anti-bribery and corruption controls during emergency procurement and high-pressure sales, assign RACI, define minimum controls and KPIs, and validate coverage across key sites, teams or systems.</t>
  </si>
  <si>
    <t>Standardize anti-bribery and corruption controls during emergency procurement and high-pressure sales, close coverage gaps, train accountable roles and connect controls to the relevant crisis scenarios and continuity plans.</t>
  </si>
  <si>
    <t>Measure and test anti-bribery and corruption controls during emergency procurement and high-pressure sales, run tabletop or operational stress tests, integrate it with dependent processes and update crisis playbooks.</t>
  </si>
  <si>
    <t>Sustain maturity for anti-bribery and corruption controls during emergency procurement and high-pressure sales: keep evidence current, monitor drift, benchmark externally and refresh risk tests after organizational, system or market changes.</t>
  </si>
  <si>
    <t>Immature capability for whistleblowing and misconduct reporting mechanism with investigation process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</si>
  <si>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whistleblowing and misconduct reporting mechanism with investigation process.</t>
  </si>
  <si>
    <t>Severe risk: whistleblowing and misconduct reporting mechanism with investigation process is not reliably controlled. During Regulatory/legal shock; Contractual exposure; Data breach, the organization may face contractual disputes, compliance breaches, regulatory penalties and delayed legal response with limited visibility or accountability.</t>
  </si>
  <si>
    <t>High risk: whistleblowing and misconduct reporting mechanism with investigation process depends on informal practices or individual knowledge. Disruption may expose contractual disputes, compliance breaches, regulatory penalties and delayed legal response and slow recovery.</t>
  </si>
  <si>
    <t>Elevated risk: whistleblowing and misconduct reporting mechanism with investigation process is partially controlled, but coverage, evidence or testing is inconsistent. Crisis response may be fragmented.</t>
  </si>
  <si>
    <t>Moderate risk: whistleblowing and misconduct reporting mechanism with investigation process is documented and owned, but measurement, stress testing and integration with dependent processes need strengthening.</t>
  </si>
  <si>
    <t>Residual risk: whistleblowing and misconduct reporting mechanism with investigation process is measured and reviewed, but monitoring, automation or scenario testing should be improved to prevent maturity drift.</t>
  </si>
  <si>
    <t>Low residual risk: whistleblowing and misconduct reporting mechanism with investigation process is mature and crisis-tested. Maintain monitoring, evidence, ownership and periodic stress testing.</t>
  </si>
  <si>
    <t>Create an immediate risk owner, minimum control baseline and fallback procedure for whistleblowing and misconduct reporting mechanism with investigation process. Add it to the crisis risk register and collect first evidence.</t>
  </si>
  <si>
    <t>Document whistleblowing and misconduct reporting mechanism with investigation process, assign RACI, define minimum controls and KPIs, and validate coverage across key sites, teams or systems.</t>
  </si>
  <si>
    <t>Standardize whistleblowing and misconduct reporting mechanism with investigation process, close coverage gaps, train accountable roles and connect controls to the relevant crisis scenarios and continuity plans.</t>
  </si>
  <si>
    <t>Measure and test whistleblowing and misconduct reporting mechanism with investigation process, run tabletop or operational stress tests, integrate it with dependent processes and update crisis playbooks.</t>
  </si>
  <si>
    <t>Sustain maturity for whistleblowing and misconduct reporting mechanism with investigation process: keep evidence current, monitor drift, benchmark externally and refresh risk tests after organizational, system or market changes.</t>
  </si>
  <si>
    <t>Immature capability for legal support continuity if internal or external counsel is unavailable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</si>
  <si>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legal support continuity if internal or external counsel is unavailable.</t>
  </si>
  <si>
    <t>Severe risk: legal support continuity if internal or external counsel is unavailable is not reliably controlled. During Regulatory/legal shock; Contractual exposure; Data breach, the organization may face contractual disputes, compliance breaches, regulatory penalties and delayed legal response with limited visibility or accountability.</t>
  </si>
  <si>
    <t>High risk: legal support continuity if internal or external counsel is unavailable depends on informal practices or individual knowledge. Disruption may expose contractual disputes, compliance breaches, regulatory penalties and delayed legal response and slow recovery.</t>
  </si>
  <si>
    <t>Elevated risk: legal support continuity if internal or external counsel is unavailable is partially controlled, but coverage, evidence or testing is inconsistent. Crisis response may be fragmented.</t>
  </si>
  <si>
    <t>Moderate risk: legal support continuity if internal or external counsel is unavailable is documented and owned, but measurement, stress testing and integration with dependent processes need strengthening.</t>
  </si>
  <si>
    <t>Residual risk: legal support continuity if internal or external counsel is unavailable is measured and reviewed, but monitoring, automation or scenario testing should be improved to prevent maturity drift.</t>
  </si>
  <si>
    <t>Low residual risk: legal support continuity if internal or external counsel is unavailable is mature and crisis-tested. Maintain monitoring, evidence, ownership and periodic stress testing.</t>
  </si>
  <si>
    <t>Create an immediate risk owner, minimum control baseline and fallback procedure for legal support continuity if internal or external counsel is unavailable. Add it to the crisis risk register and collect first evidence.</t>
  </si>
  <si>
    <t>Document legal support continuity if internal or external counsel is unavailable, assign RACI, define minimum controls and KPIs, and validate coverage across key sites, teams or systems.</t>
  </si>
  <si>
    <t>Standardize legal support continuity if internal or external counsel is unavailable, close coverage gaps, train accountable roles and connect controls to the relevant crisis scenarios and continuity plans.</t>
  </si>
  <si>
    <t>Measure and test legal support continuity if internal or external counsel is unavailable, run tabletop or operational stress tests, integrate it with dependent processes and update crisis playbooks.</t>
  </si>
  <si>
    <t>Sustain maturity for legal support continuity if internal or external counsel is unavailable: keep evidence current, monitor drift, benchmark externally and refresh risk tests after organizational, system or market changes.</t>
  </si>
  <si>
    <t>Immature capability for complete contract register for customers, suppliers, leases, loans, employment, insurance and IP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</si>
  <si>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complete contract register for customers, suppliers, leases, loans, employment, insurance and IP.</t>
  </si>
  <si>
    <t>Severe risk: complete contract register for customers, suppliers, leases, loans, employment, insurance and IP is not reliably controlled. During Regulatory/legal shock; Contractual exposure; Data breach, the organization may face contractual disputes, compliance breaches, regulatory penalties and delayed legal response with limited visibility or accountability.</t>
  </si>
  <si>
    <t>High risk: complete contract register for customers, suppliers, leases, loans, employment, insurance and IP depends on informal practices or individual knowledge. Disruption may expose contractual disputes, compliance breaches, regulatory penalties and delayed legal response and slow recovery.</t>
  </si>
  <si>
    <t>Elevated risk: complete contract register for customers, suppliers, leases, loans, employment, insurance and IP is partially controlled, but coverage, evidence or testing is inconsistent. Crisis response may be fragmented.</t>
  </si>
  <si>
    <t>Moderate risk: complete contract register for customers, suppliers, leases, loans, employment, insurance and IP is documented and owned, but measurement, stress testing and integration with dependent processes need strengthening.</t>
  </si>
  <si>
    <t>Residual risk: complete contract register for customers, suppliers, leases, loans, employment, insurance and IP is measured and reviewed, but monitoring, automation or scenario testing should be improved to prevent maturity drift.</t>
  </si>
  <si>
    <t>Low residual risk: complete contract register for customers, suppliers, leases, loans, employment, insurance and IP is mature and crisis-tested. Maintain monitoring, evidence, ownership and periodic stress testing.</t>
  </si>
  <si>
    <t>Create an immediate risk owner, minimum control baseline and fallback procedure for complete contract register for customers, suppliers, leases, loans, employment, insurance and IP. Add it to the crisis risk register and collect first evidence.</t>
  </si>
  <si>
    <t>Document complete contract register for customers, suppliers, leases, loans, employment, insurance and IP, assign RACI, define minimum controls and KPIs, and validate coverage across key sites, teams or systems.</t>
  </si>
  <si>
    <t>Standardize complete contract register for customers, suppliers, leases, loans, employment, insurance and IP, close coverage gaps, train accountable roles and connect controls to the relevant crisis scenarios and continuity plans.</t>
  </si>
  <si>
    <t>Measure and test complete contract register for customers, suppliers, leases, loans, employment, insurance and IP, run tabletop or operational stress tests, integrate it with dependent processes and update crisis playbooks.</t>
  </si>
  <si>
    <t>Sustain maturity for complete contract register for customers, suppliers, leases, loans, employment, insurance and IP: keep evidence current, monitor drift, benchmark externally and refresh risk tests after organizational, system or market changes.</t>
  </si>
  <si>
    <t>Immature capability for analysis of force majeure, hardship, termination, liability and continuity clauses in critical contracts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</si>
  <si>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analysis of force majeure, hardship, termination, liability and continuity clauses in critical contracts.</t>
  </si>
  <si>
    <t>Severe risk: analysis of force majeure, hardship, termination, liability and continuity clauses in critical contracts is not reliably controlled. During Regulatory/legal shock; Contractual exposure; Data breach, the organization may face contractual disputes, compliance breaches, regulatory penalties and delayed legal response with limited visibility or accountability.</t>
  </si>
  <si>
    <t>High risk: analysis of force majeure, hardship, termination, liability and continuity clauses in critical contracts depends on informal practices or individual knowledge. Disruption may expose contractual disputes, compliance breaches, regulatory penalties and delayed legal response and slow recovery.</t>
  </si>
  <si>
    <t>Elevated risk: analysis of force majeure, hardship, termination, liability and continuity clauses in critical contracts is partially controlled, but coverage, evidence or testing is inconsistent. Crisis response may be fragmented.</t>
  </si>
  <si>
    <t>Moderate risk: analysis of force majeure, hardship, termination, liability and continuity clauses in critical contracts is documented and owned, but measurement, stress testing and integration with dependent processes need strengthening.</t>
  </si>
  <si>
    <t>Residual risk: analysis of force majeure, hardship, termination, liability and continuity clauses in critical contracts is measured and reviewed, but monitoring, automation or scenario testing should be improved to prevent maturity drift.</t>
  </si>
  <si>
    <t>Low residual risk: analysis of force majeure, hardship, termination, liability and continuity clauses in critical contracts is mature and crisis-tested. Maintain monitoring, evidence, ownership and periodic stress testing.</t>
  </si>
  <si>
    <t>Create an immediate risk owner, minimum control baseline and fallback procedure for analysis of force majeure, hardship, termination, liability and continuity clauses in critical contracts. Add it to the crisis risk register and collect first evidence.</t>
  </si>
  <si>
    <t>Document analysis of force majeure, hardship, termination, liability and continuity clauses in critical contracts, assign RACI, define minimum controls and KPIs, and validate coverage across key sites, teams or systems.</t>
  </si>
  <si>
    <t>Standardize analysis of force majeure, hardship, termination, liability and continuity clauses in critical contracts, close coverage gaps, train accountable roles and connect controls to the relevant crisis scenarios and continuity plans.</t>
  </si>
  <si>
    <t>Measure and test analysis of force majeure, hardship, termination, liability and continuity clauses in critical contracts, run tabletop or operational stress tests, integrate it with dependent processes and update crisis playbooks.</t>
  </si>
  <si>
    <t>Sustain maturity for analysis of force majeure, hardship, termination, liability and continuity clauses in critical contracts: keep evidence current, monitor drift, benchmark externally and refresh risk tests after organizational, system or market changes.</t>
  </si>
  <si>
    <t>Immature capability for customer SLA obligations, penalties, notification timelines and service credits during disruption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</si>
  <si>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customer SLA obligations, penalties, notification timelines and service credits during disruption.</t>
  </si>
  <si>
    <t>Severe risk: customer SLA obligations, penalties, notification timelines and service credits during disruption is not reliably controlled. During Regulatory/legal shock; Contractual exposure; Data breach, the organization may face contractual disputes, compliance breaches, regulatory penalties and delayed legal response with limited visibility or accountability.</t>
  </si>
  <si>
    <t>High risk: customer SLA obligations, penalties, notification timelines and service credits during disruption depends on informal practices or individual knowledge. Disruption may expose contractual disputes, compliance breaches, regulatory penalties and delayed legal response and slow recovery.</t>
  </si>
  <si>
    <t>Elevated risk: customer SLA obligations, penalties, notification timelines and service credits during disruption is partially controlled, but coverage, evidence or testing is inconsistent. Crisis response may be fragmented.</t>
  </si>
  <si>
    <t>Moderate risk: customer SLA obligations, penalties, notification timelines and service credits during disruption is documented and owned, but measurement, stress testing and integration with dependent processes need strengthening.</t>
  </si>
  <si>
    <t>Residual risk: customer SLA obligations, penalties, notification timelines and service credits during disruption is measured and reviewed, but monitoring, automation or scenario testing should be improved to prevent maturity drift.</t>
  </si>
  <si>
    <t>Low residual risk: customer SLA obligations, penalties, notification timelines and service credits during disruption is mature and crisis-tested. Maintain monitoring, evidence, ownership and periodic stress testing.</t>
  </si>
  <si>
    <t>Create an immediate risk owner, minimum control baseline and fallback procedure for customer SLA obligations, penalties, notification timelines and service credits during disruption. Add it to the crisis risk register and collect first evidence.</t>
  </si>
  <si>
    <t>Document customer SLA obligations, penalties, notification timelines and service credits during disruption, assign RACI, define minimum controls and KPIs, and validate coverage across key sites, teams or systems.</t>
  </si>
  <si>
    <t>Standardize customer SLA obligations, penalties, notification timelines and service credits during disruption, close coverage gaps, train accountable roles and connect controls to the relevant crisis scenarios and continuity plans.</t>
  </si>
  <si>
    <t>Measure and test customer SLA obligations, penalties, notification timelines and service credits during disruption, run tabletop or operational stress tests, integrate it with dependent processes and update crisis playbooks.</t>
  </si>
  <si>
    <t>Sustain maturity for customer SLA obligations, penalties, notification timelines and service credits during disruption: keep evidence current, monitor drift, benchmark externally and refresh risk tests after organizational, system or market changes.</t>
  </si>
  <si>
    <t>Immature capability for supplier continuity, security, audit, subcontractor and incident notification clauses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</si>
  <si>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supplier continuity, security, audit, subcontractor and incident notification clauses.</t>
  </si>
  <si>
    <t>Severe risk: supplier continuity, security, audit, subcontractor and incident notification clauses is not reliably controlled. During Regulatory/legal shock; Contractual exposure; Data breach, the organization may face contractual disputes, compliance breaches, regulatory penalties and delayed legal response with limited visibility or accountability.</t>
  </si>
  <si>
    <t>High risk: supplier continuity, security, audit, subcontractor and incident notification clauses depends on informal practices or individual knowledge. Disruption may expose contractual disputes, compliance breaches, regulatory penalties and delayed legal response and slow recovery.</t>
  </si>
  <si>
    <t>Elevated risk: supplier continuity, security, audit, subcontractor and incident notification clauses is partially controlled, but coverage, evidence or testing is inconsistent. Crisis response may be fragmented.</t>
  </si>
  <si>
    <t>Moderate risk: supplier continuity, security, audit, subcontractor and incident notification clauses is documented and owned, but measurement, stress testing and integration with dependent processes need strengthening.</t>
  </si>
  <si>
    <t>Residual risk: supplier continuity, security, audit, subcontractor and incident notification clauses is measured and reviewed, but monitoring, automation or scenario testing should be improved to prevent maturity drift.</t>
  </si>
  <si>
    <t>Low residual risk: supplier continuity, security, audit, subcontractor and incident notification clauses is mature and crisis-tested. Maintain monitoring, evidence, ownership and periodic stress testing.</t>
  </si>
  <si>
    <t>Create an immediate risk owner, minimum control baseline and fallback procedure for supplier continuity, security, audit, subcontractor and incident notification clauses. Add it to the crisis risk register and collect first evidence.</t>
  </si>
  <si>
    <t>Document supplier continuity, security, audit, subcontractor and incident notification clauses, assign RACI, define minimum controls and KPIs, and validate coverage across key sites, teams or systems.</t>
  </si>
  <si>
    <t>Standardize supplier continuity, security, audit, subcontractor and incident notification clauses, close coverage gaps, train accountable roles and connect controls to the relevant crisis scenarios and continuity plans.</t>
  </si>
  <si>
    <t>Measure and test supplier continuity, security, audit, subcontractor and incident notification clauses, run tabletop or operational stress tests, integrate it with dependent processes and update crisis playbooks.</t>
  </si>
  <si>
    <t>Sustain maturity for supplier continuity, security, audit, subcontractor and incident notification clauses: keep evidence current, monitor drift, benchmark externally and refresh risk tests after organizational, system or market changes.</t>
  </si>
  <si>
    <t>Immature capability for signatory continuity with powers of attorney, board approvals and emergency delegation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</si>
  <si>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signatory continuity with powers of attorney, board approvals and emergency delegation.</t>
  </si>
  <si>
    <t>Severe risk: signatory continuity with powers of attorney, board approvals and emergency delegation is not reliably controlled. During Regulatory/legal shock; Contractual exposure; Data breach, the organization may face contractual disputes, compliance breaches, regulatory penalties and delayed legal response with limited visibility or accountability.</t>
  </si>
  <si>
    <t>High risk: signatory continuity with powers of attorney, board approvals and emergency delegation depends on informal practices or individual knowledge. Disruption may expose contractual disputes, compliance breaches, regulatory penalties and delayed legal response and slow recovery.</t>
  </si>
  <si>
    <t>Elevated risk: signatory continuity with powers of attorney, board approvals and emergency delegation is partially controlled, but coverage, evidence or testing is inconsistent. Crisis response may be fragmented.</t>
  </si>
  <si>
    <t>Moderate risk: signatory continuity with powers of attorney, board approvals and emergency delegation is documented and owned, but measurement, stress testing and integration with dependent processes need strengthening.</t>
  </si>
  <si>
    <t>Residual risk: signatory continuity with powers of attorney, board approvals and emergency delegation is measured and reviewed, but monitoring, automation or scenario testing should be improved to prevent maturity drift.</t>
  </si>
  <si>
    <t>Low residual risk: signatory continuity with powers of attorney, board approvals and emergency delegation is mature and crisis-tested. Maintain monitoring, evidence, ownership and periodic stress testing.</t>
  </si>
  <si>
    <t>Create an immediate risk owner, minimum control baseline and fallback procedure for signatory continuity with powers of attorney, board approvals and emergency delegation. Add it to the crisis risk register and collect first evidence.</t>
  </si>
  <si>
    <t>Document signatory continuity with powers of attorney, board approvals and emergency delegation, assign RACI, define minimum controls and KPIs, and validate coverage across key sites, teams or systems.</t>
  </si>
  <si>
    <t>Standardize signatory continuity with powers of attorney, board approvals and emergency delegation, close coverage gaps, train accountable roles and connect controls to the relevant crisis scenarios and continuity plans.</t>
  </si>
  <si>
    <t>Measure and test signatory continuity with powers of attorney, board approvals and emergency delegation, run tabletop or operational stress tests, integrate it with dependent processes and update crisis playbooks.</t>
  </si>
  <si>
    <t>Sustain maturity for signatory continuity with powers of attorney, board approvals and emergency delegation: keep evidence current, monitor drift, benchmark externally and refresh risk tests after organizational, system or market changes.</t>
  </si>
  <si>
    <t>Immature capability for insurance claims process linked to incident evidence collection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</si>
  <si>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insurance claims process linked to incident evidence collection.</t>
  </si>
  <si>
    <t>Severe risk: insurance claims process linked to incident evidence collection is not reliably controlled. During Regulatory/legal shock; Contractual exposure; Data breach, the organization may face contractual disputes, compliance breaches, regulatory penalties and delayed legal response with limited visibility or accountability.</t>
  </si>
  <si>
    <t>High risk: insurance claims process linked to incident evidence collection depends on informal practices or individual knowledge. Disruption may expose contractual disputes, compliance breaches, regulatory penalties and delayed legal response and slow recovery.</t>
  </si>
  <si>
    <t>Elevated risk: insurance claims process linked to incident evidence collection is partially controlled, but coverage, evidence or testing is inconsistent. Crisis response may be fragmented.</t>
  </si>
  <si>
    <t>Moderate risk: insurance claims process linked to incident evidence collection is documented and owned, but measurement, stress testing and integration with dependent processes need strengthening.</t>
  </si>
  <si>
    <t>Residual risk: insurance claims process linked to incident evidence collection is measured and reviewed, but monitoring, automation or scenario testing should be improved to prevent maturity drift.</t>
  </si>
  <si>
    <t>Low residual risk: insurance claims process linked to incident evidence collection is mature and crisis-tested. Maintain monitoring, evidence, ownership and periodic stress testing.</t>
  </si>
  <si>
    <t>Create an immediate risk owner, minimum control baseline and fallback procedure for insurance claims process linked to incident evidence collection. Add it to the crisis risk register and collect first evidence.</t>
  </si>
  <si>
    <t>Document insurance claims process linked to incident evidence collection, assign RACI, define minimum controls and KPIs, and validate coverage across key sites, teams or systems.</t>
  </si>
  <si>
    <t>Standardize insurance claims process linked to incident evidence collection, close coverage gaps, train accountable roles and connect controls to the relevant crisis scenarios and continuity plans.</t>
  </si>
  <si>
    <t>Measure and test insurance claims process linked to incident evidence collection, run tabletop or operational stress tests, integrate it with dependent processes and update crisis playbooks.</t>
  </si>
  <si>
    <t>Sustain maturity for insurance claims process linked to incident evidence collection: keep evidence current, monitor drift, benchmark externally and refresh risk tests after organizational, system or market changes.</t>
  </si>
  <si>
    <t>Immature capability for personal data processing map by system, purpose, location, processor and transfer mechanism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</si>
  <si>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personal data processing map by system, purpose, location, processor and transfer mechanism.</t>
  </si>
  <si>
    <t>Severe risk: personal data processing map by system, purpose, location, processor and transfer mechanism is not reliably controlled. During Regulatory/legal shock; Contractual exposure; Data breach, the organization may face contractual disputes, compliance breaches, regulatory penalties and delayed legal response with limited visibility or accountability.</t>
  </si>
  <si>
    <t>High risk: personal data processing map by system, purpose, location, processor and transfer mechanism depends on informal practices or individual knowledge. Disruption may expose contractual disputes, compliance breaches, regulatory penalties and delayed legal response and slow recovery.</t>
  </si>
  <si>
    <t>Elevated risk: personal data processing map by system, purpose, location, processor and transfer mechanism is partially controlled, but coverage, evidence or testing is inconsistent. Crisis response may be fragmented.</t>
  </si>
  <si>
    <t>Moderate risk: personal data processing map by system, purpose, location, processor and transfer mechanism is documented and owned, but measurement, stress testing and integration with dependent processes need strengthening.</t>
  </si>
  <si>
    <t>Residual risk: personal data processing map by system, purpose, location, processor and transfer mechanism is measured and reviewed, but monitoring, automation or scenario testing should be improved to prevent maturity drift.</t>
  </si>
  <si>
    <t>Low residual risk: personal data processing map by system, purpose, location, processor and transfer mechanism is mature and crisis-tested. Maintain monitoring, evidence, ownership and periodic stress testing.</t>
  </si>
  <si>
    <t>Create an immediate risk owner, minimum control baseline and fallback procedure for personal data processing map by system, purpose, location, processor and transfer mechanism. Add it to the crisis risk register and collect first evidence.</t>
  </si>
  <si>
    <t>Document personal data processing map by system, purpose, location, processor and transfer mechanism, assign RACI, define minimum controls and KPIs, and validate coverage across key sites, teams or systems.</t>
  </si>
  <si>
    <t>Standardize personal data processing map by system, purpose, location, processor and transfer mechanism, close coverage gaps, train accountable roles and connect controls to the relevant crisis scenarios and continuity plans.</t>
  </si>
  <si>
    <t>Measure and test personal data processing map by system, purpose, location, processor and transfer mechanism, run tabletop or operational stress tests, integrate it with dependent processes and update crisis playbooks.</t>
  </si>
  <si>
    <t>Sustain maturity for personal data processing map by system, purpose, location, processor and transfer mechanism: keep evidence current, monitor drift, benchmark externally and refresh risk tests after organizational, system or market changes.</t>
  </si>
  <si>
    <t>Immature capability for breach notification readiness for personal data and customer contractual obligations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</si>
  <si>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breach notification readiness for personal data and customer contractual obligations.</t>
  </si>
  <si>
    <t>Severe risk: breach notification readiness for personal data and customer contractual obligations is not reliably controlled. During Regulatory/legal shock; Contractual exposure; Data breach, the organization may face contractual disputes, compliance breaches, regulatory penalties and delayed legal response with limited visibility or accountability.</t>
  </si>
  <si>
    <t>High risk: breach notification readiness for personal data and customer contractual obligations depends on informal practices or individual knowledge. Disruption may expose contractual disputes, compliance breaches, regulatory penalties and delayed legal response and slow recovery.</t>
  </si>
  <si>
    <t>Elevated risk: breach notification readiness for personal data and customer contractual obligations is partially controlled, but coverage, evidence or testing is inconsistent. Crisis response may be fragmented.</t>
  </si>
  <si>
    <t>Moderate risk: breach notification readiness for personal data and customer contractual obligations is documented and owned, but measurement, stress testing and integration with dependent processes need strengthening.</t>
  </si>
  <si>
    <t>Residual risk: breach notification readiness for personal data and customer contractual obligations is measured and reviewed, but monitoring, automation or scenario testing should be improved to prevent maturity drift.</t>
  </si>
  <si>
    <t>Low residual risk: breach notification readiness for personal data and customer contractual obligations is mature and crisis-tested. Maintain monitoring, evidence, ownership and periodic stress testing.</t>
  </si>
  <si>
    <t>Create an immediate risk owner, minimum control baseline and fallback procedure for breach notification readiness for personal data and customer contractual obligations. Add it to the crisis risk register and collect first evidence.</t>
  </si>
  <si>
    <t>Document breach notification readiness for personal data and customer contractual obligations, assign RACI, define minimum controls and KPIs, and validate coverage across key sites, teams or systems.</t>
  </si>
  <si>
    <t>Standardize breach notification readiness for personal data and customer contractual obligations, close coverage gaps, train accountable roles and connect controls to the relevant crisis scenarios and continuity plans.</t>
  </si>
  <si>
    <t>Measure and test breach notification readiness for personal data and customer contractual obligations, run tabletop or operational stress tests, integrate it with dependent processes and update crisis playbooks.</t>
  </si>
  <si>
    <t>Sustain maturity for breach notification readiness for personal data and customer contractual obligations: keep evidence current, monitor drift, benchmark externally and refresh risk tests after organizational, system or market changes.</t>
  </si>
  <si>
    <t>Immature capability for data processing agreements with vendors covering security, incident response, sub-processors and continuity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</si>
  <si>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data processing agreements with vendors covering security, incident response, sub-processors and continuity.</t>
  </si>
  <si>
    <t>Severe risk: data processing agreements with vendors covering security, incident response, sub-processors and continuity is not reliably controlled. During Regulatory/legal shock; Contractual exposure; Data breach, the organization may face contractual disputes, compliance breaches, regulatory penalties and delayed legal response with limited visibility or accountability.</t>
  </si>
  <si>
    <t>High risk: data processing agreements with vendors covering security, incident response, sub-processors and continuity depends on informal practices or individual knowledge. Disruption may expose contractual disputes, compliance breaches, regulatory penalties and delayed legal response and slow recovery.</t>
  </si>
  <si>
    <t>Elevated risk: data processing agreements with vendors covering security, incident response, sub-processors and continuity is partially controlled, but coverage, evidence or testing is inconsistent. Crisis response may be fragmented.</t>
  </si>
  <si>
    <t>Moderate risk: data processing agreements with vendors covering security, incident response, sub-processors and continuity is documented and owned, but measurement, stress testing and integration with dependent processes need strengthening.</t>
  </si>
  <si>
    <t>Residual risk: data processing agreements with vendors covering security, incident response, sub-processors and continuity is measured and reviewed, but monitoring, automation or scenario testing should be improved to prevent maturity drift.</t>
  </si>
  <si>
    <t>Low residual risk: data processing agreements with vendors covering security, incident response, sub-processors and continuity is mature and crisis-tested. Maintain monitoring, evidence, ownership and periodic stress testing.</t>
  </si>
  <si>
    <t>Create an immediate risk owner, minimum control baseline and fallback procedure for data processing agreements with vendors covering security, incident response, sub-processors and continuity. Add it to the crisis risk register and collect first evidence.</t>
  </si>
  <si>
    <t>Document data processing agreements with vendors covering security, incident response, sub-processors and continuity, assign RACI, define minimum controls and KPIs, and validate coverage across key sites, teams or systems.</t>
  </si>
  <si>
    <t>Standardize data processing agreements with vendors covering security, incident response, sub-processors and continuity, close coverage gaps, train accountable roles and connect controls to the relevant crisis scenarios and continuity plans.</t>
  </si>
  <si>
    <t>Measure and test data processing agreements with vendors covering security, incident response, sub-processors and continuity, run tabletop or operational stress tests, integrate it with dependent processes and update crisis playbooks.</t>
  </si>
  <si>
    <t>Sustain maturity for data processing agreements with vendors covering security, incident response, sub-processors and continuity: keep evidence current, monitor drift, benchmark externally and refresh risk tests after organizational, system or market changes.</t>
  </si>
  <si>
    <t>Immature capability for intellectual property ownership for employees, contractors, suppliers, software, designs, data and AI models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</si>
  <si>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intellectual property ownership for employees, contractors, suppliers, software, designs, data and AI models.</t>
  </si>
  <si>
    <t>Severe risk: intellectual property ownership for employees, contractors, suppliers, software, designs, data and AI models is not reliably controlled. During Regulatory/legal shock; Contractual exposure; Data breach, the organization may face contractual disputes, compliance breaches, regulatory penalties and delayed legal response with limited visibility or accountability.</t>
  </si>
  <si>
    <t>High risk: intellectual property ownership for employees, contractors, suppliers, software, designs, data and AI models depends on informal practices or individual knowledge. Disruption may expose contractual disputes, compliance breaches, regulatory penalties and delayed legal response and slow recovery.</t>
  </si>
  <si>
    <t>Elevated risk: intellectual property ownership for employees, contractors, suppliers, software, designs, data and AI models is partially controlled, but coverage, evidence or testing is inconsistent. Crisis response may be fragmented.</t>
  </si>
  <si>
    <t>Moderate risk: intellectual property ownership for employees, contractors, suppliers, software, designs, data and AI models is documented and owned, but measurement, stress testing and integration with dependent processes need strengthening.</t>
  </si>
  <si>
    <t>Residual risk: intellectual property ownership for employees, contractors, suppliers, software, designs, data and AI models is measured and reviewed, but monitoring, automation or scenario testing should be improved to prevent maturity drift.</t>
  </si>
  <si>
    <t>Low residual risk: intellectual property ownership for employees, contractors, suppliers, software, designs, data and AI models is mature and crisis-tested. Maintain monitoring, evidence, ownership and periodic stress testing.</t>
  </si>
  <si>
    <t>Create an immediate risk owner, minimum control baseline and fallback procedure for intellectual property ownership for employees, contractors, suppliers, software, designs, data and AI models. Add it to the crisis risk register and collect first evidence.</t>
  </si>
  <si>
    <t>Document intellectual property ownership for employees, contractors, suppliers, software, designs, data and AI models, assign RACI, define minimum controls and KPIs, and validate coverage across key sites, teams or systems.</t>
  </si>
  <si>
    <t>Standardize intellectual property ownership for employees, contractors, suppliers, software, designs, data and AI models, close coverage gaps, train accountable roles and connect controls to the relevant crisis scenarios and continuity plans.</t>
  </si>
  <si>
    <t>Measure and test intellectual property ownership for employees, contractors, suppliers, software, designs, data and AI models, run tabletop or operational stress tests, integrate it with dependent processes and update crisis playbooks.</t>
  </si>
  <si>
    <t>Sustain maturity for intellectual property ownership for employees, contractors, suppliers, software, designs, data and AI models: keep evidence current, monitor drift, benchmark externally and refresh risk tests after organizational, system or market changes.</t>
  </si>
  <si>
    <t>Immature capability for software license and open-source compliance for critical systems and products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</si>
  <si>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software license and open-source compliance for critical systems and products.</t>
  </si>
  <si>
    <t>Severe risk: software license and open-source compliance for critical systems and products is not reliably controlled. During Regulatory/legal shock; Contractual exposure; Data breach, the organization may face contractual disputes, compliance breaches, regulatory penalties and delayed legal response with limited visibility or accountability.</t>
  </si>
  <si>
    <t>High risk: software license and open-source compliance for critical systems and products depends on informal practices or individual knowledge. Disruption may expose contractual disputes, compliance breaches, regulatory penalties and delayed legal response and slow recovery.</t>
  </si>
  <si>
    <t>Elevated risk: software license and open-source compliance for critical systems and products is partially controlled, but coverage, evidence or testing is inconsistent. Crisis response may be fragmented.</t>
  </si>
  <si>
    <t>Moderate risk: software license and open-source compliance for critical systems and products is documented and owned, but measurement, stress testing and integration with dependent processes need strengthening.</t>
  </si>
  <si>
    <t>Residual risk: software license and open-source compliance for critical systems and products is measured and reviewed, but monitoring, automation or scenario testing should be improved to prevent maturity drift.</t>
  </si>
  <si>
    <t>Low residual risk: software license and open-source compliance for critical systems and products is mature and crisis-tested. Maintain monitoring, evidence, ownership and periodic stress testing.</t>
  </si>
  <si>
    <t>Create an immediate risk owner, minimum control baseline and fallback procedure for software license and open-source compliance for critical systems and products. Add it to the crisis risk register and collect first evidence.</t>
  </si>
  <si>
    <t>Document software license and open-source compliance for critical systems and products, assign RACI, define minimum controls and KPIs, and validate coverage across key sites, teams or systems.</t>
  </si>
  <si>
    <t>Standardize software license and open-source compliance for critical systems and products, close coverage gaps, train accountable roles and connect controls to the relevant crisis scenarios and continuity plans.</t>
  </si>
  <si>
    <t>Measure and test software license and open-source compliance for critical systems and products, run tabletop or operational stress tests, integrate it with dependent processes and update crisis playbooks.</t>
  </si>
  <si>
    <t>Sustain maturity for software license and open-source compliance for critical systems and products: keep evidence current, monitor drift, benchmark externally and refresh risk tests after organizational, system or market changes.</t>
  </si>
  <si>
    <t>Immature capability for records retention rules for legal, finance, HR, contracts, safety, customer and technical records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</si>
  <si>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records retention rules for legal, finance, HR, contracts, safety, customer and technical records.</t>
  </si>
  <si>
    <t>Severe risk: records retention rules for legal, finance, HR, contracts, safety, customer and technical records is not reliably controlled. During Regulatory/legal shock; Contractual exposure; Data breach, the organization may face contractual disputes, compliance breaches, regulatory penalties and delayed legal response with limited visibility or accountability.</t>
  </si>
  <si>
    <t>High risk: records retention rules for legal, finance, HR, contracts, safety, customer and technical records depends on informal practices or individual knowledge. Disruption may expose contractual disputes, compliance breaches, regulatory penalties and delayed legal response and slow recovery.</t>
  </si>
  <si>
    <t>Elevated risk: records retention rules for legal, finance, HR, contracts, safety, customer and technical records is partially controlled, but coverage, evidence or testing is inconsistent. Crisis response may be fragmented.</t>
  </si>
  <si>
    <t>Moderate risk: records retention rules for legal, finance, HR, contracts, safety, customer and technical records is documented and owned, but measurement, stress testing and integration with dependent processes need strengthening.</t>
  </si>
  <si>
    <t>Residual risk: records retention rules for legal, finance, HR, contracts, safety, customer and technical records is measured and reviewed, but monitoring, automation or scenario testing should be improved to prevent maturity drift.</t>
  </si>
  <si>
    <t>Low residual risk: records retention rules for legal, finance, HR, contracts, safety, customer and technical records is mature and crisis-tested. Maintain monitoring, evidence, ownership and periodic stress testing.</t>
  </si>
  <si>
    <t>Create an immediate risk owner, minimum control baseline and fallback procedure for records retention rules for legal, finance, HR, contracts, safety, customer and technical records. Add it to the crisis risk register and collect first evidence.</t>
  </si>
  <si>
    <t>Document records retention rules for legal, finance, HR, contracts, safety, customer and technical records, assign RACI, define minimum controls and KPIs, and validate coverage across key sites, teams or systems.</t>
  </si>
  <si>
    <t>Standardize records retention rules for legal, finance, HR, contracts, safety, customer and technical records, close coverage gaps, train accountable roles and connect controls to the relevant crisis scenarios and continuity plans.</t>
  </si>
  <si>
    <t>Measure and test records retention rules for legal, finance, HR, contracts, safety, customer and technical records, run tabletop or operational stress tests, integrate it with dependent processes and update crisis playbooks.</t>
  </si>
  <si>
    <t>Sustain maturity for records retention rules for legal, finance, HR, contracts, safety, customer and technical records: keep evidence current, monitor drift, benchmark externally and refresh risk tests after organizational, system or market changes.</t>
  </si>
  <si>
    <t>Immature capability for legal options for relocation, evacuation, furlough, flexible work, terminations or hardship support by country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</si>
  <si>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legal options for relocation, evacuation, furlough, flexible work, terminations or hardship support by country.</t>
  </si>
  <si>
    <t>Severe risk: legal options for relocation, evacuation, furlough, flexible work, terminations or hardship support by country is not reliably controlled. During Regulatory/legal shock; Contractual exposure; Data breach, the organization may face contractual disputes, compliance breaches, regulatory penalties and delayed legal response with limited visibility or accountability.</t>
  </si>
  <si>
    <t>High risk: legal options for relocation, evacuation, furlough, flexible work, terminations or hardship support by country depends on informal practices or individual knowledge. Disruption may expose contractual disputes, compliance breaches, regulatory penalties and delayed legal response and slow recovery.</t>
  </si>
  <si>
    <t>Elevated risk: legal options for relocation, evacuation, furlough, flexible work, terminations or hardship support by country is partially controlled, but coverage, evidence or testing is inconsistent. Crisis response may be fragmented.</t>
  </si>
  <si>
    <t>Moderate risk: legal options for relocation, evacuation, furlough, flexible work, terminations or hardship support by country is documented and owned, but measurement, stress testing and integration with dependent processes need strengthening.</t>
  </si>
  <si>
    <t>Residual risk: legal options for relocation, evacuation, furlough, flexible work, terminations or hardship support by country is measured and reviewed, but monitoring, automation or scenario testing should be improved to prevent maturity drift.</t>
  </si>
  <si>
    <t>Low residual risk: legal options for relocation, evacuation, furlough, flexible work, terminations or hardship support by country is mature and crisis-tested. Maintain monitoring, evidence, ownership and periodic stress testing.</t>
  </si>
  <si>
    <t>Create an immediate risk owner, minimum control baseline and fallback procedure for legal options for relocation, evacuation, furlough, flexible work, terminations or hardship support by country. Add it to the crisis risk register and collect first evidence.</t>
  </si>
  <si>
    <t>Document legal options for relocation, evacuation, furlough, flexible work, terminations or hardship support by country, assign RACI, define minimum controls and KPIs, and validate coverage across key sites, teams or systems.</t>
  </si>
  <si>
    <t>Standardize legal options for relocation, evacuation, furlough, flexible work, terminations or hardship support by country, close coverage gaps, train accountable roles and connect controls to the relevant crisis scenarios and continuity plans.</t>
  </si>
  <si>
    <t>Measure and test legal options for relocation, evacuation, furlough, flexible work, terminations or hardship support by country, run tabletop or operational stress tests, integrate it with dependent processes and update crisis playbooks.</t>
  </si>
  <si>
    <t>Sustain maturity for legal options for relocation, evacuation, furlough, flexible work, terminations or hardship support by country: keep evidence current, monitor drift, benchmark externally and refresh risk tests after organizational, system or market changes.</t>
  </si>
  <si>
    <t>Immature capability for labor relations, works council or union obligations during restructuring or crisis measures may lead to contractual disputes, compliance breaches, regulatory penalties and delayed legal response during Regulatory/legal shock; Contractual exposure; Data breach.</t>
  </si>
  <si>
    <t>Low maturity, weak ownership, incomplete evidence, insufficient testing and poor integration with crisis-management routines for labor relations, works council or union obligations during restructuring or crisis measures.</t>
  </si>
  <si>
    <t>Severe risk: labor relations, works council or union obligations during restructuring or crisis measures is not reliably controlled. During Regulatory/legal shock; Contractual exposure; Data breach, the organization may face contractual disputes, compliance breaches, regulatory penalties and delayed legal response with limited visibility or accountability.</t>
  </si>
  <si>
    <t>High risk: labor relations, works council or union obligations during restructuring or crisis measures depends on informal practices or individual knowledge. Disruption may expose contractual disputes, compliance breaches, regulatory penalties and delayed legal response and slow recovery.</t>
  </si>
  <si>
    <t>Elevated risk: labor relations, works council or union obligations during restructuring or crisis measures is partially controlled, but coverage, evidence or testing is inconsistent. Crisis response may be fragmented.</t>
  </si>
  <si>
    <t>Moderate risk: labor relations, works council or union obligations during restructuring or crisis measures is documented and owned, but measurement, stress testing and integration with dependent processes need strengthening.</t>
  </si>
  <si>
    <t>Residual risk: labor relations, works council or union obligations during restructuring or crisis measures is measured and reviewed, but monitoring, automation or scenario testing should be improved to prevent maturity drift.</t>
  </si>
  <si>
    <t>Low residual risk: labor relations, works council or union obligations during restructuring or crisis measures is mature and crisis-tested. Maintain monitoring, evidence, ownership and periodic stress testing.</t>
  </si>
  <si>
    <t>Create an immediate risk owner, minimum control baseline and fallback procedure for labor relations, works council or union obligations during restructuring or crisis measures. Add it to the crisis risk register and collect first evidence.</t>
  </si>
  <si>
    <t>Document labor relations, works council or union obligations during restructuring or crisis measures, assign RACI, define minimum controls and KPIs, and validate coverage across key sites, teams or systems.</t>
  </si>
  <si>
    <t>Standardize labor relations, works council or union obligations during restructuring or crisis measures, close coverage gaps, train accountable roles and connect controls to the relevant crisis scenarios and continuity plans.</t>
  </si>
  <si>
    <t>Measure and test labor relations, works council or union obligations during restructuring or crisis measures, run tabletop or operational stress tests, integrate it with dependent processes and update crisis playbooks.</t>
  </si>
  <si>
    <t>Sustain maturity for labor relations, works council or union obligations during restructuring or crisis measures: keep evidence current, monitor drift, benchmark externally and refresh risk tests after organizational, system or market changes.</t>
  </si>
  <si>
    <t>Immature capability for occupational health and safety management system with owners, objectives, audits and management review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</si>
  <si>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occupational health and safety management system with owners, objectives, audits and management review.</t>
  </si>
  <si>
    <t>Severe risk: occupational health and safety management system with owners, objectives, audits and management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</si>
  <si>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occupational health and safety management system with owners, objectives, audits and management review depends on informal practices or individual knowledge. Disruption may expose injury, unsafe facilities, uncontrolled access, asset loss and failure to protect people during incidents and slow recovery.</t>
  </si>
  <si>
    <t>Elevated risk: occupational health and safety management system with owners, objectives, audits and management review is partially controlled, but coverage, evidence or testing is inconsistent. Crisis response may be fragmented.</t>
  </si>
  <si>
    <t>Moderate risk: occupational health and safety management system with owners, objectives, audits and management review is documented and owned, but measurement, stress testing and integration with dependent processes need strengthening.</t>
  </si>
  <si>
    <t>Residual risk: occupational health and safety management system with owners, objectives, audits and management review is measured and reviewed, but monitoring, automation or scenario testing should be improved to prevent maturity drift.</t>
  </si>
  <si>
    <t>Low residual risk: occupational health and safety management system with owners, objectives, audits and management review is mature and crisis-tested. Maintain monitoring, evidence, ownership and periodic stress testing.</t>
  </si>
  <si>
    <t>Create an immediate risk owner, minimum control baseline and fallback procedure for occupational health and safety management system with owners, objectives, audits and management review. Add it to the crisis risk register and collect first evidence.</t>
  </si>
  <si>
    <t>Document occupational health and safety management system with owners, objectives, audits and management review, assign RACI, define minimum controls and KPIs, and validate coverage across key sites, teams or systems.</t>
  </si>
  <si>
    <t>Standardize occupational health and safety management system with owners, objectives, audits and management review, close coverage gaps, train accountable roles and connect controls to the relevant crisis scenarios and continuity plans.</t>
  </si>
  <si>
    <t>Measure and test occupational health and safety management system with owners, objectives, audits and management review, run tabletop or operational stress tests, integrate it with dependent processes and update crisis playbooks.</t>
  </si>
  <si>
    <t>Sustain maturity for occupational health and safety management system with owners, objectives, audits and management review: keep evidence current, monitor drift, benchmark externally and refresh risk tests after organizational, system or market changes.</t>
  </si>
  <si>
    <t>Immature capability for site risk assessments for fire, structure, utilities, hazardous materials, crime, weather, war/security and access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</si>
  <si>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site risk assessments for fire, structure, utilities, hazardous materials, crime, weather, war/security and access.</t>
  </si>
  <si>
    <t>Severe risk: site risk assessments for fire, structure, utilities, hazardous materials, crime, weather, war/security and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</si>
  <si>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site risk assessments for fire, structure, utilities, hazardous materials, crime, weather, war/security and access depends on informal practices or individual knowledge. Disruption may expose injury, unsafe facilities, uncontrolled access, asset loss and failure to protect people during incidents and slow recovery.</t>
  </si>
  <si>
    <t>Elevated risk: site risk assessments for fire, structure, utilities, hazardous materials, crime, weather, war/security and access is partially controlled, but coverage, evidence or testing is inconsistent. Crisis response may be fragmented.</t>
  </si>
  <si>
    <t>Moderate risk: site risk assessments for fire, structure, utilities, hazardous materials, crime, weather, war/security and access is documented and owned, but measurement, stress testing and integration with dependent processes need strengthening.</t>
  </si>
  <si>
    <t>Residual risk: site risk assessments for fire, structure, utilities, hazardous materials, crime, weather, war/security and access is measured and reviewed, but monitoring, automation or scenario testing should be improved to prevent maturity drift.</t>
  </si>
  <si>
    <t>Low residual risk: site risk assessments for fire, structure, utilities, hazardous materials, crime, weather, war/security and access is mature and crisis-tested. Maintain monitoring, evidence, ownership and periodic stress testing.</t>
  </si>
  <si>
    <t>Create an immediate risk owner, minimum control baseline and fallback procedure for site risk assessments for fire, structure, utilities, hazardous materials, crime, weather, war/security and access. Add it to the crisis risk register and collect first evidence.</t>
  </si>
  <si>
    <t>Document site risk assessments for fire, structure, utilities, hazardous materials, crime, weather, war/security and access, assign RACI, define minimum controls and KPIs, and validate coverage across key sites, teams or systems.</t>
  </si>
  <si>
    <t>Standardize site risk assessments for fire, structure, utilities, hazardous materials, crime, weather, war/security and access, close coverage gaps, train accountable roles and connect controls to the relevant crisis scenarios and continuity plans.</t>
  </si>
  <si>
    <t>Measure and test site risk assessments for fire, structure, utilities, hazardous materials, crime, weather, war/security and access, run tabletop or operational stress tests, integrate it with dependent processes and update crisis playbooks.</t>
  </si>
  <si>
    <t>Sustain maturity for site risk assessments for fire, structure, utilities, hazardous materials, crime, weather, war/security and access: keep evidence current, monitor drift, benchmark externally and refresh risk tests after organizational, system or market changes.</t>
  </si>
  <si>
    <t>Immature capability for job hazard analysis for roles, tasks, production activities and field work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</si>
  <si>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job hazard analysis for roles, tasks, production activities and field work.</t>
  </si>
  <si>
    <t>Severe risk: job hazard analysis for roles, tasks, production activities and field work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</si>
  <si>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job hazard analysis for roles, tasks, production activities and field work depends on informal practices or individual knowledge. Disruption may expose injury, unsafe facilities, uncontrolled access, asset loss and failure to protect people during incidents and slow recovery.</t>
  </si>
  <si>
    <t>Elevated risk: job hazard analysis for roles, tasks, production activities and field work is partially controlled, but coverage, evidence or testing is inconsistent. Crisis response may be fragmented.</t>
  </si>
  <si>
    <t>Moderate risk: job hazard analysis for roles, tasks, production activities and field work is documented and owned, but measurement, stress testing and integration with dependent processes need strengthening.</t>
  </si>
  <si>
    <t>Residual risk: job hazard analysis for roles, tasks, production activities and field work is measured and reviewed, but monitoring, automation or scenario testing should be improved to prevent maturity drift.</t>
  </si>
  <si>
    <t>Low residual risk: job hazard analysis for roles, tasks, production activities and field work is mature and crisis-tested. Maintain monitoring, evidence, ownership and periodic stress testing.</t>
  </si>
  <si>
    <t>Create an immediate risk owner, minimum control baseline and fallback procedure for job hazard analysis for roles, tasks, production activities and field work. Add it to the crisis risk register and collect first evidence.</t>
  </si>
  <si>
    <t>Document job hazard analysis for roles, tasks, production activities and field work, assign RACI, define minimum controls and KPIs, and validate coverage across key sites, teams or systems.</t>
  </si>
  <si>
    <t>Standardize job hazard analysis for roles, tasks, production activities and field work, close coverage gaps, train accountable roles and connect controls to the relevant crisis scenarios and continuity plans.</t>
  </si>
  <si>
    <t>Measure and test job hazard analysis for roles, tasks, production activities and field work, run tabletop or operational stress tests, integrate it with dependent processes and update crisis playbooks.</t>
  </si>
  <si>
    <t>Sustain maturity for job hazard analysis for roles, tasks, production activities and field work: keep evidence current, monitor drift, benchmark externally and refresh risk tests after organizational, system or market changes.</t>
  </si>
  <si>
    <t>Immature capability for contractor and visitor safety induction, permits-to-work, site rules and emergency procedures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</si>
  <si>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contractor and visitor safety induction, permits-to-work, site rules and emergency procedures.</t>
  </si>
  <si>
    <t>Severe risk: contractor and visitor safety induction, permits-to-work, site rules and emergency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</si>
  <si>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contractor and visitor safety induction, permits-to-work, site rules and emergency procedures depends on informal practices or individual knowledge. Disruption may expose injury, unsafe facilities, uncontrolled access, asset loss and failure to protect people during incidents and slow recovery.</t>
  </si>
  <si>
    <t>Elevated risk: contractor and visitor safety induction, permits-to-work, site rules and emergency procedures is partially controlled, but coverage, evidence or testing is inconsistent. Crisis response may be fragmented.</t>
  </si>
  <si>
    <t>Moderate risk: contractor and visitor safety induction, permits-to-work, site rules and emergency procedures is documented and owned, but measurement, stress testing and integration with dependent processes need strengthening.</t>
  </si>
  <si>
    <t>Residual risk: contractor and visitor safety induction, permits-to-work, site rules and emergency procedures is measured and reviewed, but monitoring, automation or scenario testing should be improved to prevent maturity drift.</t>
  </si>
  <si>
    <t>Low residual risk: contractor and visitor safety induction, permits-to-work, site rules and emergency procedures is mature and crisis-tested. Maintain monitoring, evidence, ownership and periodic stress testing.</t>
  </si>
  <si>
    <t>Create an immediate risk owner, minimum control baseline and fallback procedure for contractor and visitor safety induction, permits-to-work, site rules and emergency procedures. Add it to the crisis risk register and collect first evidence.</t>
  </si>
  <si>
    <t>Document contractor and visitor safety induction, permits-to-work, site rules and emergency procedures, assign RACI, define minimum controls and KPIs, and validate coverage across key sites, teams or systems.</t>
  </si>
  <si>
    <t>Standardize contractor and visitor safety induction, permits-to-work, site rules and emergency procedures, close coverage gaps, train accountable roles and connect controls to the relevant crisis scenarios and continuity plans.</t>
  </si>
  <si>
    <t>Measure and test contractor and visitor safety induction, permits-to-work, site rules and emergency procedures, run tabletop or operational stress tests, integrate it with dependent processes and update crisis playbooks.</t>
  </si>
  <si>
    <t>Sustain maturity for contractor and visitor safety induction, permits-to-work, site rules and emergency procedures: keep evidence current, monitor drift, benchmark externally and refresh risk tests after organizational, system or market changes.</t>
  </si>
  <si>
    <t>Immature capability for near-miss and safety incident reporting, investigation and corrective action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</si>
  <si>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near-miss and safety incident reporting, investigation and corrective action.</t>
  </si>
  <si>
    <t>Severe risk: near-miss and safety incident reporting, investigation and corrective action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</si>
  <si>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near-miss and safety incident reporting, investigation and corrective action depends on informal practices or individual knowledge. Disruption may expose injury, unsafe facilities, uncontrolled access, asset loss and failure to protect people during incidents and slow recovery.</t>
  </si>
  <si>
    <t>Elevated risk: near-miss and safety incident reporting, investigation and corrective action is partially controlled, but coverage, evidence or testing is inconsistent. Crisis response may be fragmented.</t>
  </si>
  <si>
    <t>Moderate risk: near-miss and safety incident reporting, investigation and corrective action is documented and owned, but measurement, stress testing and integration with dependent processes need strengthening.</t>
  </si>
  <si>
    <t>Residual risk: near-miss and safety incident reporting, investigation and corrective action is measured and reviewed, but monitoring, automation or scenario testing should be improved to prevent maturity drift.</t>
  </si>
  <si>
    <t>Low residual risk: near-miss and safety incident reporting, investigation and corrective action is mature and crisis-tested. Maintain monitoring, evidence, ownership and periodic stress testing.</t>
  </si>
  <si>
    <t>Create an immediate risk owner, minimum control baseline and fallback procedure for near-miss and safety incident reporting, investigation and corrective action. Add it to the crisis risk register and collect first evidence.</t>
  </si>
  <si>
    <t>Document near-miss and safety incident reporting, investigation and corrective action, assign RACI, define minimum controls and KPIs, and validate coverage across key sites, teams or systems.</t>
  </si>
  <si>
    <t>Standardize near-miss and safety incident reporting, investigation and corrective action, close coverage gaps, train accountable roles and connect controls to the relevant crisis scenarios and continuity plans.</t>
  </si>
  <si>
    <t>Measure and test near-miss and safety incident reporting, investigation and corrective action, run tabletop or operational stress tests, integrate it with dependent processes and update crisis playbooks.</t>
  </si>
  <si>
    <t>Sustain maturity for near-miss and safety incident reporting, investigation and corrective action: keep evidence current, monitor drift, benchmark externally and refresh risk tests after organizational, system or market changes.</t>
  </si>
  <si>
    <t>Immature capability for serious incident escalation to executives, legal, insurers and regulators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</si>
  <si>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serious incident escalation to executives, legal, insurers and regulators.</t>
  </si>
  <si>
    <t>Severe risk: serious incident escalation to executives, legal, insurers and regulators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</si>
  <si>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serious incident escalation to executives, legal, insurers and regulators depends on informal practices or individual knowledge. Disruption may expose injury, unsafe facilities, uncontrolled access, asset loss and failure to protect people during incidents and slow recovery.</t>
  </si>
  <si>
    <t>Elevated risk: serious incident escalation to executives, legal, insurers and regulators is partially controlled, but coverage, evidence or testing is inconsistent. Crisis response may be fragmented.</t>
  </si>
  <si>
    <t>Moderate risk: serious incident escalation to executives, legal, insurers and regulators is documented and owned, but measurement, stress testing and integration with dependent processes need strengthening.</t>
  </si>
  <si>
    <t>Residual risk: serious incident escalation to executives, legal, insurers and regulators is measured and reviewed, but monitoring, automation or scenario testing should be improved to prevent maturity drift.</t>
  </si>
  <si>
    <t>Low residual risk: serious incident escalation to executives, legal, insurers and regulators is mature and crisis-tested. Maintain monitoring, evidence, ownership and periodic stress testing.</t>
  </si>
  <si>
    <t>Create an immediate risk owner, minimum control baseline and fallback procedure for serious incident escalation to executives, legal, insurers and regulators. Add it to the crisis risk register and collect first evidence.</t>
  </si>
  <si>
    <t>Document serious incident escalation to executives, legal, insurers and regulators, assign RACI, define minimum controls and KPIs, and validate coverage across key sites, teams or systems.</t>
  </si>
  <si>
    <t>Standardize serious incident escalation to executives, legal, insurers and regulators, close coverage gaps, train accountable roles and connect controls to the relevant crisis scenarios and continuity plans.</t>
  </si>
  <si>
    <t>Measure and test serious incident escalation to executives, legal, insurers and regulators, run tabletop or operational stress tests, integrate it with dependent processes and update crisis playbooks.</t>
  </si>
  <si>
    <t>Sustain maturity for serious incident escalation to executives, legal, insurers and regulators: keep evidence current, monitor drift, benchmark externally and refresh risk tests after organizational, system or market changes.</t>
  </si>
  <si>
    <t>Immature capability for critical facility register with occupancy, business processes, utilities, safety risks and recovery priority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</si>
  <si>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critical facility register with occupancy, business processes, utilities, safety risks and recovery priority.</t>
  </si>
  <si>
    <t>Severe risk: critical facility register with occupancy, business processes, utilities, safety risks and recovery priority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</si>
  <si>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critical facility register with occupancy, business processes, utilities, safety risks and recovery priority depends on informal practices or individual knowledge. Disruption may expose injury, unsafe facilities, uncontrolled access, asset loss and failure to protect people during incidents and slow recovery.</t>
  </si>
  <si>
    <t>Elevated risk: critical facility register with occupancy, business processes, utilities, safety risks and recovery priority is partially controlled, but coverage, evidence or testing is inconsistent. Crisis response may be fragmented.</t>
  </si>
  <si>
    <t>Moderate risk: critical facility register with occupancy, business processes, utilities, safety risks and recovery priority is documented and owned, but measurement, stress testing and integration with dependent processes need strengthening.</t>
  </si>
  <si>
    <t>Residual risk: critical facility register with occupancy, business processes, utilities, safety risks and recovery priority is measured and reviewed, but monitoring, automation or scenario testing should be improved to prevent maturity drift.</t>
  </si>
  <si>
    <t>Low residual risk: critical facility register with occupancy, business processes, utilities, safety risks and recovery priority is mature and crisis-tested. Maintain monitoring, evidence, ownership and periodic stress testing.</t>
  </si>
  <si>
    <t>Create an immediate risk owner, minimum control baseline and fallback procedure for critical facility register with occupancy, business processes, utilities, safety risks and recovery priority. Add it to the crisis risk register and collect first evidence.</t>
  </si>
  <si>
    <t>Document critical facility register with occupancy, business processes, utilities, safety risks and recovery priority, assign RACI, define minimum controls and KPIs, and validate coverage across key sites, teams or systems.</t>
  </si>
  <si>
    <t>Standardize critical facility register with occupancy, business processes, utilities, safety risks and recovery priority, close coverage gaps, train accountable roles and connect controls to the relevant crisis scenarios and continuity plans.</t>
  </si>
  <si>
    <t>Measure and test critical facility register with occupancy, business processes, utilities, safety risks and recovery priority, run tabletop or operational stress tests, integrate it with dependent processes and update crisis playbooks.</t>
  </si>
  <si>
    <t>Sustain maturity for critical facility register with occupancy, business processes, utilities, safety risks and recovery priority: keep evidence current, monitor drift, benchmark externally and refresh risk tests after organizational, system or market changes.</t>
  </si>
  <si>
    <t>Immature capability for building integrity, fire systems, emergency exits, shelters, alarms, lighting and backup power inspection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</si>
  <si>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building integrity, fire systems, emergency exits, shelters, alarms, lighting and backup power inspection.</t>
  </si>
  <si>
    <t>Severe risk: building integrity, fire systems, emergency exits, shelters, alarms, lighting and backup power inspection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</si>
  <si>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building integrity, fire systems, emergency exits, shelters, alarms, lighting and backup power inspection depends on informal practices or individual knowledge. Disruption may expose injury, unsafe facilities, uncontrolled access, asset loss and failure to protect people during incidents and slow recovery.</t>
  </si>
  <si>
    <t>Elevated risk: building integrity, fire systems, emergency exits, shelters, alarms, lighting and backup power inspection is partially controlled, but coverage, evidence or testing is inconsistent. Crisis response may be fragmented.</t>
  </si>
  <si>
    <t>Moderate risk: building integrity, fire systems, emergency exits, shelters, alarms, lighting and backup power inspection is documented and owned, but measurement, stress testing and integration with dependent processes need strengthening.</t>
  </si>
  <si>
    <t>Residual risk: building integrity, fire systems, emergency exits, shelters, alarms, lighting and backup power inspection is measured and reviewed, but monitoring, automation or scenario testing should be improved to prevent maturity drift.</t>
  </si>
  <si>
    <t>Low residual risk: building integrity, fire systems, emergency exits, shelters, alarms, lighting and backup power inspection is mature and crisis-tested. Maintain monitoring, evidence, ownership and periodic stress testing.</t>
  </si>
  <si>
    <t>Create an immediate risk owner, minimum control baseline and fallback procedure for building integrity, fire systems, emergency exits, shelters, alarms, lighting and backup power inspection. Add it to the crisis risk register and collect first evidence.</t>
  </si>
  <si>
    <t>Document building integrity, fire systems, emergency exits, shelters, alarms, lighting and backup power inspection, assign RACI, define minimum controls and KPIs, and validate coverage across key sites, teams or systems.</t>
  </si>
  <si>
    <t>Standardize building integrity, fire systems, emergency exits, shelters, alarms, lighting and backup power inspection, close coverage gaps, train accountable roles and connect controls to the relevant crisis scenarios and continuity plans.</t>
  </si>
  <si>
    <t>Measure and test building integrity, fire systems, emergency exits, shelters, alarms, lighting and backup power inspection, run tabletop or operational stress tests, integrate it with dependent processes and update crisis playbooks.</t>
  </si>
  <si>
    <t>Sustain maturity for building integrity, fire systems, emergency exits, shelters, alarms, lighting and backup power inspection: keep evidence current, monitor drift, benchmark externally and refresh risk tests after organizational, system or market changes.</t>
  </si>
  <si>
    <t>Immature capability for physical access control linked to HR onboarding, offboarding and periodic access review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</si>
  <si>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physical access control linked to HR onboarding, offboarding and periodic access review.</t>
  </si>
  <si>
    <t>Severe risk: physical access control linked to HR onboarding, offboarding and periodic access review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</si>
  <si>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physical access control linked to HR onboarding, offboarding and periodic access review depends on informal practices or individual knowledge. Disruption may expose injury, unsafe facilities, uncontrolled access, asset loss and failure to protect people during incidents and slow recovery.</t>
  </si>
  <si>
    <t>Elevated risk: physical access control linked to HR onboarding, offboarding and periodic access review is partially controlled, but coverage, evidence or testing is inconsistent. Crisis response may be fragmented.</t>
  </si>
  <si>
    <t>Moderate risk: physical access control linked to HR onboarding, offboarding and periodic access review is documented and owned, but measurement, stress testing and integration with dependent processes need strengthening.</t>
  </si>
  <si>
    <t>Residual risk: physical access control linked to HR onboarding, offboarding and periodic access review is measured and reviewed, but monitoring, automation or scenario testing should be improved to prevent maturity drift.</t>
  </si>
  <si>
    <t>Low residual risk: physical access control linked to HR onboarding, offboarding and periodic access review is mature and crisis-tested. Maintain monitoring, evidence, ownership and periodic stress testing.</t>
  </si>
  <si>
    <t>Create an immediate risk owner, minimum control baseline and fallback procedure for physical access control linked to HR onboarding, offboarding and periodic access review. Add it to the crisis risk register and collect first evidence.</t>
  </si>
  <si>
    <t>Document physical access control linked to HR onboarding, offboarding and periodic access review, assign RACI, define minimum controls and KPIs, and validate coverage across key sites, teams or systems.</t>
  </si>
  <si>
    <t>Standardize physical access control linked to HR onboarding, offboarding and periodic access review, close coverage gaps, train accountable roles and connect controls to the relevant crisis scenarios and continuity plans.</t>
  </si>
  <si>
    <t>Measure and test physical access control linked to HR onboarding, offboarding and periodic access review, run tabletop or operational stress tests, integrate it with dependent processes and update crisis playbooks.</t>
  </si>
  <si>
    <t>Sustain maturity for physical access control linked to HR onboarding, offboarding and periodic access review: keep evidence current, monitor drift, benchmark externally and refresh risk tests after organizational, system or market changes.</t>
  </si>
  <si>
    <t>Immature capability for visitor management covering identity checks, escorting, sensitive areas and evacuation accountability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</si>
  <si>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visitor management covering identity checks, escorting, sensitive areas and evacuation accountability.</t>
  </si>
  <si>
    <t>Severe risk: visitor management covering identity checks, escorting, sensitive areas and evacuation accountability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</si>
  <si>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visitor management covering identity checks, escorting, sensitive areas and evacuation accountability depends on informal practices or individual knowledge. Disruption may expose injury, unsafe facilities, uncontrolled access, asset loss and failure to protect people during incidents and slow recovery.</t>
  </si>
  <si>
    <t>Elevated risk: visitor management covering identity checks, escorting, sensitive areas and evacuation accountability is partially controlled, but coverage, evidence or testing is inconsistent. Crisis response may be fragmented.</t>
  </si>
  <si>
    <t>Moderate risk: visitor management covering identity checks, escorting, sensitive areas and evacuation accountability is documented and owned, but measurement, stress testing and integration with dependent processes need strengthening.</t>
  </si>
  <si>
    <t>Residual risk: visitor management covering identity checks, escorting, sensitive areas and evacuation accountability is measured and reviewed, but monitoring, automation or scenario testing should be improved to prevent maturity drift.</t>
  </si>
  <si>
    <t>Low residual risk: visitor management covering identity checks, escorting, sensitive areas and evacuation accountability is mature and crisis-tested. Maintain monitoring, evidence, ownership and periodic stress testing.</t>
  </si>
  <si>
    <t>Create an immediate risk owner, minimum control baseline and fallback procedure for visitor management covering identity checks, escorting, sensitive areas and evacuation accountability. Add it to the crisis risk register and collect first evidence.</t>
  </si>
  <si>
    <t>Document visitor management covering identity checks, escorting, sensitive areas and evacuation accountability, assign RACI, define minimum controls and KPIs, and validate coverage across key sites, teams or systems.</t>
  </si>
  <si>
    <t>Standardize visitor management covering identity checks, escorting, sensitive areas and evacuation accountability, close coverage gaps, train accountable roles and connect controls to the relevant crisis scenarios and continuity plans.</t>
  </si>
  <si>
    <t>Measure and test visitor management covering identity checks, escorting, sensitive areas and evacuation accountability, run tabletop or operational stress tests, integrate it with dependent processes and update crisis playbooks.</t>
  </si>
  <si>
    <t>Sustain maturity for visitor management covering identity checks, escorting, sensitive areas and evacuation accountability: keep evidence current, monitor drift, benchmark externally and refresh risk tests after organizational, system or market changes.</t>
  </si>
  <si>
    <t>Immature capability for security guarding, CCTV, alarm monitoring and response procedures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</si>
  <si>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security guarding, CCTV, alarm monitoring and response procedures.</t>
  </si>
  <si>
    <t>Severe risk: security guarding, CCTV, alarm monitoring and response procedures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</si>
  <si>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security guarding, CCTV, alarm monitoring and response procedures depends on informal practices or individual knowledge. Disruption may expose injury, unsafe facilities, uncontrolled access, asset loss and failure to protect people during incidents and slow recovery.</t>
  </si>
  <si>
    <t>Elevated risk: security guarding, CCTV, alarm monitoring and response procedures is partially controlled, but coverage, evidence or testing is inconsistent. Crisis response may be fragmented.</t>
  </si>
  <si>
    <t>Moderate risk: security guarding, CCTV, alarm monitoring and response procedures is documented and owned, but measurement, stress testing and integration with dependent processes need strengthening.</t>
  </si>
  <si>
    <t>Residual risk: security guarding, CCTV, alarm monitoring and response procedures is measured and reviewed, but monitoring, automation or scenario testing should be improved to prevent maturity drift.</t>
  </si>
  <si>
    <t>Low residual risk: security guarding, CCTV, alarm monitoring and response procedures is mature and crisis-tested. Maintain monitoring, evidence, ownership and periodic stress testing.</t>
  </si>
  <si>
    <t>Create an immediate risk owner, minimum control baseline and fallback procedure for security guarding, CCTV, alarm monitoring and response procedures. Add it to the crisis risk register and collect first evidence.</t>
  </si>
  <si>
    <t>Document security guarding, CCTV, alarm monitoring and response procedures, assign RACI, define minimum controls and KPIs, and validate coverage across key sites, teams or systems.</t>
  </si>
  <si>
    <t>Standardize security guarding, CCTV, alarm monitoring and response procedures, close coverage gaps, train accountable roles and connect controls to the relevant crisis scenarios and continuity plans.</t>
  </si>
  <si>
    <t>Measure and test security guarding, CCTV, alarm monitoring and response procedures, run tabletop or operational stress tests, integrate it with dependent processes and update crisis playbooks.</t>
  </si>
  <si>
    <t>Sustain maturity for security guarding, CCTV, alarm monitoring and response procedures: keep evidence current, monitor drift, benchmark externally and refresh risk tests after organizational, system or market changes.</t>
  </si>
  <si>
    <t>Immature capability for physical asset protection against theft, sabotage, environmental damage and unauthorized access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</si>
  <si>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physical asset protection against theft, sabotage, environmental damage and unauthorized access.</t>
  </si>
  <si>
    <t>Severe risk: physical asset protection against theft, sabotage, environmental damage and unauthorized access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</si>
  <si>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physical asset protection against theft, sabotage, environmental damage and unauthorized access depends on informal practices or individual knowledge. Disruption may expose injury, unsafe facilities, uncontrolled access, asset loss and failure to protect people during incidents and slow recovery.</t>
  </si>
  <si>
    <t>Elevated risk: physical asset protection against theft, sabotage, environmental damage and unauthorized access is partially controlled, but coverage, evidence or testing is inconsistent. Crisis response may be fragmented.</t>
  </si>
  <si>
    <t>Moderate risk: physical asset protection against theft, sabotage, environmental damage and unauthorized access is documented and owned, but measurement, stress testing and integration with dependent processes need strengthening.</t>
  </si>
  <si>
    <t>Residual risk: physical asset protection against theft, sabotage, environmental damage and unauthorized access is measured and reviewed, but monitoring, automation or scenario testing should be improved to prevent maturity drift.</t>
  </si>
  <si>
    <t>Low residual risk: physical asset protection against theft, sabotage, environmental damage and unauthorized access is mature and crisis-tested. Maintain monitoring, evidence, ownership and periodic stress testing.</t>
  </si>
  <si>
    <t>Create an immediate risk owner, minimum control baseline and fallback procedure for physical asset protection against theft, sabotage, environmental damage and unauthorized access. Add it to the crisis risk register and collect first evidence.</t>
  </si>
  <si>
    <t>Document physical asset protection against theft, sabotage, environmental damage and unauthorized access, assign RACI, define minimum controls and KPIs, and validate coverage across key sites, teams or systems.</t>
  </si>
  <si>
    <t>Standardize physical asset protection against theft, sabotage, environmental damage and unauthorized access, close coverage gaps, train accountable roles and connect controls to the relevant crisis scenarios and continuity plans.</t>
  </si>
  <si>
    <t>Measure and test physical asset protection against theft, sabotage, environmental damage and unauthorized access, run tabletop or operational stress tests, integrate it with dependent processes and update crisis playbooks.</t>
  </si>
  <si>
    <t>Sustain maturity for physical asset protection against theft, sabotage, environmental damage and unauthorized access: keep evidence current, monitor drift, benchmark externally and refresh risk tests after organizational, system or market changes.</t>
  </si>
  <si>
    <t>Immature capability for emergency response plans for fire, medical emergency, violence, bomb threat, shelling, evacuation, shelter-in-place and utility failure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</si>
  <si>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emergency response plans for fire, medical emergency, violence, bomb threat, shelling, evacuation, shelter-in-place and utility failure.</t>
  </si>
  <si>
    <t>Severe risk: emergency response plans for fire, medical emergency, violence, bomb threat, shelling, evacuation, shelter-in-place and utility failure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</si>
  <si>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emergency response plans for fire, medical emergency, violence, bomb threat, shelling, evacuation, shelter-in-place and utility failure depends on informal practices or individual knowledge. Disruption may expose injury, unsafe facilities, uncontrolled access, asset loss and failure to protect people during incidents and slow recovery.</t>
  </si>
  <si>
    <t>Elevated risk: emergency response plans for fire, medical emergency, violence, bomb threat, shelling, evacuation, shelter-in-place and utility failure is partially controlled, but coverage, evidence or testing is inconsistent. Crisis response may be fragmented.</t>
  </si>
  <si>
    <t>Moderate risk: emergency response plans for fire, medical emergency, violence, bomb threat, shelling, evacuation, shelter-in-place and utility failure is documented and owned, but measurement, stress testing and integration with dependent processes need strengthening.</t>
  </si>
  <si>
    <t>Residual risk: emergency response plans for fire, medical emergency, violence, bomb threat, shelling, evacuation, shelter-in-place and utility failure is measured and reviewed, but monitoring, automation or scenario testing should be improved to prevent maturity drift.</t>
  </si>
  <si>
    <t>Low residual risk: emergency response plans for fire, medical emergency, violence, bomb threat, shelling, evacuation, shelter-in-place and utility failure is mature and crisis-tested. Maintain monitoring, evidence, ownership and periodic stress testing.</t>
  </si>
  <si>
    <t>Create an immediate risk owner, minimum control baseline and fallback procedure for emergency response plans for fire, medical emergency, violence, bomb threat, shelling, evacuation, shelter-in-place and utility failure. Add it to the crisis risk register and collect first evidence.</t>
  </si>
  <si>
    <t>Document emergency response plans for fire, medical emergency, violence, bomb threat, shelling, evacuation, shelter-in-place and utility failure, assign RACI, define minimum controls and KPIs, and validate coverage across key sites, teams or systems.</t>
  </si>
  <si>
    <t>Standardize emergency response plans for fire, medical emergency, violence, bomb threat, shelling, evacuation, shelter-in-place and utility failure, close coverage gaps, train accountable roles and connect controls to the relevant crisis scenarios and continuity plans.</t>
  </si>
  <si>
    <t>Measure and test emergency response plans for fire, medical emergency, violence, bomb threat, shelling, evacuation, shelter-in-place and utility failure, run tabletop or operational stress tests, integrate it with dependent processes and update crisis playbooks.</t>
  </si>
  <si>
    <t>Sustain maturity for emergency response plans for fire, medical emergency, violence, bomb threat, shelling, evacuation, shelter-in-place and utility failure: keep evidence current, monitor drift, benchmark externally and refresh risk tests after organizational, system or market changes.</t>
  </si>
  <si>
    <t>Immature capability for evacuation and shelter drills with attendance, outcomes and corrective actions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</si>
  <si>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evacuation and shelter drills with attendance, outcomes and corrective actions.</t>
  </si>
  <si>
    <t>Severe risk: evacuation and shelter drills with attendance, outcomes and corrective actions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</si>
  <si>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evacuation and shelter drills with attendance, outcomes and corrective actions depends on informal practices or individual knowledge. Disruption may expose injury, unsafe facilities, uncontrolled access, asset loss and failure to protect people during incidents and slow recovery.</t>
  </si>
  <si>
    <t>Elevated risk: evacuation and shelter drills with attendance, outcomes and corrective actions is partially controlled, but coverage, evidence or testing is inconsistent. Crisis response may be fragmented.</t>
  </si>
  <si>
    <t>Moderate risk: evacuation and shelter drills with attendance, outcomes and corrective actions is documented and owned, but measurement, stress testing and integration with dependent processes need strengthening.</t>
  </si>
  <si>
    <t>Residual risk: evacuation and shelter drills with attendance, outcomes and corrective actions is measured and reviewed, but monitoring, automation or scenario testing should be improved to prevent maturity drift.</t>
  </si>
  <si>
    <t>Low residual risk: evacuation and shelter drills with attendance, outcomes and corrective actions is mature and crisis-tested. Maintain monitoring, evidence, ownership and periodic stress testing.</t>
  </si>
  <si>
    <t>Create an immediate risk owner, minimum control baseline and fallback procedure for evacuation and shelter drills with attendance, outcomes and corrective actions. Add it to the crisis risk register and collect first evidence.</t>
  </si>
  <si>
    <t>Document evacuation and shelter drills with attendance, outcomes and corrective actions, assign RACI, define minimum controls and KPIs, and validate coverage across key sites, teams or systems.</t>
  </si>
  <si>
    <t>Standardize evacuation and shelter drills with attendance, outcomes and corrective actions, close coverage gaps, train accountable roles and connect controls to the relevant crisis scenarios and continuity plans.</t>
  </si>
  <si>
    <t>Measure and test evacuation and shelter drills with attendance, outcomes and corrective actions, run tabletop or operational stress tests, integrate it with dependent processes and update crisis playbooks.</t>
  </si>
  <si>
    <t>Sustain maturity for evacuation and shelter drills with attendance, outcomes and corrective actions: keep evidence current, monitor drift, benchmark externally and refresh risk tests after organizational, system or market changes.</t>
  </si>
  <si>
    <t>Immature capability for first aid readiness with trained responders, AEDs, medical contacts and first aid supplies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</si>
  <si>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first aid readiness with trained responders, AEDs, medical contacts and first aid supplies.</t>
  </si>
  <si>
    <t>Severe risk: first aid readiness with trained responders, AEDs, medical contacts and first aid supplies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</si>
  <si>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first aid readiness with trained responders, AEDs, medical contacts and first aid supplies depends on informal practices or individual knowledge. Disruption may expose injury, unsafe facilities, uncontrolled access, asset loss and failure to protect people during incidents and slow recovery.</t>
  </si>
  <si>
    <t>Elevated risk: first aid readiness with trained responders, AEDs, medical contacts and first aid supplies is partially controlled, but coverage, evidence or testing is inconsistent. Crisis response may be fragmented.</t>
  </si>
  <si>
    <t>Moderate risk: first aid readiness with trained responders, AEDs, medical contacts and first aid supplies is documented and owned, but measurement, stress testing and integration with dependent processes need strengthening.</t>
  </si>
  <si>
    <t>Residual risk: first aid readiness with trained responders, AEDs, medical contacts and first aid supplies is measured and reviewed, but monitoring, automation or scenario testing should be improved to prevent maturity drift.</t>
  </si>
  <si>
    <t>Low residual risk: first aid readiness with trained responders, AEDs, medical contacts and first aid supplies is mature and crisis-tested. Maintain monitoring, evidence, ownership and periodic stress testing.</t>
  </si>
  <si>
    <t>Create an immediate risk owner, minimum control baseline and fallback procedure for first aid readiness with trained responders, AEDs, medical contacts and first aid supplies. Add it to the crisis risk register and collect first evidence.</t>
  </si>
  <si>
    <t>Document first aid readiness with trained responders, AEDs, medical contacts and first aid supplies, assign RACI, define minimum controls and KPIs, and validate coverage across key sites, teams or systems.</t>
  </si>
  <si>
    <t>Standardize first aid readiness with trained responders, AEDs, medical contacts and first aid supplies, close coverage gaps, train accountable roles and connect controls to the relevant crisis scenarios and continuity plans.</t>
  </si>
  <si>
    <t>Measure and test first aid readiness with trained responders, AEDs, medical contacts and first aid supplies, run tabletop or operational stress tests, integrate it with dependent processes and update crisis playbooks.</t>
  </si>
  <si>
    <t>Sustain maturity for first aid readiness with trained responders, AEDs, medical contacts and first aid supplies: keep evidence current, monitor drift, benchmark externally and refresh risk tests after organizational, system or market changes.</t>
  </si>
  <si>
    <t>Immature capability for mass notification to employees, visitors and contractors during site emergencies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</si>
  <si>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mass notification to employees, visitors and contractors during site emergencies.</t>
  </si>
  <si>
    <t>Severe risk: mass notification to employees, visitors and contractors during site emergencies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</si>
  <si>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mass notification to employees, visitors and contractors during site emergencies depends on informal practices or individual knowledge. Disruption may expose injury, unsafe facilities, uncontrolled access, asset loss and failure to protect people during incidents and slow recovery.</t>
  </si>
  <si>
    <t>Elevated risk: mass notification to employees, visitors and contractors during site emergencies is partially controlled, but coverage, evidence or testing is inconsistent. Crisis response may be fragmented.</t>
  </si>
  <si>
    <t>Moderate risk: mass notification to employees, visitors and contractors during site emergencies is documented and owned, but measurement, stress testing and integration with dependent processes need strengthening.</t>
  </si>
  <si>
    <t>Residual risk: mass notification to employees, visitors and contractors during site emergencies is measured and reviewed, but monitoring, automation or scenario testing should be improved to prevent maturity drift.</t>
  </si>
  <si>
    <t>Low residual risk: mass notification to employees, visitors and contractors during site emergencies is mature and crisis-tested. Maintain monitoring, evidence, ownership and periodic stress testing.</t>
  </si>
  <si>
    <t>Create an immediate risk owner, minimum control baseline and fallback procedure for mass notification to employees, visitors and contractors during site emergencies. Add it to the crisis risk register and collect first evidence.</t>
  </si>
  <si>
    <t>Document mass notification to employees, visitors and contractors during site emergencies, assign RACI, define minimum controls and KPIs, and validate coverage across key sites, teams or systems.</t>
  </si>
  <si>
    <t>Standardize mass notification to employees, visitors and contractors during site emergencies, close coverage gaps, train accountable roles and connect controls to the relevant crisis scenarios and continuity plans.</t>
  </si>
  <si>
    <t>Measure and test mass notification to employees, visitors and contractors during site emergencies, run tabletop or operational stress tests, integrate it with dependent processes and update crisis playbooks.</t>
  </si>
  <si>
    <t>Sustain maturity for mass notification to employees, visitors and contractors during site emergencies: keep evidence current, monitor drift, benchmark externally and refresh risk tests after organizational, system or market changes.</t>
  </si>
  <si>
    <t>Immature capability for employee and visitor accountability after evacuation or sheltering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</si>
  <si>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employee and visitor accountability after evacuation or sheltering.</t>
  </si>
  <si>
    <t>Severe risk: employee and visitor accountability after evacuation or sheltering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</si>
  <si>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employee and visitor accountability after evacuation or sheltering depends on informal practices or individual knowledge. Disruption may expose injury, unsafe facilities, uncontrolled access, asset loss and failure to protect people during incidents and slow recovery.</t>
  </si>
  <si>
    <t>Elevated risk: employee and visitor accountability after evacuation or sheltering is partially controlled, but coverage, evidence or testing is inconsistent. Crisis response may be fragmented.</t>
  </si>
  <si>
    <t>Moderate risk: employee and visitor accountability after evacuation or sheltering is documented and owned, but measurement, stress testing and integration with dependent processes need strengthening.</t>
  </si>
  <si>
    <t>Residual risk: employee and visitor accountability after evacuation or sheltering is measured and reviewed, but monitoring, automation or scenario testing should be improved to prevent maturity drift.</t>
  </si>
  <si>
    <t>Low residual risk: employee and visitor accountability after evacuation or sheltering is mature and crisis-tested. Maintain monitoring, evidence, ownership and periodic stress testing.</t>
  </si>
  <si>
    <t>Create an immediate risk owner, minimum control baseline and fallback procedure for employee and visitor accountability after evacuation or sheltering. Add it to the crisis risk register and collect first evidence.</t>
  </si>
  <si>
    <t>Document employee and visitor accountability after evacuation or sheltering, assign RACI, define minimum controls and KPIs, and validate coverage across key sites, teams or systems.</t>
  </si>
  <si>
    <t>Standardize employee and visitor accountability after evacuation or sheltering, close coverage gaps, train accountable roles and connect controls to the relevant crisis scenarios and continuity plans.</t>
  </si>
  <si>
    <t>Measure and test employee and visitor accountability after evacuation or sheltering, run tabletop or operational stress tests, integrate it with dependent processes and update crisis playbooks.</t>
  </si>
  <si>
    <t>Sustain maturity for employee and visitor accountability after evacuation or sheltering: keep evidence current, monitor drift, benchmark externally and refresh risk tests after organizational, system or market changes.</t>
  </si>
  <si>
    <t>Immature capability for emergency supplies such as water, batteries, power banks, fuel, PPE, radios and flashlights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</si>
  <si>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emergency supplies such as water, batteries, power banks, fuel, PPE, radios and flashlights.</t>
  </si>
  <si>
    <t>Severe risk: emergency supplies such as water, batteries, power banks, fuel, PPE, radios and flashlights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</si>
  <si>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emergency supplies such as water, batteries, power banks, fuel, PPE, radios and flashlights depends on informal practices or individual knowledge. Disruption may expose injury, unsafe facilities, uncontrolled access, asset loss and failure to protect people during incidents and slow recovery.</t>
  </si>
  <si>
    <t>Elevated risk: emergency supplies such as water, batteries, power banks, fuel, PPE, radios and flashlights is partially controlled, but coverage, evidence or testing is inconsistent. Crisis response may be fragmented.</t>
  </si>
  <si>
    <t>Moderate risk: emergency supplies such as water, batteries, power banks, fuel, PPE, radios and flashlights is documented and owned, but measurement, stress testing and integration with dependent processes need strengthening.</t>
  </si>
  <si>
    <t>Residual risk: emergency supplies such as water, batteries, power banks, fuel, PPE, radios and flashlights is measured and reviewed, but monitoring, automation or scenario testing should be improved to prevent maturity drift.</t>
  </si>
  <si>
    <t>Low residual risk: emergency supplies such as water, batteries, power banks, fuel, PPE, radios and flashlights is mature and crisis-tested. Maintain monitoring, evidence, ownership and periodic stress testing.</t>
  </si>
  <si>
    <t>Create an immediate risk owner, minimum control baseline and fallback procedure for emergency supplies such as water, batteries, power banks, fuel, PPE, radios and flashlights. Add it to the crisis risk register and collect first evidence.</t>
  </si>
  <si>
    <t>Document emergency supplies such as water, batteries, power banks, fuel, PPE, radios and flashlights, assign RACI, define minimum controls and KPIs, and validate coverage across key sites, teams or systems.</t>
  </si>
  <si>
    <t>Standardize emergency supplies such as water, batteries, power banks, fuel, PPE, radios and flashlights, close coverage gaps, train accountable roles and connect controls to the relevant crisis scenarios and continuity plans.</t>
  </si>
  <si>
    <t>Measure and test emergency supplies such as water, batteries, power banks, fuel, PPE, radios and flashlights, run tabletop or operational stress tests, integrate it with dependent processes and update crisis playbooks.</t>
  </si>
  <si>
    <t>Sustain maturity for emergency supplies such as water, batteries, power banks, fuel, PPE, radios and flashlights: keep evidence current, monitor drift, benchmark externally and refresh risk tests after organizational, system or market changes.</t>
  </si>
  <si>
    <t>Immature capability for air raid, shelling, curfew, checkpoints, movement restriction and shelter procedures for high-risk geographies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</si>
  <si>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air raid, shelling, curfew, checkpoints, movement restriction and shelter procedures for high-risk geographies.</t>
  </si>
  <si>
    <t>Severe risk: air raid, shelling, curfew, checkpoints, movement restriction and shelter procedures for high-risk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</si>
  <si>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air raid, shelling, curfew, checkpoints, movement restriction and shelter procedures for high-risk geographies depends on informal practices or individual knowledge. Disruption may expose injury, unsafe facilities, uncontrolled access, asset loss and failure to protect people during incidents and slow recovery.</t>
  </si>
  <si>
    <t>Elevated risk: air raid, shelling, curfew, checkpoints, movement restriction and shelter procedures for high-risk geographies is partially controlled, but coverage, evidence or testing is inconsistent. Crisis response may be fragmented.</t>
  </si>
  <si>
    <t>Moderate risk: air raid, shelling, curfew, checkpoints, movement restriction and shelter procedures for high-risk geographies is documented and owned, but measurement, stress testing and integration with dependent processes need strengthening.</t>
  </si>
  <si>
    <t>Residual risk: air raid, shelling, curfew, checkpoints, movement restriction and shelter procedures for high-risk geographies is measured and reviewed, but monitoring, automation or scenario testing should be improved to prevent maturity drift.</t>
  </si>
  <si>
    <t>Low residual risk: air raid, shelling, curfew, checkpoints, movement restriction and shelter procedures for high-risk geographies is mature and crisis-tested. Maintain monitoring, evidence, ownership and periodic stress testing.</t>
  </si>
  <si>
    <t>Create an immediate risk owner, minimum control baseline and fallback procedure for air raid, shelling, curfew, checkpoints, movement restriction and shelter procedures for high-risk geographies. Add it to the crisis risk register and collect first evidence.</t>
  </si>
  <si>
    <t>Document air raid, shelling, curfew, checkpoints, movement restriction and shelter procedures for high-risk geographies, assign RACI, define minimum controls and KPIs, and validate coverage across key sites, teams or systems.</t>
  </si>
  <si>
    <t>Standardize air raid, shelling, curfew, checkpoints, movement restriction and shelter procedures for high-risk geographies, close coverage gaps, train accountable roles and connect controls to the relevant crisis scenarios and continuity plans.</t>
  </si>
  <si>
    <t>Measure and test air raid, shelling, curfew, checkpoints, movement restriction and shelter procedures for high-risk geographies, run tabletop or operational stress tests, integrate it with dependent processes and update crisis playbooks.</t>
  </si>
  <si>
    <t>Sustain maturity for air raid, shelling, curfew, checkpoints, movement restriction and shelter procedures for high-risk geographies: keep evidence current, monitor drift, benchmark externally and refresh risk tests after organizational, system or market changes.</t>
  </si>
  <si>
    <t>Immature capability for relocation and evacuation options for employees and critical teams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</si>
  <si>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relocation and evacuation options for employees and critical teams.</t>
  </si>
  <si>
    <t>Severe risk: relocation and evacuation options for employees and critical teams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</si>
  <si>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relocation and evacuation options for employees and critical teams depends on informal practices or individual knowledge. Disruption may expose injury, unsafe facilities, uncontrolled access, asset loss and failure to protect people during incidents and slow recovery.</t>
  </si>
  <si>
    <t>Elevated risk: relocation and evacuation options for employees and critical teams is partially controlled, but coverage, evidence or testing is inconsistent. Crisis response may be fragmented.</t>
  </si>
  <si>
    <t>Moderate risk: relocation and evacuation options for employees and critical teams is documented and owned, but measurement, stress testing and integration with dependent processes need strengthening.</t>
  </si>
  <si>
    <t>Residual risk: relocation and evacuation options for employees and critical teams is measured and reviewed, but monitoring, automation or scenario testing should be improved to prevent maturity drift.</t>
  </si>
  <si>
    <t>Low residual risk: relocation and evacuation options for employees and critical teams is mature and crisis-tested. Maintain monitoring, evidence, ownership and periodic stress testing.</t>
  </si>
  <si>
    <t>Create an immediate risk owner, minimum control baseline and fallback procedure for relocation and evacuation options for employees and critical teams. Add it to the crisis risk register and collect first evidence.</t>
  </si>
  <si>
    <t>Document relocation and evacuation options for employees and critical teams, assign RACI, define minimum controls and KPIs, and validate coverage across key sites, teams or systems.</t>
  </si>
  <si>
    <t>Standardize relocation and evacuation options for employees and critical teams, close coverage gaps, train accountable roles and connect controls to the relevant crisis scenarios and continuity plans.</t>
  </si>
  <si>
    <t>Measure and test relocation and evacuation options for employees and critical teams, run tabletop or operational stress tests, integrate it with dependent processes and update crisis playbooks.</t>
  </si>
  <si>
    <t>Sustain maturity for relocation and evacuation options for employees and critical teams: keep evidence current, monitor drift, benchmark externally and refresh risk tests after organizational, system or market changes.</t>
  </si>
  <si>
    <t>Immature capability for travel risk assessment by destination, route, purpose, employee profile and emergency support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</si>
  <si>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travel risk assessment by destination, route, purpose, employee profile and emergency support.</t>
  </si>
  <si>
    <t>Severe risk: travel risk assessment by destination, route, purpose, employee profile and emergency support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</si>
  <si>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travel risk assessment by destination, route, purpose, employee profile and emergency support depends on informal practices or individual knowledge. Disruption may expose injury, unsafe facilities, uncontrolled access, asset loss and failure to protect people during incidents and slow recovery.</t>
  </si>
  <si>
    <t>Elevated risk: travel risk assessment by destination, route, purpose, employee profile and emergency support is partially controlled, but coverage, evidence or testing is inconsistent. Crisis response may be fragmented.</t>
  </si>
  <si>
    <t>Moderate risk: travel risk assessment by destination, route, purpose, employee profile and emergency support is documented and owned, but measurement, stress testing and integration with dependent processes need strengthening.</t>
  </si>
  <si>
    <t>Residual risk: travel risk assessment by destination, route, purpose, employee profile and emergency support is measured and reviewed, but monitoring, automation or scenario testing should be improved to prevent maturity drift.</t>
  </si>
  <si>
    <t>Low residual risk: travel risk assessment by destination, route, purpose, employee profile and emergency support is mature and crisis-tested. Maintain monitoring, evidence, ownership and periodic stress testing.</t>
  </si>
  <si>
    <t>Create an immediate risk owner, minimum control baseline and fallback procedure for travel risk assessment by destination, route, purpose, employee profile and emergency support. Add it to the crisis risk register and collect first evidence.</t>
  </si>
  <si>
    <t>Document travel risk assessment by destination, route, purpose, employee profile and emergency support, assign RACI, define minimum controls and KPIs, and validate coverage across key sites, teams or systems.</t>
  </si>
  <si>
    <t>Standardize travel risk assessment by destination, route, purpose, employee profile and emergency support, close coverage gaps, train accountable roles and connect controls to the relevant crisis scenarios and continuity plans.</t>
  </si>
  <si>
    <t>Measure and test travel risk assessment by destination, route, purpose, employee profile and emergency support, run tabletop or operational stress tests, integrate it with dependent processes and update crisis playbooks.</t>
  </si>
  <si>
    <t>Sustain maturity for travel risk assessment by destination, route, purpose, employee profile and emergency support: keep evidence current, monitor drift, benchmark externally and refresh risk tests after organizational, system or market changes.</t>
  </si>
  <si>
    <t>Immature capability for local threat monitoring for critical sites and geographies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</si>
  <si>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local threat monitoring for critical sites and geographies.</t>
  </si>
  <si>
    <t>Severe risk: local threat monitoring for critical sites and geographies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</si>
  <si>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local threat monitoring for critical sites and geographies depends on informal practices or individual knowledge. Disruption may expose injury, unsafe facilities, uncontrolled access, asset loss and failure to protect people during incidents and slow recovery.</t>
  </si>
  <si>
    <t>Elevated risk: local threat monitoring for critical sites and geographies is partially controlled, but coverage, evidence or testing is inconsistent. Crisis response may be fragmented.</t>
  </si>
  <si>
    <t>Moderate risk: local threat monitoring for critical sites and geographies is documented and owned, but measurement, stress testing and integration with dependent processes need strengthening.</t>
  </si>
  <si>
    <t>Residual risk: local threat monitoring for critical sites and geographies is measured and reviewed, but monitoring, automation or scenario testing should be improved to prevent maturity drift.</t>
  </si>
  <si>
    <t>Low residual risk: local threat monitoring for critical sites and geographies is mature and crisis-tested. Maintain monitoring, evidence, ownership and periodic stress testing.</t>
  </si>
  <si>
    <t>Create an immediate risk owner, minimum control baseline and fallback procedure for local threat monitoring for critical sites and geographies. Add it to the crisis risk register and collect first evidence.</t>
  </si>
  <si>
    <t>Document local threat monitoring for critical sites and geographies, assign RACI, define minimum controls and KPIs, and validate coverage across key sites, teams or systems.</t>
  </si>
  <si>
    <t>Standardize local threat monitoring for critical sites and geographies, close coverage gaps, train accountable roles and connect controls to the relevant crisis scenarios and continuity plans.</t>
  </si>
  <si>
    <t>Measure and test local threat monitoring for critical sites and geographies, run tabletop or operational stress tests, integrate it with dependent processes and update crisis playbooks.</t>
  </si>
  <si>
    <t>Sustain maturity for local threat monitoring for critical sites and geographies: keep evidence current, monitor drift, benchmark externally and refresh risk tests after organizational, system or market changes.</t>
  </si>
  <si>
    <t>Immature capability for coordination with fire, police, medical, local administration and utility providers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</si>
  <si>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coordination with fire, police, medical, local administration and utility providers.</t>
  </si>
  <si>
    <t>Severe risk: coordination with fire, police, medical, local administration and utility providers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</si>
  <si>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coordination with fire, police, medical, local administration and utility providers depends on informal practices or individual knowledge. Disruption may expose injury, unsafe facilities, uncontrolled access, asset loss and failure to protect people during incidents and slow recovery.</t>
  </si>
  <si>
    <t>Elevated risk: coordination with fire, police, medical, local administration and utility providers is partially controlled, but coverage, evidence or testing is inconsistent. Crisis response may be fragmented.</t>
  </si>
  <si>
    <t>Moderate risk: coordination with fire, police, medical, local administration and utility providers is documented and owned, but measurement, stress testing and integration with dependent processes need strengthening.</t>
  </si>
  <si>
    <t>Residual risk: coordination with fire, police, medical, local administration and utility providers is measured and reviewed, but monitoring, automation or scenario testing should be improved to prevent maturity drift.</t>
  </si>
  <si>
    <t>Low residual risk: coordination with fire, police, medical, local administration and utility providers is mature and crisis-tested. Maintain monitoring, evidence, ownership and periodic stress testing.</t>
  </si>
  <si>
    <t>Create an immediate risk owner, minimum control baseline and fallback procedure for coordination with fire, police, medical, local administration and utility providers. Add it to the crisis risk register and collect first evidence.</t>
  </si>
  <si>
    <t>Document coordination with fire, police, medical, local administration and utility providers, assign RACI, define minimum controls and KPIs, and validate coverage across key sites, teams or systems.</t>
  </si>
  <si>
    <t>Standardize coordination with fire, police, medical, local administration and utility providers, close coverage gaps, train accountable roles and connect controls to the relevant crisis scenarios and continuity plans.</t>
  </si>
  <si>
    <t>Measure and test coordination with fire, police, medical, local administration and utility providers, run tabletop or operational stress tests, integrate it with dependent processes and update crisis playbooks.</t>
  </si>
  <si>
    <t>Sustain maturity for coordination with fire, police, medical, local administration and utility providers: keep evidence current, monitor drift, benchmark externally and refresh risk tests after organizational, system or market changes.</t>
  </si>
  <si>
    <t>Immature capability for backup power for critical sites with capacity, maintenance, fuel and test records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</si>
  <si>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backup power for critical sites with capacity, maintenance, fuel and test records.</t>
  </si>
  <si>
    <t>Severe risk: backup power for critical sites with capacity, maintenance, fuel and test records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</si>
  <si>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backup power for critical sites with capacity, maintenance, fuel and test records depends on informal practices or individual knowledge. Disruption may expose injury, unsafe facilities, uncontrolled access, asset loss and failure to protect people during incidents and slow recovery.</t>
  </si>
  <si>
    <t>Elevated risk: backup power for critical sites with capacity, maintenance, fuel and test records is partially controlled, but coverage, evidence or testing is inconsistent. Crisis response may be fragmented.</t>
  </si>
  <si>
    <t>Moderate risk: backup power for critical sites with capacity, maintenance, fuel and test records is documented and owned, but measurement, stress testing and integration with dependent processes need strengthening.</t>
  </si>
  <si>
    <t>Residual risk: backup power for critical sites with capacity, maintenance, fuel and test records is measured and reviewed, but monitoring, automation or scenario testing should be improved to prevent maturity drift.</t>
  </si>
  <si>
    <t>Low residual risk: backup power for critical sites with capacity, maintenance, fuel and test records is mature and crisis-tested. Maintain monitoring, evidence, ownership and periodic stress testing.</t>
  </si>
  <si>
    <t>Create an immediate risk owner, minimum control baseline and fallback procedure for backup power for critical sites with capacity, maintenance, fuel and test records. Add it to the crisis risk register and collect first evidence.</t>
  </si>
  <si>
    <t>Document backup power for critical sites with capacity, maintenance, fuel and test records, assign RACI, define minimum controls and KPIs, and validate coverage across key sites, teams or systems.</t>
  </si>
  <si>
    <t>Standardize backup power for critical sites with capacity, maintenance, fuel and test records, close coverage gaps, train accountable roles and connect controls to the relevant crisis scenarios and continuity plans.</t>
  </si>
  <si>
    <t>Measure and test backup power for critical sites with capacity, maintenance, fuel and test records, run tabletop or operational stress tests, integrate it with dependent processes and update crisis playbooks.</t>
  </si>
  <si>
    <t>Sustain maturity for backup power for critical sites with capacity, maintenance, fuel and test records: keep evidence current, monitor drift, benchmark externally and refresh risk tests after organizational, system or market changes.</t>
  </si>
  <si>
    <t>Immature capability for water, sanitation, HVAC and environmental controls in facility continuity plans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</si>
  <si>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water, sanitation, HVAC and environmental controls in facility continuity plans.</t>
  </si>
  <si>
    <t>Severe risk: water, sanitation, HVAC and environmental controls in facility continuity plans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</si>
  <si>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water, sanitation, HVAC and environmental controls in facility continuity plans depends on informal practices or individual knowledge. Disruption may expose injury, unsafe facilities, uncontrolled access, asset loss and failure to protect people during incidents and slow recovery.</t>
  </si>
  <si>
    <t>Elevated risk: water, sanitation, HVAC and environmental controls in facility continuity plans is partially controlled, but coverage, evidence or testing is inconsistent. Crisis response may be fragmented.</t>
  </si>
  <si>
    <t>Moderate risk: water, sanitation, HVAC and environmental controls in facility continuity plans is documented and owned, but measurement, stress testing and integration with dependent processes need strengthening.</t>
  </si>
  <si>
    <t>Residual risk: water, sanitation, HVAC and environmental controls in facility continuity plans is measured and reviewed, but monitoring, automation or scenario testing should be improved to prevent maturity drift.</t>
  </si>
  <si>
    <t>Low residual risk: water, sanitation, HVAC and environmental controls in facility continuity plans is mature and crisis-tested. Maintain monitoring, evidence, ownership and periodic stress testing.</t>
  </si>
  <si>
    <t>Create an immediate risk owner, minimum control baseline and fallback procedure for water, sanitation, HVAC and environmental controls in facility continuity plans. Add it to the crisis risk register and collect first evidence.</t>
  </si>
  <si>
    <t>Document water, sanitation, HVAC and environmental controls in facility continuity plans, assign RACI, define minimum controls and KPIs, and validate coverage across key sites, teams or systems.</t>
  </si>
  <si>
    <t>Standardize water, sanitation, HVAC and environmental controls in facility continuity plans, close coverage gaps, train accountable roles and connect controls to the relevant crisis scenarios and continuity plans.</t>
  </si>
  <si>
    <t>Measure and test water, sanitation, HVAC and environmental controls in facility continuity plans, run tabletop or operational stress tests, integrate it with dependent processes and update crisis playbooks.</t>
  </si>
  <si>
    <t>Sustain maturity for water, sanitation, HVAC and environmental controls in facility continuity plans: keep evidence current, monitor drift, benchmark externally and refresh risk tests after organizational, system or market changes.</t>
  </si>
  <si>
    <t>Immature capability for backup internet and telecom connectivity at critical sites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</si>
  <si>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backup internet and telecom connectivity at critical sites.</t>
  </si>
  <si>
    <t>Severe risk: backup internet and telecom connectivity at critical sites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</si>
  <si>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backup internet and telecom connectivity at critical sites depends on informal practices or individual knowledge. Disruption may expose injury, unsafe facilities, uncontrolled access, asset loss and failure to protect people during incidents and slow recovery.</t>
  </si>
  <si>
    <t>Elevated risk: backup internet and telecom connectivity at critical sites is partially controlled, but coverage, evidence or testing is inconsistent. Crisis response may be fragmented.</t>
  </si>
  <si>
    <t>Moderate risk: backup internet and telecom connectivity at critical sites is documented and owned, but measurement, stress testing and integration with dependent processes need strengthening.</t>
  </si>
  <si>
    <t>Residual risk: backup internet and telecom connectivity at critical sites is measured and reviewed, but monitoring, automation or scenario testing should be improved to prevent maturity drift.</t>
  </si>
  <si>
    <t>Low residual risk: backup internet and telecom connectivity at critical sites is mature and crisis-tested. Maintain monitoring, evidence, ownership and periodic stress testing.</t>
  </si>
  <si>
    <t>Create an immediate risk owner, minimum control baseline and fallback procedure for backup internet and telecom connectivity at critical sites. Add it to the crisis risk register and collect first evidence.</t>
  </si>
  <si>
    <t>Document backup internet and telecom connectivity at critical sites, assign RACI, define minimum controls and KPIs, and validate coverage across key sites, teams or systems.</t>
  </si>
  <si>
    <t>Standardize backup internet and telecom connectivity at critical sites, close coverage gaps, train accountable roles and connect controls to the relevant crisis scenarios and continuity plans.</t>
  </si>
  <si>
    <t>Measure and test backup internet and telecom connectivity at critical sites, run tabletop or operational stress tests, integrate it with dependent processes and update crisis playbooks.</t>
  </si>
  <si>
    <t>Sustain maturity for backup internet and telecom connectivity at critical sites: keep evidence current, monitor drift, benchmark externally and refresh risk tests after organizational, system or market changes.</t>
  </si>
  <si>
    <t>Immature capability for preventive maintenance for safety-critical facility systems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</si>
  <si>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preventive maintenance for safety-critical facility systems.</t>
  </si>
  <si>
    <t>Severe risk: preventive maintenance for safety-critical facility systems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</si>
  <si>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preventive maintenance for safety-critical facility systems depends on informal practices or individual knowledge. Disruption may expose injury, unsafe facilities, uncontrolled access, asset loss and failure to protect people during incidents and slow recovery.</t>
  </si>
  <si>
    <t>Elevated risk: preventive maintenance for safety-critical facility systems is partially controlled, but coverage, evidence or testing is inconsistent. Crisis response may be fragmented.</t>
  </si>
  <si>
    <t>Moderate risk: preventive maintenance for safety-critical facility systems is documented and owned, but measurement, stress testing and integration with dependent processes need strengthening.</t>
  </si>
  <si>
    <t>Residual risk: preventive maintenance for safety-critical facility systems is measured and reviewed, but monitoring, automation or scenario testing should be improved to prevent maturity drift.</t>
  </si>
  <si>
    <t>Low residual risk: preventive maintenance for safety-critical facility systems is mature and crisis-tested. Maintain monitoring, evidence, ownership and periodic stress testing.</t>
  </si>
  <si>
    <t>Create an immediate risk owner, minimum control baseline and fallback procedure for preventive maintenance for safety-critical facility systems. Add it to the crisis risk register and collect first evidence.</t>
  </si>
  <si>
    <t>Document preventive maintenance for safety-critical facility systems, assign RACI, define minimum controls and KPIs, and validate coverage across key sites, teams or systems.</t>
  </si>
  <si>
    <t>Standardize preventive maintenance for safety-critical facility systems, close coverage gaps, train accountable roles and connect controls to the relevant crisis scenarios and continuity plans.</t>
  </si>
  <si>
    <t>Measure and test preventive maintenance for safety-critical facility systems, run tabletop or operational stress tests, integrate it with dependent processes and update crisis playbooks.</t>
  </si>
  <si>
    <t>Sustain maturity for preventive maintenance for safety-critical facility systems: keep evidence current, monitor drift, benchmark externally and refresh risk tests after organizational, system or market changes.</t>
  </si>
  <si>
    <t>Immature capability for alternative worksites, temporary facilities, coworking spaces or remote-work options if a site is lost may lead to injury, unsafe facilities, uncontrolled access, asset loss and failure to protect people during incidents during Safety incident; Physical site loss; War/security crisis; Natural disaster.</t>
  </si>
  <si>
    <t>Low maturity, weak ownership, incomplete evidence, insufficient testing and poor integration with crisis-management routines for alternative worksites, temporary facilities, coworking spaces or remote-work options if a site is lost.</t>
  </si>
  <si>
    <t>Severe risk: alternative worksites, temporary facilities, coworking spaces or remote-work options if a site is lost is not reliably controlled. During Safety incident; Physical site loss; War/security crisis; Natural disaster, the organization may face injury, unsafe facilities, uncontrolled access, asset loss and failure to protect people during incidents with limited visibility or accountability.</t>
  </si>
  <si>
    <t>High risk: alternative worksites, temporary facilities, coworking spaces or remote-work options if a site is lost depends on informal practices or individual knowledge. Disruption may expose injury, unsafe facilities, uncontrolled access, asset loss and failure to protect people during incidents and slow recovery.</t>
  </si>
  <si>
    <t>Elevated risk: alternative worksites, temporary facilities, coworking spaces or remote-work options if a site is lost is partially controlled, but coverage, evidence or testing is inconsistent. Crisis response may be fragmented.</t>
  </si>
  <si>
    <t>Moderate risk: alternative worksites, temporary facilities, coworking spaces or remote-work options if a site is lost is documented and owned, but measurement, stress testing and integration with dependent processes need strengthening.</t>
  </si>
  <si>
    <t>Residual risk: alternative worksites, temporary facilities, coworking spaces or remote-work options if a site is lost is measured and reviewed, but monitoring, automation or scenario testing should be improved to prevent maturity drift.</t>
  </si>
  <si>
    <t>Low residual risk: alternative worksites, temporary facilities, coworking spaces or remote-work options if a site is lost is mature and crisis-tested. Maintain monitoring, evidence, ownership and periodic stress testing.</t>
  </si>
  <si>
    <t>Create an immediate risk owner, minimum control baseline and fallback procedure for alternative worksites, temporary facilities, coworking spaces or remote-work options if a site is lost. Add it to the crisis risk register and collect first evidence.</t>
  </si>
  <si>
    <t>Document alternative worksites, temporary facilities, coworking spaces or remote-work options if a site is lost, assign RACI, define minimum controls and KPIs, and validate coverage across key sites, teams or systems.</t>
  </si>
  <si>
    <t>Standardize alternative worksites, temporary facilities, coworking spaces or remote-work options if a site is lost, close coverage gaps, train accountable roles and connect controls to the relevant crisis scenarios and continuity plans.</t>
  </si>
  <si>
    <t>Measure and test alternative worksites, temporary facilities, coworking spaces or remote-work options if a site is lost, run tabletop or operational stress tests, integrate it with dependent processes and update crisis playbooks.</t>
  </si>
  <si>
    <t>Sustain maturity for alternative worksites, temporary facilities, coworking spaces or remote-work options if a site is lost: keep evidence current, monitor drift, benchmark externally and refresh risk tests after organizational, system or market changes.</t>
  </si>
  <si>
    <t>Immature capability for documented delivery operating model across functions, teams, sites, vendors and customer interfaces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</si>
  <si>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documented delivery operating model across functions, teams, sites, vendors and customer interfaces.</t>
  </si>
  <si>
    <t>Severe risk: documented delivery operating model across functions, teams, sites, vendors and customer interfaces is not reliably controlled. During Delivery disruption; Customer impact; Workforce disruption, the organization may face missed commitments, SLA breaches, service interruption and weak customer recovery with limited visibility or accountability.</t>
  </si>
  <si>
    <t>High risk: documented delivery operating model across functions, teams, sites, vendors and customer interfaces depends on informal practices or individual knowledge. Disruption may expose missed commitments, SLA breaches, service interruption and weak customer recovery and slow recovery.</t>
  </si>
  <si>
    <t>Elevated risk: documented delivery operating model across functions, teams, sites, vendors and customer interfaces is partially controlled, but coverage, evidence or testing is inconsistent. Crisis response may be fragmented.</t>
  </si>
  <si>
    <t>Moderate risk: documented delivery operating model across functions, teams, sites, vendors and customer interfaces is documented and owned, but measurement, stress testing and integration with dependent processes need strengthening.</t>
  </si>
  <si>
    <t>Residual risk: documented delivery operating model across functions, teams, sites, vendors and customer interfaces is measured and reviewed, but monitoring, automation or scenario testing should be improved to prevent maturity drift.</t>
  </si>
  <si>
    <t>Low residual risk: documented delivery operating model across functions, teams, sites, vendors and customer interfaces is mature and crisis-tested. Maintain monitoring, evidence, ownership and periodic stress testing.</t>
  </si>
  <si>
    <t>Create an immediate risk owner, minimum control baseline and fallback procedure for documented delivery operating model across functions, teams, sites, vendors and customer interfaces. Add it to the crisis risk register and collect first evidence.</t>
  </si>
  <si>
    <t>Document documented delivery operating model across functions, teams, sites, vendors and customer interfaces, assign RACI, define minimum controls and KPIs, and validate coverage across key sites, teams or systems.</t>
  </si>
  <si>
    <t>Standardize documented delivery operating model across functions, teams, sites, vendors and customer interfaces, close coverage gaps, train accountable roles and connect controls to the relevant crisis scenarios and continuity plans.</t>
  </si>
  <si>
    <t>Measure and test documented delivery operating model across functions, teams, sites, vendors and customer interfaces, run tabletop or operational stress tests, integrate it with dependent processes and update crisis playbooks.</t>
  </si>
  <si>
    <t>Sustain maturity for documented delivery operating model across functions, teams, sites, vendors and customer interfaces: keep evidence current, monitor drift, benchmark externally and refresh risk tests after organizational, system or market changes.</t>
  </si>
  <si>
    <t>Immature capability for critical delivery processes ranked by customer, revenue, safety and contractual impact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</si>
  <si>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critical delivery processes ranked by customer, revenue, safety and contractual impact.</t>
  </si>
  <si>
    <t>Severe risk: critical delivery processes ranked by customer, revenue, safety and contractual impact is not reliably controlled. During Delivery disruption; Customer impact; Workforce disruption, the organization may face missed commitments, SLA breaches, service interruption and weak customer recovery with limited visibility or accountability.</t>
  </si>
  <si>
    <t>High risk: critical delivery processes ranked by customer, revenue, safety and contractual impact depends on informal practices or individual knowledge. Disruption may expose missed commitments, SLA breaches, service interruption and weak customer recovery and slow recovery.</t>
  </si>
  <si>
    <t>Elevated risk: critical delivery processes ranked by customer, revenue, safety and contractual impact is partially controlled, but coverage, evidence or testing is inconsistent. Crisis response may be fragmented.</t>
  </si>
  <si>
    <t>Moderate risk: critical delivery processes ranked by customer, revenue, safety and contractual impact is documented and owned, but measurement, stress testing and integration with dependent processes need strengthening.</t>
  </si>
  <si>
    <t>Residual risk: critical delivery processes ranked by customer, revenue, safety and contractual impact is measured and reviewed, but monitoring, automation or scenario testing should be improved to prevent maturity drift.</t>
  </si>
  <si>
    <t>Low residual risk: critical delivery processes ranked by customer, revenue, safety and contractual impact is mature and crisis-tested. Maintain monitoring, evidence, ownership and periodic stress testing.</t>
  </si>
  <si>
    <t>Create an immediate risk owner, minimum control baseline and fallback procedure for critical delivery processes ranked by customer, revenue, safety and contractual impact. Add it to the crisis risk register and collect first evidence.</t>
  </si>
  <si>
    <t>Document critical delivery processes ranked by customer, revenue, safety and contractual impact, assign RACI, define minimum controls and KPIs, and validate coverage across key sites, teams or systems.</t>
  </si>
  <si>
    <t>Standardize critical delivery processes ranked by customer, revenue, safety and contractual impact, close coverage gaps, train accountable roles and connect controls to the relevant crisis scenarios and continuity plans.</t>
  </si>
  <si>
    <t>Measure and test critical delivery processes ranked by customer, revenue, safety and contractual impact, run tabletop or operational stress tests, integrate it with dependent processes and update crisis playbooks.</t>
  </si>
  <si>
    <t>Sustain maturity for critical delivery processes ranked by customer, revenue, safety and contractual impact: keep evidence current, monitor drift, benchmark externally and refresh risk tests after organizational, system or market changes.</t>
  </si>
  <si>
    <t>Immature capability for SLA and OLA management with owners, escalation rules and customer communication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</si>
  <si>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SLA and OLA management with owners, escalation rules and customer communication.</t>
  </si>
  <si>
    <t>Severe risk: SLA and OLA management with owners, escalation rules and customer communication is not reliably controlled. During Delivery disruption; Customer impact; Workforce disruption, the organization may face missed commitments, SLA breaches, service interruption and weak customer recovery with limited visibility or accountability.</t>
  </si>
  <si>
    <t>High risk: SLA and OLA management with owners, escalation rules and customer communication depends on informal practices or individual knowledge. Disruption may expose missed commitments, SLA breaches, service interruption and weak customer recovery and slow recovery.</t>
  </si>
  <si>
    <t>Elevated risk: SLA and OLA management with owners, escalation rules and customer communication is partially controlled, but coverage, evidence or testing is inconsistent. Crisis response may be fragmented.</t>
  </si>
  <si>
    <t>Moderate risk: SLA and OLA management with owners, escalation rules and customer communication is documented and owned, but measurement, stress testing and integration with dependent processes need strengthening.</t>
  </si>
  <si>
    <t>Residual risk: SLA and OLA management with owners, escalation rules and customer communication is measured and reviewed, but monitoring, automation or scenario testing should be improved to prevent maturity drift.</t>
  </si>
  <si>
    <t>Low residual risk: SLA and OLA management with owners, escalation rules and customer communication is mature and crisis-tested. Maintain monitoring, evidence, ownership and periodic stress testing.</t>
  </si>
  <si>
    <t>Create an immediate risk owner, minimum control baseline and fallback procedure for SLA and OLA management with owners, escalation rules and customer communication. Add it to the crisis risk register and collect first evidence.</t>
  </si>
  <si>
    <t>Document SLA and OLA management with owners, escalation rules and customer communication, assign RACI, define minimum controls and KPIs, and validate coverage across key sites, teams or systems.</t>
  </si>
  <si>
    <t>Standardize SLA and OLA management with owners, escalation rules and customer communication, close coverage gaps, train accountable roles and connect controls to the relevant crisis scenarios and continuity plans.</t>
  </si>
  <si>
    <t>Measure and test SLA and OLA management with owners, escalation rules and customer communication, run tabletop or operational stress tests, integrate it with dependent processes and update crisis playbooks.</t>
  </si>
  <si>
    <t>Sustain maturity for SLA and OLA management with owners, escalation rules and customer communication: keep evidence current, monitor drift, benchmark externally and refresh risk tests after organizational, system or market changes.</t>
  </si>
  <si>
    <t>Immature capability for operational incident link to delivery impact, customer communication and corrective action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</si>
  <si>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operational incident link to delivery impact, customer communication and corrective action.</t>
  </si>
  <si>
    <t>Severe risk: operational incident link to delivery impact, customer communication and corrective action is not reliably controlled. During Delivery disruption; Customer impact; Workforce disruption, the organization may face missed commitments, SLA breaches, service interruption and weak customer recovery with limited visibility or accountability.</t>
  </si>
  <si>
    <t>High risk: operational incident link to delivery impact, customer communication and corrective action depends on informal practices or individual knowledge. Disruption may expose missed commitments, SLA breaches, service interruption and weak customer recovery and slow recovery.</t>
  </si>
  <si>
    <t>Elevated risk: operational incident link to delivery impact, customer communication and corrective action is partially controlled, but coverage, evidence or testing is inconsistent. Crisis response may be fragmented.</t>
  </si>
  <si>
    <t>Moderate risk: operational incident link to delivery impact, customer communication and corrective action is documented and owned, but measurement, stress testing and integration with dependent processes need strengthening.</t>
  </si>
  <si>
    <t>Residual risk: operational incident link to delivery impact, customer communication and corrective action is measured and reviewed, but monitoring, automation or scenario testing should be improved to prevent maturity drift.</t>
  </si>
  <si>
    <t>Low residual risk: operational incident link to delivery impact, customer communication and corrective action is mature and crisis-tested. Maintain monitoring, evidence, ownership and periodic stress testing.</t>
  </si>
  <si>
    <t>Create an immediate risk owner, minimum control baseline and fallback procedure for operational incident link to delivery impact, customer communication and corrective action. Add it to the crisis risk register and collect first evidence.</t>
  </si>
  <si>
    <t>Document operational incident link to delivery impact, customer communication and corrective action, assign RACI, define minimum controls and KPIs, and validate coverage across key sites, teams or systems.</t>
  </si>
  <si>
    <t>Standardize operational incident link to delivery impact, customer communication and corrective action, close coverage gaps, train accountable roles and connect controls to the relevant crisis scenarios and continuity plans.</t>
  </si>
  <si>
    <t>Measure and test operational incident link to delivery impact, customer communication and corrective action, run tabletop or operational stress tests, integrate it with dependent processes and update crisis playbooks.</t>
  </si>
  <si>
    <t>Sustain maturity for operational incident link to delivery impact, customer communication and corrective action: keep evidence current, monitor drift, benchmark externally and refresh risk tests after organizational, system or market changes.</t>
  </si>
  <si>
    <t>Immature capability for customer prioritization rules during capacity constraints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</si>
  <si>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customer prioritization rules during capacity constraints.</t>
  </si>
  <si>
    <t>Severe risk: customer prioritization rules during capacity constraints is not reliably controlled. During Delivery disruption; Customer impact; Workforce disruption, the organization may face missed commitments, SLA breaches, service interruption and weak customer recovery with limited visibility or accountability.</t>
  </si>
  <si>
    <t>High risk: customer prioritization rules during capacity constraints depends on informal practices or individual knowledge. Disruption may expose missed commitments, SLA breaches, service interruption and weak customer recovery and slow recovery.</t>
  </si>
  <si>
    <t>Elevated risk: customer prioritization rules during capacity constraints is partially controlled, but coverage, evidence or testing is inconsistent. Crisis response may be fragmented.</t>
  </si>
  <si>
    <t>Moderate risk: customer prioritization rules during capacity constraints is documented and owned, but measurement, stress testing and integration with dependent processes need strengthening.</t>
  </si>
  <si>
    <t>Residual risk: customer prioritization rules during capacity constraints is measured and reviewed, but monitoring, automation or scenario testing should be improved to prevent maturity drift.</t>
  </si>
  <si>
    <t>Low residual risk: customer prioritization rules during capacity constraints is mature and crisis-tested. Maintain monitoring, evidence, ownership and periodic stress testing.</t>
  </si>
  <si>
    <t>Create an immediate risk owner, minimum control baseline and fallback procedure for customer prioritization rules during capacity constraints. Add it to the crisis risk register and collect first evidence.</t>
  </si>
  <si>
    <t>Document customer prioritization rules during capacity constraints, assign RACI, define minimum controls and KPIs, and validate coverage across key sites, teams or systems.</t>
  </si>
  <si>
    <t>Standardize customer prioritization rules during capacity constraints, close coverage gaps, train accountable roles and connect controls to the relevant crisis scenarios and continuity plans.</t>
  </si>
  <si>
    <t>Measure and test customer prioritization rules during capacity constraints, run tabletop or operational stress tests, integrate it with dependent processes and update crisis playbooks.</t>
  </si>
  <si>
    <t>Sustain maturity for customer prioritization rules during capacity constraints: keep evidence current, monitor drift, benchmark externally and refresh risk tests after organizational, system or market changes.</t>
  </si>
  <si>
    <t>Immature capability for delivery transparency to customers during delays, incidents or disruption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</si>
  <si>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delivery transparency to customers during delays, incidents or disruption.</t>
  </si>
  <si>
    <t>Severe risk: delivery transparency to customers during delays, incidents or disruption is not reliably controlled. During Delivery disruption; Customer impact; Workforce disruption, the organization may face missed commitments, SLA breaches, service interruption and weak customer recovery with limited visibility or accountability.</t>
  </si>
  <si>
    <t>High risk: delivery transparency to customers during delays, incidents or disruption depends on informal practices or individual knowledge. Disruption may expose missed commitments, SLA breaches, service interruption and weak customer recovery and slow recovery.</t>
  </si>
  <si>
    <t>Elevated risk: delivery transparency to customers during delays, incidents or disruption is partially controlled, but coverage, evidence or testing is inconsistent. Crisis response may be fragmented.</t>
  </si>
  <si>
    <t>Moderate risk: delivery transparency to customers during delays, incidents or disruption is documented and owned, but measurement, stress testing and integration with dependent processes need strengthening.</t>
  </si>
  <si>
    <t>Residual risk: delivery transparency to customers during delays, incidents or disruption is measured and reviewed, but monitoring, automation or scenario testing should be improved to prevent maturity drift.</t>
  </si>
  <si>
    <t>Low residual risk: delivery transparency to customers during delays, incidents or disruption is mature and crisis-tested. Maintain monitoring, evidence, ownership and periodic stress testing.</t>
  </si>
  <si>
    <t>Create an immediate risk owner, minimum control baseline and fallback procedure for delivery transparency to customers during delays, incidents or disruption. Add it to the crisis risk register and collect first evidence.</t>
  </si>
  <si>
    <t>Document delivery transparency to customers during delays, incidents or disruption, assign RACI, define minimum controls and KPIs, and validate coverage across key sites, teams or systems.</t>
  </si>
  <si>
    <t>Standardize delivery transparency to customers during delays, incidents or disruption, close coverage gaps, train accountable roles and connect controls to the relevant crisis scenarios and continuity plans.</t>
  </si>
  <si>
    <t>Measure and test delivery transparency to customers during delays, incidents or disruption, run tabletop or operational stress tests, integrate it with dependent processes and update crisis playbooks.</t>
  </si>
  <si>
    <t>Sustain maturity for delivery transparency to customers during delays, incidents or disruption: keep evidence current, monitor drift, benchmark externally and refresh risk tests after organizational, system or market changes.</t>
  </si>
  <si>
    <t>Immature capability for capacity planning for people, equipment, production lines, cloud resources, warehouses and suppliers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</si>
  <si>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capacity planning for people, equipment, production lines, cloud resources, warehouses and suppliers.</t>
  </si>
  <si>
    <t>Severe risk: capacity planning for people, equipment, production lines, cloud resources, warehouses and suppliers is not reliably controlled. During Delivery disruption; Customer impact; Workforce disruption, the organization may face missed commitments, SLA breaches, service interruption and weak customer recovery with limited visibility or accountability.</t>
  </si>
  <si>
    <t>High risk: capacity planning for people, equipment, production lines, cloud resources, warehouses and suppliers depends on informal practices or individual knowledge. Disruption may expose missed commitments, SLA breaches, service interruption and weak customer recovery and slow recovery.</t>
  </si>
  <si>
    <t>Elevated risk: capacity planning for people, equipment, production lines, cloud resources, warehouses and suppliers is partially controlled, but coverage, evidence or testing is inconsistent. Crisis response may be fragmented.</t>
  </si>
  <si>
    <t>Moderate risk: capacity planning for people, equipment, production lines, cloud resources, warehouses and suppliers is documented and owned, but measurement, stress testing and integration with dependent processes need strengthening.</t>
  </si>
  <si>
    <t>Residual risk: capacity planning for people, equipment, production lines, cloud resources, warehouses and suppliers is measured and reviewed, but monitoring, automation or scenario testing should be improved to prevent maturity drift.</t>
  </si>
  <si>
    <t>Low residual risk: capacity planning for people, equipment, production lines, cloud resources, warehouses and suppliers is mature and crisis-tested. Maintain monitoring, evidence, ownership and periodic stress testing.</t>
  </si>
  <si>
    <t>Create an immediate risk owner, minimum control baseline and fallback procedure for capacity planning for people, equipment, production lines, cloud resources, warehouses and suppliers. Add it to the crisis risk register and collect first evidence.</t>
  </si>
  <si>
    <t>Document capacity planning for people, equipment, production lines, cloud resources, warehouses and suppliers, assign RACI, define minimum controls and KPIs, and validate coverage across key sites, teams or systems.</t>
  </si>
  <si>
    <t>Standardize capacity planning for people, equipment, production lines, cloud resources, warehouses and suppliers, close coverage gaps, train accountable roles and connect controls to the relevant crisis scenarios and continuity plans.</t>
  </si>
  <si>
    <t>Measure and test capacity planning for people, equipment, production lines, cloud resources, warehouses and suppliers, run tabletop or operational stress tests, integrate it with dependent processes and update crisis playbooks.</t>
  </si>
  <si>
    <t>Sustain maturity for capacity planning for people, equipment, production lines, cloud resources, warehouses and suppliers: keep evidence current, monitor drift, benchmark externally and refresh risk tests after organizational, system or market changes.</t>
  </si>
  <si>
    <t>Immature capability for surge capacity for demand spikes, backlog recovery and emergency orders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</si>
  <si>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surge capacity for demand spikes, backlog recovery and emergency orders.</t>
  </si>
  <si>
    <t>Severe risk: surge capacity for demand spikes, backlog recovery and emergency orders is not reliably controlled. During Delivery disruption; Customer impact; Workforce disruption, the organization may face missed commitments, SLA breaches, service interruption and weak customer recovery with limited visibility or accountability.</t>
  </si>
  <si>
    <t>High risk: surge capacity for demand spikes, backlog recovery and emergency orders depends on informal practices or individual knowledge. Disruption may expose missed commitments, SLA breaches, service interruption and weak customer recovery and slow recovery.</t>
  </si>
  <si>
    <t>Elevated risk: surge capacity for demand spikes, backlog recovery and emergency orders is partially controlled, but coverage, evidence or testing is inconsistent. Crisis response may be fragmented.</t>
  </si>
  <si>
    <t>Moderate risk: surge capacity for demand spikes, backlog recovery and emergency orders is documented and owned, but measurement, stress testing and integration with dependent processes need strengthening.</t>
  </si>
  <si>
    <t>Residual risk: surge capacity for demand spikes, backlog recovery and emergency orders is measured and reviewed, but monitoring, automation or scenario testing should be improved to prevent maturity drift.</t>
  </si>
  <si>
    <t>Low residual risk: surge capacity for demand spikes, backlog recovery and emergency orders is mature and crisis-tested. Maintain monitoring, evidence, ownership and periodic stress testing.</t>
  </si>
  <si>
    <t>Create an immediate risk owner, minimum control baseline and fallback procedure for surge capacity for demand spikes, backlog recovery and emergency orders. Add it to the crisis risk register and collect first evidence.</t>
  </si>
  <si>
    <t>Document surge capacity for demand spikes, backlog recovery and emergency orders, assign RACI, define minimum controls and KPIs, and validate coverage across key sites, teams or systems.</t>
  </si>
  <si>
    <t>Standardize surge capacity for demand spikes, backlog recovery and emergency orders, close coverage gaps, train accountable roles and connect controls to the relevant crisis scenarios and continuity plans.</t>
  </si>
  <si>
    <t>Measure and test surge capacity for demand spikes, backlog recovery and emergency orders, run tabletop or operational stress tests, integrate it with dependent processes and update crisis playbooks.</t>
  </si>
  <si>
    <t>Sustain maturity for surge capacity for demand spikes, backlog recovery and emergency orders: keep evidence current, monitor drift, benchmark externally and refresh risk tests after organizational, system or market changes.</t>
  </si>
  <si>
    <t>Immature capability for minimum viable operating model for severe constraints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</si>
  <si>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minimum viable operating model for severe constraints.</t>
  </si>
  <si>
    <t>Severe risk: minimum viable operating model for severe constraints is not reliably controlled. During Delivery disruption; Customer impact; Workforce disruption, the organization may face missed commitments, SLA breaches, service interruption and weak customer recovery with limited visibility or accountability.</t>
  </si>
  <si>
    <t>High risk: minimum viable operating model for severe constraints depends on informal practices or individual knowledge. Disruption may expose missed commitments, SLA breaches, service interruption and weak customer recovery and slow recovery.</t>
  </si>
  <si>
    <t>Elevated risk: minimum viable operating model for severe constraints is partially controlled, but coverage, evidence or testing is inconsistent. Crisis response may be fragmented.</t>
  </si>
  <si>
    <t>Moderate risk: minimum viable operating model for severe constraints is documented and owned, but measurement, stress testing and integration with dependent processes need strengthening.</t>
  </si>
  <si>
    <t>Residual risk: minimum viable operating model for severe constraints is measured and reviewed, but monitoring, automation or scenario testing should be improved to prevent maturity drift.</t>
  </si>
  <si>
    <t>Low residual risk: minimum viable operating model for severe constraints is mature and crisis-tested. Maintain monitoring, evidence, ownership and periodic stress testing.</t>
  </si>
  <si>
    <t>Create an immediate risk owner, minimum control baseline and fallback procedure for minimum viable operating model for severe constraints. Add it to the crisis risk register and collect first evidence.</t>
  </si>
  <si>
    <t>Document minimum viable operating model for severe constraints, assign RACI, define minimum controls and KPIs, and validate coverage across key sites, teams or systems.</t>
  </si>
  <si>
    <t>Standardize minimum viable operating model for severe constraints, close coverage gaps, train accountable roles and connect controls to the relevant crisis scenarios and continuity plans.</t>
  </si>
  <si>
    <t>Measure and test minimum viable operating model for severe constraints, run tabletop or operational stress tests, integrate it with dependent processes and update crisis playbooks.</t>
  </si>
  <si>
    <t>Sustain maturity for minimum viable operating model for severe constraints: keep evidence current, monitor drift, benchmark externally and refresh risk tests after organizational, system or market changes.</t>
  </si>
  <si>
    <t>Immature capability for cross-site or cross-team work transfer if one location or team fails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</si>
  <si>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cross-site or cross-team work transfer if one location or team fails.</t>
  </si>
  <si>
    <t>Severe risk: cross-site or cross-team work transfer if one location or team fails is not reliably controlled. During Delivery disruption; Customer impact; Workforce disruption, the organization may face missed commitments, SLA breaches, service interruption and weak customer recovery with limited visibility or accountability.</t>
  </si>
  <si>
    <t>High risk: cross-site or cross-team work transfer if one location or team fails depends on informal practices or individual knowledge. Disruption may expose missed commitments, SLA breaches, service interruption and weak customer recovery and slow recovery.</t>
  </si>
  <si>
    <t>Elevated risk: cross-site or cross-team work transfer if one location or team fails is partially controlled, but coverage, evidence or testing is inconsistent. Crisis response may be fragmented.</t>
  </si>
  <si>
    <t>Moderate risk: cross-site or cross-team work transfer if one location or team fails is documented and owned, but measurement, stress testing and integration with dependent processes need strengthening.</t>
  </si>
  <si>
    <t>Residual risk: cross-site or cross-team work transfer if one location or team fails is measured and reviewed, but monitoring, automation or scenario testing should be improved to prevent maturity drift.</t>
  </si>
  <si>
    <t>Low residual risk: cross-site or cross-team work transfer if one location or team fails is mature and crisis-tested. Maintain monitoring, evidence, ownership and periodic stress testing.</t>
  </si>
  <si>
    <t>Create an immediate risk owner, minimum control baseline and fallback procedure for cross-site or cross-team work transfer if one location or team fails. Add it to the crisis risk register and collect first evidence.</t>
  </si>
  <si>
    <t>Document cross-site or cross-team work transfer if one location or team fails, assign RACI, define minimum controls and KPIs, and validate coverage across key sites, teams or systems.</t>
  </si>
  <si>
    <t>Standardize cross-site or cross-team work transfer if one location or team fails, close coverage gaps, train accountable roles and connect controls to the relevant crisis scenarios and continuity plans.</t>
  </si>
  <si>
    <t>Measure and test cross-site or cross-team work transfer if one location or team fails, run tabletop or operational stress tests, integrate it with dependent processes and update crisis playbooks.</t>
  </si>
  <si>
    <t>Sustain maturity for cross-site or cross-team work transfer if one location or team fails: keep evidence current, monitor drift, benchmark externally and refresh risk tests after organizational, system or market changes.</t>
  </si>
  <si>
    <t>Immature capability for recovery sequencing for processes, systems, teams, sites and customers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</si>
  <si>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recovery sequencing for processes, systems, teams, sites and customers.</t>
  </si>
  <si>
    <t>Severe risk: recovery sequencing for processes, systems, teams, sites and customers is not reliably controlled. During Delivery disruption; Customer impact; Workforce disruption, the organization may face missed commitments, SLA breaches, service interruption and weak customer recovery with limited visibility or accountability.</t>
  </si>
  <si>
    <t>High risk: recovery sequencing for processes, systems, teams, sites and customers depends on informal practices or individual knowledge. Disruption may expose missed commitments, SLA breaches, service interruption and weak customer recovery and slow recovery.</t>
  </si>
  <si>
    <t>Elevated risk: recovery sequencing for processes, systems, teams, sites and customers is partially controlled, but coverage, evidence or testing is inconsistent. Crisis response may be fragmented.</t>
  </si>
  <si>
    <t>Moderate risk: recovery sequencing for processes, systems, teams, sites and customers is documented and owned, but measurement, stress testing and integration with dependent processes need strengthening.</t>
  </si>
  <si>
    <t>Residual risk: recovery sequencing for processes, systems, teams, sites and customers is measured and reviewed, but monitoring, automation or scenario testing should be improved to prevent maturity drift.</t>
  </si>
  <si>
    <t>Low residual risk: recovery sequencing for processes, systems, teams, sites and customers is mature and crisis-tested. Maintain monitoring, evidence, ownership and periodic stress testing.</t>
  </si>
  <si>
    <t>Create an immediate risk owner, minimum control baseline and fallback procedure for recovery sequencing for processes, systems, teams, sites and customers. Add it to the crisis risk register and collect first evidence.</t>
  </si>
  <si>
    <t>Document recovery sequencing for processes, systems, teams, sites and customers, assign RACI, define minimum controls and KPIs, and validate coverage across key sites, teams or systems.</t>
  </si>
  <si>
    <t>Standardize recovery sequencing for processes, systems, teams, sites and customers, close coverage gaps, train accountable roles and connect controls to the relevant crisis scenarios and continuity plans.</t>
  </si>
  <si>
    <t>Measure and test recovery sequencing for processes, systems, teams, sites and customers, run tabletop or operational stress tests, integrate it with dependent processes and update crisis playbooks.</t>
  </si>
  <si>
    <t>Sustain maturity for recovery sequencing for processes, systems, teams, sites and customers: keep evidence current, monitor drift, benchmark externally and refresh risk tests after organizational, system or market changes.</t>
  </si>
  <si>
    <t>Immature capability for delivery tabletop exercises with absent people, unavailable systems or supplier failure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</si>
  <si>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delivery tabletop exercises with absent people, unavailable systems or supplier failure.</t>
  </si>
  <si>
    <t>Severe risk: delivery tabletop exercises with absent people, unavailable systems or supplier failure is not reliably controlled. During Delivery disruption; Customer impact; Workforce disruption, the organization may face missed commitments, SLA breaches, service interruption and weak customer recovery with limited visibility or accountability.</t>
  </si>
  <si>
    <t>High risk: delivery tabletop exercises with absent people, unavailable systems or supplier failure depends on informal practices or individual knowledge. Disruption may expose missed commitments, SLA breaches, service interruption and weak customer recovery and slow recovery.</t>
  </si>
  <si>
    <t>Elevated risk: delivery tabletop exercises with absent people, unavailable systems or supplier failure is partially controlled, but coverage, evidence or testing is inconsistent. Crisis response may be fragmented.</t>
  </si>
  <si>
    <t>Moderate risk: delivery tabletop exercises with absent people, unavailable systems or supplier failure is documented and owned, but measurement, stress testing and integration with dependent processes need strengthening.</t>
  </si>
  <si>
    <t>Residual risk: delivery tabletop exercises with absent people, unavailable systems or supplier failure is measured and reviewed, but monitoring, automation or scenario testing should be improved to prevent maturity drift.</t>
  </si>
  <si>
    <t>Low residual risk: delivery tabletop exercises with absent people, unavailable systems or supplier failure is mature and crisis-tested. Maintain monitoring, evidence, ownership and periodic stress testing.</t>
  </si>
  <si>
    <t>Create an immediate risk owner, minimum control baseline and fallback procedure for delivery tabletop exercises with absent people, unavailable systems or supplier failure. Add it to the crisis risk register and collect first evidence.</t>
  </si>
  <si>
    <t>Document delivery tabletop exercises with absent people, unavailable systems or supplier failure, assign RACI, define minimum controls and KPIs, and validate coverage across key sites, teams or systems.</t>
  </si>
  <si>
    <t>Standardize delivery tabletop exercises with absent people, unavailable systems or supplier failure, close coverage gaps, train accountable roles and connect controls to the relevant crisis scenarios and continuity plans.</t>
  </si>
  <si>
    <t>Measure and test delivery tabletop exercises with absent people, unavailable systems or supplier failure, run tabletop or operational stress tests, integrate it with dependent processes and update crisis playbooks.</t>
  </si>
  <si>
    <t>Sustain maturity for delivery tabletop exercises with absent people, unavailable systems or supplier failure: keep evidence current, monitor drift, benchmark externally and refresh risk tests after organizational, system or market changes.</t>
  </si>
  <si>
    <t>Immature capability for SOP documentation for critical delivery activities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</si>
  <si>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SOP documentation for critical delivery activities.</t>
  </si>
  <si>
    <t>Severe risk: SOP documentation for critical delivery activities is not reliably controlled. During Delivery disruption; Customer impact; Workforce disruption, the organization may face missed commitments, SLA breaches, service interruption and weak customer recovery with limited visibility or accountability.</t>
  </si>
  <si>
    <t>High risk: SOP documentation for critical delivery activities depends on informal practices or individual knowledge. Disruption may expose missed commitments, SLA breaches, service interruption and weak customer recovery and slow recovery.</t>
  </si>
  <si>
    <t>Elevated risk: SOP documentation for critical delivery activities is partially controlled, but coverage, evidence or testing is inconsistent. Crisis response may be fragmented.</t>
  </si>
  <si>
    <t>Moderate risk: SOP documentation for critical delivery activities is documented and owned, but measurement, stress testing and integration with dependent processes need strengthening.</t>
  </si>
  <si>
    <t>Residual risk: SOP documentation for critical delivery activities is measured and reviewed, but monitoring, automation or scenario testing should be improved to prevent maturity drift.</t>
  </si>
  <si>
    <t>Low residual risk: SOP documentation for critical delivery activities is mature and crisis-tested. Maintain monitoring, evidence, ownership and periodic stress testing.</t>
  </si>
  <si>
    <t>Create an immediate risk owner, minimum control baseline and fallback procedure for SOP documentation for critical delivery activities. Add it to the crisis risk register and collect first evidence.</t>
  </si>
  <si>
    <t>Document SOP documentation for critical delivery activities, assign RACI, define minimum controls and KPIs, and validate coverage across key sites, teams or systems.</t>
  </si>
  <si>
    <t>Standardize SOP documentation for critical delivery activities, close coverage gaps, train accountable roles and connect controls to the relevant crisis scenarios and continuity plans.</t>
  </si>
  <si>
    <t>Measure and test SOP documentation for critical delivery activities, run tabletop or operational stress tests, integrate it with dependent processes and update crisis playbooks.</t>
  </si>
  <si>
    <t>Sustain maturity for SOP documentation for critical delivery activities: keep evidence current, monitor drift, benchmark externally and refresh risk tests after organizational, system or market changes.</t>
  </si>
  <si>
    <t>Immature capability for handover procedures between shifts, teams, vendors and customers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</si>
  <si>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handover procedures between shifts, teams, vendors and customers.</t>
  </si>
  <si>
    <t>Severe risk: handover procedures between shifts, teams, vendors and customers is not reliably controlled. During Delivery disruption; Customer impact; Workforce disruption, the organization may face missed commitments, SLA breaches, service interruption and weak customer recovery with limited visibility or accountability.</t>
  </si>
  <si>
    <t>High risk: handover procedures between shifts, teams, vendors and customers depends on informal practices or individual knowledge. Disruption may expose missed commitments, SLA breaches, service interruption and weak customer recovery and slow recovery.</t>
  </si>
  <si>
    <t>Elevated risk: handover procedures between shifts, teams, vendors and customers is partially controlled, but coverage, evidence or testing is inconsistent. Crisis response may be fragmented.</t>
  </si>
  <si>
    <t>Moderate risk: handover procedures between shifts, teams, vendors and customers is documented and owned, but measurement, stress testing and integration with dependent processes need strengthening.</t>
  </si>
  <si>
    <t>Residual risk: handover procedures between shifts, teams, vendors and customers is measured and reviewed, but monitoring, automation or scenario testing should be improved to prevent maturity drift.</t>
  </si>
  <si>
    <t>Low residual risk: handover procedures between shifts, teams, vendors and customers is mature and crisis-tested. Maintain monitoring, evidence, ownership and periodic stress testing.</t>
  </si>
  <si>
    <t>Create an immediate risk owner, minimum control baseline and fallback procedure for handover procedures between shifts, teams, vendors and customers. Add it to the crisis risk register and collect first evidence.</t>
  </si>
  <si>
    <t>Document handover procedures between shifts, teams, vendors and customers, assign RACI, define minimum controls and KPIs, and validate coverage across key sites, teams or systems.</t>
  </si>
  <si>
    <t>Standardize handover procedures between shifts, teams, vendors and customers, close coverage gaps, train accountable roles and connect controls to the relevant crisis scenarios and continuity plans.</t>
  </si>
  <si>
    <t>Measure and test handover procedures between shifts, teams, vendors and customers, run tabletop or operational stress tests, integrate it with dependent processes and update crisis playbooks.</t>
  </si>
  <si>
    <t>Sustain maturity for handover procedures between shifts, teams, vendors and customers: keep evidence current, monitor drift, benchmark externally and refresh risk tests after organizational, system or market changes.</t>
  </si>
  <si>
    <t>Immature capability for quality gates across delivery, production, release or service lifecycle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</si>
  <si>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quality gates across delivery, production, release or service lifecycle.</t>
  </si>
  <si>
    <t>Severe risk: quality gates across delivery, production, release or service lifecycle is not reliably controlled. During Delivery disruption; Customer impact; Workforce disruption, the organization may face missed commitments, SLA breaches, service interruption and weak customer recovery with limited visibility or accountability.</t>
  </si>
  <si>
    <t>High risk: quality gates across delivery, production, release or service lifecycle depends on informal practices or individual knowledge. Disruption may expose missed commitments, SLA breaches, service interruption and weak customer recovery and slow recovery.</t>
  </si>
  <si>
    <t>Elevated risk: quality gates across delivery, production, release or service lifecycle is partially controlled, but coverage, evidence or testing is inconsistent. Crisis response may be fragmented.</t>
  </si>
  <si>
    <t>Moderate risk: quality gates across delivery, production, release or service lifecycle is documented and owned, but measurement, stress testing and integration with dependent processes need strengthening.</t>
  </si>
  <si>
    <t>Residual risk: quality gates across delivery, production, release or service lifecycle is measured and reviewed, but monitoring, automation or scenario testing should be improved to prevent maturity drift.</t>
  </si>
  <si>
    <t>Low residual risk: quality gates across delivery, production, release or service lifecycle is mature and crisis-tested. Maintain monitoring, evidence, ownership and periodic stress testing.</t>
  </si>
  <si>
    <t>Create an immediate risk owner, minimum control baseline and fallback procedure for quality gates across delivery, production, release or service lifecycle. Add it to the crisis risk register and collect first evidence.</t>
  </si>
  <si>
    <t>Document quality gates across delivery, production, release or service lifecycle, assign RACI, define minimum controls and KPIs, and validate coverage across key sites, teams or systems.</t>
  </si>
  <si>
    <t>Standardize quality gates across delivery, production, release or service lifecycle, close coverage gaps, train accountable roles and connect controls to the relevant crisis scenarios and continuity plans.</t>
  </si>
  <si>
    <t>Measure and test quality gates across delivery, production, release or service lifecycle, run tabletop or operational stress tests, integrate it with dependent processes and update crisis playbooks.</t>
  </si>
  <si>
    <t>Sustain maturity for quality gates across delivery, production, release or service lifecycle: keep evidence current, monitor drift, benchmark externally and refresh risk tests after organizational, system or market changes.</t>
  </si>
  <si>
    <t>Immature capability for change control with risk, customer impact, rollback and communication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</si>
  <si>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change control with risk, customer impact, rollback and communication.</t>
  </si>
  <si>
    <t>Severe risk: change control with risk, customer impact, rollback and communication is not reliably controlled. During Delivery disruption; Customer impact; Workforce disruption, the organization may face missed commitments, SLA breaches, service interruption and weak customer recovery with limited visibility or accountability.</t>
  </si>
  <si>
    <t>High risk: change control with risk, customer impact, rollback and communication depends on informal practices or individual knowledge. Disruption may expose missed commitments, SLA breaches, service interruption and weak customer recovery and slow recovery.</t>
  </si>
  <si>
    <t>Elevated risk: change control with risk, customer impact, rollback and communication is partially controlled, but coverage, evidence or testing is inconsistent. Crisis response may be fragmented.</t>
  </si>
  <si>
    <t>Moderate risk: change control with risk, customer impact, rollback and communication is documented and owned, but measurement, stress testing and integration with dependent processes need strengthening.</t>
  </si>
  <si>
    <t>Residual risk: change control with risk, customer impact, rollback and communication is measured and reviewed, but monitoring, automation or scenario testing should be improved to prevent maturity drift.</t>
  </si>
  <si>
    <t>Low residual risk: change control with risk, customer impact, rollback and communication is mature and crisis-tested. Maintain monitoring, evidence, ownership and periodic stress testing.</t>
  </si>
  <si>
    <t>Create an immediate risk owner, minimum control baseline and fallback procedure for change control with risk, customer impact, rollback and communication. Add it to the crisis risk register and collect first evidence.</t>
  </si>
  <si>
    <t>Document change control with risk, customer impact, rollback and communication, assign RACI, define minimum controls and KPIs, and validate coverage across key sites, teams or systems.</t>
  </si>
  <si>
    <t>Standardize change control with risk, customer impact, rollback and communication, close coverage gaps, train accountable roles and connect controls to the relevant crisis scenarios and continuity plans.</t>
  </si>
  <si>
    <t>Measure and test change control with risk, customer impact, rollback and communication, run tabletop or operational stress tests, integrate it with dependent processes and update crisis playbooks.</t>
  </si>
  <si>
    <t>Sustain maturity for change control with risk, customer impact, rollback and communication: keep evidence current, monitor drift, benchmark externally and refresh risk tests after organizational, system or market changes.</t>
  </si>
  <si>
    <t>Immature capability for manual workarounds if delivery systems are unavailable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</si>
  <si>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manual workarounds if delivery systems are unavailable.</t>
  </si>
  <si>
    <t>Severe risk: manual workarounds if delivery systems are unavailable is not reliably controlled. During Delivery disruption; Customer impact; Workforce disruption, the organization may face missed commitments, SLA breaches, service interruption and weak customer recovery with limited visibility or accountability.</t>
  </si>
  <si>
    <t>High risk: manual workarounds if delivery systems are unavailable depends on informal practices or individual knowledge. Disruption may expose missed commitments, SLA breaches, service interruption and weak customer recovery and slow recovery.</t>
  </si>
  <si>
    <t>Elevated risk: manual workarounds if delivery systems are unavailable is partially controlled, but coverage, evidence or testing is inconsistent. Crisis response may be fragmented.</t>
  </si>
  <si>
    <t>Moderate risk: manual workarounds if delivery systems are unavailable is documented and owned, but measurement, stress testing and integration with dependent processes need strengthening.</t>
  </si>
  <si>
    <t>Residual risk: manual workarounds if delivery systems are unavailable is measured and reviewed, but monitoring, automation or scenario testing should be improved to prevent maturity drift.</t>
  </si>
  <si>
    <t>Low residual risk: manual workarounds if delivery systems are unavailable is mature and crisis-tested. Maintain monitoring, evidence, ownership and periodic stress testing.</t>
  </si>
  <si>
    <t>Create an immediate risk owner, minimum control baseline and fallback procedure for manual workarounds if delivery systems are unavailable. Add it to the crisis risk register and collect first evidence.</t>
  </si>
  <si>
    <t>Document manual workarounds if delivery systems are unavailable, assign RACI, define minimum controls and KPIs, and validate coverage across key sites, teams or systems.</t>
  </si>
  <si>
    <t>Standardize manual workarounds if delivery systems are unavailable, close coverage gaps, train accountable roles and connect controls to the relevant crisis scenarios and continuity plans.</t>
  </si>
  <si>
    <t>Measure and test manual workarounds if delivery systems are unavailable, run tabletop or operational stress tests, integrate it with dependent processes and update crisis playbooks.</t>
  </si>
  <si>
    <t>Sustain maturity for manual workarounds if delivery systems are unavailable: keep evidence current, monitor drift, benchmark externally and refresh risk tests after organizational, system or market changes.</t>
  </si>
  <si>
    <t>Immature capability for root cause analysis for recurring delivery failures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</si>
  <si>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root cause analysis for recurring delivery failures.</t>
  </si>
  <si>
    <t>Severe risk: root cause analysis for recurring delivery failures is not reliably controlled. During Delivery disruption; Customer impact; Workforce disruption, the organization may face missed commitments, SLA breaches, service interruption and weak customer recovery with limited visibility or accountability.</t>
  </si>
  <si>
    <t>High risk: root cause analysis for recurring delivery failures depends on informal practices or individual knowledge. Disruption may expose missed commitments, SLA breaches, service interruption and weak customer recovery and slow recovery.</t>
  </si>
  <si>
    <t>Elevated risk: root cause analysis for recurring delivery failures is partially controlled, but coverage, evidence or testing is inconsistent. Crisis response may be fragmented.</t>
  </si>
  <si>
    <t>Moderate risk: root cause analysis for recurring delivery failures is documented and owned, but measurement, stress testing and integration with dependent processes need strengthening.</t>
  </si>
  <si>
    <t>Residual risk: root cause analysis for recurring delivery failures is measured and reviewed, but monitoring, automation or scenario testing should be improved to prevent maturity drift.</t>
  </si>
  <si>
    <t>Low residual risk: root cause analysis for recurring delivery failures is mature and crisis-tested. Maintain monitoring, evidence, ownership and periodic stress testing.</t>
  </si>
  <si>
    <t>Create an immediate risk owner, minimum control baseline and fallback procedure for root cause analysis for recurring delivery failures. Add it to the crisis risk register and collect first evidence.</t>
  </si>
  <si>
    <t>Document root cause analysis for recurring delivery failures, assign RACI, define minimum controls and KPIs, and validate coverage across key sites, teams or systems.</t>
  </si>
  <si>
    <t>Standardize root cause analysis for recurring delivery failures, close coverage gaps, train accountable roles and connect controls to the relevant crisis scenarios and continuity plans.</t>
  </si>
  <si>
    <t>Measure and test root cause analysis for recurring delivery failures, run tabletop or operational stress tests, integrate it with dependent processes and update crisis playbooks.</t>
  </si>
  <si>
    <t>Sustain maturity for root cause analysis for recurring delivery failures: keep evidence current, monitor drift, benchmark externally and refresh risk tests after organizational, system or market changes.</t>
  </si>
  <si>
    <t>Immature capability for real-time visibility into orders, backlog, incidents, production, logistics and service performance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</si>
  <si>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real-time visibility into orders, backlog, incidents, production, logistics and service performance.</t>
  </si>
  <si>
    <t>Severe risk: real-time visibility into orders, backlog, incidents, production, logistics and service performance is not reliably controlled. During Delivery disruption; Customer impact; Workforce disruption, the organization may face missed commitments, SLA breaches, service interruption and weak customer recovery with limited visibility or accountability.</t>
  </si>
  <si>
    <t>High risk: real-time visibility into orders, backlog, incidents, production, logistics and service performance depends on informal practices or individual knowledge. Disruption may expose missed commitments, SLA breaches, service interruption and weak customer recovery and slow recovery.</t>
  </si>
  <si>
    <t>Elevated risk: real-time visibility into orders, backlog, incidents, production, logistics and service performance is partially controlled, but coverage, evidence or testing is inconsistent. Crisis response may be fragmented.</t>
  </si>
  <si>
    <t>Moderate risk: real-time visibility into orders, backlog, incidents, production, logistics and service performance is documented and owned, but measurement, stress testing and integration with dependent processes need strengthening.</t>
  </si>
  <si>
    <t>Residual risk: real-time visibility into orders, backlog, incidents, production, logistics and service performance is measured and reviewed, but monitoring, automation or scenario testing should be improved to prevent maturity drift.</t>
  </si>
  <si>
    <t>Low residual risk: real-time visibility into orders, backlog, incidents, production, logistics and service performance is mature and crisis-tested. Maintain monitoring, evidence, ownership and periodic stress testing.</t>
  </si>
  <si>
    <t>Create an immediate risk owner, minimum control baseline and fallback procedure for real-time visibility into orders, backlog, incidents, production, logistics and service performance. Add it to the crisis risk register and collect first evidence.</t>
  </si>
  <si>
    <t>Document real-time visibility into orders, backlog, incidents, production, logistics and service performance, assign RACI, define minimum controls and KPIs, and validate coverage across key sites, teams or systems.</t>
  </si>
  <si>
    <t>Standardize real-time visibility into orders, backlog, incidents, production, logistics and service performance, close coverage gaps, train accountable roles and connect controls to the relevant crisis scenarios and continuity plans.</t>
  </si>
  <si>
    <t>Measure and test real-time visibility into orders, backlog, incidents, production, logistics and service performance, run tabletop or operational stress tests, integrate it with dependent processes and update crisis playbooks.</t>
  </si>
  <si>
    <t>Sustain maturity for real-time visibility into orders, backlog, incidents, production, logistics and service performance: keep evidence current, monitor drift, benchmark externally and refresh risk tests after organizational, system or market changes.</t>
  </si>
  <si>
    <t>Immature capability for operational KPIs for delivery quality, timeliness, throughput, cost, incidents and customer impact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</si>
  <si>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operational KPIs for delivery quality, timeliness, throughput, cost, incidents and customer impact.</t>
  </si>
  <si>
    <t>Severe risk: operational KPIs for delivery quality, timeliness, throughput, cost, incidents and customer impact is not reliably controlled. During Delivery disruption; Customer impact; Workforce disruption, the organization may face missed commitments, SLA breaches, service interruption and weak customer recovery with limited visibility or accountability.</t>
  </si>
  <si>
    <t>High risk: operational KPIs for delivery quality, timeliness, throughput, cost, incidents and customer impact depends on informal practices or individual knowledge. Disruption may expose missed commitments, SLA breaches, service interruption and weak customer recovery and slow recovery.</t>
  </si>
  <si>
    <t>Elevated risk: operational KPIs for delivery quality, timeliness, throughput, cost, incidents and customer impact is partially controlled, but coverage, evidence or testing is inconsistent. Crisis response may be fragmented.</t>
  </si>
  <si>
    <t>Moderate risk: operational KPIs for delivery quality, timeliness, throughput, cost, incidents and customer impact is documented and owned, but measurement, stress testing and integration with dependent processes need strengthening.</t>
  </si>
  <si>
    <t>Residual risk: operational KPIs for delivery quality, timeliness, throughput, cost, incidents and customer impact is measured and reviewed, but monitoring, automation or scenario testing should be improved to prevent maturity drift.</t>
  </si>
  <si>
    <t>Low residual risk: operational KPIs for delivery quality, timeliness, throughput, cost, incidents and customer impact is mature and crisis-tested. Maintain monitoring, evidence, ownership and periodic stress testing.</t>
  </si>
  <si>
    <t>Create an immediate risk owner, minimum control baseline and fallback procedure for operational KPIs for delivery quality, timeliness, throughput, cost, incidents and customer impact. Add it to the crisis risk register and collect first evidence.</t>
  </si>
  <si>
    <t>Document operational KPIs for delivery quality, timeliness, throughput, cost, incidents and customer impact, assign RACI, define minimum controls and KPIs, and validate coverage across key sites, teams or systems.</t>
  </si>
  <si>
    <t>Standardize operational KPIs for delivery quality, timeliness, throughput, cost, incidents and customer impact, close coverage gaps, train accountable roles and connect controls to the relevant crisis scenarios and continuity plans.</t>
  </si>
  <si>
    <t>Measure and test operational KPIs for delivery quality, timeliness, throughput, cost, incidents and customer impact, run tabletop or operational stress tests, integrate it with dependent processes and update crisis playbooks.</t>
  </si>
  <si>
    <t>Sustain maturity for operational KPIs for delivery quality, timeliness, throughput, cost, incidents and customer impact: keep evidence current, monitor drift, benchmark externally and refresh risk tests after organizational, system or market changes.</t>
  </si>
  <si>
    <t>Immature capability for backlog aging analysis linked to customer risk, revenue risk and operational constraints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</si>
  <si>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backlog aging analysis linked to customer risk, revenue risk and operational constraints.</t>
  </si>
  <si>
    <t>Severe risk: backlog aging analysis linked to customer risk, revenue risk and operational constraints is not reliably controlled. During Delivery disruption; Customer impact; Workforce disruption, the organization may face missed commitments, SLA breaches, service interruption and weak customer recovery with limited visibility or accountability.</t>
  </si>
  <si>
    <t>High risk: backlog aging analysis linked to customer risk, revenue risk and operational constraints depends on informal practices or individual knowledge. Disruption may expose missed commitments, SLA breaches, service interruption and weak customer recovery and slow recovery.</t>
  </si>
  <si>
    <t>Elevated risk: backlog aging analysis linked to customer risk, revenue risk and operational constraints is partially controlled, but coverage, evidence or testing is inconsistent. Crisis response may be fragmented.</t>
  </si>
  <si>
    <t>Moderate risk: backlog aging analysis linked to customer risk, revenue risk and operational constraints is documented and owned, but measurement, stress testing and integration with dependent processes need strengthening.</t>
  </si>
  <si>
    <t>Residual risk: backlog aging analysis linked to customer risk, revenue risk and operational constraints is measured and reviewed, but monitoring, automation or scenario testing should be improved to prevent maturity drift.</t>
  </si>
  <si>
    <t>Low residual risk: backlog aging analysis linked to customer risk, revenue risk and operational constraints is mature and crisis-tested. Maintain monitoring, evidence, ownership and periodic stress testing.</t>
  </si>
  <si>
    <t>Create an immediate risk owner, minimum control baseline and fallback procedure for backlog aging analysis linked to customer risk, revenue risk and operational constraints. Add it to the crisis risk register and collect first evidence.</t>
  </si>
  <si>
    <t>Document backlog aging analysis linked to customer risk, revenue risk and operational constraints, assign RACI, define minimum controls and KPIs, and validate coverage across key sites, teams or systems.</t>
  </si>
  <si>
    <t>Standardize backlog aging analysis linked to customer risk, revenue risk and operational constraints, close coverage gaps, train accountable roles and connect controls to the relevant crisis scenarios and continuity plans.</t>
  </si>
  <si>
    <t>Measure and test backlog aging analysis linked to customer risk, revenue risk and operational constraints, run tabletop or operational stress tests, integrate it with dependent processes and update crisis playbooks.</t>
  </si>
  <si>
    <t>Sustain maturity for backlog aging analysis linked to customer risk, revenue risk and operational constraints: keep evidence current, monitor drift, benchmark externally and refresh risk tests after organizational, system or market changes.</t>
  </si>
  <si>
    <t>Immature capability for customer-specific runbooks for critical accounts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</si>
  <si>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customer-specific runbooks for critical accounts.</t>
  </si>
  <si>
    <t>Severe risk: customer-specific runbooks for critical accounts is not reliably controlled. During Delivery disruption; Customer impact; Workforce disruption, the organization may face missed commitments, SLA breaches, service interruption and weak customer recovery with limited visibility or accountability.</t>
  </si>
  <si>
    <t>High risk: customer-specific runbooks for critical accounts depends on informal practices or individual knowledge. Disruption may expose missed commitments, SLA breaches, service interruption and weak customer recovery and slow recovery.</t>
  </si>
  <si>
    <t>Elevated risk: customer-specific runbooks for critical accounts is partially controlled, but coverage, evidence or testing is inconsistent. Crisis response may be fragmented.</t>
  </si>
  <si>
    <t>Moderate risk: customer-specific runbooks for critical accounts is documented and owned, but measurement, stress testing and integration with dependent processes need strengthening.</t>
  </si>
  <si>
    <t>Residual risk: customer-specific runbooks for critical accounts is measured and reviewed, but monitoring, automation or scenario testing should be improved to prevent maturity drift.</t>
  </si>
  <si>
    <t>Low residual risk: customer-specific runbooks for critical accounts is mature and crisis-tested. Maintain monitoring, evidence, ownership and periodic stress testing.</t>
  </si>
  <si>
    <t>Create an immediate risk owner, minimum control baseline and fallback procedure for customer-specific runbooks for critical accounts. Add it to the crisis risk register and collect first evidence.</t>
  </si>
  <si>
    <t>Document customer-specific runbooks for critical accounts, assign RACI, define minimum controls and KPIs, and validate coverage across key sites, teams or systems.</t>
  </si>
  <si>
    <t>Standardize customer-specific runbooks for critical accounts, close coverage gaps, train accountable roles and connect controls to the relevant crisis scenarios and continuity plans.</t>
  </si>
  <si>
    <t>Measure and test customer-specific runbooks for critical accounts, run tabletop or operational stress tests, integrate it with dependent processes and update crisis playbooks.</t>
  </si>
  <si>
    <t>Sustain maturity for customer-specific runbooks for critical accounts: keep evidence current, monitor drift, benchmark externally and refresh risk tests after organizational, system or market changes.</t>
  </si>
  <si>
    <t>Immature capability for critical tools, equipment and licenses required for delivery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</si>
  <si>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critical tools, equipment and licenses required for delivery.</t>
  </si>
  <si>
    <t>Severe risk: critical tools, equipment and licenses required for delivery is not reliably controlled. During Delivery disruption; Customer impact; Workforce disruption, the organization may face missed commitments, SLA breaches, service interruption and weak customer recovery with limited visibility or accountability.</t>
  </si>
  <si>
    <t>High risk: critical tools, equipment and licenses required for delivery depends on informal practices or individual knowledge. Disruption may expose missed commitments, SLA breaches, service interruption and weak customer recovery and slow recovery.</t>
  </si>
  <si>
    <t>Elevated risk: critical tools, equipment and licenses required for delivery is partially controlled, but coverage, evidence or testing is inconsistent. Crisis response may be fragmented.</t>
  </si>
  <si>
    <t>Moderate risk: critical tools, equipment and licenses required for delivery is documented and owned, but measurement, stress testing and integration with dependent processes need strengthening.</t>
  </si>
  <si>
    <t>Residual risk: critical tools, equipment and licenses required for delivery is measured and reviewed, but monitoring, automation or scenario testing should be improved to prevent maturity drift.</t>
  </si>
  <si>
    <t>Low residual risk: critical tools, equipment and licenses required for delivery is mature and crisis-tested. Maintain monitoring, evidence, ownership and periodic stress testing.</t>
  </si>
  <si>
    <t>Create an immediate risk owner, minimum control baseline and fallback procedure for critical tools, equipment and licenses required for delivery. Add it to the crisis risk register and collect first evidence.</t>
  </si>
  <si>
    <t>Document critical tools, equipment and licenses required for delivery, assign RACI, define minimum controls and KPIs, and validate coverage across key sites, teams or systems.</t>
  </si>
  <si>
    <t>Standardize critical tools, equipment and licenses required for delivery, close coverage gaps, train accountable roles and connect controls to the relevant crisis scenarios and continuity plans.</t>
  </si>
  <si>
    <t>Measure and test critical tools, equipment and licenses required for delivery, run tabletop or operational stress tests, integrate it with dependent processes and update crisis playbooks.</t>
  </si>
  <si>
    <t>Sustain maturity for critical tools, equipment and licenses required for delivery: keep evidence current, monitor drift, benchmark externally and refresh risk tests after organizational, system or market changes.</t>
  </si>
  <si>
    <t>Immature capability for geographic delivery exposure by customer, supplier, team and site location may lead to missed commitments, SLA breaches, service interruption and weak customer recovery during Delivery disruption; Customer impact; Workforce disruption.</t>
  </si>
  <si>
    <t>Low maturity, weak ownership, incomplete evidence, insufficient testing and poor integration with crisis-management routines for geographic delivery exposure by customer, supplier, team and site location.</t>
  </si>
  <si>
    <t>Severe risk: geographic delivery exposure by customer, supplier, team and site location is not reliably controlled. During Delivery disruption; Customer impact; Workforce disruption, the organization may face missed commitments, SLA breaches, service interruption and weak customer recovery with limited visibility or accountability.</t>
  </si>
  <si>
    <t>High risk: geographic delivery exposure by customer, supplier, team and site location depends on informal practices or individual knowledge. Disruption may expose missed commitments, SLA breaches, service interruption and weak customer recovery and slow recovery.</t>
  </si>
  <si>
    <t>Elevated risk: geographic delivery exposure by customer, supplier, team and site location is partially controlled, but coverage, evidence or testing is inconsistent. Crisis response may be fragmented.</t>
  </si>
  <si>
    <t>Moderate risk: geographic delivery exposure by customer, supplier, team and site location is documented and owned, but measurement, stress testing and integration with dependent processes need strengthening.</t>
  </si>
  <si>
    <t>Residual risk: geographic delivery exposure by customer, supplier, team and site location is measured and reviewed, but monitoring, automation or scenario testing should be improved to prevent maturity drift.</t>
  </si>
  <si>
    <t>Low residual risk: geographic delivery exposure by customer, supplier, team and site location is mature and crisis-tested. Maintain monitoring, evidence, ownership and periodic stress testing.</t>
  </si>
  <si>
    <t>Create an immediate risk owner, minimum control baseline and fallback procedure for geographic delivery exposure by customer, supplier, team and site location. Add it to the crisis risk register and collect first evidence.</t>
  </si>
  <si>
    <t>Document geographic delivery exposure by customer, supplier, team and site location, assign RACI, define minimum controls and KPIs, and validate coverage across key sites, teams or systems.</t>
  </si>
  <si>
    <t>Standardize geographic delivery exposure by customer, supplier, team and site location, close coverage gaps, train accountable roles and connect controls to the relevant crisis scenarios and continuity plans.</t>
  </si>
  <si>
    <t>Measure and test geographic delivery exposure by customer, supplier, team and site location, run tabletop or operational stress tests, integrate it with dependent processes and update crisis playbooks.</t>
  </si>
  <si>
    <t>Sustain maturity for geographic delivery exposure by customer, supplier, team and site location: keep evidence current, monitor drift, benchmark externally and refresh risk tests after organizational, system or market changes.</t>
  </si>
  <si>
    <t>Immature capability for end-to-end supply chain map from raw materials and suppliers to production, logistics, delivery and customers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</si>
  <si>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end-to-end supply chain map from raw materials and suppliers to production, logistics, delivery and customers.</t>
  </si>
  <si>
    <t>Severe risk: end-to-end supply chain map from raw materials and suppliers to production, logistics, delivery and customers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</si>
  <si>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end-to-end supply chain map from raw materials and suppliers to production, logistics, delivery and customers depends on informal practices or individual knowledge. Disruption may expose supplier failure, logistics disruption, inventory shortages and production or delivery delays and slow recovery.</t>
  </si>
  <si>
    <t>Elevated risk: end-to-end supply chain map from raw materials and suppliers to production, logistics, delivery and customers is partially controlled, but coverage, evidence or testing is inconsistent. Crisis response may be fragmented.</t>
  </si>
  <si>
    <t>Moderate risk: end-to-end supply chain map from raw materials and suppliers to production, logistics, delivery and customers is documented and owned, but measurement, stress testing and integration with dependent processes need strengthening.</t>
  </si>
  <si>
    <t>Residual risk: end-to-end supply chain map from raw materials and suppliers to production, logistics, delivery and customers is measured and reviewed, but monitoring, automation or scenario testing should be improved to prevent maturity drift.</t>
  </si>
  <si>
    <t>Low residual risk: end-to-end supply chain map from raw materials and suppliers to production, logistics, delivery and customers is mature and crisis-tested. Maintain monitoring, evidence, ownership and periodic stress testing.</t>
  </si>
  <si>
    <t>Create an immediate risk owner, minimum control baseline and fallback procedure for end-to-end supply chain map from raw materials and suppliers to production, logistics, delivery and customers. Add it to the crisis risk register and collect first evidence.</t>
  </si>
  <si>
    <t>Document end-to-end supply chain map from raw materials and suppliers to production, logistics, delivery and customers, assign RACI, define minimum controls and KPIs, and validate coverage across key sites, teams or systems.</t>
  </si>
  <si>
    <t>Standardize end-to-end supply chain map from raw materials and suppliers to production, logistics, delivery and customers, close coverage gaps, train accountable roles and connect controls to the relevant crisis scenarios and continuity plans.</t>
  </si>
  <si>
    <t>Measure and test end-to-end supply chain map from raw materials and suppliers to production, logistics, delivery and customers, run tabletop or operational stress tests, integrate it with dependent processes and update crisis playbooks.</t>
  </si>
  <si>
    <t>Sustain maturity for end-to-end supply chain map from raw materials and suppliers to production, logistics, delivery and customers: keep evidence current, monitor drift, benchmark externally and refresh risk tests after organizational, system or market changes.</t>
  </si>
  <si>
    <t>Immature capability for visibility beyond tier-1 suppliers for critical materials, components and services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</si>
  <si>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visibility beyond tier-1 suppliers for critical materials, components and services.</t>
  </si>
  <si>
    <t>Severe risk: visibility beyond tier-1 suppliers for critical materials, components and services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</si>
  <si>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visibility beyond tier-1 suppliers for critical materials, components and services depends on informal practices or individual knowledge. Disruption may expose supplier failure, logistics disruption, inventory shortages and production or delivery delays and slow recovery.</t>
  </si>
  <si>
    <t>Elevated risk: visibility beyond tier-1 suppliers for critical materials, components and services is partially controlled, but coverage, evidence or testing is inconsistent. Crisis response may be fragmented.</t>
  </si>
  <si>
    <t>Moderate risk: visibility beyond tier-1 suppliers for critical materials, components and services is documented and owned, but measurement, stress testing and integration with dependent processes need strengthening.</t>
  </si>
  <si>
    <t>Residual risk: visibility beyond tier-1 suppliers for critical materials, components and services is measured and reviewed, but monitoring, automation or scenario testing should be improved to prevent maturity drift.</t>
  </si>
  <si>
    <t>Low residual risk: visibility beyond tier-1 suppliers for critical materials, components and services is mature and crisis-tested. Maintain monitoring, evidence, ownership and periodic stress testing.</t>
  </si>
  <si>
    <t>Create an immediate risk owner, minimum control baseline and fallback procedure for visibility beyond tier-1 suppliers for critical materials, components and services. Add it to the crisis risk register and collect first evidence.</t>
  </si>
  <si>
    <t>Document visibility beyond tier-1 suppliers for critical materials, components and services, assign RACI, define minimum controls and KPIs, and validate coverage across key sites, teams or systems.</t>
  </si>
  <si>
    <t>Standardize visibility beyond tier-1 suppliers for critical materials, components and services, close coverage gaps, train accountable roles and connect controls to the relevant crisis scenarios and continuity plans.</t>
  </si>
  <si>
    <t>Measure and test visibility beyond tier-1 suppliers for critical materials, components and services, run tabletop or operational stress tests, integrate it with dependent processes and update crisis playbooks.</t>
  </si>
  <si>
    <t>Sustain maturity for visibility beyond tier-1 suppliers for critical materials, components and services: keep evidence current, monitor drift, benchmark externally and refresh risk tests after organizational, system or market changes.</t>
  </si>
  <si>
    <t>Immature capability for supplier criticality scoring by business impact, availability, substitution, lead time and geography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</si>
  <si>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supplier criticality scoring by business impact, availability, substitution, lead time and geography.</t>
  </si>
  <si>
    <t>Severe risk: supplier criticality scoring by business impact, availability, substitution, lead time and geography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</si>
  <si>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supplier criticality scoring by business impact, availability, substitution, lead time and geography depends on informal practices or individual knowledge. Disruption may expose supplier failure, logistics disruption, inventory shortages and production or delivery delays and slow recovery.</t>
  </si>
  <si>
    <t>Elevated risk: supplier criticality scoring by business impact, availability, substitution, lead time and geography is partially controlled, but coverage, evidence or testing is inconsistent. Crisis response may be fragmented.</t>
  </si>
  <si>
    <t>Moderate risk: supplier criticality scoring by business impact, availability, substitution, lead time and geography is documented and owned, but measurement, stress testing and integration with dependent processes need strengthening.</t>
  </si>
  <si>
    <t>Residual risk: supplier criticality scoring by business impact, availability, substitution, lead time and geography is measured and reviewed, but monitoring, automation or scenario testing should be improved to prevent maturity drift.</t>
  </si>
  <si>
    <t>Low residual risk: supplier criticality scoring by business impact, availability, substitution, lead time and geography is mature and crisis-tested. Maintain monitoring, evidence, ownership and periodic stress testing.</t>
  </si>
  <si>
    <t>Create an immediate risk owner, minimum control baseline and fallback procedure for supplier criticality scoring by business impact, availability, substitution, lead time and geography. Add it to the crisis risk register and collect first evidence.</t>
  </si>
  <si>
    <t>Document supplier criticality scoring by business impact, availability, substitution, lead time and geography, assign RACI, define minimum controls and KPIs, and validate coverage across key sites, teams or systems.</t>
  </si>
  <si>
    <t>Standardize supplier criticality scoring by business impact, availability, substitution, lead time and geography, close coverage gaps, train accountable roles and connect controls to the relevant crisis scenarios and continuity plans.</t>
  </si>
  <si>
    <t>Measure and test supplier criticality scoring by business impact, availability, substitution, lead time and geography, run tabletop or operational stress tests, integrate it with dependent processes and update crisis playbooks.</t>
  </si>
  <si>
    <t>Sustain maturity for supplier criticality scoring by business impact, availability, substitution, lead time and geography: keep evidence current, monitor drift, benchmark externally and refresh risk tests after organizational, system or market changes.</t>
  </si>
  <si>
    <t>Immature capability for supplier concentration by spend, dependency, category, geography and product line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</si>
  <si>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supplier concentration by spend, dependency, category, geography and product line.</t>
  </si>
  <si>
    <t>Severe risk: supplier concentration by spend, dependency, category, geography and product line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</si>
  <si>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supplier concentration by spend, dependency, category, geography and product line depends on informal practices or individual knowledge. Disruption may expose supplier failure, logistics disruption, inventory shortages and production or delivery delays and slow recovery.</t>
  </si>
  <si>
    <t>Elevated risk: supplier concentration by spend, dependency, category, geography and product line is partially controlled, but coverage, evidence or testing is inconsistent. Crisis response may be fragmented.</t>
  </si>
  <si>
    <t>Moderate risk: supplier concentration by spend, dependency, category, geography and product line is documented and owned, but measurement, stress testing and integration with dependent processes need strengthening.</t>
  </si>
  <si>
    <t>Residual risk: supplier concentration by spend, dependency, category, geography and product line is measured and reviewed, but monitoring, automation or scenario testing should be improved to prevent maturity drift.</t>
  </si>
  <si>
    <t>Low residual risk: supplier concentration by spend, dependency, category, geography and product line is mature and crisis-tested. Maintain monitoring, evidence, ownership and periodic stress testing.</t>
  </si>
  <si>
    <t>Create an immediate risk owner, minimum control baseline and fallback procedure for supplier concentration by spend, dependency, category, geography and product line. Add it to the crisis risk register and collect first evidence.</t>
  </si>
  <si>
    <t>Document supplier concentration by spend, dependency, category, geography and product line, assign RACI, define minimum controls and KPIs, and validate coverage across key sites, teams or systems.</t>
  </si>
  <si>
    <t>Standardize supplier concentration by spend, dependency, category, geography and product line, close coverage gaps, train accountable roles and connect controls to the relevant crisis scenarios and continuity plans.</t>
  </si>
  <si>
    <t>Measure and test supplier concentration by spend, dependency, category, geography and product line, run tabletop or operational stress tests, integrate it with dependent processes and update crisis playbooks.</t>
  </si>
  <si>
    <t>Sustain maturity for supplier concentration by spend, dependency, category, geography and product line: keep evidence current, monitor drift, benchmark externally and refresh risk tests after organizational, system or market changes.</t>
  </si>
  <si>
    <t>Immature capability for critical supplier continuity plans, recovery times and incident notification commitments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</si>
  <si>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critical supplier continuity plans, recovery times and incident notification commitments.</t>
  </si>
  <si>
    <t>Severe risk: critical supplier continuity plans, recovery times and incident notification commitments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</si>
  <si>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critical supplier continuity plans, recovery times and incident notification commitments depends on informal practices or individual knowledge. Disruption may expose supplier failure, logistics disruption, inventory shortages and production or delivery delays and slow recovery.</t>
  </si>
  <si>
    <t>Elevated risk: critical supplier continuity plans, recovery times and incident notification commitments is partially controlled, but coverage, evidence or testing is inconsistent. Crisis response may be fragmented.</t>
  </si>
  <si>
    <t>Moderate risk: critical supplier continuity plans, recovery times and incident notification commitments is documented and owned, but measurement, stress testing and integration with dependent processes need strengthening.</t>
  </si>
  <si>
    <t>Residual risk: critical supplier continuity plans, recovery times and incident notification commitments is measured and reviewed, but monitoring, automation or scenario testing should be improved to prevent maturity drift.</t>
  </si>
  <si>
    <t>Low residual risk: critical supplier continuity plans, recovery times and incident notification commitments is mature and crisis-tested. Maintain monitoring, evidence, ownership and periodic stress testing.</t>
  </si>
  <si>
    <t>Create an immediate risk owner, minimum control baseline and fallback procedure for critical supplier continuity plans, recovery times and incident notification commitments. Add it to the crisis risk register and collect first evidence.</t>
  </si>
  <si>
    <t>Document critical supplier continuity plans, recovery times and incident notification commitments, assign RACI, define minimum controls and KPIs, and validate coverage across key sites, teams or systems.</t>
  </si>
  <si>
    <t>Standardize critical supplier continuity plans, recovery times and incident notification commitments, close coverage gaps, train accountable roles and connect controls to the relevant crisis scenarios and continuity plans.</t>
  </si>
  <si>
    <t>Measure and test critical supplier continuity plans, recovery times and incident notification commitments, run tabletop or operational stress tests, integrate it with dependent processes and update crisis playbooks.</t>
  </si>
  <si>
    <t>Sustain maturity for critical supplier continuity plans, recovery times and incident notification commitments: keep evidence current, monitor drift, benchmark externally and refresh risk tests after organizational, system or market changes.</t>
  </si>
  <si>
    <t>Immature capability for pre-qualified alternative suppliers for critical categories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</si>
  <si>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pre-qualified alternative suppliers for critical categories.</t>
  </si>
  <si>
    <t>Severe risk: pre-qualified alternative suppliers for critical categories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</si>
  <si>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pre-qualified alternative suppliers for critical categories depends on informal practices or individual knowledge. Disruption may expose supplier failure, logistics disruption, inventory shortages and production or delivery delays and slow recovery.</t>
  </si>
  <si>
    <t>Elevated risk: pre-qualified alternative suppliers for critical categories is partially controlled, but coverage, evidence or testing is inconsistent. Crisis response may be fragmented.</t>
  </si>
  <si>
    <t>Moderate risk: pre-qualified alternative suppliers for critical categories is documented and owned, but measurement, stress testing and integration with dependent processes need strengthening.</t>
  </si>
  <si>
    <t>Residual risk: pre-qualified alternative suppliers for critical categories is measured and reviewed, but monitoring, automation or scenario testing should be improved to prevent maturity drift.</t>
  </si>
  <si>
    <t>Low residual risk: pre-qualified alternative suppliers for critical categories is mature and crisis-tested. Maintain monitoring, evidence, ownership and periodic stress testing.</t>
  </si>
  <si>
    <t>Create an immediate risk owner, minimum control baseline and fallback procedure for pre-qualified alternative suppliers for critical categories. Add it to the crisis risk register and collect first evidence.</t>
  </si>
  <si>
    <t>Document pre-qualified alternative suppliers for critical categories, assign RACI, define minimum controls and KPIs, and validate coverage across key sites, teams or systems.</t>
  </si>
  <si>
    <t>Standardize pre-qualified alternative suppliers for critical categories, close coverage gaps, train accountable roles and connect controls to the relevant crisis scenarios and continuity plans.</t>
  </si>
  <si>
    <t>Measure and test pre-qualified alternative suppliers for critical categories, run tabletop or operational stress tests, integrate it with dependent processes and update crisis playbooks.</t>
  </si>
  <si>
    <t>Sustain maturity for pre-qualified alternative suppliers for critical categories: keep evidence current, monitor drift, benchmark externally and refresh risk tests after organizational, system or market changes.</t>
  </si>
  <si>
    <t>Immature capability for critical logistics routes, carriers, ports, borders, warehouses and transit risks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</si>
  <si>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critical logistics routes, carriers, ports, borders, warehouses and transit risks.</t>
  </si>
  <si>
    <t>Severe risk: critical logistics routes, carriers, ports, borders, warehouses and transit risks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</si>
  <si>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critical logistics routes, carriers, ports, borders, warehouses and transit risks depends on informal practices or individual knowledge. Disruption may expose supplier failure, logistics disruption, inventory shortages and production or delivery delays and slow recovery.</t>
  </si>
  <si>
    <t>Elevated risk: critical logistics routes, carriers, ports, borders, warehouses and transit risks is partially controlled, but coverage, evidence or testing is inconsistent. Crisis response may be fragmented.</t>
  </si>
  <si>
    <t>Moderate risk: critical logistics routes, carriers, ports, borders, warehouses and transit risks is documented and owned, but measurement, stress testing and integration with dependent processes need strengthening.</t>
  </si>
  <si>
    <t>Residual risk: critical logistics routes, carriers, ports, borders, warehouses and transit risks is measured and reviewed, but monitoring, automation or scenario testing should be improved to prevent maturity drift.</t>
  </si>
  <si>
    <t>Low residual risk: critical logistics routes, carriers, ports, borders, warehouses and transit risks is mature and crisis-tested. Maintain monitoring, evidence, ownership and periodic stress testing.</t>
  </si>
  <si>
    <t>Create an immediate risk owner, minimum control baseline and fallback procedure for critical logistics routes, carriers, ports, borders, warehouses and transit risks. Add it to the crisis risk register and collect first evidence.</t>
  </si>
  <si>
    <t>Document critical logistics routes, carriers, ports, borders, warehouses and transit risks, assign RACI, define minimum controls and KPIs, and validate coverage across key sites, teams or systems.</t>
  </si>
  <si>
    <t>Standardize critical logistics routes, carriers, ports, borders, warehouses and transit risks, close coverage gaps, train accountable roles and connect controls to the relevant crisis scenarios and continuity plans.</t>
  </si>
  <si>
    <t>Measure and test critical logistics routes, carriers, ports, borders, warehouses and transit risks, run tabletop or operational stress tests, integrate it with dependent processes and update crisis playbooks.</t>
  </si>
  <si>
    <t>Sustain maturity for critical logistics routes, carriers, ports, borders, warehouses and transit risks: keep evidence current, monitor drift, benchmark externally and refresh risk tests after organizational, system or market changes.</t>
  </si>
  <si>
    <t>Immature capability for alternative carriers, routes and warehouses for disruption scenarios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</si>
  <si>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alternative carriers, routes and warehouses for disruption scenarios.</t>
  </si>
  <si>
    <t>Severe risk: alternative carriers, routes and warehouses for disruption scenarios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</si>
  <si>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alternative carriers, routes and warehouses for disruption scenarios depends on informal practices or individual knowledge. Disruption may expose supplier failure, logistics disruption, inventory shortages and production or delivery delays and slow recovery.</t>
  </si>
  <si>
    <t>Elevated risk: alternative carriers, routes and warehouses for disruption scenarios is partially controlled, but coverage, evidence or testing is inconsistent. Crisis response may be fragmented.</t>
  </si>
  <si>
    <t>Moderate risk: alternative carriers, routes and warehouses for disruption scenarios is documented and owned, but measurement, stress testing and integration with dependent processes need strengthening.</t>
  </si>
  <si>
    <t>Residual risk: alternative carriers, routes and warehouses for disruption scenarios is measured and reviewed, but monitoring, automation or scenario testing should be improved to prevent maturity drift.</t>
  </si>
  <si>
    <t>Low residual risk: alternative carriers, routes and warehouses for disruption scenarios is mature and crisis-tested. Maintain monitoring, evidence, ownership and periodic stress testing.</t>
  </si>
  <si>
    <t>Create an immediate risk owner, minimum control baseline and fallback procedure for alternative carriers, routes and warehouses for disruption scenarios. Add it to the crisis risk register and collect first evidence.</t>
  </si>
  <si>
    <t>Document alternative carriers, routes and warehouses for disruption scenarios, assign RACI, define minimum controls and KPIs, and validate coverage across key sites, teams or systems.</t>
  </si>
  <si>
    <t>Standardize alternative carriers, routes and warehouses for disruption scenarios, close coverage gaps, train accountable roles and connect controls to the relevant crisis scenarios and continuity plans.</t>
  </si>
  <si>
    <t>Measure and test alternative carriers, routes and warehouses for disruption scenarios, run tabletop or operational stress tests, integrate it with dependent processes and update crisis playbooks.</t>
  </si>
  <si>
    <t>Sustain maturity for alternative carriers, routes and warehouses for disruption scenarios: keep evidence current, monitor drift, benchmark externally and refresh risk tests after organizational, system or market changes.</t>
  </si>
  <si>
    <t>Immature capability for transport capacity for peak demand or disruption periods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</si>
  <si>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transport capacity for peak demand or disruption periods.</t>
  </si>
  <si>
    <t>Severe risk: transport capacity for peak demand or disruption periods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</si>
  <si>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transport capacity for peak demand or disruption periods depends on informal practices or individual knowledge. Disruption may expose supplier failure, logistics disruption, inventory shortages and production or delivery delays and slow recovery.</t>
  </si>
  <si>
    <t>Elevated risk: transport capacity for peak demand or disruption periods is partially controlled, but coverage, evidence or testing is inconsistent. Crisis response may be fragmented.</t>
  </si>
  <si>
    <t>Moderate risk: transport capacity for peak demand or disruption periods is documented and owned, but measurement, stress testing and integration with dependent processes need strengthening.</t>
  </si>
  <si>
    <t>Residual risk: transport capacity for peak demand or disruption periods is measured and reviewed, but monitoring, automation or scenario testing should be improved to prevent maturity drift.</t>
  </si>
  <si>
    <t>Low residual risk: transport capacity for peak demand or disruption periods is mature and crisis-tested. Maintain monitoring, evidence, ownership and periodic stress testing.</t>
  </si>
  <si>
    <t>Create an immediate risk owner, minimum control baseline and fallback procedure for transport capacity for peak demand or disruption periods. Add it to the crisis risk register and collect first evidence.</t>
  </si>
  <si>
    <t>Document transport capacity for peak demand or disruption periods, assign RACI, define minimum controls and KPIs, and validate coverage across key sites, teams or systems.</t>
  </si>
  <si>
    <t>Standardize transport capacity for peak demand or disruption periods, close coverage gaps, train accountable roles and connect controls to the relevant crisis scenarios and continuity plans.</t>
  </si>
  <si>
    <t>Measure and test transport capacity for peak demand or disruption periods, run tabletop or operational stress tests, integrate it with dependent processes and update crisis playbooks.</t>
  </si>
  <si>
    <t>Sustain maturity for transport capacity for peak demand or disruption periods: keep evidence current, monitor drift, benchmark externally and refresh risk tests after organizational, system or market changes.</t>
  </si>
  <si>
    <t>Immature capability for shipment tracking and reliable ETA communication for critical shipments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</si>
  <si>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shipment tracking and reliable ETA communication for critical shipments.</t>
  </si>
  <si>
    <t>Severe risk: shipment tracking and reliable ETA communication for critical shipments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</si>
  <si>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shipment tracking and reliable ETA communication for critical shipments depends on informal practices or individual knowledge. Disruption may expose supplier failure, logistics disruption, inventory shortages and production or delivery delays and slow recovery.</t>
  </si>
  <si>
    <t>Elevated risk: shipment tracking and reliable ETA communication for critical shipments is partially controlled, but coverage, evidence or testing is inconsistent. Crisis response may be fragmented.</t>
  </si>
  <si>
    <t>Moderate risk: shipment tracking and reliable ETA communication for critical shipments is documented and owned, but measurement, stress testing and integration with dependent processes need strengthening.</t>
  </si>
  <si>
    <t>Residual risk: shipment tracking and reliable ETA communication for critical shipments is measured and reviewed, but monitoring, automation or scenario testing should be improved to prevent maturity drift.</t>
  </si>
  <si>
    <t>Low residual risk: shipment tracking and reliable ETA communication for critical shipments is mature and crisis-tested. Maintain monitoring, evidence, ownership and periodic stress testing.</t>
  </si>
  <si>
    <t>Create an immediate risk owner, minimum control baseline and fallback procedure for shipment tracking and reliable ETA communication for critical shipments. Add it to the crisis risk register and collect first evidence.</t>
  </si>
  <si>
    <t>Document shipment tracking and reliable ETA communication for critical shipments, assign RACI, define minimum controls and KPIs, and validate coverage across key sites, teams or systems.</t>
  </si>
  <si>
    <t>Standardize shipment tracking and reliable ETA communication for critical shipments, close coverage gaps, train accountable roles and connect controls to the relevant crisis scenarios and continuity plans.</t>
  </si>
  <si>
    <t>Measure and test shipment tracking and reliable ETA communication for critical shipments, run tabletop or operational stress tests, integrate it with dependent processes and update crisis playbooks.</t>
  </si>
  <si>
    <t>Sustain maturity for shipment tracking and reliable ETA communication for critical shipments: keep evidence current, monitor drift, benchmark externally and refresh risk tests after organizational, system or market changes.</t>
  </si>
  <si>
    <t>Immature capability for customs, import/export, sanctions and trade documentation controls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</si>
  <si>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customs, import/export, sanctions and trade documentation controls.</t>
  </si>
  <si>
    <t>Severe risk: customs, import/export, sanctions and trade documentation controls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</si>
  <si>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customs, import/export, sanctions and trade documentation controls depends on informal practices or individual knowledge. Disruption may expose supplier failure, logistics disruption, inventory shortages and production or delivery delays and slow recovery.</t>
  </si>
  <si>
    <t>Elevated risk: customs, import/export, sanctions and trade documentation controls is partially controlled, but coverage, evidence or testing is inconsistent. Crisis response may be fragmented.</t>
  </si>
  <si>
    <t>Moderate risk: customs, import/export, sanctions and trade documentation controls is documented and owned, but measurement, stress testing and integration with dependent processes need strengthening.</t>
  </si>
  <si>
    <t>Residual risk: customs, import/export, sanctions and trade documentation controls is measured and reviewed, but monitoring, automation or scenario testing should be improved to prevent maturity drift.</t>
  </si>
  <si>
    <t>Low residual risk: customs, import/export, sanctions and trade documentation controls is mature and crisis-tested. Maintain monitoring, evidence, ownership and periodic stress testing.</t>
  </si>
  <si>
    <t>Create an immediate risk owner, minimum control baseline and fallback procedure for customs, import/export, sanctions and trade documentation controls. Add it to the crisis risk register and collect first evidence.</t>
  </si>
  <si>
    <t>Document customs, import/export, sanctions and trade documentation controls, assign RACI, define minimum controls and KPIs, and validate coverage across key sites, teams or systems.</t>
  </si>
  <si>
    <t>Standardize customs, import/export, sanctions and trade documentation controls, close coverage gaps, train accountable roles and connect controls to the relevant crisis scenarios and continuity plans.</t>
  </si>
  <si>
    <t>Measure and test customs, import/export, sanctions and trade documentation controls, run tabletop or operational stress tests, integrate it with dependent processes and update crisis playbooks.</t>
  </si>
  <si>
    <t>Sustain maturity for customs, import/export, sanctions and trade documentation controls: keep evidence current, monitor drift, benchmark externally and refresh risk tests after organizational, system or market changes.</t>
  </si>
  <si>
    <t>Immature capability for Incoterms, insurance, liability and delivery obligations for critical flows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</si>
  <si>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Incoterms, insurance, liability and delivery obligations for critical flows.</t>
  </si>
  <si>
    <t>Severe risk: Incoterms, insurance, liability and delivery obligations for critical flows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</si>
  <si>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Incoterms, insurance, liability and delivery obligations for critical flows depends on informal practices or individual knowledge. Disruption may expose supplier failure, logistics disruption, inventory shortages and production or delivery delays and slow recovery.</t>
  </si>
  <si>
    <t>Elevated risk: Incoterms, insurance, liability and delivery obligations for critical flows is partially controlled, but coverage, evidence or testing is inconsistent. Crisis response may be fragmented.</t>
  </si>
  <si>
    <t>Moderate risk: Incoterms, insurance, liability and delivery obligations for critical flows is documented and owned, but measurement, stress testing and integration with dependent processes need strengthening.</t>
  </si>
  <si>
    <t>Residual risk: Incoterms, insurance, liability and delivery obligations for critical flows is measured and reviewed, but monitoring, automation or scenario testing should be improved to prevent maturity drift.</t>
  </si>
  <si>
    <t>Low residual risk: Incoterms, insurance, liability and delivery obligations for critical flows is mature and crisis-tested. Maintain monitoring, evidence, ownership and periodic stress testing.</t>
  </si>
  <si>
    <t>Create an immediate risk owner, minimum control baseline and fallback procedure for Incoterms, insurance, liability and delivery obligations for critical flows. Add it to the crisis risk register and collect first evidence.</t>
  </si>
  <si>
    <t>Document Incoterms, insurance, liability and delivery obligations for critical flows, assign RACI, define minimum controls and KPIs, and validate coverage across key sites, teams or systems.</t>
  </si>
  <si>
    <t>Standardize Incoterms, insurance, liability and delivery obligations for critical flows, close coverage gaps, train accountable roles and connect controls to the relevant crisis scenarios and continuity plans.</t>
  </si>
  <si>
    <t>Measure and test Incoterms, insurance, liability and delivery obligations for critical flows, run tabletop or operational stress tests, integrate it with dependent processes and update crisis playbooks.</t>
  </si>
  <si>
    <t>Sustain maturity for Incoterms, insurance, liability and delivery obligations for critical flows: keep evidence current, monitor drift, benchmark externally and refresh risk tests after organizational, system or market changes.</t>
  </si>
  <si>
    <t>Immature capability for safety stock, reorder points, min/max levels and buffer rules by criticality and lead time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</si>
  <si>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safety stock, reorder points, min/max levels and buffer rules by criticality and lead time.</t>
  </si>
  <si>
    <t>Severe risk: safety stock, reorder points, min/max levels and buffer rules by criticality and lead time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</si>
  <si>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safety stock, reorder points, min/max levels and buffer rules by criticality and lead time depends on informal practices or individual knowledge. Disruption may expose supplier failure, logistics disruption, inventory shortages and production or delivery delays and slow recovery.</t>
  </si>
  <si>
    <t>Elevated risk: safety stock, reorder points, min/max levels and buffer rules by criticality and lead time is partially controlled, but coverage, evidence or testing is inconsistent. Crisis response may be fragmented.</t>
  </si>
  <si>
    <t>Moderate risk: safety stock, reorder points, min/max levels and buffer rules by criticality and lead time is documented and owned, but measurement, stress testing and integration with dependent processes need strengthening.</t>
  </si>
  <si>
    <t>Residual risk: safety stock, reorder points, min/max levels and buffer rules by criticality and lead time is measured and reviewed, but monitoring, automation or scenario testing should be improved to prevent maturity drift.</t>
  </si>
  <si>
    <t>Low residual risk: safety stock, reorder points, min/max levels and buffer rules by criticality and lead time is mature and crisis-tested. Maintain monitoring, evidence, ownership and periodic stress testing.</t>
  </si>
  <si>
    <t>Create an immediate risk owner, minimum control baseline and fallback procedure for safety stock, reorder points, min/max levels and buffer rules by criticality and lead time. Add it to the crisis risk register and collect first evidence.</t>
  </si>
  <si>
    <t>Document safety stock, reorder points, min/max levels and buffer rules by criticality and lead time, assign RACI, define minimum controls and KPIs, and validate coverage across key sites, teams or systems.</t>
  </si>
  <si>
    <t>Standardize safety stock, reorder points, min/max levels and buffer rules by criticality and lead time, close coverage gaps, train accountable roles and connect controls to the relevant crisis scenarios and continuity plans.</t>
  </si>
  <si>
    <t>Measure and test safety stock, reorder points, min/max levels and buffer rules by criticality and lead time, run tabletop or operational stress tests, integrate it with dependent processes and update crisis playbooks.</t>
  </si>
  <si>
    <t>Sustain maturity for safety stock, reorder points, min/max levels and buffer rules by criticality and lead time: keep evidence current, monitor drift, benchmark externally and refresh risk tests after organizational, system or market changes.</t>
  </si>
  <si>
    <t>Immature capability for inventory visibility by SKU, location, status, shelf life, batch and ownership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</si>
  <si>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inventory visibility by SKU, location, status, shelf life, batch and ownership.</t>
  </si>
  <si>
    <t>Severe risk: inventory visibility by SKU, location, status, shelf life, batch and ownership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</si>
  <si>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inventory visibility by SKU, location, status, shelf life, batch and ownership depends on informal practices or individual knowledge. Disruption may expose supplier failure, logistics disruption, inventory shortages and production or delivery delays and slow recovery.</t>
  </si>
  <si>
    <t>Elevated risk: inventory visibility by SKU, location, status, shelf life, batch and ownership is partially controlled, but coverage, evidence or testing is inconsistent. Crisis response may be fragmented.</t>
  </si>
  <si>
    <t>Moderate risk: inventory visibility by SKU, location, status, shelf life, batch and ownership is documented and owned, but measurement, stress testing and integration with dependent processes need strengthening.</t>
  </si>
  <si>
    <t>Residual risk: inventory visibility by SKU, location, status, shelf life, batch and ownership is measured and reviewed, but monitoring, automation or scenario testing should be improved to prevent maturity drift.</t>
  </si>
  <si>
    <t>Low residual risk: inventory visibility by SKU, location, status, shelf life, batch and ownership is mature and crisis-tested. Maintain monitoring, evidence, ownership and periodic stress testing.</t>
  </si>
  <si>
    <t>Create an immediate risk owner, minimum control baseline and fallback procedure for inventory visibility by SKU, location, status, shelf life, batch and ownership. Add it to the crisis risk register and collect first evidence.</t>
  </si>
  <si>
    <t>Document inventory visibility by SKU, location, status, shelf life, batch and ownership, assign RACI, define minimum controls and KPIs, and validate coverage across key sites, teams or systems.</t>
  </si>
  <si>
    <t>Standardize inventory visibility by SKU, location, status, shelf life, batch and ownership, close coverage gaps, train accountable roles and connect controls to the relevant crisis scenarios and continuity plans.</t>
  </si>
  <si>
    <t>Measure and test inventory visibility by SKU, location, status, shelf life, batch and ownership, run tabletop or operational stress tests, integrate it with dependent processes and update crisis playbooks.</t>
  </si>
  <si>
    <t>Sustain maturity for inventory visibility by SKU, location, status, shelf life, batch and ownership: keep evidence current, monitor drift, benchmark externally and refresh risk tests after organizational, system or market changes.</t>
  </si>
  <si>
    <t>Immature capability for slow-moving, obsolete or stagnant inventory analysis linked to sales and procurement decisions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</si>
  <si>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slow-moving, obsolete or stagnant inventory analysis linked to sales and procurement decisions.</t>
  </si>
  <si>
    <t>Severe risk: slow-moving, obsolete or stagnant inventory analysis linked to sales and procurement decisions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</si>
  <si>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slow-moving, obsolete or stagnant inventory analysis linked to sales and procurement decisions depends on informal practices or individual knowledge. Disruption may expose supplier failure, logistics disruption, inventory shortages and production or delivery delays and slow recovery.</t>
  </si>
  <si>
    <t>Elevated risk: slow-moving, obsolete or stagnant inventory analysis linked to sales and procurement decisions is partially controlled, but coverage, evidence or testing is inconsistent. Crisis response may be fragmented.</t>
  </si>
  <si>
    <t>Moderate risk: slow-moving, obsolete or stagnant inventory analysis linked to sales and procurement decisions is documented and owned, but measurement, stress testing and integration with dependent processes need strengthening.</t>
  </si>
  <si>
    <t>Residual risk: slow-moving, obsolete or stagnant inventory analysis linked to sales and procurement decisions is measured and reviewed, but monitoring, automation or scenario testing should be improved to prevent maturity drift.</t>
  </si>
  <si>
    <t>Low residual risk: slow-moving, obsolete or stagnant inventory analysis linked to sales and procurement decisions is mature and crisis-tested. Maintain monitoring, evidence, ownership and periodic stress testing.</t>
  </si>
  <si>
    <t>Create an immediate risk owner, minimum control baseline and fallback procedure for slow-moving, obsolete or stagnant inventory analysis linked to sales and procurement decisions. Add it to the crisis risk register and collect first evidence.</t>
  </si>
  <si>
    <t>Document slow-moving, obsolete or stagnant inventory analysis linked to sales and procurement decisions, assign RACI, define minimum controls and KPIs, and validate coverage across key sites, teams or systems.</t>
  </si>
  <si>
    <t>Standardize slow-moving, obsolete or stagnant inventory analysis linked to sales and procurement decisions, close coverage gaps, train accountable roles and connect controls to the relevant crisis scenarios and continuity plans.</t>
  </si>
  <si>
    <t>Measure and test slow-moving, obsolete or stagnant inventory analysis linked to sales and procurement decisions, run tabletop or operational stress tests, integrate it with dependent processes and update crisis playbooks.</t>
  </si>
  <si>
    <t>Sustain maturity for slow-moving, obsolete or stagnant inventory analysis linked to sales and procurement decisions: keep evidence current, monitor drift, benchmark externally and refresh risk tests after organizational, system or market changes.</t>
  </si>
  <si>
    <t>Immature capability for critical materials and spare parts buffers sized using risk, demand variability and supplier lead time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</si>
  <si>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critical materials and spare parts buffers sized using risk, demand variability and supplier lead time.</t>
  </si>
  <si>
    <t>Severe risk: critical materials and spare parts buffers sized using risk, demand variability and supplier lead time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</si>
  <si>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critical materials and spare parts buffers sized using risk, demand variability and supplier lead time depends on informal practices or individual knowledge. Disruption may expose supplier failure, logistics disruption, inventory shortages and production or delivery delays and slow recovery.</t>
  </si>
  <si>
    <t>Elevated risk: critical materials and spare parts buffers sized using risk, demand variability and supplier lead time is partially controlled, but coverage, evidence or testing is inconsistent. Crisis response may be fragmented.</t>
  </si>
  <si>
    <t>Moderate risk: critical materials and spare parts buffers sized using risk, demand variability and supplier lead time is documented and owned, but measurement, stress testing and integration with dependent processes need strengthening.</t>
  </si>
  <si>
    <t>Residual risk: critical materials and spare parts buffers sized using risk, demand variability and supplier lead time is measured and reviewed, but monitoring, automation or scenario testing should be improved to prevent maturity drift.</t>
  </si>
  <si>
    <t>Low residual risk: critical materials and spare parts buffers sized using risk, demand variability and supplier lead time is mature and crisis-tested. Maintain monitoring, evidence, ownership and periodic stress testing.</t>
  </si>
  <si>
    <t>Create an immediate risk owner, minimum control baseline and fallback procedure for critical materials and spare parts buffers sized using risk, demand variability and supplier lead time. Add it to the crisis risk register and collect first evidence.</t>
  </si>
  <si>
    <t>Document critical materials and spare parts buffers sized using risk, demand variability and supplier lead time, assign RACI, define minimum controls and KPIs, and validate coverage across key sites, teams or systems.</t>
  </si>
  <si>
    <t>Standardize critical materials and spare parts buffers sized using risk, demand variability and supplier lead time, close coverage gaps, train accountable roles and connect controls to the relevant crisis scenarios and continuity plans.</t>
  </si>
  <si>
    <t>Measure and test critical materials and spare parts buffers sized using risk, demand variability and supplier lead time, run tabletop or operational stress tests, integrate it with dependent processes and update crisis playbooks.</t>
  </si>
  <si>
    <t>Sustain maturity for critical materials and spare parts buffers sized using risk, demand variability and supplier lead time: keep evidence current, monitor drift, benchmark externally and refresh risk tests after organizational, system or market changes.</t>
  </si>
  <si>
    <t>Immature capability for demand forecast integrated with sales pipeline, history, seasonality and crisis scenarios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</si>
  <si>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demand forecast integrated with sales pipeline, history, seasonality and crisis scenarios.</t>
  </si>
  <si>
    <t>Severe risk: demand forecast integrated with sales pipeline, history, seasonality and crisis scenarios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</si>
  <si>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demand forecast integrated with sales pipeline, history, seasonality and crisis scenarios depends on informal practices or individual knowledge. Disruption may expose supplier failure, logistics disruption, inventory shortages and production or delivery delays and slow recovery.</t>
  </si>
  <si>
    <t>Elevated risk: demand forecast integrated with sales pipeline, history, seasonality and crisis scenarios is partially controlled, but coverage, evidence or testing is inconsistent. Crisis response may be fragmented.</t>
  </si>
  <si>
    <t>Moderate risk: demand forecast integrated with sales pipeline, history, seasonality and crisis scenarios is documented and owned, but measurement, stress testing and integration with dependent processes need strengthening.</t>
  </si>
  <si>
    <t>Residual risk: demand forecast integrated with sales pipeline, history, seasonality and crisis scenarios is measured and reviewed, but monitoring, automation or scenario testing should be improved to prevent maturity drift.</t>
  </si>
  <si>
    <t>Low residual risk: demand forecast integrated with sales pipeline, history, seasonality and crisis scenarios is mature and crisis-tested. Maintain monitoring, evidence, ownership and periodic stress testing.</t>
  </si>
  <si>
    <t>Create an immediate risk owner, minimum control baseline and fallback procedure for demand forecast integrated with sales pipeline, history, seasonality and crisis scenarios. Add it to the crisis risk register and collect first evidence.</t>
  </si>
  <si>
    <t>Document demand forecast integrated with sales pipeline, history, seasonality and crisis scenarios, assign RACI, define minimum controls and KPIs, and validate coverage across key sites, teams or systems.</t>
  </si>
  <si>
    <t>Standardize demand forecast integrated with sales pipeline, history, seasonality and crisis scenarios, close coverage gaps, train accountable roles and connect controls to the relevant crisis scenarios and continuity plans.</t>
  </si>
  <si>
    <t>Measure and test demand forecast integrated with sales pipeline, history, seasonality and crisis scenarios, run tabletop or operational stress tests, integrate it with dependent processes and update crisis playbooks.</t>
  </si>
  <si>
    <t>Sustain maturity for demand forecast integrated with sales pipeline, history, seasonality and crisis scenarios: keep evidence current, monitor drift, benchmark externally and refresh risk tests after organizational, system or market changes.</t>
  </si>
  <si>
    <t>Immature capability for S&amp;OP or IBP process connecting sales, finance, production, procurement and logistics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</si>
  <si>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S&amp;OP or IBP process connecting sales, finance, production, procurement and logistics.</t>
  </si>
  <si>
    <t>Severe risk: S&amp;OP or IBP process connecting sales, finance, production, procurement and logistics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</si>
  <si>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S&amp;OP or IBP process connecting sales, finance, production, procurement and logistics depends on informal practices or individual knowledge. Disruption may expose supplier failure, logistics disruption, inventory shortages and production or delivery delays and slow recovery.</t>
  </si>
  <si>
    <t>Elevated risk: S&amp;OP or IBP process connecting sales, finance, production, procurement and logistics is partially controlled, but coverage, evidence or testing is inconsistent. Crisis response may be fragmented.</t>
  </si>
  <si>
    <t>Moderate risk: S&amp;OP or IBP process connecting sales, finance, production, procurement and logistics is documented and owned, but measurement, stress testing and integration with dependent processes need strengthening.</t>
  </si>
  <si>
    <t>Residual risk: S&amp;OP or IBP process connecting sales, finance, production, procurement and logistics is measured and reviewed, but monitoring, automation or scenario testing should be improved to prevent maturity drift.</t>
  </si>
  <si>
    <t>Low residual risk: S&amp;OP or IBP process connecting sales, finance, production, procurement and logistics is mature and crisis-tested. Maintain monitoring, evidence, ownership and periodic stress testing.</t>
  </si>
  <si>
    <t>Create an immediate risk owner, minimum control baseline and fallback procedure for S&amp;OP or IBP process connecting sales, finance, production, procurement and logistics. Add it to the crisis risk register and collect first evidence.</t>
  </si>
  <si>
    <t>Document S&amp;OP or IBP process connecting sales, finance, production, procurement and logistics, assign RACI, define minimum controls and KPIs, and validate coverage across key sites, teams or systems.</t>
  </si>
  <si>
    <t>Standardize S&amp;OP or IBP process connecting sales, finance, production, procurement and logistics, close coverage gaps, train accountable roles and connect controls to the relevant crisis scenarios and continuity plans.</t>
  </si>
  <si>
    <t>Measure and test S&amp;OP or IBP process connecting sales, finance, production, procurement and logistics, run tabletop or operational stress tests, integrate it with dependent processes and update crisis playbooks.</t>
  </si>
  <si>
    <t>Sustain maturity for S&amp;OP or IBP process connecting sales, finance, production, procurement and logistics: keep evidence current, monitor drift, benchmark externally and refresh risk tests after organizational, system or market changes.</t>
  </si>
  <si>
    <t>Immature capability for planning cycle acceleration during crisis without losing data quality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</si>
  <si>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planning cycle acceleration during crisis without losing data quality.</t>
  </si>
  <si>
    <t>Severe risk: planning cycle acceleration during crisis without losing data quality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</si>
  <si>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planning cycle acceleration during crisis without losing data quality depends on informal practices or individual knowledge. Disruption may expose supplier failure, logistics disruption, inventory shortages and production or delivery delays and slow recovery.</t>
  </si>
  <si>
    <t>Elevated risk: planning cycle acceleration during crisis without losing data quality is partially controlled, but coverage, evidence or testing is inconsistent. Crisis response may be fragmented.</t>
  </si>
  <si>
    <t>Moderate risk: planning cycle acceleration during crisis without losing data quality is documented and owned, but measurement, stress testing and integration with dependent processes need strengthening.</t>
  </si>
  <si>
    <t>Residual risk: planning cycle acceleration during crisis without losing data quality is measured and reviewed, but monitoring, automation or scenario testing should be improved to prevent maturity drift.</t>
  </si>
  <si>
    <t>Low residual risk: planning cycle acceleration during crisis without losing data quality is mature and crisis-tested. Maintain monitoring, evidence, ownership and periodic stress testing.</t>
  </si>
  <si>
    <t>Create an immediate risk owner, minimum control baseline and fallback procedure for planning cycle acceleration during crisis without losing data quality. Add it to the crisis risk register and collect first evidence.</t>
  </si>
  <si>
    <t>Document planning cycle acceleration during crisis without losing data quality, assign RACI, define minimum controls and KPIs, and validate coverage across key sites, teams or systems.</t>
  </si>
  <si>
    <t>Standardize planning cycle acceleration during crisis without losing data quality, close coverage gaps, train accountable roles and connect controls to the relevant crisis scenarios and continuity plans.</t>
  </si>
  <si>
    <t>Measure and test planning cycle acceleration during crisis without losing data quality, run tabletop or operational stress tests, integrate it with dependent processes and update crisis playbooks.</t>
  </si>
  <si>
    <t>Sustain maturity for planning cycle acceleration during crisis without losing data quality: keep evidence current, monitor drift, benchmark externally and refresh risk tests after organizational, system or market changes.</t>
  </si>
  <si>
    <t>Immature capability for ERP, MRP, WMS, TMS and supplier portal integration and resilience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</si>
  <si>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ERP, MRP, WMS, TMS and supplier portal integration and resilience.</t>
  </si>
  <si>
    <t>Severe risk: ERP, MRP, WMS, TMS and supplier portal integration and resilience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</si>
  <si>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ERP, MRP, WMS, TMS and supplier portal integration and resilience depends on informal practices or individual knowledge. Disruption may expose supplier failure, logistics disruption, inventory shortages and production or delivery delays and slow recovery.</t>
  </si>
  <si>
    <t>Elevated risk: ERP, MRP, WMS, TMS and supplier portal integration and resilience is partially controlled, but coverage, evidence or testing is inconsistent. Crisis response may be fragmented.</t>
  </si>
  <si>
    <t>Moderate risk: ERP, MRP, WMS, TMS and supplier portal integration and resilience is documented and owned, but measurement, stress testing and integration with dependent processes need strengthening.</t>
  </si>
  <si>
    <t>Residual risk: ERP, MRP, WMS, TMS and supplier portal integration and resilience is measured and reviewed, but monitoring, automation or scenario testing should be improved to prevent maturity drift.</t>
  </si>
  <si>
    <t>Low residual risk: ERP, MRP, WMS, TMS and supplier portal integration and resilience is mature and crisis-tested. Maintain monitoring, evidence, ownership and periodic stress testing.</t>
  </si>
  <si>
    <t>Create an immediate risk owner, minimum control baseline and fallback procedure for ERP, MRP, WMS, TMS and supplier portal integration and resilience. Add it to the crisis risk register and collect first evidence.</t>
  </si>
  <si>
    <t>Document ERP, MRP, WMS, TMS and supplier portal integration and resilience, assign RACI, define minimum controls and KPIs, and validate coverage across key sites, teams or systems.</t>
  </si>
  <si>
    <t>Standardize ERP, MRP, WMS, TMS and supplier portal integration and resilience, close coverage gaps, train accountable roles and connect controls to the relevant crisis scenarios and continuity plans.</t>
  </si>
  <si>
    <t>Measure and test ERP, MRP, WMS, TMS and supplier portal integration and resilience, run tabletop or operational stress tests, integrate it with dependent processes and update crisis playbooks.</t>
  </si>
  <si>
    <t>Sustain maturity for ERP, MRP, WMS, TMS and supplier portal integration and resilience: keep evidence current, monitor drift, benchmark externally and refresh risk tests after organizational, system or market changes.</t>
  </si>
  <si>
    <t>Immature capability for supply chain early warning monitoring for supplier, geopolitical, weather, port, customs and price risks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</si>
  <si>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supply chain early warning monitoring for supplier, geopolitical, weather, port, customs and price risks.</t>
  </si>
  <si>
    <t>Severe risk: supply chain early warning monitoring for supplier, geopolitical, weather, port, customs and price risks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</si>
  <si>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supply chain early warning monitoring for supplier, geopolitical, weather, port, customs and price risks depends on informal practices or individual knowledge. Disruption may expose supplier failure, logistics disruption, inventory shortages and production or delivery delays and slow recovery.</t>
  </si>
  <si>
    <t>Elevated risk: supply chain early warning monitoring for supplier, geopolitical, weather, port, customs and price risks is partially controlled, but coverage, evidence or testing is inconsistent. Crisis response may be fragmented.</t>
  </si>
  <si>
    <t>Moderate risk: supply chain early warning monitoring for supplier, geopolitical, weather, port, customs and price risks is documented and owned, but measurement, stress testing and integration with dependent processes need strengthening.</t>
  </si>
  <si>
    <t>Residual risk: supply chain early warning monitoring for supplier, geopolitical, weather, port, customs and price risks is measured and reviewed, but monitoring, automation or scenario testing should be improved to prevent maturity drift.</t>
  </si>
  <si>
    <t>Low residual risk: supply chain early warning monitoring for supplier, geopolitical, weather, port, customs and price risks is mature and crisis-tested. Maintain monitoring, evidence, ownership and periodic stress testing.</t>
  </si>
  <si>
    <t>Create an immediate risk owner, minimum control baseline and fallback procedure for supply chain early warning monitoring for supplier, geopolitical, weather, port, customs and price risks. Add it to the crisis risk register and collect first evidence.</t>
  </si>
  <si>
    <t>Document supply chain early warning monitoring for supplier, geopolitical, weather, port, customs and price risks, assign RACI, define minimum controls and KPIs, and validate coverage across key sites, teams or systems.</t>
  </si>
  <si>
    <t>Standardize supply chain early warning monitoring for supplier, geopolitical, weather, port, customs and price risks, close coverage gaps, train accountable roles and connect controls to the relevant crisis scenarios and continuity plans.</t>
  </si>
  <si>
    <t>Measure and test supply chain early warning monitoring for supplier, geopolitical, weather, port, customs and price risks, run tabletop or operational stress tests, integrate it with dependent processes and update crisis playbooks.</t>
  </si>
  <si>
    <t>Sustain maturity for supply chain early warning monitoring for supplier, geopolitical, weather, port, customs and price risks: keep evidence current, monitor drift, benchmark externally and refresh risk tests after organizational, system or market changes.</t>
  </si>
  <si>
    <t>Immature capability for supply cost volatility monitoring for freight, energy, commodities and currency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</si>
  <si>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supply cost volatility monitoring for freight, energy, commodities and currency.</t>
  </si>
  <si>
    <t>Severe risk: supply cost volatility monitoring for freight, energy, commodities and currency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</si>
  <si>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supply cost volatility monitoring for freight, energy, commodities and currency depends on informal practices or individual knowledge. Disruption may expose supplier failure, logistics disruption, inventory shortages and production or delivery delays and slow recovery.</t>
  </si>
  <si>
    <t>Elevated risk: supply cost volatility monitoring for freight, energy, commodities and currency is partially controlled, but coverage, evidence or testing is inconsistent. Crisis response may be fragmented.</t>
  </si>
  <si>
    <t>Moderate risk: supply cost volatility monitoring for freight, energy, commodities and currency is documented and owned, but measurement, stress testing and integration with dependent processes need strengthening.</t>
  </si>
  <si>
    <t>Residual risk: supply cost volatility monitoring for freight, energy, commodities and currency is measured and reviewed, but monitoring, automation or scenario testing should be improved to prevent maturity drift.</t>
  </si>
  <si>
    <t>Low residual risk: supply cost volatility monitoring for freight, energy, commodities and currency is mature and crisis-tested. Maintain monitoring, evidence, ownership and periodic stress testing.</t>
  </si>
  <si>
    <t>Create an immediate risk owner, minimum control baseline and fallback procedure for supply cost volatility monitoring for freight, energy, commodities and currency. Add it to the crisis risk register and collect first evidence.</t>
  </si>
  <si>
    <t>Document supply cost volatility monitoring for freight, energy, commodities and currency, assign RACI, define minimum controls and KPIs, and validate coverage across key sites, teams or systems.</t>
  </si>
  <si>
    <t>Standardize supply cost volatility monitoring for freight, energy, commodities and currency, close coverage gaps, train accountable roles and connect controls to the relevant crisis scenarios and continuity plans.</t>
  </si>
  <si>
    <t>Measure and test supply cost volatility monitoring for freight, energy, commodities and currency, run tabletop or operational stress tests, integrate it with dependent processes and update crisis playbooks.</t>
  </si>
  <si>
    <t>Sustain maturity for supply cost volatility monitoring for freight, energy, commodities and currency: keep evidence current, monitor drift, benchmark externally and refresh risk tests after organizational, system or market changes.</t>
  </si>
  <si>
    <t>Immature capability for allocation rules when supply is insufficient to serve all customers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</si>
  <si>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allocation rules when supply is insufficient to serve all customers.</t>
  </si>
  <si>
    <t>Severe risk: allocation rules when supply is insufficient to serve all customers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</si>
  <si>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allocation rules when supply is insufficient to serve all customers depends on informal practices or individual knowledge. Disruption may expose supplier failure, logistics disruption, inventory shortages and production or delivery delays and slow recovery.</t>
  </si>
  <si>
    <t>Elevated risk: allocation rules when supply is insufficient to serve all customers is partially controlled, but coverage, evidence or testing is inconsistent. Crisis response may be fragmented.</t>
  </si>
  <si>
    <t>Moderate risk: allocation rules when supply is insufficient to serve all customers is documented and owned, but measurement, stress testing and integration with dependent processes need strengthening.</t>
  </si>
  <si>
    <t>Residual risk: allocation rules when supply is insufficient to serve all customers is measured and reviewed, but monitoring, automation or scenario testing should be improved to prevent maturity drift.</t>
  </si>
  <si>
    <t>Low residual risk: allocation rules when supply is insufficient to serve all customers is mature and crisis-tested. Maintain monitoring, evidence, ownership and periodic stress testing.</t>
  </si>
  <si>
    <t>Create an immediate risk owner, minimum control baseline and fallback procedure for allocation rules when supply is insufficient to serve all customers. Add it to the crisis risk register and collect first evidence.</t>
  </si>
  <si>
    <t>Document allocation rules when supply is insufficient to serve all customers, assign RACI, define minimum controls and KPIs, and validate coverage across key sites, teams or systems.</t>
  </si>
  <si>
    <t>Standardize allocation rules when supply is insufficient to serve all customers, close coverage gaps, train accountable roles and connect controls to the relevant crisis scenarios and continuity plans.</t>
  </si>
  <si>
    <t>Measure and test allocation rules when supply is insufficient to serve all customers, run tabletop or operational stress tests, integrate it with dependent processes and update crisis playbooks.</t>
  </si>
  <si>
    <t>Sustain maturity for allocation rules when supply is insufficient to serve all customers: keep evidence current, monitor drift, benchmark externally and refresh risk tests after organizational, system or market changes.</t>
  </si>
  <si>
    <t>Immature capability for SKU, supplier, BOM, lead-time and replenishment master data quality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</si>
  <si>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SKU, supplier, BOM, lead-time and replenishment master data quality.</t>
  </si>
  <si>
    <t>Severe risk: SKU, supplier, BOM, lead-time and replenishment master data quality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</si>
  <si>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SKU, supplier, BOM, lead-time and replenishment master data quality depends on informal practices or individual knowledge. Disruption may expose supplier failure, logistics disruption, inventory shortages and production or delivery delays and slow recovery.</t>
  </si>
  <si>
    <t>Elevated risk: SKU, supplier, BOM, lead-time and replenishment master data quality is partially controlled, but coverage, evidence or testing is inconsistent. Crisis response may be fragmented.</t>
  </si>
  <si>
    <t>Moderate risk: SKU, supplier, BOM, lead-time and replenishment master data quality is documented and owned, but measurement, stress testing and integration with dependent processes need strengthening.</t>
  </si>
  <si>
    <t>Residual risk: SKU, supplier, BOM, lead-time and replenishment master data quality is measured and reviewed, but monitoring, automation or scenario testing should be improved to prevent maturity drift.</t>
  </si>
  <si>
    <t>Low residual risk: SKU, supplier, BOM, lead-time and replenishment master data quality is mature and crisis-tested. Maintain monitoring, evidence, ownership and periodic stress testing.</t>
  </si>
  <si>
    <t>Create an immediate risk owner, minimum control baseline and fallback procedure for SKU, supplier, BOM, lead-time and replenishment master data quality. Add it to the crisis risk register and collect first evidence.</t>
  </si>
  <si>
    <t>Document SKU, supplier, BOM, lead-time and replenishment master data quality, assign RACI, define minimum controls and KPIs, and validate coverage across key sites, teams or systems.</t>
  </si>
  <si>
    <t>Standardize SKU, supplier, BOM, lead-time and replenishment master data quality, close coverage gaps, train accountable roles and connect controls to the relevant crisis scenarios and continuity plans.</t>
  </si>
  <si>
    <t>Measure and test SKU, supplier, BOM, lead-time and replenishment master data quality, run tabletop or operational stress tests, integrate it with dependent processes and update crisis playbooks.</t>
  </si>
  <si>
    <t>Sustain maturity for SKU, supplier, BOM, lead-time and replenishment master data quality: keep evidence current, monitor drift, benchmark externally and refresh risk tests after organizational, system or market changes.</t>
  </si>
  <si>
    <t>Immature capability for approved substitution rules for materials, components and suppliers may lead to supplier failure, logistics disruption, inventory shortages and production or delivery delays during Supplier/logistics disruption; Manufacturing disruption; Demand shock.</t>
  </si>
  <si>
    <t>Low maturity, weak ownership, incomplete evidence, insufficient testing and poor integration with crisis-management routines for approved substitution rules for materials, components and suppliers.</t>
  </si>
  <si>
    <t>Severe risk: approved substitution rules for materials, components and suppliers is not reliably controlled. During Supplier/logistics disruption; Manufacturing disruption; Demand shock, the organization may face supplier failure, logistics disruption, inventory shortages and production or delivery delays with limited visibility or accountability.</t>
  </si>
  <si>
    <t>High risk: approved substitution rules for materials, components and suppliers depends on informal practices or individual knowledge. Disruption may expose supplier failure, logistics disruption, inventory shortages and production or delivery delays and slow recovery.</t>
  </si>
  <si>
    <t>Elevated risk: approved substitution rules for materials, components and suppliers is partially controlled, but coverage, evidence or testing is inconsistent. Crisis response may be fragmented.</t>
  </si>
  <si>
    <t>Moderate risk: approved substitution rules for materials, components and suppliers is documented and owned, but measurement, stress testing and integration with dependent processes need strengthening.</t>
  </si>
  <si>
    <t>Residual risk: approved substitution rules for materials, components and suppliers is measured and reviewed, but monitoring, automation or scenario testing should be improved to prevent maturity drift.</t>
  </si>
  <si>
    <t>Low residual risk: approved substitution rules for materials, components and suppliers is mature and crisis-tested. Maintain monitoring, evidence, ownership and periodic stress testing.</t>
  </si>
  <si>
    <t>Create an immediate risk owner, minimum control baseline and fallback procedure for approved substitution rules for materials, components and suppliers. Add it to the crisis risk register and collect first evidence.</t>
  </si>
  <si>
    <t>Document approved substitution rules for materials, components and suppliers, assign RACI, define minimum controls and KPIs, and validate coverage across key sites, teams or systems.</t>
  </si>
  <si>
    <t>Standardize approved substitution rules for materials, components and suppliers, close coverage gaps, train accountable roles and connect controls to the relevant crisis scenarios and continuity plans.</t>
  </si>
  <si>
    <t>Measure and test approved substitution rules for materials, components and suppliers, run tabletop or operational stress tests, integrate it with dependent processes and update crisis playbooks.</t>
  </si>
  <si>
    <t>Sustain maturity for approved substitution rules for materials, components and suppliers: keep evidence current, monitor drift, benchmark externally and refresh risk tests after organizational, system or market changes.</t>
  </si>
  <si>
    <t>Immature capability for production footprint by plant, line, product family, capacity, workforce and crisis exposure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</si>
  <si>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production footprint by plant, line, product family, capacity, workforce and crisis exposure.</t>
  </si>
  <si>
    <t>Severe risk: production footprint by plant, line, product family, capacity, workforce and crisis exposure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</si>
  <si>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production footprint by plant, line, product family, capacity, workforce and crisis exposure depends on informal practices or individual knowledge. Disruption may expose production stoppage, quality defects, low asset visibility and inability to recover shop-floor operations and slow recovery.</t>
  </si>
  <si>
    <t>Elevated risk: production footprint by plant, line, product family, capacity, workforce and crisis exposure is partially controlled, but coverage, evidence or testing is inconsistent. Crisis response may be fragmented.</t>
  </si>
  <si>
    <t>Moderate risk: production footprint by plant, line, product family, capacity, workforce and crisis exposure is documented and owned, but measurement, stress testing and integration with dependent processes need strengthening.</t>
  </si>
  <si>
    <t>Residual risk: production footprint by plant, line, product family, capacity, workforce and crisis exposure is measured and reviewed, but monitoring, automation or scenario testing should be improved to prevent maturity drift.</t>
  </si>
  <si>
    <t>Low residual risk: production footprint by plant, line, product family, capacity, workforce and crisis exposure is mature and crisis-tested. Maintain monitoring, evidence, ownership and periodic stress testing.</t>
  </si>
  <si>
    <t>Create an immediate risk owner, minimum control baseline and fallback procedure for production footprint by plant, line, product family, capacity, workforce and crisis exposure. Add it to the crisis risk register and collect first evidence.</t>
  </si>
  <si>
    <t>Document production footprint by plant, line, product family, capacity, workforce and crisis exposure, assign RACI, define minimum controls and KPIs, and validate coverage across key sites, teams or systems.</t>
  </si>
  <si>
    <t>Standardize production footprint by plant, line, product family, capacity, workforce and crisis exposure, close coverage gaps, train accountable roles and connect controls to the relevant crisis scenarios and continuity plans.</t>
  </si>
  <si>
    <t>Measure and test production footprint by plant, line, product family, capacity, workforce and crisis exposure, run tabletop or operational stress tests, integrate it with dependent processes and update crisis playbooks.</t>
  </si>
  <si>
    <t>Sustain maturity for production footprint by plant, line, product family, capacity, workforce and crisis exposure: keep evidence current, monitor drift, benchmark externally and refresh risk tests after organizational, system or market changes.</t>
  </si>
  <si>
    <t>Immature capability for production planning integrated with demand, supply, inventory, workforce and maintenance constraints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</si>
  <si>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production planning integrated with demand, supply, inventory, workforce and maintenance constraints.</t>
  </si>
  <si>
    <t>Severe risk: production planning integrated with demand, supply, inventory, workforce and maintenance constraints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</si>
  <si>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production planning integrated with demand, supply, inventory, workforce and maintenance constraints depends on informal practices or individual knowledge. Disruption may expose production stoppage, quality defects, low asset visibility and inability to recover shop-floor operations and slow recovery.</t>
  </si>
  <si>
    <t>Elevated risk: production planning integrated with demand, supply, inventory, workforce and maintenance constraints is partially controlled, but coverage, evidence or testing is inconsistent. Crisis response may be fragmented.</t>
  </si>
  <si>
    <t>Moderate risk: production planning integrated with demand, supply, inventory, workforce and maintenance constraints is documented and owned, but measurement, stress testing and integration with dependent processes need strengthening.</t>
  </si>
  <si>
    <t>Residual risk: production planning integrated with demand, supply, inventory, workforce and maintenance constraints is measured and reviewed, but monitoring, automation or scenario testing should be improved to prevent maturity drift.</t>
  </si>
  <si>
    <t>Low residual risk: production planning integrated with demand, supply, inventory, workforce and maintenance constraints is mature and crisis-tested. Maintain monitoring, evidence, ownership and periodic stress testing.</t>
  </si>
  <si>
    <t>Create an immediate risk owner, minimum control baseline and fallback procedure for production planning integrated with demand, supply, inventory, workforce and maintenance constraints. Add it to the crisis risk register and collect first evidence.</t>
  </si>
  <si>
    <t>Document production planning integrated with demand, supply, inventory, workforce and maintenance constraints, assign RACI, define minimum controls and KPIs, and validate coverage across key sites, teams or systems.</t>
  </si>
  <si>
    <t>Standardize production planning integrated with demand, supply, inventory, workforce and maintenance constraints, close coverage gaps, train accountable roles and connect controls to the relevant crisis scenarios and continuity plans.</t>
  </si>
  <si>
    <t>Measure and test production planning integrated with demand, supply, inventory, workforce and maintenance constraints, run tabletop or operational stress tests, integrate it with dependent processes and update crisis playbooks.</t>
  </si>
  <si>
    <t>Sustain maturity for production planning integrated with demand, supply, inventory, workforce and maintenance constraints: keep evidence current, monitor drift, benchmark externally and refresh risk tests after organizational, system or market changes.</t>
  </si>
  <si>
    <t>Immature capability for finite capacity planning for bottlenecks, machines, shifts and labor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</si>
  <si>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finite capacity planning for bottlenecks, machines, shifts and labor.</t>
  </si>
  <si>
    <t>Severe risk: finite capacity planning for bottlenecks, machines, shifts and labor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</si>
  <si>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finite capacity planning for bottlenecks, machines, shifts and labor depends on informal practices or individual knowledge. Disruption may expose production stoppage, quality defects, low asset visibility and inability to recover shop-floor operations and slow recovery.</t>
  </si>
  <si>
    <t>Elevated risk: finite capacity planning for bottlenecks, machines, shifts and labor is partially controlled, but coverage, evidence or testing is inconsistent. Crisis response may be fragmented.</t>
  </si>
  <si>
    <t>Moderate risk: finite capacity planning for bottlenecks, machines, shifts and labor is documented and owned, but measurement, stress testing and integration with dependent processes need strengthening.</t>
  </si>
  <si>
    <t>Residual risk: finite capacity planning for bottlenecks, machines, shifts and labor is measured and reviewed, but monitoring, automation or scenario testing should be improved to prevent maturity drift.</t>
  </si>
  <si>
    <t>Low residual risk: finite capacity planning for bottlenecks, machines, shifts and labor is mature and crisis-tested. Maintain monitoring, evidence, ownership and periodic stress testing.</t>
  </si>
  <si>
    <t>Create an immediate risk owner, minimum control baseline and fallback procedure for finite capacity planning for bottlenecks, machines, shifts and labor. Add it to the crisis risk register and collect first evidence.</t>
  </si>
  <si>
    <t>Document finite capacity planning for bottlenecks, machines, shifts and labor, assign RACI, define minimum controls and KPIs, and validate coverage across key sites, teams or systems.</t>
  </si>
  <si>
    <t>Standardize finite capacity planning for bottlenecks, machines, shifts and labor, close coverage gaps, train accountable roles and connect controls to the relevant crisis scenarios and continuity plans.</t>
  </si>
  <si>
    <t>Measure and test finite capacity planning for bottlenecks, machines, shifts and labor, run tabletop or operational stress tests, integrate it with dependent processes and update crisis playbooks.</t>
  </si>
  <si>
    <t>Sustain maturity for finite capacity planning for bottlenecks, machines, shifts and labor: keep evidence current, monitor drift, benchmark externally and refresh risk tests after organizational, system or market changes.</t>
  </si>
  <si>
    <t>Immature capability for minimum viable production under staff absence, utility outage, supplier delay or site risk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</si>
  <si>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minimum viable production under staff absence, utility outage, supplier delay or site risk.</t>
  </si>
  <si>
    <t>Severe risk: minimum viable production under staff absence, utility outage, supplier delay or site risk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</si>
  <si>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minimum viable production under staff absence, utility outage, supplier delay or site risk depends on informal practices or individual knowledge. Disruption may expose production stoppage, quality defects, low asset visibility and inability to recover shop-floor operations and slow recovery.</t>
  </si>
  <si>
    <t>Elevated risk: minimum viable production under staff absence, utility outage, supplier delay or site risk is partially controlled, but coverage, evidence or testing is inconsistent. Crisis response may be fragmented.</t>
  </si>
  <si>
    <t>Moderate risk: minimum viable production under staff absence, utility outage, supplier delay or site risk is documented and owned, but measurement, stress testing and integration with dependent processes need strengthening.</t>
  </si>
  <si>
    <t>Residual risk: minimum viable production under staff absence, utility outage, supplier delay or site risk is measured and reviewed, but monitoring, automation or scenario testing should be improved to prevent maturity drift.</t>
  </si>
  <si>
    <t>Low residual risk: minimum viable production under staff absence, utility outage, supplier delay or site risk is mature and crisis-tested. Maintain monitoring, evidence, ownership and periodic stress testing.</t>
  </si>
  <si>
    <t>Create an immediate risk owner, minimum control baseline and fallback procedure for minimum viable production under staff absence, utility outage, supplier delay or site risk. Add it to the crisis risk register and collect first evidence.</t>
  </si>
  <si>
    <t>Document minimum viable production under staff absence, utility outage, supplier delay or site risk, assign RACI, define minimum controls and KPIs, and validate coverage across key sites, teams or systems.</t>
  </si>
  <si>
    <t>Standardize minimum viable production under staff absence, utility outage, supplier delay or site risk, close coverage gaps, train accountable roles and connect controls to the relevant crisis scenarios and continuity plans.</t>
  </si>
  <si>
    <t>Measure and test minimum viable production under staff absence, utility outage, supplier delay or site risk, run tabletop or operational stress tests, integrate it with dependent processes and update crisis playbooks.</t>
  </si>
  <si>
    <t>Sustain maturity for minimum viable production under staff absence, utility outage, supplier delay or site risk: keep evidence current, monitor drift, benchmark externally and refresh risk tests after organizational, system or market changes.</t>
  </si>
  <si>
    <t>Immature capability for line or site transferability if a facility fails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</si>
  <si>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line or site transferability if a facility fails.</t>
  </si>
  <si>
    <t>Severe risk: line or site transferability if a facility fails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</si>
  <si>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line or site transferability if a facility fails depends on informal practices or individual knowledge. Disruption may expose production stoppage, quality defects, low asset visibility and inability to recover shop-floor operations and slow recovery.</t>
  </si>
  <si>
    <t>Elevated risk: line or site transferability if a facility fails is partially controlled, but coverage, evidence or testing is inconsistent. Crisis response may be fragmented.</t>
  </si>
  <si>
    <t>Moderate risk: line or site transferability if a facility fails is documented and owned, but measurement, stress testing and integration with dependent processes need strengthening.</t>
  </si>
  <si>
    <t>Residual risk: line or site transferability if a facility fails is measured and reviewed, but monitoring, automation or scenario testing should be improved to prevent maturity drift.</t>
  </si>
  <si>
    <t>Low residual risk: line or site transferability if a facility fails is mature and crisis-tested. Maintain monitoring, evidence, ownership and periodic stress testing.</t>
  </si>
  <si>
    <t>Create an immediate risk owner, minimum control baseline and fallback procedure for line or site transferability if a facility fails. Add it to the crisis risk register and collect first evidence.</t>
  </si>
  <si>
    <t>Document line or site transferability if a facility fails, assign RACI, define minimum controls and KPIs, and validate coverage across key sites, teams or systems.</t>
  </si>
  <si>
    <t>Standardize line or site transferability if a facility fails, close coverage gaps, train accountable roles and connect controls to the relevant crisis scenarios and continuity plans.</t>
  </si>
  <si>
    <t>Measure and test line or site transferability if a facility fails, run tabletop or operational stress tests, integrate it with dependent processes and update crisis playbooks.</t>
  </si>
  <si>
    <t>Sustain maturity for line or site transferability if a facility fails: keep evidence current, monitor drift, benchmark externally and refresh risk tests after organizational, system or market changes.</t>
  </si>
  <si>
    <t>Immature capability for contract manufacturing capacity, quality, continuity, security and compliance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</si>
  <si>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contract manufacturing capacity, quality, continuity, security and compliance.</t>
  </si>
  <si>
    <t>Severe risk: contract manufacturing capacity, quality, continuity, security and compliance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</si>
  <si>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contract manufacturing capacity, quality, continuity, security and compliance depends on informal practices or individual knowledge. Disruption may expose production stoppage, quality defects, low asset visibility and inability to recover shop-floor operations and slow recovery.</t>
  </si>
  <si>
    <t>Elevated risk: contract manufacturing capacity, quality, continuity, security and compliance is partially controlled, but coverage, evidence or testing is inconsistent. Crisis response may be fragmented.</t>
  </si>
  <si>
    <t>Moderate risk: contract manufacturing capacity, quality, continuity, security and compliance is documented and owned, but measurement, stress testing and integration with dependent processes need strengthening.</t>
  </si>
  <si>
    <t>Residual risk: contract manufacturing capacity, quality, continuity, security and compliance is measured and reviewed, but monitoring, automation or scenario testing should be improved to prevent maturity drift.</t>
  </si>
  <si>
    <t>Low residual risk: contract manufacturing capacity, quality, continuity, security and compliance is mature and crisis-tested. Maintain monitoring, evidence, ownership and periodic stress testing.</t>
  </si>
  <si>
    <t>Create an immediate risk owner, minimum control baseline and fallback procedure for contract manufacturing capacity, quality, continuity, security and compliance. Add it to the crisis risk register and collect first evidence.</t>
  </si>
  <si>
    <t>Document contract manufacturing capacity, quality, continuity, security and compliance, assign RACI, define minimum controls and KPIs, and validate coverage across key sites, teams or systems.</t>
  </si>
  <si>
    <t>Standardize contract manufacturing capacity, quality, continuity, security and compliance, close coverage gaps, train accountable roles and connect controls to the relevant crisis scenarios and continuity plans.</t>
  </si>
  <si>
    <t>Measure and test contract manufacturing capacity, quality, continuity, security and compliance, run tabletop or operational stress tests, integrate it with dependent processes and update crisis playbooks.</t>
  </si>
  <si>
    <t>Sustain maturity for contract manufacturing capacity, quality, continuity, security and compliance: keep evidence current, monitor drift, benchmark externally and refresh risk tests after organizational, system or market changes.</t>
  </si>
  <si>
    <t>Immature capability for MES or equivalent shop-floor control for orders, operations, traceability, downtime and quality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</si>
  <si>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MES or equivalent shop-floor control for orders, operations, traceability, downtime and quality.</t>
  </si>
  <si>
    <t>Severe risk: MES or equivalent shop-floor control for orders, operations, traceability, downtime and quality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</si>
  <si>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MES or equivalent shop-floor control for orders, operations, traceability, downtime and quality depends on informal practices or individual knowledge. Disruption may expose production stoppage, quality defects, low asset visibility and inability to recover shop-floor operations and slow recovery.</t>
  </si>
  <si>
    <t>Elevated risk: MES or equivalent shop-floor control for orders, operations, traceability, downtime and quality is partially controlled, but coverage, evidence or testing is inconsistent. Crisis response may be fragmented.</t>
  </si>
  <si>
    <t>Moderate risk: MES or equivalent shop-floor control for orders, operations, traceability, downtime and quality is documented and owned, but measurement, stress testing and integration with dependent processes need strengthening.</t>
  </si>
  <si>
    <t>Residual risk: MES or equivalent shop-floor control for orders, operations, traceability, downtime and quality is measured and reviewed, but monitoring, automation or scenario testing should be improved to prevent maturity drift.</t>
  </si>
  <si>
    <t>Low residual risk: MES or equivalent shop-floor control for orders, operations, traceability, downtime and quality is mature and crisis-tested. Maintain monitoring, evidence, ownership and periodic stress testing.</t>
  </si>
  <si>
    <t>Create an immediate risk owner, minimum control baseline and fallback procedure for MES or equivalent shop-floor control for orders, operations, traceability, downtime and quality. Add it to the crisis risk register and collect first evidence.</t>
  </si>
  <si>
    <t>Document MES or equivalent shop-floor control for orders, operations, traceability, downtime and quality, assign RACI, define minimum controls and KPIs, and validate coverage across key sites, teams or systems.</t>
  </si>
  <si>
    <t>Standardize MES or equivalent shop-floor control for orders, operations, traceability, downtime and quality, close coverage gaps, train accountable roles and connect controls to the relevant crisis scenarios and continuity plans.</t>
  </si>
  <si>
    <t>Measure and test MES or equivalent shop-floor control for orders, operations, traceability, downtime and quality, run tabletop or operational stress tests, integrate it with dependent processes and update crisis playbooks.</t>
  </si>
  <si>
    <t>Sustain maturity for MES or equivalent shop-floor control for orders, operations, traceability, downtime and quality: keep evidence current, monitor drift, benchmark externally and refresh risk tests after organizational, system or market changes.</t>
  </si>
  <si>
    <t>Immature capability for MES manual or offline fallback procedures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</si>
  <si>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MES manual or offline fallback procedures.</t>
  </si>
  <si>
    <t>Severe risk: MES manual or offline fallback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</si>
  <si>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MES manual or offline fallback procedures depends on informal practices or individual knowledge. Disruption may expose production stoppage, quality defects, low asset visibility and inability to recover shop-floor operations and slow recovery.</t>
  </si>
  <si>
    <t>Elevated risk: MES manual or offline fallback procedures is partially controlled, but coverage, evidence or testing is inconsistent. Crisis response may be fragmented.</t>
  </si>
  <si>
    <t>Moderate risk: MES manual or offline fallback procedures is documented and owned, but measurement, stress testing and integration with dependent processes need strengthening.</t>
  </si>
  <si>
    <t>Residual risk: MES manual or offline fallback procedures is measured and reviewed, but monitoring, automation or scenario testing should be improved to prevent maturity drift.</t>
  </si>
  <si>
    <t>Low residual risk: MES manual or offline fallback procedures is mature and crisis-tested. Maintain monitoring, evidence, ownership and periodic stress testing.</t>
  </si>
  <si>
    <t>Create an immediate risk owner, minimum control baseline and fallback procedure for MES manual or offline fallback procedures. Add it to the crisis risk register and collect first evidence.</t>
  </si>
  <si>
    <t>Document MES manual or offline fallback procedures, assign RACI, define minimum controls and KPIs, and validate coverage across key sites, teams or systems.</t>
  </si>
  <si>
    <t>Standardize MES manual or offline fallback procedures, close coverage gaps, train accountable roles and connect controls to the relevant crisis scenarios and continuity plans.</t>
  </si>
  <si>
    <t>Measure and test MES manual or offline fallback procedures, run tabletop or operational stress tests, integrate it with dependent processes and update crisis playbooks.</t>
  </si>
  <si>
    <t>Sustain maturity for MES manual or offline fallback procedures: keep evidence current, monitor drift, benchmark externally and refresh risk tests after organizational, system or market changes.</t>
  </si>
  <si>
    <t>Immature capability for ERP-MES-MRP-WMS-quality-maintenance integration and reconciliation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</si>
  <si>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ERP-MES-MRP-WMS-quality-maintenance integration and reconciliation.</t>
  </si>
  <si>
    <t>Severe risk: ERP-MES-MRP-WMS-quality-maintenance integration and reconciliation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</si>
  <si>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ERP-MES-MRP-WMS-quality-maintenance integration and reconciliation depends on informal practices or individual knowledge. Disruption may expose production stoppage, quality defects, low asset visibility and inability to recover shop-floor operations and slow recovery.</t>
  </si>
  <si>
    <t>Elevated risk: ERP-MES-MRP-WMS-quality-maintenance integration and reconciliation is partially controlled, but coverage, evidence or testing is inconsistent. Crisis response may be fragmented.</t>
  </si>
  <si>
    <t>Moderate risk: ERP-MES-MRP-WMS-quality-maintenance integration and reconciliation is documented and owned, but measurement, stress testing and integration with dependent processes need strengthening.</t>
  </si>
  <si>
    <t>Residual risk: ERP-MES-MRP-WMS-quality-maintenance integration and reconciliation is measured and reviewed, but monitoring, automation or scenario testing should be improved to prevent maturity drift.</t>
  </si>
  <si>
    <t>Low residual risk: ERP-MES-MRP-WMS-quality-maintenance integration and reconciliation is mature and crisis-tested. Maintain monitoring, evidence, ownership and periodic stress testing.</t>
  </si>
  <si>
    <t>Create an immediate risk owner, minimum control baseline and fallback procedure for ERP-MES-MRP-WMS-quality-maintenance integration and reconciliation. Add it to the crisis risk register and collect first evidence.</t>
  </si>
  <si>
    <t>Document ERP-MES-MRP-WMS-quality-maintenance integration and reconciliation, assign RACI, define minimum controls and KPIs, and validate coverage across key sites, teams or systems.</t>
  </si>
  <si>
    <t>Standardize ERP-MES-MRP-WMS-quality-maintenance integration and reconciliation, close coverage gaps, train accountable roles and connect controls to the relevant crisis scenarios and continuity plans.</t>
  </si>
  <si>
    <t>Measure and test ERP-MES-MRP-WMS-quality-maintenance integration and reconciliation, run tabletop or operational stress tests, integrate it with dependent processes and update crisis playbooks.</t>
  </si>
  <si>
    <t>Sustain maturity for ERP-MES-MRP-WMS-quality-maintenance integration and reconciliation: keep evidence current, monitor drift, benchmark externally and refresh risk tests after organizational, system or market changes.</t>
  </si>
  <si>
    <t>Immature capability for machine data collection for states, output, downtime, cycle time, defects and energy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</si>
  <si>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machine data collection for states, output, downtime, cycle time, defects and energy.</t>
  </si>
  <si>
    <t>Severe risk: machine data collection for states, output, downtime, cycle time, defects and energy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</si>
  <si>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machine data collection for states, output, downtime, cycle time, defects and energy depends on informal practices or individual knowledge. Disruption may expose production stoppage, quality defects, low asset visibility and inability to recover shop-floor operations and slow recovery.</t>
  </si>
  <si>
    <t>Elevated risk: machine data collection for states, output, downtime, cycle time, defects and energy is partially controlled, but coverage, evidence or testing is inconsistent. Crisis response may be fragmented.</t>
  </si>
  <si>
    <t>Moderate risk: machine data collection for states, output, downtime, cycle time, defects and energy is documented and owned, but measurement, stress testing and integration with dependent processes need strengthening.</t>
  </si>
  <si>
    <t>Residual risk: machine data collection for states, output, downtime, cycle time, defects and energy is measured and reviewed, but monitoring, automation or scenario testing should be improved to prevent maturity drift.</t>
  </si>
  <si>
    <t>Low residual risk: machine data collection for states, output, downtime, cycle time, defects and energy is mature and crisis-tested. Maintain monitoring, evidence, ownership and periodic stress testing.</t>
  </si>
  <si>
    <t>Create an immediate risk owner, minimum control baseline and fallback procedure for machine data collection for states, output, downtime, cycle time, defects and energy. Add it to the crisis risk register and collect first evidence.</t>
  </si>
  <si>
    <t>Document machine data collection for states, output, downtime, cycle time, defects and energy, assign RACI, define minimum controls and KPIs, and validate coverage across key sites, teams or systems.</t>
  </si>
  <si>
    <t>Standardize machine data collection for states, output, downtime, cycle time, defects and energy, close coverage gaps, train accountable roles and connect controls to the relevant crisis scenarios and continuity plans.</t>
  </si>
  <si>
    <t>Measure and test machine data collection for states, output, downtime, cycle time, defects and energy, run tabletop or operational stress tests, integrate it with dependent processes and update crisis playbooks.</t>
  </si>
  <si>
    <t>Sustain maturity for machine data collection for states, output, downtime, cycle time, defects and energy: keep evidence current, monitor drift, benchmark externally and refresh risk tests after organizational, system or market changes.</t>
  </si>
  <si>
    <t>Immature capability for OEE, downtime reasons, microstops, rejects and performance loss analysis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</si>
  <si>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OEE, downtime reasons, microstops, rejects and performance loss analysis.</t>
  </si>
  <si>
    <t>Severe risk: OEE, downtime reasons, microstops, rejects and performance loss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</si>
  <si>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OEE, downtime reasons, microstops, rejects and performance loss analysis depends on informal practices or individual knowledge. Disruption may expose production stoppage, quality defects, low asset visibility and inability to recover shop-floor operations and slow recovery.</t>
  </si>
  <si>
    <t>Elevated risk: OEE, downtime reasons, microstops, rejects and performance loss analysis is partially controlled, but coverage, evidence or testing is inconsistent. Crisis response may be fragmented.</t>
  </si>
  <si>
    <t>Moderate risk: OEE, downtime reasons, microstops, rejects and performance loss analysis is documented and owned, but measurement, stress testing and integration with dependent processes need strengthening.</t>
  </si>
  <si>
    <t>Residual risk: OEE, downtime reasons, microstops, rejects and performance loss analysis is measured and reviewed, but monitoring, automation or scenario testing should be improved to prevent maturity drift.</t>
  </si>
  <si>
    <t>Low residual risk: OEE, downtime reasons, microstops, rejects and performance loss analysis is mature and crisis-tested. Maintain monitoring, evidence, ownership and periodic stress testing.</t>
  </si>
  <si>
    <t>Create an immediate risk owner, minimum control baseline and fallback procedure for OEE, downtime reasons, microstops, rejects and performance loss analysis. Add it to the crisis risk register and collect first evidence.</t>
  </si>
  <si>
    <t>Document OEE, downtime reasons, microstops, rejects and performance loss analysis, assign RACI, define minimum controls and KPIs, and validate coverage across key sites, teams or systems.</t>
  </si>
  <si>
    <t>Standardize OEE, downtime reasons, microstops, rejects and performance loss analysis, close coverage gaps, train accountable roles and connect controls to the relevant crisis scenarios and continuity plans.</t>
  </si>
  <si>
    <t>Measure and test OEE, downtime reasons, microstops, rejects and performance loss analysis, run tabletop or operational stress tests, integrate it with dependent processes and update crisis playbooks.</t>
  </si>
  <si>
    <t>Sustain maturity for OEE, downtime reasons, microstops, rejects and performance loss analysis: keep evidence current, monitor drift, benchmark externally and refresh risk tests after organizational, system or market changes.</t>
  </si>
  <si>
    <t>Immature capability for production data standards, reason codes and master data across lines and sites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</si>
  <si>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production data standards, reason codes and master data across lines and sites.</t>
  </si>
  <si>
    <t>Severe risk: production data standards, reason codes and master data across lines and sites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</si>
  <si>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production data standards, reason codes and master data across lines and sites depends on informal practices or individual knowledge. Disruption may expose production stoppage, quality defects, low asset visibility and inability to recover shop-floor operations and slow recovery.</t>
  </si>
  <si>
    <t>Elevated risk: production data standards, reason codes and master data across lines and sites is partially controlled, but coverage, evidence or testing is inconsistent. Crisis response may be fragmented.</t>
  </si>
  <si>
    <t>Moderate risk: production data standards, reason codes and master data across lines and sites is documented and owned, but measurement, stress testing and integration with dependent processes need strengthening.</t>
  </si>
  <si>
    <t>Residual risk: production data standards, reason codes and master data across lines and sites is measured and reviewed, but monitoring, automation or scenario testing should be improved to prevent maturity drift.</t>
  </si>
  <si>
    <t>Low residual risk: production data standards, reason codes and master data across lines and sites is mature and crisis-tested. Maintain monitoring, evidence, ownership and periodic stress testing.</t>
  </si>
  <si>
    <t>Create an immediate risk owner, minimum control baseline and fallback procedure for production data standards, reason codes and master data across lines and sites. Add it to the crisis risk register and collect first evidence.</t>
  </si>
  <si>
    <t>Document production data standards, reason codes and master data across lines and sites, assign RACI, define minimum controls and KPIs, and validate coverage across key sites, teams or systems.</t>
  </si>
  <si>
    <t>Standardize production data standards, reason codes and master data across lines and sites, close coverage gaps, train accountable roles and connect controls to the relevant crisis scenarios and continuity plans.</t>
  </si>
  <si>
    <t>Measure and test production data standards, reason codes and master data across lines and sites, run tabletop or operational stress tests, integrate it with dependent processes and update crisis playbooks.</t>
  </si>
  <si>
    <t>Sustain maturity for production data standards, reason codes and master data across lines and sites: keep evidence current, monitor drift, benchmark externally and refresh risk tests after organizational, system or market changes.</t>
  </si>
  <si>
    <t>Immature capability for preventive maintenance based on criticality, manufacturer requirements and failure history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</si>
  <si>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preventive maintenance based on criticality, manufacturer requirements and failure history.</t>
  </si>
  <si>
    <t>Severe risk: preventive maintenance based on criticality, manufacturer requirements and failure history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</si>
  <si>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preventive maintenance based on criticality, manufacturer requirements and failure history depends on informal practices or individual knowledge. Disruption may expose production stoppage, quality defects, low asset visibility and inability to recover shop-floor operations and slow recovery.</t>
  </si>
  <si>
    <t>Elevated risk: preventive maintenance based on criticality, manufacturer requirements and failure history is partially controlled, but coverage, evidence or testing is inconsistent. Crisis response may be fragmented.</t>
  </si>
  <si>
    <t>Moderate risk: preventive maintenance based on criticality, manufacturer requirements and failure history is documented and owned, but measurement, stress testing and integration with dependent processes need strengthening.</t>
  </si>
  <si>
    <t>Residual risk: preventive maintenance based on criticality, manufacturer requirements and failure history is measured and reviewed, but monitoring, automation or scenario testing should be improved to prevent maturity drift.</t>
  </si>
  <si>
    <t>Low residual risk: preventive maintenance based on criticality, manufacturer requirements and failure history is mature and crisis-tested. Maintain monitoring, evidence, ownership and periodic stress testing.</t>
  </si>
  <si>
    <t>Create an immediate risk owner, minimum control baseline and fallback procedure for preventive maintenance based on criticality, manufacturer requirements and failure history. Add it to the crisis risk register and collect first evidence.</t>
  </si>
  <si>
    <t>Document preventive maintenance based on criticality, manufacturer requirements and failure history, assign RACI, define minimum controls and KPIs, and validate coverage across key sites, teams or systems.</t>
  </si>
  <si>
    <t>Standardize preventive maintenance based on criticality, manufacturer requirements and failure history, close coverage gaps, train accountable roles and connect controls to the relevant crisis scenarios and continuity plans.</t>
  </si>
  <si>
    <t>Measure and test preventive maintenance based on criticality, manufacturer requirements and failure history, run tabletop or operational stress tests, integrate it with dependent processes and update crisis playbooks.</t>
  </si>
  <si>
    <t>Sustain maturity for preventive maintenance based on criticality, manufacturer requirements and failure history: keep evidence current, monitor drift, benchmark externally and refresh risk tests after organizational, system or market changes.</t>
  </si>
  <si>
    <t>Immature capability for critical spare parts identification, stocking or sourcing with acceptable lead times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</si>
  <si>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critical spare parts identification, stocking or sourcing with acceptable lead times.</t>
  </si>
  <si>
    <t>Severe risk: critical spare parts identification, stocking or sourcing with acceptable lead times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</si>
  <si>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critical spare parts identification, stocking or sourcing with acceptable lead times depends on informal practices or individual knowledge. Disruption may expose production stoppage, quality defects, low asset visibility and inability to recover shop-floor operations and slow recovery.</t>
  </si>
  <si>
    <t>Elevated risk: critical spare parts identification, stocking or sourcing with acceptable lead times is partially controlled, but coverage, evidence or testing is inconsistent. Crisis response may be fragmented.</t>
  </si>
  <si>
    <t>Moderate risk: critical spare parts identification, stocking or sourcing with acceptable lead times is documented and owned, but measurement, stress testing and integration with dependent processes need strengthening.</t>
  </si>
  <si>
    <t>Residual risk: critical spare parts identification, stocking or sourcing with acceptable lead times is measured and reviewed, but monitoring, automation or scenario testing should be improved to prevent maturity drift.</t>
  </si>
  <si>
    <t>Low residual risk: critical spare parts identification, stocking or sourcing with acceptable lead times is mature and crisis-tested. Maintain monitoring, evidence, ownership and periodic stress testing.</t>
  </si>
  <si>
    <t>Create an immediate risk owner, minimum control baseline and fallback procedure for critical spare parts identification, stocking or sourcing with acceptable lead times. Add it to the crisis risk register and collect first evidence.</t>
  </si>
  <si>
    <t>Document critical spare parts identification, stocking or sourcing with acceptable lead times, assign RACI, define minimum controls and KPIs, and validate coverage across key sites, teams or systems.</t>
  </si>
  <si>
    <t>Standardize critical spare parts identification, stocking or sourcing with acceptable lead times, close coverage gaps, train accountable roles and connect controls to the relevant crisis scenarios and continuity plans.</t>
  </si>
  <si>
    <t>Measure and test critical spare parts identification, stocking or sourcing with acceptable lead times, run tabletop or operational stress tests, integrate it with dependent processes and update crisis playbooks.</t>
  </si>
  <si>
    <t>Sustain maturity for critical spare parts identification, stocking or sourcing with acceptable lead times: keep evidence current, monitor drift, benchmark externally and refresh risk tests after organizational, system or market changes.</t>
  </si>
  <si>
    <t>Immature capability for predictive or condition-based maintenance for critical assets where economically justified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</si>
  <si>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predictive or condition-based maintenance for critical assets where economically justified.</t>
  </si>
  <si>
    <t>Severe risk: predictive or condition-based maintenance for critical assets where economically justified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</si>
  <si>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predictive or condition-based maintenance for critical assets where economically justified depends on informal practices or individual knowledge. Disruption may expose production stoppage, quality defects, low asset visibility and inability to recover shop-floor operations and slow recovery.</t>
  </si>
  <si>
    <t>Elevated risk: predictive or condition-based maintenance for critical assets where economically justified is partially controlled, but coverage, evidence or testing is inconsistent. Crisis response may be fragmented.</t>
  </si>
  <si>
    <t>Moderate risk: predictive or condition-based maintenance for critical assets where economically justified is documented and owned, but measurement, stress testing and integration with dependent processes need strengthening.</t>
  </si>
  <si>
    <t>Residual risk: predictive or condition-based maintenance for critical assets where economically justified is measured and reviewed, but monitoring, automation or scenario testing should be improved to prevent maturity drift.</t>
  </si>
  <si>
    <t>Low residual risk: predictive or condition-based maintenance for critical assets where economically justified is mature and crisis-tested. Maintain monitoring, evidence, ownership and periodic stress testing.</t>
  </si>
  <si>
    <t>Create an immediate risk owner, minimum control baseline and fallback procedure for predictive or condition-based maintenance for critical assets where economically justified. Add it to the crisis risk register and collect first evidence.</t>
  </si>
  <si>
    <t>Document predictive or condition-based maintenance for critical assets where economically justified, assign RACI, define minimum controls and KPIs, and validate coverage across key sites, teams or systems.</t>
  </si>
  <si>
    <t>Standardize predictive or condition-based maintenance for critical assets where economically justified, close coverage gaps, train accountable roles and connect controls to the relevant crisis scenarios and continuity plans.</t>
  </si>
  <si>
    <t>Measure and test predictive or condition-based maintenance for critical assets where economically justified, run tabletop or operational stress tests, integrate it with dependent processes and update crisis playbooks.</t>
  </si>
  <si>
    <t>Sustain maturity for predictive or condition-based maintenance for critical assets where economically justified: keep evidence current, monitor drift, benchmark externally and refresh risk tests after organizational, system or market changes.</t>
  </si>
  <si>
    <t>Immature capability for utility dependency map for electricity, gas, water, compressed air, HVAC and other utilities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</si>
  <si>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utility dependency map for electricity, gas, water, compressed air, HVAC and other utilities.</t>
  </si>
  <si>
    <t>Severe risk: utility dependency map for electricity, gas, water, compressed air, HVAC and other utilities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</si>
  <si>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utility dependency map for electricity, gas, water, compressed air, HVAC and other utilities depends on informal practices or individual knowledge. Disruption may expose production stoppage, quality defects, low asset visibility and inability to recover shop-floor operations and slow recovery.</t>
  </si>
  <si>
    <t>Elevated risk: utility dependency map for electricity, gas, water, compressed air, HVAC and other utilities is partially controlled, but coverage, evidence or testing is inconsistent. Crisis response may be fragmented.</t>
  </si>
  <si>
    <t>Moderate risk: utility dependency map for electricity, gas, water, compressed air, HVAC and other utilities is documented and owned, but measurement, stress testing and integration with dependent processes need strengthening.</t>
  </si>
  <si>
    <t>Residual risk: utility dependency map for electricity, gas, water, compressed air, HVAC and other utilities is measured and reviewed, but monitoring, automation or scenario testing should be improved to prevent maturity drift.</t>
  </si>
  <si>
    <t>Low residual risk: utility dependency map for electricity, gas, water, compressed air, HVAC and other utilities is mature and crisis-tested. Maintain monitoring, evidence, ownership and periodic stress testing.</t>
  </si>
  <si>
    <t>Create an immediate risk owner, minimum control baseline and fallback procedure for utility dependency map for electricity, gas, water, compressed air, HVAC and other utilities. Add it to the crisis risk register and collect first evidence.</t>
  </si>
  <si>
    <t>Document utility dependency map for electricity, gas, water, compressed air, HVAC and other utilities, assign RACI, define minimum controls and KPIs, and validate coverage across key sites, teams or systems.</t>
  </si>
  <si>
    <t>Standardize utility dependency map for electricity, gas, water, compressed air, HVAC and other utilities, close coverage gaps, train accountable roles and connect controls to the relevant crisis scenarios and continuity plans.</t>
  </si>
  <si>
    <t>Measure and test utility dependency map for electricity, gas, water, compressed air, HVAC and other utilities, run tabletop or operational stress tests, integrate it with dependent processes and update crisis playbooks.</t>
  </si>
  <si>
    <t>Sustain maturity for utility dependency map for electricity, gas, water, compressed air, HVAC and other utilities: keep evidence current, monitor drift, benchmark externally and refresh risk tests after organizational, system or market changes.</t>
  </si>
  <si>
    <t>Immature capability for backup utility options for critical production processes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</si>
  <si>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backup utility options for critical production processes.</t>
  </si>
  <si>
    <t>Severe risk: backup utility options for critical production processes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</si>
  <si>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backup utility options for critical production processes depends on informal practices or individual knowledge. Disruption may expose production stoppage, quality defects, low asset visibility and inability to recover shop-floor operations and slow recovery.</t>
  </si>
  <si>
    <t>Elevated risk: backup utility options for critical production processes is partially controlled, but coverage, evidence or testing is inconsistent. Crisis response may be fragmented.</t>
  </si>
  <si>
    <t>Moderate risk: backup utility options for critical production processes is documented and owned, but measurement, stress testing and integration with dependent processes need strengthening.</t>
  </si>
  <si>
    <t>Residual risk: backup utility options for critical production processes is measured and reviewed, but monitoring, automation or scenario testing should be improved to prevent maturity drift.</t>
  </si>
  <si>
    <t>Low residual risk: backup utility options for critical production processes is mature and crisis-tested. Maintain monitoring, evidence, ownership and periodic stress testing.</t>
  </si>
  <si>
    <t>Create an immediate risk owner, minimum control baseline and fallback procedure for backup utility options for critical production processes. Add it to the crisis risk register and collect first evidence.</t>
  </si>
  <si>
    <t>Document backup utility options for critical production processes, assign RACI, define minimum controls and KPIs, and validate coverage across key sites, teams or systems.</t>
  </si>
  <si>
    <t>Standardize backup utility options for critical production processes, close coverage gaps, train accountable roles and connect controls to the relevant crisis scenarios and continuity plans.</t>
  </si>
  <si>
    <t>Measure and test backup utility options for critical production processes, run tabletop or operational stress tests, integrate it with dependent processes and update crisis playbooks.</t>
  </si>
  <si>
    <t>Sustain maturity for backup utility options for critical production processes: keep evidence current, monitor drift, benchmark externally and refresh risk tests after organizational, system or market changes.</t>
  </si>
  <si>
    <t>Immature capability for asset management for critical production equipment, tooling and calibration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</si>
  <si>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asset management for critical production equipment, tooling and calibration.</t>
  </si>
  <si>
    <t>Severe risk: asset management for critical production equipment, tooling and calibration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</si>
  <si>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asset management for critical production equipment, tooling and calibration depends on informal practices or individual knowledge. Disruption may expose production stoppage, quality defects, low asset visibility and inability to recover shop-floor operations and slow recovery.</t>
  </si>
  <si>
    <t>Elevated risk: asset management for critical production equipment, tooling and calibration is partially controlled, but coverage, evidence or testing is inconsistent. Crisis response may be fragmented.</t>
  </si>
  <si>
    <t>Moderate risk: asset management for critical production equipment, tooling and calibration is documented and owned, but measurement, stress testing and integration with dependent processes need strengthening.</t>
  </si>
  <si>
    <t>Residual risk: asset management for critical production equipment, tooling and calibration is measured and reviewed, but monitoring, automation or scenario testing should be improved to prevent maturity drift.</t>
  </si>
  <si>
    <t>Low residual risk: asset management for critical production equipment, tooling and calibration is mature and crisis-tested. Maintain monitoring, evidence, ownership and periodic stress testing.</t>
  </si>
  <si>
    <t>Create an immediate risk owner, minimum control baseline and fallback procedure for asset management for critical production equipment, tooling and calibration. Add it to the crisis risk register and collect first evidence.</t>
  </si>
  <si>
    <t>Document asset management for critical production equipment, tooling and calibration, assign RACI, define minimum controls and KPIs, and validate coverage across key sites, teams or systems.</t>
  </si>
  <si>
    <t>Standardize asset management for critical production equipment, tooling and calibration, close coverage gaps, train accountable roles and connect controls to the relevant crisis scenarios and continuity plans.</t>
  </si>
  <si>
    <t>Measure and test asset management for critical production equipment, tooling and calibration, run tabletop or operational stress tests, integrate it with dependent processes and update crisis playbooks.</t>
  </si>
  <si>
    <t>Sustain maturity for asset management for critical production equipment, tooling and calibration: keep evidence current, monitor drift, benchmark externally and refresh risk tests after organizational, system or market changes.</t>
  </si>
  <si>
    <t>Immature capability for quality controls, inspections, sampling, nonconformance and corrective actions integrated into production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</si>
  <si>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quality controls, inspections, sampling, nonconformance and corrective actions integrated into production.</t>
  </si>
  <si>
    <t>Severe risk: quality controls, inspections, sampling, nonconformance and corrective actions integrated into production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</si>
  <si>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quality controls, inspections, sampling, nonconformance and corrective actions integrated into production depends on informal practices or individual knowledge. Disruption may expose production stoppage, quality defects, low asset visibility and inability to recover shop-floor operations and slow recovery.</t>
  </si>
  <si>
    <t>Elevated risk: quality controls, inspections, sampling, nonconformance and corrective actions integrated into production is partially controlled, but coverage, evidence or testing is inconsistent. Crisis response may be fragmented.</t>
  </si>
  <si>
    <t>Moderate risk: quality controls, inspections, sampling, nonconformance and corrective actions integrated into production is documented and owned, but measurement, stress testing and integration with dependent processes need strengthening.</t>
  </si>
  <si>
    <t>Residual risk: quality controls, inspections, sampling, nonconformance and corrective actions integrated into production is measured and reviewed, but monitoring, automation or scenario testing should be improved to prevent maturity drift.</t>
  </si>
  <si>
    <t>Low residual risk: quality controls, inspections, sampling, nonconformance and corrective actions integrated into production is mature and crisis-tested. Maintain monitoring, evidence, ownership and periodic stress testing.</t>
  </si>
  <si>
    <t>Create an immediate risk owner, minimum control baseline and fallback procedure for quality controls, inspections, sampling, nonconformance and corrective actions integrated into production. Add it to the crisis risk register and collect first evidence.</t>
  </si>
  <si>
    <t>Document quality controls, inspections, sampling, nonconformance and corrective actions integrated into production, assign RACI, define minimum controls and KPIs, and validate coverage across key sites, teams or systems.</t>
  </si>
  <si>
    <t>Standardize quality controls, inspections, sampling, nonconformance and corrective actions integrated into production, close coverage gaps, train accountable roles and connect controls to the relevant crisis scenarios and continuity plans.</t>
  </si>
  <si>
    <t>Measure and test quality controls, inspections, sampling, nonconformance and corrective actions integrated into production, run tabletop or operational stress tests, integrate it with dependent processes and update crisis playbooks.</t>
  </si>
  <si>
    <t>Sustain maturity for quality controls, inspections, sampling, nonconformance and corrective actions integrated into production: keep evidence current, monitor drift, benchmark externally and refresh risk tests after organizational, system or market changes.</t>
  </si>
  <si>
    <t>Immature capability for traceability of products, batches, materials, operators and process parameters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</si>
  <si>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traceability of products, batches, materials, operators and process parameters.</t>
  </si>
  <si>
    <t>Severe risk: traceability of products, batches, materials, operators and process parameters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</si>
  <si>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traceability of products, batches, materials, operators and process parameters depends on informal practices or individual knowledge. Disruption may expose production stoppage, quality defects, low asset visibility and inability to recover shop-floor operations and slow recovery.</t>
  </si>
  <si>
    <t>Elevated risk: traceability of products, batches, materials, operators and process parameters is partially controlled, but coverage, evidence or testing is inconsistent. Crisis response may be fragmented.</t>
  </si>
  <si>
    <t>Moderate risk: traceability of products, batches, materials, operators and process parameters is documented and owned, but measurement, stress testing and integration with dependent processes need strengthening.</t>
  </si>
  <si>
    <t>Residual risk: traceability of products, batches, materials, operators and process parameters is measured and reviewed, but monitoring, automation or scenario testing should be improved to prevent maturity drift.</t>
  </si>
  <si>
    <t>Low residual risk: traceability of products, batches, materials, operators and process parameters is mature and crisis-tested. Maintain monitoring, evidence, ownership and periodic stress testing.</t>
  </si>
  <si>
    <t>Create an immediate risk owner, minimum control baseline and fallback procedure for traceability of products, batches, materials, operators and process parameters. Add it to the crisis risk register and collect first evidence.</t>
  </si>
  <si>
    <t>Document traceability of products, batches, materials, operators and process parameters, assign RACI, define minimum controls and KPIs, and validate coverage across key sites, teams or systems.</t>
  </si>
  <si>
    <t>Standardize traceability of products, batches, materials, operators and process parameters, close coverage gaps, train accountable roles and connect controls to the relevant crisis scenarios and continuity plans.</t>
  </si>
  <si>
    <t>Measure and test traceability of products, batches, materials, operators and process parameters, run tabletop or operational stress tests, integrate it with dependent processes and update crisis playbooks.</t>
  </si>
  <si>
    <t>Sustain maturity for traceability of products, batches, materials, operators and process parameters: keep evidence current, monitor drift, benchmark externally and refresh risk tests after organizational, system or market changes.</t>
  </si>
  <si>
    <t>Immature capability for BOM, routing, recipe and engineering change control synchronized with ERP/MES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</si>
  <si>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BOM, routing, recipe and engineering change control synchronized with ERP/MES.</t>
  </si>
  <si>
    <t>Severe risk: BOM, routing, recipe and engineering change control synchronized with ERP/MES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</si>
  <si>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BOM, routing, recipe and engineering change control synchronized with ERP/MES depends on informal practices or individual knowledge. Disruption may expose production stoppage, quality defects, low asset visibility and inability to recover shop-floor operations and slow recovery.</t>
  </si>
  <si>
    <t>Elevated risk: BOM, routing, recipe and engineering change control synchronized with ERP/MES is partially controlled, but coverage, evidence or testing is inconsistent. Crisis response may be fragmented.</t>
  </si>
  <si>
    <t>Moderate risk: BOM, routing, recipe and engineering change control synchronized with ERP/MES is documented and owned, but measurement, stress testing and integration with dependent processes need strengthening.</t>
  </si>
  <si>
    <t>Residual risk: BOM, routing, recipe and engineering change control synchronized with ERP/MES is measured and reviewed, but monitoring, automation or scenario testing should be improved to prevent maturity drift.</t>
  </si>
  <si>
    <t>Low residual risk: BOM, routing, recipe and engineering change control synchronized with ERP/MES is mature and crisis-tested. Maintain monitoring, evidence, ownership and periodic stress testing.</t>
  </si>
  <si>
    <t>Create an immediate risk owner, minimum control baseline and fallback procedure for BOM, routing, recipe and engineering change control synchronized with ERP/MES. Add it to the crisis risk register and collect first evidence.</t>
  </si>
  <si>
    <t>Document BOM, routing, recipe and engineering change control synchronized with ERP/MES, assign RACI, define minimum controls and KPIs, and validate coverage across key sites, teams or systems.</t>
  </si>
  <si>
    <t>Standardize BOM, routing, recipe and engineering change control synchronized with ERP/MES, close coverage gaps, train accountable roles and connect controls to the relevant crisis scenarios and continuity plans.</t>
  </si>
  <si>
    <t>Measure and test BOM, routing, recipe and engineering change control synchronized with ERP/MES, run tabletop or operational stress tests, integrate it with dependent processes and update crisis playbooks.</t>
  </si>
  <si>
    <t>Sustain maturity for BOM, routing, recipe and engineering change control synchronized with ERP/MES: keep evidence current, monitor drift, benchmark externally and refresh risk tests after organizational, system or market changes.</t>
  </si>
  <si>
    <t>Immature capability for operator training and certification for equipment, safety, quality and emergency procedures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</si>
  <si>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operator training and certification for equipment, safety, quality and emergency procedures.</t>
  </si>
  <si>
    <t>Severe risk: operator training and certification for equipment, safety, quality and emergency procedures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</si>
  <si>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operator training and certification for equipment, safety, quality and emergency procedures depends on informal practices or individual knowledge. Disruption may expose production stoppage, quality defects, low asset visibility and inability to recover shop-floor operations and slow recovery.</t>
  </si>
  <si>
    <t>Elevated risk: operator training and certification for equipment, safety, quality and emergency procedures is partially controlled, but coverage, evidence or testing is inconsistent. Crisis response may be fragmented.</t>
  </si>
  <si>
    <t>Moderate risk: operator training and certification for equipment, safety, quality and emergency procedures is documented and owned, but measurement, stress testing and integration with dependent processes need strengthening.</t>
  </si>
  <si>
    <t>Residual risk: operator training and certification for equipment, safety, quality and emergency procedures is measured and reviewed, but monitoring, automation or scenario testing should be improved to prevent maturity drift.</t>
  </si>
  <si>
    <t>Low residual risk: operator training and certification for equipment, safety, quality and emergency procedures is mature and crisis-tested. Maintain monitoring, evidence, ownership and periodic stress testing.</t>
  </si>
  <si>
    <t>Create an immediate risk owner, minimum control baseline and fallback procedure for operator training and certification for equipment, safety, quality and emergency procedures. Add it to the crisis risk register and collect first evidence.</t>
  </si>
  <si>
    <t>Document operator training and certification for equipment, safety, quality and emergency procedures, assign RACI, define minimum controls and KPIs, and validate coverage across key sites, teams or systems.</t>
  </si>
  <si>
    <t>Standardize operator training and certification for equipment, safety, quality and emergency procedures, close coverage gaps, train accountable roles and connect controls to the relevant crisis scenarios and continuity plans.</t>
  </si>
  <si>
    <t>Measure and test operator training and certification for equipment, safety, quality and emergency procedures, run tabletop or operational stress tests, integrate it with dependent processes and update crisis playbooks.</t>
  </si>
  <si>
    <t>Sustain maturity for operator training and certification for equipment, safety, quality and emergency procedures: keep evidence current, monitor drift, benchmark externally and refresh risk tests after organizational, system or market changes.</t>
  </si>
  <si>
    <t>Immature capability for machine safety controls, guarding, emergency stops and lockout/tagout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</si>
  <si>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machine safety controls, guarding, emergency stops and lockout/tagout.</t>
  </si>
  <si>
    <t>Severe risk: machine safety controls, guarding, emergency stops and lockout/tagout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</si>
  <si>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machine safety controls, guarding, emergency stops and lockout/tagout depends on informal practices or individual knowledge. Disruption may expose production stoppage, quality defects, low asset visibility and inability to recover shop-floor operations and slow recovery.</t>
  </si>
  <si>
    <t>Elevated risk: machine safety controls, guarding, emergency stops and lockout/tagout is partially controlled, but coverage, evidence or testing is inconsistent. Crisis response may be fragmented.</t>
  </si>
  <si>
    <t>Moderate risk: machine safety controls, guarding, emergency stops and lockout/tagout is documented and owned, but measurement, stress testing and integration with dependent processes need strengthening.</t>
  </si>
  <si>
    <t>Residual risk: machine safety controls, guarding, emergency stops and lockout/tagout is measured and reviewed, but monitoring, automation or scenario testing should be improved to prevent maturity drift.</t>
  </si>
  <si>
    <t>Low residual risk: machine safety controls, guarding, emergency stops and lockout/tagout is mature and crisis-tested. Maintain monitoring, evidence, ownership and periodic stress testing.</t>
  </si>
  <si>
    <t>Create an immediate risk owner, minimum control baseline and fallback procedure for machine safety controls, guarding, emergency stops and lockout/tagout. Add it to the crisis risk register and collect first evidence.</t>
  </si>
  <si>
    <t>Document machine safety controls, guarding, emergency stops and lockout/tagout, assign RACI, define minimum controls and KPIs, and validate coverage across key sites, teams or systems.</t>
  </si>
  <si>
    <t>Standardize machine safety controls, guarding, emergency stops and lockout/tagout, close coverage gaps, train accountable roles and connect controls to the relevant crisis scenarios and continuity plans.</t>
  </si>
  <si>
    <t>Measure and test machine safety controls, guarding, emergency stops and lockout/tagout, run tabletop or operational stress tests, integrate it with dependent processes and update crisis playbooks.</t>
  </si>
  <si>
    <t>Sustain maturity for machine safety controls, guarding, emergency stops and lockout/tagout: keep evidence current, monitor drift, benchmark externally and refresh risk tests after organizational, system or market changes.</t>
  </si>
  <si>
    <t>Immature capability for rework, scrap, yield loss and defect cost analysis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</si>
  <si>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rework, scrap, yield loss and defect cost analysis.</t>
  </si>
  <si>
    <t>Severe risk: rework, scrap, yield loss and defect cost analysis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</si>
  <si>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rework, scrap, yield loss and defect cost analysis depends on informal practices or individual knowledge. Disruption may expose production stoppage, quality defects, low asset visibility and inability to recover shop-floor operations and slow recovery.</t>
  </si>
  <si>
    <t>Elevated risk: rework, scrap, yield loss and defect cost analysis is partially controlled, but coverage, evidence or testing is inconsistent. Crisis response may be fragmented.</t>
  </si>
  <si>
    <t>Moderate risk: rework, scrap, yield loss and defect cost analysis is documented and owned, but measurement, stress testing and integration with dependent processes need strengthening.</t>
  </si>
  <si>
    <t>Residual risk: rework, scrap, yield loss and defect cost analysis is measured and reviewed, but monitoring, automation or scenario testing should be improved to prevent maturity drift.</t>
  </si>
  <si>
    <t>Low residual risk: rework, scrap, yield loss and defect cost analysis is mature and crisis-tested. Maintain monitoring, evidence, ownership and periodic stress testing.</t>
  </si>
  <si>
    <t>Create an immediate risk owner, minimum control baseline and fallback procedure for rework, scrap, yield loss and defect cost analysis. Add it to the crisis risk register and collect first evidence.</t>
  </si>
  <si>
    <t>Document rework, scrap, yield loss and defect cost analysis, assign RACI, define minimum controls and KPIs, and validate coverage across key sites, teams or systems.</t>
  </si>
  <si>
    <t>Standardize rework, scrap, yield loss and defect cost analysis, close coverage gaps, train accountable roles and connect controls to the relevant crisis scenarios and continuity plans.</t>
  </si>
  <si>
    <t>Measure and test rework, scrap, yield loss and defect cost analysis, run tabletop or operational stress tests, integrate it with dependent processes and update crisis playbooks.</t>
  </si>
  <si>
    <t>Sustain maturity for rework, scrap, yield loss and defect cost analysis: keep evidence current, monitor drift, benchmark externally and refresh risk tests after organizational, system or market changes.</t>
  </si>
  <si>
    <t>Immature capability for OT asset inventory for PLCs, SCADA, HMIs, industrial networks and engineering workstations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</si>
  <si>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OT asset inventory for PLCs, SCADA, HMIs, industrial networks and engineering workstations.</t>
  </si>
  <si>
    <t>Severe risk: OT asset inventory for PLCs, SCADA, HMIs, industrial networks and engineering workstations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</si>
  <si>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OT asset inventory for PLCs, SCADA, HMIs, industrial networks and engineering workstations depends on informal practices or individual knowledge. Disruption may expose production stoppage, quality defects, low asset visibility and inability to recover shop-floor operations and slow recovery.</t>
  </si>
  <si>
    <t>Elevated risk: OT asset inventory for PLCs, SCADA, HMIs, industrial networks and engineering workstations is partially controlled, but coverage, evidence or testing is inconsistent. Crisis response may be fragmented.</t>
  </si>
  <si>
    <t>Moderate risk: OT asset inventory for PLCs, SCADA, HMIs, industrial networks and engineering workstations is documented and owned, but measurement, stress testing and integration with dependent processes need strengthening.</t>
  </si>
  <si>
    <t>Residual risk: OT asset inventory for PLCs, SCADA, HMIs, industrial networks and engineering workstations is measured and reviewed, but monitoring, automation or scenario testing should be improved to prevent maturity drift.</t>
  </si>
  <si>
    <t>Low residual risk: OT asset inventory for PLCs, SCADA, HMIs, industrial networks and engineering workstations is mature and crisis-tested. Maintain monitoring, evidence, ownership and periodic stress testing.</t>
  </si>
  <si>
    <t>Create an immediate risk owner, minimum control baseline and fallback procedure for OT asset inventory for PLCs, SCADA, HMIs, industrial networks and engineering workstations. Add it to the crisis risk register and collect first evidence.</t>
  </si>
  <si>
    <t>Document OT asset inventory for PLCs, SCADA, HMIs, industrial networks and engineering workstations, assign RACI, define minimum controls and KPIs, and validate coverage across key sites, teams or systems.</t>
  </si>
  <si>
    <t>Standardize OT asset inventory for PLCs, SCADA, HMIs, industrial networks and engineering workstations, close coverage gaps, train accountable roles and connect controls to the relevant crisis scenarios and continuity plans.</t>
  </si>
  <si>
    <t>Measure and test OT asset inventory for PLCs, SCADA, HMIs, industrial networks and engineering workstations, run tabletop or operational stress tests, integrate it with dependent processes and update crisis playbooks.</t>
  </si>
  <si>
    <t>Sustain maturity for OT asset inventory for PLCs, SCADA, HMIs, industrial networks and engineering workstations: keep evidence current, monitor drift, benchmark externally and refresh risk tests after organizational, system or market changes.</t>
  </si>
  <si>
    <t>Immature capability for OT network segmentation and secure remote access for vendors and maintenance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</si>
  <si>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OT network segmentation and secure remote access for vendors and maintenance.</t>
  </si>
  <si>
    <t>Severe risk: OT network segmentation and secure remote access for vendors and maintenance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</si>
  <si>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OT network segmentation and secure remote access for vendors and maintenance depends on informal practices or individual knowledge. Disruption may expose production stoppage, quality defects, low asset visibility and inability to recover shop-floor operations and slow recovery.</t>
  </si>
  <si>
    <t>Elevated risk: OT network segmentation and secure remote access for vendors and maintenance is partially controlled, but coverage, evidence or testing is inconsistent. Crisis response may be fragmented.</t>
  </si>
  <si>
    <t>Moderate risk: OT network segmentation and secure remote access for vendors and maintenance is documented and owned, but measurement, stress testing and integration with dependent processes need strengthening.</t>
  </si>
  <si>
    <t>Residual risk: OT network segmentation and secure remote access for vendors and maintenance is measured and reviewed, but monitoring, automation or scenario testing should be improved to prevent maturity drift.</t>
  </si>
  <si>
    <t>Low residual risk: OT network segmentation and secure remote access for vendors and maintenance is mature and crisis-tested. Maintain monitoring, evidence, ownership and periodic stress testing.</t>
  </si>
  <si>
    <t>Create an immediate risk owner, minimum control baseline and fallback procedure for OT network segmentation and secure remote access for vendors and maintenance. Add it to the crisis risk register and collect first evidence.</t>
  </si>
  <si>
    <t>Document OT network segmentation and secure remote access for vendors and maintenance, assign RACI, define minimum controls and KPIs, and validate coverage across key sites, teams or systems.</t>
  </si>
  <si>
    <t>Standardize OT network segmentation and secure remote access for vendors and maintenance, close coverage gaps, train accountable roles and connect controls to the relevant crisis scenarios and continuity plans.</t>
  </si>
  <si>
    <t>Measure and test OT network segmentation and secure remote access for vendors and maintenance, run tabletop or operational stress tests, integrate it with dependent processes and update crisis playbooks.</t>
  </si>
  <si>
    <t>Sustain maturity for OT network segmentation and secure remote access for vendors and maintenance: keep evidence current, monitor drift, benchmark externally and refresh risk tests after organizational, system or market changes.</t>
  </si>
  <si>
    <t>Immature capability for PLC, HMI, SCADA and recipe configuration backup and restore testing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</si>
  <si>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PLC, HMI, SCADA and recipe configuration backup and restore testing.</t>
  </si>
  <si>
    <t>Severe risk: PLC, HMI, SCADA and recipe configuration backup and restore testing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</si>
  <si>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PLC, HMI, SCADA and recipe configuration backup and restore testing depends on informal practices or individual knowledge. Disruption may expose production stoppage, quality defects, low asset visibility and inability to recover shop-floor operations and slow recovery.</t>
  </si>
  <si>
    <t>Elevated risk: PLC, HMI, SCADA and recipe configuration backup and restore testing is partially controlled, but coverage, evidence or testing is inconsistent. Crisis response may be fragmented.</t>
  </si>
  <si>
    <t>Moderate risk: PLC, HMI, SCADA and recipe configuration backup and restore testing is documented and owned, but measurement, stress testing and integration with dependent processes need strengthening.</t>
  </si>
  <si>
    <t>Residual risk: PLC, HMI, SCADA and recipe configuration backup and restore testing is measured and reviewed, but monitoring, automation or scenario testing should be improved to prevent maturity drift.</t>
  </si>
  <si>
    <t>Low residual risk: PLC, HMI, SCADA and recipe configuration backup and restore testing is mature and crisis-tested. Maintain monitoring, evidence, ownership and periodic stress testing.</t>
  </si>
  <si>
    <t>Create an immediate risk owner, minimum control baseline and fallback procedure for PLC, HMI, SCADA and recipe configuration backup and restore testing. Add it to the crisis risk register and collect first evidence.</t>
  </si>
  <si>
    <t>Document PLC, HMI, SCADA and recipe configuration backup and restore testing, assign RACI, define minimum controls and KPIs, and validate coverage across key sites, teams or systems.</t>
  </si>
  <si>
    <t>Standardize PLC, HMI, SCADA and recipe configuration backup and restore testing, close coverage gaps, train accountable roles and connect controls to the relevant crisis scenarios and continuity plans.</t>
  </si>
  <si>
    <t>Measure and test PLC, HMI, SCADA and recipe configuration backup and restore testing, run tabletop or operational stress tests, integrate it with dependent processes and update crisis playbooks.</t>
  </si>
  <si>
    <t>Sustain maturity for PLC, HMI, SCADA and recipe configuration backup and restore testing: keep evidence current, monitor drift, benchmark externally and refresh risk tests after organizational, system or market changes.</t>
  </si>
  <si>
    <t>Immature capability for cyber incident response procedures specific to production and OT may lead to production stoppage, quality defects, low asset visibility and inability to recover shop-floor operations during Manufacturing disruption; Safety incident; Energy outage; Cyberattack.</t>
  </si>
  <si>
    <t>Low maturity, weak ownership, incomplete evidence, insufficient testing and poor integration with crisis-management routines for cyber incident response procedures specific to production and OT.</t>
  </si>
  <si>
    <t>Severe risk: cyber incident response procedures specific to production and OT is not reliably controlled. During Manufacturing disruption; Safety incident; Energy outage; Cyberattack, the organization may face production stoppage, quality defects, low asset visibility and inability to recover shop-floor operations with limited visibility or accountability.</t>
  </si>
  <si>
    <t>High risk: cyber incident response procedures specific to production and OT depends on informal practices or individual knowledge. Disruption may expose production stoppage, quality defects, low asset visibility and inability to recover shop-floor operations and slow recovery.</t>
  </si>
  <si>
    <t>Elevated risk: cyber incident response procedures specific to production and OT is partially controlled, but coverage, evidence or testing is inconsistent. Crisis response may be fragmented.</t>
  </si>
  <si>
    <t>Moderate risk: cyber incident response procedures specific to production and OT is documented and owned, but measurement, stress testing and integration with dependent processes need strengthening.</t>
  </si>
  <si>
    <t>Residual risk: cyber incident response procedures specific to production and OT is measured and reviewed, but monitoring, automation or scenario testing should be improved to prevent maturity drift.</t>
  </si>
  <si>
    <t>Low residual risk: cyber incident response procedures specific to production and OT is mature and crisis-tested. Maintain monitoring, evidence, ownership and periodic stress testing.</t>
  </si>
  <si>
    <t>Create an immediate risk owner, minimum control baseline and fallback procedure for cyber incident response procedures specific to production and OT. Add it to the crisis risk register and collect first evidence.</t>
  </si>
  <si>
    <t>Document cyber incident response procedures specific to production and OT, assign RACI, define minimum controls and KPIs, and validate coverage across key sites, teams or systems.</t>
  </si>
  <si>
    <t>Standardize cyber incident response procedures specific to production and OT, close coverage gaps, train accountable roles and connect controls to the relevant crisis scenarios and continuity plans.</t>
  </si>
  <si>
    <t>Measure and test cyber incident response procedures specific to production and OT, run tabletop or operational stress tests, integrate it with dependent processes and update crisis playbooks.</t>
  </si>
  <si>
    <t>Sustain maturity for cyber incident response procedures specific to production and OT: keep evidence current, monitor drift, benchmark externally and refresh risk tests after organizational, system or market changes.</t>
  </si>
  <si>
    <t>Immature capability for CRM as single source of truth for accounts, contacts, opportunities, activities and forecasts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</si>
  <si>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CRM as single source of truth for accounts, contacts, opportunities, activities and forecasts.</t>
  </si>
  <si>
    <t>Severe risk: CRM as single source of truth for accounts, contacts, opportunities, activities and forecasts is not reliably controlled. During Demand shock; Revenue loss; Reputation crisis, the organization may face pipeline loss, poor customer retention, weak forecasting and inability to protect revenue channels with limited visibility or accountability.</t>
  </si>
  <si>
    <t>High risk: CRM as single source of truth for accounts, contacts, opportunities, activities and forecasts depends on informal practices or individual knowledge. Disruption may expose pipeline loss, poor customer retention, weak forecasting and inability to protect revenue channels and slow recovery.</t>
  </si>
  <si>
    <t>Elevated risk: CRM as single source of truth for accounts, contacts, opportunities, activities and forecasts is partially controlled, but coverage, evidence or testing is inconsistent. Crisis response may be fragmented.</t>
  </si>
  <si>
    <t>Moderate risk: CRM as single source of truth for accounts, contacts, opportunities, activities and forecasts is documented and owned, but measurement, stress testing and integration with dependent processes need strengthening.</t>
  </si>
  <si>
    <t>Residual risk: CRM as single source of truth for accounts, contacts, opportunities, activities and forecasts is measured and reviewed, but monitoring, automation or scenario testing should be improved to prevent maturity drift.</t>
  </si>
  <si>
    <t>Low residual risk: CRM as single source of truth for accounts, contacts, opportunities, activities and forecasts is mature and crisis-tested. Maintain monitoring, evidence, ownership and periodic stress testing.</t>
  </si>
  <si>
    <t>Create an immediate risk owner, minimum control baseline and fallback procedure for CRM as single source of truth for accounts, contacts, opportunities, activities and forecasts. Add it to the crisis risk register and collect first evidence.</t>
  </si>
  <si>
    <t>Document CRM as single source of truth for accounts, contacts, opportunities, activities and forecasts, assign RACI, define minimum controls and KPIs, and validate coverage across key sites, teams or systems.</t>
  </si>
  <si>
    <t>Standardize CRM as single source of truth for accounts, contacts, opportunities, activities and forecasts, close coverage gaps, train accountable roles and connect controls to the relevant crisis scenarios and continuity plans.</t>
  </si>
  <si>
    <t>Measure and test CRM as single source of truth for accounts, contacts, opportunities, activities and forecasts, run tabletop or operational stress tests, integrate it with dependent processes and update crisis playbooks.</t>
  </si>
  <si>
    <t>Sustain maturity for CRM as single source of truth for accounts, contacts, opportunities, activities and forecasts: keep evidence current, monitor drift, benchmark externally and refresh risk tests after organizational, system or market changes.</t>
  </si>
  <si>
    <t>Immature capability for CRM data quality for segmentation, pipeline, ICP, offerings, win/loss reasons and customer health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</si>
  <si>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CRM data quality for segmentation, pipeline, ICP, offerings, win/loss reasons and customer health.</t>
  </si>
  <si>
    <t>Severe risk: CRM data quality for segmentation, pipeline, ICP, offerings, win/loss reasons and customer health is not reliably controlled. During Demand shock; Revenue loss; Reputation crisis, the organization may face pipeline loss, poor customer retention, weak forecasting and inability to protect revenue channels with limited visibility or accountability.</t>
  </si>
  <si>
    <t>High risk: CRM data quality for segmentation, pipeline, ICP, offerings, win/loss reasons and customer health depends on informal practices or individual knowledge. Disruption may expose pipeline loss, poor customer retention, weak forecasting and inability to protect revenue channels and slow recovery.</t>
  </si>
  <si>
    <t>Elevated risk: CRM data quality for segmentation, pipeline, ICP, offerings, win/loss reasons and customer health is partially controlled, but coverage, evidence or testing is inconsistent. Crisis response may be fragmented.</t>
  </si>
  <si>
    <t>Moderate risk: CRM data quality for segmentation, pipeline, ICP, offerings, win/loss reasons and customer health is documented and owned, but measurement, stress testing and integration with dependent processes need strengthening.</t>
  </si>
  <si>
    <t>Residual risk: CRM data quality for segmentation, pipeline, ICP, offerings, win/loss reasons and customer health is measured and reviewed, but monitoring, automation or scenario testing should be improved to prevent maturity drift.</t>
  </si>
  <si>
    <t>Low residual risk: CRM data quality for segmentation, pipeline, ICP, offerings, win/loss reasons and customer health is mature and crisis-tested. Maintain monitoring, evidence, ownership and periodic stress testing.</t>
  </si>
  <si>
    <t>Create an immediate risk owner, minimum control baseline and fallback procedure for CRM data quality for segmentation, pipeline, ICP, offerings, win/loss reasons and customer health. Add it to the crisis risk register and collect first evidence.</t>
  </si>
  <si>
    <t>Document CRM data quality for segmentation, pipeline, ICP, offerings, win/loss reasons and customer health, assign RACI, define minimum controls and KPIs, and validate coverage across key sites, teams or systems.</t>
  </si>
  <si>
    <t>Standardize CRM data quality for segmentation, pipeline, ICP, offerings, win/loss reasons and customer health, close coverage gaps, train accountable roles and connect controls to the relevant crisis scenarios and continuity plans.</t>
  </si>
  <si>
    <t>Measure and test CRM data quality for segmentation, pipeline, ICP, offerings, win/loss reasons and customer health, run tabletop or operational stress tests, integrate it with dependent processes and update crisis playbooks.</t>
  </si>
  <si>
    <t>Sustain maturity for CRM data quality for segmentation, pipeline, ICP, offerings, win/loss reasons and customer health: keep evidence current, monitor drift, benchmark externally and refresh risk tests after organizational, system or market changes.</t>
  </si>
  <si>
    <t>Immature capability for CRM-ERP integration for orders, pricing, billing, collections and revenue visibility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</si>
  <si>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CRM-ERP integration for orders, pricing, billing, collections and revenue visibility.</t>
  </si>
  <si>
    <t>Severe risk: CRM-ERP integration for orders, pricing, billing, collections and revenue visibility is not reliably controlled. During Demand shock; Revenue loss; Reputation crisis, the organization may face pipeline loss, poor customer retention, weak forecasting and inability to protect revenue channels with limited visibility or accountability.</t>
  </si>
  <si>
    <t>High risk: CRM-ERP integration for orders, pricing, billing, collections and revenue visibility depends on informal practices or individual knowledge. Disruption may expose pipeline loss, poor customer retention, weak forecasting and inability to protect revenue channels and slow recovery.</t>
  </si>
  <si>
    <t>Elevated risk: CRM-ERP integration for orders, pricing, billing, collections and revenue visibility is partially controlled, but coverage, evidence or testing is inconsistent. Crisis response may be fragmented.</t>
  </si>
  <si>
    <t>Moderate risk: CRM-ERP integration for orders, pricing, billing, collections and revenue visibility is documented and owned, but measurement, stress testing and integration with dependent processes need strengthening.</t>
  </si>
  <si>
    <t>Residual risk: CRM-ERP integration for orders, pricing, billing, collections and revenue visibility is measured and reviewed, but monitoring, automation or scenario testing should be improved to prevent maturity drift.</t>
  </si>
  <si>
    <t>Low residual risk: CRM-ERP integration for orders, pricing, billing, collections and revenue visibility is mature and crisis-tested. Maintain monitoring, evidence, ownership and periodic stress testing.</t>
  </si>
  <si>
    <t>Create an immediate risk owner, minimum control baseline and fallback procedure for CRM-ERP integration for orders, pricing, billing, collections and revenue visibility. Add it to the crisis risk register and collect first evidence.</t>
  </si>
  <si>
    <t>Document CRM-ERP integration for orders, pricing, billing, collections and revenue visibility, assign RACI, define minimum controls and KPIs, and validate coverage across key sites, teams or systems.</t>
  </si>
  <si>
    <t>Standardize CRM-ERP integration for orders, pricing, billing, collections and revenue visibility, close coverage gaps, train accountable roles and connect controls to the relevant crisis scenarios and continuity plans.</t>
  </si>
  <si>
    <t>Measure and test CRM-ERP integration for orders, pricing, billing, collections and revenue visibility, run tabletop or operational stress tests, integrate it with dependent processes and update crisis playbooks.</t>
  </si>
  <si>
    <t>Sustain maturity for CRM-ERP integration for orders, pricing, billing, collections and revenue visibility: keep evidence current, monitor drift, benchmark externally and refresh risk tests after organizational, system or market changes.</t>
  </si>
  <si>
    <t>Immature capability for sales process governance from lead to opportunity to contract to handover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</si>
  <si>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process governance from lead to opportunity to contract to handover.</t>
  </si>
  <si>
    <t>Severe risk: sales process governance from lead to opportunity to contract to handover is not reliably controlled. During Demand shock; Revenue loss; Reputation crisis, the organization may face pipeline loss, poor customer retention, weak forecasting and inability to protect revenue channels with limited visibility or accountability.</t>
  </si>
  <si>
    <t>High risk: sales process governance from lead to opportunity to contract to handover depends on informal practices or individual knowledge. Disruption may expose pipeline loss, poor customer retention, weak forecasting and inability to protect revenue channels and slow recovery.</t>
  </si>
  <si>
    <t>Elevated risk: sales process governance from lead to opportunity to contract to handover is partially controlled, but coverage, evidence or testing is inconsistent. Crisis response may be fragmented.</t>
  </si>
  <si>
    <t>Moderate risk: sales process governance from lead to opportunity to contract to handover is documented and owned, but measurement, stress testing and integration with dependent processes need strengthening.</t>
  </si>
  <si>
    <t>Residual risk: sales process governance from lead to opportunity to contract to handover is measured and reviewed, but monitoring, automation or scenario testing should be improved to prevent maturity drift.</t>
  </si>
  <si>
    <t>Low residual risk: sales process governance from lead to opportunity to contract to handover is mature and crisis-tested. Maintain monitoring, evidence, ownership and periodic stress testing.</t>
  </si>
  <si>
    <t>Create an immediate risk owner, minimum control baseline and fallback procedure for sales process governance from lead to opportunity to contract to handover. Add it to the crisis risk register and collect first evidence.</t>
  </si>
  <si>
    <t>Document sales process governance from lead to opportunity to contract to handover, assign RACI, define minimum controls and KPIs, and validate coverage across key sites, teams or systems.</t>
  </si>
  <si>
    <t>Standardize sales process governance from lead to opportunity to contract to handover, close coverage gaps, train accountable roles and connect controls to the relevant crisis scenarios and continuity plans.</t>
  </si>
  <si>
    <t>Measure and test sales process governance from lead to opportunity to contract to handover, run tabletop or operational stress tests, integrate it with dependent processes and update crisis playbooks.</t>
  </si>
  <si>
    <t>Sustain maturity for sales process governance from lead to opportunity to contract to handover: keep evidence current, monitor drift, benchmark externally and refresh risk tests after organizational, system or market changes.</t>
  </si>
  <si>
    <t>Immature capability for customer and contract data linked to renewal, SLA and revenue risk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</si>
  <si>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customer and contract data linked to renewal, SLA and revenue risk.</t>
  </si>
  <si>
    <t>Severe risk: customer and contract data linked to renewal, SLA and revenue risk is not reliably controlled. During Demand shock; Revenue loss; Reputation crisis, the organization may face pipeline loss, poor customer retention, weak forecasting and inability to protect revenue channels with limited visibility or accountability.</t>
  </si>
  <si>
    <t>High risk: customer and contract data linked to renewal, SLA and revenue risk depends on informal practices or individual knowledge. Disruption may expose pipeline loss, poor customer retention, weak forecasting and inability to protect revenue channels and slow recovery.</t>
  </si>
  <si>
    <t>Elevated risk: customer and contract data linked to renewal, SLA and revenue risk is partially controlled, but coverage, evidence or testing is inconsistent. Crisis response may be fragmented.</t>
  </si>
  <si>
    <t>Moderate risk: customer and contract data linked to renewal, SLA and revenue risk is documented and owned, but measurement, stress testing and integration with dependent processes need strengthening.</t>
  </si>
  <si>
    <t>Residual risk: customer and contract data linked to renewal, SLA and revenue risk is measured and reviewed, but monitoring, automation or scenario testing should be improved to prevent maturity drift.</t>
  </si>
  <si>
    <t>Low residual risk: customer and contract data linked to renewal, SLA and revenue risk is mature and crisis-tested. Maintain monitoring, evidence, ownership and periodic stress testing.</t>
  </si>
  <si>
    <t>Create an immediate risk owner, minimum control baseline and fallback procedure for customer and contract data linked to renewal, SLA and revenue risk. Add it to the crisis risk register and collect first evidence.</t>
  </si>
  <si>
    <t>Document customer and contract data linked to renewal, SLA and revenue risk, assign RACI, define minimum controls and KPIs, and validate coverage across key sites, teams or systems.</t>
  </si>
  <si>
    <t>Standardize customer and contract data linked to renewal, SLA and revenue risk, close coverage gaps, train accountable roles and connect controls to the relevant crisis scenarios and continuity plans.</t>
  </si>
  <si>
    <t>Measure and test customer and contract data linked to renewal, SLA and revenue risk, run tabletop or operational stress tests, integrate it with dependent processes and update crisis playbooks.</t>
  </si>
  <si>
    <t>Sustain maturity for customer and contract data linked to renewal, SLA and revenue risk: keep evidence current, monitor drift, benchmark externally and refresh risk tests after organizational, system or market changes.</t>
  </si>
  <si>
    <t>Immature capability for pipeline qualification criteria and stage exit rules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</si>
  <si>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pipeline qualification criteria and stage exit rules.</t>
  </si>
  <si>
    <t>Severe risk: pipeline qualification criteria and stage exit rules is not reliably controlled. During Demand shock; Revenue loss; Reputation crisis, the organization may face pipeline loss, poor customer retention, weak forecasting and inability to protect revenue channels with limited visibility or accountability.</t>
  </si>
  <si>
    <t>High risk: pipeline qualification criteria and stage exit rules depends on informal practices or individual knowledge. Disruption may expose pipeline loss, poor customer retention, weak forecasting and inability to protect revenue channels and slow recovery.</t>
  </si>
  <si>
    <t>Elevated risk: pipeline qualification criteria and stage exit rules is partially controlled, but coverage, evidence or testing is inconsistent. Crisis response may be fragmented.</t>
  </si>
  <si>
    <t>Moderate risk: pipeline qualification criteria and stage exit rules is documented and owned, but measurement, stress testing and integration with dependent processes need strengthening.</t>
  </si>
  <si>
    <t>Residual risk: pipeline qualification criteria and stage exit rules is measured and reviewed, but monitoring, automation or scenario testing should be improved to prevent maturity drift.</t>
  </si>
  <si>
    <t>Low residual risk: pipeline qualification criteria and stage exit rules is mature and crisis-tested. Maintain monitoring, evidence, ownership and periodic stress testing.</t>
  </si>
  <si>
    <t>Create an immediate risk owner, minimum control baseline and fallback procedure for pipeline qualification criteria and stage exit rules. Add it to the crisis risk register and collect first evidence.</t>
  </si>
  <si>
    <t>Document pipeline qualification criteria and stage exit rules, assign RACI, define minimum controls and KPIs, and validate coverage across key sites, teams or systems.</t>
  </si>
  <si>
    <t>Standardize pipeline qualification criteria and stage exit rules, close coverage gaps, train accountable roles and connect controls to the relevant crisis scenarios and continuity plans.</t>
  </si>
  <si>
    <t>Measure and test pipeline qualification criteria and stage exit rules, run tabletop or operational stress tests, integrate it with dependent processes and update crisis playbooks.</t>
  </si>
  <si>
    <t>Sustain maturity for pipeline qualification criteria and stage exit rules: keep evidence current, monitor drift, benchmark externally and refresh risk tests after organizational, system or market changes.</t>
  </si>
  <si>
    <t>Immature capability for pipeline coverage relative to targets, sales cycle, win rate and crisis scenarios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</si>
  <si>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pipeline coverage relative to targets, sales cycle, win rate and crisis scenarios.</t>
  </si>
  <si>
    <t>Severe risk: pipeline coverage relative to targets, sales cycle, win rate and crisis scenarios is not reliably controlled. During Demand shock; Revenue loss; Reputation crisis, the organization may face pipeline loss, poor customer retention, weak forecasting and inability to protect revenue channels with limited visibility or accountability.</t>
  </si>
  <si>
    <t>High risk: pipeline coverage relative to targets, sales cycle, win rate and crisis scenarios depends on informal practices or individual knowledge. Disruption may expose pipeline loss, poor customer retention, weak forecasting and inability to protect revenue channels and slow recovery.</t>
  </si>
  <si>
    <t>Elevated risk: pipeline coverage relative to targets, sales cycle, win rate and crisis scenarios is partially controlled, but coverage, evidence or testing is inconsistent. Crisis response may be fragmented.</t>
  </si>
  <si>
    <t>Moderate risk: pipeline coverage relative to targets, sales cycle, win rate and crisis scenarios is documented and owned, but measurement, stress testing and integration with dependent processes need strengthening.</t>
  </si>
  <si>
    <t>Residual risk: pipeline coverage relative to targets, sales cycle, win rate and crisis scenarios is measured and reviewed, but monitoring, automation or scenario testing should be improved to prevent maturity drift.</t>
  </si>
  <si>
    <t>Low residual risk: pipeline coverage relative to targets, sales cycle, win rate and crisis scenarios is mature and crisis-tested. Maintain monitoring, evidence, ownership and periodic stress testing.</t>
  </si>
  <si>
    <t>Create an immediate risk owner, minimum control baseline and fallback procedure for pipeline coverage relative to targets, sales cycle, win rate and crisis scenarios. Add it to the crisis risk register and collect first evidence.</t>
  </si>
  <si>
    <t>Document pipeline coverage relative to targets, sales cycle, win rate and crisis scenarios, assign RACI, define minimum controls and KPIs, and validate coverage across key sites, teams or systems.</t>
  </si>
  <si>
    <t>Standardize pipeline coverage relative to targets, sales cycle, win rate and crisis scenarios, close coverage gaps, train accountable roles and connect controls to the relevant crisis scenarios and continuity plans.</t>
  </si>
  <si>
    <t>Measure and test pipeline coverage relative to targets, sales cycle, win rate and crisis scenarios, run tabletop or operational stress tests, integrate it with dependent processes and update crisis playbooks.</t>
  </si>
  <si>
    <t>Sustain maturity for pipeline coverage relative to targets, sales cycle, win rate and crisis scenarios: keep evidence current, monitor drift, benchmark externally and refresh risk tests after organizational, system or market changes.</t>
  </si>
  <si>
    <t>Immature capability for sales forecast cadence connected to finance, delivery and supply planning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</si>
  <si>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forecast cadence connected to finance, delivery and supply planning.</t>
  </si>
  <si>
    <t>Severe risk: sales forecast cadence connected to finance, delivery and supply planning is not reliably controlled. During Demand shock; Revenue loss; Reputation crisis, the organization may face pipeline loss, poor customer retention, weak forecasting and inability to protect revenue channels with limited visibility or accountability.</t>
  </si>
  <si>
    <t>High risk: sales forecast cadence connected to finance, delivery and supply planning depends on informal practices or individual knowledge. Disruption may expose pipeline loss, poor customer retention, weak forecasting and inability to protect revenue channels and slow recovery.</t>
  </si>
  <si>
    <t>Elevated risk: sales forecast cadence connected to finance, delivery and supply planning is partially controlled, but coverage, evidence or testing is inconsistent. Crisis response may be fragmented.</t>
  </si>
  <si>
    <t>Moderate risk: sales forecast cadence connected to finance, delivery and supply planning is documented and owned, but measurement, stress testing and integration with dependent processes need strengthening.</t>
  </si>
  <si>
    <t>Residual risk: sales forecast cadence connected to finance, delivery and supply planning is measured and reviewed, but monitoring, automation or scenario testing should be improved to prevent maturity drift.</t>
  </si>
  <si>
    <t>Low residual risk: sales forecast cadence connected to finance, delivery and supply planning is mature and crisis-tested. Maintain monitoring, evidence, ownership and periodic stress testing.</t>
  </si>
  <si>
    <t>Create an immediate risk owner, minimum control baseline and fallback procedure for sales forecast cadence connected to finance, delivery and supply planning. Add it to the crisis risk register and collect first evidence.</t>
  </si>
  <si>
    <t>Document sales forecast cadence connected to finance, delivery and supply planning, assign RACI, define minimum controls and KPIs, and validate coverage across key sites, teams or systems.</t>
  </si>
  <si>
    <t>Standardize sales forecast cadence connected to finance, delivery and supply planning, close coverage gaps, train accountable roles and connect controls to the relevant crisis scenarios and continuity plans.</t>
  </si>
  <si>
    <t>Measure and test sales forecast cadence connected to finance, delivery and supply planning, run tabletop or operational stress tests, integrate it with dependent processes and update crisis playbooks.</t>
  </si>
  <si>
    <t>Sustain maturity for sales forecast cadence connected to finance, delivery and supply planning: keep evidence current, monitor drift, benchmark externally and refresh risk tests after organizational, system or market changes.</t>
  </si>
  <si>
    <t>Immature capability for sales forecast stress tests for delayed decisions, budget cuts and customer churn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</si>
  <si>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forecast stress tests for delayed decisions, budget cuts and customer churn.</t>
  </si>
  <si>
    <t>Severe risk: sales forecast stress tests for delayed decisions, budget cuts and customer churn is not reliably controlled. During Demand shock; Revenue loss; Reputation crisis, the organization may face pipeline loss, poor customer retention, weak forecasting and inability to protect revenue channels with limited visibility or accountability.</t>
  </si>
  <si>
    <t>High risk: sales forecast stress tests for delayed decisions, budget cuts and customer churn depends on informal practices or individual knowledge. Disruption may expose pipeline loss, poor customer retention, weak forecasting and inability to protect revenue channels and slow recovery.</t>
  </si>
  <si>
    <t>Elevated risk: sales forecast stress tests for delayed decisions, budget cuts and customer churn is partially controlled, but coverage, evidence or testing is inconsistent. Crisis response may be fragmented.</t>
  </si>
  <si>
    <t>Moderate risk: sales forecast stress tests for delayed decisions, budget cuts and customer churn is documented and owned, but measurement, stress testing and integration with dependent processes need strengthening.</t>
  </si>
  <si>
    <t>Residual risk: sales forecast stress tests for delayed decisions, budget cuts and customer churn is measured and reviewed, but monitoring, automation or scenario testing should be improved to prevent maturity drift.</t>
  </si>
  <si>
    <t>Low residual risk: sales forecast stress tests for delayed decisions, budget cuts and customer churn is mature and crisis-tested. Maintain monitoring, evidence, ownership and periodic stress testing.</t>
  </si>
  <si>
    <t>Create an immediate risk owner, minimum control baseline and fallback procedure for sales forecast stress tests for delayed decisions, budget cuts and customer churn. Add it to the crisis risk register and collect first evidence.</t>
  </si>
  <si>
    <t>Document sales forecast stress tests for delayed decisions, budget cuts and customer churn, assign RACI, define minimum controls and KPIs, and validate coverage across key sites, teams or systems.</t>
  </si>
  <si>
    <t>Standardize sales forecast stress tests for delayed decisions, budget cuts and customer churn, close coverage gaps, train accountable roles and connect controls to the relevant crisis scenarios and continuity plans.</t>
  </si>
  <si>
    <t>Measure and test sales forecast stress tests for delayed decisions, budget cuts and customer churn, run tabletop or operational stress tests, integrate it with dependent processes and update crisis playbooks.</t>
  </si>
  <si>
    <t>Sustain maturity for sales forecast stress tests for delayed decisions, budget cuts and customer churn: keep evidence current, monitor drift, benchmark externally and refresh risk tests after organizational, system or market changes.</t>
  </si>
  <si>
    <t>Immature capability for sales analytics by conversion, cycle time, win rate, deal size, margin and loss reason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</si>
  <si>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analytics by conversion, cycle time, win rate, deal size, margin and loss reason.</t>
  </si>
  <si>
    <t>Severe risk: sales analytics by conversion, cycle time, win rate, deal size, margin and loss reason is not reliably controlled. During Demand shock; Revenue loss; Reputation crisis, the organization may face pipeline loss, poor customer retention, weak forecasting and inability to protect revenue channels with limited visibility or accountability.</t>
  </si>
  <si>
    <t>High risk: sales analytics by conversion, cycle time, win rate, deal size, margin and loss reason depends on informal practices or individual knowledge. Disruption may expose pipeline loss, poor customer retention, weak forecasting and inability to protect revenue channels and slow recovery.</t>
  </si>
  <si>
    <t>Elevated risk: sales analytics by conversion, cycle time, win rate, deal size, margin and loss reason is partially controlled, but coverage, evidence or testing is inconsistent. Crisis response may be fragmented.</t>
  </si>
  <si>
    <t>Moderate risk: sales analytics by conversion, cycle time, win rate, deal size, margin and loss reason is documented and owned, but measurement, stress testing and integration with dependent processes need strengthening.</t>
  </si>
  <si>
    <t>Residual risk: sales analytics by conversion, cycle time, win rate, deal size, margin and loss reason is measured and reviewed, but monitoring, automation or scenario testing should be improved to prevent maturity drift.</t>
  </si>
  <si>
    <t>Low residual risk: sales analytics by conversion, cycle time, win rate, deal size, margin and loss reason is mature and crisis-tested. Maintain monitoring, evidence, ownership and periodic stress testing.</t>
  </si>
  <si>
    <t>Create an immediate risk owner, minimum control baseline and fallback procedure for sales analytics by conversion, cycle time, win rate, deal size, margin and loss reason. Add it to the crisis risk register and collect first evidence.</t>
  </si>
  <si>
    <t>Document sales analytics by conversion, cycle time, win rate, deal size, margin and loss reason, assign RACI, define minimum controls and KPIs, and validate coverage across key sites, teams or systems.</t>
  </si>
  <si>
    <t>Standardize sales analytics by conversion, cycle time, win rate, deal size, margin and loss reason, close coverage gaps, train accountable roles and connect controls to the relevant crisis scenarios and continuity plans.</t>
  </si>
  <si>
    <t>Measure and test sales analytics by conversion, cycle time, win rate, deal size, margin and loss reason, run tabletop or operational stress tests, integrate it with dependent processes and update crisis playbooks.</t>
  </si>
  <si>
    <t>Sustain maturity for sales analytics by conversion, cycle time, win rate, deal size, margin and loss reason: keep evidence current, monitor drift, benchmark externally and refresh risk tests after organizational, system or market changes.</t>
  </si>
  <si>
    <t>Immature capability for customer health scoring using usage, satisfaction, payment behavior, delivery issues and engagement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</si>
  <si>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customer health scoring using usage, satisfaction, payment behavior, delivery issues and engagement.</t>
  </si>
  <si>
    <t>Severe risk: customer health scoring using usage, satisfaction, payment behavior, delivery issues and engagement is not reliably controlled. During Demand shock; Revenue loss; Reputation crisis, the organization may face pipeline loss, poor customer retention, weak forecasting and inability to protect revenue channels with limited visibility or accountability.</t>
  </si>
  <si>
    <t>High risk: customer health scoring using usage, satisfaction, payment behavior, delivery issues and engagement depends on informal practices or individual knowledge. Disruption may expose pipeline loss, poor customer retention, weak forecasting and inability to protect revenue channels and slow recovery.</t>
  </si>
  <si>
    <t>Elevated risk: customer health scoring using usage, satisfaction, payment behavior, delivery issues and engagement is partially controlled, but coverage, evidence or testing is inconsistent. Crisis response may be fragmented.</t>
  </si>
  <si>
    <t>Moderate risk: customer health scoring using usage, satisfaction, payment behavior, delivery issues and engagement is documented and owned, but measurement, stress testing and integration with dependent processes need strengthening.</t>
  </si>
  <si>
    <t>Residual risk: customer health scoring using usage, satisfaction, payment behavior, delivery issues and engagement is measured and reviewed, but monitoring, automation or scenario testing should be improved to prevent maturity drift.</t>
  </si>
  <si>
    <t>Low residual risk: customer health scoring using usage, satisfaction, payment behavior, delivery issues and engagement is mature and crisis-tested. Maintain monitoring, evidence, ownership and periodic stress testing.</t>
  </si>
  <si>
    <t>Create an immediate risk owner, minimum control baseline and fallback procedure for customer health scoring using usage, satisfaction, payment behavior, delivery issues and engagement. Add it to the crisis risk register and collect first evidence.</t>
  </si>
  <si>
    <t>Document customer health scoring using usage, satisfaction, payment behavior, delivery issues and engagement, assign RACI, define minimum controls and KPIs, and validate coverage across key sites, teams or systems.</t>
  </si>
  <si>
    <t>Standardize customer health scoring using usage, satisfaction, payment behavior, delivery issues and engagement, close coverage gaps, train accountable roles and connect controls to the relevant crisis scenarios and continuity plans.</t>
  </si>
  <si>
    <t>Measure and test customer health scoring using usage, satisfaction, payment behavior, delivery issues and engagement, run tabletop or operational stress tests, integrate it with dependent processes and update crisis playbooks.</t>
  </si>
  <si>
    <t>Sustain maturity for customer health scoring using usage, satisfaction, payment behavior, delivery issues and engagement: keep evidence current, monitor drift, benchmark externally and refresh risk tests after organizational, system or market changes.</t>
  </si>
  <si>
    <t>Immature capability for churn risk identification, prioritization and mitigation actions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</si>
  <si>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churn risk identification, prioritization and mitigation actions.</t>
  </si>
  <si>
    <t>Severe risk: churn risk identification, prioritization and mitigation actions is not reliably controlled. During Demand shock; Revenue loss; Reputation crisis, the organization may face pipeline loss, poor customer retention, weak forecasting and inability to protect revenue channels with limited visibility or accountability.</t>
  </si>
  <si>
    <t>High risk: churn risk identification, prioritization and mitigation actions depends on informal practices or individual knowledge. Disruption may expose pipeline loss, poor customer retention, weak forecasting and inability to protect revenue channels and slow recovery.</t>
  </si>
  <si>
    <t>Elevated risk: churn risk identification, prioritization and mitigation actions is partially controlled, but coverage, evidence or testing is inconsistent. Crisis response may be fragmented.</t>
  </si>
  <si>
    <t>Moderate risk: churn risk identification, prioritization and mitigation actions is documented and owned, but measurement, stress testing and integration with dependent processes need strengthening.</t>
  </si>
  <si>
    <t>Residual risk: churn risk identification, prioritization and mitigation actions is measured and reviewed, but monitoring, automation or scenario testing should be improved to prevent maturity drift.</t>
  </si>
  <si>
    <t>Low residual risk: churn risk identification, prioritization and mitigation actions is mature and crisis-tested. Maintain monitoring, evidence, ownership and periodic stress testing.</t>
  </si>
  <si>
    <t>Create an immediate risk owner, minimum control baseline and fallback procedure for churn risk identification, prioritization and mitigation actions. Add it to the crisis risk register and collect first evidence.</t>
  </si>
  <si>
    <t>Document churn risk identification, prioritization and mitigation actions, assign RACI, define minimum controls and KPIs, and validate coverage across key sites, teams or systems.</t>
  </si>
  <si>
    <t>Standardize churn risk identification, prioritization and mitigation actions, close coverage gaps, train accountable roles and connect controls to the relevant crisis scenarios and continuity plans.</t>
  </si>
  <si>
    <t>Measure and test churn risk identification, prioritization and mitigation actions, run tabletop or operational stress tests, integrate it with dependent processes and update crisis playbooks.</t>
  </si>
  <si>
    <t>Sustain maturity for churn risk identification, prioritization and mitigation actions: keep evidence current, monitor drift, benchmark externally and refresh risk tests after organizational, system or market changes.</t>
  </si>
  <si>
    <t>Immature capability for renewal calendar and proactive renewal process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</si>
  <si>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renewal calendar and proactive renewal process.</t>
  </si>
  <si>
    <t>Severe risk: renewal calendar and proactive renewal process is not reliably controlled. During Demand shock; Revenue loss; Reputation crisis, the organization may face pipeline loss, poor customer retention, weak forecasting and inability to protect revenue channels with limited visibility or accountability.</t>
  </si>
  <si>
    <t>High risk: renewal calendar and proactive renewal process depends on informal practices or individual knowledge. Disruption may expose pipeline loss, poor customer retention, weak forecasting and inability to protect revenue channels and slow recovery.</t>
  </si>
  <si>
    <t>Elevated risk: renewal calendar and proactive renewal process is partially controlled, but coverage, evidence or testing is inconsistent. Crisis response may be fragmented.</t>
  </si>
  <si>
    <t>Moderate risk: renewal calendar and proactive renewal process is documented and owned, but measurement, stress testing and integration with dependent processes need strengthening.</t>
  </si>
  <si>
    <t>Residual risk: renewal calendar and proactive renewal process is measured and reviewed, but monitoring, automation or scenario testing should be improved to prevent maturity drift.</t>
  </si>
  <si>
    <t>Low residual risk: renewal calendar and proactive renewal process is mature and crisis-tested. Maintain monitoring, evidence, ownership and periodic stress testing.</t>
  </si>
  <si>
    <t>Create an immediate risk owner, minimum control baseline and fallback procedure for renewal calendar and proactive renewal process. Add it to the crisis risk register and collect first evidence.</t>
  </si>
  <si>
    <t>Document renewal calendar and proactive renewal process, assign RACI, define minimum controls and KPIs, and validate coverage across key sites, teams or systems.</t>
  </si>
  <si>
    <t>Standardize renewal calendar and proactive renewal process, close coverage gaps, train accountable roles and connect controls to the relevant crisis scenarios and continuity plans.</t>
  </si>
  <si>
    <t>Measure and test renewal calendar and proactive renewal process, run tabletop or operational stress tests, integrate it with dependent processes and update crisis playbooks.</t>
  </si>
  <si>
    <t>Sustain maturity for renewal calendar and proactive renewal process: keep evidence current, monitor drift, benchmark externally and refresh risk tests after organizational, system or market changes.</t>
  </si>
  <si>
    <t>Immature capability for critical account plans covering stakeholders, risks, contracts, renewals and crisis communication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</si>
  <si>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critical account plans covering stakeholders, risks, contracts, renewals and crisis communication.</t>
  </si>
  <si>
    <t>Severe risk: critical account plans covering stakeholders, risks, contracts, renewals and crisis communication is not reliably controlled. During Demand shock; Revenue loss; Reputation crisis, the organization may face pipeline loss, poor customer retention, weak forecasting and inability to protect revenue channels with limited visibility or accountability.</t>
  </si>
  <si>
    <t>High risk: critical account plans covering stakeholders, risks, contracts, renewals and crisis communication depends on informal practices or individual knowledge. Disruption may expose pipeline loss, poor customer retention, weak forecasting and inability to protect revenue channels and slow recovery.</t>
  </si>
  <si>
    <t>Elevated risk: critical account plans covering stakeholders, risks, contracts, renewals and crisis communication is partially controlled, but coverage, evidence or testing is inconsistent. Crisis response may be fragmented.</t>
  </si>
  <si>
    <t>Moderate risk: critical account plans covering stakeholders, risks, contracts, renewals and crisis communication is documented and owned, but measurement, stress testing and integration with dependent processes need strengthening.</t>
  </si>
  <si>
    <t>Residual risk: critical account plans covering stakeholders, risks, contracts, renewals and crisis communication is measured and reviewed, but monitoring, automation or scenario testing should be improved to prevent maturity drift.</t>
  </si>
  <si>
    <t>Low residual risk: critical account plans covering stakeholders, risks, contracts, renewals and crisis communication is mature and crisis-tested. Maintain monitoring, evidence, ownership and periodic stress testing.</t>
  </si>
  <si>
    <t>Create an immediate risk owner, minimum control baseline and fallback procedure for critical account plans covering stakeholders, risks, contracts, renewals and crisis communication. Add it to the crisis risk register and collect first evidence.</t>
  </si>
  <si>
    <t>Document critical account plans covering stakeholders, risks, contracts, renewals and crisis communication, assign RACI, define minimum controls and KPIs, and validate coverage across key sites, teams or systems.</t>
  </si>
  <si>
    <t>Standardize critical account plans covering stakeholders, risks, contracts, renewals and crisis communication, close coverage gaps, train accountable roles and connect controls to the relevant crisis scenarios and continuity plans.</t>
  </si>
  <si>
    <t>Measure and test critical account plans covering stakeholders, risks, contracts, renewals and crisis communication, run tabletop or operational stress tests, integrate it with dependent processes and update crisis playbooks.</t>
  </si>
  <si>
    <t>Sustain maturity for critical account plans covering stakeholders, risks, contracts, renewals and crisis communication: keep evidence current, monitor drift, benchmark externally and refresh risk tests after organizational, system or market changes.</t>
  </si>
  <si>
    <t>Immature capability for customer notification rules for incidents, delays, cyber events and service disruption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</si>
  <si>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customer notification rules for incidents, delays, cyber events and service disruption.</t>
  </si>
  <si>
    <t>Severe risk: customer notification rules for incidents, delays, cyber events and service disruption is not reliably controlled. During Demand shock; Revenue loss; Reputation crisis, the organization may face pipeline loss, poor customer retention, weak forecasting and inability to protect revenue channels with limited visibility or accountability.</t>
  </si>
  <si>
    <t>High risk: customer notification rules for incidents, delays, cyber events and service disruption depends on informal practices or individual knowledge. Disruption may expose pipeline loss, poor customer retention, weak forecasting and inability to protect revenue channels and slow recovery.</t>
  </si>
  <si>
    <t>Elevated risk: customer notification rules for incidents, delays, cyber events and service disruption is partially controlled, but coverage, evidence or testing is inconsistent. Crisis response may be fragmented.</t>
  </si>
  <si>
    <t>Moderate risk: customer notification rules for incidents, delays, cyber events and service disruption is documented and owned, but measurement, stress testing and integration with dependent processes need strengthening.</t>
  </si>
  <si>
    <t>Residual risk: customer notification rules for incidents, delays, cyber events and service disruption is measured and reviewed, but monitoring, automation or scenario testing should be improved to prevent maturity drift.</t>
  </si>
  <si>
    <t>Low residual risk: customer notification rules for incidents, delays, cyber events and service disruption is mature and crisis-tested. Maintain monitoring, evidence, ownership and periodic stress testing.</t>
  </si>
  <si>
    <t>Create an immediate risk owner, minimum control baseline and fallback procedure for customer notification rules for incidents, delays, cyber events and service disruption. Add it to the crisis risk register and collect first evidence.</t>
  </si>
  <si>
    <t>Document customer notification rules for incidents, delays, cyber events and service disruption, assign RACI, define minimum controls and KPIs, and validate coverage across key sites, teams or systems.</t>
  </si>
  <si>
    <t>Standardize customer notification rules for incidents, delays, cyber events and service disruption, close coverage gaps, train accountable roles and connect controls to the relevant crisis scenarios and continuity plans.</t>
  </si>
  <si>
    <t>Measure and test customer notification rules for incidents, delays, cyber events and service disruption, run tabletop or operational stress tests, integrate it with dependent processes and update crisis playbooks.</t>
  </si>
  <si>
    <t>Sustain maturity for customer notification rules for incidents, delays, cyber events and service disruption: keep evidence current, monitor drift, benchmark externally and refresh risk tests after organizational, system or market changes.</t>
  </si>
  <si>
    <t>Immature capability for support knowledge base and agent fallback if experienced people are unavailable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</si>
  <si>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support knowledge base and agent fallback if experienced people are unavailable.</t>
  </si>
  <si>
    <t>Severe risk: support knowledge base and agent fallback if experienced people are unavailable is not reliably controlled. During Demand shock; Revenue loss; Reputation crisis, the organization may face pipeline loss, poor customer retention, weak forecasting and inability to protect revenue channels with limited visibility or accountability.</t>
  </si>
  <si>
    <t>High risk: support knowledge base and agent fallback if experienced people are unavailable depends on informal practices or individual knowledge. Disruption may expose pipeline loss, poor customer retention, weak forecasting and inability to protect revenue channels and slow recovery.</t>
  </si>
  <si>
    <t>Elevated risk: support knowledge base and agent fallback if experienced people are unavailable is partially controlled, but coverage, evidence or testing is inconsistent. Crisis response may be fragmented.</t>
  </si>
  <si>
    <t>Moderate risk: support knowledge base and agent fallback if experienced people are unavailable is documented and owned, but measurement, stress testing and integration with dependent processes need strengthening.</t>
  </si>
  <si>
    <t>Residual risk: support knowledge base and agent fallback if experienced people are unavailable is measured and reviewed, but monitoring, automation or scenario testing should be improved to prevent maturity drift.</t>
  </si>
  <si>
    <t>Low residual risk: support knowledge base and agent fallback if experienced people are unavailable is mature and crisis-tested. Maintain monitoring, evidence, ownership and periodic stress testing.</t>
  </si>
  <si>
    <t>Create an immediate risk owner, minimum control baseline and fallback procedure for support knowledge base and agent fallback if experienced people are unavailable. Add it to the crisis risk register and collect first evidence.</t>
  </si>
  <si>
    <t>Document support knowledge base and agent fallback if experienced people are unavailable, assign RACI, define minimum controls and KPIs, and validate coverage across key sites, teams or systems.</t>
  </si>
  <si>
    <t>Standardize support knowledge base and agent fallback if experienced people are unavailable, close coverage gaps, train accountable roles and connect controls to the relevant crisis scenarios and continuity plans.</t>
  </si>
  <si>
    <t>Measure and test support knowledge base and agent fallback if experienced people are unavailable, run tabletop or operational stress tests, integrate it with dependent processes and update crisis playbooks.</t>
  </si>
  <si>
    <t>Sustain maturity for support knowledge base and agent fallback if experienced people are unavailable: keep evidence current, monitor drift, benchmark externally and refresh risk tests after organizational, system or market changes.</t>
  </si>
  <si>
    <t>Immature capability for discount governance, pricing exceptions, payment terms and margin protection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</si>
  <si>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discount governance, pricing exceptions, payment terms and margin protection.</t>
  </si>
  <si>
    <t>Severe risk: discount governance, pricing exceptions, payment terms and margin protection is not reliably controlled. During Demand shock; Revenue loss; Reputation crisis, the organization may face pipeline loss, poor customer retention, weak forecasting and inability to protect revenue channels with limited visibility or accountability.</t>
  </si>
  <si>
    <t>High risk: discount governance, pricing exceptions, payment terms and margin protection depends on informal practices or individual knowledge. Disruption may expose pipeline loss, poor customer retention, weak forecasting and inability to protect revenue channels and slow recovery.</t>
  </si>
  <si>
    <t>Elevated risk: discount governance, pricing exceptions, payment terms and margin protection is partially controlled, but coverage, evidence or testing is inconsistent. Crisis response may be fragmented.</t>
  </si>
  <si>
    <t>Moderate risk: discount governance, pricing exceptions, payment terms and margin protection is documented and owned, but measurement, stress testing and integration with dependent processes need strengthening.</t>
  </si>
  <si>
    <t>Residual risk: discount governance, pricing exceptions, payment terms and margin protection is measured and reviewed, but monitoring, automation or scenario testing should be improved to prevent maturity drift.</t>
  </si>
  <si>
    <t>Low residual risk: discount governance, pricing exceptions, payment terms and margin protection is mature and crisis-tested. Maintain monitoring, evidence, ownership and periodic stress testing.</t>
  </si>
  <si>
    <t>Create an immediate risk owner, minimum control baseline and fallback procedure for discount governance, pricing exceptions, payment terms and margin protection. Add it to the crisis risk register and collect first evidence.</t>
  </si>
  <si>
    <t>Document discount governance, pricing exceptions, payment terms and margin protection, assign RACI, define minimum controls and KPIs, and validate coverage across key sites, teams or systems.</t>
  </si>
  <si>
    <t>Standardize discount governance, pricing exceptions, payment terms and margin protection, close coverage gaps, train accountable roles and connect controls to the relevant crisis scenarios and continuity plans.</t>
  </si>
  <si>
    <t>Measure and test discount governance, pricing exceptions, payment terms and margin protection, run tabletop or operational stress tests, integrate it with dependent processes and update crisis playbooks.</t>
  </si>
  <si>
    <t>Sustain maturity for discount governance, pricing exceptions, payment terms and margin protection: keep evidence current, monitor drift, benchmark externally and refresh risk tests after organizational, system or market changes.</t>
  </si>
  <si>
    <t>Immature capability for deal review for margin, delivery feasibility, legal obligations, security and crisis risk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</si>
  <si>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deal review for margin, delivery feasibility, legal obligations, security and crisis risk.</t>
  </si>
  <si>
    <t>Severe risk: deal review for margin, delivery feasibility, legal obligations, security and crisis risk is not reliably controlled. During Demand shock; Revenue loss; Reputation crisis, the organization may face pipeline loss, poor customer retention, weak forecasting and inability to protect revenue channels with limited visibility or accountability.</t>
  </si>
  <si>
    <t>High risk: deal review for margin, delivery feasibility, legal obligations, security and crisis risk depends on informal practices or individual knowledge. Disruption may expose pipeline loss, poor customer retention, weak forecasting and inability to protect revenue channels and slow recovery.</t>
  </si>
  <si>
    <t>Elevated risk: deal review for margin, delivery feasibility, legal obligations, security and crisis risk is partially controlled, but coverage, evidence or testing is inconsistent. Crisis response may be fragmented.</t>
  </si>
  <si>
    <t>Moderate risk: deal review for margin, delivery feasibility, legal obligations, security and crisis risk is documented and owned, but measurement, stress testing and integration with dependent processes need strengthening.</t>
  </si>
  <si>
    <t>Residual risk: deal review for margin, delivery feasibility, legal obligations, security and crisis risk is measured and reviewed, but monitoring, automation or scenario testing should be improved to prevent maturity drift.</t>
  </si>
  <si>
    <t>Low residual risk: deal review for margin, delivery feasibility, legal obligations, security and crisis risk is mature and crisis-tested. Maintain monitoring, evidence, ownership and periodic stress testing.</t>
  </si>
  <si>
    <t>Create an immediate risk owner, minimum control baseline and fallback procedure for deal review for margin, delivery feasibility, legal obligations, security and crisis risk. Add it to the crisis risk register and collect first evidence.</t>
  </si>
  <si>
    <t>Document deal review for margin, delivery feasibility, legal obligations, security and crisis risk, assign RACI, define minimum controls and KPIs, and validate coverage across key sites, teams or systems.</t>
  </si>
  <si>
    <t>Standardize deal review for margin, delivery feasibility, legal obligations, security and crisis risk, close coverage gaps, train accountable roles and connect controls to the relevant crisis scenarios and continuity plans.</t>
  </si>
  <si>
    <t>Measure and test deal review for margin, delivery feasibility, legal obligations, security and crisis risk, run tabletop or operational stress tests, integrate it with dependent processes and update crisis playbooks.</t>
  </si>
  <si>
    <t>Sustain maturity for deal review for margin, delivery feasibility, legal obligations, security and crisis risk: keep evidence current, monitor drift, benchmark externally and refresh risk tests after organizational, system or market changes.</t>
  </si>
  <si>
    <t>Immature capability for customer concentration risk by revenue, margin, geography and industry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</si>
  <si>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customer concentration risk by revenue, margin, geography and industry.</t>
  </si>
  <si>
    <t>Severe risk: customer concentration risk by revenue, margin, geography and industry is not reliably controlled. During Demand shock; Revenue loss; Reputation crisis, the organization may face pipeline loss, poor customer retention, weak forecasting and inability to protect revenue channels with limited visibility or accountability.</t>
  </si>
  <si>
    <t>High risk: customer concentration risk by revenue, margin, geography and industry depends on informal practices or individual knowledge. Disruption may expose pipeline loss, poor customer retention, weak forecasting and inability to protect revenue channels and slow recovery.</t>
  </si>
  <si>
    <t>Elevated risk: customer concentration risk by revenue, margin, geography and industry is partially controlled, but coverage, evidence or testing is inconsistent. Crisis response may be fragmented.</t>
  </si>
  <si>
    <t>Moderate risk: customer concentration risk by revenue, margin, geography and industry is documented and owned, but measurement, stress testing and integration with dependent processes need strengthening.</t>
  </si>
  <si>
    <t>Residual risk: customer concentration risk by revenue, margin, geography and industry is measured and reviewed, but monitoring, automation or scenario testing should be improved to prevent maturity drift.</t>
  </si>
  <si>
    <t>Low residual risk: customer concentration risk by revenue, margin, geography and industry is mature and crisis-tested. Maintain monitoring, evidence, ownership and periodic stress testing.</t>
  </si>
  <si>
    <t>Create an immediate risk owner, minimum control baseline and fallback procedure for customer concentration risk by revenue, margin, geography and industry. Add it to the crisis risk register and collect first evidence.</t>
  </si>
  <si>
    <t>Document customer concentration risk by revenue, margin, geography and industry, assign RACI, define minimum controls and KPIs, and validate coverage across key sites, teams or systems.</t>
  </si>
  <si>
    <t>Standardize customer concentration risk by revenue, margin, geography and industry, close coverage gaps, train accountable roles and connect controls to the relevant crisis scenarios and continuity plans.</t>
  </si>
  <si>
    <t>Measure and test customer concentration risk by revenue, margin, geography and industry, run tabletop or operational stress tests, integrate it with dependent processes and update crisis playbooks.</t>
  </si>
  <si>
    <t>Sustain maturity for customer concentration risk by revenue, margin, geography and industry: keep evidence current, monitor drift, benchmark externally and refresh risk tests after organizational, system or market changes.</t>
  </si>
  <si>
    <t>Immature capability for sales channel continuity if offices close, travel stops, events cancel or one channel fails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</si>
  <si>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sales channel continuity if offices close, travel stops, events cancel or one channel fails.</t>
  </si>
  <si>
    <t>Severe risk: sales channel continuity if offices close, travel stops, events cancel or one channel fails is not reliably controlled. During Demand shock; Revenue loss; Reputation crisis, the organization may face pipeline loss, poor customer retention, weak forecasting and inability to protect revenue channels with limited visibility or accountability.</t>
  </si>
  <si>
    <t>High risk: sales channel continuity if offices close, travel stops, events cancel or one channel fails depends on informal practices or individual knowledge. Disruption may expose pipeline loss, poor customer retention, weak forecasting and inability to protect revenue channels and slow recovery.</t>
  </si>
  <si>
    <t>Elevated risk: sales channel continuity if offices close, travel stops, events cancel or one channel fails is partially controlled, but coverage, evidence or testing is inconsistent. Crisis response may be fragmented.</t>
  </si>
  <si>
    <t>Moderate risk: sales channel continuity if offices close, travel stops, events cancel or one channel fails is documented and owned, but measurement, stress testing and integration with dependent processes need strengthening.</t>
  </si>
  <si>
    <t>Residual risk: sales channel continuity if offices close, travel stops, events cancel or one channel fails is measured and reviewed, but monitoring, automation or scenario testing should be improved to prevent maturity drift.</t>
  </si>
  <si>
    <t>Low residual risk: sales channel continuity if offices close, travel stops, events cancel or one channel fails is mature and crisis-tested. Maintain monitoring, evidence, ownership and periodic stress testing.</t>
  </si>
  <si>
    <t>Create an immediate risk owner, minimum control baseline and fallback procedure for sales channel continuity if offices close, travel stops, events cancel or one channel fails. Add it to the crisis risk register and collect first evidence.</t>
  </si>
  <si>
    <t>Document sales channel continuity if offices close, travel stops, events cancel or one channel fails, assign RACI, define minimum controls and KPIs, and validate coverage across key sites, teams or systems.</t>
  </si>
  <si>
    <t>Standardize sales channel continuity if offices close, travel stops, events cancel or one channel fails, close coverage gaps, train accountable roles and connect controls to the relevant crisis scenarios and continuity plans.</t>
  </si>
  <si>
    <t>Measure and test sales channel continuity if offices close, travel stops, events cancel or one channel fails, run tabletop or operational stress tests, integrate it with dependent processes and update crisis playbooks.</t>
  </si>
  <si>
    <t>Sustain maturity for sales channel continuity if offices close, travel stops, events cancel or one channel fails: keep evidence current, monitor drift, benchmark externally and refresh risk tests after organizational, system or market changes.</t>
  </si>
  <si>
    <t>Immature capability for ecommerce continuity for payments, logistics, website, stock and customer support where relevant may lead to pipeline loss, poor customer retention, weak forecasting and inability to protect revenue channels during Demand shock; Revenue loss; Reputation crisis.</t>
  </si>
  <si>
    <t>Low maturity, weak ownership, incomplete evidence, insufficient testing and poor integration with crisis-management routines for ecommerce continuity for payments, logistics, website, stock and customer support where relevant.</t>
  </si>
  <si>
    <t>Severe risk: ecommerce continuity for payments, logistics, website, stock and customer support where relevant is not reliably controlled. During Demand shock; Revenue loss; Reputation crisis, the organization may face pipeline loss, poor customer retention, weak forecasting and inability to protect revenue channels with limited visibility or accountability.</t>
  </si>
  <si>
    <t>High risk: ecommerce continuity for payments, logistics, website, stock and customer support where relevant depends on informal practices or individual knowledge. Disruption may expose pipeline loss, poor customer retention, weak forecasting and inability to protect revenue channels and slow recovery.</t>
  </si>
  <si>
    <t>Elevated risk: ecommerce continuity for payments, logistics, website, stock and customer support where relevant is partially controlled, but coverage, evidence or testing is inconsistent. Crisis response may be fragmented.</t>
  </si>
  <si>
    <t>Moderate risk: ecommerce continuity for payments, logistics, website, stock and customer support where relevant is documented and owned, but measurement, stress testing and integration with dependent processes need strengthening.</t>
  </si>
  <si>
    <t>Residual risk: ecommerce continuity for payments, logistics, website, stock and customer support where relevant is measured and reviewed, but monitoring, automation or scenario testing should be improved to prevent maturity drift.</t>
  </si>
  <si>
    <t>Low residual risk: ecommerce continuity for payments, logistics, website, stock and customer support where relevant is mature and crisis-tested. Maintain monitoring, evidence, ownership and periodic stress testing.</t>
  </si>
  <si>
    <t>Create an immediate risk owner, minimum control baseline and fallback procedure for ecommerce continuity for payments, logistics, website, stock and customer support where relevant. Add it to the crisis risk register and collect first evidence.</t>
  </si>
  <si>
    <t>Document ecommerce continuity for payments, logistics, website, stock and customer support where relevant, assign RACI, define minimum controls and KPIs, and validate coverage across key sites, teams or systems.</t>
  </si>
  <si>
    <t>Standardize ecommerce continuity for payments, logistics, website, stock and customer support where relevant, close coverage gaps, train accountable roles and connect controls to the relevant crisis scenarios and continuity plans.</t>
  </si>
  <si>
    <t>Measure and test ecommerce continuity for payments, logistics, website, stock and customer support where relevant, run tabletop or operational stress tests, integrate it with dependent processes and update crisis playbooks.</t>
  </si>
  <si>
    <t>Sustain maturity for ecommerce continuity for payments, logistics, website, stock and customer support where relevant: keep evidence current, monitor drift, benchmark externally and refresh risk tests after organizational, system or market changes.</t>
  </si>
  <si>
    <t>Immature capability for brand positioning aligned with ICP, offering, differentiation and proof points may lead to loss of customer trust, reputational damage and inconsistent crisis communication during Reputation crisis; Demand shock; IT outage.</t>
  </si>
  <si>
    <t>Low maturity, weak ownership, incomplete evidence, insufficient testing and poor integration with crisis-management routines for brand positioning aligned with ICP, offering, differentiation and proof points.</t>
  </si>
  <si>
    <t>Severe risk: brand positioning aligned with ICP, offering, differentiation and proof points is not reliably controlled. During Reputation crisis; Demand shock; IT outage, the organization may face loss of customer trust, reputational damage and inconsistent crisis communication with limited visibility or accountability.</t>
  </si>
  <si>
    <t>High risk: brand positioning aligned with ICP, offering, differentiation and proof points depends on informal practices or individual knowledge. Disruption may expose loss of customer trust, reputational damage and inconsistent crisis communication and slow recovery.</t>
  </si>
  <si>
    <t>Elevated risk: brand positioning aligned with ICP, offering, differentiation and proof points is partially controlled, but coverage, evidence or testing is inconsistent. Crisis response may be fragmented.</t>
  </si>
  <si>
    <t>Moderate risk: brand positioning aligned with ICP, offering, differentiation and proof points is documented and owned, but measurement, stress testing and integration with dependent processes need strengthening.</t>
  </si>
  <si>
    <t>Residual risk: brand positioning aligned with ICP, offering, differentiation and proof points is measured and reviewed, but monitoring, automation or scenario testing should be improved to prevent maturity drift.</t>
  </si>
  <si>
    <t>Low residual risk: brand positioning aligned with ICP, offering, differentiation and proof points is mature and crisis-tested. Maintain monitoring, evidence, ownership and periodic stress testing.</t>
  </si>
  <si>
    <t>Create an immediate risk owner, minimum control baseline and fallback procedure for brand positioning aligned with ICP, offering, differentiation and proof points. Add it to the crisis risk register and collect first evidence.</t>
  </si>
  <si>
    <t>Document brand positioning aligned with ICP, offering, differentiation and proof points, assign RACI, define minimum controls and KPIs, and validate coverage across key sites, teams or systems.</t>
  </si>
  <si>
    <t>Standardize brand positioning aligned with ICP, offering, differentiation and proof points, close coverage gaps, train accountable roles and connect controls to the relevant crisis scenarios and continuity plans.</t>
  </si>
  <si>
    <t>Measure and test brand positioning aligned with ICP, offering, differentiation and proof points, run tabletop or operational stress tests, integrate it with dependent processes and update crisis playbooks.</t>
  </si>
  <si>
    <t>Sustain maturity for brand positioning aligned with ICP, offering, differentiation and proof points: keep evidence current, monitor drift, benchmark externally and refresh risk tests after organizational, system or market changes.</t>
  </si>
  <si>
    <t>Immature capability for digital channel dependency across website, search, paid media, social, events and partners may lead to loss of customer trust, reputational damage and inconsistent crisis communication during Reputation crisis; Demand shock; IT outage.</t>
  </si>
  <si>
    <t>Low maturity, weak ownership, incomplete evidence, insufficient testing and poor integration with crisis-management routines for digital channel dependency across website, search, paid media, social, events and partners.</t>
  </si>
  <si>
    <t>Severe risk: digital channel dependency across website, search, paid media, social, events and partners is not reliably controlled. During Reputation crisis; Demand shock; IT outage, the organization may face loss of customer trust, reputational damage and inconsistent crisis communication with limited visibility or accountability.</t>
  </si>
  <si>
    <t>High risk: digital channel dependency across website, search, paid media, social, events and partners depends on informal practices or individual knowledge. Disruption may expose loss of customer trust, reputational damage and inconsistent crisis communication and slow recovery.</t>
  </si>
  <si>
    <t>Elevated risk: digital channel dependency across website, search, paid media, social, events and partners is partially controlled, but coverage, evidence or testing is inconsistent. Crisis response may be fragmented.</t>
  </si>
  <si>
    <t>Moderate risk: digital channel dependency across website, search, paid media, social, events and partners is documented and owned, but measurement, stress testing and integration with dependent processes need strengthening.</t>
  </si>
  <si>
    <t>Residual risk: digital channel dependency across website, search, paid media, social, events and partners is measured and reviewed, but monitoring, automation or scenario testing should be improved to prevent maturity drift.</t>
  </si>
  <si>
    <t>Low residual risk: digital channel dependency across website, search, paid media, social, events and partners is mature and crisis-tested. Maintain monitoring, evidence, ownership and periodic stress testing.</t>
  </si>
  <si>
    <t>Create an immediate risk owner, minimum control baseline and fallback procedure for digital channel dependency across website, search, paid media, social, events and partners. Add it to the crisis risk register and collect first evidence.</t>
  </si>
  <si>
    <t>Document digital channel dependency across website, search, paid media, social, events and partners, assign RACI, define minimum controls and KPIs, and validate coverage across key sites, teams or systems.</t>
  </si>
  <si>
    <t>Standardize digital channel dependency across website, search, paid media, social, events and partners, close coverage gaps, train accountable roles and connect controls to the relevant crisis scenarios and continuity plans.</t>
  </si>
  <si>
    <t>Measure and test digital channel dependency across website, search, paid media, social, events and partners, run tabletop or operational stress tests, integrate it with dependent processes and update crisis playbooks.</t>
  </si>
  <si>
    <t>Sustain maturity for digital channel dependency across website, search, paid media, social, events and partners: keep evidence current, monitor drift, benchmark externally and refresh risk tests after organizational, system or market changes.</t>
  </si>
  <si>
    <t>Immature capability for website and lead-form availability during traffic spikes, cyberattacks or hosting outages may lead to loss of customer trust, reputational damage and inconsistent crisis communication during Reputation crisis; Demand shock; IT outage.</t>
  </si>
  <si>
    <t>Low maturity, weak ownership, incomplete evidence, insufficient testing and poor integration with crisis-management routines for website and lead-form availability during traffic spikes, cyberattacks or hosting outages.</t>
  </si>
  <si>
    <t>Severe risk: website and lead-form availability during traffic spikes, cyberattacks or hosting outages is not reliably controlled. During Reputation crisis; Demand shock; IT outage, the organization may face loss of customer trust, reputational damage and inconsistent crisis communication with limited visibility or accountability.</t>
  </si>
  <si>
    <t>High risk: website and lead-form availability during traffic spikes, cyberattacks or hosting outages depends on informal practices or individual knowledge. Disruption may expose loss of customer trust, reputational damage and inconsistent crisis communication and slow recovery.</t>
  </si>
  <si>
    <t>Elevated risk: website and lead-form availability during traffic spikes, cyberattacks or hosting outages is partially controlled, but coverage, evidence or testing is inconsistent. Crisis response may be fragmented.</t>
  </si>
  <si>
    <t>Moderate risk: website and lead-form availability during traffic spikes, cyberattacks or hosting outages is documented and owned, but measurement, stress testing and integration with dependent processes need strengthening.</t>
  </si>
  <si>
    <t>Residual risk: website and lead-form availability during traffic spikes, cyberattacks or hosting outages is measured and reviewed, but monitoring, automation or scenario testing should be improved to prevent maturity drift.</t>
  </si>
  <si>
    <t>Low residual risk: website and lead-form availability during traffic spikes, cyberattacks or hosting outages is mature and crisis-tested. Maintain monitoring, evidence, ownership and periodic stress testing.</t>
  </si>
  <si>
    <t>Create an immediate risk owner, minimum control baseline and fallback procedure for website and lead-form availability during traffic spikes, cyberattacks or hosting outages. Add it to the crisis risk register and collect first evidence.</t>
  </si>
  <si>
    <t>Document website and lead-form availability during traffic spikes, cyberattacks or hosting outages, assign RACI, define minimum controls and KPIs, and validate coverage across key sites, teams or systems.</t>
  </si>
  <si>
    <t>Standardize website and lead-form availability during traffic spikes, cyberattacks or hosting outages, close coverage gaps, train accountable roles and connect controls to the relevant crisis scenarios and continuity plans.</t>
  </si>
  <si>
    <t>Measure and test website and lead-form availability during traffic spikes, cyberattacks or hosting outages, run tabletop or operational stress tests, integrate it with dependent processes and update crisis playbooks.</t>
  </si>
  <si>
    <t>Sustain maturity for website and lead-form availability during traffic spikes, cyberattacks or hosting outages: keep evidence current, monitor drift, benchmark externally and refresh risk tests after organizational, system or market changes.</t>
  </si>
  <si>
    <t>Immature capability for campaign performance, attribution, conversion, CAC and channel ROI measurement may lead to loss of customer trust, reputational damage and inconsistent crisis communication during Reputation crisis; Demand shock; IT outage.</t>
  </si>
  <si>
    <t>Low maturity, weak ownership, incomplete evidence, insufficient testing and poor integration with crisis-management routines for campaign performance, attribution, conversion, CAC and channel ROI measurement.</t>
  </si>
  <si>
    <t>Severe risk: campaign performance, attribution, conversion, CAC and channel ROI measurement is not reliably controlled. During Reputation crisis; Demand shock; IT outage, the organization may face loss of customer trust, reputational damage and inconsistent crisis communication with limited visibility or accountability.</t>
  </si>
  <si>
    <t>High risk: campaign performance, attribution, conversion, CAC and channel ROI measurement depends on informal practices or individual knowledge. Disruption may expose loss of customer trust, reputational damage and inconsistent crisis communication and slow recovery.</t>
  </si>
  <si>
    <t>Elevated risk: campaign performance, attribution, conversion, CAC and channel ROI measurement is partially controlled, but coverage, evidence or testing is inconsistent. Crisis response may be fragmented.</t>
  </si>
  <si>
    <t>Moderate risk: campaign performance, attribution, conversion, CAC and channel ROI measurement is documented and owned, but measurement, stress testing and integration with dependent processes need strengthening.</t>
  </si>
  <si>
    <t>Residual risk: campaign performance, attribution, conversion, CAC and channel ROI measurement is measured and reviewed, but monitoring, automation or scenario testing should be improved to prevent maturity drift.</t>
  </si>
  <si>
    <t>Low residual risk: campaign performance, attribution, conversion, CAC and channel ROI measurement is mature and crisis-tested. Maintain monitoring, evidence, ownership and periodic stress testing.</t>
  </si>
  <si>
    <t>Create an immediate risk owner, minimum control baseline and fallback procedure for campaign performance, attribution, conversion, CAC and channel ROI measurement. Add it to the crisis risk register and collect first evidence.</t>
  </si>
  <si>
    <t>Document campaign performance, attribution, conversion, CAC and channel ROI measurement, assign RACI, define minimum controls and KPIs, and validate coverage across key sites, teams or systems.</t>
  </si>
  <si>
    <t>Standardize campaign performance, attribution, conversion, CAC and channel ROI measurement, close coverage gaps, train accountable roles and connect controls to the relevant crisis scenarios and continuity plans.</t>
  </si>
  <si>
    <t>Measure and test campaign performance, attribution, conversion, CAC and channel ROI measurement, run tabletop or operational stress tests, integrate it with dependent processes and update crisis playbooks.</t>
  </si>
  <si>
    <t>Sustain maturity for campaign performance, attribution, conversion, CAC and channel ROI measurement: keep evidence current, monitor drift, benchmark externally and refresh risk tests after organizational, system or market changes.</t>
  </si>
  <si>
    <t>Immature capability for lead capture, routing, qualification and follow-up resilience may lead to loss of customer trust, reputational damage and inconsistent crisis communication during Reputation crisis; Demand shock; IT outage.</t>
  </si>
  <si>
    <t>Low maturity, weak ownership, incomplete evidence, insufficient testing and poor integration with crisis-management routines for lead capture, routing, qualification and follow-up resilience.</t>
  </si>
  <si>
    <t>Severe risk: lead capture, routing, qualification and follow-up resilience is not reliably controlled. During Reputation crisis; Demand shock; IT outage, the organization may face loss of customer trust, reputational damage and inconsistent crisis communication with limited visibility or accountability.</t>
  </si>
  <si>
    <t>High risk: lead capture, routing, qualification and follow-up resilience depends on informal practices or individual knowledge. Disruption may expose loss of customer trust, reputational damage and inconsistent crisis communication and slow recovery.</t>
  </si>
  <si>
    <t>Elevated risk: lead capture, routing, qualification and follow-up resilience is partially controlled, but coverage, evidence or testing is inconsistent. Crisis response may be fragmented.</t>
  </si>
  <si>
    <t>Moderate risk: lead capture, routing, qualification and follow-up resilience is documented and owned, but measurement, stress testing and integration with dependent processes need strengthening.</t>
  </si>
  <si>
    <t>Residual risk: lead capture, routing, qualification and follow-up resilience is measured and reviewed, but monitoring, automation or scenario testing should be improved to prevent maturity drift.</t>
  </si>
  <si>
    <t>Low residual risk: lead capture, routing, qualification and follow-up resilience is mature and crisis-tested. Maintain monitoring, evidence, ownership and periodic stress testing.</t>
  </si>
  <si>
    <t>Create an immediate risk owner, minimum control baseline and fallback procedure for lead capture, routing, qualification and follow-up resilience. Add it to the crisis risk register and collect first evidence.</t>
  </si>
  <si>
    <t>Document lead capture, routing, qualification and follow-up resilience, assign RACI, define minimum controls and KPIs, and validate coverage across key sites, teams or systems.</t>
  </si>
  <si>
    <t>Standardize lead capture, routing, qualification and follow-up resilience, close coverage gaps, train accountable roles and connect controls to the relevant crisis scenarios and continuity plans.</t>
  </si>
  <si>
    <t>Measure and test lead capture, routing, qualification and follow-up resilience, run tabletop or operational stress tests, integrate it with dependent processes and update crisis playbooks.</t>
  </si>
  <si>
    <t>Sustain maturity for lead capture, routing, qualification and follow-up resilience: keep evidence current, monitor drift, benchmark externally and refresh risk tests after organizational, system or market changes.</t>
  </si>
  <si>
    <t>Immature capability for approved crisis communication templates for customers, employees, media, regulators and partners may lead to loss of customer trust, reputational damage and inconsistent crisis communication during Reputation crisis; Demand shock; IT outage.</t>
  </si>
  <si>
    <t>Low maturity, weak ownership, incomplete evidence, insufficient testing and poor integration with crisis-management routines for approved crisis communication templates for customers, employees, media, regulators and partners.</t>
  </si>
  <si>
    <t>Severe risk: approved crisis communication templates for customers, employees, media, regulators and partners is not reliably controlled. During Reputation crisis; Demand shock; IT outage, the organization may face loss of customer trust, reputational damage and inconsistent crisis communication with limited visibility or accountability.</t>
  </si>
  <si>
    <t>High risk: approved crisis communication templates for customers, employees, media, regulators and partners depends on informal practices or individual knowledge. Disruption may expose loss of customer trust, reputational damage and inconsistent crisis communication and slow recovery.</t>
  </si>
  <si>
    <t>Elevated risk: approved crisis communication templates for customers, employees, media, regulators and partners is partially controlled, but coverage, evidence or testing is inconsistent. Crisis response may be fragmented.</t>
  </si>
  <si>
    <t>Moderate risk: approved crisis communication templates for customers, employees, media, regulators and partners is documented and owned, but measurement, stress testing and integration with dependent processes need strengthening.</t>
  </si>
  <si>
    <t>Residual risk: approved crisis communication templates for customers, employees, media, regulators and partners is measured and reviewed, but monitoring, automation or scenario testing should be improved to prevent maturity drift.</t>
  </si>
  <si>
    <t>Low residual risk: approved crisis communication templates for customers, employees, media, regulators and partners is mature and crisis-tested. Maintain monitoring, evidence, ownership and periodic stress testing.</t>
  </si>
  <si>
    <t>Create an immediate risk owner, minimum control baseline and fallback procedure for approved crisis communication templates for customers, employees, media, regulators and partners. Add it to the crisis risk register and collect first evidence.</t>
  </si>
  <si>
    <t>Document approved crisis communication templates for customers, employees, media, regulators and partners, assign RACI, define minimum controls and KPIs, and validate coverage across key sites, teams or systems.</t>
  </si>
  <si>
    <t>Standardize approved crisis communication templates for customers, employees, media, regulators and partners, close coverage gaps, train accountable roles and connect controls to the relevant crisis scenarios and continuity plans.</t>
  </si>
  <si>
    <t>Measure and test approved crisis communication templates for customers, employees, media, regulators and partners, run tabletop or operational stress tests, integrate it with dependent processes and update crisis playbooks.</t>
  </si>
  <si>
    <t>Sustain maturity for approved crisis communication templates for customers, employees, media, regulators and partners: keep evidence current, monitor drift, benchmark externally and refresh risk tests after organizational, system or market changes.</t>
  </si>
  <si>
    <t>Immature capability for spokesperson identification, media training and backup coverage may lead to loss of customer trust, reputational damage and inconsistent crisis communication during Reputation crisis; Demand shock; IT outage.</t>
  </si>
  <si>
    <t>Low maturity, weak ownership, incomplete evidence, insufficient testing and poor integration with crisis-management routines for spokesperson identification, media training and backup coverage.</t>
  </si>
  <si>
    <t>Severe risk: spokesperson identification, media training and backup coverage is not reliably controlled. During Reputation crisis; Demand shock; IT outage, the organization may face loss of customer trust, reputational damage and inconsistent crisis communication with limited visibility or accountability.</t>
  </si>
  <si>
    <t>High risk: spokesperson identification, media training and backup coverage depends on informal practices or individual knowledge. Disruption may expose loss of customer trust, reputational damage and inconsistent crisis communication and slow recovery.</t>
  </si>
  <si>
    <t>Elevated risk: spokesperson identification, media training and backup coverage is partially controlled, but coverage, evidence or testing is inconsistent. Crisis response may be fragmented.</t>
  </si>
  <si>
    <t>Moderate risk: spokesperson identification, media training and backup coverage is documented and owned, but measurement, stress testing and integration with dependent processes need strengthening.</t>
  </si>
  <si>
    <t>Residual risk: spokesperson identification, media training and backup coverage is measured and reviewed, but monitoring, automation or scenario testing should be improved to prevent maturity drift.</t>
  </si>
  <si>
    <t>Low residual risk: spokesperson identification, media training and backup coverage is mature and crisis-tested. Maintain monitoring, evidence, ownership and periodic stress testing.</t>
  </si>
  <si>
    <t>Create an immediate risk owner, minimum control baseline and fallback procedure for spokesperson identification, media training and backup coverage. Add it to the crisis risk register and collect first evidence.</t>
  </si>
  <si>
    <t>Document spokesperson identification, media training and backup coverage, assign RACI, define minimum controls and KPIs, and validate coverage across key sites, teams or systems.</t>
  </si>
  <si>
    <t>Standardize spokesperson identification, media training and backup coverage, close coverage gaps, train accountable roles and connect controls to the relevant crisis scenarios and continuity plans.</t>
  </si>
  <si>
    <t>Measure and test spokesperson identification, media training and backup coverage, run tabletop or operational stress tests, integrate it with dependent processes and update crisis playbooks.</t>
  </si>
  <si>
    <t>Sustain maturity for spokesperson identification, media training and backup coverage: keep evidence current, monitor drift, benchmark externally and refresh risk tests after organizational, system or market changes.</t>
  </si>
  <si>
    <t>Immature capability for media, social, review and customer sentiment monitoring may lead to loss of customer trust, reputational damage and inconsistent crisis communication during Reputation crisis; Demand shock; IT outage.</t>
  </si>
  <si>
    <t>Low maturity, weak ownership, incomplete evidence, insufficient testing and poor integration with crisis-management routines for media, social, review and customer sentiment monitoring.</t>
  </si>
  <si>
    <t>Severe risk: media, social, review and customer sentiment monitoring is not reliably controlled. During Reputation crisis; Demand shock; IT outage, the organization may face loss of customer trust, reputational damage and inconsistent crisis communication with limited visibility or accountability.</t>
  </si>
  <si>
    <t>High risk: media, social, review and customer sentiment monitoring depends on informal practices or individual knowledge. Disruption may expose loss of customer trust, reputational damage and inconsistent crisis communication and slow recovery.</t>
  </si>
  <si>
    <t>Elevated risk: media, social, review and customer sentiment monitoring is partially controlled, but coverage, evidence or testing is inconsistent. Crisis response may be fragmented.</t>
  </si>
  <si>
    <t>Moderate risk: media, social, review and customer sentiment monitoring is documented and owned, but measurement, stress testing and integration with dependent processes need strengthening.</t>
  </si>
  <si>
    <t>Residual risk: media, social, review and customer sentiment monitoring is measured and reviewed, but monitoring, automation or scenario testing should be improved to prevent maturity drift.</t>
  </si>
  <si>
    <t>Low residual risk: media, social, review and customer sentiment monitoring is mature and crisis-tested. Maintain monitoring, evidence, ownership and periodic stress testing.</t>
  </si>
  <si>
    <t>Create an immediate risk owner, minimum control baseline and fallback procedure for media, social, review and customer sentiment monitoring. Add it to the crisis risk register and collect first evidence.</t>
  </si>
  <si>
    <t>Document media, social, review and customer sentiment monitoring, assign RACI, define minimum controls and KPIs, and validate coverage across key sites, teams or systems.</t>
  </si>
  <si>
    <t>Standardize media, social, review and customer sentiment monitoring, close coverage gaps, train accountable roles and connect controls to the relevant crisis scenarios and continuity plans.</t>
  </si>
  <si>
    <t>Measure and test media, social, review and customer sentiment monitoring, run tabletop or operational stress tests, integrate it with dependent processes and update crisis playbooks.</t>
  </si>
  <si>
    <t>Sustain maturity for media, social, review and customer sentiment monitoring: keep evidence current, monitor drift, benchmark externally and refresh risk tests after organizational, system or market changes.</t>
  </si>
  <si>
    <t>Immature capability for escalation and approval rules for sensitive public responses may lead to loss of customer trust, reputational damage and inconsistent crisis communication during Reputation crisis; Demand shock; IT outage.</t>
  </si>
  <si>
    <t>Low maturity, weak ownership, incomplete evidence, insufficient testing and poor integration with crisis-management routines for escalation and approval rules for sensitive public responses.</t>
  </si>
  <si>
    <t>Severe risk: escalation and approval rules for sensitive public responses is not reliably controlled. During Reputation crisis; Demand shock; IT outage, the organization may face loss of customer trust, reputational damage and inconsistent crisis communication with limited visibility or accountability.</t>
  </si>
  <si>
    <t>High risk: escalation and approval rules for sensitive public responses depends on informal practices or individual knowledge. Disruption may expose loss of customer trust, reputational damage and inconsistent crisis communication and slow recovery.</t>
  </si>
  <si>
    <t>Elevated risk: escalation and approval rules for sensitive public responses is partially controlled, but coverage, evidence or testing is inconsistent. Crisis response may be fragmented.</t>
  </si>
  <si>
    <t>Moderate risk: escalation and approval rules for sensitive public responses is documented and owned, but measurement, stress testing and integration with dependent processes need strengthening.</t>
  </si>
  <si>
    <t>Residual risk: escalation and approval rules for sensitive public responses is measured and reviewed, but monitoring, automation or scenario testing should be improved to prevent maturity drift.</t>
  </si>
  <si>
    <t>Low residual risk: escalation and approval rules for sensitive public responses is mature and crisis-tested. Maintain monitoring, evidence, ownership and periodic stress testing.</t>
  </si>
  <si>
    <t>Create an immediate risk owner, minimum control baseline and fallback procedure for escalation and approval rules for sensitive public responses. Add it to the crisis risk register and collect first evidence.</t>
  </si>
  <si>
    <t>Document escalation and approval rules for sensitive public responses, assign RACI, define minimum controls and KPIs, and validate coverage across key sites, teams or systems.</t>
  </si>
  <si>
    <t>Standardize escalation and approval rules for sensitive public responses, close coverage gaps, train accountable roles and connect controls to the relevant crisis scenarios and continuity plans.</t>
  </si>
  <si>
    <t>Measure and test escalation and approval rules for sensitive public responses, run tabletop or operational stress tests, integrate it with dependent processes and update crisis playbooks.</t>
  </si>
  <si>
    <t>Sustain maturity for escalation and approval rules for sensitive public responses: keep evidence current, monitor drift, benchmark externally and refresh risk tests after organizational, system or market changes.</t>
  </si>
  <si>
    <t>Immature capability for customer communication channel diversity across email, phone, portal, SMS, account managers and social media may lead to loss of customer trust, reputational damage and inconsistent crisis communication during Reputation crisis; Demand shock; IT outage.</t>
  </si>
  <si>
    <t>Low maturity, weak ownership, incomplete evidence, insufficient testing and poor integration with crisis-management routines for customer communication channel diversity across email, phone, portal, SMS, account managers and social media.</t>
  </si>
  <si>
    <t>Severe risk: customer communication channel diversity across email, phone, portal, SMS, account managers and social media is not reliably controlled. During Reputation crisis; Demand shock; IT outage, the organization may face loss of customer trust, reputational damage and inconsistent crisis communication with limited visibility or accountability.</t>
  </si>
  <si>
    <t>High risk: customer communication channel diversity across email, phone, portal, SMS, account managers and social media depends on informal practices or individual knowledge. Disruption may expose loss of customer trust, reputational damage and inconsistent crisis communication and slow recovery.</t>
  </si>
  <si>
    <t>Elevated risk: customer communication channel diversity across email, phone, portal, SMS, account managers and social media is partially controlled, but coverage, evidence or testing is inconsistent. Crisis response may be fragmented.</t>
  </si>
  <si>
    <t>Moderate risk: customer communication channel diversity across email, phone, portal, SMS, account managers and social media is documented and owned, but measurement, stress testing and integration with dependent processes need strengthening.</t>
  </si>
  <si>
    <t>Residual risk: customer communication channel diversity across email, phone, portal, SMS, account managers and social media is measured and reviewed, but monitoring, automation or scenario testing should be improved to prevent maturity drift.</t>
  </si>
  <si>
    <t>Low residual risk: customer communication channel diversity across email, phone, portal, SMS, account managers and social media is mature and crisis-tested. Maintain monitoring, evidence, ownership and periodic stress testing.</t>
  </si>
  <si>
    <t>Create an immediate risk owner, minimum control baseline and fallback procedure for customer communication channel diversity across email, phone, portal, SMS, account managers and social media. Add it to the crisis risk register and collect first evidence.</t>
  </si>
  <si>
    <t>Document customer communication channel diversity across email, phone, portal, SMS, account managers and social media, assign RACI, define minimum controls and KPIs, and validate coverage across key sites, teams or systems.</t>
  </si>
  <si>
    <t>Standardize customer communication channel diversity across email, phone, portal, SMS, account managers and social media, close coverage gaps, train accountable roles and connect controls to the relevant crisis scenarios and continuity plans.</t>
  </si>
  <si>
    <t>Measure and test customer communication channel diversity across email, phone, portal, SMS, account managers and social media, run tabletop or operational stress tests, integrate it with dependent processes and update crisis playbooks.</t>
  </si>
  <si>
    <t>Sustain maturity for customer communication channel diversity across email, phone, portal, SMS, account managers and social media: keep evidence current, monitor drift, benchmark externally and refresh risk tests after organizational, system or market changes.</t>
  </si>
  <si>
    <t>Immature capability for misinformation, impersonation, fake invoice and brand-abuse response process may lead to loss of customer trust, reputational damage and inconsistent crisis communication during Reputation crisis; Demand shock; IT outage.</t>
  </si>
  <si>
    <t>Low maturity, weak ownership, incomplete evidence, insufficient testing and poor integration with crisis-management routines for misinformation, impersonation, fake invoice and brand-abuse response process.</t>
  </si>
  <si>
    <t>Severe risk: misinformation, impersonation, fake invoice and brand-abuse response process is not reliably controlled. During Reputation crisis; Demand shock; IT outage, the organization may face loss of customer trust, reputational damage and inconsistent crisis communication with limited visibility or accountability.</t>
  </si>
  <si>
    <t>High risk: misinformation, impersonation, fake invoice and brand-abuse response process depends on informal practices or individual knowledge. Disruption may expose loss of customer trust, reputational damage and inconsistent crisis communication and slow recovery.</t>
  </si>
  <si>
    <t>Elevated risk: misinformation, impersonation, fake invoice and brand-abuse response process is partially controlled, but coverage, evidence or testing is inconsistent. Crisis response may be fragmented.</t>
  </si>
  <si>
    <t>Moderate risk: misinformation, impersonation, fake invoice and brand-abuse response process is documented and owned, but measurement, stress testing and integration with dependent processes need strengthening.</t>
  </si>
  <si>
    <t>Residual risk: misinformation, impersonation, fake invoice and brand-abuse response process is measured and reviewed, but monitoring, automation or scenario testing should be improved to prevent maturity drift.</t>
  </si>
  <si>
    <t>Low residual risk: misinformation, impersonation, fake invoice and brand-abuse response process is mature and crisis-tested. Maintain monitoring, evidence, ownership and periodic stress testing.</t>
  </si>
  <si>
    <t>Create an immediate risk owner, minimum control baseline and fallback procedure for misinformation, impersonation, fake invoice and brand-abuse response process. Add it to the crisis risk register and collect first evidence.</t>
  </si>
  <si>
    <t>Document misinformation, impersonation, fake invoice and brand-abuse response process, assign RACI, define minimum controls and KPIs, and validate coverage across key sites, teams or systems.</t>
  </si>
  <si>
    <t>Standardize misinformation, impersonation, fake invoice and brand-abuse response process, close coverage gaps, train accountable roles and connect controls to the relevant crisis scenarios and continuity plans.</t>
  </si>
  <si>
    <t>Measure and test misinformation, impersonation, fake invoice and brand-abuse response process, run tabletop or operational stress tests, integrate it with dependent processes and update crisis playbooks.</t>
  </si>
  <si>
    <t>Sustain maturity for misinformation, impersonation, fake invoice and brand-abuse response process: keep evidence current, monitor drift, benchmark externally and refresh risk tests after organizational, system or market changes.</t>
  </si>
  <si>
    <t>Immature capability for critical marketing and communication asset access if cloud tools or key people are unavailable may lead to loss of customer trust, reputational damage and inconsistent crisis communication during Reputation crisis; Demand shock; IT outage.</t>
  </si>
  <si>
    <t>Low maturity, weak ownership, incomplete evidence, insufficient testing and poor integration with crisis-management routines for critical marketing and communication asset access if cloud tools or key people are unavailable.</t>
  </si>
  <si>
    <t>Severe risk: critical marketing and communication asset access if cloud tools or key people are unavailable is not reliably controlled. During Reputation crisis; Demand shock; IT outage, the organization may face loss of customer trust, reputational damage and inconsistent crisis communication with limited visibility or accountability.</t>
  </si>
  <si>
    <t>High risk: critical marketing and communication asset access if cloud tools or key people are unavailable depends on informal practices or individual knowledge. Disruption may expose loss of customer trust, reputational damage and inconsistent crisis communication and slow recovery.</t>
  </si>
  <si>
    <t>Elevated risk: critical marketing and communication asset access if cloud tools or key people are unavailable is partially controlled, but coverage, evidence or testing is inconsistent. Crisis response may be fragmented.</t>
  </si>
  <si>
    <t>Moderate risk: critical marketing and communication asset access if cloud tools or key people are unavailable is documented and owned, but measurement, stress testing and integration with dependent processes need strengthening.</t>
  </si>
  <si>
    <t>Residual risk: critical marketing and communication asset access if cloud tools or key people are unavailable is measured and reviewed, but monitoring, automation or scenario testing should be improved to prevent maturity drift.</t>
  </si>
  <si>
    <t>Low residual risk: critical marketing and communication asset access if cloud tools or key people are unavailable is mature and crisis-tested. Maintain monitoring, evidence, ownership and periodic stress testing.</t>
  </si>
  <si>
    <t>Create an immediate risk owner, minimum control baseline and fallback procedure for critical marketing and communication asset access if cloud tools or key people are unavailable. Add it to the crisis risk register and collect first evidence.</t>
  </si>
  <si>
    <t>Document critical marketing and communication asset access if cloud tools or key people are unavailable, assign RACI, define minimum controls and KPIs, and validate coverage across key sites, teams or systems.</t>
  </si>
  <si>
    <t>Standardize critical marketing and communication asset access if cloud tools or key people are unavailable, close coverage gaps, train accountable roles and connect controls to the relevant crisis scenarios and continuity plans.</t>
  </si>
  <si>
    <t>Measure and test critical marketing and communication asset access if cloud tools or key people are unavailable, run tabletop or operational stress tests, integrate it with dependent processes and update crisis playbooks.</t>
  </si>
  <si>
    <t>Sustain maturity for critical marketing and communication asset access if cloud tools or key people are unavailable: keep evidence current, monitor drift, benchmark externally and refresh risk tests after organizational, system or market changes.</t>
  </si>
  <si>
    <t>Immature capability for marketing automation, email, analytics, CMS, domain and DNS dependency documentation may lead to loss of customer trust, reputational damage and inconsistent crisis communication during Reputation crisis; Demand shock; IT outage.</t>
  </si>
  <si>
    <t>Low maturity, weak ownership, incomplete evidence, insufficient testing and poor integration with crisis-management routines for marketing automation, email, analytics, CMS, domain and DNS dependency documentation.</t>
  </si>
  <si>
    <t>Severe risk: marketing automation, email, analytics, CMS, domain and DNS dependency documentation is not reliably controlled. During Reputation crisis; Demand shock; IT outage, the organization may face loss of customer trust, reputational damage and inconsistent crisis communication with limited visibility or accountability.</t>
  </si>
  <si>
    <t>High risk: marketing automation, email, analytics, CMS, domain and DNS dependency documentation depends on informal practices or individual knowledge. Disruption may expose loss of customer trust, reputational damage and inconsistent crisis communication and slow recovery.</t>
  </si>
  <si>
    <t>Elevated risk: marketing automation, email, analytics, CMS, domain and DNS dependency documentation is partially controlled, but coverage, evidence or testing is inconsistent. Crisis response may be fragmented.</t>
  </si>
  <si>
    <t>Moderate risk: marketing automation, email, analytics, CMS, domain and DNS dependency documentation is documented and owned, but measurement, stress testing and integration with dependent processes need strengthening.</t>
  </si>
  <si>
    <t>Residual risk: marketing automation, email, analytics, CMS, domain and DNS dependency documentation is measured and reviewed, but monitoring, automation or scenario testing should be improved to prevent maturity drift.</t>
  </si>
  <si>
    <t>Low residual risk: marketing automation, email, analytics, CMS, domain and DNS dependency documentation is mature and crisis-tested. Maintain monitoring, evidence, ownership and periodic stress testing.</t>
  </si>
  <si>
    <t>Create an immediate risk owner, minimum control baseline and fallback procedure for marketing automation, email, analytics, CMS, domain and DNS dependency documentation. Add it to the crisis risk register and collect first evidence.</t>
  </si>
  <si>
    <t>Document marketing automation, email, analytics, CMS, domain and DNS dependency documentation, assign RACI, define minimum controls and KPIs, and validate coverage across key sites, teams or systems.</t>
  </si>
  <si>
    <t>Standardize marketing automation, email, analytics, CMS, domain and DNS dependency documentation, close coverage gaps, train accountable roles and connect controls to the relevant crisis scenarios and continuity plans.</t>
  </si>
  <si>
    <t>Measure and test marketing automation, email, analytics, CMS, domain and DNS dependency documentation, run tabletop or operational stress tests, integrate it with dependent processes and update crisis playbooks.</t>
  </si>
  <si>
    <t>Sustain maturity for marketing automation, email, analytics, CMS, domain and DNS dependency documentation: keep evidence current, monitor drift, benchmark externally and refresh risk tests after organizational, system or market changes.</t>
  </si>
  <si>
    <t>Immature capability for privacy, consent, unsubscribe, advertising claims and industry marketing compliance may lead to loss of customer trust, reputational damage and inconsistent crisis communication during Reputation crisis; Demand shock; IT outage.</t>
  </si>
  <si>
    <t>Low maturity, weak ownership, incomplete evidence, insufficient testing and poor integration with crisis-management routines for privacy, consent, unsubscribe, advertising claims and industry marketing compliance.</t>
  </si>
  <si>
    <t>Severe risk: privacy, consent, unsubscribe, advertising claims and industry marketing compliance is not reliably controlled. During Reputation crisis; Demand shock; IT outage, the organization may face loss of customer trust, reputational damage and inconsistent crisis communication with limited visibility or accountability.</t>
  </si>
  <si>
    <t>High risk: privacy, consent, unsubscribe, advertising claims and industry marketing compliance depends on informal practices or individual knowledge. Disruption may expose loss of customer trust, reputational damage and inconsistent crisis communication and slow recovery.</t>
  </si>
  <si>
    <t>Elevated risk: privacy, consent, unsubscribe, advertising claims and industry marketing compliance is partially controlled, but coverage, evidence or testing is inconsistent. Crisis response may be fragmented.</t>
  </si>
  <si>
    <t>Moderate risk: privacy, consent, unsubscribe, advertising claims and industry marketing compliance is documented and owned, but measurement, stress testing and integration with dependent processes need strengthening.</t>
  </si>
  <si>
    <t>Residual risk: privacy, consent, unsubscribe, advertising claims and industry marketing compliance is measured and reviewed, but monitoring, automation or scenario testing should be improved to prevent maturity drift.</t>
  </si>
  <si>
    <t>Low residual risk: privacy, consent, unsubscribe, advertising claims and industry marketing compliance is mature and crisis-tested. Maintain monitoring, evidence, ownership and periodic stress testing.</t>
  </si>
  <si>
    <t>Create an immediate risk owner, minimum control baseline and fallback procedure for privacy, consent, unsubscribe, advertising claims and industry marketing compliance. Add it to the crisis risk register and collect first evidence.</t>
  </si>
  <si>
    <t>Document privacy, consent, unsubscribe, advertising claims and industry marketing compliance, assign RACI, define minimum controls and KPIs, and validate coverage across key sites, teams or systems.</t>
  </si>
  <si>
    <t>Standardize privacy, consent, unsubscribe, advertising claims and industry marketing compliance, close coverage gaps, train accountable roles and connect controls to the relevant crisis scenarios and continuity plans.</t>
  </si>
  <si>
    <t>Measure and test privacy, consent, unsubscribe, advertising claims and industry marketing compliance, run tabletop or operational stress tests, integrate it with dependent processes and update crisis playbooks.</t>
  </si>
  <si>
    <t>Sustain maturity for privacy, consent, unsubscribe, advertising claims and industry marketing compliance: keep evidence current, monitor drift, benchmark externally and refresh risk tests after organizational, system or market changes.</t>
  </si>
  <si>
    <t>Immature capability for demand-generation playbooks for budget cuts, channel failure, competitive pressure or geopolitical restrictions may lead to loss of customer trust, reputational damage and inconsistent crisis communication during Reputation crisis; Demand shock; IT outage.</t>
  </si>
  <si>
    <t>Low maturity, weak ownership, incomplete evidence, insufficient testing and poor integration with crisis-management routines for demand-generation playbooks for budget cuts, channel failure, competitive pressure or geopolitical restrictions.</t>
  </si>
  <si>
    <t>Severe risk: demand-generation playbooks for budget cuts, channel failure, competitive pressure or geopolitical restrictions is not reliably controlled. During Reputation crisis; Demand shock; IT outage, the organization may face loss of customer trust, reputational damage and inconsistent crisis communication with limited visibility or accountability.</t>
  </si>
  <si>
    <t>High risk: demand-generation playbooks for budget cuts, channel failure, competitive pressure or geopolitical restrictions depends on informal practices or individual knowledge. Disruption may expose loss of customer trust, reputational damage and inconsistent crisis communication and slow recovery.</t>
  </si>
  <si>
    <t>Elevated risk: demand-generation playbooks for budget cuts, channel failure, competitive pressure or geopolitical restrictions is partially controlled, but coverage, evidence or testing is inconsistent. Crisis response may be fragmented.</t>
  </si>
  <si>
    <t>Moderate risk: demand-generation playbooks for budget cuts, channel failure, competitive pressure or geopolitical restrictions is documented and owned, but measurement, stress testing and integration with dependent processes need strengthening.</t>
  </si>
  <si>
    <t>Residual risk: demand-generation playbooks for budget cuts, channel failure, competitive pressure or geopolitical restrictions is measured and reviewed, but monitoring, automation or scenario testing should be improved to prevent maturity drift.</t>
  </si>
  <si>
    <t>Low residual risk: demand-generation playbooks for budget cuts, channel failure, competitive pressure or geopolitical restrictions is mature and crisis-tested. Maintain monitoring, evidence, ownership and periodic stress testing.</t>
  </si>
  <si>
    <t>Create an immediate risk owner, minimum control baseline and fallback procedure for demand-generation playbooks for budget cuts, channel failure, competitive pressure or geopolitical restrictions. Add it to the crisis risk register and collect first evidence.</t>
  </si>
  <si>
    <t>Document demand-generation playbooks for budget cuts, channel failure, competitive pressure or geopolitical restrictions, assign RACI, define minimum controls and KPIs, and validate coverage across key sites, teams or systems.</t>
  </si>
  <si>
    <t>Standardize demand-generation playbooks for budget cuts, channel failure, competitive pressure or geopolitical restrictions, close coverage gaps, train accountable roles and connect controls to the relevant crisis scenarios and continuity plans.</t>
  </si>
  <si>
    <t>Measure and test demand-generation playbooks for budget cuts, channel failure, competitive pressure or geopolitical restrictions, run tabletop or operational stress tests, integrate it with dependent processes and update crisis playbooks.</t>
  </si>
  <si>
    <t>Sustain maturity for demand-generation playbooks for budget cuts, channel failure, competitive pressure or geopolitical restrictions: keep evidence current, monitor drift, benchmark externally and refresh risk tests after organizational, system or market changes.</t>
  </si>
  <si>
    <t>Immature capability for sales-marketing alignment on ICP, lead definitions, messages, offers and crisis concerns may lead to loss of customer trust, reputational damage and inconsistent crisis communication during Reputation crisis; Demand shock; IT outage.</t>
  </si>
  <si>
    <t>Low maturity, weak ownership, incomplete evidence, insufficient testing and poor integration with crisis-management routines for sales-marketing alignment on ICP, lead definitions, messages, offers and crisis concerns.</t>
  </si>
  <si>
    <t>Severe risk: sales-marketing alignment on ICP, lead definitions, messages, offers and crisis concerns is not reliably controlled. During Reputation crisis; Demand shock; IT outage, the organization may face loss of customer trust, reputational damage and inconsistent crisis communication with limited visibility or accountability.</t>
  </si>
  <si>
    <t>High risk: sales-marketing alignment on ICP, lead definitions, messages, offers and crisis concerns depends on informal practices or individual knowledge. Disruption may expose loss of customer trust, reputational damage and inconsistent crisis communication and slow recovery.</t>
  </si>
  <si>
    <t>Elevated risk: sales-marketing alignment on ICP, lead definitions, messages, offers and crisis concerns is partially controlled, but coverage, evidence or testing is inconsistent. Crisis response may be fragmented.</t>
  </si>
  <si>
    <t>Moderate risk: sales-marketing alignment on ICP, lead definitions, messages, offers and crisis concerns is documented and owned, but measurement, stress testing and integration with dependent processes need strengthening.</t>
  </si>
  <si>
    <t>Residual risk: sales-marketing alignment on ICP, lead definitions, messages, offers and crisis concerns is measured and reviewed, but monitoring, automation or scenario testing should be improved to prevent maturity drift.</t>
  </si>
  <si>
    <t>Low residual risk: sales-marketing alignment on ICP, lead definitions, messages, offers and crisis concerns is mature and crisis-tested. Maintain monitoring, evidence, ownership and periodic stress testing.</t>
  </si>
  <si>
    <t>Create an immediate risk owner, minimum control baseline and fallback procedure for sales-marketing alignment on ICP, lead definitions, messages, offers and crisis concerns. Add it to the crisis risk register and collect first evidence.</t>
  </si>
  <si>
    <t>Document sales-marketing alignment on ICP, lead definitions, messages, offers and crisis concerns, assign RACI, define minimum controls and KPIs, and validate coverage across key sites, teams or systems.</t>
  </si>
  <si>
    <t>Standardize sales-marketing alignment on ICP, lead definitions, messages, offers and crisis concerns, close coverage gaps, train accountable roles and connect controls to the relevant crisis scenarios and continuity plans.</t>
  </si>
  <si>
    <t>Measure and test sales-marketing alignment on ICP, lead definitions, messages, offers and crisis concerns, run tabletop or operational stress tests, integrate it with dependent processes and update crisis playbooks.</t>
  </si>
  <si>
    <t>Sustain maturity for sales-marketing alignment on ICP, lead definitions, messages, offers and crisis concerns: keep evidence current, monitor drift, benchmark externally and refresh risk tests after organizational, system or market changes.</t>
  </si>
  <si>
    <t>Immature capability for trust assets such as security, privacy, continuity, compliance and customer proof materials may lead to loss of customer trust, reputational damage and inconsistent crisis communication during Reputation crisis; Demand shock; IT outage.</t>
  </si>
  <si>
    <t>Low maturity, weak ownership, incomplete evidence, insufficient testing and poor integration with crisis-management routines for trust assets such as security, privacy, continuity, compliance and customer proof materials.</t>
  </si>
  <si>
    <t>Severe risk: trust assets such as security, privacy, continuity, compliance and customer proof materials is not reliably controlled. During Reputation crisis; Demand shock; IT outage, the organization may face loss of customer trust, reputational damage and inconsistent crisis communication with limited visibility or accountability.</t>
  </si>
  <si>
    <t>High risk: trust assets such as security, privacy, continuity, compliance and customer proof materials depends on informal practices or individual knowledge. Disruption may expose loss of customer trust, reputational damage and inconsistent crisis communication and slow recovery.</t>
  </si>
  <si>
    <t>Elevated risk: trust assets such as security, privacy, continuity, compliance and customer proof materials is partially controlled, but coverage, evidence or testing is inconsistent. Crisis response may be fragmented.</t>
  </si>
  <si>
    <t>Moderate risk: trust assets such as security, privacy, continuity, compliance and customer proof materials is documented and owned, but measurement, stress testing and integration with dependent processes need strengthening.</t>
  </si>
  <si>
    <t>Residual risk: trust assets such as security, privacy, continuity, compliance and customer proof materials is measured and reviewed, but monitoring, automation or scenario testing should be improved to prevent maturity drift.</t>
  </si>
  <si>
    <t>Low residual risk: trust assets such as security, privacy, continuity, compliance and customer proof materials is mature and crisis-tested. Maintain monitoring, evidence, ownership and periodic stress testing.</t>
  </si>
  <si>
    <t>Create an immediate risk owner, minimum control baseline and fallback procedure for trust assets such as security, privacy, continuity, compliance and customer proof materials. Add it to the crisis risk register and collect first evidence.</t>
  </si>
  <si>
    <t>Document trust assets such as security, privacy, continuity, compliance and customer proof materials, assign RACI, define minimum controls and KPIs, and validate coverage across key sites, teams or systems.</t>
  </si>
  <si>
    <t>Standardize trust assets such as security, privacy, continuity, compliance and customer proof materials, close coverage gaps, train accountable roles and connect controls to the relevant crisis scenarios and continuity plans.</t>
  </si>
  <si>
    <t>Measure and test trust assets such as security, privacy, continuity, compliance and customer proof materials, run tabletop or operational stress tests, integrate it with dependent processes and update crisis playbooks.</t>
  </si>
  <si>
    <t>Sustain maturity for trust assets such as security, privacy, continuity, compliance and customer proof materials: keep evidence current, monitor drift, benchmark externally and refresh risk tests after organizational, system or market changes.</t>
  </si>
  <si>
    <t>Immature capability for complete inventory of applications, infrastructure, cloud accounts, integrations, data stores and owners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</si>
  <si>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complete inventory of applications, infrastructure, cloud accounts, integrations, data stores and owners.</t>
  </si>
  <si>
    <t>Severe risk: complete inventory of applications, infrastructure, cloud accounts, integrations, data stores and owners is not reliably controlled. During IT outage; Cloud outage; Data loss; Cyberattack, the organization may face system outage, data unavailability, excessive RTO/RPO and inability to restore critical technology services with limited visibility or accountability.</t>
  </si>
  <si>
    <t>High risk: complete inventory of applications, infrastructure, cloud accounts, integrations, data stores and owners depends on informal practices or individual knowledge. Disruption may expose system outage, data unavailability, excessive RTO/RPO and inability to restore critical technology services and slow recovery.</t>
  </si>
  <si>
    <t>Elevated risk: complete inventory of applications, infrastructure, cloud accounts, integrations, data stores and owners is partially controlled, but coverage, evidence or testing is inconsistent. Crisis response may be fragmented.</t>
  </si>
  <si>
    <t>Moderate risk: complete inventory of applications, infrastructure, cloud accounts, integrations, data stores and owners is documented and owned, but measurement, stress testing and integration with dependent processes need strengthening.</t>
  </si>
  <si>
    <t>Residual risk: complete inventory of applications, infrastructure, cloud accounts, integrations, data stores and owners is measured and reviewed, but monitoring, automation or scenario testing should be improved to prevent maturity drift.</t>
  </si>
  <si>
    <t>Low residual risk: complete inventory of applications, infrastructure, cloud accounts, integrations, data stores and owners is mature and crisis-tested. Maintain monitoring, evidence, ownership and periodic stress testing.</t>
  </si>
  <si>
    <t>Create an immediate risk owner, minimum control baseline and fallback procedure for complete inventory of applications, infrastructure, cloud accounts, integrations, data stores and owners. Add it to the crisis risk register and collect first evidence.</t>
  </si>
  <si>
    <t>Document complete inventory of applications, infrastructure, cloud accounts, integrations, data stores and owners, assign RACI, define minimum controls and KPIs, and validate coverage across key sites, teams or systems.</t>
  </si>
  <si>
    <t>Standardize complete inventory of applications, infrastructure, cloud accounts, integrations, data stores and owners, close coverage gaps, train accountable roles and connect controls to the relevant crisis scenarios and continuity plans.</t>
  </si>
  <si>
    <t>Measure and test complete inventory of applications, infrastructure, cloud accounts, integrations, data stores and owners, run tabletop or operational stress tests, integrate it with dependent processes and update crisis playbooks.</t>
  </si>
  <si>
    <t>Sustain maturity for complete inventory of applications, infrastructure, cloud accounts, integrations, data stores and owners: keep evidence current, monitor drift, benchmark externally and refresh risk tests after organizational, system or market changes.</t>
  </si>
  <si>
    <t>Immature capability for system criticality tiering by business process, RTO, RPO, users and data sensitivity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</si>
  <si>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system criticality tiering by business process, RTO, RPO, users and data sensitivity.</t>
  </si>
  <si>
    <t>Severe risk: system criticality tiering by business process, RTO, RPO, users and data sensitivity is not reliably controlled. During IT outage; Cloud outage; Data loss; Cyberattack, the organization may face system outage, data unavailability, excessive RTO/RPO and inability to restore critical technology services with limited visibility or accountability.</t>
  </si>
  <si>
    <t>High risk: system criticality tiering by business process, RTO, RPO, users and data sensitivity depends on informal practices or individual knowledge. Disruption may expose system outage, data unavailability, excessive RTO/RPO and inability to restore critical technology services and slow recovery.</t>
  </si>
  <si>
    <t>Elevated risk: system criticality tiering by business process, RTO, RPO, users and data sensitivity is partially controlled, but coverage, evidence or testing is inconsistent. Crisis response may be fragmented.</t>
  </si>
  <si>
    <t>Moderate risk: system criticality tiering by business process, RTO, RPO, users and data sensitivity is documented and owned, but measurement, stress testing and integration with dependent processes need strengthening.</t>
  </si>
  <si>
    <t>Residual risk: system criticality tiering by business process, RTO, RPO, users and data sensitivity is measured and reviewed, but monitoring, automation or scenario testing should be improved to prevent maturity drift.</t>
  </si>
  <si>
    <t>Low residual risk: system criticality tiering by business process, RTO, RPO, users and data sensitivity is mature and crisis-tested. Maintain monitoring, evidence, ownership and periodic stress testing.</t>
  </si>
  <si>
    <t>Create an immediate risk owner, minimum control baseline and fallback procedure for system criticality tiering by business process, RTO, RPO, users and data sensitivity. Add it to the crisis risk register and collect first evidence.</t>
  </si>
  <si>
    <t>Document system criticality tiering by business process, RTO, RPO, users and data sensitivity, assign RACI, define minimum controls and KPIs, and validate coverage across key sites, teams or systems.</t>
  </si>
  <si>
    <t>Standardize system criticality tiering by business process, RTO, RPO, users and data sensitivity, close coverage gaps, train accountable roles and connect controls to the relevant crisis scenarios and continuity plans.</t>
  </si>
  <si>
    <t>Measure and test system criticality tiering by business process, RTO, RPO, users and data sensitivity, run tabletop or operational stress tests, integrate it with dependent processes and update crisis playbooks.</t>
  </si>
  <si>
    <t>Sustain maturity for system criticality tiering by business process, RTO, RPO, users and data sensitivity: keep evidence current, monitor drift, benchmark externally and refresh risk tests after organizational, system or market changes.</t>
  </si>
  <si>
    <t>Immature capability for current-state and target-state IT architecture documentation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</si>
  <si>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current-state and target-state IT architecture documentation.</t>
  </si>
  <si>
    <t>Severe risk: current-state and target-state IT architecture documentation is not reliably controlled. During IT outage; Cloud outage; Data loss; Cyberattack, the organization may face system outage, data unavailability, excessive RTO/RPO and inability to restore critical technology services with limited visibility or accountability.</t>
  </si>
  <si>
    <t>High risk: current-state and target-state IT architecture documentation depends on informal practices or individual knowledge. Disruption may expose system outage, data unavailability, excessive RTO/RPO and inability to restore critical technology services and slow recovery.</t>
  </si>
  <si>
    <t>Elevated risk: current-state and target-state IT architecture documentation is partially controlled, but coverage, evidence or testing is inconsistent. Crisis response may be fragmented.</t>
  </si>
  <si>
    <t>Moderate risk: current-state and target-state IT architecture documentation is documented and owned, but measurement, stress testing and integration with dependent processes need strengthening.</t>
  </si>
  <si>
    <t>Residual risk: current-state and target-state IT architecture documentation is measured and reviewed, but monitoring, automation or scenario testing should be improved to prevent maturity drift.</t>
  </si>
  <si>
    <t>Low residual risk: current-state and target-state IT architecture documentation is mature and crisis-tested. Maintain monitoring, evidence, ownership and periodic stress testing.</t>
  </si>
  <si>
    <t>Create an immediate risk owner, minimum control baseline and fallback procedure for current-state and target-state IT architecture documentation. Add it to the crisis risk register and collect first evidence.</t>
  </si>
  <si>
    <t>Document current-state and target-state IT architecture documentation, assign RACI, define minimum controls and KPIs, and validate coverage across key sites, teams or systems.</t>
  </si>
  <si>
    <t>Standardize current-state and target-state IT architecture documentation, close coverage gaps, train accountable roles and connect controls to the relevant crisis scenarios and continuity plans.</t>
  </si>
  <si>
    <t>Measure and test current-state and target-state IT architecture documentation, run tabletop or operational stress tests, integrate it with dependent processes and update crisis playbooks.</t>
  </si>
  <si>
    <t>Sustain maturity for current-state and target-state IT architecture documentation: keep evidence current, monitor drift, benchmark externally and refresh risk tests after organizational, system or market changes.</t>
  </si>
  <si>
    <t>Immature capability for technical single points of failure across network, identity, DNS, cloud, databases, integrations and support teams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</si>
  <si>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technical single points of failure across network, identity, DNS, cloud, databases, integrations and support teams.</t>
  </si>
  <si>
    <t>Severe risk: technical single points of failure across network, identity, DNS, cloud, databases, integrations and support teams is not reliably controlled. During IT outage; Cloud outage; Data loss; Cyberattack, the organization may face system outage, data unavailability, excessive RTO/RPO and inability to restore critical technology services with limited visibility or accountability.</t>
  </si>
  <si>
    <t>High risk: technical single points of failure across network, identity, DNS, cloud, databases, integrations and support teams depends on informal practices or individual knowledge. Disruption may expose system outage, data unavailability, excessive RTO/RPO and inability to restore critical technology services and slow recovery.</t>
  </si>
  <si>
    <t>Elevated risk: technical single points of failure across network, identity, DNS, cloud, databases, integrations and support teams is partially controlled, but coverage, evidence or testing is inconsistent. Crisis response may be fragmented.</t>
  </si>
  <si>
    <t>Moderate risk: technical single points of failure across network, identity, DNS, cloud, databases, integrations and support teams is documented and owned, but measurement, stress testing and integration with dependent processes need strengthening.</t>
  </si>
  <si>
    <t>Residual risk: technical single points of failure across network, identity, DNS, cloud, databases, integrations and support teams is measured and reviewed, but monitoring, automation or scenario testing should be improved to prevent maturity drift.</t>
  </si>
  <si>
    <t>Low residual risk: technical single points of failure across network, identity, DNS, cloud, databases, integrations and support teams is mature and crisis-tested. Maintain monitoring, evidence, ownership and periodic stress testing.</t>
  </si>
  <si>
    <t>Create an immediate risk owner, minimum control baseline and fallback procedure for technical single points of failure across network, identity, DNS, cloud, databases, integrations and support teams. Add it to the crisis risk register and collect first evidence.</t>
  </si>
  <si>
    <t>Document technical single points of failure across network, identity, DNS, cloud, databases, integrations and support teams, assign RACI, define minimum controls and KPIs, and validate coverage across key sites, teams or systems.</t>
  </si>
  <si>
    <t>Standardize technical single points of failure across network, identity, DNS, cloud, databases, integrations and support teams, close coverage gaps, train accountable roles and connect controls to the relevant crisis scenarios and continuity plans.</t>
  </si>
  <si>
    <t>Measure and test technical single points of failure across network, identity, DNS, cloud, databases, integrations and support teams, run tabletop or operational stress tests, integrate it with dependent processes and update crisis playbooks.</t>
  </si>
  <si>
    <t>Sustain maturity for technical single points of failure across network, identity, DNS, cloud, databases, integrations and support teams: keep evidence current, monitor drift, benchmark externally and refresh risk tests after organizational, system or market changes.</t>
  </si>
  <si>
    <t>Immature capability for legacy system risk for vendor support, skills, security, integration and replacement options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</si>
  <si>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legacy system risk for vendor support, skills, security, integration and replacement options.</t>
  </si>
  <si>
    <t>Severe risk: legacy system risk for vendor support, skills, security, integration and replacement options is not reliably controlled. During IT outage; Cloud outage; Data loss; Cyberattack, the organization may face system outage, data unavailability, excessive RTO/RPO and inability to restore critical technology services with limited visibility or accountability.</t>
  </si>
  <si>
    <t>High risk: legacy system risk for vendor support, skills, security, integration and replacement options depends on informal practices or individual knowledge. Disruption may expose system outage, data unavailability, excessive RTO/RPO and inability to restore critical technology services and slow recovery.</t>
  </si>
  <si>
    <t>Elevated risk: legacy system risk for vendor support, skills, security, integration and replacement options is partially controlled, but coverage, evidence or testing is inconsistent. Crisis response may be fragmented.</t>
  </si>
  <si>
    <t>Moderate risk: legacy system risk for vendor support, skills, security, integration and replacement options is documented and owned, but measurement, stress testing and integration with dependent processes need strengthening.</t>
  </si>
  <si>
    <t>Residual risk: legacy system risk for vendor support, skills, security, integration and replacement options is measured and reviewed, but monitoring, automation or scenario testing should be improved to prevent maturity drift.</t>
  </si>
  <si>
    <t>Low residual risk: legacy system risk for vendor support, skills, security, integration and replacement options is mature and crisis-tested. Maintain monitoring, evidence, ownership and periodic stress testing.</t>
  </si>
  <si>
    <t>Create an immediate risk owner, minimum control baseline and fallback procedure for legacy system risk for vendor support, skills, security, integration and replacement options. Add it to the crisis risk register and collect first evidence.</t>
  </si>
  <si>
    <t>Document legacy system risk for vendor support, skills, security, integration and replacement options, assign RACI, define minimum controls and KPIs, and validate coverage across key sites, teams or systems.</t>
  </si>
  <si>
    <t>Standardize legacy system risk for vendor support, skills, security, integration and replacement options, close coverage gaps, train accountable roles and connect controls to the relevant crisis scenarios and continuity plans.</t>
  </si>
  <si>
    <t>Measure and test legacy system risk for vendor support, skills, security, integration and replacement options, run tabletop or operational stress tests, integrate it with dependent processes and update crisis playbooks.</t>
  </si>
  <si>
    <t>Sustain maturity for legacy system risk for vendor support, skills, security, integration and replacement options: keep evidence current, monitor drift, benchmark externally and refresh risk tests after organizational, system or market changes.</t>
  </si>
  <si>
    <t>Immature capability for technical debt register linked to resilience, security and business impact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</si>
  <si>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technical debt register linked to resilience, security and business impact.</t>
  </si>
  <si>
    <t>Severe risk: technical debt register linked to resilience, security and business impact is not reliably controlled. During IT outage; Cloud outage; Data loss; Cyberattack, the organization may face system outage, data unavailability, excessive RTO/RPO and inability to restore critical technology services with limited visibility or accountability.</t>
  </si>
  <si>
    <t>High risk: technical debt register linked to resilience, security and business impact depends on informal practices or individual knowledge. Disruption may expose system outage, data unavailability, excessive RTO/RPO and inability to restore critical technology services and slow recovery.</t>
  </si>
  <si>
    <t>Elevated risk: technical debt register linked to resilience, security and business impact is partially controlled, but coverage, evidence or testing is inconsistent. Crisis response may be fragmented.</t>
  </si>
  <si>
    <t>Moderate risk: technical debt register linked to resilience, security and business impact is documented and owned, but measurement, stress testing and integration with dependent processes need strengthening.</t>
  </si>
  <si>
    <t>Residual risk: technical debt register linked to resilience, security and business impact is measured and reviewed, but monitoring, automation or scenario testing should be improved to prevent maturity drift.</t>
  </si>
  <si>
    <t>Low residual risk: technical debt register linked to resilience, security and business impact is mature and crisis-tested. Maintain monitoring, evidence, ownership and periodic stress testing.</t>
  </si>
  <si>
    <t>Create an immediate risk owner, minimum control baseline and fallback procedure for technical debt register linked to resilience, security and business impact. Add it to the crisis risk register and collect first evidence.</t>
  </si>
  <si>
    <t>Document technical debt register linked to resilience, security and business impact, assign RACI, define minimum controls and KPIs, and validate coverage across key sites, teams or systems.</t>
  </si>
  <si>
    <t>Standardize technical debt register linked to resilience, security and business impact, close coverage gaps, train accountable roles and connect controls to the relevant crisis scenarios and continuity plans.</t>
  </si>
  <si>
    <t>Measure and test technical debt register linked to resilience, security and business impact, run tabletop or operational stress tests, integrate it with dependent processes and update crisis playbooks.</t>
  </si>
  <si>
    <t>Sustain maturity for technical debt register linked to resilience, security and business impact: keep evidence current, monitor drift, benchmark externally and refresh risk tests after organizational, system or market changes.</t>
  </si>
  <si>
    <t>Immature capability for cloud account, subscription or project governance with ownership, billing, IAM, tagging and guardrails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</si>
  <si>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account, subscription or project governance with ownership, billing, IAM, tagging and guardrails.</t>
  </si>
  <si>
    <t>Severe risk: cloud account, subscription or project governance with ownership, billing, IAM, tagging and guardrails is not reliably controlled. During IT outage; Cloud outage; Data loss; Cyberattack, the organization may face system outage, data unavailability, excessive RTO/RPO and inability to restore critical technology services with limited visibility or accountability.</t>
  </si>
  <si>
    <t>High risk: cloud account, subscription or project governance with ownership, billing, IAM, tagging and guardrails depends on informal practices or individual knowledge. Disruption may expose system outage, data unavailability, excessive RTO/RPO and inability to restore critical technology services and slow recovery.</t>
  </si>
  <si>
    <t>Elevated risk: cloud account, subscription or project governance with ownership, billing, IAM, tagging and guardrails is partially controlled, but coverage, evidence or testing is inconsistent. Crisis response may be fragmented.</t>
  </si>
  <si>
    <t>Moderate risk: cloud account, subscription or project governance with ownership, billing, IAM, tagging and guardrails is documented and owned, but measurement, stress testing and integration with dependent processes need strengthening.</t>
  </si>
  <si>
    <t>Residual risk: cloud account, subscription or project governance with ownership, billing, IAM, tagging and guardrails is measured and reviewed, but monitoring, automation or scenario testing should be improved to prevent maturity drift.</t>
  </si>
  <si>
    <t>Low residual risk: cloud account, subscription or project governance with ownership, billing, IAM, tagging and guardrails is mature and crisis-tested. Maintain monitoring, evidence, ownership and periodic stress testing.</t>
  </si>
  <si>
    <t>Create an immediate risk owner, minimum control baseline and fallback procedure for cloud account, subscription or project governance with ownership, billing, IAM, tagging and guardrails. Add it to the crisis risk register and collect first evidence.</t>
  </si>
  <si>
    <t>Document cloud account, subscription or project governance with ownership, billing, IAM, tagging and guardrails, assign RACI, define minimum controls and KPIs, and validate coverage across key sites, teams or systems.</t>
  </si>
  <si>
    <t>Standardize cloud account, subscription or project governance with ownership, billing, IAM, tagging and guardrails, close coverage gaps, train accountable roles and connect controls to the relevant crisis scenarios and continuity plans.</t>
  </si>
  <si>
    <t>Measure and test cloud account, subscription or project governance with ownership, billing, IAM, tagging and guardrails, run tabletop or operational stress tests, integrate it with dependent processes and update crisis playbooks.</t>
  </si>
  <si>
    <t>Sustain maturity for cloud account, subscription or project governance with ownership, billing, IAM, tagging and guardrails: keep evidence current, monitor drift, benchmark externally and refresh risk tests after organizational, system or market changes.</t>
  </si>
  <si>
    <t>Immature capability for cloud provider, SaaS, region and managed-service concentration risk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</si>
  <si>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provider, SaaS, region and managed-service concentration risk.</t>
  </si>
  <si>
    <t>Severe risk: cloud provider, SaaS, region and managed-service concentration risk is not reliably controlled. During IT outage; Cloud outage; Data loss; Cyberattack, the organization may face system outage, data unavailability, excessive RTO/RPO and inability to restore critical technology services with limited visibility or accountability.</t>
  </si>
  <si>
    <t>High risk: cloud provider, SaaS, region and managed-service concentration risk depends on informal practices or individual knowledge. Disruption may expose system outage, data unavailability, excessive RTO/RPO and inability to restore critical technology services and slow recovery.</t>
  </si>
  <si>
    <t>Elevated risk: cloud provider, SaaS, region and managed-service concentration risk is partially controlled, but coverage, evidence or testing is inconsistent. Crisis response may be fragmented.</t>
  </si>
  <si>
    <t>Moderate risk: cloud provider, SaaS, region and managed-service concentration risk is documented and owned, but measurement, stress testing and integration with dependent processes need strengthening.</t>
  </si>
  <si>
    <t>Residual risk: cloud provider, SaaS, region and managed-service concentration risk is measured and reviewed, but monitoring, automation or scenario testing should be improved to prevent maturity drift.</t>
  </si>
  <si>
    <t>Low residual risk: cloud provider, SaaS, region and managed-service concentration risk is mature and crisis-tested. Maintain monitoring, evidence, ownership and periodic stress testing.</t>
  </si>
  <si>
    <t>Create an immediate risk owner, minimum control baseline and fallback procedure for cloud provider, SaaS, region and managed-service concentration risk. Add it to the crisis risk register and collect first evidence.</t>
  </si>
  <si>
    <t>Document cloud provider, SaaS, region and managed-service concentration risk, assign RACI, define minimum controls and KPIs, and validate coverage across key sites, teams or systems.</t>
  </si>
  <si>
    <t>Standardize cloud provider, SaaS, region and managed-service concentration risk, close coverage gaps, train accountable roles and connect controls to the relevant crisis scenarios and continuity plans.</t>
  </si>
  <si>
    <t>Measure and test cloud provider, SaaS, region and managed-service concentration risk, run tabletop or operational stress tests, integrate it with dependent processes and update crisis playbooks.</t>
  </si>
  <si>
    <t>Sustain maturity for cloud provider, SaaS, region and managed-service concentration risk: keep evidence current, monitor drift, benchmark externally and refresh risk tests after organizational, system or market changes.</t>
  </si>
  <si>
    <t>Immature capability for multi-region, multi-zone or failover design for critical cloud services where justified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</si>
  <si>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multi-region, multi-zone or failover design for critical cloud services where justified.</t>
  </si>
  <si>
    <t>Severe risk: multi-region, multi-zone or failover design for critical cloud services where justified is not reliably controlled. During IT outage; Cloud outage; Data loss; Cyberattack, the organization may face system outage, data unavailability, excessive RTO/RPO and inability to restore critical technology services with limited visibility or accountability.</t>
  </si>
  <si>
    <t>High risk: multi-region, multi-zone or failover design for critical cloud services where justified depends on informal practices or individual knowledge. Disruption may expose system outage, data unavailability, excessive RTO/RPO and inability to restore critical technology services and slow recovery.</t>
  </si>
  <si>
    <t>Elevated risk: multi-region, multi-zone or failover design for critical cloud services where justified is partially controlled, but coverage, evidence or testing is inconsistent. Crisis response may be fragmented.</t>
  </si>
  <si>
    <t>Moderate risk: multi-region, multi-zone or failover design for critical cloud services where justified is documented and owned, but measurement, stress testing and integration with dependent processes need strengthening.</t>
  </si>
  <si>
    <t>Residual risk: multi-region, multi-zone or failover design for critical cloud services where justified is measured and reviewed, but monitoring, automation or scenario testing should be improved to prevent maturity drift.</t>
  </si>
  <si>
    <t>Low residual risk: multi-region, multi-zone or failover design for critical cloud services where justified is mature and crisis-tested. Maintain monitoring, evidence, ownership and periodic stress testing.</t>
  </si>
  <si>
    <t>Create an immediate risk owner, minimum control baseline and fallback procedure for multi-region, multi-zone or failover design for critical cloud services where justified. Add it to the crisis risk register and collect first evidence.</t>
  </si>
  <si>
    <t>Document multi-region, multi-zone or failover design for critical cloud services where justified, assign RACI, define minimum controls and KPIs, and validate coverage across key sites, teams or systems.</t>
  </si>
  <si>
    <t>Standardize multi-region, multi-zone or failover design for critical cloud services where justified, close coverage gaps, train accountable roles and connect controls to the relevant crisis scenarios and continuity plans.</t>
  </si>
  <si>
    <t>Measure and test multi-region, multi-zone or failover design for critical cloud services where justified, run tabletop or operational stress tests, integrate it with dependent processes and update crisis playbooks.</t>
  </si>
  <si>
    <t>Sustain maturity for multi-region, multi-zone or failover design for critical cloud services where justified: keep evidence current, monitor drift, benchmark externally and refresh risk tests after organizational, system or market changes.</t>
  </si>
  <si>
    <t>Immature capability for cloud cost monitoring, budgets, alerts, forecasting and FinOps practices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</si>
  <si>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cost monitoring, budgets, alerts, forecasting and FinOps practices.</t>
  </si>
  <si>
    <t>Severe risk: cloud cost monitoring, budgets, alerts, forecasting and FinOps practices is not reliably controlled. During IT outage; Cloud outage; Data loss; Cyberattack, the organization may face system outage, data unavailability, excessive RTO/RPO and inability to restore critical technology services with limited visibility or accountability.</t>
  </si>
  <si>
    <t>High risk: cloud cost monitoring, budgets, alerts, forecasting and FinOps practices depends on informal practices or individual knowledge. Disruption may expose system outage, data unavailability, excessive RTO/RPO and inability to restore critical technology services and slow recovery.</t>
  </si>
  <si>
    <t>Elevated risk: cloud cost monitoring, budgets, alerts, forecasting and FinOps practices is partially controlled, but coverage, evidence or testing is inconsistent. Crisis response may be fragmented.</t>
  </si>
  <si>
    <t>Moderate risk: cloud cost monitoring, budgets, alerts, forecasting and FinOps practices is documented and owned, but measurement, stress testing and integration with dependent processes need strengthening.</t>
  </si>
  <si>
    <t>Residual risk: cloud cost monitoring, budgets, alerts, forecasting and FinOps practices is measured and reviewed, but monitoring, automation or scenario testing should be improved to prevent maturity drift.</t>
  </si>
  <si>
    <t>Low residual risk: cloud cost monitoring, budgets, alerts, forecasting and FinOps practices is mature and crisis-tested. Maintain monitoring, evidence, ownership and periodic stress testing.</t>
  </si>
  <si>
    <t>Create an immediate risk owner, minimum control baseline and fallback procedure for cloud cost monitoring, budgets, alerts, forecasting and FinOps practices. Add it to the crisis risk register and collect first evidence.</t>
  </si>
  <si>
    <t>Document cloud cost monitoring, budgets, alerts, forecasting and FinOps practices, assign RACI, define minimum controls and KPIs, and validate coverage across key sites, teams or systems.</t>
  </si>
  <si>
    <t>Standardize cloud cost monitoring, budgets, alerts, forecasting and FinOps practices, close coverage gaps, train accountable roles and connect controls to the relevant crisis scenarios and continuity plans.</t>
  </si>
  <si>
    <t>Measure and test cloud cost monitoring, budgets, alerts, forecasting and FinOps practices, run tabletop or operational stress tests, integrate it with dependent processes and update crisis playbooks.</t>
  </si>
  <si>
    <t>Sustain maturity for cloud cost monitoring, budgets, alerts, forecasting and FinOps practices: keep evidence current, monitor drift, benchmark externally and refresh risk tests after organizational, system or market changes.</t>
  </si>
  <si>
    <t>Immature capability for cloud security posture management for public exposure, encryption, logging, secrets and misconfigurations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</si>
  <si>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security posture management for public exposure, encryption, logging, secrets and misconfigurations.</t>
  </si>
  <si>
    <t>Severe risk: cloud security posture management for public exposure, encryption, logging, secrets and misconfigurations is not reliably controlled. During IT outage; Cloud outage; Data loss; Cyberattack, the organization may face system outage, data unavailability, excessive RTO/RPO and inability to restore critical technology services with limited visibility or accountability.</t>
  </si>
  <si>
    <t>High risk: cloud security posture management for public exposure, encryption, logging, secrets and misconfigurations depends on informal practices or individual knowledge. Disruption may expose system outage, data unavailability, excessive RTO/RPO and inability to restore critical technology services and slow recovery.</t>
  </si>
  <si>
    <t>Elevated risk: cloud security posture management for public exposure, encryption, logging, secrets and misconfigurations is partially controlled, but coverage, evidence or testing is inconsistent. Crisis response may be fragmented.</t>
  </si>
  <si>
    <t>Moderate risk: cloud security posture management for public exposure, encryption, logging, secrets and misconfigurations is documented and owned, but measurement, stress testing and integration with dependent processes need strengthening.</t>
  </si>
  <si>
    <t>Residual risk: cloud security posture management for public exposure, encryption, logging, secrets and misconfigurations is measured and reviewed, but monitoring, automation or scenario testing should be improved to prevent maturity drift.</t>
  </si>
  <si>
    <t>Low residual risk: cloud security posture management for public exposure, encryption, logging, secrets and misconfigurations is mature and crisis-tested. Maintain monitoring, evidence, ownership and periodic stress testing.</t>
  </si>
  <si>
    <t>Create an immediate risk owner, minimum control baseline and fallback procedure for cloud security posture management for public exposure, encryption, logging, secrets and misconfigurations. Add it to the crisis risk register and collect first evidence.</t>
  </si>
  <si>
    <t>Document cloud security posture management for public exposure, encryption, logging, secrets and misconfigurations, assign RACI, define minimum controls and KPIs, and validate coverage across key sites, teams or systems.</t>
  </si>
  <si>
    <t>Standardize cloud security posture management for public exposure, encryption, logging, secrets and misconfigurations, close coverage gaps, train accountable roles and connect controls to the relevant crisis scenarios and continuity plans.</t>
  </si>
  <si>
    <t>Measure and test cloud security posture management for public exposure, encryption, logging, secrets and misconfigurations, run tabletop or operational stress tests, integrate it with dependent processes and update crisis playbooks.</t>
  </si>
  <si>
    <t>Sustain maturity for cloud security posture management for public exposure, encryption, logging, secrets and misconfigurations: keep evidence current, monitor drift, benchmark externally and refresh risk tests after organizational, system or market changes.</t>
  </si>
  <si>
    <t>Immature capability for cloud backup and restore of configurations, data, infrastructure-as-code and managed services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</si>
  <si>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cloud backup and restore of configurations, data, infrastructure-as-code and managed services.</t>
  </si>
  <si>
    <t>Severe risk: cloud backup and restore of configurations, data, infrastructure-as-code and managed services is not reliably controlled. During IT outage; Cloud outage; Data loss; Cyberattack, the organization may face system outage, data unavailability, excessive RTO/RPO and inability to restore critical technology services with limited visibility or accountability.</t>
  </si>
  <si>
    <t>High risk: cloud backup and restore of configurations, data, infrastructure-as-code and managed services depends on informal practices or individual knowledge. Disruption may expose system outage, data unavailability, excessive RTO/RPO and inability to restore critical technology services and slow recovery.</t>
  </si>
  <si>
    <t>Elevated risk: cloud backup and restore of configurations, data, infrastructure-as-code and managed services is partially controlled, but coverage, evidence or testing is inconsistent. Crisis response may be fragmented.</t>
  </si>
  <si>
    <t>Moderate risk: cloud backup and restore of configurations, data, infrastructure-as-code and managed services is documented and owned, but measurement, stress testing and integration with dependent processes need strengthening.</t>
  </si>
  <si>
    <t>Residual risk: cloud backup and restore of configurations, data, infrastructure-as-code and managed services is measured and reviewed, but monitoring, automation or scenario testing should be improved to prevent maturity drift.</t>
  </si>
  <si>
    <t>Low residual risk: cloud backup and restore of configurations, data, infrastructure-as-code and managed services is mature and crisis-tested. Maintain monitoring, evidence, ownership and periodic stress testing.</t>
  </si>
  <si>
    <t>Create an immediate risk owner, minimum control baseline and fallback procedure for cloud backup and restore of configurations, data, infrastructure-as-code and managed services. Add it to the crisis risk register and collect first evidence.</t>
  </si>
  <si>
    <t>Document cloud backup and restore of configurations, data, infrastructure-as-code and managed services, assign RACI, define minimum controls and KPIs, and validate coverage across key sites, teams or systems.</t>
  </si>
  <si>
    <t>Standardize cloud backup and restore of configurations, data, infrastructure-as-code and managed services, close coverage gaps, train accountable roles and connect controls to the relevant crisis scenarios and continuity plans.</t>
  </si>
  <si>
    <t>Measure and test cloud backup and restore of configurations, data, infrastructure-as-code and managed services, run tabletop or operational stress tests, integrate it with dependent processes and update crisis playbooks.</t>
  </si>
  <si>
    <t>Sustain maturity for cloud backup and restore of configurations, data, infrastructure-as-code and managed services: keep evidence current, monitor drift, benchmark externally and refresh risk tests after organizational, system or market changes.</t>
  </si>
  <si>
    <t>Immature capability for backup coverage for systems, databases, files, SaaS data, configurations and cloud resources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</si>
  <si>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backup coverage for systems, databases, files, SaaS data, configurations and cloud resources.</t>
  </si>
  <si>
    <t>Severe risk: backup coverage for systems, databases, files, SaaS data, configurations and cloud resources is not reliably controlled. During IT outage; Cloud outage; Data loss; Cyberattack, the organization may face system outage, data unavailability, excessive RTO/RPO and inability to restore critical technology services with limited visibility or accountability.</t>
  </si>
  <si>
    <t>High risk: backup coverage for systems, databases, files, SaaS data, configurations and cloud resources depends on informal practices or individual knowledge. Disruption may expose system outage, data unavailability, excessive RTO/RPO and inability to restore critical technology services and slow recovery.</t>
  </si>
  <si>
    <t>Elevated risk: backup coverage for systems, databases, files, SaaS data, configurations and cloud resources is partially controlled, but coverage, evidence or testing is inconsistent. Crisis response may be fragmented.</t>
  </si>
  <si>
    <t>Moderate risk: backup coverage for systems, databases, files, SaaS data, configurations and cloud resources is documented and owned, but measurement, stress testing and integration with dependent processes need strengthening.</t>
  </si>
  <si>
    <t>Residual risk: backup coverage for systems, databases, files, SaaS data, configurations and cloud resources is measured and reviewed, but monitoring, automation or scenario testing should be improved to prevent maturity drift.</t>
  </si>
  <si>
    <t>Low residual risk: backup coverage for systems, databases, files, SaaS data, configurations and cloud resources is mature and crisis-tested. Maintain monitoring, evidence, ownership and periodic stress testing.</t>
  </si>
  <si>
    <t>Create an immediate risk owner, minimum control baseline and fallback procedure for backup coverage for systems, databases, files, SaaS data, configurations and cloud resources. Add it to the crisis risk register and collect first evidence.</t>
  </si>
  <si>
    <t>Document backup coverage for systems, databases, files, SaaS data, configurations and cloud resources, assign RACI, define minimum controls and KPIs, and validate coverage across key sites, teams or systems.</t>
  </si>
  <si>
    <t>Standardize backup coverage for systems, databases, files, SaaS data, configurations and cloud resources, close coverage gaps, train accountable roles and connect controls to the relevant crisis scenarios and continuity plans.</t>
  </si>
  <si>
    <t>Measure and test backup coverage for systems, databases, files, SaaS data, configurations and cloud resources, run tabletop or operational stress tests, integrate it with dependent processes and update crisis playbooks.</t>
  </si>
  <si>
    <t>Sustain maturity for backup coverage for systems, databases, files, SaaS data, configurations and cloud resources: keep evidence current, monitor drift, benchmark externally and refresh risk tests after organizational, system or market changes.</t>
  </si>
  <si>
    <t>Immature capability for regular restore testing against defined RTO and RPO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</si>
  <si>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regular restore testing against defined RTO and RPO.</t>
  </si>
  <si>
    <t>Severe risk: regular restore testing against defined RTO and RPO is not reliably controlled. During IT outage; Cloud outage; Data loss; Cyberattack, the organization may face system outage, data unavailability, excessive RTO/RPO and inability to restore critical technology services with limited visibility or accountability.</t>
  </si>
  <si>
    <t>High risk: regular restore testing against defined RTO and RPO depends on informal practices or individual knowledge. Disruption may expose system outage, data unavailability, excessive RTO/RPO and inability to restore critical technology services and slow recovery.</t>
  </si>
  <si>
    <t>Elevated risk: regular restore testing against defined RTO and RPO is partially controlled, but coverage, evidence or testing is inconsistent. Crisis response may be fragmented.</t>
  </si>
  <si>
    <t>Moderate risk: regular restore testing against defined RTO and RPO is documented and owned, but measurement, stress testing and integration with dependent processes need strengthening.</t>
  </si>
  <si>
    <t>Residual risk: regular restore testing against defined RTO and RPO is measured and reviewed, but monitoring, automation or scenario testing should be improved to prevent maturity drift.</t>
  </si>
  <si>
    <t>Low residual risk: regular restore testing against defined RTO and RPO is mature and crisis-tested. Maintain monitoring, evidence, ownership and periodic stress testing.</t>
  </si>
  <si>
    <t>Create an immediate risk owner, minimum control baseline and fallback procedure for regular restore testing against defined RTO and RPO. Add it to the crisis risk register and collect first evidence.</t>
  </si>
  <si>
    <t>Document regular restore testing against defined RTO and RPO, assign RACI, define minimum controls and KPIs, and validate coverage across key sites, teams or systems.</t>
  </si>
  <si>
    <t>Standardize regular restore testing against defined RTO and RPO, close coverage gaps, train accountable roles and connect controls to the relevant crisis scenarios and continuity plans.</t>
  </si>
  <si>
    <t>Measure and test regular restore testing against defined RTO and RPO, run tabletop or operational stress tests, integrate it with dependent processes and update crisis playbooks.</t>
  </si>
  <si>
    <t>Sustain maturity for regular restore testing against defined RTO and RPO: keep evidence current, monitor drift, benchmark externally and refresh risk tests after organizational, system or market changes.</t>
  </si>
  <si>
    <t>Immature capability for DR runbooks for critical systems with owners, dependencies and communication rules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</si>
  <si>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DR runbooks for critical systems with owners, dependencies and communication rules.</t>
  </si>
  <si>
    <t>Severe risk: DR runbooks for critical systems with owners, dependencies and communication rules is not reliably controlled. During IT outage; Cloud outage; Data loss; Cyberattack, the organization may face system outage, data unavailability, excessive RTO/RPO and inability to restore critical technology services with limited visibility or accountability.</t>
  </si>
  <si>
    <t>High risk: DR runbooks for critical systems with owners, dependencies and communication rules depends on informal practices or individual knowledge. Disruption may expose system outage, data unavailability, excessive RTO/RPO and inability to restore critical technology services and slow recovery.</t>
  </si>
  <si>
    <t>Elevated risk: DR runbooks for critical systems with owners, dependencies and communication rules is partially controlled, but coverage, evidence or testing is inconsistent. Crisis response may be fragmented.</t>
  </si>
  <si>
    <t>Moderate risk: DR runbooks for critical systems with owners, dependencies and communication rules is documented and owned, but measurement, stress testing and integration with dependent processes need strengthening.</t>
  </si>
  <si>
    <t>Residual risk: DR runbooks for critical systems with owners, dependencies and communication rules is measured and reviewed, but monitoring, automation or scenario testing should be improved to prevent maturity drift.</t>
  </si>
  <si>
    <t>Low residual risk: DR runbooks for critical systems with owners, dependencies and communication rules is mature and crisis-tested. Maintain monitoring, evidence, ownership and periodic stress testing.</t>
  </si>
  <si>
    <t>Create an immediate risk owner, minimum control baseline and fallback procedure for DR runbooks for critical systems with owners, dependencies and communication rules. Add it to the crisis risk register and collect first evidence.</t>
  </si>
  <si>
    <t>Document DR runbooks for critical systems with owners, dependencies and communication rules, assign RACI, define minimum controls and KPIs, and validate coverage across key sites, teams or systems.</t>
  </si>
  <si>
    <t>Standardize DR runbooks for critical systems with owners, dependencies and communication rules, close coverage gaps, train accountable roles and connect controls to the relevant crisis scenarios and continuity plans.</t>
  </si>
  <si>
    <t>Measure and test DR runbooks for critical systems with owners, dependencies and communication rules, run tabletop or operational stress tests, integrate it with dependent processes and update crisis playbooks.</t>
  </si>
  <si>
    <t>Sustain maturity for DR runbooks for critical systems with owners, dependencies and communication rules: keep evidence current, monitor drift, benchmark externally and refresh risk tests after organizational, system or market changes.</t>
  </si>
  <si>
    <t>Immature capability for DR exercises for ransomware, cloud region failure, identity outage and data corruption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</si>
  <si>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DR exercises for ransomware, cloud region failure, identity outage and data corruption.</t>
  </si>
  <si>
    <t>Severe risk: DR exercises for ransomware, cloud region failure, identity outage and data corruption is not reliably controlled. During IT outage; Cloud outage; Data loss; Cyberattack, the organization may face system outage, data unavailability, excessive RTO/RPO and inability to restore critical technology services with limited visibility or accountability.</t>
  </si>
  <si>
    <t>High risk: DR exercises for ransomware, cloud region failure, identity outage and data corruption depends on informal practices or individual knowledge. Disruption may expose system outage, data unavailability, excessive RTO/RPO and inability to restore critical technology services and slow recovery.</t>
  </si>
  <si>
    <t>Elevated risk: DR exercises for ransomware, cloud region failure, identity outage and data corruption is partially controlled, but coverage, evidence or testing is inconsistent. Crisis response may be fragmented.</t>
  </si>
  <si>
    <t>Moderate risk: DR exercises for ransomware, cloud region failure, identity outage and data corruption is documented and owned, but measurement, stress testing and integration with dependent processes need strengthening.</t>
  </si>
  <si>
    <t>Residual risk: DR exercises for ransomware, cloud region failure, identity outage and data corruption is measured and reviewed, but monitoring, automation or scenario testing should be improved to prevent maturity drift.</t>
  </si>
  <si>
    <t>Low residual risk: DR exercises for ransomware, cloud region failure, identity outage and data corruption is mature and crisis-tested. Maintain monitoring, evidence, ownership and periodic stress testing.</t>
  </si>
  <si>
    <t>Create an immediate risk owner, minimum control baseline and fallback procedure for DR exercises for ransomware, cloud region failure, identity outage and data corruption. Add it to the crisis risk register and collect first evidence.</t>
  </si>
  <si>
    <t>Document DR exercises for ransomware, cloud region failure, identity outage and data corruption, assign RACI, define minimum controls and KPIs, and validate coverage across key sites, teams or systems.</t>
  </si>
  <si>
    <t>Standardize DR exercises for ransomware, cloud region failure, identity outage and data corruption, close coverage gaps, train accountable roles and connect controls to the relevant crisis scenarios and continuity plans.</t>
  </si>
  <si>
    <t>Measure and test DR exercises for ransomware, cloud region failure, identity outage and data corruption, run tabletop or operational stress tests, integrate it with dependent processes and update crisis playbooks.</t>
  </si>
  <si>
    <t>Sustain maturity for DR exercises for ransomware, cloud region failure, identity outage and data corruption: keep evidence current, monitor drift, benchmark externally and refresh risk tests after organizational, system or market changes.</t>
  </si>
  <si>
    <t>Immature capability for manual fallback for critical IT-dependent business processes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</si>
  <si>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manual fallback for critical IT-dependent business processes.</t>
  </si>
  <si>
    <t>Severe risk: manual fallback for critical IT-dependent business processes is not reliably controlled. During IT outage; Cloud outage; Data loss; Cyberattack, the organization may face system outage, data unavailability, excessive RTO/RPO and inability to restore critical technology services with limited visibility or accountability.</t>
  </si>
  <si>
    <t>High risk: manual fallback for critical IT-dependent business processes depends on informal practices or individual knowledge. Disruption may expose system outage, data unavailability, excessive RTO/RPO and inability to restore critical technology services and slow recovery.</t>
  </si>
  <si>
    <t>Elevated risk: manual fallback for critical IT-dependent business processes is partially controlled, but coverage, evidence or testing is inconsistent. Crisis response may be fragmented.</t>
  </si>
  <si>
    <t>Moderate risk: manual fallback for critical IT-dependent business processes is documented and owned, but measurement, stress testing and integration with dependent processes need strengthening.</t>
  </si>
  <si>
    <t>Residual risk: manual fallback for critical IT-dependent business processes is measured and reviewed, but monitoring, automation or scenario testing should be improved to prevent maturity drift.</t>
  </si>
  <si>
    <t>Low residual risk: manual fallback for critical IT-dependent business processes is mature and crisis-tested. Maintain monitoring, evidence, ownership and periodic stress testing.</t>
  </si>
  <si>
    <t>Create an immediate risk owner, minimum control baseline and fallback procedure for manual fallback for critical IT-dependent business processes. Add it to the crisis risk register and collect first evidence.</t>
  </si>
  <si>
    <t>Document manual fallback for critical IT-dependent business processes, assign RACI, define minimum controls and KPIs, and validate coverage across key sites, teams or systems.</t>
  </si>
  <si>
    <t>Standardize manual fallback for critical IT-dependent business processes, close coverage gaps, train accountable roles and connect controls to the relevant crisis scenarios and continuity plans.</t>
  </si>
  <si>
    <t>Measure and test manual fallback for critical IT-dependent business processes, run tabletop or operational stress tests, integrate it with dependent processes and update crisis playbooks.</t>
  </si>
  <si>
    <t>Sustain maturity for manual fallback for critical IT-dependent business processes: keep evidence current, monitor drift, benchmark externally and refresh risk tests after organizational, system or market changes.</t>
  </si>
  <si>
    <t>Immature capability for on-call coverage, escalation and vendor support for critical systems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</si>
  <si>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on-call coverage, escalation and vendor support for critical systems.</t>
  </si>
  <si>
    <t>Severe risk: on-call coverage, escalation and vendor support for critical systems is not reliably controlled. During IT outage; Cloud outage; Data loss; Cyberattack, the organization may face system outage, data unavailability, excessive RTO/RPO and inability to restore critical technology services with limited visibility or accountability.</t>
  </si>
  <si>
    <t>High risk: on-call coverage, escalation and vendor support for critical systems depends on informal practices or individual knowledge. Disruption may expose system outage, data unavailability, excessive RTO/RPO and inability to restore critical technology services and slow recovery.</t>
  </si>
  <si>
    <t>Elevated risk: on-call coverage, escalation and vendor support for critical systems is partially controlled, but coverage, evidence or testing is inconsistent. Crisis response may be fragmented.</t>
  </si>
  <si>
    <t>Moderate risk: on-call coverage, escalation and vendor support for critical systems is documented and owned, but measurement, stress testing and integration with dependent processes need strengthening.</t>
  </si>
  <si>
    <t>Residual risk: on-call coverage, escalation and vendor support for critical systems is measured and reviewed, but monitoring, automation or scenario testing should be improved to prevent maturity drift.</t>
  </si>
  <si>
    <t>Low residual risk: on-call coverage, escalation and vendor support for critical systems is mature and crisis-tested. Maintain monitoring, evidence, ownership and periodic stress testing.</t>
  </si>
  <si>
    <t>Create an immediate risk owner, minimum control baseline and fallback procedure for on-call coverage, escalation and vendor support for critical systems. Add it to the crisis risk register and collect first evidence.</t>
  </si>
  <si>
    <t>Document on-call coverage, escalation and vendor support for critical systems, assign RACI, define minimum controls and KPIs, and validate coverage across key sites, teams or systems.</t>
  </si>
  <si>
    <t>Standardize on-call coverage, escalation and vendor support for critical systems, close coverage gaps, train accountable roles and connect controls to the relevant crisis scenarios and continuity plans.</t>
  </si>
  <si>
    <t>Measure and test on-call coverage, escalation and vendor support for critical systems, run tabletop or operational stress tests, integrate it with dependent processes and update crisis playbooks.</t>
  </si>
  <si>
    <t>Sustain maturity for on-call coverage, escalation and vendor support for critical systems: keep evidence current, monitor drift, benchmark externally and refresh risk tests after organizational, system or market changes.</t>
  </si>
  <si>
    <t>Immature capability for IT service management for incidents, requests, problems, changes and assets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</si>
  <si>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IT service management for incidents, requests, problems, changes and assets.</t>
  </si>
  <si>
    <t>Severe risk: IT service management for incidents, requests, problems, changes and assets is not reliably controlled. During IT outage; Cloud outage; Data loss; Cyberattack, the organization may face system outage, data unavailability, excessive RTO/RPO and inability to restore critical technology services with limited visibility or accountability.</t>
  </si>
  <si>
    <t>High risk: IT service management for incidents, requests, problems, changes and assets depends on informal practices or individual knowledge. Disruption may expose system outage, data unavailability, excessive RTO/RPO and inability to restore critical technology services and slow recovery.</t>
  </si>
  <si>
    <t>Elevated risk: IT service management for incidents, requests, problems, changes and assets is partially controlled, but coverage, evidence or testing is inconsistent. Crisis response may be fragmented.</t>
  </si>
  <si>
    <t>Moderate risk: IT service management for incidents, requests, problems, changes and assets is documented and owned, but measurement, stress testing and integration with dependent processes need strengthening.</t>
  </si>
  <si>
    <t>Residual risk: IT service management for incidents, requests, problems, changes and assets is measured and reviewed, but monitoring, automation or scenario testing should be improved to prevent maturity drift.</t>
  </si>
  <si>
    <t>Low residual risk: IT service management for incidents, requests, problems, changes and assets is mature and crisis-tested. Maintain monitoring, evidence, ownership and periodic stress testing.</t>
  </si>
  <si>
    <t>Create an immediate risk owner, minimum control baseline and fallback procedure for IT service management for incidents, requests, problems, changes and assets. Add it to the crisis risk register and collect first evidence.</t>
  </si>
  <si>
    <t>Document IT service management for incidents, requests, problems, changes and assets, assign RACI, define minimum controls and KPIs, and validate coverage across key sites, teams or systems.</t>
  </si>
  <si>
    <t>Standardize IT service management for incidents, requests, problems, changes and assets, close coverage gaps, train accountable roles and connect controls to the relevant crisis scenarios and continuity plans.</t>
  </si>
  <si>
    <t>Measure and test IT service management for incidents, requests, problems, changes and assets, run tabletop or operational stress tests, integrate it with dependent processes and update crisis playbooks.</t>
  </si>
  <si>
    <t>Sustain maturity for IT service management for incidents, requests, problems, changes and assets: keep evidence current, monitor drift, benchmark externally and refresh risk tests after organizational, system or market changes.</t>
  </si>
  <si>
    <t>Immature capability for monitoring and alerting for availability, performance, capacity, security and user impact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</si>
  <si>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monitoring and alerting for availability, performance, capacity, security and user impact.</t>
  </si>
  <si>
    <t>Severe risk: monitoring and alerting for availability, performance, capacity, security and user impact is not reliably controlled. During IT outage; Cloud outage; Data loss; Cyberattack, the organization may face system outage, data unavailability, excessive RTO/RPO and inability to restore critical technology services with limited visibility or accountability.</t>
  </si>
  <si>
    <t>High risk: monitoring and alerting for availability, performance, capacity, security and user impact depends on informal practices or individual knowledge. Disruption may expose system outage, data unavailability, excessive RTO/RPO and inability to restore critical technology services and slow recovery.</t>
  </si>
  <si>
    <t>Elevated risk: monitoring and alerting for availability, performance, capacity, security and user impact is partially controlled, but coverage, evidence or testing is inconsistent. Crisis response may be fragmented.</t>
  </si>
  <si>
    <t>Moderate risk: monitoring and alerting for availability, performance, capacity, security and user impact is documented and owned, but measurement, stress testing and integration with dependent processes need strengthening.</t>
  </si>
  <si>
    <t>Residual risk: monitoring and alerting for availability, performance, capacity, security and user impact is measured and reviewed, but monitoring, automation or scenario testing should be improved to prevent maturity drift.</t>
  </si>
  <si>
    <t>Low residual risk: monitoring and alerting for availability, performance, capacity, security and user impact is mature and crisis-tested. Maintain monitoring, evidence, ownership and periodic stress testing.</t>
  </si>
  <si>
    <t>Create an immediate risk owner, minimum control baseline and fallback procedure for monitoring and alerting for availability, performance, capacity, security and user impact. Add it to the crisis risk register and collect first evidence.</t>
  </si>
  <si>
    <t>Document monitoring and alerting for availability, performance, capacity, security and user impact, assign RACI, define minimum controls and KPIs, and validate coverage across key sites, teams or systems.</t>
  </si>
  <si>
    <t>Standardize monitoring and alerting for availability, performance, capacity, security and user impact, close coverage gaps, train accountable roles and connect controls to the relevant crisis scenarios and continuity plans.</t>
  </si>
  <si>
    <t>Measure and test monitoring and alerting for availability, performance, capacity, security and user impact, run tabletop or operational stress tests, integrate it with dependent processes and update crisis playbooks.</t>
  </si>
  <si>
    <t>Sustain maturity for monitoring and alerting for availability, performance, capacity, security and user impact: keep evidence current, monitor drift, benchmark externally and refresh risk tests after organizational, system or market changes.</t>
  </si>
  <si>
    <t>Immature capability for network resilience for internet, DNS, firewalls, VPN/ZTNA, routing and telecom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</si>
  <si>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network resilience for internet, DNS, firewalls, VPN/ZTNA, routing and telecom.</t>
  </si>
  <si>
    <t>Severe risk: network resilience for internet, DNS, firewalls, VPN/ZTNA, routing and telecom is not reliably controlled. During IT outage; Cloud outage; Data loss; Cyberattack, the organization may face system outage, data unavailability, excessive RTO/RPO and inability to restore critical technology services with limited visibility or accountability.</t>
  </si>
  <si>
    <t>High risk: network resilience for internet, DNS, firewalls, VPN/ZTNA, routing and telecom depends on informal practices or individual knowledge. Disruption may expose system outage, data unavailability, excessive RTO/RPO and inability to restore critical technology services and slow recovery.</t>
  </si>
  <si>
    <t>Elevated risk: network resilience for internet, DNS, firewalls, VPN/ZTNA, routing and telecom is partially controlled, but coverage, evidence or testing is inconsistent. Crisis response may be fragmented.</t>
  </si>
  <si>
    <t>Moderate risk: network resilience for internet, DNS, firewalls, VPN/ZTNA, routing and telecom is documented and owned, but measurement, stress testing and integration with dependent processes need strengthening.</t>
  </si>
  <si>
    <t>Residual risk: network resilience for internet, DNS, firewalls, VPN/ZTNA, routing and telecom is measured and reviewed, but monitoring, automation or scenario testing should be improved to prevent maturity drift.</t>
  </si>
  <si>
    <t>Low residual risk: network resilience for internet, DNS, firewalls, VPN/ZTNA, routing and telecom is mature and crisis-tested. Maintain monitoring, evidence, ownership and periodic stress testing.</t>
  </si>
  <si>
    <t>Create an immediate risk owner, minimum control baseline and fallback procedure for network resilience for internet, DNS, firewalls, VPN/ZTNA, routing and telecom. Add it to the crisis risk register and collect first evidence.</t>
  </si>
  <si>
    <t>Document network resilience for internet, DNS, firewalls, VPN/ZTNA, routing and telecom, assign RACI, define minimum controls and KPIs, and validate coverage across key sites, teams or systems.</t>
  </si>
  <si>
    <t>Standardize network resilience for internet, DNS, firewalls, VPN/ZTNA, routing and telecom, close coverage gaps, train accountable roles and connect controls to the relevant crisis scenarios and continuity plans.</t>
  </si>
  <si>
    <t>Measure and test network resilience for internet, DNS, firewalls, VPN/ZTNA, routing and telecom, run tabletop or operational stress tests, integrate it with dependent processes and update crisis playbooks.</t>
  </si>
  <si>
    <t>Sustain maturity for network resilience for internet, DNS, firewalls, VPN/ZTNA, routing and telecom: keep evidence current, monitor drift, benchmark externally and refresh risk tests after organizational, system or market changes.</t>
  </si>
  <si>
    <t>Immature capability for secure remote access for critical users during remote-only operations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</si>
  <si>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secure remote access for critical users during remote-only operations.</t>
  </si>
  <si>
    <t>Severe risk: secure remote access for critical users during remote-only operations is not reliably controlled. During IT outage; Cloud outage; Data loss; Cyberattack, the organization may face system outage, data unavailability, excessive RTO/RPO and inability to restore critical technology services with limited visibility or accountability.</t>
  </si>
  <si>
    <t>High risk: secure remote access for critical users during remote-only operations depends on informal practices or individual knowledge. Disruption may expose system outage, data unavailability, excessive RTO/RPO and inability to restore critical technology services and slow recovery.</t>
  </si>
  <si>
    <t>Elevated risk: secure remote access for critical users during remote-only operations is partially controlled, but coverage, evidence or testing is inconsistent. Crisis response may be fragmented.</t>
  </si>
  <si>
    <t>Moderate risk: secure remote access for critical users during remote-only operations is documented and owned, but measurement, stress testing and integration with dependent processes need strengthening.</t>
  </si>
  <si>
    <t>Residual risk: secure remote access for critical users during remote-only operations is measured and reviewed, but monitoring, automation or scenario testing should be improved to prevent maturity drift.</t>
  </si>
  <si>
    <t>Low residual risk: secure remote access for critical users during remote-only operations is mature and crisis-tested. Maintain monitoring, evidence, ownership and periodic stress testing.</t>
  </si>
  <si>
    <t>Create an immediate risk owner, minimum control baseline and fallback procedure for secure remote access for critical users during remote-only operations. Add it to the crisis risk register and collect first evidence.</t>
  </si>
  <si>
    <t>Document secure remote access for critical users during remote-only operations, assign RACI, define minimum controls and KPIs, and validate coverage across key sites, teams or systems.</t>
  </si>
  <si>
    <t>Standardize secure remote access for critical users during remote-only operations, close coverage gaps, train accountable roles and connect controls to the relevant crisis scenarios and continuity plans.</t>
  </si>
  <si>
    <t>Measure and test secure remote access for critical users during remote-only operations, run tabletop or operational stress tests, integrate it with dependent processes and update crisis playbooks.</t>
  </si>
  <si>
    <t>Sustain maturity for secure remote access for critical users during remote-only operations: keep evidence current, monitor drift, benchmark externally and refresh risk tests after organizational, system or market changes.</t>
  </si>
  <si>
    <t>Immature capability for endpoint inventory, patching, encryption, backup and remote management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</si>
  <si>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endpoint inventory, patching, encryption, backup and remote management.</t>
  </si>
  <si>
    <t>Severe risk: endpoint inventory, patching, encryption, backup and remote management is not reliably controlled. During IT outage; Cloud outage; Data loss; Cyberattack, the organization may face system outage, data unavailability, excessive RTO/RPO and inability to restore critical technology services with limited visibility or accountability.</t>
  </si>
  <si>
    <t>High risk: endpoint inventory, patching, encryption, backup and remote management depends on informal practices or individual knowledge. Disruption may expose system outage, data unavailability, excessive RTO/RPO and inability to restore critical technology services and slow recovery.</t>
  </si>
  <si>
    <t>Elevated risk: endpoint inventory, patching, encryption, backup and remote management is partially controlled, but coverage, evidence or testing is inconsistent. Crisis response may be fragmented.</t>
  </si>
  <si>
    <t>Moderate risk: endpoint inventory, patching, encryption, backup and remote management is documented and owned, but measurement, stress testing and integration with dependent processes need strengthening.</t>
  </si>
  <si>
    <t>Residual risk: endpoint inventory, patching, encryption, backup and remote management is measured and reviewed, but monitoring, automation or scenario testing should be improved to prevent maturity drift.</t>
  </si>
  <si>
    <t>Low residual risk: endpoint inventory, patching, encryption, backup and remote management is mature and crisis-tested. Maintain monitoring, evidence, ownership and periodic stress testing.</t>
  </si>
  <si>
    <t>Create an immediate risk owner, minimum control baseline and fallback procedure for endpoint inventory, patching, encryption, backup and remote management. Add it to the crisis risk register and collect first evidence.</t>
  </si>
  <si>
    <t>Document endpoint inventory, patching, encryption, backup and remote management, assign RACI, define minimum controls and KPIs, and validate coverage across key sites, teams or systems.</t>
  </si>
  <si>
    <t>Standardize endpoint inventory, patching, encryption, backup and remote management, close coverage gaps, train accountable roles and connect controls to the relevant crisis scenarios and continuity plans.</t>
  </si>
  <si>
    <t>Measure and test endpoint inventory, patching, encryption, backup and remote management, run tabletop or operational stress tests, integrate it with dependent processes and update crisis playbooks.</t>
  </si>
  <si>
    <t>Sustain maturity for endpoint inventory, patching, encryption, backup and remote management: keep evidence current, monitor drift, benchmark externally and refresh risk tests after organizational, system or market changes.</t>
  </si>
  <si>
    <t>Immature capability for license continuity for software, cloud services and critical SaaS tools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</si>
  <si>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license continuity for software, cloud services and critical SaaS tools.</t>
  </si>
  <si>
    <t>Severe risk: license continuity for software, cloud services and critical SaaS tools is not reliably controlled. During IT outage; Cloud outage; Data loss; Cyberattack, the organization may face system outage, data unavailability, excessive RTO/RPO and inability to restore critical technology services with limited visibility or accountability.</t>
  </si>
  <si>
    <t>High risk: license continuity for software, cloud services and critical SaaS tools depends on informal practices or individual knowledge. Disruption may expose system outage, data unavailability, excessive RTO/RPO and inability to restore critical technology services and slow recovery.</t>
  </si>
  <si>
    <t>Elevated risk: license continuity for software, cloud services and critical SaaS tools is partially controlled, but coverage, evidence or testing is inconsistent. Crisis response may be fragmented.</t>
  </si>
  <si>
    <t>Moderate risk: license continuity for software, cloud services and critical SaaS tools is documented and owned, but measurement, stress testing and integration with dependent processes need strengthening.</t>
  </si>
  <si>
    <t>Residual risk: license continuity for software, cloud services and critical SaaS tools is measured and reviewed, but monitoring, automation or scenario testing should be improved to prevent maturity drift.</t>
  </si>
  <si>
    <t>Low residual risk: license continuity for software, cloud services and critical SaaS tools is mature and crisis-tested. Maintain monitoring, evidence, ownership and periodic stress testing.</t>
  </si>
  <si>
    <t>Create an immediate risk owner, minimum control baseline and fallback procedure for license continuity for software, cloud services and critical SaaS tools. Add it to the crisis risk register and collect first evidence.</t>
  </si>
  <si>
    <t>Document license continuity for software, cloud services and critical SaaS tools, assign RACI, define minimum controls and KPIs, and validate coverage across key sites, teams or systems.</t>
  </si>
  <si>
    <t>Standardize license continuity for software, cloud services and critical SaaS tools, close coverage gaps, train accountable roles and connect controls to the relevant crisis scenarios and continuity plans.</t>
  </si>
  <si>
    <t>Measure and test license continuity for software, cloud services and critical SaaS tools, run tabletop or operational stress tests, integrate it with dependent processes and update crisis playbooks.</t>
  </si>
  <si>
    <t>Sustain maturity for license continuity for software, cloud services and critical SaaS tools: keep evidence current, monitor drift, benchmark externally and refresh risk tests after organizational, system or market changes.</t>
  </si>
  <si>
    <t>Immature capability for critical SaaS assessment for availability, export, backup, admin access, integrations and contract continuity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</si>
  <si>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critical SaaS assessment for availability, export, backup, admin access, integrations and contract continuity.</t>
  </si>
  <si>
    <t>Severe risk: critical SaaS assessment for availability, export, backup, admin access, integrations and contract continuity is not reliably controlled. During IT outage; Cloud outage; Data loss; Cyberattack, the organization may face system outage, data unavailability, excessive RTO/RPO and inability to restore critical technology services with limited visibility or accountability.</t>
  </si>
  <si>
    <t>High risk: critical SaaS assessment for availability, export, backup, admin access, integrations and contract continuity depends on informal practices or individual knowledge. Disruption may expose system outage, data unavailability, excessive RTO/RPO and inability to restore critical technology services and slow recovery.</t>
  </si>
  <si>
    <t>Elevated risk: critical SaaS assessment for availability, export, backup, admin access, integrations and contract continuity is partially controlled, but coverage, evidence or testing is inconsistent. Crisis response may be fragmented.</t>
  </si>
  <si>
    <t>Moderate risk: critical SaaS assessment for availability, export, backup, admin access, integrations and contract continuity is documented and owned, but measurement, stress testing and integration with dependent processes need strengthening.</t>
  </si>
  <si>
    <t>Residual risk: critical SaaS assessment for availability, export, backup, admin access, integrations and contract continuity is measured and reviewed, but monitoring, automation or scenario testing should be improved to prevent maturity drift.</t>
  </si>
  <si>
    <t>Low residual risk: critical SaaS assessment for availability, export, backup, admin access, integrations and contract continuity is mature and crisis-tested. Maintain monitoring, evidence, ownership and periodic stress testing.</t>
  </si>
  <si>
    <t>Create an immediate risk owner, minimum control baseline and fallback procedure for critical SaaS assessment for availability, export, backup, admin access, integrations and contract continuity. Add it to the crisis risk register and collect first evidence.</t>
  </si>
  <si>
    <t>Document critical SaaS assessment for availability, export, backup, admin access, integrations and contract continuity, assign RACI, define minimum controls and KPIs, and validate coverage across key sites, teams or systems.</t>
  </si>
  <si>
    <t>Standardize critical SaaS assessment for availability, export, backup, admin access, integrations and contract continuity, close coverage gaps, train accountable roles and connect controls to the relevant crisis scenarios and continuity plans.</t>
  </si>
  <si>
    <t>Measure and test critical SaaS assessment for availability, export, backup, admin access, integrations and contract continuity, run tabletop or operational stress tests, integrate it with dependent processes and update crisis playbooks.</t>
  </si>
  <si>
    <t>Sustain maturity for critical SaaS assessment for availability, export, backup, admin access, integrations and contract continuity: keep evidence current, monitor drift, benchmark externally and refresh risk tests after organizational, system or market changes.</t>
  </si>
  <si>
    <t>Immature capability for SaaS data backup or exportability if provider or account becomes unavailable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</si>
  <si>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SaaS data backup or exportability if provider or account becomes unavailable.</t>
  </si>
  <si>
    <t>Severe risk: SaaS data backup or exportability if provider or account becomes unavailable is not reliably controlled. During IT outage; Cloud outage; Data loss; Cyberattack, the organization may face system outage, data unavailability, excessive RTO/RPO and inability to restore critical technology services with limited visibility or accountability.</t>
  </si>
  <si>
    <t>High risk: SaaS data backup or exportability if provider or account becomes unavailable depends on informal practices or individual knowledge. Disruption may expose system outage, data unavailability, excessive RTO/RPO and inability to restore critical technology services and slow recovery.</t>
  </si>
  <si>
    <t>Elevated risk: SaaS data backup or exportability if provider or account becomes unavailable is partially controlled, but coverage, evidence or testing is inconsistent. Crisis response may be fragmented.</t>
  </si>
  <si>
    <t>Moderate risk: SaaS data backup or exportability if provider or account becomes unavailable is documented and owned, but measurement, stress testing and integration with dependent processes need strengthening.</t>
  </si>
  <si>
    <t>Residual risk: SaaS data backup or exportability if provider or account becomes unavailable is measured and reviewed, but monitoring, automation or scenario testing should be improved to prevent maturity drift.</t>
  </si>
  <si>
    <t>Low residual risk: SaaS data backup or exportability if provider or account becomes unavailable is mature and crisis-tested. Maintain monitoring, evidence, ownership and periodic stress testing.</t>
  </si>
  <si>
    <t>Create an immediate risk owner, minimum control baseline and fallback procedure for SaaS data backup or exportability if provider or account becomes unavailable. Add it to the crisis risk register and collect first evidence.</t>
  </si>
  <si>
    <t>Document SaaS data backup or exportability if provider or account becomes unavailable, assign RACI, define minimum controls and KPIs, and validate coverage across key sites, teams or systems.</t>
  </si>
  <si>
    <t>Standardize SaaS data backup or exportability if provider or account becomes unavailable, close coverage gaps, train accountable roles and connect controls to the relevant crisis scenarios and continuity plans.</t>
  </si>
  <si>
    <t>Measure and test SaaS data backup or exportability if provider or account becomes unavailable, run tabletop or operational stress tests, integrate it with dependent processes and update crisis playbooks.</t>
  </si>
  <si>
    <t>Sustain maturity for SaaS data backup or exportability if provider or account becomes unavailable: keep evidence current, monitor drift, benchmark externally and refresh risk tests after organizational, system or market changes.</t>
  </si>
  <si>
    <t>Immature capability for API, ETL, middleware, file exchange and manual integration catalog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</si>
  <si>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API, ETL, middleware, file exchange and manual integration catalog.</t>
  </si>
  <si>
    <t>Severe risk: API, ETL, middleware, file exchange and manual integration catalog is not reliably controlled. During IT outage; Cloud outage; Data loss; Cyberattack, the organization may face system outage, data unavailability, excessive RTO/RPO and inability to restore critical technology services with limited visibility or accountability.</t>
  </si>
  <si>
    <t>High risk: API, ETL, middleware, file exchange and manual integration catalog depends on informal practices or individual knowledge. Disruption may expose system outage, data unavailability, excessive RTO/RPO and inability to restore critical technology services and slow recovery.</t>
  </si>
  <si>
    <t>Elevated risk: API, ETL, middleware, file exchange and manual integration catalog is partially controlled, but coverage, evidence or testing is inconsistent. Crisis response may be fragmented.</t>
  </si>
  <si>
    <t>Moderate risk: API, ETL, middleware, file exchange and manual integration catalog is documented and owned, but measurement, stress testing and integration with dependent processes need strengthening.</t>
  </si>
  <si>
    <t>Residual risk: API, ETL, middleware, file exchange and manual integration catalog is measured and reviewed, but monitoring, automation or scenario testing should be improved to prevent maturity drift.</t>
  </si>
  <si>
    <t>Low residual risk: API, ETL, middleware, file exchange and manual integration catalog is mature and crisis-tested. Maintain monitoring, evidence, ownership and periodic stress testing.</t>
  </si>
  <si>
    <t>Create an immediate risk owner, minimum control baseline and fallback procedure for API, ETL, middleware, file exchange and manual integration catalog. Add it to the crisis risk register and collect first evidence.</t>
  </si>
  <si>
    <t>Document API, ETL, middleware, file exchange and manual integration catalog, assign RACI, define minimum controls and KPIs, and validate coverage across key sites, teams or systems.</t>
  </si>
  <si>
    <t>Standardize API, ETL, middleware, file exchange and manual integration catalog, close coverage gaps, train accountable roles and connect controls to the relevant crisis scenarios and continuity plans.</t>
  </si>
  <si>
    <t>Measure and test API, ETL, middleware, file exchange and manual integration catalog, run tabletop or operational stress tests, integrate it with dependent processes and update crisis playbooks.</t>
  </si>
  <si>
    <t>Sustain maturity for API, ETL, middleware, file exchange and manual integration catalog: keep evidence current, monitor drift, benchmark externally and refresh risk tests after organizational, system or market changes.</t>
  </si>
  <si>
    <t>Immature capability for integration monitoring, retry, queue, reconciliation and fallback procedures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</si>
  <si>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integration monitoring, retry, queue, reconciliation and fallback procedures.</t>
  </si>
  <si>
    <t>Severe risk: integration monitoring, retry, queue, reconciliation and fallback procedures is not reliably controlled. During IT outage; Cloud outage; Data loss; Cyberattack, the organization may face system outage, data unavailability, excessive RTO/RPO and inability to restore critical technology services with limited visibility or accountability.</t>
  </si>
  <si>
    <t>High risk: integration monitoring, retry, queue, reconciliation and fallback procedures depends on informal practices or individual knowledge. Disruption may expose system outage, data unavailability, excessive RTO/RPO and inability to restore critical technology services and slow recovery.</t>
  </si>
  <si>
    <t>Elevated risk: integration monitoring, retry, queue, reconciliation and fallback procedures is partially controlled, but coverage, evidence or testing is inconsistent. Crisis response may be fragmented.</t>
  </si>
  <si>
    <t>Moderate risk: integration monitoring, retry, queue, reconciliation and fallback procedures is documented and owned, but measurement, stress testing and integration with dependent processes need strengthening.</t>
  </si>
  <si>
    <t>Residual risk: integration monitoring, retry, queue, reconciliation and fallback procedures is measured and reviewed, but monitoring, automation or scenario testing should be improved to prevent maturity drift.</t>
  </si>
  <si>
    <t>Low residual risk: integration monitoring, retry, queue, reconciliation and fallback procedures is mature and crisis-tested. Maintain monitoring, evidence, ownership and periodic stress testing.</t>
  </si>
  <si>
    <t>Create an immediate risk owner, minimum control baseline and fallback procedure for integration monitoring, retry, queue, reconciliation and fallback procedures. Add it to the crisis risk register and collect first evidence.</t>
  </si>
  <si>
    <t>Document integration monitoring, retry, queue, reconciliation and fallback procedures, assign RACI, define minimum controls and KPIs, and validate coverage across key sites, teams or systems.</t>
  </si>
  <si>
    <t>Standardize integration monitoring, retry, queue, reconciliation and fallback procedures, close coverage gaps, train accountable roles and connect controls to the relevant crisis scenarios and continuity plans.</t>
  </si>
  <si>
    <t>Measure and test integration monitoring, retry, queue, reconciliation and fallback procedures, run tabletop or operational stress tests, integrate it with dependent processes and update crisis playbooks.</t>
  </si>
  <si>
    <t>Sustain maturity for integration monitoring, retry, queue, reconciliation and fallback procedures: keep evidence current, monitor drift, benchmark externally and refresh risk tests after organizational, system or market changes.</t>
  </si>
  <si>
    <t>Immature capability for configuration management and version control for infrastructure, cloud and applications may lead to system outage, data unavailability, excessive RTO/RPO and inability to restore critical technology services during IT outage; Cloud outage; Data loss; Cyberattack.</t>
  </si>
  <si>
    <t>Low maturity, weak ownership, incomplete evidence, insufficient testing and poor integration with crisis-management routines for configuration management and version control for infrastructure, cloud and applications.</t>
  </si>
  <si>
    <t>Severe risk: configuration management and version control for infrastructure, cloud and applications is not reliably controlled. During IT outage; Cloud outage; Data loss; Cyberattack, the organization may face system outage, data unavailability, excessive RTO/RPO and inability to restore critical technology services with limited visibility or accountability.</t>
  </si>
  <si>
    <t>High risk: configuration management and version control for infrastructure, cloud and applications depends on informal practices or individual knowledge. Disruption may expose system outage, data unavailability, excessive RTO/RPO and inability to restore critical technology services and slow recovery.</t>
  </si>
  <si>
    <t>Elevated risk: configuration management and version control for infrastructure, cloud and applications is partially controlled, but coverage, evidence or testing is inconsistent. Crisis response may be fragmented.</t>
  </si>
  <si>
    <t>Moderate risk: configuration management and version control for infrastructure, cloud and applications is documented and owned, but measurement, stress testing and integration with dependent processes need strengthening.</t>
  </si>
  <si>
    <t>Residual risk: configuration management and version control for infrastructure, cloud and applications is measured and reviewed, but monitoring, automation or scenario testing should be improved to prevent maturity drift.</t>
  </si>
  <si>
    <t>Low residual risk: configuration management and version control for infrastructure, cloud and applications is mature and crisis-tested. Maintain monitoring, evidence, ownership and periodic stress testing.</t>
  </si>
  <si>
    <t>Create an immediate risk owner, minimum control baseline and fallback procedure for configuration management and version control for infrastructure, cloud and applications. Add it to the crisis risk register and collect first evidence.</t>
  </si>
  <si>
    <t>Document configuration management and version control for infrastructure, cloud and applications, assign RACI, define minimum controls and KPIs, and validate coverage across key sites, teams or systems.</t>
  </si>
  <si>
    <t>Standardize configuration management and version control for infrastructure, cloud and applications, close coverage gaps, train accountable roles and connect controls to the relevant crisis scenarios and continuity plans.</t>
  </si>
  <si>
    <t>Measure and test configuration management and version control for infrastructure, cloud and applications, run tabletop or operational stress tests, integrate it with dependent processes and update crisis playbooks.</t>
  </si>
  <si>
    <t>Sustain maturity for configuration management and version control for infrastructure, cloud and applications: keep evidence current, monitor drift, benchmark externally and refresh risk tests after organizational, system or market changes.</t>
  </si>
  <si>
    <t>Immature capability for ERP process coverage for finance, procurement, inventory, orders, production or project accounting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</si>
  <si>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process coverage for finance, procurement, inventory, orders, production or project accounting.</t>
  </si>
  <si>
    <t>Severe risk: ERP process coverage for finance, procurement, inventory, orders, production or project accounting is not reliably controlled. During IT outage; Decision failure; Process disruption, the organization may face ERP, CRM, MES or HRMS disruption, broken integrations and manual workarounds that fail under stress with limited visibility or accountability.</t>
  </si>
  <si>
    <t>High risk: ERP process coverage for finance, procurement, inventory, orders, production or project accounting depends on informal practices or individual knowledge. Disruption may expose ERP, CRM, MES or HRMS disruption, broken integrations and manual workarounds that fail under stress and slow recovery.</t>
  </si>
  <si>
    <t>Elevated risk: ERP process coverage for finance, procurement, inventory, orders, production or project accounting is partially controlled, but coverage, evidence or testing is inconsistent. Crisis response may be fragmented.</t>
  </si>
  <si>
    <t>Moderate risk: ERP process coverage for finance, procurement, inventory, orders, production or project accounting is documented and owned, but measurement, stress testing and integration with dependent processes need strengthening.</t>
  </si>
  <si>
    <t>Residual risk: ERP process coverage for finance, procurement, inventory, orders, production or project accounting is measured and reviewed, but monitoring, automation or scenario testing should be improved to prevent maturity drift.</t>
  </si>
  <si>
    <t>Low residual risk: ERP process coverage for finance, procurement, inventory, orders, production or project accounting is mature and crisis-tested. Maintain monitoring, evidence, ownership and periodic stress testing.</t>
  </si>
  <si>
    <t>Create an immediate risk owner, minimum control baseline and fallback procedure for ERP process coverage for finance, procurement, inventory, orders, production or project accounting. Add it to the crisis risk register and collect first evidence.</t>
  </si>
  <si>
    <t>Document ERP process coverage for finance, procurement, inventory, orders, production or project accounting, assign RACI, define minimum controls and KPIs, and validate coverage across key sites, teams or systems.</t>
  </si>
  <si>
    <t>Standardize ERP process coverage for finance, procurement, inventory, orders, production or project accounting, close coverage gaps, train accountable roles and connect controls to the relevant crisis scenarios and continuity plans.</t>
  </si>
  <si>
    <t>Measure and test ERP process coverage for finance, procurement, inventory, orders, production or project accounting, run tabletop or operational stress tests, integrate it with dependent processes and update crisis playbooks.</t>
  </si>
  <si>
    <t>Sustain maturity for ERP process coverage for finance, procurement, inventory, orders, production or project accounting: keep evidence current, monitor drift, benchmark externally and refresh risk tests after organizational, system or market changes.</t>
  </si>
  <si>
    <t>Immature capability for ERP master data governance for customers, suppliers, items, BOMs, chart of accounts, cost centers and pricing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</si>
  <si>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master data governance for customers, suppliers, items, BOMs, chart of accounts, cost centers and pricing.</t>
  </si>
  <si>
    <t>Severe risk: ERP master data governance for customers, suppliers, items, BOMs, chart of accounts, cost centers and pricing is not reliably controlled. During IT outage; Decision failure; Process disruption, the organization may face ERP, CRM, MES or HRMS disruption, broken integrations and manual workarounds that fail under stress with limited visibility or accountability.</t>
  </si>
  <si>
    <t>High risk: ERP master data governance for customers, suppliers, items, BOMs, chart of accounts, cost centers and pricing depends on informal practices or individual knowledge. Disruption may expose ERP, CRM, MES or HRMS disruption, broken integrations and manual workarounds that fail under stress and slow recovery.</t>
  </si>
  <si>
    <t>Elevated risk: ERP master data governance for customers, suppliers, items, BOMs, chart of accounts, cost centers and pricing is partially controlled, but coverage, evidence or testing is inconsistent. Crisis response may be fragmented.</t>
  </si>
  <si>
    <t>Moderate risk: ERP master data governance for customers, suppliers, items, BOMs, chart of accounts, cost centers and pricing is documented and owned, but measurement, stress testing and integration with dependent processes need strengthening.</t>
  </si>
  <si>
    <t>Residual risk: ERP master data governance for customers, suppliers, items, BOMs, chart of accounts, cost centers and pricing is measured and reviewed, but monitoring, automation or scenario testing should be improved to prevent maturity drift.</t>
  </si>
  <si>
    <t>Low residual risk: ERP master data governance for customers, suppliers, items, BOMs, chart of accounts, cost centers and pricing is mature and crisis-tested. Maintain monitoring, evidence, ownership and periodic stress testing.</t>
  </si>
  <si>
    <t>Create an immediate risk owner, minimum control baseline and fallback procedure for ERP master data governance for customers, suppliers, items, BOMs, chart of accounts, cost centers and pricing. Add it to the crisis risk register and collect first evidence.</t>
  </si>
  <si>
    <t>Document ERP master data governance for customers, suppliers, items, BOMs, chart of accounts, cost centers and pricing, assign RACI, define minimum controls and KPIs, and validate coverage across key sites, teams or systems.</t>
  </si>
  <si>
    <t>Standardize ERP master data governance for customers, suppliers, items, BOMs, chart of accounts, cost centers and pricing, close coverage gaps, train accountable roles and connect controls to the relevant crisis scenarios and continuity plans.</t>
  </si>
  <si>
    <t>Measure and test ERP master data governance for customers, suppliers, items, BOMs, chart of accounts, cost centers and pricing, run tabletop or operational stress tests, integrate it with dependent processes and update crisis playbooks.</t>
  </si>
  <si>
    <t>Sustain maturity for ERP master data governance for customers, suppliers, items, BOMs, chart of accounts, cost centers and pricing: keep evidence current, monitor drift, benchmark externally and refresh risk tests after organizational, system or market changes.</t>
  </si>
  <si>
    <t>Immature capability for ERP access controls, approvals and segregation of duties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</si>
  <si>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access controls, approvals and segregation of duties.</t>
  </si>
  <si>
    <t>Severe risk: ERP access controls, approvals and segregation of duties is not reliably controlled. During IT outage; Decision failure; Process disruption, the organization may face ERP, CRM, MES or HRMS disruption, broken integrations and manual workarounds that fail under stress with limited visibility or accountability.</t>
  </si>
  <si>
    <t>High risk: ERP access controls, approvals and segregation of duties depends on informal practices or individual knowledge. Disruption may expose ERP, CRM, MES or HRMS disruption, broken integrations and manual workarounds that fail under stress and slow recovery.</t>
  </si>
  <si>
    <t>Elevated risk: ERP access controls, approvals and segregation of duties is partially controlled, but coverage, evidence or testing is inconsistent. Crisis response may be fragmented.</t>
  </si>
  <si>
    <t>Moderate risk: ERP access controls, approvals and segregation of duties is documented and owned, but measurement, stress testing and integration with dependent processes need strengthening.</t>
  </si>
  <si>
    <t>Residual risk: ERP access controls, approvals and segregation of duties is measured and reviewed, but monitoring, automation or scenario testing should be improved to prevent maturity drift.</t>
  </si>
  <si>
    <t>Low residual risk: ERP access controls, approvals and segregation of duties is mature and crisis-tested. Maintain monitoring, evidence, ownership and periodic stress testing.</t>
  </si>
  <si>
    <t>Create an immediate risk owner, minimum control baseline and fallback procedure for ERP access controls, approvals and segregation of duties. Add it to the crisis risk register and collect first evidence.</t>
  </si>
  <si>
    <t>Document ERP access controls, approvals and segregation of duties, assign RACI, define minimum controls and KPIs, and validate coverage across key sites, teams or systems.</t>
  </si>
  <si>
    <t>Standardize ERP access controls, approvals and segregation of duties, close coverage gaps, train accountable roles and connect controls to the relevant crisis scenarios and continuity plans.</t>
  </si>
  <si>
    <t>Measure and test ERP access controls, approvals and segregation of duties, run tabletop or operational stress tests, integrate it with dependent processes and update crisis playbooks.</t>
  </si>
  <si>
    <t>Sustain maturity for ERP access controls, approvals and segregation of duties: keep evidence current, monitor drift, benchmark externally and refresh risk tests after organizational, system or market changes.</t>
  </si>
  <si>
    <t>Immature capability for ERP continuity with RTO, RPO, backup, vendor support and manual fallback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</si>
  <si>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continuity with RTO, RPO, backup, vendor support and manual fallback.</t>
  </si>
  <si>
    <t>Severe risk: ERP continuity with RTO, RPO, backup, vendor support and manual fallback is not reliably controlled. During IT outage; Decision failure; Process disruption, the organization may face ERP, CRM, MES or HRMS disruption, broken integrations and manual workarounds that fail under stress with limited visibility or accountability.</t>
  </si>
  <si>
    <t>High risk: ERP continuity with RTO, RPO, backup, vendor support and manual fallback depends on informal practices or individual knowledge. Disruption may expose ERP, CRM, MES or HRMS disruption, broken integrations and manual workarounds that fail under stress and slow recovery.</t>
  </si>
  <si>
    <t>Elevated risk: ERP continuity with RTO, RPO, backup, vendor support and manual fallback is partially controlled, but coverage, evidence or testing is inconsistent. Crisis response may be fragmented.</t>
  </si>
  <si>
    <t>Moderate risk: ERP continuity with RTO, RPO, backup, vendor support and manual fallback is documented and owned, but measurement, stress testing and integration with dependent processes need strengthening.</t>
  </si>
  <si>
    <t>Residual risk: ERP continuity with RTO, RPO, backup, vendor support and manual fallback is measured and reviewed, but monitoring, automation or scenario testing should be improved to prevent maturity drift.</t>
  </si>
  <si>
    <t>Low residual risk: ERP continuity with RTO, RPO, backup, vendor support and manual fallback is mature and crisis-tested. Maintain monitoring, evidence, ownership and periodic stress testing.</t>
  </si>
  <si>
    <t>Create an immediate risk owner, minimum control baseline and fallback procedure for ERP continuity with RTO, RPO, backup, vendor support and manual fallback. Add it to the crisis risk register and collect first evidence.</t>
  </si>
  <si>
    <t>Document ERP continuity with RTO, RPO, backup, vendor support and manual fallback, assign RACI, define minimum controls and KPIs, and validate coverage across key sites, teams or systems.</t>
  </si>
  <si>
    <t>Standardize ERP continuity with RTO, RPO, backup, vendor support and manual fallback, close coverage gaps, train accountable roles and connect controls to the relevant crisis scenarios and continuity plans.</t>
  </si>
  <si>
    <t>Measure and test ERP continuity with RTO, RPO, backup, vendor support and manual fallback, run tabletop or operational stress tests, integrate it with dependent processes and update crisis playbooks.</t>
  </si>
  <si>
    <t>Sustain maturity for ERP continuity with RTO, RPO, backup, vendor support and manual fallback: keep evidence current, monitor drift, benchmark externally and refresh risk tests after organizational, system or market changes.</t>
  </si>
  <si>
    <t>Immature capability for ERP workflow for procure-to-pay, order-to-cash, record-to-report and plan-to-produce where relevant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</si>
  <si>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ERP workflow for procure-to-pay, order-to-cash, record-to-report and plan-to-produce where relevant.</t>
  </si>
  <si>
    <t>Severe risk: ERP workflow for procure-to-pay, order-to-cash, record-to-report and plan-to-produce where relevant is not reliably controlled. During IT outage; Decision failure; Process disruption, the organization may face ERP, CRM, MES or HRMS disruption, broken integrations and manual workarounds that fail under stress with limited visibility or accountability.</t>
  </si>
  <si>
    <t>High risk: ERP workflow for procure-to-pay, order-to-cash, record-to-report and plan-to-produce where relevant depends on informal practices or individual knowledge. Disruption may expose ERP, CRM, MES or HRMS disruption, broken integrations and manual workarounds that fail under stress and slow recovery.</t>
  </si>
  <si>
    <t>Elevated risk: ERP workflow for procure-to-pay, order-to-cash, record-to-report and plan-to-produce where relevant is partially controlled, but coverage, evidence or testing is inconsistent. Crisis response may be fragmented.</t>
  </si>
  <si>
    <t>Moderate risk: ERP workflow for procure-to-pay, order-to-cash, record-to-report and plan-to-produce where relevant is documented and owned, but measurement, stress testing and integration with dependent processes need strengthening.</t>
  </si>
  <si>
    <t>Residual risk: ERP workflow for procure-to-pay, order-to-cash, record-to-report and plan-to-produce where relevant is measured and reviewed, but monitoring, automation or scenario testing should be improved to prevent maturity drift.</t>
  </si>
  <si>
    <t>Low residual risk: ERP workflow for procure-to-pay, order-to-cash, record-to-report and plan-to-produce where relevant is mature and crisis-tested. Maintain monitoring, evidence, ownership and periodic stress testing.</t>
  </si>
  <si>
    <t>Create an immediate risk owner, minimum control baseline and fallback procedure for ERP workflow for procure-to-pay, order-to-cash, record-to-report and plan-to-produce where relevant. Add it to the crisis risk register and collect first evidence.</t>
  </si>
  <si>
    <t>Document ERP workflow for procure-to-pay, order-to-cash, record-to-report and plan-to-produce where relevant, assign RACI, define minimum controls and KPIs, and validate coverage across key sites, teams or systems.</t>
  </si>
  <si>
    <t>Standardize ERP workflow for procure-to-pay, order-to-cash, record-to-report and plan-to-produce where relevant, close coverage gaps, train accountable roles and connect controls to the relevant crisis scenarios and continuity plans.</t>
  </si>
  <si>
    <t>Measure and test ERP workflow for procure-to-pay, order-to-cash, record-to-report and plan-to-produce where relevant, run tabletop or operational stress tests, integrate it with dependent processes and update crisis playbooks.</t>
  </si>
  <si>
    <t>Sustain maturity for ERP workflow for procure-to-pay, order-to-cash, record-to-report and plan-to-produce where relevant: keep evidence current, monitor drift, benchmark externally and refresh risk tests after organizational, system or market changes.</t>
  </si>
  <si>
    <t>Immature capability for CRM process coverage for lead-to-cash, customer ownership, pipeline, forecast and account management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</si>
  <si>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CRM process coverage for lead-to-cash, customer ownership, pipeline, forecast and account management.</t>
  </si>
  <si>
    <t>Severe risk: CRM process coverage for lead-to-cash, customer ownership, pipeline, forecast and account management is not reliably controlled. During IT outage; Decision failure; Process disruption, the organization may face ERP, CRM, MES or HRMS disruption, broken integrations and manual workarounds that fail under stress with limited visibility or accountability.</t>
  </si>
  <si>
    <t>High risk: CRM process coverage for lead-to-cash, customer ownership, pipeline, forecast and account management depends on informal practices or individual knowledge. Disruption may expose ERP, CRM, MES or HRMS disruption, broken integrations and manual workarounds that fail under stress and slow recovery.</t>
  </si>
  <si>
    <t>Elevated risk: CRM process coverage for lead-to-cash, customer ownership, pipeline, forecast and account management is partially controlled, but coverage, evidence or testing is inconsistent. Crisis response may be fragmented.</t>
  </si>
  <si>
    <t>Moderate risk: CRM process coverage for lead-to-cash, customer ownership, pipeline, forecast and account management is documented and owned, but measurement, stress testing and integration with dependent processes need strengthening.</t>
  </si>
  <si>
    <t>Residual risk: CRM process coverage for lead-to-cash, customer ownership, pipeline, forecast and account management is measured and reviewed, but monitoring, automation or scenario testing should be improved to prevent maturity drift.</t>
  </si>
  <si>
    <t>Low residual risk: CRM process coverage for lead-to-cash, customer ownership, pipeline, forecast and account management is mature and crisis-tested. Maintain monitoring, evidence, ownership and periodic stress testing.</t>
  </si>
  <si>
    <t>Create an immediate risk owner, minimum control baseline and fallback procedure for CRM process coverage for lead-to-cash, customer ownership, pipeline, forecast and account management. Add it to the crisis risk register and collect first evidence.</t>
  </si>
  <si>
    <t>Document CRM process coverage for lead-to-cash, customer ownership, pipeline, forecast and account management, assign RACI, define minimum controls and KPIs, and validate coverage across key sites, teams or systems.</t>
  </si>
  <si>
    <t>Standardize CRM process coverage for lead-to-cash, customer ownership, pipeline, forecast and account management, close coverage gaps, train accountable roles and connect controls to the relevant crisis scenarios and continuity plans.</t>
  </si>
  <si>
    <t>Measure and test CRM process coverage for lead-to-cash, customer ownership, pipeline, forecast and account management, run tabletop or operational stress tests, integrate it with dependent processes and update crisis playbooks.</t>
  </si>
  <si>
    <t>Sustain maturity for CRM process coverage for lead-to-cash, customer ownership, pipeline, forecast and account management: keep evidence current, monitor drift, benchmark externally and refresh risk tests after organizational, system or market changes.</t>
  </si>
  <si>
    <t>Immature capability for CRM integration with ERP, billing, support, ecommerce and marketing automation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</si>
  <si>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CRM integration with ERP, billing, support, ecommerce and marketing automation.</t>
  </si>
  <si>
    <t>Severe risk: CRM integration with ERP, billing, support, ecommerce and marketing automation is not reliably controlled. During IT outage; Decision failure; Process disruption, the organization may face ERP, CRM, MES or HRMS disruption, broken integrations and manual workarounds that fail under stress with limited visibility or accountability.</t>
  </si>
  <si>
    <t>High risk: CRM integration with ERP, billing, support, ecommerce and marketing automation depends on informal practices or individual knowledge. Disruption may expose ERP, CRM, MES or HRMS disruption, broken integrations and manual workarounds that fail under stress and slow recovery.</t>
  </si>
  <si>
    <t>Elevated risk: CRM integration with ERP, billing, support, ecommerce and marketing automation is partially controlled, but coverage, evidence or testing is inconsistent. Crisis response may be fragmented.</t>
  </si>
  <si>
    <t>Moderate risk: CRM integration with ERP, billing, support, ecommerce and marketing automation is documented and owned, but measurement, stress testing and integration with dependent processes need strengthening.</t>
  </si>
  <si>
    <t>Residual risk: CRM integration with ERP, billing, support, ecommerce and marketing automation is measured and reviewed, but monitoring, automation or scenario testing should be improved to prevent maturity drift.</t>
  </si>
  <si>
    <t>Low residual risk: CRM integration with ERP, billing, support, ecommerce and marketing automation is mature and crisis-tested. Maintain monitoring, evidence, ownership and periodic stress testing.</t>
  </si>
  <si>
    <t>Create an immediate risk owner, minimum control baseline and fallback procedure for CRM integration with ERP, billing, support, ecommerce and marketing automation. Add it to the crisis risk register and collect first evidence.</t>
  </si>
  <si>
    <t>Document CRM integration with ERP, billing, support, ecommerce and marketing automation, assign RACI, define minimum controls and KPIs, and validate coverage across key sites, teams or systems.</t>
  </si>
  <si>
    <t>Standardize CRM integration with ERP, billing, support, ecommerce and marketing automation, close coverage gaps, train accountable roles and connect controls to the relevant crisis scenarios and continuity plans.</t>
  </si>
  <si>
    <t>Measure and test CRM integration with ERP, billing, support, ecommerce and marketing automation, run tabletop or operational stress tests, integrate it with dependent processes and update crisis playbooks.</t>
  </si>
  <si>
    <t>Sustain maturity for CRM integration with ERP, billing, support, ecommerce and marketing automation: keep evidence current, monitor drift, benchmark externally and refresh risk tests after organizational, system or market changes.</t>
  </si>
  <si>
    <t>Immature capability for ecommerce platform resilience for stock, orders, payments, taxes, fulfilment and customer notifications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</si>
  <si>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ecommerce platform resilience for stock, orders, payments, taxes, fulfilment and customer notifications.</t>
  </si>
  <si>
    <t>Severe risk: ecommerce platform resilience for stock, orders, payments, taxes, fulfilment and customer notifications is not reliably controlled. During IT outage; Decision failure; Process disruption, the organization may face ERP, CRM, MES or HRMS disruption, broken integrations and manual workarounds that fail under stress with limited visibility or accountability.</t>
  </si>
  <si>
    <t>High risk: ecommerce platform resilience for stock, orders, payments, taxes, fulfilment and customer notifications depends on informal practices or individual knowledge. Disruption may expose ERP, CRM, MES or HRMS disruption, broken integrations and manual workarounds that fail under stress and slow recovery.</t>
  </si>
  <si>
    <t>Elevated risk: ecommerce platform resilience for stock, orders, payments, taxes, fulfilment and customer notifications is partially controlled, but coverage, evidence or testing is inconsistent. Crisis response may be fragmented.</t>
  </si>
  <si>
    <t>Moderate risk: ecommerce platform resilience for stock, orders, payments, taxes, fulfilment and customer notifications is documented and owned, but measurement, stress testing and integration with dependent processes need strengthening.</t>
  </si>
  <si>
    <t>Residual risk: ecommerce platform resilience for stock, orders, payments, taxes, fulfilment and customer notifications is measured and reviewed, but monitoring, automation or scenario testing should be improved to prevent maturity drift.</t>
  </si>
  <si>
    <t>Low residual risk: ecommerce platform resilience for stock, orders, payments, taxes, fulfilment and customer notifications is mature and crisis-tested. Maintain monitoring, evidence, ownership and periodic stress testing.</t>
  </si>
  <si>
    <t>Create an immediate risk owner, minimum control baseline and fallback procedure for ecommerce platform resilience for stock, orders, payments, taxes, fulfilment and customer notifications. Add it to the crisis risk register and collect first evidence.</t>
  </si>
  <si>
    <t>Document ecommerce platform resilience for stock, orders, payments, taxes, fulfilment and customer notifications, assign RACI, define minimum controls and KPIs, and validate coverage across key sites, teams or systems.</t>
  </si>
  <si>
    <t>Standardize ecommerce platform resilience for stock, orders, payments, taxes, fulfilment and customer notifications, close coverage gaps, train accountable roles and connect controls to the relevant crisis scenarios and continuity plans.</t>
  </si>
  <si>
    <t>Measure and test ecommerce platform resilience for stock, orders, payments, taxes, fulfilment and customer notifications, run tabletop or operational stress tests, integrate it with dependent processes and update crisis playbooks.</t>
  </si>
  <si>
    <t>Sustain maturity for ecommerce platform resilience for stock, orders, payments, taxes, fulfilment and customer notifications: keep evidence current, monitor drift, benchmark externally and refresh risk tests after organizational, system or market changes.</t>
  </si>
  <si>
    <t>Immature capability for customer portal availability and data accuracy during disruption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</si>
  <si>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customer portal availability and data accuracy during disruption.</t>
  </si>
  <si>
    <t>Severe risk: customer portal availability and data accuracy during disruption is not reliably controlled. During IT outage; Decision failure; Process disruption, the organization may face ERP, CRM, MES or HRMS disruption, broken integrations and manual workarounds that fail under stress with limited visibility or accountability.</t>
  </si>
  <si>
    <t>High risk: customer portal availability and data accuracy during disruption depends on informal practices or individual knowledge. Disruption may expose ERP, CRM, MES or HRMS disruption, broken integrations and manual workarounds that fail under stress and slow recovery.</t>
  </si>
  <si>
    <t>Elevated risk: customer portal availability and data accuracy during disruption is partially controlled, but coverage, evidence or testing is inconsistent. Crisis response may be fragmented.</t>
  </si>
  <si>
    <t>Moderate risk: customer portal availability and data accuracy during disruption is documented and owned, but measurement, stress testing and integration with dependent processes need strengthening.</t>
  </si>
  <si>
    <t>Residual risk: customer portal availability and data accuracy during disruption is measured and reviewed, but monitoring, automation or scenario testing should be improved to prevent maturity drift.</t>
  </si>
  <si>
    <t>Low residual risk: customer portal availability and data accuracy during disruption is mature and crisis-tested. Maintain monitoring, evidence, ownership and periodic stress testing.</t>
  </si>
  <si>
    <t>Create an immediate risk owner, minimum control baseline and fallback procedure for customer portal availability and data accuracy during disruption. Add it to the crisis risk register and collect first evidence.</t>
  </si>
  <si>
    <t>Document customer portal availability and data accuracy during disruption, assign RACI, define minimum controls and KPIs, and validate coverage across key sites, teams or systems.</t>
  </si>
  <si>
    <t>Standardize customer portal availability and data accuracy during disruption, close coverage gaps, train accountable roles and connect controls to the relevant crisis scenarios and continuity plans.</t>
  </si>
  <si>
    <t>Measure and test customer portal availability and data accuracy during disruption, run tabletop or operational stress tests, integrate it with dependent processes and update crisis playbooks.</t>
  </si>
  <si>
    <t>Sustain maturity for customer portal availability and data accuracy during disruption: keep evidence current, monitor drift, benchmark externally and refresh risk tests after organizational, system or market changes.</t>
  </si>
  <si>
    <t>Immature capability for MES support for production orders, execution, traceability, downtime, quality and labor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</si>
  <si>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MES support for production orders, execution, traceability, downtime, quality and labor.</t>
  </si>
  <si>
    <t>Severe risk: MES support for production orders, execution, traceability, downtime, quality and labor is not reliably controlled. During IT outage; Decision failure; Process disruption, the organization may face ERP, CRM, MES or HRMS disruption, broken integrations and manual workarounds that fail under stress with limited visibility or accountability.</t>
  </si>
  <si>
    <t>High risk: MES support for production orders, execution, traceability, downtime, quality and labor depends on informal practices or individual knowledge. Disruption may expose ERP, CRM, MES or HRMS disruption, broken integrations and manual workarounds that fail under stress and slow recovery.</t>
  </si>
  <si>
    <t>Elevated risk: MES support for production orders, execution, traceability, downtime, quality and labor is partially controlled, but coverage, evidence or testing is inconsistent. Crisis response may be fragmented.</t>
  </si>
  <si>
    <t>Moderate risk: MES support for production orders, execution, traceability, downtime, quality and labor is documented and owned, but measurement, stress testing and integration with dependent processes need strengthening.</t>
  </si>
  <si>
    <t>Residual risk: MES support for production orders, execution, traceability, downtime, quality and labor is measured and reviewed, but monitoring, automation or scenario testing should be improved to prevent maturity drift.</t>
  </si>
  <si>
    <t>Low residual risk: MES support for production orders, execution, traceability, downtime, quality and labor is mature and crisis-tested. Maintain monitoring, evidence, ownership and periodic stress testing.</t>
  </si>
  <si>
    <t>Create an immediate risk owner, minimum control baseline and fallback procedure for MES support for production orders, execution, traceability, downtime, quality and labor. Add it to the crisis risk register and collect first evidence.</t>
  </si>
  <si>
    <t>Document MES support for production orders, execution, traceability, downtime, quality and labor, assign RACI, define minimum controls and KPIs, and validate coverage across key sites, teams or systems.</t>
  </si>
  <si>
    <t>Standardize MES support for production orders, execution, traceability, downtime, quality and labor, close coverage gaps, train accountable roles and connect controls to the relevant crisis scenarios and continuity plans.</t>
  </si>
  <si>
    <t>Measure and test MES support for production orders, execution, traceability, downtime, quality and labor, run tabletop or operational stress tests, integrate it with dependent processes and update crisis playbooks.</t>
  </si>
  <si>
    <t>Sustain maturity for MES support for production orders, execution, traceability, downtime, quality and labor: keep evidence current, monitor drift, benchmark externally and refresh risk tests after organizational, system or market changes.</t>
  </si>
  <si>
    <t>Immature capability for MES-ERP integration for orders, inventory consumption, output and quality data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</si>
  <si>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MES-ERP integration for orders, inventory consumption, output and quality data.</t>
  </si>
  <si>
    <t>Severe risk: MES-ERP integration for orders, inventory consumption, output and quality data is not reliably controlled. During IT outage; Decision failure; Process disruption, the organization may face ERP, CRM, MES or HRMS disruption, broken integrations and manual workarounds that fail under stress with limited visibility or accountability.</t>
  </si>
  <si>
    <t>High risk: MES-ERP integration for orders, inventory consumption, output and quality data depends on informal practices or individual knowledge. Disruption may expose ERP, CRM, MES or HRMS disruption, broken integrations and manual workarounds that fail under stress and slow recovery.</t>
  </si>
  <si>
    <t>Elevated risk: MES-ERP integration for orders, inventory consumption, output and quality data is partially controlled, but coverage, evidence or testing is inconsistent. Crisis response may be fragmented.</t>
  </si>
  <si>
    <t>Moderate risk: MES-ERP integration for orders, inventory consumption, output and quality data is documented and owned, but measurement, stress testing and integration with dependent processes need strengthening.</t>
  </si>
  <si>
    <t>Residual risk: MES-ERP integration for orders, inventory consumption, output and quality data is measured and reviewed, but monitoring, automation or scenario testing should be improved to prevent maturity drift.</t>
  </si>
  <si>
    <t>Low residual risk: MES-ERP integration for orders, inventory consumption, output and quality data is mature and crisis-tested. Maintain monitoring, evidence, ownership and periodic stress testing.</t>
  </si>
  <si>
    <t>Create an immediate risk owner, minimum control baseline and fallback procedure for MES-ERP integration for orders, inventory consumption, output and quality data. Add it to the crisis risk register and collect first evidence.</t>
  </si>
  <si>
    <t>Document MES-ERP integration for orders, inventory consumption, output and quality data, assign RACI, define minimum controls and KPIs, and validate coverage across key sites, teams or systems.</t>
  </si>
  <si>
    <t>Standardize MES-ERP integration for orders, inventory consumption, output and quality data, close coverage gaps, train accountable roles and connect controls to the relevant crisis scenarios and continuity plans.</t>
  </si>
  <si>
    <t>Measure and test MES-ERP integration for orders, inventory consumption, output and quality data, run tabletop or operational stress tests, integrate it with dependent processes and update crisis playbooks.</t>
  </si>
  <si>
    <t>Sustain maturity for MES-ERP integration for orders, inventory consumption, output and quality data: keep evidence current, monitor drift, benchmark externally and refresh risk tests after organizational, system or market changes.</t>
  </si>
  <si>
    <t>Immature capability for WMS support for inventory movement, location, status, batch, picking, packing and cycle counts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</si>
  <si>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WMS support for inventory movement, location, status, batch, picking, packing and cycle counts.</t>
  </si>
  <si>
    <t>Severe risk: WMS support for inventory movement, location, status, batch, picking, packing and cycle counts is not reliably controlled. During IT outage; Decision failure; Process disruption, the organization may face ERP, CRM, MES or HRMS disruption, broken integrations and manual workarounds that fail under stress with limited visibility or accountability.</t>
  </si>
  <si>
    <t>High risk: WMS support for inventory movement, location, status, batch, picking, packing and cycle counts depends on informal practices or individual knowledge. Disruption may expose ERP, CRM, MES or HRMS disruption, broken integrations and manual workarounds that fail under stress and slow recovery.</t>
  </si>
  <si>
    <t>Elevated risk: WMS support for inventory movement, location, status, batch, picking, packing and cycle counts is partially controlled, but coverage, evidence or testing is inconsistent. Crisis response may be fragmented.</t>
  </si>
  <si>
    <t>Moderate risk: WMS support for inventory movement, location, status, batch, picking, packing and cycle counts is documented and owned, but measurement, stress testing and integration with dependent processes need strengthening.</t>
  </si>
  <si>
    <t>Residual risk: WMS support for inventory movement, location, status, batch, picking, packing and cycle counts is measured and reviewed, but monitoring, automation or scenario testing should be improved to prevent maturity drift.</t>
  </si>
  <si>
    <t>Low residual risk: WMS support for inventory movement, location, status, batch, picking, packing and cycle counts is mature and crisis-tested. Maintain monitoring, evidence, ownership and periodic stress testing.</t>
  </si>
  <si>
    <t>Create an immediate risk owner, minimum control baseline and fallback procedure for WMS support for inventory movement, location, status, batch, picking, packing and cycle counts. Add it to the crisis risk register and collect first evidence.</t>
  </si>
  <si>
    <t>Document WMS support for inventory movement, location, status, batch, picking, packing and cycle counts, assign RACI, define minimum controls and KPIs, and validate coverage across key sites, teams or systems.</t>
  </si>
  <si>
    <t>Standardize WMS support for inventory movement, location, status, batch, picking, packing and cycle counts, close coverage gaps, train accountable roles and connect controls to the relevant crisis scenarios and continuity plans.</t>
  </si>
  <si>
    <t>Measure and test WMS support for inventory movement, location, status, batch, picking, packing and cycle counts, run tabletop or operational stress tests, integrate it with dependent processes and update crisis playbooks.</t>
  </si>
  <si>
    <t>Sustain maturity for WMS support for inventory movement, location, status, batch, picking, packing and cycle counts: keep evidence current, monitor drift, benchmark externally and refresh risk tests after organizational, system or market changes.</t>
  </si>
  <si>
    <t>Immature capability for TMS support for carrier booking, route planning, tracking and delivery visibility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</si>
  <si>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TMS support for carrier booking, route planning, tracking and delivery visibility.</t>
  </si>
  <si>
    <t>Severe risk: TMS support for carrier booking, route planning, tracking and delivery visibility is not reliably controlled. During IT outage; Decision failure; Process disruption, the organization may face ERP, CRM, MES or HRMS disruption, broken integrations and manual workarounds that fail under stress with limited visibility or accountability.</t>
  </si>
  <si>
    <t>High risk: TMS support for carrier booking, route planning, tracking and delivery visibility depends on informal practices or individual knowledge. Disruption may expose ERP, CRM, MES or HRMS disruption, broken integrations and manual workarounds that fail under stress and slow recovery.</t>
  </si>
  <si>
    <t>Elevated risk: TMS support for carrier booking, route planning, tracking and delivery visibility is partially controlled, but coverage, evidence or testing is inconsistent. Crisis response may be fragmented.</t>
  </si>
  <si>
    <t>Moderate risk: TMS support for carrier booking, route planning, tracking and delivery visibility is documented and owned, but measurement, stress testing and integration with dependent processes need strengthening.</t>
  </si>
  <si>
    <t>Residual risk: TMS support for carrier booking, route planning, tracking and delivery visibility is measured and reviewed, but monitoring, automation or scenario testing should be improved to prevent maturity drift.</t>
  </si>
  <si>
    <t>Low residual risk: TMS support for carrier booking, route planning, tracking and delivery visibility is mature and crisis-tested. Maintain monitoring, evidence, ownership and periodic stress testing.</t>
  </si>
  <si>
    <t>Create an immediate risk owner, minimum control baseline and fallback procedure for TMS support for carrier booking, route planning, tracking and delivery visibility. Add it to the crisis risk register and collect first evidence.</t>
  </si>
  <si>
    <t>Document TMS support for carrier booking, route planning, tracking and delivery visibility, assign RACI, define minimum controls and KPIs, and validate coverage across key sites, teams or systems.</t>
  </si>
  <si>
    <t>Standardize TMS support for carrier booking, route planning, tracking and delivery visibility, close coverage gaps, train accountable roles and connect controls to the relevant crisis scenarios and continuity plans.</t>
  </si>
  <si>
    <t>Measure and test TMS support for carrier booking, route planning, tracking and delivery visibility, run tabletop or operational stress tests, integrate it with dependent processes and update crisis playbooks.</t>
  </si>
  <si>
    <t>Sustain maturity for TMS support for carrier booking, route planning, tracking and delivery visibility: keep evidence current, monitor drift, benchmark externally and refresh risk tests after organizational, system or market changes.</t>
  </si>
  <si>
    <t>Immature capability for HRMS coverage for employee records, roles, skills, absence, payroll inputs and emergency contacts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</si>
  <si>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HRMS coverage for employee records, roles, skills, absence, payroll inputs and emergency contacts.</t>
  </si>
  <si>
    <t>Severe risk: HRMS coverage for employee records, roles, skills, absence, payroll inputs and emergency contacts is not reliably controlled. During IT outage; Decision failure; Process disruption, the organization may face ERP, CRM, MES or HRMS disruption, broken integrations and manual workarounds that fail under stress with limited visibility or accountability.</t>
  </si>
  <si>
    <t>High risk: HRMS coverage for employee records, roles, skills, absence, payroll inputs and emergency contacts depends on informal practices or individual knowledge. Disruption may expose ERP, CRM, MES or HRMS disruption, broken integrations and manual workarounds that fail under stress and slow recovery.</t>
  </si>
  <si>
    <t>Elevated risk: HRMS coverage for employee records, roles, skills, absence, payroll inputs and emergency contacts is partially controlled, but coverage, evidence or testing is inconsistent. Crisis response may be fragmented.</t>
  </si>
  <si>
    <t>Moderate risk: HRMS coverage for employee records, roles, skills, absence, payroll inputs and emergency contacts is documented and owned, but measurement, stress testing and integration with dependent processes need strengthening.</t>
  </si>
  <si>
    <t>Residual risk: HRMS coverage for employee records, roles, skills, absence, payroll inputs and emergency contacts is measured and reviewed, but monitoring, automation or scenario testing should be improved to prevent maturity drift.</t>
  </si>
  <si>
    <t>Low residual risk: HRMS coverage for employee records, roles, skills, absence, payroll inputs and emergency contacts is mature and crisis-tested. Maintain monitoring, evidence, ownership and periodic stress testing.</t>
  </si>
  <si>
    <t>Create an immediate risk owner, minimum control baseline and fallback procedure for HRMS coverage for employee records, roles, skills, absence, payroll inputs and emergency contacts. Add it to the crisis risk register and collect first evidence.</t>
  </si>
  <si>
    <t>Document HRMS coverage for employee records, roles, skills, absence, payroll inputs and emergency contacts, assign RACI, define minimum controls and KPIs, and validate coverage across key sites, teams or systems.</t>
  </si>
  <si>
    <t>Standardize HRMS coverage for employee records, roles, skills, absence, payroll inputs and emergency contacts, close coverage gaps, train accountable roles and connect controls to the relevant crisis scenarios and continuity plans.</t>
  </si>
  <si>
    <t>Measure and test HRMS coverage for employee records, roles, skills, absence, payroll inputs and emergency contacts, run tabletop or operational stress tests, integrate it with dependent processes and update crisis playbooks.</t>
  </si>
  <si>
    <t>Sustain maturity for HRMS coverage for employee records, roles, skills, absence, payroll inputs and emergency contacts: keep evidence current, monitor drift, benchmark externally and refresh risk tests after organizational, system or market changes.</t>
  </si>
  <si>
    <t>Immature capability for HRMS data quality for employee location, manager, emergency contacts and criticality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</si>
  <si>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HRMS data quality for employee location, manager, emergency contacts and criticality.</t>
  </si>
  <si>
    <t>Severe risk: HRMS data quality for employee location, manager, emergency contacts and criticality is not reliably controlled. During IT outage; Decision failure; Process disruption, the organization may face ERP, CRM, MES or HRMS disruption, broken integrations and manual workarounds that fail under stress with limited visibility or accountability.</t>
  </si>
  <si>
    <t>High risk: HRMS data quality for employee location, manager, emergency contacts and criticality depends on informal practices or individual knowledge. Disruption may expose ERP, CRM, MES or HRMS disruption, broken integrations and manual workarounds that fail under stress and slow recovery.</t>
  </si>
  <si>
    <t>Elevated risk: HRMS data quality for employee location, manager, emergency contacts and criticality is partially controlled, but coverage, evidence or testing is inconsistent. Crisis response may be fragmented.</t>
  </si>
  <si>
    <t>Moderate risk: HRMS data quality for employee location, manager, emergency contacts and criticality is documented and owned, but measurement, stress testing and integration with dependent processes need strengthening.</t>
  </si>
  <si>
    <t>Residual risk: HRMS data quality for employee location, manager, emergency contacts and criticality is measured and reviewed, but monitoring, automation or scenario testing should be improved to prevent maturity drift.</t>
  </si>
  <si>
    <t>Low residual risk: HRMS data quality for employee location, manager, emergency contacts and criticality is mature and crisis-tested. Maintain monitoring, evidence, ownership and periodic stress testing.</t>
  </si>
  <si>
    <t>Create an immediate risk owner, minimum control baseline and fallback procedure for HRMS data quality for employee location, manager, emergency contacts and criticality. Add it to the crisis risk register and collect first evidence.</t>
  </si>
  <si>
    <t>Document HRMS data quality for employee location, manager, emergency contacts and criticality, assign RACI, define minimum controls and KPIs, and validate coverage across key sites, teams or systems.</t>
  </si>
  <si>
    <t>Standardize HRMS data quality for employee location, manager, emergency contacts and criticality, close coverage gaps, train accountable roles and connect controls to the relevant crisis scenarios and continuity plans.</t>
  </si>
  <si>
    <t>Measure and test HRMS data quality for employee location, manager, emergency contacts and criticality, run tabletop or operational stress tests, integrate it with dependent processes and update crisis playbooks.</t>
  </si>
  <si>
    <t>Sustain maturity for HRMS data quality for employee location, manager, emergency contacts and criticality: keep evidence current, monitor drift, benchmark externally and refresh risk tests after organizational, system or market changes.</t>
  </si>
  <si>
    <t>Immature capability for finance, banking, expense, payroll and procurement system integration or reconciliation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</si>
  <si>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finance, banking, expense, payroll and procurement system integration or reconciliation.</t>
  </si>
  <si>
    <t>Severe risk: finance, banking, expense, payroll and procurement system integration or reconciliation is not reliably controlled. During IT outage; Decision failure; Process disruption, the organization may face ERP, CRM, MES or HRMS disruption, broken integrations and manual workarounds that fail under stress with limited visibility or accountability.</t>
  </si>
  <si>
    <t>High risk: finance, banking, expense, payroll and procurement system integration or reconciliation depends on informal practices or individual knowledge. Disruption may expose ERP, CRM, MES or HRMS disruption, broken integrations and manual workarounds that fail under stress and slow recovery.</t>
  </si>
  <si>
    <t>Elevated risk: finance, banking, expense, payroll and procurement system integration or reconciliation is partially controlled, but coverage, evidence or testing is inconsistent. Crisis response may be fragmented.</t>
  </si>
  <si>
    <t>Moderate risk: finance, banking, expense, payroll and procurement system integration or reconciliation is documented and owned, but measurement, stress testing and integration with dependent processes need strengthening.</t>
  </si>
  <si>
    <t>Residual risk: finance, banking, expense, payroll and procurement system integration or reconciliation is measured and reviewed, but monitoring, automation or scenario testing should be improved to prevent maturity drift.</t>
  </si>
  <si>
    <t>Low residual risk: finance, banking, expense, payroll and procurement system integration or reconciliation is mature and crisis-tested. Maintain monitoring, evidence, ownership and periodic stress testing.</t>
  </si>
  <si>
    <t>Create an immediate risk owner, minimum control baseline and fallback procedure for finance, banking, expense, payroll and procurement system integration or reconciliation. Add it to the crisis risk register and collect first evidence.</t>
  </si>
  <si>
    <t>Document finance, banking, expense, payroll and procurement system integration or reconciliation, assign RACI, define minimum controls and KPIs, and validate coverage across key sites, teams or systems.</t>
  </si>
  <si>
    <t>Standardize finance, banking, expense, payroll and procurement system integration or reconciliation, close coverage gaps, train accountable roles and connect controls to the relevant crisis scenarios and continuity plans.</t>
  </si>
  <si>
    <t>Measure and test finance, banking, expense, payroll and procurement system integration or reconciliation, run tabletop or operational stress tests, integrate it with dependent processes and update crisis playbooks.</t>
  </si>
  <si>
    <t>Sustain maturity for finance, banking, expense, payroll and procurement system integration or reconciliation: keep evidence current, monitor drift, benchmark externally and refresh risk tests after organizational, system or market changes.</t>
  </si>
  <si>
    <t>Immature capability for payroll system continuity and manual payroll fallback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</si>
  <si>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payroll system continuity and manual payroll fallback.</t>
  </si>
  <si>
    <t>Severe risk: payroll system continuity and manual payroll fallback is not reliably controlled. During IT outage; Decision failure; Process disruption, the organization may face ERP, CRM, MES or HRMS disruption, broken integrations and manual workarounds that fail under stress with limited visibility or accountability.</t>
  </si>
  <si>
    <t>High risk: payroll system continuity and manual payroll fallback depends on informal practices or individual knowledge. Disruption may expose ERP, CRM, MES or HRMS disruption, broken integrations and manual workarounds that fail under stress and slow recovery.</t>
  </si>
  <si>
    <t>Elevated risk: payroll system continuity and manual payroll fallback is partially controlled, but coverage, evidence or testing is inconsistent. Crisis response may be fragmented.</t>
  </si>
  <si>
    <t>Moderate risk: payroll system continuity and manual payroll fallback is documented and owned, but measurement, stress testing and integration with dependent processes need strengthening.</t>
  </si>
  <si>
    <t>Residual risk: payroll system continuity and manual payroll fallback is measured and reviewed, but monitoring, automation or scenario testing should be improved to prevent maturity drift.</t>
  </si>
  <si>
    <t>Low residual risk: payroll system continuity and manual payroll fallback is mature and crisis-tested. Maintain monitoring, evidence, ownership and periodic stress testing.</t>
  </si>
  <si>
    <t>Create an immediate risk owner, minimum control baseline and fallback procedure for payroll system continuity and manual payroll fallback. Add it to the crisis risk register and collect first evidence.</t>
  </si>
  <si>
    <t>Document payroll system continuity and manual payroll fallback, assign RACI, define minimum controls and KPIs, and validate coverage across key sites, teams or systems.</t>
  </si>
  <si>
    <t>Standardize payroll system continuity and manual payroll fallback, close coverage gaps, train accountable roles and connect controls to the relevant crisis scenarios and continuity plans.</t>
  </si>
  <si>
    <t>Measure and test payroll system continuity and manual payroll fallback, run tabletop or operational stress tests, integrate it with dependent processes and update crisis playbooks.</t>
  </si>
  <si>
    <t>Sustain maturity for payroll system continuity and manual payroll fallback: keep evidence current, monitor drift, benchmark externally and refresh risk tests after organizational, system or market changes.</t>
  </si>
  <si>
    <t>Immature capability for system ownership with business owner, technical owner, data owner and support owner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</si>
  <si>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system ownership with business owner, technical owner, data owner and support owner.</t>
  </si>
  <si>
    <t>Severe risk: system ownership with business owner, technical owner, data owner and support owner is not reliably controlled. During IT outage; Decision failure; Process disruption, the organization may face ERP, CRM, MES or HRMS disruption, broken integrations and manual workarounds that fail under stress with limited visibility or accountability.</t>
  </si>
  <si>
    <t>High risk: system ownership with business owner, technical owner, data owner and support owner depends on informal practices or individual knowledge. Disruption may expose ERP, CRM, MES or HRMS disruption, broken integrations and manual workarounds that fail under stress and slow recovery.</t>
  </si>
  <si>
    <t>Elevated risk: system ownership with business owner, technical owner, data owner and support owner is partially controlled, but coverage, evidence or testing is inconsistent. Crisis response may be fragmented.</t>
  </si>
  <si>
    <t>Moderate risk: system ownership with business owner, technical owner, data owner and support owner is documented and owned, but measurement, stress testing and integration with dependent processes need strengthening.</t>
  </si>
  <si>
    <t>Residual risk: system ownership with business owner, technical owner, data owner and support owner is measured and reviewed, but monitoring, automation or scenario testing should be improved to prevent maturity drift.</t>
  </si>
  <si>
    <t>Low residual risk: system ownership with business owner, technical owner, data owner and support owner is mature and crisis-tested. Maintain monitoring, evidence, ownership and periodic stress testing.</t>
  </si>
  <si>
    <t>Create an immediate risk owner, minimum control baseline and fallback procedure for system ownership with business owner, technical owner, data owner and support owner. Add it to the crisis risk register and collect first evidence.</t>
  </si>
  <si>
    <t>Document system ownership with business owner, technical owner, data owner and support owner, assign RACI, define minimum controls and KPIs, and validate coverage across key sites, teams or systems.</t>
  </si>
  <si>
    <t>Standardize system ownership with business owner, technical owner, data owner and support owner, close coverage gaps, train accountable roles and connect controls to the relevant crisis scenarios and continuity plans.</t>
  </si>
  <si>
    <t>Measure and test system ownership with business owner, technical owner, data owner and support owner, run tabletop or operational stress tests, integrate it with dependent processes and update crisis playbooks.</t>
  </si>
  <si>
    <t>Sustain maturity for system ownership with business owner, technical owner, data owner and support owner: keep evidence current, monitor drift, benchmark externally and refresh risk tests after organizational, system or market changes.</t>
  </si>
  <si>
    <t>Immature capability for critical system lifecycle review for fit, cost, risk, security, scalability and replacement needs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</si>
  <si>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critical system lifecycle review for fit, cost, risk, security, scalability and replacement needs.</t>
  </si>
  <si>
    <t>Severe risk: critical system lifecycle review for fit, cost, risk, security, scalability and replacement needs is not reliably controlled. During IT outage; Decision failure; Process disruption, the organization may face ERP, CRM, MES or HRMS disruption, broken integrations and manual workarounds that fail under stress with limited visibility or accountability.</t>
  </si>
  <si>
    <t>High risk: critical system lifecycle review for fit, cost, risk, security, scalability and replacement needs depends on informal practices or individual knowledge. Disruption may expose ERP, CRM, MES or HRMS disruption, broken integrations and manual workarounds that fail under stress and slow recovery.</t>
  </si>
  <si>
    <t>Elevated risk: critical system lifecycle review for fit, cost, risk, security, scalability and replacement needs is partially controlled, but coverage, evidence or testing is inconsistent. Crisis response may be fragmented.</t>
  </si>
  <si>
    <t>Moderate risk: critical system lifecycle review for fit, cost, risk, security, scalability and replacement needs is documented and owned, but measurement, stress testing and integration with dependent processes need strengthening.</t>
  </si>
  <si>
    <t>Residual risk: critical system lifecycle review for fit, cost, risk, security, scalability and replacement needs is measured and reviewed, but monitoring, automation or scenario testing should be improved to prevent maturity drift.</t>
  </si>
  <si>
    <t>Low residual risk: critical system lifecycle review for fit, cost, risk, security, scalability and replacement needs is mature and crisis-tested. Maintain monitoring, evidence, ownership and periodic stress testing.</t>
  </si>
  <si>
    <t>Create an immediate risk owner, minimum control baseline and fallback procedure for critical system lifecycle review for fit, cost, risk, security, scalability and replacement needs. Add it to the crisis risk register and collect first evidence.</t>
  </si>
  <si>
    <t>Document critical system lifecycle review for fit, cost, risk, security, scalability and replacement needs, assign RACI, define minimum controls and KPIs, and validate coverage across key sites, teams or systems.</t>
  </si>
  <si>
    <t>Standardize critical system lifecycle review for fit, cost, risk, security, scalability and replacement needs, close coverage gaps, train accountable roles and connect controls to the relevant crisis scenarios and continuity plans.</t>
  </si>
  <si>
    <t>Measure and test critical system lifecycle review for fit, cost, risk, security, scalability and replacement needs, run tabletop or operational stress tests, integrate it with dependent processes and update crisis playbooks.</t>
  </si>
  <si>
    <t>Sustain maturity for critical system lifecycle review for fit, cost, risk, security, scalability and replacement needs: keep evidence current, monitor drift, benchmark externally and refresh risk tests after organizational, system or market changes.</t>
  </si>
  <si>
    <t>Immature capability for shadow IT inventory for business-critical spreadsheets, scripts, low-code apps and unmanaged SaaS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</si>
  <si>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shadow IT inventory for business-critical spreadsheets, scripts, low-code apps and unmanaged SaaS.</t>
  </si>
  <si>
    <t>Severe risk: shadow IT inventory for business-critical spreadsheets, scripts, low-code apps and unmanaged SaaS is not reliably controlled. During IT outage; Decision failure; Process disruption, the organization may face ERP, CRM, MES or HRMS disruption, broken integrations and manual workarounds that fail under stress with limited visibility or accountability.</t>
  </si>
  <si>
    <t>High risk: shadow IT inventory for business-critical spreadsheets, scripts, low-code apps and unmanaged SaaS depends on informal practices or individual knowledge. Disruption may expose ERP, CRM, MES or HRMS disruption, broken integrations and manual workarounds that fail under stress and slow recovery.</t>
  </si>
  <si>
    <t>Elevated risk: shadow IT inventory for business-critical spreadsheets, scripts, low-code apps and unmanaged SaaS is partially controlled, but coverage, evidence or testing is inconsistent. Crisis response may be fragmented.</t>
  </si>
  <si>
    <t>Moderate risk: shadow IT inventory for business-critical spreadsheets, scripts, low-code apps and unmanaged SaaS is documented and owned, but measurement, stress testing and integration with dependent processes need strengthening.</t>
  </si>
  <si>
    <t>Residual risk: shadow IT inventory for business-critical spreadsheets, scripts, low-code apps and unmanaged SaaS is measured and reviewed, but monitoring, automation or scenario testing should be improved to prevent maturity drift.</t>
  </si>
  <si>
    <t>Low residual risk: shadow IT inventory for business-critical spreadsheets, scripts, low-code apps and unmanaged SaaS is mature and crisis-tested. Maintain monitoring, evidence, ownership and periodic stress testing.</t>
  </si>
  <si>
    <t>Create an immediate risk owner, minimum control baseline and fallback procedure for shadow IT inventory for business-critical spreadsheets, scripts, low-code apps and unmanaged SaaS. Add it to the crisis risk register and collect first evidence.</t>
  </si>
  <si>
    <t>Document shadow IT inventory for business-critical spreadsheets, scripts, low-code apps and unmanaged SaaS, assign RACI, define minimum controls and KPIs, and validate coverage across key sites, teams or systems.</t>
  </si>
  <si>
    <t>Standardize shadow IT inventory for business-critical spreadsheets, scripts, low-code apps and unmanaged SaaS, close coverage gaps, train accountable roles and connect controls to the relevant crisis scenarios and continuity plans.</t>
  </si>
  <si>
    <t>Measure and test shadow IT inventory for business-critical spreadsheets, scripts, low-code apps and unmanaged SaaS, run tabletop or operational stress tests, integrate it with dependent processes and update crisis playbooks.</t>
  </si>
  <si>
    <t>Sustain maturity for shadow IT inventory for business-critical spreadsheets, scripts, low-code apps and unmanaged SaaS: keep evidence current, monitor drift, benchmark externally and refresh risk tests after organizational, system or market changes.</t>
  </si>
  <si>
    <t>Immature capability for admin account governance across ERP, CRM, HRMS, MES, BI and SaaS tools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</si>
  <si>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admin account governance across ERP, CRM, HRMS, MES, BI and SaaS tools.</t>
  </si>
  <si>
    <t>Severe risk: admin account governance across ERP, CRM, HRMS, MES, BI and SaaS tools is not reliably controlled. During IT outage; Decision failure; Process disruption, the organization may face ERP, CRM, MES or HRMS disruption, broken integrations and manual workarounds that fail under stress with limited visibility or accountability.</t>
  </si>
  <si>
    <t>High risk: admin account governance across ERP, CRM, HRMS, MES, BI and SaaS tools depends on informal practices or individual knowledge. Disruption may expose ERP, CRM, MES or HRMS disruption, broken integrations and manual workarounds that fail under stress and slow recovery.</t>
  </si>
  <si>
    <t>Elevated risk: admin account governance across ERP, CRM, HRMS, MES, BI and SaaS tools is partially controlled, but coverage, evidence or testing is inconsistent. Crisis response may be fragmented.</t>
  </si>
  <si>
    <t>Moderate risk: admin account governance across ERP, CRM, HRMS, MES, BI and SaaS tools is documented and owned, but measurement, stress testing and integration with dependent processes need strengthening.</t>
  </si>
  <si>
    <t>Residual risk: admin account governance across ERP, CRM, HRMS, MES, BI and SaaS tools is measured and reviewed, but monitoring, automation or scenario testing should be improved to prevent maturity drift.</t>
  </si>
  <si>
    <t>Low residual risk: admin account governance across ERP, CRM, HRMS, MES, BI and SaaS tools is mature and crisis-tested. Maintain monitoring, evidence, ownership and periodic stress testing.</t>
  </si>
  <si>
    <t>Create an immediate risk owner, minimum control baseline and fallback procedure for admin account governance across ERP, CRM, HRMS, MES, BI and SaaS tools. Add it to the crisis risk register and collect first evidence.</t>
  </si>
  <si>
    <t>Document admin account governance across ERP, CRM, HRMS, MES, BI and SaaS tools, assign RACI, define minimum controls and KPIs, and validate coverage across key sites, teams or systems.</t>
  </si>
  <si>
    <t>Standardize admin account governance across ERP, CRM, HRMS, MES, BI and SaaS tools, close coverage gaps, train accountable roles and connect controls to the relevant crisis scenarios and continuity plans.</t>
  </si>
  <si>
    <t>Measure and test admin account governance across ERP, CRM, HRMS, MES, BI and SaaS tools, run tabletop or operational stress tests, integrate it with dependent processes and update crisis playbooks.</t>
  </si>
  <si>
    <t>Sustain maturity for admin account governance across ERP, CRM, HRMS, MES, BI and SaaS tools: keep evidence current, monitor drift, benchmark externally and refresh risk tests after organizational, system or market changes.</t>
  </si>
  <si>
    <t>Immature capability for data portability and export procedures for critical systems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</si>
  <si>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data portability and export procedures for critical systems.</t>
  </si>
  <si>
    <t>Severe risk: data portability and export procedures for critical systems is not reliably controlled. During IT outage; Decision failure; Process disruption, the organization may face ERP, CRM, MES or HRMS disruption, broken integrations and manual workarounds that fail under stress with limited visibility or accountability.</t>
  </si>
  <si>
    <t>High risk: data portability and export procedures for critical systems depends on informal practices or individual knowledge. Disruption may expose ERP, CRM, MES or HRMS disruption, broken integrations and manual workarounds that fail under stress and slow recovery.</t>
  </si>
  <si>
    <t>Elevated risk: data portability and export procedures for critical systems is partially controlled, but coverage, evidence or testing is inconsistent. Crisis response may be fragmented.</t>
  </si>
  <si>
    <t>Moderate risk: data portability and export procedures for critical systems is documented and owned, but measurement, stress testing and integration with dependent processes need strengthening.</t>
  </si>
  <si>
    <t>Residual risk: data portability and export procedures for critical systems is measured and reviewed, but monitoring, automation or scenario testing should be improved to prevent maturity drift.</t>
  </si>
  <si>
    <t>Low residual risk: data portability and export procedures for critical systems is mature and crisis-tested. Maintain monitoring, evidence, ownership and periodic stress testing.</t>
  </si>
  <si>
    <t>Create an immediate risk owner, minimum control baseline and fallback procedure for data portability and export procedures for critical systems. Add it to the crisis risk register and collect first evidence.</t>
  </si>
  <si>
    <t>Document data portability and export procedures for critical systems, assign RACI, define minimum controls and KPIs, and validate coverage across key sites, teams or systems.</t>
  </si>
  <si>
    <t>Standardize data portability and export procedures for critical systems, close coverage gaps, train accountable roles and connect controls to the relevant crisis scenarios and continuity plans.</t>
  </si>
  <si>
    <t>Measure and test data portability and export procedures for critical systems, run tabletop or operational stress tests, integrate it with dependent processes and update crisis playbooks.</t>
  </si>
  <si>
    <t>Sustain maturity for data portability and export procedures for critical systems: keep evidence current, monitor drift, benchmark externally and refresh risk tests after organizational, system or market changes.</t>
  </si>
  <si>
    <t>Immature capability for configuration and customization documentation for critical business systems may lead to ERP, CRM, MES or HRMS disruption, broken integrations and manual workarounds that fail under stress during IT outage; Decision failure; Process disruption.</t>
  </si>
  <si>
    <t>Low maturity, weak ownership, incomplete evidence, insufficient testing and poor integration with crisis-management routines for configuration and customization documentation for critical business systems.</t>
  </si>
  <si>
    <t>Severe risk: configuration and customization documentation for critical business systems is not reliably controlled. During IT outage; Decision failure; Process disruption, the organization may face ERP, CRM, MES or HRMS disruption, broken integrations and manual workarounds that fail under stress with limited visibility or accountability.</t>
  </si>
  <si>
    <t>High risk: configuration and customization documentation for critical business systems depends on informal practices or individual knowledge. Disruption may expose ERP, CRM, MES or HRMS disruption, broken integrations and manual workarounds that fail under stress and slow recovery.</t>
  </si>
  <si>
    <t>Elevated risk: configuration and customization documentation for critical business systems is partially controlled, but coverage, evidence or testing is inconsistent. Crisis response may be fragmented.</t>
  </si>
  <si>
    <t>Moderate risk: configuration and customization documentation for critical business systems is documented and owned, but measurement, stress testing and integration with dependent processes need strengthening.</t>
  </si>
  <si>
    <t>Residual risk: configuration and customization documentation for critical business systems is measured and reviewed, but monitoring, automation or scenario testing should be improved to prevent maturity drift.</t>
  </si>
  <si>
    <t>Low residual risk: configuration and customization documentation for critical business systems is mature and crisis-tested. Maintain monitoring, evidence, ownership and periodic stress testing.</t>
  </si>
  <si>
    <t>Create an immediate risk owner, minimum control baseline and fallback procedure for configuration and customization documentation for critical business systems. Add it to the crisis risk register and collect first evidence.</t>
  </si>
  <si>
    <t>Document configuration and customization documentation for critical business systems, assign RACI, define minimum controls and KPIs, and validate coverage across key sites, teams or systems.</t>
  </si>
  <si>
    <t>Standardize configuration and customization documentation for critical business systems, close coverage gaps, train accountable roles and connect controls to the relevant crisis scenarios and continuity plans.</t>
  </si>
  <si>
    <t>Measure and test configuration and customization documentation for critical business systems, run tabletop or operational stress tests, integrate it with dependent processes and update crisis playbooks.</t>
  </si>
  <si>
    <t>Sustain maturity for configuration and customization documentation for critical business systems: keep evidence current, monitor drift, benchmark externally and refresh risk tests after organizational, system or market changes.</t>
  </si>
  <si>
    <t>Immature capability for data owners and stewards for critical data domains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</si>
  <si>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owners and stewards for critical data domains.</t>
  </si>
  <si>
    <t>Severe risk: data owners and stewards for critical data domains is not reliably controlled. During Decision failure; Data loss; Regulatory/legal shock, the organization may face poor decisions, unreliable reporting, data quality problems and unsafe or ineffective AI usage with limited visibility or accountability.</t>
  </si>
  <si>
    <t>High risk: data owners and stewards for critical data domains depends on informal practices or individual knowledge. Disruption may expose poor decisions, unreliable reporting, data quality problems and unsafe or ineffective AI usage and slow recovery.</t>
  </si>
  <si>
    <t>Elevated risk: data owners and stewards for critical data domains is partially controlled, but coverage, evidence or testing is inconsistent. Crisis response may be fragmented.</t>
  </si>
  <si>
    <t>Moderate risk: data owners and stewards for critical data domains is documented and owned, but measurement, stress testing and integration with dependent processes need strengthening.</t>
  </si>
  <si>
    <t>Residual risk: data owners and stewards for critical data domains is measured and reviewed, but monitoring, automation or scenario testing should be improved to prevent maturity drift.</t>
  </si>
  <si>
    <t>Low residual risk: data owners and stewards for critical data domains is mature and crisis-tested. Maintain monitoring, evidence, ownership and periodic stress testing.</t>
  </si>
  <si>
    <t>Create an immediate risk owner, minimum control baseline and fallback procedure for data owners and stewards for critical data domains. Add it to the crisis risk register and collect first evidence.</t>
  </si>
  <si>
    <t>Document data owners and stewards for critical data domains, assign RACI, define minimum controls and KPIs, and validate coverage across key sites, teams or systems.</t>
  </si>
  <si>
    <t>Standardize data owners and stewards for critical data domains, close coverage gaps, train accountable roles and connect controls to the relevant crisis scenarios and continuity plans.</t>
  </si>
  <si>
    <t>Measure and test data owners and stewards for critical data domains, run tabletop or operational stress tests, integrate it with dependent processes and update crisis playbooks.</t>
  </si>
  <si>
    <t>Sustain maturity for data owners and stewards for critical data domains: keep evidence current, monitor drift, benchmark externally and refresh risk tests after organizational, system or market changes.</t>
  </si>
  <si>
    <t>Immature capability for data catalog of critical datasets, reports, dashboards, data sources and users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</si>
  <si>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catalog of critical datasets, reports, dashboards, data sources and users.</t>
  </si>
  <si>
    <t>Severe risk: data catalog of critical datasets, reports, dashboards, data sources and users is not reliably controlled. During Decision failure; Data loss; Regulatory/legal shock, the organization may face poor decisions, unreliable reporting, data quality problems and unsafe or ineffective AI usage with limited visibility or accountability.</t>
  </si>
  <si>
    <t>High risk: data catalog of critical datasets, reports, dashboards, data sources and users depends on informal practices or individual knowledge. Disruption may expose poor decisions, unreliable reporting, data quality problems and unsafe or ineffective AI usage and slow recovery.</t>
  </si>
  <si>
    <t>Elevated risk: data catalog of critical datasets, reports, dashboards, data sources and users is partially controlled, but coverage, evidence or testing is inconsistent. Crisis response may be fragmented.</t>
  </si>
  <si>
    <t>Moderate risk: data catalog of critical datasets, reports, dashboards, data sources and users is documented and owned, but measurement, stress testing and integration with dependent processes need strengthening.</t>
  </si>
  <si>
    <t>Residual risk: data catalog of critical datasets, reports, dashboards, data sources and users is measured and reviewed, but monitoring, automation or scenario testing should be improved to prevent maturity drift.</t>
  </si>
  <si>
    <t>Low residual risk: data catalog of critical datasets, reports, dashboards, data sources and users is mature and crisis-tested. Maintain monitoring, evidence, ownership and periodic stress testing.</t>
  </si>
  <si>
    <t>Create an immediate risk owner, minimum control baseline and fallback procedure for data catalog of critical datasets, reports, dashboards, data sources and users. Add it to the crisis risk register and collect first evidence.</t>
  </si>
  <si>
    <t>Document data catalog of critical datasets, reports, dashboards, data sources and users, assign RACI, define minimum controls and KPIs, and validate coverage across key sites, teams or systems.</t>
  </si>
  <si>
    <t>Standardize data catalog of critical datasets, reports, dashboards, data sources and users, close coverage gaps, train accountable roles and connect controls to the relevant crisis scenarios and continuity plans.</t>
  </si>
  <si>
    <t>Measure and test data catalog of critical datasets, reports, dashboards, data sources and users, run tabletop or operational stress tests, integrate it with dependent processes and update crisis playbooks.</t>
  </si>
  <si>
    <t>Sustain maturity for data catalog of critical datasets, reports, dashboards, data sources and users: keep evidence current, monitor drift, benchmark externally and refresh risk tests after organizational, system or market changes.</t>
  </si>
  <si>
    <t>Immature capability for consistent metric definitions across finance, sales, operations, HR, supply chain and manufacturing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</si>
  <si>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consistent metric definitions across finance, sales, operations, HR, supply chain and manufacturing.</t>
  </si>
  <si>
    <t>Severe risk: consistent metric definitions across finance, sales, operations, HR, supply chain and manufacturing is not reliably controlled. During Decision failure; Data loss; Regulatory/legal shock, the organization may face poor decisions, unreliable reporting, data quality problems and unsafe or ineffective AI usage with limited visibility or accountability.</t>
  </si>
  <si>
    <t>High risk: consistent metric definitions across finance, sales, operations, HR, supply chain and manufacturing depends on informal practices or individual knowledge. Disruption may expose poor decisions, unreliable reporting, data quality problems and unsafe or ineffective AI usage and slow recovery.</t>
  </si>
  <si>
    <t>Elevated risk: consistent metric definitions across finance, sales, operations, HR, supply chain and manufacturing is partially controlled, but coverage, evidence or testing is inconsistent. Crisis response may be fragmented.</t>
  </si>
  <si>
    <t>Moderate risk: consistent metric definitions across finance, sales, operations, HR, supply chain and manufacturing is documented and owned, but measurement, stress testing and integration with dependent processes need strengthening.</t>
  </si>
  <si>
    <t>Residual risk: consistent metric definitions across finance, sales, operations, HR, supply chain and manufacturing is measured and reviewed, but monitoring, automation or scenario testing should be improved to prevent maturity drift.</t>
  </si>
  <si>
    <t>Low residual risk: consistent metric definitions across finance, sales, operations, HR, supply chain and manufacturing is mature and crisis-tested. Maintain monitoring, evidence, ownership and periodic stress testing.</t>
  </si>
  <si>
    <t>Create an immediate risk owner, minimum control baseline and fallback procedure for consistent metric definitions across finance, sales, operations, HR, supply chain and manufacturing. Add it to the crisis risk register and collect first evidence.</t>
  </si>
  <si>
    <t>Document consistent metric definitions across finance, sales, operations, HR, supply chain and manufacturing, assign RACI, define minimum controls and KPIs, and validate coverage across key sites, teams or systems.</t>
  </si>
  <si>
    <t>Standardize consistent metric definitions across finance, sales, operations, HR, supply chain and manufacturing, close coverage gaps, train accountable roles and connect controls to the relevant crisis scenarios and continuity plans.</t>
  </si>
  <si>
    <t>Measure and test consistent metric definitions across finance, sales, operations, HR, supply chain and manufacturing, run tabletop or operational stress tests, integrate it with dependent processes and update crisis playbooks.</t>
  </si>
  <si>
    <t>Sustain maturity for consistent metric definitions across finance, sales, operations, HR, supply chain and manufacturing: keep evidence current, monitor drift, benchmark externally and refresh risk tests after organizational, system or market changes.</t>
  </si>
  <si>
    <t>Immature capability for data quality rules, monitoring and issue resolution process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</si>
  <si>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quality rules, monitoring and issue resolution process.</t>
  </si>
  <si>
    <t>Severe risk: data quality rules, monitoring and issue resolution process is not reliably controlled. During Decision failure; Data loss; Regulatory/legal shock, the organization may face poor decisions, unreliable reporting, data quality problems and unsafe or ineffective AI usage with limited visibility or accountability.</t>
  </si>
  <si>
    <t>High risk: data quality rules, monitoring and issue resolution process depends on informal practices or individual knowledge. Disruption may expose poor decisions, unreliable reporting, data quality problems and unsafe or ineffective AI usage and slow recovery.</t>
  </si>
  <si>
    <t>Elevated risk: data quality rules, monitoring and issue resolution process is partially controlled, but coverage, evidence or testing is inconsistent. Crisis response may be fragmented.</t>
  </si>
  <si>
    <t>Moderate risk: data quality rules, monitoring and issue resolution process is documented and owned, but measurement, stress testing and integration with dependent processes need strengthening.</t>
  </si>
  <si>
    <t>Residual risk: data quality rules, monitoring and issue resolution process is measured and reviewed, but monitoring, automation or scenario testing should be improved to prevent maturity drift.</t>
  </si>
  <si>
    <t>Low residual risk: data quality rules, monitoring and issue resolution process is mature and crisis-tested. Maintain monitoring, evidence, ownership and periodic stress testing.</t>
  </si>
  <si>
    <t>Create an immediate risk owner, minimum control baseline and fallback procedure for data quality rules, monitoring and issue resolution process. Add it to the crisis risk register and collect first evidence.</t>
  </si>
  <si>
    <t>Document data quality rules, monitoring and issue resolution process, assign RACI, define minimum controls and KPIs, and validate coverage across key sites, teams or systems.</t>
  </si>
  <si>
    <t>Standardize data quality rules, monitoring and issue resolution process, close coverage gaps, train accountable roles and connect controls to the relevant crisis scenarios and continuity plans.</t>
  </si>
  <si>
    <t>Measure and test data quality rules, monitoring and issue resolution process, run tabletop or operational stress tests, integrate it with dependent processes and update crisis playbooks.</t>
  </si>
  <si>
    <t>Sustain maturity for data quality rules, monitoring and issue resolution process: keep evidence current, monitor drift, benchmark externally and refresh risk tests after organizational, system or market changes.</t>
  </si>
  <si>
    <t>Immature capability for data classification by sensitivity, business criticality, privacy and retention requirement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</si>
  <si>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classification by sensitivity, business criticality, privacy and retention requirement.</t>
  </si>
  <si>
    <t>Severe risk: data classification by sensitivity, business criticality, privacy and retention requirement is not reliably controlled. During Decision failure; Data loss; Regulatory/legal shock, the organization may face poor decisions, unreliable reporting, data quality problems and unsafe or ineffective AI usage with limited visibility or accountability.</t>
  </si>
  <si>
    <t>High risk: data classification by sensitivity, business criticality, privacy and retention requirement depends on informal practices or individual knowledge. Disruption may expose poor decisions, unreliable reporting, data quality problems and unsafe or ineffective AI usage and slow recovery.</t>
  </si>
  <si>
    <t>Elevated risk: data classification by sensitivity, business criticality, privacy and retention requirement is partially controlled, but coverage, evidence or testing is inconsistent. Crisis response may be fragmented.</t>
  </si>
  <si>
    <t>Moderate risk: data classification by sensitivity, business criticality, privacy and retention requirement is documented and owned, but measurement, stress testing and integration with dependent processes need strengthening.</t>
  </si>
  <si>
    <t>Residual risk: data classification by sensitivity, business criticality, privacy and retention requirement is measured and reviewed, but monitoring, automation or scenario testing should be improved to prevent maturity drift.</t>
  </si>
  <si>
    <t>Low residual risk: data classification by sensitivity, business criticality, privacy and retention requirement is mature and crisis-tested. Maintain monitoring, evidence, ownership and periodic stress testing.</t>
  </si>
  <si>
    <t>Create an immediate risk owner, minimum control baseline and fallback procedure for data classification by sensitivity, business criticality, privacy and retention requirement. Add it to the crisis risk register and collect first evidence.</t>
  </si>
  <si>
    <t>Document data classification by sensitivity, business criticality, privacy and retention requirement, assign RACI, define minimum controls and KPIs, and validate coverage across key sites, teams or systems.</t>
  </si>
  <si>
    <t>Standardize data classification by sensitivity, business criticality, privacy and retention requirement, close coverage gaps, train accountable roles and connect controls to the relevant crisis scenarios and continuity plans.</t>
  </si>
  <si>
    <t>Measure and test data classification by sensitivity, business criticality, privacy and retention requirement, run tabletop or operational stress tests, integrate it with dependent processes and update crisis playbooks.</t>
  </si>
  <si>
    <t>Sustain maturity for data classification by sensitivity, business criticality, privacy and retention requirement: keep evidence current, monitor drift, benchmark externally and refresh risk tests after organizational, system or market changes.</t>
  </si>
  <si>
    <t>Immature capability for data access governance for datasets, warehouses, BI reports and analytics workspaces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</si>
  <si>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access governance for datasets, warehouses, BI reports and analytics workspaces.</t>
  </si>
  <si>
    <t>Severe risk: data access governance for datasets, warehouses, BI reports and analytics workspaces is not reliably controlled. During Decision failure; Data loss; Regulatory/legal shock, the organization may face poor decisions, unreliable reporting, data quality problems and unsafe or ineffective AI usage with limited visibility or accountability.</t>
  </si>
  <si>
    <t>High risk: data access governance for datasets, warehouses, BI reports and analytics workspaces depends on informal practices or individual knowledge. Disruption may expose poor decisions, unreliable reporting, data quality problems and unsafe or ineffective AI usage and slow recovery.</t>
  </si>
  <si>
    <t>Elevated risk: data access governance for datasets, warehouses, BI reports and analytics workspaces is partially controlled, but coverage, evidence or testing is inconsistent. Crisis response may be fragmented.</t>
  </si>
  <si>
    <t>Moderate risk: data access governance for datasets, warehouses, BI reports and analytics workspaces is documented and owned, but measurement, stress testing and integration with dependent processes need strengthening.</t>
  </si>
  <si>
    <t>Residual risk: data access governance for datasets, warehouses, BI reports and analytics workspaces is measured and reviewed, but monitoring, automation or scenario testing should be improved to prevent maturity drift.</t>
  </si>
  <si>
    <t>Low residual risk: data access governance for datasets, warehouses, BI reports and analytics workspaces is mature and crisis-tested. Maintain monitoring, evidence, ownership and periodic stress testing.</t>
  </si>
  <si>
    <t>Create an immediate risk owner, minimum control baseline and fallback procedure for data access governance for datasets, warehouses, BI reports and analytics workspaces. Add it to the crisis risk register and collect first evidence.</t>
  </si>
  <si>
    <t>Document data access governance for datasets, warehouses, BI reports and analytics workspaces, assign RACI, define minimum controls and KPIs, and validate coverage across key sites, teams or systems.</t>
  </si>
  <si>
    <t>Standardize data access governance for datasets, warehouses, BI reports and analytics workspaces, close coverage gaps, train accountable roles and connect controls to the relevant crisis scenarios and continuity plans.</t>
  </si>
  <si>
    <t>Measure and test data access governance for datasets, warehouses, BI reports and analytics workspaces, run tabletop or operational stress tests, integrate it with dependent processes and update crisis playbooks.</t>
  </si>
  <si>
    <t>Sustain maturity for data access governance for datasets, warehouses, BI reports and analytics workspaces: keep evidence current, monitor drift, benchmark externally and refresh risk tests after organizational, system or market changes.</t>
  </si>
  <si>
    <t>Immature capability for data architecture from source systems to warehouse, lake, BI, AI models and reports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</si>
  <si>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architecture from source systems to warehouse, lake, BI, AI models and reports.</t>
  </si>
  <si>
    <t>Severe risk: data architecture from source systems to warehouse, lake, BI, AI models and reports is not reliably controlled. During Decision failure; Data loss; Regulatory/legal shock, the organization may face poor decisions, unreliable reporting, data quality problems and unsafe or ineffective AI usage with limited visibility or accountability.</t>
  </si>
  <si>
    <t>High risk: data architecture from source systems to warehouse, lake, BI, AI models and reports depends on informal practices or individual knowledge. Disruption may expose poor decisions, unreliable reporting, data quality problems and unsafe or ineffective AI usage and slow recovery.</t>
  </si>
  <si>
    <t>Elevated risk: data architecture from source systems to warehouse, lake, BI, AI models and reports is partially controlled, but coverage, evidence or testing is inconsistent. Crisis response may be fragmented.</t>
  </si>
  <si>
    <t>Moderate risk: data architecture from source systems to warehouse, lake, BI, AI models and reports is documented and owned, but measurement, stress testing and integration with dependent processes need strengthening.</t>
  </si>
  <si>
    <t>Residual risk: data architecture from source systems to warehouse, lake, BI, AI models and reports is measured and reviewed, but monitoring, automation or scenario testing should be improved to prevent maturity drift.</t>
  </si>
  <si>
    <t>Low residual risk: data architecture from source systems to warehouse, lake, BI, AI models and reports is mature and crisis-tested. Maintain monitoring, evidence, ownership and periodic stress testing.</t>
  </si>
  <si>
    <t>Create an immediate risk owner, minimum control baseline and fallback procedure for data architecture from source systems to warehouse, lake, BI, AI models and reports. Add it to the crisis risk register and collect first evidence.</t>
  </si>
  <si>
    <t>Document data architecture from source systems to warehouse, lake, BI, AI models and reports, assign RACI, define minimum controls and KPIs, and validate coverage across key sites, teams or systems.</t>
  </si>
  <si>
    <t>Standardize data architecture from source systems to warehouse, lake, BI, AI models and reports, close coverage gaps, train accountable roles and connect controls to the relevant crisis scenarios and continuity plans.</t>
  </si>
  <si>
    <t>Measure and test data architecture from source systems to warehouse, lake, BI, AI models and reports, run tabletop or operational stress tests, integrate it with dependent processes and update crisis playbooks.</t>
  </si>
  <si>
    <t>Sustain maturity for data architecture from source systems to warehouse, lake, BI, AI models and reports: keep evidence current, monitor drift, benchmark externally and refresh risk tests after organizational, system or market changes.</t>
  </si>
  <si>
    <t>Immature capability for ETL or ELT monitoring for failures, latency, completeness and reconciliation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</si>
  <si>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ETL or ELT monitoring for failures, latency, completeness and reconciliation.</t>
  </si>
  <si>
    <t>Severe risk: ETL or ELT monitoring for failures, latency, completeness and reconciliation is not reliably controlled. During Decision failure; Data loss; Regulatory/legal shock, the organization may face poor decisions, unreliable reporting, data quality problems and unsafe or ineffective AI usage with limited visibility or accountability.</t>
  </si>
  <si>
    <t>High risk: ETL or ELT monitoring for failures, latency, completeness and reconciliation depends on informal practices or individual knowledge. Disruption may expose poor decisions, unreliable reporting, data quality problems and unsafe or ineffective AI usage and slow recovery.</t>
  </si>
  <si>
    <t>Elevated risk: ETL or ELT monitoring for failures, latency, completeness and reconciliation is partially controlled, but coverage, evidence or testing is inconsistent. Crisis response may be fragmented.</t>
  </si>
  <si>
    <t>Moderate risk: ETL or ELT monitoring for failures, latency, completeness and reconciliation is documented and owned, but measurement, stress testing and integration with dependent processes need strengthening.</t>
  </si>
  <si>
    <t>Residual risk: ETL or ELT monitoring for failures, latency, completeness and reconciliation is measured and reviewed, but monitoring, automation or scenario testing should be improved to prevent maturity drift.</t>
  </si>
  <si>
    <t>Low residual risk: ETL or ELT monitoring for failures, latency, completeness and reconciliation is mature and crisis-tested. Maintain monitoring, evidence, ownership and periodic stress testing.</t>
  </si>
  <si>
    <t>Create an immediate risk owner, minimum control baseline and fallback procedure for ETL or ELT monitoring for failures, latency, completeness and reconciliation. Add it to the crisis risk register and collect first evidence.</t>
  </si>
  <si>
    <t>Document ETL or ELT monitoring for failures, latency, completeness and reconciliation, assign RACI, define minimum controls and KPIs, and validate coverage across key sites, teams or systems.</t>
  </si>
  <si>
    <t>Standardize ETL or ELT monitoring for failures, latency, completeness and reconciliation, close coverage gaps, train accountable roles and connect controls to the relevant crisis scenarios and continuity plans.</t>
  </si>
  <si>
    <t>Measure and test ETL or ELT monitoring for failures, latency, completeness and reconciliation, run tabletop or operational stress tests, integrate it with dependent processes and update crisis playbooks.</t>
  </si>
  <si>
    <t>Sustain maturity for ETL or ELT monitoring for failures, latency, completeness and reconciliation: keep evidence current, monitor drift, benchmark externally and refresh risk tests after organizational, system or market changes.</t>
  </si>
  <si>
    <t>Immature capability for data lineage for critical KPIs, regulatory reports and board dashboards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</si>
  <si>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lineage for critical KPIs, regulatory reports and board dashboards.</t>
  </si>
  <si>
    <t>Severe risk: data lineage for critical KPIs, regulatory reports and board dashboards is not reliably controlled. During Decision failure; Data loss; Regulatory/legal shock, the organization may face poor decisions, unreliable reporting, data quality problems and unsafe or ineffective AI usage with limited visibility or accountability.</t>
  </si>
  <si>
    <t>High risk: data lineage for critical KPIs, regulatory reports and board dashboards depends on informal practices or individual knowledge. Disruption may expose poor decisions, unreliable reporting, data quality problems and unsafe or ineffective AI usage and slow recovery.</t>
  </si>
  <si>
    <t>Elevated risk: data lineage for critical KPIs, regulatory reports and board dashboards is partially controlled, but coverage, evidence or testing is inconsistent. Crisis response may be fragmented.</t>
  </si>
  <si>
    <t>Moderate risk: data lineage for critical KPIs, regulatory reports and board dashboards is documented and owned, but measurement, stress testing and integration with dependent processes need strengthening.</t>
  </si>
  <si>
    <t>Residual risk: data lineage for critical KPIs, regulatory reports and board dashboards is measured and reviewed, but monitoring, automation or scenario testing should be improved to prevent maturity drift.</t>
  </si>
  <si>
    <t>Low residual risk: data lineage for critical KPIs, regulatory reports and board dashboards is mature and crisis-tested. Maintain monitoring, evidence, ownership and periodic stress testing.</t>
  </si>
  <si>
    <t>Create an immediate risk owner, minimum control baseline and fallback procedure for data lineage for critical KPIs, regulatory reports and board dashboards. Add it to the crisis risk register and collect first evidence.</t>
  </si>
  <si>
    <t>Document data lineage for critical KPIs, regulatory reports and board dashboards, assign RACI, define minimum controls and KPIs, and validate coverage across key sites, teams or systems.</t>
  </si>
  <si>
    <t>Standardize data lineage for critical KPIs, regulatory reports and board dashboards, close coverage gaps, train accountable roles and connect controls to the relevant crisis scenarios and continuity plans.</t>
  </si>
  <si>
    <t>Measure and test data lineage for critical KPIs, regulatory reports and board dashboards, run tabletop or operational stress tests, integrate it with dependent processes and update crisis playbooks.</t>
  </si>
  <si>
    <t>Sustain maturity for data lineage for critical KPIs, regulatory reports and board dashboards: keep evidence current, monitor drift, benchmark externally and refresh risk tests after organizational, system or market changes.</t>
  </si>
  <si>
    <t>Immature capability for backup and recovery for critical datasets, warehouses, BI content and analytics code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</si>
  <si>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backup and recovery for critical datasets, warehouses, BI content and analytics code.</t>
  </si>
  <si>
    <t>Severe risk: backup and recovery for critical datasets, warehouses, BI content and analytics code is not reliably controlled. During Decision failure; Data loss; Regulatory/legal shock, the organization may face poor decisions, unreliable reporting, data quality problems and unsafe or ineffective AI usage with limited visibility or accountability.</t>
  </si>
  <si>
    <t>High risk: backup and recovery for critical datasets, warehouses, BI content and analytics code depends on informal practices or individual knowledge. Disruption may expose poor decisions, unreliable reporting, data quality problems and unsafe or ineffective AI usage and slow recovery.</t>
  </si>
  <si>
    <t>Elevated risk: backup and recovery for critical datasets, warehouses, BI content and analytics code is partially controlled, but coverage, evidence or testing is inconsistent. Crisis response may be fragmented.</t>
  </si>
  <si>
    <t>Moderate risk: backup and recovery for critical datasets, warehouses, BI content and analytics code is documented and owned, but measurement, stress testing and integration with dependent processes need strengthening.</t>
  </si>
  <si>
    <t>Residual risk: backup and recovery for critical datasets, warehouses, BI content and analytics code is measured and reviewed, but monitoring, automation or scenario testing should be improved to prevent maturity drift.</t>
  </si>
  <si>
    <t>Low residual risk: backup and recovery for critical datasets, warehouses, BI content and analytics code is mature and crisis-tested. Maintain monitoring, evidence, ownership and periodic stress testing.</t>
  </si>
  <si>
    <t>Create an immediate risk owner, minimum control baseline and fallback procedure for backup and recovery for critical datasets, warehouses, BI content and analytics code. Add it to the crisis risk register and collect first evidence.</t>
  </si>
  <si>
    <t>Document backup and recovery for critical datasets, warehouses, BI content and analytics code, assign RACI, define minimum controls and KPIs, and validate coverage across key sites, teams or systems.</t>
  </si>
  <si>
    <t>Standardize backup and recovery for critical datasets, warehouses, BI content and analytics code, close coverage gaps, train accountable roles and connect controls to the relevant crisis scenarios and continuity plans.</t>
  </si>
  <si>
    <t>Measure and test backup and recovery for critical datasets, warehouses, BI content and analytics code, run tabletop or operational stress tests, integrate it with dependent processes and update crisis playbooks.</t>
  </si>
  <si>
    <t>Sustain maturity for backup and recovery for critical datasets, warehouses, BI content and analytics code: keep evidence current, monitor drift, benchmark externally and refresh risk tests after organizational, system or market changes.</t>
  </si>
  <si>
    <t>Immature capability for retention and deletion rules for structured and unstructured data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</si>
  <si>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retention and deletion rules for structured and unstructured data.</t>
  </si>
  <si>
    <t>Severe risk: retention and deletion rules for structured and unstructured data is not reliably controlled. During Decision failure; Data loss; Regulatory/legal shock, the organization may face poor decisions, unreliable reporting, data quality problems and unsafe or ineffective AI usage with limited visibility or accountability.</t>
  </si>
  <si>
    <t>High risk: retention and deletion rules for structured and unstructured data depends on informal practices or individual knowledge. Disruption may expose poor decisions, unreliable reporting, data quality problems and unsafe or ineffective AI usage and slow recovery.</t>
  </si>
  <si>
    <t>Elevated risk: retention and deletion rules for structured and unstructured data is partially controlled, but coverage, evidence or testing is inconsistent. Crisis response may be fragmented.</t>
  </si>
  <si>
    <t>Moderate risk: retention and deletion rules for structured and unstructured data is documented and owned, but measurement, stress testing and integration with dependent processes need strengthening.</t>
  </si>
  <si>
    <t>Residual risk: retention and deletion rules for structured and unstructured data is measured and reviewed, but monitoring, automation or scenario testing should be improved to prevent maturity drift.</t>
  </si>
  <si>
    <t>Low residual risk: retention and deletion rules for structured and unstructured data is mature and crisis-tested. Maintain monitoring, evidence, ownership and periodic stress testing.</t>
  </si>
  <si>
    <t>Create an immediate risk owner, minimum control baseline and fallback procedure for retention and deletion rules for structured and unstructured data. Add it to the crisis risk register and collect first evidence.</t>
  </si>
  <si>
    <t>Document retention and deletion rules for structured and unstructured data, assign RACI, define minimum controls and KPIs, and validate coverage across key sites, teams or systems.</t>
  </si>
  <si>
    <t>Standardize retention and deletion rules for structured and unstructured data, close coverage gaps, train accountable roles and connect controls to the relevant crisis scenarios and continuity plans.</t>
  </si>
  <si>
    <t>Measure and test retention and deletion rules for structured and unstructured data, run tabletop or operational stress tests, integrate it with dependent processes and update crisis playbooks.</t>
  </si>
  <si>
    <t>Sustain maturity for retention and deletion rules for structured and unstructured data: keep evidence current, monitor drift, benchmark externally and refresh risk tests after organizational, system or market changes.</t>
  </si>
  <si>
    <t>Immature capability for external data source validation for quality, licensing, availability and continuity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</si>
  <si>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external data source validation for quality, licensing, availability and continuity.</t>
  </si>
  <si>
    <t>Severe risk: external data source validation for quality, licensing, availability and continuity is not reliably controlled. During Decision failure; Data loss; Regulatory/legal shock, the organization may face poor decisions, unreliable reporting, data quality problems and unsafe or ineffective AI usage with limited visibility or accountability.</t>
  </si>
  <si>
    <t>High risk: external data source validation for quality, licensing, availability and continuity depends on informal practices or individual knowledge. Disruption may expose poor decisions, unreliable reporting, data quality problems and unsafe or ineffective AI usage and slow recovery.</t>
  </si>
  <si>
    <t>Elevated risk: external data source validation for quality, licensing, availability and continuity is partially controlled, but coverage, evidence or testing is inconsistent. Crisis response may be fragmented.</t>
  </si>
  <si>
    <t>Moderate risk: external data source validation for quality, licensing, availability and continuity is documented and owned, but measurement, stress testing and integration with dependent processes need strengthening.</t>
  </si>
  <si>
    <t>Residual risk: external data source validation for quality, licensing, availability and continuity is measured and reviewed, but monitoring, automation or scenario testing should be improved to prevent maturity drift.</t>
  </si>
  <si>
    <t>Low residual risk: external data source validation for quality, licensing, availability and continuity is mature and crisis-tested. Maintain monitoring, evidence, ownership and periodic stress testing.</t>
  </si>
  <si>
    <t>Create an immediate risk owner, minimum control baseline and fallback procedure for external data source validation for quality, licensing, availability and continuity. Add it to the crisis risk register and collect first evidence.</t>
  </si>
  <si>
    <t>Document external data source validation for quality, licensing, availability and continuity, assign RACI, define minimum controls and KPIs, and validate coverage across key sites, teams or systems.</t>
  </si>
  <si>
    <t>Standardize external data source validation for quality, licensing, availability and continuity, close coverage gaps, train accountable roles and connect controls to the relevant crisis scenarios and continuity plans.</t>
  </si>
  <si>
    <t>Measure and test external data source validation for quality, licensing, availability and continuity, run tabletop or operational stress tests, integrate it with dependent processes and update crisis playbooks.</t>
  </si>
  <si>
    <t>Sustain maturity for external data source validation for quality, licensing, availability and continuity: keep evidence current, monitor drift, benchmark externally and refresh risk tests after organizational, system or market changes.</t>
  </si>
  <si>
    <t>Immature capability for executive dashboards for crisis KPIs such as cash, workforce, supply, delivery, revenue and incidents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</si>
  <si>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executive dashboards for crisis KPIs such as cash, workforce, supply, delivery, revenue and incidents.</t>
  </si>
  <si>
    <t>Severe risk: executive dashboards for crisis KPIs such as cash, workforce, supply, delivery, revenue and incidents is not reliably controlled. During Decision failure; Data loss; Regulatory/legal shock, the organization may face poor decisions, unreliable reporting, data quality problems and unsafe or ineffective AI usage with limited visibility or accountability.</t>
  </si>
  <si>
    <t>High risk: executive dashboards for crisis KPIs such as cash, workforce, supply, delivery, revenue and incidents depends on informal practices or individual knowledge. Disruption may expose poor decisions, unreliable reporting, data quality problems and unsafe or ineffective AI usage and slow recovery.</t>
  </si>
  <si>
    <t>Elevated risk: executive dashboards for crisis KPIs such as cash, workforce, supply, delivery, revenue and incidents is partially controlled, but coverage, evidence or testing is inconsistent. Crisis response may be fragmented.</t>
  </si>
  <si>
    <t>Moderate risk: executive dashboards for crisis KPIs such as cash, workforce, supply, delivery, revenue and incidents is documented and owned, but measurement, stress testing and integration with dependent processes need strengthening.</t>
  </si>
  <si>
    <t>Residual risk: executive dashboards for crisis KPIs such as cash, workforce, supply, delivery, revenue and incidents is measured and reviewed, but monitoring, automation or scenario testing should be improved to prevent maturity drift.</t>
  </si>
  <si>
    <t>Low residual risk: executive dashboards for crisis KPIs such as cash, workforce, supply, delivery, revenue and incidents is mature and crisis-tested. Maintain monitoring, evidence, ownership and periodic stress testing.</t>
  </si>
  <si>
    <t>Create an immediate risk owner, minimum control baseline and fallback procedure for executive dashboards for crisis KPIs such as cash, workforce, supply, delivery, revenue and incidents. Add it to the crisis risk register and collect first evidence.</t>
  </si>
  <si>
    <t>Document executive dashboards for crisis KPIs such as cash, workforce, supply, delivery, revenue and incidents, assign RACI, define minimum controls and KPIs, and validate coverage across key sites, teams or systems.</t>
  </si>
  <si>
    <t>Standardize executive dashboards for crisis KPIs such as cash, workforce, supply, delivery, revenue and incidents, close coverage gaps, train accountable roles and connect controls to the relevant crisis scenarios and continuity plans.</t>
  </si>
  <si>
    <t>Measure and test executive dashboards for crisis KPIs such as cash, workforce, supply, delivery, revenue and incidents, run tabletop or operational stress tests, integrate it with dependent processes and update crisis playbooks.</t>
  </si>
  <si>
    <t>Sustain maturity for executive dashboards for crisis KPIs such as cash, workforce, supply, delivery, revenue and incidents: keep evidence current, monitor drift, benchmark externally and refresh risk tests after organizational, system or market changes.</t>
  </si>
  <si>
    <t>Immature capability for operational dashboards for daily management and crisis response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</si>
  <si>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operational dashboards for daily management and crisis response.</t>
  </si>
  <si>
    <t>Severe risk: operational dashboards for daily management and crisis response is not reliably controlled. During Decision failure; Data loss; Regulatory/legal shock, the organization may face poor decisions, unreliable reporting, data quality problems and unsafe or ineffective AI usage with limited visibility or accountability.</t>
  </si>
  <si>
    <t>High risk: operational dashboards for daily management and crisis response depends on informal practices or individual knowledge. Disruption may expose poor decisions, unreliable reporting, data quality problems and unsafe or ineffective AI usage and slow recovery.</t>
  </si>
  <si>
    <t>Elevated risk: operational dashboards for daily management and crisis response is partially controlled, but coverage, evidence or testing is inconsistent. Crisis response may be fragmented.</t>
  </si>
  <si>
    <t>Moderate risk: operational dashboards for daily management and crisis response is documented and owned, but measurement, stress testing and integration with dependent processes need strengthening.</t>
  </si>
  <si>
    <t>Residual risk: operational dashboards for daily management and crisis response is measured and reviewed, but monitoring, automation or scenario testing should be improved to prevent maturity drift.</t>
  </si>
  <si>
    <t>Low residual risk: operational dashboards for daily management and crisis response is mature and crisis-tested. Maintain monitoring, evidence, ownership and periodic stress testing.</t>
  </si>
  <si>
    <t>Create an immediate risk owner, minimum control baseline and fallback procedure for operational dashboards for daily management and crisis response. Add it to the crisis risk register and collect first evidence.</t>
  </si>
  <si>
    <t>Document operational dashboards for daily management and crisis response, assign RACI, define minimum controls and KPIs, and validate coverage across key sites, teams or systems.</t>
  </si>
  <si>
    <t>Standardize operational dashboards for daily management and crisis response, close coverage gaps, train accountable roles and connect controls to the relevant crisis scenarios and continuity plans.</t>
  </si>
  <si>
    <t>Measure and test operational dashboards for daily management and crisis response, run tabletop or operational stress tests, integrate it with dependent processes and update crisis playbooks.</t>
  </si>
  <si>
    <t>Sustain maturity for operational dashboards for daily management and crisis response: keep evidence current, monitor drift, benchmark externally and refresh risk tests after organizational, system or market changes.</t>
  </si>
  <si>
    <t>Immature capability for single source of truth for critical reports instead of manually reconciled spreadsheets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</si>
  <si>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single source of truth for critical reports instead of manually reconciled spreadsheets.</t>
  </si>
  <si>
    <t>Severe risk: single source of truth for critical reports instead of manually reconciled spreadsheets is not reliably controlled. During Decision failure; Data loss; Regulatory/legal shock, the organization may face poor decisions, unreliable reporting, data quality problems and unsafe or ineffective AI usage with limited visibility or accountability.</t>
  </si>
  <si>
    <t>High risk: single source of truth for critical reports instead of manually reconciled spreadsheets depends on informal practices or individual knowledge. Disruption may expose poor decisions, unreliable reporting, data quality problems and unsafe or ineffective AI usage and slow recovery.</t>
  </si>
  <si>
    <t>Elevated risk: single source of truth for critical reports instead of manually reconciled spreadsheets is partially controlled, but coverage, evidence or testing is inconsistent. Crisis response may be fragmented.</t>
  </si>
  <si>
    <t>Moderate risk: single source of truth for critical reports instead of manually reconciled spreadsheets is documented and owned, but measurement, stress testing and integration with dependent processes need strengthening.</t>
  </si>
  <si>
    <t>Residual risk: single source of truth for critical reports instead of manually reconciled spreadsheets is measured and reviewed, but monitoring, automation or scenario testing should be improved to prevent maturity drift.</t>
  </si>
  <si>
    <t>Low residual risk: single source of truth for critical reports instead of manually reconciled spreadsheets is mature and crisis-tested. Maintain monitoring, evidence, ownership and periodic stress testing.</t>
  </si>
  <si>
    <t>Create an immediate risk owner, minimum control baseline and fallback procedure for single source of truth for critical reports instead of manually reconciled spreadsheets. Add it to the crisis risk register and collect first evidence.</t>
  </si>
  <si>
    <t>Document single source of truth for critical reports instead of manually reconciled spreadsheets, assign RACI, define minimum controls and KPIs, and validate coverage across key sites, teams or systems.</t>
  </si>
  <si>
    <t>Standardize single source of truth for critical reports instead of manually reconciled spreadsheets, close coverage gaps, train accountable roles and connect controls to the relevant crisis scenarios and continuity plans.</t>
  </si>
  <si>
    <t>Measure and test single source of truth for critical reports instead of manually reconciled spreadsheets, run tabletop or operational stress tests, integrate it with dependent processes and update crisis playbooks.</t>
  </si>
  <si>
    <t>Sustain maturity for single source of truth for critical reports instead of manually reconciled spreadsheets: keep evidence current, monitor drift, benchmark externally and refresh risk tests after organizational, system or market changes.</t>
  </si>
  <si>
    <t>Immature capability for self-service analytics governance to avoid uncontrolled reporting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</si>
  <si>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self-service analytics governance to avoid uncontrolled reporting.</t>
  </si>
  <si>
    <t>Severe risk: self-service analytics governance to avoid uncontrolled reporting is not reliably controlled. During Decision failure; Data loss; Regulatory/legal shock, the organization may face poor decisions, unreliable reporting, data quality problems and unsafe or ineffective AI usage with limited visibility or accountability.</t>
  </si>
  <si>
    <t>High risk: self-service analytics governance to avoid uncontrolled reporting depends on informal practices or individual knowledge. Disruption may expose poor decisions, unreliable reporting, data quality problems and unsafe or ineffective AI usage and slow recovery.</t>
  </si>
  <si>
    <t>Elevated risk: self-service analytics governance to avoid uncontrolled reporting is partially controlled, but coverage, evidence or testing is inconsistent. Crisis response may be fragmented.</t>
  </si>
  <si>
    <t>Moderate risk: self-service analytics governance to avoid uncontrolled reporting is documented and owned, but measurement, stress testing and integration with dependent processes need strengthening.</t>
  </si>
  <si>
    <t>Residual risk: self-service analytics governance to avoid uncontrolled reporting is measured and reviewed, but monitoring, automation or scenario testing should be improved to prevent maturity drift.</t>
  </si>
  <si>
    <t>Low residual risk: self-service analytics governance to avoid uncontrolled reporting is mature and crisis-tested. Maintain monitoring, evidence, ownership and periodic stress testing.</t>
  </si>
  <si>
    <t>Create an immediate risk owner, minimum control baseline and fallback procedure for self-service analytics governance to avoid uncontrolled reporting. Add it to the crisis risk register and collect first evidence.</t>
  </si>
  <si>
    <t>Document self-service analytics governance to avoid uncontrolled reporting, assign RACI, define minimum controls and KPIs, and validate coverage across key sites, teams or systems.</t>
  </si>
  <si>
    <t>Standardize self-service analytics governance to avoid uncontrolled reporting, close coverage gaps, train accountable roles and connect controls to the relevant crisis scenarios and continuity plans.</t>
  </si>
  <si>
    <t>Measure and test self-service analytics governance to avoid uncontrolled reporting, run tabletop or operational stress tests, integrate it with dependent processes and update crisis playbooks.</t>
  </si>
  <si>
    <t>Sustain maturity for self-service analytics governance to avoid uncontrolled reporting: keep evidence current, monitor drift, benchmark externally and refresh risk tests after organizational, system or market changes.</t>
  </si>
  <si>
    <t>Immature capability for rapid ad hoc crisis reporting without breaking data controls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</si>
  <si>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rapid ad hoc crisis reporting without breaking data controls.</t>
  </si>
  <si>
    <t>Severe risk: rapid ad hoc crisis reporting without breaking data controls is not reliably controlled. During Decision failure; Data loss; Regulatory/legal shock, the organization may face poor decisions, unreliable reporting, data quality problems and unsafe or ineffective AI usage with limited visibility or accountability.</t>
  </si>
  <si>
    <t>High risk: rapid ad hoc crisis reporting without breaking data controls depends on informal practices or individual knowledge. Disruption may expose poor decisions, unreliable reporting, data quality problems and unsafe or ineffective AI usage and slow recovery.</t>
  </si>
  <si>
    <t>Elevated risk: rapid ad hoc crisis reporting without breaking data controls is partially controlled, but coverage, evidence or testing is inconsistent. Crisis response may be fragmented.</t>
  </si>
  <si>
    <t>Moderate risk: rapid ad hoc crisis reporting without breaking data controls is documented and owned, but measurement, stress testing and integration with dependent processes need strengthening.</t>
  </si>
  <si>
    <t>Residual risk: rapid ad hoc crisis reporting without breaking data controls is measured and reviewed, but monitoring, automation or scenario testing should be improved to prevent maturity drift.</t>
  </si>
  <si>
    <t>Low residual risk: rapid ad hoc crisis reporting without breaking data controls is mature and crisis-tested. Maintain monitoring, evidence, ownership and periodic stress testing.</t>
  </si>
  <si>
    <t>Create an immediate risk owner, minimum control baseline and fallback procedure for rapid ad hoc crisis reporting without breaking data controls. Add it to the crisis risk register and collect first evidence.</t>
  </si>
  <si>
    <t>Document rapid ad hoc crisis reporting without breaking data controls, assign RACI, define minimum controls and KPIs, and validate coverage across key sites, teams or systems.</t>
  </si>
  <si>
    <t>Standardize rapid ad hoc crisis reporting without breaking data controls, close coverage gaps, train accountable roles and connect controls to the relevant crisis scenarios and continuity plans.</t>
  </si>
  <si>
    <t>Measure and test rapid ad hoc crisis reporting without breaking data controls, run tabletop or operational stress tests, integrate it with dependent processes and update crisis playbooks.</t>
  </si>
  <si>
    <t>Sustain maturity for rapid ad hoc crisis reporting without breaking data controls: keep evidence current, monitor drift, benchmark externally and refresh risk tests after organizational, system or market changes.</t>
  </si>
  <si>
    <t>Immature capability for data literacy of managers and employees interpreting KPIs, forecasts and analytics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</si>
  <si>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data literacy of managers and employees interpreting KPIs, forecasts and analytics.</t>
  </si>
  <si>
    <t>Severe risk: data literacy of managers and employees interpreting KPIs, forecasts and analytics is not reliably controlled. During Decision failure; Data loss; Regulatory/legal shock, the organization may face poor decisions, unreliable reporting, data quality problems and unsafe or ineffective AI usage with limited visibility or accountability.</t>
  </si>
  <si>
    <t>High risk: data literacy of managers and employees interpreting KPIs, forecasts and analytics depends on informal practices or individual knowledge. Disruption may expose poor decisions, unreliable reporting, data quality problems and unsafe or ineffective AI usage and slow recovery.</t>
  </si>
  <si>
    <t>Elevated risk: data literacy of managers and employees interpreting KPIs, forecasts and analytics is partially controlled, but coverage, evidence or testing is inconsistent. Crisis response may be fragmented.</t>
  </si>
  <si>
    <t>Moderate risk: data literacy of managers and employees interpreting KPIs, forecasts and analytics is documented and owned, but measurement, stress testing and integration with dependent processes need strengthening.</t>
  </si>
  <si>
    <t>Residual risk: data literacy of managers and employees interpreting KPIs, forecasts and analytics is measured and reviewed, but monitoring, automation or scenario testing should be improved to prevent maturity drift.</t>
  </si>
  <si>
    <t>Low residual risk: data literacy of managers and employees interpreting KPIs, forecasts and analytics is mature and crisis-tested. Maintain monitoring, evidence, ownership and periodic stress testing.</t>
  </si>
  <si>
    <t>Create an immediate risk owner, minimum control baseline and fallback procedure for data literacy of managers and employees interpreting KPIs, forecasts and analytics. Add it to the crisis risk register and collect first evidence.</t>
  </si>
  <si>
    <t>Document data literacy of managers and employees interpreting KPIs, forecasts and analytics, assign RACI, define minimum controls and KPIs, and validate coverage across key sites, teams or systems.</t>
  </si>
  <si>
    <t>Standardize data literacy of managers and employees interpreting KPIs, forecasts and analytics, close coverage gaps, train accountable roles and connect controls to the relevant crisis scenarios and continuity plans.</t>
  </si>
  <si>
    <t>Measure and test data literacy of managers and employees interpreting KPIs, forecasts and analytics, run tabletop or operational stress tests, integrate it with dependent processes and update crisis playbooks.</t>
  </si>
  <si>
    <t>Sustain maturity for data literacy of managers and employees interpreting KPIs, forecasts and analytics: keep evidence current, monitor drift, benchmark externally and refresh risk tests after organizational, system or market changes.</t>
  </si>
  <si>
    <t>Immature capability for forecasting capability for demand, cash, inventory, workforce, production, churn or supplier risk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</si>
  <si>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forecasting capability for demand, cash, inventory, workforce, production, churn or supplier risk.</t>
  </si>
  <si>
    <t>Severe risk: forecasting capability for demand, cash, inventory, workforce, production, churn or supplier risk is not reliably controlled. During Decision failure; Data loss; Regulatory/legal shock, the organization may face poor decisions, unreliable reporting, data quality problems and unsafe or ineffective AI usage with limited visibility or accountability.</t>
  </si>
  <si>
    <t>High risk: forecasting capability for demand, cash, inventory, workforce, production, churn or supplier risk depends on informal practices or individual knowledge. Disruption may expose poor decisions, unreliable reporting, data quality problems and unsafe or ineffective AI usage and slow recovery.</t>
  </si>
  <si>
    <t>Elevated risk: forecasting capability for demand, cash, inventory, workforce, production, churn or supplier risk is partially controlled, but coverage, evidence or testing is inconsistent. Crisis response may be fragmented.</t>
  </si>
  <si>
    <t>Moderate risk: forecasting capability for demand, cash, inventory, workforce, production, churn or supplier risk is documented and owned, but measurement, stress testing and integration with dependent processes need strengthening.</t>
  </si>
  <si>
    <t>Residual risk: forecasting capability for demand, cash, inventory, workforce, production, churn or supplier risk is measured and reviewed, but monitoring, automation or scenario testing should be improved to prevent maturity drift.</t>
  </si>
  <si>
    <t>Low residual risk: forecasting capability for demand, cash, inventory, workforce, production, churn or supplier risk is mature and crisis-tested. Maintain monitoring, evidence, ownership and periodic stress testing.</t>
  </si>
  <si>
    <t>Create an immediate risk owner, minimum control baseline and fallback procedure for forecasting capability for demand, cash, inventory, workforce, production, churn or supplier risk. Add it to the crisis risk register and collect first evidence.</t>
  </si>
  <si>
    <t>Document forecasting capability for demand, cash, inventory, workforce, production, churn or supplier risk, assign RACI, define minimum controls and KPIs, and validate coverage across key sites, teams or systems.</t>
  </si>
  <si>
    <t>Standardize forecasting capability for demand, cash, inventory, workforce, production, churn or supplier risk, close coverage gaps, train accountable roles and connect controls to the relevant crisis scenarios and continuity plans.</t>
  </si>
  <si>
    <t>Measure and test forecasting capability for demand, cash, inventory, workforce, production, churn or supplier risk, run tabletop or operational stress tests, integrate it with dependent processes and update crisis playbooks.</t>
  </si>
  <si>
    <t>Sustain maturity for forecasting capability for demand, cash, inventory, workforce, production, churn or supplier risk: keep evidence current, monitor drift, benchmark externally and refresh risk tests after organizational, system or market changes.</t>
  </si>
  <si>
    <t>Immature capability for scenario modeling using sales, suppliers, workforce, cash, inventory and system downtime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</si>
  <si>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scenario modeling using sales, suppliers, workforce, cash, inventory and system downtime.</t>
  </si>
  <si>
    <t>Severe risk: scenario modeling using sales, suppliers, workforce, cash, inventory and system downtime is not reliably controlled. During Decision failure; Data loss; Regulatory/legal shock, the organization may face poor decisions, unreliable reporting, data quality problems and unsafe or ineffective AI usage with limited visibility or accountability.</t>
  </si>
  <si>
    <t>High risk: scenario modeling using sales, suppliers, workforce, cash, inventory and system downtime depends on informal practices or individual knowledge. Disruption may expose poor decisions, unreliable reporting, data quality problems and unsafe or ineffective AI usage and slow recovery.</t>
  </si>
  <si>
    <t>Elevated risk: scenario modeling using sales, suppliers, workforce, cash, inventory and system downtime is partially controlled, but coverage, evidence or testing is inconsistent. Crisis response may be fragmented.</t>
  </si>
  <si>
    <t>Moderate risk: scenario modeling using sales, suppliers, workforce, cash, inventory and system downtime is documented and owned, but measurement, stress testing and integration with dependent processes need strengthening.</t>
  </si>
  <si>
    <t>Residual risk: scenario modeling using sales, suppliers, workforce, cash, inventory and system downtime is measured and reviewed, but monitoring, automation or scenario testing should be improved to prevent maturity drift.</t>
  </si>
  <si>
    <t>Low residual risk: scenario modeling using sales, suppliers, workforce, cash, inventory and system downtime is mature and crisis-tested. Maintain monitoring, evidence, ownership and periodic stress testing.</t>
  </si>
  <si>
    <t>Create an immediate risk owner, minimum control baseline and fallback procedure for scenario modeling using sales, suppliers, workforce, cash, inventory and system downtime. Add it to the crisis risk register and collect first evidence.</t>
  </si>
  <si>
    <t>Document scenario modeling using sales, suppliers, workforce, cash, inventory and system downtime, assign RACI, define minimum controls and KPIs, and validate coverage across key sites, teams or systems.</t>
  </si>
  <si>
    <t>Standardize scenario modeling using sales, suppliers, workforce, cash, inventory and system downtime, close coverage gaps, train accountable roles and connect controls to the relevant crisis scenarios and continuity plans.</t>
  </si>
  <si>
    <t>Measure and test scenario modeling using sales, suppliers, workforce, cash, inventory and system downtime, run tabletop or operational stress tests, integrate it with dependent processes and update crisis playbooks.</t>
  </si>
  <si>
    <t>Sustain maturity for scenario modeling using sales, suppliers, workforce, cash, inventory and system downtime: keep evidence current, monitor drift, benchmark externally and refresh risk tests after organizational, system or market changes.</t>
  </si>
  <si>
    <t>Immature capability for leading indicators and early warnings built from internal and external data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</si>
  <si>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leading indicators and early warnings built from internal and external data.</t>
  </si>
  <si>
    <t>Severe risk: leading indicators and early warnings built from internal and external data is not reliably controlled. During Decision failure; Data loss; Regulatory/legal shock, the organization may face poor decisions, unreliable reporting, data quality problems and unsafe or ineffective AI usage with limited visibility or accountability.</t>
  </si>
  <si>
    <t>High risk: leading indicators and early warnings built from internal and external data depends on informal practices or individual knowledge. Disruption may expose poor decisions, unreliable reporting, data quality problems and unsafe or ineffective AI usage and slow recovery.</t>
  </si>
  <si>
    <t>Elevated risk: leading indicators and early warnings built from internal and external data is partially controlled, but coverage, evidence or testing is inconsistent. Crisis response may be fragmented.</t>
  </si>
  <si>
    <t>Moderate risk: leading indicators and early warnings built from internal and external data is documented and owned, but measurement, stress testing and integration with dependent processes need strengthening.</t>
  </si>
  <si>
    <t>Residual risk: leading indicators and early warnings built from internal and external data is measured and reviewed, but monitoring, automation or scenario testing should be improved to prevent maturity drift.</t>
  </si>
  <si>
    <t>Low residual risk: leading indicators and early warnings built from internal and external data is mature and crisis-tested. Maintain monitoring, evidence, ownership and periodic stress testing.</t>
  </si>
  <si>
    <t>Create an immediate risk owner, minimum control baseline and fallback procedure for leading indicators and early warnings built from internal and external data. Add it to the crisis risk register and collect first evidence.</t>
  </si>
  <si>
    <t>Document leading indicators and early warnings built from internal and external data, assign RACI, define minimum controls and KPIs, and validate coverage across key sites, teams or systems.</t>
  </si>
  <si>
    <t>Standardize leading indicators and early warnings built from internal and external data, close coverage gaps, train accountable roles and connect controls to the relevant crisis scenarios and continuity plans.</t>
  </si>
  <si>
    <t>Measure and test leading indicators and early warnings built from internal and external data, run tabletop or operational stress tests, integrate it with dependent processes and update crisis playbooks.</t>
  </si>
  <si>
    <t>Sustain maturity for leading indicators and early warnings built from internal and external data: keep evidence current, monitor drift, benchmark externally and refresh risk tests after organizational, system or market changes.</t>
  </si>
  <si>
    <t>Immature capability for model validation and backtesting for forecasts and risk models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</si>
  <si>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model validation and backtesting for forecasts and risk models.</t>
  </si>
  <si>
    <t>Severe risk: model validation and backtesting for forecasts and risk models is not reliably controlled. During Decision failure; Data loss; Regulatory/legal shock, the organization may face poor decisions, unreliable reporting, data quality problems and unsafe or ineffective AI usage with limited visibility or accountability.</t>
  </si>
  <si>
    <t>High risk: model validation and backtesting for forecasts and risk models depends on informal practices or individual knowledge. Disruption may expose poor decisions, unreliable reporting, data quality problems and unsafe or ineffective AI usage and slow recovery.</t>
  </si>
  <si>
    <t>Elevated risk: model validation and backtesting for forecasts and risk models is partially controlled, but coverage, evidence or testing is inconsistent. Crisis response may be fragmented.</t>
  </si>
  <si>
    <t>Moderate risk: model validation and backtesting for forecasts and risk models is documented and owned, but measurement, stress testing and integration with dependent processes need strengthening.</t>
  </si>
  <si>
    <t>Residual risk: model validation and backtesting for forecasts and risk models is measured and reviewed, but monitoring, automation or scenario testing should be improved to prevent maturity drift.</t>
  </si>
  <si>
    <t>Low residual risk: model validation and backtesting for forecasts and risk models is mature and crisis-tested. Maintain monitoring, evidence, ownership and periodic stress testing.</t>
  </si>
  <si>
    <t>Create an immediate risk owner, minimum control baseline and fallback procedure for model validation and backtesting for forecasts and risk models. Add it to the crisis risk register and collect first evidence.</t>
  </si>
  <si>
    <t>Document model validation and backtesting for forecasts and risk models, assign RACI, define minimum controls and KPIs, and validate coverage across key sites, teams or systems.</t>
  </si>
  <si>
    <t>Standardize model validation and backtesting for forecasts and risk models, close coverage gaps, train accountable roles and connect controls to the relevant crisis scenarios and continuity plans.</t>
  </si>
  <si>
    <t>Measure and test model validation and backtesting for forecasts and risk models, run tabletop or operational stress tests, integrate it with dependent processes and update crisis playbooks.</t>
  </si>
  <si>
    <t>Sustain maturity for model validation and backtesting for forecasts and risk models: keep evidence current, monitor drift, benchmark externally and refresh risk tests after organizational, system or market changes.</t>
  </si>
  <si>
    <t>Immature capability for AI and analytics use case portfolio linked to business value, risk and feasibility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</si>
  <si>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AI and analytics use case portfolio linked to business value, risk and feasibility.</t>
  </si>
  <si>
    <t>Severe risk: AI and analytics use case portfolio linked to business value, risk and feasibility is not reliably controlled. During Decision failure; Data loss; Regulatory/legal shock, the organization may face poor decisions, unreliable reporting, data quality problems and unsafe or ineffective AI usage with limited visibility or accountability.</t>
  </si>
  <si>
    <t>High risk: AI and analytics use case portfolio linked to business value, risk and feasibility depends on informal practices or individual knowledge. Disruption may expose poor decisions, unreliable reporting, data quality problems and unsafe or ineffective AI usage and slow recovery.</t>
  </si>
  <si>
    <t>Elevated risk: AI and analytics use case portfolio linked to business value, risk and feasibility is partially controlled, but coverage, evidence or testing is inconsistent. Crisis response may be fragmented.</t>
  </si>
  <si>
    <t>Moderate risk: AI and analytics use case portfolio linked to business value, risk and feasibility is documented and owned, but measurement, stress testing and integration with dependent processes need strengthening.</t>
  </si>
  <si>
    <t>Residual risk: AI and analytics use case portfolio linked to business value, risk and feasibility is measured and reviewed, but monitoring, automation or scenario testing should be improved to prevent maturity drift.</t>
  </si>
  <si>
    <t>Low residual risk: AI and analytics use case portfolio linked to business value, risk and feasibility is mature and crisis-tested. Maintain monitoring, evidence, ownership and periodic stress testing.</t>
  </si>
  <si>
    <t>Create an immediate risk owner, minimum control baseline and fallback procedure for AI and analytics use case portfolio linked to business value, risk and feasibility. Add it to the crisis risk register and collect first evidence.</t>
  </si>
  <si>
    <t>Document AI and analytics use case portfolio linked to business value, risk and feasibility, assign RACI, define minimum controls and KPIs, and validate coverage across key sites, teams or systems.</t>
  </si>
  <si>
    <t>Standardize AI and analytics use case portfolio linked to business value, risk and feasibility, close coverage gaps, train accountable roles and connect controls to the relevant crisis scenarios and continuity plans.</t>
  </si>
  <si>
    <t>Measure and test AI and analytics use case portfolio linked to business value, risk and feasibility, run tabletop or operational stress tests, integrate it with dependent processes and update crisis playbooks.</t>
  </si>
  <si>
    <t>Sustain maturity for AI and analytics use case portfolio linked to business value, risk and feasibility: keep evidence current, monitor drift, benchmark externally and refresh risk tests after organizational, system or market changes.</t>
  </si>
  <si>
    <t>Immature capability for AI governance for privacy, security, explainability, bias, human oversight and model risk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</si>
  <si>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AI governance for privacy, security, explainability, bias, human oversight and model risk.</t>
  </si>
  <si>
    <t>Severe risk: AI governance for privacy, security, explainability, bias, human oversight and model risk is not reliably controlled. During Decision failure; Data loss; Regulatory/legal shock, the organization may face poor decisions, unreliable reporting, data quality problems and unsafe or ineffective AI usage with limited visibility or accountability.</t>
  </si>
  <si>
    <t>High risk: AI governance for privacy, security, explainability, bias, human oversight and model risk depends on informal practices or individual knowledge. Disruption may expose poor decisions, unreliable reporting, data quality problems and unsafe or ineffective AI usage and slow recovery.</t>
  </si>
  <si>
    <t>Elevated risk: AI governance for privacy, security, explainability, bias, human oversight and model risk is partially controlled, but coverage, evidence or testing is inconsistent. Crisis response may be fragmented.</t>
  </si>
  <si>
    <t>Moderate risk: AI governance for privacy, security, explainability, bias, human oversight and model risk is documented and owned, but measurement, stress testing and integration with dependent processes need strengthening.</t>
  </si>
  <si>
    <t>Residual risk: AI governance for privacy, security, explainability, bias, human oversight and model risk is measured and reviewed, but monitoring, automation or scenario testing should be improved to prevent maturity drift.</t>
  </si>
  <si>
    <t>Low residual risk: AI governance for privacy, security, explainability, bias, human oversight and model risk is mature and crisis-tested. Maintain monitoring, evidence, ownership and periodic stress testing.</t>
  </si>
  <si>
    <t>Create an immediate risk owner, minimum control baseline and fallback procedure for AI governance for privacy, security, explainability, bias, human oversight and model risk. Add it to the crisis risk register and collect first evidence.</t>
  </si>
  <si>
    <t>Document AI governance for privacy, security, explainability, bias, human oversight and model risk, assign RACI, define minimum controls and KPIs, and validate coverage across key sites, teams or systems.</t>
  </si>
  <si>
    <t>Standardize AI governance for privacy, security, explainability, bias, human oversight and model risk, close coverage gaps, train accountable roles and connect controls to the relevant crisis scenarios and continuity plans.</t>
  </si>
  <si>
    <t>Measure and test AI governance for privacy, security, explainability, bias, human oversight and model risk, run tabletop or operational stress tests, integrate it with dependent processes and update crisis playbooks.</t>
  </si>
  <si>
    <t>Sustain maturity for AI governance for privacy, security, explainability, bias, human oversight and model risk: keep evidence current, monitor drift, benchmark externally and refresh risk tests after organizational, system or market changes.</t>
  </si>
  <si>
    <t>Immature capability for LLM usage policy covering data leakage, IP, accuracy, approval and acceptable use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</si>
  <si>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LLM usage policy covering data leakage, IP, accuracy, approval and acceptable use.</t>
  </si>
  <si>
    <t>Severe risk: LLM usage policy covering data leakage, IP, accuracy, approval and acceptable use is not reliably controlled. During Decision failure; Data loss; Regulatory/legal shock, the organization may face poor decisions, unreliable reporting, data quality problems and unsafe or ineffective AI usage with limited visibility or accountability.</t>
  </si>
  <si>
    <t>High risk: LLM usage policy covering data leakage, IP, accuracy, approval and acceptable use depends on informal practices or individual knowledge. Disruption may expose poor decisions, unreliable reporting, data quality problems and unsafe or ineffective AI usage and slow recovery.</t>
  </si>
  <si>
    <t>Elevated risk: LLM usage policy covering data leakage, IP, accuracy, approval and acceptable use is partially controlled, but coverage, evidence or testing is inconsistent. Crisis response may be fragmented.</t>
  </si>
  <si>
    <t>Moderate risk: LLM usage policy covering data leakage, IP, accuracy, approval and acceptable use is documented and owned, but measurement, stress testing and integration with dependent processes need strengthening.</t>
  </si>
  <si>
    <t>Residual risk: LLM usage policy covering data leakage, IP, accuracy, approval and acceptable use is measured and reviewed, but monitoring, automation or scenario testing should be improved to prevent maturity drift.</t>
  </si>
  <si>
    <t>Low residual risk: LLM usage policy covering data leakage, IP, accuracy, approval and acceptable use is mature and crisis-tested. Maintain monitoring, evidence, ownership and periodic stress testing.</t>
  </si>
  <si>
    <t>Create an immediate risk owner, minimum control baseline and fallback procedure for LLM usage policy covering data leakage, IP, accuracy, approval and acceptable use. Add it to the crisis risk register and collect first evidence.</t>
  </si>
  <si>
    <t>Document LLM usage policy covering data leakage, IP, accuracy, approval and acceptable use, assign RACI, define minimum controls and KPIs, and validate coverage across key sites, teams or systems.</t>
  </si>
  <si>
    <t>Standardize LLM usage policy covering data leakage, IP, accuracy, approval and acceptable use, close coverage gaps, train accountable roles and connect controls to the relevant crisis scenarios and continuity plans.</t>
  </si>
  <si>
    <t>Measure and test LLM usage policy covering data leakage, IP, accuracy, approval and acceptable use, run tabletop or operational stress tests, integrate it with dependent processes and update crisis playbooks.</t>
  </si>
  <si>
    <t>Sustain maturity for LLM usage policy covering data leakage, IP, accuracy, approval and acceptable use: keep evidence current, monitor drift, benchmark externally and refresh risk tests after organizational, system or market changes.</t>
  </si>
  <si>
    <t>Immature capability for AI model register and monitoring for drift, accuracy, performance and business impact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</si>
  <si>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AI model register and monitoring for drift, accuracy, performance and business impact.</t>
  </si>
  <si>
    <t>Severe risk: AI model register and monitoring for drift, accuracy, performance and business impact is not reliably controlled. During Decision failure; Data loss; Regulatory/legal shock, the organization may face poor decisions, unreliable reporting, data quality problems and unsafe or ineffective AI usage with limited visibility or accountability.</t>
  </si>
  <si>
    <t>High risk: AI model register and monitoring for drift, accuracy, performance and business impact depends on informal practices or individual knowledge. Disruption may expose poor decisions, unreliable reporting, data quality problems and unsafe or ineffective AI usage and slow recovery.</t>
  </si>
  <si>
    <t>Elevated risk: AI model register and monitoring for drift, accuracy, performance and business impact is partially controlled, but coverage, evidence or testing is inconsistent. Crisis response may be fragmented.</t>
  </si>
  <si>
    <t>Moderate risk: AI model register and monitoring for drift, accuracy, performance and business impact is documented and owned, but measurement, stress testing and integration with dependent processes need strengthening.</t>
  </si>
  <si>
    <t>Residual risk: AI model register and monitoring for drift, accuracy, performance and business impact is measured and reviewed, but monitoring, automation or scenario testing should be improved to prevent maturity drift.</t>
  </si>
  <si>
    <t>Low residual risk: AI model register and monitoring for drift, accuracy, performance and business impact is mature and crisis-tested. Maintain monitoring, evidence, ownership and periodic stress testing.</t>
  </si>
  <si>
    <t>Create an immediate risk owner, minimum control baseline and fallback procedure for AI model register and monitoring for drift, accuracy, performance and business impact. Add it to the crisis risk register and collect first evidence.</t>
  </si>
  <si>
    <t>Document AI model register and monitoring for drift, accuracy, performance and business impact, assign RACI, define minimum controls and KPIs, and validate coverage across key sites, teams or systems.</t>
  </si>
  <si>
    <t>Standardize AI model register and monitoring for drift, accuracy, performance and business impact, close coverage gaps, train accountable roles and connect controls to the relevant crisis scenarios and continuity plans.</t>
  </si>
  <si>
    <t>Measure and test AI model register and monitoring for drift, accuracy, performance and business impact, run tabletop or operational stress tests, integrate it with dependent processes and update crisis playbooks.</t>
  </si>
  <si>
    <t>Sustain maturity for AI model register and monitoring for drift, accuracy, performance and business impact: keep evidence current, monitor drift, benchmark externally and refresh risk tests after organizational, system or market changes.</t>
  </si>
  <si>
    <t>Immature capability for responsible AI controls for customer-facing, employee-facing and decision-support use cases may lead to poor decisions, unreliable reporting, data quality problems and unsafe or ineffective AI usage during Decision failure; Data loss; Regulatory/legal shock.</t>
  </si>
  <si>
    <t>Low maturity, weak ownership, incomplete evidence, insufficient testing and poor integration with crisis-management routines for responsible AI controls for customer-facing, employee-facing and decision-support use cases.</t>
  </si>
  <si>
    <t>Severe risk: responsible AI controls for customer-facing, employee-facing and decision-support use cases is not reliably controlled. During Decision failure; Data loss; Regulatory/legal shock, the organization may face poor decisions, unreliable reporting, data quality problems and unsafe or ineffective AI usage with limited visibility or accountability.</t>
  </si>
  <si>
    <t>High risk: responsible AI controls for customer-facing, employee-facing and decision-support use cases depends on informal practices or individual knowledge. Disruption may expose poor decisions, unreliable reporting, data quality problems and unsafe or ineffective AI usage and slow recovery.</t>
  </si>
  <si>
    <t>Elevated risk: responsible AI controls for customer-facing, employee-facing and decision-support use cases is partially controlled, but coverage, evidence or testing is inconsistent. Crisis response may be fragmented.</t>
  </si>
  <si>
    <t>Moderate risk: responsible AI controls for customer-facing, employee-facing and decision-support use cases is documented and owned, but measurement, stress testing and integration with dependent processes need strengthening.</t>
  </si>
  <si>
    <t>Residual risk: responsible AI controls for customer-facing, employee-facing and decision-support use cases is measured and reviewed, but monitoring, automation or scenario testing should be improved to prevent maturity drift.</t>
  </si>
  <si>
    <t>Low residual risk: responsible AI controls for customer-facing, employee-facing and decision-support use cases is mature and crisis-tested. Maintain monitoring, evidence, ownership and periodic stress testing.</t>
  </si>
  <si>
    <t>Create an immediate risk owner, minimum control baseline and fallback procedure for responsible AI controls for customer-facing, employee-facing and decision-support use cases. Add it to the crisis risk register and collect first evidence.</t>
  </si>
  <si>
    <t>Document responsible AI controls for customer-facing, employee-facing and decision-support use cases, assign RACI, define minimum controls and KPIs, and validate coverage across key sites, teams or systems.</t>
  </si>
  <si>
    <t>Standardize responsible AI controls for customer-facing, employee-facing and decision-support use cases, close coverage gaps, train accountable roles and connect controls to the relevant crisis scenarios and continuity plans.</t>
  </si>
  <si>
    <t>Measure and test responsible AI controls for customer-facing, employee-facing and decision-support use cases, run tabletop or operational stress tests, integrate it with dependent processes and update crisis playbooks.</t>
  </si>
  <si>
    <t>Sustain maturity for responsible AI controls for customer-facing, employee-facing and decision-support use cases: keep evidence current, monitor drift, benchmark externally and refresh risk tests after organizational, system or market changes.</t>
  </si>
  <si>
    <t>Immature capability for information security management system with policies, owners, risks and controls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</si>
  <si>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information security management system with policies, owners, risks and controls.</t>
  </si>
  <si>
    <t>Severe risk: information security management system with policies, owners, risks and controls is not reliably controlled. During Cyberattack; Data breach; Ransomware; Insider threat, the organization may face security incident, data breach, privilege misuse, privacy violation and regulatory exposure with limited visibility or accountability.</t>
  </si>
  <si>
    <t>High risk: information security management system with policies, owners, risks and controls depends on informal practices or individual knowledge. Disruption may expose security incident, data breach, privilege misuse, privacy violation and regulatory exposure and slow recovery.</t>
  </si>
  <si>
    <t>Elevated risk: information security management system with policies, owners, risks and controls is partially controlled, but coverage, evidence or testing is inconsistent. Crisis response may be fragmented.</t>
  </si>
  <si>
    <t>Moderate risk: information security management system with policies, owners, risks and controls is documented and owned, but measurement, stress testing and integration with dependent processes need strengthening.</t>
  </si>
  <si>
    <t>Residual risk: information security management system with policies, owners, risks and controls is measured and reviewed, but monitoring, automation or scenario testing should be improved to prevent maturity drift.</t>
  </si>
  <si>
    <t>Low residual risk: information security management system with policies, owners, risks and controls is mature and crisis-tested. Maintain monitoring, evidence, ownership and periodic stress testing.</t>
  </si>
  <si>
    <t>Create an immediate risk owner, minimum control baseline and fallback procedure for information security management system with policies, owners, risks and controls. Add it to the crisis risk register and collect first evidence.</t>
  </si>
  <si>
    <t>Document information security management system with policies, owners, risks and controls, assign RACI, define minimum controls and KPIs, and validate coverage across key sites, teams or systems.</t>
  </si>
  <si>
    <t>Standardize information security management system with policies, owners, risks and controls, close coverage gaps, train accountable roles and connect controls to the relevant crisis scenarios and continuity plans.</t>
  </si>
  <si>
    <t>Measure and test information security management system with policies, owners, risks and controls, run tabletop or operational stress tests, integrate it with dependent processes and update crisis playbooks.</t>
  </si>
  <si>
    <t>Sustain maturity for information security management system with policies, owners, risks and controls: keep evidence current, monitor drift, benchmark externally and refresh risk tests after organizational, system or market changes.</t>
  </si>
  <si>
    <t>Immature capability for cyber risk register linked to business impact and crisis scenarios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</si>
  <si>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cyber risk register linked to business impact and crisis scenarios.</t>
  </si>
  <si>
    <t>Severe risk: cyber risk register linked to business impact and crisis scenarios is not reliably controlled. During Cyberattack; Data breach; Ransomware; Insider threat, the organization may face security incident, data breach, privilege misuse, privacy violation and regulatory exposure with limited visibility or accountability.</t>
  </si>
  <si>
    <t>High risk: cyber risk register linked to business impact and crisis scenarios depends on informal practices or individual knowledge. Disruption may expose security incident, data breach, privilege misuse, privacy violation and regulatory exposure and slow recovery.</t>
  </si>
  <si>
    <t>Elevated risk: cyber risk register linked to business impact and crisis scenarios is partially controlled, but coverage, evidence or testing is inconsistent. Crisis response may be fragmented.</t>
  </si>
  <si>
    <t>Moderate risk: cyber risk register linked to business impact and crisis scenarios is documented and owned, but measurement, stress testing and integration with dependent processes need strengthening.</t>
  </si>
  <si>
    <t>Residual risk: cyber risk register linked to business impact and crisis scenarios is measured and reviewed, but monitoring, automation or scenario testing should be improved to prevent maturity drift.</t>
  </si>
  <si>
    <t>Low residual risk: cyber risk register linked to business impact and crisis scenarios is mature and crisis-tested. Maintain monitoring, evidence, ownership and periodic stress testing.</t>
  </si>
  <si>
    <t>Create an immediate risk owner, minimum control baseline and fallback procedure for cyber risk register linked to business impact and crisis scenarios. Add it to the crisis risk register and collect first evidence.</t>
  </si>
  <si>
    <t>Document cyber risk register linked to business impact and crisis scenarios, assign RACI, define minimum controls and KPIs, and validate coverage across key sites, teams or systems.</t>
  </si>
  <si>
    <t>Standardize cyber risk register linked to business impact and crisis scenarios, close coverage gaps, train accountable roles and connect controls to the relevant crisis scenarios and continuity plans.</t>
  </si>
  <si>
    <t>Measure and test cyber risk register linked to business impact and crisis scenarios, run tabletop or operational stress tests, integrate it with dependent processes and update crisis playbooks.</t>
  </si>
  <si>
    <t>Sustain maturity for cyber risk register linked to business impact and crisis scenarios: keep evidence current, monitor drift, benchmark externally and refresh risk tests after organizational, system or market changes.</t>
  </si>
  <si>
    <t>Immature capability for security KPI reporting to leadership covering vulnerabilities, incidents, MFA, phishing, backups and access reviews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</si>
  <si>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security KPI reporting to leadership covering vulnerabilities, incidents, MFA, phishing, backups and access reviews.</t>
  </si>
  <si>
    <t>Severe risk: security KPI reporting to leadership covering vulnerabilities, incidents, MFA, phishing, backups and access reviews is not reliably controlled. During Cyberattack; Data breach; Ransomware; Insider threat, the organization may face security incident, data breach, privilege misuse, privacy violation and regulatory exposure with limited visibility or accountability.</t>
  </si>
  <si>
    <t>High risk: security KPI reporting to leadership covering vulnerabilities, incidents, MFA, phishing, backups and access reviews depends on informal practices or individual knowledge. Disruption may expose security incident, data breach, privilege misuse, privacy violation and regulatory exposure and slow recovery.</t>
  </si>
  <si>
    <t>Elevated risk: security KPI reporting to leadership covering vulnerabilities, incidents, MFA, phishing, backups and access reviews is partially controlled, but coverage, evidence or testing is inconsistent. Crisis response may be fragmented.</t>
  </si>
  <si>
    <t>Moderate risk: security KPI reporting to leadership covering vulnerabilities, incidents, MFA, phishing, backups and access reviews is documented and owned, but measurement, stress testing and integration with dependent processes need strengthening.</t>
  </si>
  <si>
    <t>Residual risk: security KPI reporting to leadership covering vulnerabilities, incidents, MFA, phishing, backups and access reviews is measured and reviewed, but monitoring, automation or scenario testing should be improved to prevent maturity drift.</t>
  </si>
  <si>
    <t>Low residual risk: security KPI reporting to leadership covering vulnerabilities, incidents, MFA, phishing, backups and access reviews is mature and crisis-tested. Maintain monitoring, evidence, ownership and periodic stress testing.</t>
  </si>
  <si>
    <t>Create an immediate risk owner, minimum control baseline and fallback procedure for security KPI reporting to leadership covering vulnerabilities, incidents, MFA, phishing, backups and access reviews. Add it to the crisis risk register and collect first evidence.</t>
  </si>
  <si>
    <t>Document security KPI reporting to leadership covering vulnerabilities, incidents, MFA, phishing, backups and access reviews, assign RACI, define minimum controls and KPIs, and validate coverage across key sites, teams or systems.</t>
  </si>
  <si>
    <t>Standardize security KPI reporting to leadership covering vulnerabilities, incidents, MFA, phishing, backups and access reviews, close coverage gaps, train accountable roles and connect controls to the relevant crisis scenarios and continuity plans.</t>
  </si>
  <si>
    <t>Measure and test security KPI reporting to leadership covering vulnerabilities, incidents, MFA, phishing, backups and access reviews, run tabletop or operational stress tests, integrate it with dependent processes and update crisis playbooks.</t>
  </si>
  <si>
    <t>Sustain maturity for security KPI reporting to leadership covering vulnerabilities, incidents, MFA, phishing, backups and access reviews: keep evidence current, monitor drift, benchmark externally and refresh risk tests after organizational, system or market changes.</t>
  </si>
  <si>
    <t>Immature capability for security evidence readiness for customers, regulators, insurers and partners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</si>
  <si>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security evidence readiness for customers, regulators, insurers and partners.</t>
  </si>
  <si>
    <t>Severe risk: security evidence readiness for customers, regulators, insurers and partners is not reliably controlled. During Cyberattack; Data breach; Ransomware; Insider threat, the organization may face security incident, data breach, privilege misuse, privacy violation and regulatory exposure with limited visibility or accountability.</t>
  </si>
  <si>
    <t>High risk: security evidence readiness for customers, regulators, insurers and partners depends on informal practices or individual knowledge. Disruption may expose security incident, data breach, privilege misuse, privacy violation and regulatory exposure and slow recovery.</t>
  </si>
  <si>
    <t>Elevated risk: security evidence readiness for customers, regulators, insurers and partners is partially controlled, but coverage, evidence or testing is inconsistent. Crisis response may be fragmented.</t>
  </si>
  <si>
    <t>Moderate risk: security evidence readiness for customers, regulators, insurers and partners is documented and owned, but measurement, stress testing and integration with dependent processes need strengthening.</t>
  </si>
  <si>
    <t>Residual risk: security evidence readiness for customers, regulators, insurers and partners is measured and reviewed, but monitoring, automation or scenario testing should be improved to prevent maturity drift.</t>
  </si>
  <si>
    <t>Low residual risk: security evidence readiness for customers, regulators, insurers and partners is mature and crisis-tested. Maintain monitoring, evidence, ownership and periodic stress testing.</t>
  </si>
  <si>
    <t>Create an immediate risk owner, minimum control baseline and fallback procedure for security evidence readiness for customers, regulators, insurers and partners. Add it to the crisis risk register and collect first evidence.</t>
  </si>
  <si>
    <t>Document security evidence readiness for customers, regulators, insurers and partners, assign RACI, define minimum controls and KPIs, and validate coverage across key sites, teams or systems.</t>
  </si>
  <si>
    <t>Standardize security evidence readiness for customers, regulators, insurers and partners, close coverage gaps, train accountable roles and connect controls to the relevant crisis scenarios and continuity plans.</t>
  </si>
  <si>
    <t>Measure and test security evidence readiness for customers, regulators, insurers and partners, run tabletop or operational stress tests, integrate it with dependent processes and update crisis playbooks.</t>
  </si>
  <si>
    <t>Sustain maturity for security evidence readiness for customers, regulators, insurers and partners: keep evidence current, monitor drift, benchmark externally and refresh risk tests after organizational, system or market changes.</t>
  </si>
  <si>
    <t>Immature capability for third-party cyber risk assessment for critical vendors and outsourced services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</si>
  <si>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third-party cyber risk assessment for critical vendors and outsourced services.</t>
  </si>
  <si>
    <t>Severe risk: third-party cyber risk assessment for critical vendors and outsourced services is not reliably controlled. During Cyberattack; Data breach; Ransomware; Insider threat, the organization may face security incident, data breach, privilege misuse, privacy violation and regulatory exposure with limited visibility or accountability.</t>
  </si>
  <si>
    <t>High risk: third-party cyber risk assessment for critical vendors and outsourced services depends on informal practices or individual knowledge. Disruption may expose security incident, data breach, privilege misuse, privacy violation and regulatory exposure and slow recovery.</t>
  </si>
  <si>
    <t>Elevated risk: third-party cyber risk assessment for critical vendors and outsourced services is partially controlled, but coverage, evidence or testing is inconsistent. Crisis response may be fragmented.</t>
  </si>
  <si>
    <t>Moderate risk: third-party cyber risk assessment for critical vendors and outsourced services is documented and owned, but measurement, stress testing and integration with dependent processes need strengthening.</t>
  </si>
  <si>
    <t>Residual risk: third-party cyber risk assessment for critical vendors and outsourced services is measured and reviewed, but monitoring, automation or scenario testing should be improved to prevent maturity drift.</t>
  </si>
  <si>
    <t>Low residual risk: third-party cyber risk assessment for critical vendors and outsourced services is mature and crisis-tested. Maintain monitoring, evidence, ownership and periodic stress testing.</t>
  </si>
  <si>
    <t>Create an immediate risk owner, minimum control baseline and fallback procedure for third-party cyber risk assessment for critical vendors and outsourced services. Add it to the crisis risk register and collect first evidence.</t>
  </si>
  <si>
    <t>Document third-party cyber risk assessment for critical vendors and outsourced services, assign RACI, define minimum controls and KPIs, and validate coverage across key sites, teams or systems.</t>
  </si>
  <si>
    <t>Standardize third-party cyber risk assessment for critical vendors and outsourced services, close coverage gaps, train accountable roles and connect controls to the relevant crisis scenarios and continuity plans.</t>
  </si>
  <si>
    <t>Measure and test third-party cyber risk assessment for critical vendors and outsourced services, run tabletop or operational stress tests, integrate it with dependent processes and update crisis playbooks.</t>
  </si>
  <si>
    <t>Sustain maturity for third-party cyber risk assessment for critical vendors and outsourced services: keep evidence current, monitor drift, benchmark externally and refresh risk tests after organizational, system or market changes.</t>
  </si>
  <si>
    <t>Immature capability for security awareness and phishing training for employees and contractors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</si>
  <si>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security awareness and phishing training for employees and contractors.</t>
  </si>
  <si>
    <t>Severe risk: security awareness and phishing training for employees and contractors is not reliably controlled. During Cyberattack; Data breach; Ransomware; Insider threat, the organization may face security incident, data breach, privilege misuse, privacy violation and regulatory exposure with limited visibility or accountability.</t>
  </si>
  <si>
    <t>High risk: security awareness and phishing training for employees and contractors depends on informal practices or individual knowledge. Disruption may expose security incident, data breach, privilege misuse, privacy violation and regulatory exposure and slow recovery.</t>
  </si>
  <si>
    <t>Elevated risk: security awareness and phishing training for employees and contractors is partially controlled, but coverage, evidence or testing is inconsistent. Crisis response may be fragmented.</t>
  </si>
  <si>
    <t>Moderate risk: security awareness and phishing training for employees and contractors is documented and owned, but measurement, stress testing and integration with dependent processes need strengthening.</t>
  </si>
  <si>
    <t>Residual risk: security awareness and phishing training for employees and contractors is measured and reviewed, but monitoring, automation or scenario testing should be improved to prevent maturity drift.</t>
  </si>
  <si>
    <t>Low residual risk: security awareness and phishing training for employees and contractors is mature and crisis-tested. Maintain monitoring, evidence, ownership and periodic stress testing.</t>
  </si>
  <si>
    <t>Create an immediate risk owner, minimum control baseline and fallback procedure for security awareness and phishing training for employees and contractors. Add it to the crisis risk register and collect first evidence.</t>
  </si>
  <si>
    <t>Document security awareness and phishing training for employees and contractors, assign RACI, define minimum controls and KPIs, and validate coverage across key sites, teams or systems.</t>
  </si>
  <si>
    <t>Standardize security awareness and phishing training for employees and contractors, close coverage gaps, train accountable roles and connect controls to the relevant crisis scenarios and continuity plans.</t>
  </si>
  <si>
    <t>Measure and test security awareness and phishing training for employees and contractors, run tabletop or operational stress tests, integrate it with dependent processes and update crisis playbooks.</t>
  </si>
  <si>
    <t>Sustain maturity for security awareness and phishing training for employees and contractors: keep evidence current, monitor drift, benchmark externally and refresh risk tests after organizational, system or market changes.</t>
  </si>
  <si>
    <t>Immature capability for joiner-mover-leaver access lifecycle across systems, SaaS and physical access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</si>
  <si>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joiner-mover-leaver access lifecycle across systems, SaaS and physical access.</t>
  </si>
  <si>
    <t>Severe risk: joiner-mover-leaver access lifecycle across systems, SaaS and physical access is not reliably controlled. During Cyberattack; Data breach; Ransomware; Insider threat, the organization may face security incident, data breach, privilege misuse, privacy violation and regulatory exposure with limited visibility or accountability.</t>
  </si>
  <si>
    <t>High risk: joiner-mover-leaver access lifecycle across systems, SaaS and physical access depends on informal practices or individual knowledge. Disruption may expose security incident, data breach, privilege misuse, privacy violation and regulatory exposure and slow recovery.</t>
  </si>
  <si>
    <t>Elevated risk: joiner-mover-leaver access lifecycle across systems, SaaS and physical access is partially controlled, but coverage, evidence or testing is inconsistent. Crisis response may be fragmented.</t>
  </si>
  <si>
    <t>Moderate risk: joiner-mover-leaver access lifecycle across systems, SaaS and physical access is documented and owned, but measurement, stress testing and integration with dependent processes need strengthening.</t>
  </si>
  <si>
    <t>Residual risk: joiner-mover-leaver access lifecycle across systems, SaaS and physical access is measured and reviewed, but monitoring, automation or scenario testing should be improved to prevent maturity drift.</t>
  </si>
  <si>
    <t>Low residual risk: joiner-mover-leaver access lifecycle across systems, SaaS and physical access is mature and crisis-tested. Maintain monitoring, evidence, ownership and periodic stress testing.</t>
  </si>
  <si>
    <t>Create an immediate risk owner, minimum control baseline and fallback procedure for joiner-mover-leaver access lifecycle across systems, SaaS and physical access. Add it to the crisis risk register and collect first evidence.</t>
  </si>
  <si>
    <t>Document joiner-mover-leaver access lifecycle across systems, SaaS and physical access, assign RACI, define minimum controls and KPIs, and validate coverage across key sites, teams or systems.</t>
  </si>
  <si>
    <t>Standardize joiner-mover-leaver access lifecycle across systems, SaaS and physical access, close coverage gaps, train accountable roles and connect controls to the relevant crisis scenarios and continuity plans.</t>
  </si>
  <si>
    <t>Measure and test joiner-mover-leaver access lifecycle across systems, SaaS and physical access, run tabletop or operational stress tests, integrate it with dependent processes and update crisis playbooks.</t>
  </si>
  <si>
    <t>Sustain maturity for joiner-mover-leaver access lifecycle across systems, SaaS and physical access: keep evidence current, monitor drift, benchmark externally and refresh risk tests after organizational, system or market changes.</t>
  </si>
  <si>
    <t>Immature capability for MFA enforcement for email, cloud, VPN/ZTNA, admin accounts, finance systems and critical SaaS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</si>
  <si>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MFA enforcement for email, cloud, VPN/ZTNA, admin accounts, finance systems and critical SaaS.</t>
  </si>
  <si>
    <t>Severe risk: MFA enforcement for email, cloud, VPN/ZTNA, admin accounts, finance systems and critical SaaS is not reliably controlled. During Cyberattack; Data breach; Ransomware; Insider threat, the organization may face security incident, data breach, privilege misuse, privacy violation and regulatory exposure with limited visibility or accountability.</t>
  </si>
  <si>
    <t>High risk: MFA enforcement for email, cloud, VPN/ZTNA, admin accounts, finance systems and critical SaaS depends on informal practices or individual knowledge. Disruption may expose security incident, data breach, privilege misuse, privacy violation and regulatory exposure and slow recovery.</t>
  </si>
  <si>
    <t>Elevated risk: MFA enforcement for email, cloud, VPN/ZTNA, admin accounts, finance systems and critical SaaS is partially controlled, but coverage, evidence or testing is inconsistent. Crisis response may be fragmented.</t>
  </si>
  <si>
    <t>Moderate risk: MFA enforcement for email, cloud, VPN/ZTNA, admin accounts, finance systems and critical SaaS is documented and owned, but measurement, stress testing and integration with dependent processes need strengthening.</t>
  </si>
  <si>
    <t>Residual risk: MFA enforcement for email, cloud, VPN/ZTNA, admin accounts, finance systems and critical SaaS is measured and reviewed, but monitoring, automation or scenario testing should be improved to prevent maturity drift.</t>
  </si>
  <si>
    <t>Low residual risk: MFA enforcement for email, cloud, VPN/ZTNA, admin accounts, finance systems and critical SaaS is mature and crisis-tested. Maintain monitoring, evidence, ownership and periodic stress testing.</t>
  </si>
  <si>
    <t>Create an immediate risk owner, minimum control baseline and fallback procedure for MFA enforcement for email, cloud, VPN/ZTNA, admin accounts, finance systems and critical SaaS. Add it to the crisis risk register and collect first evidence.</t>
  </si>
  <si>
    <t>Document MFA enforcement for email, cloud, VPN/ZTNA, admin accounts, finance systems and critical SaaS, assign RACI, define minimum controls and KPIs, and validate coverage across key sites, teams or systems.</t>
  </si>
  <si>
    <t>Standardize MFA enforcement for email, cloud, VPN/ZTNA, admin accounts, finance systems and critical SaaS, close coverage gaps, train accountable roles and connect controls to the relevant crisis scenarios and continuity plans.</t>
  </si>
  <si>
    <t>Measure and test MFA enforcement for email, cloud, VPN/ZTNA, admin accounts, finance systems and critical SaaS, run tabletop or operational stress tests, integrate it with dependent processes and update crisis playbooks.</t>
  </si>
  <si>
    <t>Sustain maturity for MFA enforcement for email, cloud, VPN/ZTNA, admin accounts, finance systems and critical SaaS: keep evidence current, monitor drift, benchmark externally and refresh risk tests after organizational, system or market changes.</t>
  </si>
  <si>
    <t>Immature capability for privileged access management for admin accounts and superusers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</si>
  <si>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privileged access management for admin accounts and superusers.</t>
  </si>
  <si>
    <t>Severe risk: privileged access management for admin accounts and superusers is not reliably controlled. During Cyberattack; Data breach; Ransomware; Insider threat, the organization may face security incident, data breach, privilege misuse, privacy violation and regulatory exposure with limited visibility or accountability.</t>
  </si>
  <si>
    <t>High risk: privileged access management for admin accounts and superusers depends on informal practices or individual knowledge. Disruption may expose security incident, data breach, privilege misuse, privacy violation and regulatory exposure and slow recovery.</t>
  </si>
  <si>
    <t>Elevated risk: privileged access management for admin accounts and superusers is partially controlled, but coverage, evidence or testing is inconsistent. Crisis response may be fragmented.</t>
  </si>
  <si>
    <t>Moderate risk: privileged access management for admin accounts and superusers is documented and owned, but measurement, stress testing and integration with dependent processes need strengthening.</t>
  </si>
  <si>
    <t>Residual risk: privileged access management for admin accounts and superusers is measured and reviewed, but monitoring, automation or scenario testing should be improved to prevent maturity drift.</t>
  </si>
  <si>
    <t>Low residual risk: privileged access management for admin accounts and superusers is mature and crisis-tested. Maintain monitoring, evidence, ownership and periodic stress testing.</t>
  </si>
  <si>
    <t>Create an immediate risk owner, minimum control baseline and fallback procedure for privileged access management for admin accounts and superusers. Add it to the crisis risk register and collect first evidence.</t>
  </si>
  <si>
    <t>Document privileged access management for admin accounts and superusers, assign RACI, define minimum controls and KPIs, and validate coverage across key sites, teams or systems.</t>
  </si>
  <si>
    <t>Standardize privileged access management for admin accounts and superusers, close coverage gaps, train accountable roles and connect controls to the relevant crisis scenarios and continuity plans.</t>
  </si>
  <si>
    <t>Measure and test privileged access management for admin accounts and superusers, run tabletop or operational stress tests, integrate it with dependent processes and update crisis playbooks.</t>
  </si>
  <si>
    <t>Sustain maturity for privileged access management for admin accounts and superusers: keep evidence current, monitor drift, benchmark externally and refresh risk tests after organizational, system or market changes.</t>
  </si>
  <si>
    <t>Immature capability for break-glass account control, monitoring and testing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</si>
  <si>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break-glass account control, monitoring and testing.</t>
  </si>
  <si>
    <t>Severe risk: break-glass account control, monitoring and testing is not reliably controlled. During Cyberattack; Data breach; Ransomware; Insider threat, the organization may face security incident, data breach, privilege misuse, privacy violation and regulatory exposure with limited visibility or accountability.</t>
  </si>
  <si>
    <t>High risk: break-glass account control, monitoring and testing depends on informal practices or individual knowledge. Disruption may expose security incident, data breach, privilege misuse, privacy violation and regulatory exposure and slow recovery.</t>
  </si>
  <si>
    <t>Elevated risk: break-glass account control, monitoring and testing is partially controlled, but coverage, evidence or testing is inconsistent. Crisis response may be fragmented.</t>
  </si>
  <si>
    <t>Moderate risk: break-glass account control, monitoring and testing is documented and owned, but measurement, stress testing and integration with dependent processes need strengthening.</t>
  </si>
  <si>
    <t>Residual risk: break-glass account control, monitoring and testing is measured and reviewed, but monitoring, automation or scenario testing should be improved to prevent maturity drift.</t>
  </si>
  <si>
    <t>Low residual risk: break-glass account control, monitoring and testing is mature and crisis-tested. Maintain monitoring, evidence, ownership and periodic stress testing.</t>
  </si>
  <si>
    <t>Create an immediate risk owner, minimum control baseline and fallback procedure for break-glass account control, monitoring and testing. Add it to the crisis risk register and collect first evidence.</t>
  </si>
  <si>
    <t>Document break-glass account control, monitoring and testing, assign RACI, define minimum controls and KPIs, and validate coverage across key sites, teams or systems.</t>
  </si>
  <si>
    <t>Standardize break-glass account control, monitoring and testing, close coverage gaps, train accountable roles and connect controls to the relevant crisis scenarios and continuity plans.</t>
  </si>
  <si>
    <t>Measure and test break-glass account control, monitoring and testing, run tabletop or operational stress tests, integrate it with dependent processes and update crisis playbooks.</t>
  </si>
  <si>
    <t>Sustain maturity for break-glass account control, monitoring and testing: keep evidence current, monitor drift, benchmark externally and refresh risk tests after organizational, system or market changes.</t>
  </si>
  <si>
    <t>Immature capability for third-party access that is limited, monitored, time-bound and reviewed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</si>
  <si>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third-party access that is limited, monitored, time-bound and reviewed.</t>
  </si>
  <si>
    <t>Severe risk: third-party access that is limited, monitored, time-bound and reviewed is not reliably controlled. During Cyberattack; Data breach; Ransomware; Insider threat, the organization may face security incident, data breach, privilege misuse, privacy violation and regulatory exposure with limited visibility or accountability.</t>
  </si>
  <si>
    <t>High risk: third-party access that is limited, monitored, time-bound and reviewed depends on informal practices or individual knowledge. Disruption may expose security incident, data breach, privilege misuse, privacy violation and regulatory exposure and slow recovery.</t>
  </si>
  <si>
    <t>Elevated risk: third-party access that is limited, monitored, time-bound and reviewed is partially controlled, but coverage, evidence or testing is inconsistent. Crisis response may be fragmented.</t>
  </si>
  <si>
    <t>Moderate risk: third-party access that is limited, monitored, time-bound and reviewed is documented and owned, but measurement, stress testing and integration with dependent processes need strengthening.</t>
  </si>
  <si>
    <t>Residual risk: third-party access that is limited, monitored, time-bound and reviewed is measured and reviewed, but monitoring, automation or scenario testing should be improved to prevent maturity drift.</t>
  </si>
  <si>
    <t>Low residual risk: third-party access that is limited, monitored, time-bound and reviewed is mature and crisis-tested. Maintain monitoring, evidence, ownership and periodic stress testing.</t>
  </si>
  <si>
    <t>Create an immediate risk owner, minimum control baseline and fallback procedure for third-party access that is limited, monitored, time-bound and reviewed. Add it to the crisis risk register and collect first evidence.</t>
  </si>
  <si>
    <t>Document third-party access that is limited, monitored, time-bound and reviewed, assign RACI, define minimum controls and KPIs, and validate coverage across key sites, teams or systems.</t>
  </si>
  <si>
    <t>Standardize third-party access that is limited, monitored, time-bound and reviewed, close coverage gaps, train accountable roles and connect controls to the relevant crisis scenarios and continuity plans.</t>
  </si>
  <si>
    <t>Measure and test third-party access that is limited, monitored, time-bound and reviewed, run tabletop or operational stress tests, integrate it with dependent processes and update crisis playbooks.</t>
  </si>
  <si>
    <t>Sustain maturity for third-party access that is limited, monitored, time-bound and reviewed: keep evidence current, monitor drift, benchmark externally and refresh risk tests after organizational, system or market changes.</t>
  </si>
  <si>
    <t>Immature capability for access reviews for critical systems, datasets, ERP, CRM, HRMS, MES and cloud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</si>
  <si>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access reviews for critical systems, datasets, ERP, CRM, HRMS, MES and cloud.</t>
  </si>
  <si>
    <t>Severe risk: access reviews for critical systems, datasets, ERP, CRM, HRMS, MES and cloud is not reliably controlled. During Cyberattack; Data breach; Ransomware; Insider threat, the organization may face security incident, data breach, privilege misuse, privacy violation and regulatory exposure with limited visibility or accountability.</t>
  </si>
  <si>
    <t>High risk: access reviews for critical systems, datasets, ERP, CRM, HRMS, MES and cloud depends on informal practices or individual knowledge. Disruption may expose security incident, data breach, privilege misuse, privacy violation and regulatory exposure and slow recovery.</t>
  </si>
  <si>
    <t>Elevated risk: access reviews for critical systems, datasets, ERP, CRM, HRMS, MES and cloud is partially controlled, but coverage, evidence or testing is inconsistent. Crisis response may be fragmented.</t>
  </si>
  <si>
    <t>Moderate risk: access reviews for critical systems, datasets, ERP, CRM, HRMS, MES and cloud is documented and owned, but measurement, stress testing and integration with dependent processes need strengthening.</t>
  </si>
  <si>
    <t>Residual risk: access reviews for critical systems, datasets, ERP, CRM, HRMS, MES and cloud is measured and reviewed, but monitoring, automation or scenario testing should be improved to prevent maturity drift.</t>
  </si>
  <si>
    <t>Low residual risk: access reviews for critical systems, datasets, ERP, CRM, HRMS, MES and cloud is mature and crisis-tested. Maintain monitoring, evidence, ownership and periodic stress testing.</t>
  </si>
  <si>
    <t>Create an immediate risk owner, minimum control baseline and fallback procedure for access reviews for critical systems, datasets, ERP, CRM, HRMS, MES and cloud. Add it to the crisis risk register and collect first evidence.</t>
  </si>
  <si>
    <t>Document access reviews for critical systems, datasets, ERP, CRM, HRMS, MES and cloud, assign RACI, define minimum controls and KPIs, and validate coverage across key sites, teams or systems.</t>
  </si>
  <si>
    <t>Standardize access reviews for critical systems, datasets, ERP, CRM, HRMS, MES and cloud, close coverage gaps, train accountable roles and connect controls to the relevant crisis scenarios and continuity plans.</t>
  </si>
  <si>
    <t>Measure and test access reviews for critical systems, datasets, ERP, CRM, HRMS, MES and cloud, run tabletop or operational stress tests, integrate it with dependent processes and update crisis playbooks.</t>
  </si>
  <si>
    <t>Sustain maturity for access reviews for critical systems, datasets, ERP, CRM, HRMS, MES and cloud: keep evidence current, monitor drift, benchmark externally and refresh risk tests after organizational, system or market changes.</t>
  </si>
  <si>
    <t>Immature capability for endpoint protection with EDR, disk encryption, patching and remote management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</si>
  <si>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endpoint protection with EDR, disk encryption, patching and remote management.</t>
  </si>
  <si>
    <t>Severe risk: endpoint protection with EDR, disk encryption, patching and remote management is not reliably controlled. During Cyberattack; Data breach; Ransomware; Insider threat, the organization may face security incident, data breach, privilege misuse, privacy violation and regulatory exposure with limited visibility or accountability.</t>
  </si>
  <si>
    <t>High risk: endpoint protection with EDR, disk encryption, patching and remote management depends on informal practices or individual knowledge. Disruption may expose security incident, data breach, privilege misuse, privacy violation and regulatory exposure and slow recovery.</t>
  </si>
  <si>
    <t>Elevated risk: endpoint protection with EDR, disk encryption, patching and remote management is partially controlled, but coverage, evidence or testing is inconsistent. Crisis response may be fragmented.</t>
  </si>
  <si>
    <t>Moderate risk: endpoint protection with EDR, disk encryption, patching and remote management is documented and owned, but measurement, stress testing and integration with dependent processes need strengthening.</t>
  </si>
  <si>
    <t>Residual risk: endpoint protection with EDR, disk encryption, patching and remote management is measured and reviewed, but monitoring, automation or scenario testing should be improved to prevent maturity drift.</t>
  </si>
  <si>
    <t>Low residual risk: endpoint protection with EDR, disk encryption, patching and remote management is mature and crisis-tested. Maintain monitoring, evidence, ownership and periodic stress testing.</t>
  </si>
  <si>
    <t>Create an immediate risk owner, minimum control baseline and fallback procedure for endpoint protection with EDR, disk encryption, patching and remote management. Add it to the crisis risk register and collect first evidence.</t>
  </si>
  <si>
    <t>Document endpoint protection with EDR, disk encryption, patching and remote management, assign RACI, define minimum controls and KPIs, and validate coverage across key sites, teams or systems.</t>
  </si>
  <si>
    <t>Standardize endpoint protection with EDR, disk encryption, patching and remote management, close coverage gaps, train accountable roles and connect controls to the relevant crisis scenarios and continuity plans.</t>
  </si>
  <si>
    <t>Measure and test endpoint protection with EDR, disk encryption, patching and remote management, run tabletop or operational stress tests, integrate it with dependent processes and update crisis playbooks.</t>
  </si>
  <si>
    <t>Sustain maturity for endpoint protection with EDR, disk encryption, patching and remote management: keep evidence current, monitor drift, benchmark externally and refresh risk tests after organizational, system or market changes.</t>
  </si>
  <si>
    <t>Immature capability for vulnerability and patch management prioritized by risk, exposure and asset criticality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</si>
  <si>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vulnerability and patch management prioritized by risk, exposure and asset criticality.</t>
  </si>
  <si>
    <t>Severe risk: vulnerability and patch management prioritized by risk, exposure and asset criticality is not reliably controlled. During Cyberattack; Data breach; Ransomware; Insider threat, the organization may face security incident, data breach, privilege misuse, privacy violation and regulatory exposure with limited visibility or accountability.</t>
  </si>
  <si>
    <t>High risk: vulnerability and patch management prioritized by risk, exposure and asset criticality depends on informal practices or individual knowledge. Disruption may expose security incident, data breach, privilege misuse, privacy violation and regulatory exposure and slow recovery.</t>
  </si>
  <si>
    <t>Elevated risk: vulnerability and patch management prioritized by risk, exposure and asset criticality is partially controlled, but coverage, evidence or testing is inconsistent. Crisis response may be fragmented.</t>
  </si>
  <si>
    <t>Moderate risk: vulnerability and patch management prioritized by risk, exposure and asset criticality is documented and owned, but measurement, stress testing and integration with dependent processes need strengthening.</t>
  </si>
  <si>
    <t>Residual risk: vulnerability and patch management prioritized by risk, exposure and asset criticality is measured and reviewed, but monitoring, automation or scenario testing should be improved to prevent maturity drift.</t>
  </si>
  <si>
    <t>Low residual risk: vulnerability and patch management prioritized by risk, exposure and asset criticality is mature and crisis-tested. Maintain monitoring, evidence, ownership and periodic stress testing.</t>
  </si>
  <si>
    <t>Create an immediate risk owner, minimum control baseline and fallback procedure for vulnerability and patch management prioritized by risk, exposure and asset criticality. Add it to the crisis risk register and collect first evidence.</t>
  </si>
  <si>
    <t>Document vulnerability and patch management prioritized by risk, exposure and asset criticality, assign RACI, define minimum controls and KPIs, and validate coverage across key sites, teams or systems.</t>
  </si>
  <si>
    <t>Standardize vulnerability and patch management prioritized by risk, exposure and asset criticality, close coverage gaps, train accountable roles and connect controls to the relevant crisis scenarios and continuity plans.</t>
  </si>
  <si>
    <t>Measure and test vulnerability and patch management prioritized by risk, exposure and asset criticality, run tabletop or operational stress tests, integrate it with dependent processes and update crisis playbooks.</t>
  </si>
  <si>
    <t>Sustain maturity for vulnerability and patch management prioritized by risk, exposure and asset criticality: keep evidence current, monitor drift, benchmark externally and refresh risk tests after organizational, system or market changes.</t>
  </si>
  <si>
    <t>Immature capability for network segmentation for users, servers, cloud, OT, guest, production and sensitive systems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</si>
  <si>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network segmentation for users, servers, cloud, OT, guest, production and sensitive systems.</t>
  </si>
  <si>
    <t>Severe risk: network segmentation for users, servers, cloud, OT, guest, production and sensitive systems is not reliably controlled. During Cyberattack; Data breach; Ransomware; Insider threat, the organization may face security incident, data breach, privilege misuse, privacy violation and regulatory exposure with limited visibility or accountability.</t>
  </si>
  <si>
    <t>High risk: network segmentation for users, servers, cloud, OT, guest, production and sensitive systems depends on informal practices or individual knowledge. Disruption may expose security incident, data breach, privilege misuse, privacy violation and regulatory exposure and slow recovery.</t>
  </si>
  <si>
    <t>Elevated risk: network segmentation for users, servers, cloud, OT, guest, production and sensitive systems is partially controlled, but coverage, evidence or testing is inconsistent. Crisis response may be fragmented.</t>
  </si>
  <si>
    <t>Moderate risk: network segmentation for users, servers, cloud, OT, guest, production and sensitive systems is documented and owned, but measurement, stress testing and integration with dependent processes need strengthening.</t>
  </si>
  <si>
    <t>Residual risk: network segmentation for users, servers, cloud, OT, guest, production and sensitive systems is measured and reviewed, but monitoring, automation or scenario testing should be improved to prevent maturity drift.</t>
  </si>
  <si>
    <t>Low residual risk: network segmentation for users, servers, cloud, OT, guest, production and sensitive systems is mature and crisis-tested. Maintain monitoring, evidence, ownership and periodic stress testing.</t>
  </si>
  <si>
    <t>Create an immediate risk owner, minimum control baseline and fallback procedure for network segmentation for users, servers, cloud, OT, guest, production and sensitive systems. Add it to the crisis risk register and collect first evidence.</t>
  </si>
  <si>
    <t>Document network segmentation for users, servers, cloud, OT, guest, production and sensitive systems, assign RACI, define minimum controls and KPIs, and validate coverage across key sites, teams or systems.</t>
  </si>
  <si>
    <t>Standardize network segmentation for users, servers, cloud, OT, guest, production and sensitive systems, close coverage gaps, train accountable roles and connect controls to the relevant crisis scenarios and continuity plans.</t>
  </si>
  <si>
    <t>Measure and test network segmentation for users, servers, cloud, OT, guest, production and sensitive systems, run tabletop or operational stress tests, integrate it with dependent processes and update crisis playbooks.</t>
  </si>
  <si>
    <t>Sustain maturity for network segmentation for users, servers, cloud, OT, guest, production and sensitive systems: keep evidence current, monitor drift, benchmark externally and refresh risk tests after organizational, system or market changes.</t>
  </si>
  <si>
    <t>Immature capability for email protection against phishing, spoofing, malware and business email compromise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</si>
  <si>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email protection against phishing, spoofing, malware and business email compromise.</t>
  </si>
  <si>
    <t>Severe risk: email protection against phishing, spoofing, malware and business email compromise is not reliably controlled. During Cyberattack; Data breach; Ransomware; Insider threat, the organization may face security incident, data breach, privilege misuse, privacy violation and regulatory exposure with limited visibility or accountability.</t>
  </si>
  <si>
    <t>High risk: email protection against phishing, spoofing, malware and business email compromise depends on informal practices or individual knowledge. Disruption may expose security incident, data breach, privilege misuse, privacy violation and regulatory exposure and slow recovery.</t>
  </si>
  <si>
    <t>Elevated risk: email protection against phishing, spoofing, malware and business email compromise is partially controlled, but coverage, evidence or testing is inconsistent. Crisis response may be fragmented.</t>
  </si>
  <si>
    <t>Moderate risk: email protection against phishing, spoofing, malware and business email compromise is documented and owned, but measurement, stress testing and integration with dependent processes need strengthening.</t>
  </si>
  <si>
    <t>Residual risk: email protection against phishing, spoofing, malware and business email compromise is measured and reviewed, but monitoring, automation or scenario testing should be improved to prevent maturity drift.</t>
  </si>
  <si>
    <t>Low residual risk: email protection against phishing, spoofing, malware and business email compromise is mature and crisis-tested. Maintain monitoring, evidence, ownership and periodic stress testing.</t>
  </si>
  <si>
    <t>Create an immediate risk owner, minimum control baseline and fallback procedure for email protection against phishing, spoofing, malware and business email compromise. Add it to the crisis risk register and collect first evidence.</t>
  </si>
  <si>
    <t>Document email protection against phishing, spoofing, malware and business email compromise, assign RACI, define minimum controls and KPIs, and validate coverage across key sites, teams or systems.</t>
  </si>
  <si>
    <t>Standardize email protection against phishing, spoofing, malware and business email compromise, close coverage gaps, train accountable roles and connect controls to the relevant crisis scenarios and continuity plans.</t>
  </si>
  <si>
    <t>Measure and test email protection against phishing, spoofing, malware and business email compromise, run tabletop or operational stress tests, integrate it with dependent processes and update crisis playbooks.</t>
  </si>
  <si>
    <t>Sustain maturity for email protection against phishing, spoofing, malware and business email compromise: keep evidence current, monitor drift, benchmark externally and refresh risk tests after organizational, system or market changes.</t>
  </si>
  <si>
    <t>Immature capability for cloud security guardrails for IAM, logging, encryption, public exposure, secrets and network access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</si>
  <si>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cloud security guardrails for IAM, logging, encryption, public exposure, secrets and network access.</t>
  </si>
  <si>
    <t>Severe risk: cloud security guardrails for IAM, logging, encryption, public exposure, secrets and network access is not reliably controlled. During Cyberattack; Data breach; Ransomware; Insider threat, the organization may face security incident, data breach, privilege misuse, privacy violation and regulatory exposure with limited visibility or accountability.</t>
  </si>
  <si>
    <t>High risk: cloud security guardrails for IAM, logging, encryption, public exposure, secrets and network access depends on informal practices or individual knowledge. Disruption may expose security incident, data breach, privilege misuse, privacy violation and regulatory exposure and slow recovery.</t>
  </si>
  <si>
    <t>Elevated risk: cloud security guardrails for IAM, logging, encryption, public exposure, secrets and network access is partially controlled, but coverage, evidence or testing is inconsistent. Crisis response may be fragmented.</t>
  </si>
  <si>
    <t>Moderate risk: cloud security guardrails for IAM, logging, encryption, public exposure, secrets and network access is documented and owned, but measurement, stress testing and integration with dependent processes need strengthening.</t>
  </si>
  <si>
    <t>Residual risk: cloud security guardrails for IAM, logging, encryption, public exposure, secrets and network access is measured and reviewed, but monitoring, automation or scenario testing should be improved to prevent maturity drift.</t>
  </si>
  <si>
    <t>Low residual risk: cloud security guardrails for IAM, logging, encryption, public exposure, secrets and network access is mature and crisis-tested. Maintain monitoring, evidence, ownership and periodic stress testing.</t>
  </si>
  <si>
    <t>Create an immediate risk owner, minimum control baseline and fallback procedure for cloud security guardrails for IAM, logging, encryption, public exposure, secrets and network access. Add it to the crisis risk register and collect first evidence.</t>
  </si>
  <si>
    <t>Document cloud security guardrails for IAM, logging, encryption, public exposure, secrets and network access, assign RACI, define minimum controls and KPIs, and validate coverage across key sites, teams or systems.</t>
  </si>
  <si>
    <t>Standardize cloud security guardrails for IAM, logging, encryption, public exposure, secrets and network access, close coverage gaps, train accountable roles and connect controls to the relevant crisis scenarios and continuity plans.</t>
  </si>
  <si>
    <t>Measure and test cloud security guardrails for IAM, logging, encryption, public exposure, secrets and network access, run tabletop or operational stress tests, integrate it with dependent processes and update crisis playbooks.</t>
  </si>
  <si>
    <t>Sustain maturity for cloud security guardrails for IAM, logging, encryption, public exposure, secrets and network access: keep evidence current, monitor drift, benchmark externally and refresh risk tests after organizational, system or market changes.</t>
  </si>
  <si>
    <t>Immature capability for secrets, API keys, certificates and credentials management and rotation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</si>
  <si>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secrets, API keys, certificates and credentials management and rotation.</t>
  </si>
  <si>
    <t>Severe risk: secrets, API keys, certificates and credentials management and rotation is not reliably controlled. During Cyberattack; Data breach; Ransomware; Insider threat, the organization may face security incident, data breach, privilege misuse, privacy violation and regulatory exposure with limited visibility or accountability.</t>
  </si>
  <si>
    <t>High risk: secrets, API keys, certificates and credentials management and rotation depends on informal practices or individual knowledge. Disruption may expose security incident, data breach, privilege misuse, privacy violation and regulatory exposure and slow recovery.</t>
  </si>
  <si>
    <t>Elevated risk: secrets, API keys, certificates and credentials management and rotation is partially controlled, but coverage, evidence or testing is inconsistent. Crisis response may be fragmented.</t>
  </si>
  <si>
    <t>Moderate risk: secrets, API keys, certificates and credentials management and rotation is documented and owned, but measurement, stress testing and integration with dependent processes need strengthening.</t>
  </si>
  <si>
    <t>Residual risk: secrets, API keys, certificates and credentials management and rotation is measured and reviewed, but monitoring, automation or scenario testing should be improved to prevent maturity drift.</t>
  </si>
  <si>
    <t>Low residual risk: secrets, API keys, certificates and credentials management and rotation is mature and crisis-tested. Maintain monitoring, evidence, ownership and periodic stress testing.</t>
  </si>
  <si>
    <t>Create an immediate risk owner, minimum control baseline and fallback procedure for secrets, API keys, certificates and credentials management and rotation. Add it to the crisis risk register and collect first evidence.</t>
  </si>
  <si>
    <t>Document secrets, API keys, certificates and credentials management and rotation, assign RACI, define minimum controls and KPIs, and validate coverage across key sites, teams or systems.</t>
  </si>
  <si>
    <t>Standardize secrets, API keys, certificates and credentials management and rotation, close coverage gaps, train accountable roles and connect controls to the relevant crisis scenarios and continuity plans.</t>
  </si>
  <si>
    <t>Measure and test secrets, API keys, certificates and credentials management and rotation, run tabletop or operational stress tests, integrate it with dependent processes and update crisis playbooks.</t>
  </si>
  <si>
    <t>Sustain maturity for secrets, API keys, certificates and credentials management and rotation: keep evidence current, monitor drift, benchmark externally and refresh risk tests after organizational, system or market changes.</t>
  </si>
  <si>
    <t>Immature capability for encryption for sensitive data at rest and in transit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</si>
  <si>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encryption for sensitive data at rest and in transit.</t>
  </si>
  <si>
    <t>Severe risk: encryption for sensitive data at rest and in transit is not reliably controlled. During Cyberattack; Data breach; Ransomware; Insider threat, the organization may face security incident, data breach, privilege misuse, privacy violation and regulatory exposure with limited visibility or accountability.</t>
  </si>
  <si>
    <t>High risk: encryption for sensitive data at rest and in transit depends on informal practices or individual knowledge. Disruption may expose security incident, data breach, privilege misuse, privacy violation and regulatory exposure and slow recovery.</t>
  </si>
  <si>
    <t>Elevated risk: encryption for sensitive data at rest and in transit is partially controlled, but coverage, evidence or testing is inconsistent. Crisis response may be fragmented.</t>
  </si>
  <si>
    <t>Moderate risk: encryption for sensitive data at rest and in transit is documented and owned, but measurement, stress testing and integration with dependent processes need strengthening.</t>
  </si>
  <si>
    <t>Residual risk: encryption for sensitive data at rest and in transit is measured and reviewed, but monitoring, automation or scenario testing should be improved to prevent maturity drift.</t>
  </si>
  <si>
    <t>Low residual risk: encryption for sensitive data at rest and in transit is mature and crisis-tested. Maintain monitoring, evidence, ownership and periodic stress testing.</t>
  </si>
  <si>
    <t>Create an immediate risk owner, minimum control baseline and fallback procedure for encryption for sensitive data at rest and in transit. Add it to the crisis risk register and collect first evidence.</t>
  </si>
  <si>
    <t>Document encryption for sensitive data at rest and in transit, assign RACI, define minimum controls and KPIs, and validate coverage across key sites, teams or systems.</t>
  </si>
  <si>
    <t>Standardize encryption for sensitive data at rest and in transit, close coverage gaps, train accountable roles and connect controls to the relevant crisis scenarios and continuity plans.</t>
  </si>
  <si>
    <t>Measure and test encryption for sensitive data at rest and in transit, run tabletop or operational stress tests, integrate it with dependent processes and update crisis playbooks.</t>
  </si>
  <si>
    <t>Sustain maturity for encryption for sensitive data at rest and in transit: keep evidence current, monitor drift, benchmark externally and refresh risk tests after organizational, system or market changes.</t>
  </si>
  <si>
    <t>Immature capability for DLP controls for sensitive data in email, cloud storage, endpoints and collaboration tools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</si>
  <si>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DLP controls for sensitive data in email, cloud storage, endpoints and collaboration tools.</t>
  </si>
  <si>
    <t>Severe risk: DLP controls for sensitive data in email, cloud storage, endpoints and collaboration tools is not reliably controlled. During Cyberattack; Data breach; Ransomware; Insider threat, the organization may face security incident, data breach, privilege misuse, privacy violation and regulatory exposure with limited visibility or accountability.</t>
  </si>
  <si>
    <t>High risk: DLP controls for sensitive data in email, cloud storage, endpoints and collaboration tools depends on informal practices or individual knowledge. Disruption may expose security incident, data breach, privilege misuse, privacy violation and regulatory exposure and slow recovery.</t>
  </si>
  <si>
    <t>Elevated risk: DLP controls for sensitive data in email, cloud storage, endpoints and collaboration tools is partially controlled, but coverage, evidence or testing is inconsistent. Crisis response may be fragmented.</t>
  </si>
  <si>
    <t>Moderate risk: DLP controls for sensitive data in email, cloud storage, endpoints and collaboration tools is documented and owned, but measurement, stress testing and integration with dependent processes need strengthening.</t>
  </si>
  <si>
    <t>Residual risk: DLP controls for sensitive data in email, cloud storage, endpoints and collaboration tools is measured and reviewed, but monitoring, automation or scenario testing should be improved to prevent maturity drift.</t>
  </si>
  <si>
    <t>Low residual risk: DLP controls for sensitive data in email, cloud storage, endpoints and collaboration tools is mature and crisis-tested. Maintain monitoring, evidence, ownership and periodic stress testing.</t>
  </si>
  <si>
    <t>Create an immediate risk owner, minimum control baseline and fallback procedure for DLP controls for sensitive data in email, cloud storage, endpoints and collaboration tools. Add it to the crisis risk register and collect first evidence.</t>
  </si>
  <si>
    <t>Document DLP controls for sensitive data in email, cloud storage, endpoints and collaboration tools, assign RACI, define minimum controls and KPIs, and validate coverage across key sites, teams or systems.</t>
  </si>
  <si>
    <t>Standardize DLP controls for sensitive data in email, cloud storage, endpoints and collaboration tools, close coverage gaps, train accountable roles and connect controls to the relevant crisis scenarios and continuity plans.</t>
  </si>
  <si>
    <t>Measure and test DLP controls for sensitive data in email, cloud storage, endpoints and collaboration tools, run tabletop or operational stress tests, integrate it with dependent processes and update crisis playbooks.</t>
  </si>
  <si>
    <t>Sustain maturity for DLP controls for sensitive data in email, cloud storage, endpoints and collaboration tools: keep evidence current, monitor drift, benchmark externally and refresh risk tests after organizational, system or market changes.</t>
  </si>
  <si>
    <t>Immature capability for log collection and monitoring for identity, endpoints, cloud, network, critical apps and security tools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</si>
  <si>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log collection and monitoring for identity, endpoints, cloud, network, critical apps and security tools.</t>
  </si>
  <si>
    <t>Severe risk: log collection and monitoring for identity, endpoints, cloud, network, critical apps and security tools is not reliably controlled. During Cyberattack; Data breach; Ransomware; Insider threat, the organization may face security incident, data breach, privilege misuse, privacy violation and regulatory exposure with limited visibility or accountability.</t>
  </si>
  <si>
    <t>High risk: log collection and monitoring for identity, endpoints, cloud, network, critical apps and security tools depends on informal practices or individual knowledge. Disruption may expose security incident, data breach, privilege misuse, privacy violation and regulatory exposure and slow recovery.</t>
  </si>
  <si>
    <t>Elevated risk: log collection and monitoring for identity, endpoints, cloud, network, critical apps and security tools is partially controlled, but coverage, evidence or testing is inconsistent. Crisis response may be fragmented.</t>
  </si>
  <si>
    <t>Moderate risk: log collection and monitoring for identity, endpoints, cloud, network, critical apps and security tools is documented and owned, but measurement, stress testing and integration with dependent processes need strengthening.</t>
  </si>
  <si>
    <t>Residual risk: log collection and monitoring for identity, endpoints, cloud, network, critical apps and security tools is measured and reviewed, but monitoring, automation or scenario testing should be improved to prevent maturity drift.</t>
  </si>
  <si>
    <t>Low residual risk: log collection and monitoring for identity, endpoints, cloud, network, critical apps and security tools is mature and crisis-tested. Maintain monitoring, evidence, ownership and periodic stress testing.</t>
  </si>
  <si>
    <t>Create an immediate risk owner, minimum control baseline and fallback procedure for log collection and monitoring for identity, endpoints, cloud, network, critical apps and security tools. Add it to the crisis risk register and collect first evidence.</t>
  </si>
  <si>
    <t>Document log collection and monitoring for identity, endpoints, cloud, network, critical apps and security tools, assign RACI, define minimum controls and KPIs, and validate coverage across key sites, teams or systems.</t>
  </si>
  <si>
    <t>Standardize log collection and monitoring for identity, endpoints, cloud, network, critical apps and security tools, close coverage gaps, train accountable roles and connect controls to the relevant crisis scenarios and continuity plans.</t>
  </si>
  <si>
    <t>Measure and test log collection and monitoring for identity, endpoints, cloud, network, critical apps and security tools, run tabletop or operational stress tests, integrate it with dependent processes and update crisis playbooks.</t>
  </si>
  <si>
    <t>Sustain maturity for log collection and monitoring for identity, endpoints, cloud, network, critical apps and security tools: keep evidence current, monitor drift, benchmark externally and refresh risk tests after organizational, system or market changes.</t>
  </si>
  <si>
    <t>Immature capability for threat detection coverage mapped to likely threat scenarios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</si>
  <si>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threat detection coverage mapped to likely threat scenarios.</t>
  </si>
  <si>
    <t>Severe risk: threat detection coverage mapped to likely threat scenarios is not reliably controlled. During Cyberattack; Data breach; Ransomware; Insider threat, the organization may face security incident, data breach, privilege misuse, privacy violation and regulatory exposure with limited visibility or accountability.</t>
  </si>
  <si>
    <t>High risk: threat detection coverage mapped to likely threat scenarios depends on informal practices or individual knowledge. Disruption may expose security incident, data breach, privilege misuse, privacy violation and regulatory exposure and slow recovery.</t>
  </si>
  <si>
    <t>Elevated risk: threat detection coverage mapped to likely threat scenarios is partially controlled, but coverage, evidence or testing is inconsistent. Crisis response may be fragmented.</t>
  </si>
  <si>
    <t>Moderate risk: threat detection coverage mapped to likely threat scenarios is documented and owned, but measurement, stress testing and integration with dependent processes need strengthening.</t>
  </si>
  <si>
    <t>Residual risk: threat detection coverage mapped to likely threat scenarios is measured and reviewed, but monitoring, automation or scenario testing should be improved to prevent maturity drift.</t>
  </si>
  <si>
    <t>Low residual risk: threat detection coverage mapped to likely threat scenarios is mature and crisis-tested. Maintain monitoring, evidence, ownership and periodic stress testing.</t>
  </si>
  <si>
    <t>Create an immediate risk owner, minimum control baseline and fallback procedure for threat detection coverage mapped to likely threat scenarios. Add it to the crisis risk register and collect first evidence.</t>
  </si>
  <si>
    <t>Document threat detection coverage mapped to likely threat scenarios, assign RACI, define minimum controls and KPIs, and validate coverage across key sites, teams or systems.</t>
  </si>
  <si>
    <t>Standardize threat detection coverage mapped to likely threat scenarios, close coverage gaps, train accountable roles and connect controls to the relevant crisis scenarios and continuity plans.</t>
  </si>
  <si>
    <t>Measure and test threat detection coverage mapped to likely threat scenarios, run tabletop or operational stress tests, integrate it with dependent processes and update crisis playbooks.</t>
  </si>
  <si>
    <t>Sustain maturity for threat detection coverage mapped to likely threat scenarios: keep evidence current, monitor drift, benchmark externally and refresh risk tests after organizational, system or market changes.</t>
  </si>
  <si>
    <t>Immature capability for cyber incident response plan involving IT, legal, communications, executives and insurers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</si>
  <si>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cyber incident response plan involving IT, legal, communications, executives and insurers.</t>
  </si>
  <si>
    <t>Severe risk: cyber incident response plan involving IT, legal, communications, executives and insurers is not reliably controlled. During Cyberattack; Data breach; Ransomware; Insider threat, the organization may face security incident, data breach, privilege misuse, privacy violation and regulatory exposure with limited visibility or accountability.</t>
  </si>
  <si>
    <t>High risk: cyber incident response plan involving IT, legal, communications, executives and insurers depends on informal practices or individual knowledge. Disruption may expose security incident, data breach, privilege misuse, privacy violation and regulatory exposure and slow recovery.</t>
  </si>
  <si>
    <t>Elevated risk: cyber incident response plan involving IT, legal, communications, executives and insurers is partially controlled, but coverage, evidence or testing is inconsistent. Crisis response may be fragmented.</t>
  </si>
  <si>
    <t>Moderate risk: cyber incident response plan involving IT, legal, communications, executives and insurers is documented and owned, but measurement, stress testing and integration with dependent processes need strengthening.</t>
  </si>
  <si>
    <t>Residual risk: cyber incident response plan involving IT, legal, communications, executives and insurers is measured and reviewed, but monitoring, automation or scenario testing should be improved to prevent maturity drift.</t>
  </si>
  <si>
    <t>Low residual risk: cyber incident response plan involving IT, legal, communications, executives and insurers is mature and crisis-tested. Maintain monitoring, evidence, ownership and periodic stress testing.</t>
  </si>
  <si>
    <t>Create an immediate risk owner, minimum control baseline and fallback procedure for cyber incident response plan involving IT, legal, communications, executives and insurers. Add it to the crisis risk register and collect first evidence.</t>
  </si>
  <si>
    <t>Document cyber incident response plan involving IT, legal, communications, executives and insurers, assign RACI, define minimum controls and KPIs, and validate coverage across key sites, teams or systems.</t>
  </si>
  <si>
    <t>Standardize cyber incident response plan involving IT, legal, communications, executives and insurers, close coverage gaps, train accountable roles and connect controls to the relevant crisis scenarios and continuity plans.</t>
  </si>
  <si>
    <t>Measure and test cyber incident response plan involving IT, legal, communications, executives and insurers, run tabletop or operational stress tests, integrate it with dependent processes and update crisis playbooks.</t>
  </si>
  <si>
    <t>Sustain maturity for cyber incident response plan involving IT, legal, communications, executives and insurers: keep evidence current, monitor drift, benchmark externally and refresh risk tests after organizational, system or market changes.</t>
  </si>
  <si>
    <t>Immature capability for ransomware playbook covering isolation, recovery, communication, legal and decision-making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</si>
  <si>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ransomware playbook covering isolation, recovery, communication, legal and decision-making.</t>
  </si>
  <si>
    <t>Severe risk: ransomware playbook covering isolation, recovery, communication, legal and decision-making is not reliably controlled. During Cyberattack; Data breach; Ransomware; Insider threat, the organization may face security incident, data breach, privilege misuse, privacy violation and regulatory exposure with limited visibility or accountability.</t>
  </si>
  <si>
    <t>High risk: ransomware playbook covering isolation, recovery, communication, legal and decision-making depends on informal practices or individual knowledge. Disruption may expose security incident, data breach, privilege misuse, privacy violation and regulatory exposure and slow recovery.</t>
  </si>
  <si>
    <t>Elevated risk: ransomware playbook covering isolation, recovery, communication, legal and decision-making is partially controlled, but coverage, evidence or testing is inconsistent. Crisis response may be fragmented.</t>
  </si>
  <si>
    <t>Moderate risk: ransomware playbook covering isolation, recovery, communication, legal and decision-making is documented and owned, but measurement, stress testing and integration with dependent processes need strengthening.</t>
  </si>
  <si>
    <t>Residual risk: ransomware playbook covering isolation, recovery, communication, legal and decision-making is measured and reviewed, but monitoring, automation or scenario testing should be improved to prevent maturity drift.</t>
  </si>
  <si>
    <t>Low residual risk: ransomware playbook covering isolation, recovery, communication, legal and decision-making is mature and crisis-tested. Maintain monitoring, evidence, ownership and periodic stress testing.</t>
  </si>
  <si>
    <t>Create an immediate risk owner, minimum control baseline and fallback procedure for ransomware playbook covering isolation, recovery, communication, legal and decision-making. Add it to the crisis risk register and collect first evidence.</t>
  </si>
  <si>
    <t>Document ransomware playbook covering isolation, recovery, communication, legal and decision-making, assign RACI, define minimum controls and KPIs, and validate coverage across key sites, teams or systems.</t>
  </si>
  <si>
    <t>Standardize ransomware playbook covering isolation, recovery, communication, legal and decision-making, close coverage gaps, train accountable roles and connect controls to the relevant crisis scenarios and continuity plans.</t>
  </si>
  <si>
    <t>Measure and test ransomware playbook covering isolation, recovery, communication, legal and decision-making, run tabletop or operational stress tests, integrate it with dependent processes and update crisis playbooks.</t>
  </si>
  <si>
    <t>Sustain maturity for ransomware playbook covering isolation, recovery, communication, legal and decision-making: keep evidence current, monitor drift, benchmark externally and refresh risk tests after organizational, system or market changes.</t>
  </si>
  <si>
    <t>Immature capability for cyber incident exercises with business, legal, communication, IT and executives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</si>
  <si>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cyber incident exercises with business, legal, communication, IT and executives.</t>
  </si>
  <si>
    <t>Severe risk: cyber incident exercises with business, legal, communication, IT and executives is not reliably controlled. During Cyberattack; Data breach; Ransomware; Insider threat, the organization may face security incident, data breach, privilege misuse, privacy violation and regulatory exposure with limited visibility or accountability.</t>
  </si>
  <si>
    <t>High risk: cyber incident exercises with business, legal, communication, IT and executives depends on informal practices or individual knowledge. Disruption may expose security incident, data breach, privilege misuse, privacy violation and regulatory exposure and slow recovery.</t>
  </si>
  <si>
    <t>Elevated risk: cyber incident exercises with business, legal, communication, IT and executives is partially controlled, but coverage, evidence or testing is inconsistent. Crisis response may be fragmented.</t>
  </si>
  <si>
    <t>Moderate risk: cyber incident exercises with business, legal, communication, IT and executives is documented and owned, but measurement, stress testing and integration with dependent processes need strengthening.</t>
  </si>
  <si>
    <t>Residual risk: cyber incident exercises with business, legal, communication, IT and executives is measured and reviewed, but monitoring, automation or scenario testing should be improved to prevent maturity drift.</t>
  </si>
  <si>
    <t>Low residual risk: cyber incident exercises with business, legal, communication, IT and executives is mature and crisis-tested. Maintain monitoring, evidence, ownership and periodic stress testing.</t>
  </si>
  <si>
    <t>Create an immediate risk owner, minimum control baseline and fallback procedure for cyber incident exercises with business, legal, communication, IT and executives. Add it to the crisis risk register and collect first evidence.</t>
  </si>
  <si>
    <t>Document cyber incident exercises with business, legal, communication, IT and executives, assign RACI, define minimum controls and KPIs, and validate coverage across key sites, teams or systems.</t>
  </si>
  <si>
    <t>Standardize cyber incident exercises with business, legal, communication, IT and executives, close coverage gaps, train accountable roles and connect controls to the relevant crisis scenarios and continuity plans.</t>
  </si>
  <si>
    <t>Measure and test cyber incident exercises with business, legal, communication, IT and executives, run tabletop or operational stress tests, integrate it with dependent processes and update crisis playbooks.</t>
  </si>
  <si>
    <t>Sustain maturity for cyber incident exercises with business, legal, communication, IT and executives: keep evidence current, monitor drift, benchmark externally and refresh risk tests after organizational, system or market changes.</t>
  </si>
  <si>
    <t>Immature capability for immutable or isolated backups protected against ransomware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</si>
  <si>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immutable or isolated backups protected against ransomware.</t>
  </si>
  <si>
    <t>Severe risk: immutable or isolated backups protected against ransomware is not reliably controlled. During Cyberattack; Data breach; Ransomware; Insider threat, the organization may face security incident, data breach, privilege misuse, privacy violation and regulatory exposure with limited visibility or accountability.</t>
  </si>
  <si>
    <t>High risk: immutable or isolated backups protected against ransomware depends on informal practices or individual knowledge. Disruption may expose security incident, data breach, privilege misuse, privacy violation and regulatory exposure and slow recovery.</t>
  </si>
  <si>
    <t>Elevated risk: immutable or isolated backups protected against ransomware is partially controlled, but coverage, evidence or testing is inconsistent. Crisis response may be fragmented.</t>
  </si>
  <si>
    <t>Moderate risk: immutable or isolated backups protected against ransomware is documented and owned, but measurement, stress testing and integration with dependent processes need strengthening.</t>
  </si>
  <si>
    <t>Residual risk: immutable or isolated backups protected against ransomware is measured and reviewed, but monitoring, automation or scenario testing should be improved to prevent maturity drift.</t>
  </si>
  <si>
    <t>Low residual risk: immutable or isolated backups protected against ransomware is mature and crisis-tested. Maintain monitoring, evidence, ownership and periodic stress testing.</t>
  </si>
  <si>
    <t>Create an immediate risk owner, minimum control baseline and fallback procedure for immutable or isolated backups protected against ransomware. Add it to the crisis risk register and collect first evidence.</t>
  </si>
  <si>
    <t>Document immutable or isolated backups protected against ransomware, assign RACI, define minimum controls and KPIs, and validate coverage across key sites, teams or systems.</t>
  </si>
  <si>
    <t>Standardize immutable or isolated backups protected against ransomware, close coverage gaps, train accountable roles and connect controls to the relevant crisis scenarios and continuity plans.</t>
  </si>
  <si>
    <t>Measure and test immutable or isolated backups protected against ransomware, run tabletop or operational stress tests, integrate it with dependent processes and update crisis playbooks.</t>
  </si>
  <si>
    <t>Sustain maturity for immutable or isolated backups protected against ransomware: keep evidence current, monitor drift, benchmark externally and refresh risk tests after organizational, system or market changes.</t>
  </si>
  <si>
    <t>Immature capability for secure SDLC for internally developed applications, APIs and integrations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</si>
  <si>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secure SDLC for internally developed applications, APIs and integrations.</t>
  </si>
  <si>
    <t>Severe risk: secure SDLC for internally developed applications, APIs and integrations is not reliably controlled. During Cyberattack; Data breach; Ransomware; Insider threat, the organization may face security incident, data breach, privilege misuse, privacy violation and regulatory exposure with limited visibility or accountability.</t>
  </si>
  <si>
    <t>High risk: secure SDLC for internally developed applications, APIs and integrations depends on informal practices or individual knowledge. Disruption may expose security incident, data breach, privilege misuse, privacy violation and regulatory exposure and slow recovery.</t>
  </si>
  <si>
    <t>Elevated risk: secure SDLC for internally developed applications, APIs and integrations is partially controlled, but coverage, evidence or testing is inconsistent. Crisis response may be fragmented.</t>
  </si>
  <si>
    <t>Moderate risk: secure SDLC for internally developed applications, APIs and integrations is documented and owned, but measurement, stress testing and integration with dependent processes need strengthening.</t>
  </si>
  <si>
    <t>Residual risk: secure SDLC for internally developed applications, APIs and integrations is measured and reviewed, but monitoring, automation or scenario testing should be improved to prevent maturity drift.</t>
  </si>
  <si>
    <t>Low residual risk: secure SDLC for internally developed applications, APIs and integrations is mature and crisis-tested. Maintain monitoring, evidence, ownership and periodic stress testing.</t>
  </si>
  <si>
    <t>Create an immediate risk owner, minimum control baseline and fallback procedure for secure SDLC for internally developed applications, APIs and integrations. Add it to the crisis risk register and collect first evidence.</t>
  </si>
  <si>
    <t>Document secure SDLC for internally developed applications, APIs and integrations, assign RACI, define minimum controls and KPIs, and validate coverage across key sites, teams or systems.</t>
  </si>
  <si>
    <t>Standardize secure SDLC for internally developed applications, APIs and integrations, close coverage gaps, train accountable roles and connect controls to the relevant crisis scenarios and continuity plans.</t>
  </si>
  <si>
    <t>Measure and test secure SDLC for internally developed applications, APIs and integrations, run tabletop or operational stress tests, integrate it with dependent processes and update crisis playbooks.</t>
  </si>
  <si>
    <t>Sustain maturity for secure SDLC for internally developed applications, APIs and integrations: keep evidence current, monitor drift, benchmark externally and refresh risk tests after organizational, system or market changes.</t>
  </si>
  <si>
    <t>Immature capability for application vulnerability testing through SAST, DAST, code review and penetration testing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</si>
  <si>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application vulnerability testing through SAST, DAST, code review and penetration testing.</t>
  </si>
  <si>
    <t>Severe risk: application vulnerability testing through SAST, DAST, code review and penetration testing is not reliably controlled. During Cyberattack; Data breach; Ransomware; Insider threat, the organization may face security incident, data breach, privilege misuse, privacy violation and regulatory exposure with limited visibility or accountability.</t>
  </si>
  <si>
    <t>High risk: application vulnerability testing through SAST, DAST, code review and penetration testing depends on informal practices or individual knowledge. Disruption may expose security incident, data breach, privilege misuse, privacy violation and regulatory exposure and slow recovery.</t>
  </si>
  <si>
    <t>Elevated risk: application vulnerability testing through SAST, DAST, code review and penetration testing is partially controlled, but coverage, evidence or testing is inconsistent. Crisis response may be fragmented.</t>
  </si>
  <si>
    <t>Moderate risk: application vulnerability testing through SAST, DAST, code review and penetration testing is documented and owned, but measurement, stress testing and integration with dependent processes need strengthening.</t>
  </si>
  <si>
    <t>Residual risk: application vulnerability testing through SAST, DAST, code review and penetration testing is measured and reviewed, but monitoring, automation or scenario testing should be improved to prevent maturity drift.</t>
  </si>
  <si>
    <t>Low residual risk: application vulnerability testing through SAST, DAST, code review and penetration testing is mature and crisis-tested. Maintain monitoring, evidence, ownership and periodic stress testing.</t>
  </si>
  <si>
    <t>Create an immediate risk owner, minimum control baseline and fallback procedure for application vulnerability testing through SAST, DAST, code review and penetration testing. Add it to the crisis risk register and collect first evidence.</t>
  </si>
  <si>
    <t>Document application vulnerability testing through SAST, DAST, code review and penetration testing, assign RACI, define minimum controls and KPIs, and validate coverage across key sites, teams or systems.</t>
  </si>
  <si>
    <t>Standardize application vulnerability testing through SAST, DAST, code review and penetration testing, close coverage gaps, train accountable roles and connect controls to the relevant crisis scenarios and continuity plans.</t>
  </si>
  <si>
    <t>Measure and test application vulnerability testing through SAST, DAST, code review and penetration testing, run tabletop or operational stress tests, integrate it with dependent processes and update crisis playbooks.</t>
  </si>
  <si>
    <t>Sustain maturity for application vulnerability testing through SAST, DAST, code review and penetration testing: keep evidence current, monitor drift, benchmark externally and refresh risk tests after organizational, system or market changes.</t>
  </si>
  <si>
    <t>Immature capability for OT asset inventory for PLCs, SCADA, HMIs, industrial networks and engineering workstations may lead to security incident, data breach, privilege misuse, privacy violation and regulatory exposure during Cyberattack; Data breach; Ransomware; Insider threat.</t>
  </si>
  <si>
    <t>Severe risk: OT asset inventory for PLCs, SCADA, HMIs, industrial networks and engineering workstations is not reliably controlled. During Cyberattack; Data breach; Ransomware; Insider threat, the organization may face security incident, data breach, privilege misuse, privacy violation and regulatory exposure with limited visibility or accountability.</t>
  </si>
  <si>
    <t>High risk: OT asset inventory for PLCs, SCADA, HMIs, industrial networks and engineering workstations depends on informal practices or individual knowledge. Disruption may expose security incident, data breach, privilege misuse, privacy violation and regulatory exposure and slow recovery.</t>
  </si>
  <si>
    <t>Immature capability for OT network segmentation and secure remote vendor access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</si>
  <si>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OT network segmentation and secure remote vendor access.</t>
  </si>
  <si>
    <t>Severe risk: OT network segmentation and secure remote vendor access is not reliably controlled. During Cyberattack; Data breach; Ransomware; Insider threat, the organization may face security incident, data breach, privilege misuse, privacy violation and regulatory exposure with limited visibility or accountability.</t>
  </si>
  <si>
    <t>High risk: OT network segmentation and secure remote vendor access depends on informal practices or individual knowledge. Disruption may expose security incident, data breach, privilege misuse, privacy violation and regulatory exposure and slow recovery.</t>
  </si>
  <si>
    <t>Elevated risk: OT network segmentation and secure remote vendor access is partially controlled, but coverage, evidence or testing is inconsistent. Crisis response may be fragmented.</t>
  </si>
  <si>
    <t>Moderate risk: OT network segmentation and secure remote vendor access is documented and owned, but measurement, stress testing and integration with dependent processes need strengthening.</t>
  </si>
  <si>
    <t>Residual risk: OT network segmentation and secure remote vendor access is measured and reviewed, but monitoring, automation or scenario testing should be improved to prevent maturity drift.</t>
  </si>
  <si>
    <t>Low residual risk: OT network segmentation and secure remote vendor access is mature and crisis-tested. Maintain monitoring, evidence, ownership and periodic stress testing.</t>
  </si>
  <si>
    <t>Create an immediate risk owner, minimum control baseline and fallback procedure for OT network segmentation and secure remote vendor access. Add it to the crisis risk register and collect first evidence.</t>
  </si>
  <si>
    <t>Document OT network segmentation and secure remote vendor access, assign RACI, define minimum controls and KPIs, and validate coverage across key sites, teams or systems.</t>
  </si>
  <si>
    <t>Standardize OT network segmentation and secure remote vendor access, close coverage gaps, train accountable roles and connect controls to the relevant crisis scenarios and continuity plans.</t>
  </si>
  <si>
    <t>Measure and test OT network segmentation and secure remote vendor access, run tabletop or operational stress tests, integrate it with dependent processes and update crisis playbooks.</t>
  </si>
  <si>
    <t>Sustain maturity for OT network segmentation and secure remote vendor access: keep evidence current, monitor drift, benchmark externally and refresh risk tests after organizational, system or market changes.</t>
  </si>
  <si>
    <t>Immature capability for OT backup and restore of PLC, HMI, SCADA and recipe configurations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</si>
  <si>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OT backup and restore of PLC, HMI, SCADA and recipe configurations.</t>
  </si>
  <si>
    <t>Severe risk: OT backup and restore of PLC, HMI, SCADA and recipe configurations is not reliably controlled. During Cyberattack; Data breach; Ransomware; Insider threat, the organization may face security incident, data breach, privilege misuse, privacy violation and regulatory exposure with limited visibility or accountability.</t>
  </si>
  <si>
    <t>High risk: OT backup and restore of PLC, HMI, SCADA and recipe configurations depends on informal practices or individual knowledge. Disruption may expose security incident, data breach, privilege misuse, privacy violation and regulatory exposure and slow recovery.</t>
  </si>
  <si>
    <t>Elevated risk: OT backup and restore of PLC, HMI, SCADA and recipe configurations is partially controlled, but coverage, evidence or testing is inconsistent. Crisis response may be fragmented.</t>
  </si>
  <si>
    <t>Moderate risk: OT backup and restore of PLC, HMI, SCADA and recipe configurations is documented and owned, but measurement, stress testing and integration with dependent processes need strengthening.</t>
  </si>
  <si>
    <t>Residual risk: OT backup and restore of PLC, HMI, SCADA and recipe configurations is measured and reviewed, but monitoring, automation or scenario testing should be improved to prevent maturity drift.</t>
  </si>
  <si>
    <t>Low residual risk: OT backup and restore of PLC, HMI, SCADA and recipe configurations is mature and crisis-tested. Maintain monitoring, evidence, ownership and periodic stress testing.</t>
  </si>
  <si>
    <t>Create an immediate risk owner, minimum control baseline and fallback procedure for OT backup and restore of PLC, HMI, SCADA and recipe configurations. Add it to the crisis risk register and collect first evidence.</t>
  </si>
  <si>
    <t>Document OT backup and restore of PLC, HMI, SCADA and recipe configurations, assign RACI, define minimum controls and KPIs, and validate coverage across key sites, teams or systems.</t>
  </si>
  <si>
    <t>Standardize OT backup and restore of PLC, HMI, SCADA and recipe configurations, close coverage gaps, train accountable roles and connect controls to the relevant crisis scenarios and continuity plans.</t>
  </si>
  <si>
    <t>Measure and test OT backup and restore of PLC, HMI, SCADA and recipe configurations, run tabletop or operational stress tests, integrate it with dependent processes and update crisis playbooks.</t>
  </si>
  <si>
    <t>Sustain maturity for OT backup and restore of PLC, HMI, SCADA and recipe configurations: keep evidence current, monitor drift, benchmark externally and refresh risk tests after organizational, system or market changes.</t>
  </si>
  <si>
    <t>Immature capability for privacy governance with roles, lawful basis, DPIA, RoPA and data subject processes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</si>
  <si>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privacy governance with roles, lawful basis, DPIA, RoPA and data subject processes.</t>
  </si>
  <si>
    <t>Severe risk: privacy governance with roles, lawful basis, DPIA, RoPA and data subject processes is not reliably controlled. During Cyberattack; Data breach; Ransomware; Insider threat, the organization may face security incident, data breach, privilege misuse, privacy violation and regulatory exposure with limited visibility or accountability.</t>
  </si>
  <si>
    <t>High risk: privacy governance with roles, lawful basis, DPIA, RoPA and data subject processes depends on informal practices or individual knowledge. Disruption may expose security incident, data breach, privilege misuse, privacy violation and regulatory exposure and slow recovery.</t>
  </si>
  <si>
    <t>Elevated risk: privacy governance with roles, lawful basis, DPIA, RoPA and data subject processes is partially controlled, but coverage, evidence or testing is inconsistent. Crisis response may be fragmented.</t>
  </si>
  <si>
    <t>Moderate risk: privacy governance with roles, lawful basis, DPIA, RoPA and data subject processes is documented and owned, but measurement, stress testing and integration with dependent processes need strengthening.</t>
  </si>
  <si>
    <t>Residual risk: privacy governance with roles, lawful basis, DPIA, RoPA and data subject processes is measured and reviewed, but monitoring, automation or scenario testing should be improved to prevent maturity drift.</t>
  </si>
  <si>
    <t>Low residual risk: privacy governance with roles, lawful basis, DPIA, RoPA and data subject processes is mature and crisis-tested. Maintain monitoring, evidence, ownership and periodic stress testing.</t>
  </si>
  <si>
    <t>Create an immediate risk owner, minimum control baseline and fallback procedure for privacy governance with roles, lawful basis, DPIA, RoPA and data subject processes. Add it to the crisis risk register and collect first evidence.</t>
  </si>
  <si>
    <t>Document privacy governance with roles, lawful basis, DPIA, RoPA and data subject processes, assign RACI, define minimum controls and KPIs, and validate coverage across key sites, teams or systems.</t>
  </si>
  <si>
    <t>Standardize privacy governance with roles, lawful basis, DPIA, RoPA and data subject processes, close coverage gaps, train accountable roles and connect controls to the relevant crisis scenarios and continuity plans.</t>
  </si>
  <si>
    <t>Measure and test privacy governance with roles, lawful basis, DPIA, RoPA and data subject processes, run tabletop or operational stress tests, integrate it with dependent processes and update crisis playbooks.</t>
  </si>
  <si>
    <t>Sustain maturity for privacy governance with roles, lawful basis, DPIA, RoPA and data subject processes: keep evidence current, monitor drift, benchmark externally and refresh risk tests after organizational, system or market changes.</t>
  </si>
  <si>
    <t>Immature capability for personal data breach detection, assessment and notification within required timelines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</si>
  <si>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personal data breach detection, assessment and notification within required timelines.</t>
  </si>
  <si>
    <t>Severe risk: personal data breach detection, assessment and notification within required timelines is not reliably controlled. During Cyberattack; Data breach; Ransomware; Insider threat, the organization may face security incident, data breach, privilege misuse, privacy violation and regulatory exposure with limited visibility or accountability.</t>
  </si>
  <si>
    <t>High risk: personal data breach detection, assessment and notification within required timelines depends on informal practices or individual knowledge. Disruption may expose security incident, data breach, privilege misuse, privacy violation and regulatory exposure and slow recovery.</t>
  </si>
  <si>
    <t>Elevated risk: personal data breach detection, assessment and notification within required timelines is partially controlled, but coverage, evidence or testing is inconsistent. Crisis response may be fragmented.</t>
  </si>
  <si>
    <t>Moderate risk: personal data breach detection, assessment and notification within required timelines is documented and owned, but measurement, stress testing and integration with dependent processes need strengthening.</t>
  </si>
  <si>
    <t>Residual risk: personal data breach detection, assessment and notification within required timelines is measured and reviewed, but monitoring, automation or scenario testing should be improved to prevent maturity drift.</t>
  </si>
  <si>
    <t>Low residual risk: personal data breach detection, assessment and notification within required timelines is mature and crisis-tested. Maintain monitoring, evidence, ownership and periodic stress testing.</t>
  </si>
  <si>
    <t>Create an immediate risk owner, minimum control baseline and fallback procedure for personal data breach detection, assessment and notification within required timelines. Add it to the crisis risk register and collect first evidence.</t>
  </si>
  <si>
    <t>Document personal data breach detection, assessment and notification within required timelines, assign RACI, define minimum controls and KPIs, and validate coverage across key sites, teams or systems.</t>
  </si>
  <si>
    <t>Standardize personal data breach detection, assessment and notification within required timelines, close coverage gaps, train accountable roles and connect controls to the relevant crisis scenarios and continuity plans.</t>
  </si>
  <si>
    <t>Measure and test personal data breach detection, assessment and notification within required timelines, run tabletop or operational stress tests, integrate it with dependent processes and update crisis playbooks.</t>
  </si>
  <si>
    <t>Sustain maturity for personal data breach detection, assessment and notification within required timelines: keep evidence current, monitor drift, benchmark externally and refresh risk tests after organizational, system or market changes.</t>
  </si>
  <si>
    <t>Immature capability for vendor data processing agreements covering security, sub-processors, incident notification and continuity may lead to security incident, data breach, privilege misuse, privacy violation and regulatory exposure during Cyberattack; Data breach; Ransomware; Insider threat.</t>
  </si>
  <si>
    <t>Low maturity, weak ownership, incomplete evidence, insufficient testing and poor integration with crisis-management routines for vendor data processing agreements covering security, sub-processors, incident notification and continuity.</t>
  </si>
  <si>
    <t>Severe risk: vendor data processing agreements covering security, sub-processors, incident notification and continuity is not reliably controlled. During Cyberattack; Data breach; Ransomware; Insider threat, the organization may face security incident, data breach, privilege misuse, privacy violation and regulatory exposure with limited visibility or accountability.</t>
  </si>
  <si>
    <t>High risk: vendor data processing agreements covering security, sub-processors, incident notification and continuity depends on informal practices or individual knowledge. Disruption may expose security incident, data breach, privilege misuse, privacy violation and regulatory exposure and slow recovery.</t>
  </si>
  <si>
    <t>Elevated risk: vendor data processing agreements covering security, sub-processors, incident notification and continuity is partially controlled, but coverage, evidence or testing is inconsistent. Crisis response may be fragmented.</t>
  </si>
  <si>
    <t>Moderate risk: vendor data processing agreements covering security, sub-processors, incident notification and continuity is documented and owned, but measurement, stress testing and integration with dependent processes need strengthening.</t>
  </si>
  <si>
    <t>Residual risk: vendor data processing agreements covering security, sub-processors, incident notification and continuity is measured and reviewed, but monitoring, automation or scenario testing should be improved to prevent maturity drift.</t>
  </si>
  <si>
    <t>Low residual risk: vendor data processing agreements covering security, sub-processors, incident notification and continuity is mature and crisis-tested. Maintain monitoring, evidence, ownership and periodic stress testing.</t>
  </si>
  <si>
    <t>Create an immediate risk owner, minimum control baseline and fallback procedure for vendor data processing agreements covering security, sub-processors, incident notification and continuity. Add it to the crisis risk register and collect first evidence.</t>
  </si>
  <si>
    <t>Document vendor data processing agreements covering security, sub-processors, incident notification and continuity, assign RACI, define minimum controls and KPIs, and validate coverage across key sites, teams or systems.</t>
  </si>
  <si>
    <t>Standardize vendor data processing agreements covering security, sub-processors, incident notification and continuity, close coverage gaps, train accountable roles and connect controls to the relevant crisis scenarios and continuity plans.</t>
  </si>
  <si>
    <t>Measure and test vendor data processing agreements covering security, sub-processors, incident notification and continuity, run tabletop or operational stress tests, integrate it with dependent processes and update crisis playbooks.</t>
  </si>
  <si>
    <t>Sustain maturity for vendor data processing agreements covering security, sub-processors, incident notification and continuity: keep evidence current, monitor drift, benchmark externally and refresh risk tests after organizational, system or market changes.</t>
  </si>
  <si>
    <t>Immature capability for process architecture covering major value streams and support processes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</si>
  <si>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process architecture covering major value streams and support processes.</t>
  </si>
  <si>
    <t>Severe risk: process architecture covering major value streams and support processes is not reliably controlled. During Execution failure; Delivery disruption; Decision failure, the organization may face poor quality control, failed change execution, unmanaged portfolio trade-offs and benefit erosion with limited visibility or accountability.</t>
  </si>
  <si>
    <t>High risk: process architecture covering major value streams and support processes depends on informal practices or individual knowledge. Disruption may expose poor quality control, failed change execution, unmanaged portfolio trade-offs and benefit erosion and slow recovery.</t>
  </si>
  <si>
    <t>Elevated risk: process architecture covering major value streams and support processes is partially controlled, but coverage, evidence or testing is inconsistent. Crisis response may be fragmented.</t>
  </si>
  <si>
    <t>Moderate risk: process architecture covering major value streams and support processes is documented and owned, but measurement, stress testing and integration with dependent processes need strengthening.</t>
  </si>
  <si>
    <t>Residual risk: process architecture covering major value streams and support processes is measured and reviewed, but monitoring, automation or scenario testing should be improved to prevent maturity drift.</t>
  </si>
  <si>
    <t>Low residual risk: process architecture covering major value streams and support processes is mature and crisis-tested. Maintain monitoring, evidence, ownership and periodic stress testing.</t>
  </si>
  <si>
    <t>Create an immediate risk owner, minimum control baseline and fallback procedure for process architecture covering major value streams and support processes. Add it to the crisis risk register and collect first evidence.</t>
  </si>
  <si>
    <t>Document process architecture covering major value streams and support processes, assign RACI, define minimum controls and KPIs, and validate coverage across key sites, teams or systems.</t>
  </si>
  <si>
    <t>Standardize process architecture covering major value streams and support processes, close coverage gaps, train accountable roles and connect controls to the relevant crisis scenarios and continuity plans.</t>
  </si>
  <si>
    <t>Measure and test process architecture covering major value streams and support processes, run tabletop or operational stress tests, integrate it with dependent processes and update crisis playbooks.</t>
  </si>
  <si>
    <t>Sustain maturity for process architecture covering major value streams and support processes: keep evidence current, monitor drift, benchmark externally and refresh risk tests after organizational, system or market changes.</t>
  </si>
  <si>
    <t>Immature capability for process ownership for critical processes with inputs, outputs, controls and KPIs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</si>
  <si>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process ownership for critical processes with inputs, outputs, controls and KPIs.</t>
  </si>
  <si>
    <t>Severe risk: process ownership for critical processes with inputs, outputs, controls and KPIs is not reliably controlled. During Execution failure; Delivery disruption; Decision failure, the organization may face poor quality control, failed change execution, unmanaged portfolio trade-offs and benefit erosion with limited visibility or accountability.</t>
  </si>
  <si>
    <t>High risk: process ownership for critical processes with inputs, outputs, controls and KPIs depends on informal practices or individual knowledge. Disruption may expose poor quality control, failed change execution, unmanaged portfolio trade-offs and benefit erosion and slow recovery.</t>
  </si>
  <si>
    <t>Elevated risk: process ownership for critical processes with inputs, outputs, controls and KPIs is partially controlled, but coverage, evidence or testing is inconsistent. Crisis response may be fragmented.</t>
  </si>
  <si>
    <t>Moderate risk: process ownership for critical processes with inputs, outputs, controls and KPIs is documented and owned, but measurement, stress testing and integration with dependent processes need strengthening.</t>
  </si>
  <si>
    <t>Residual risk: process ownership for critical processes with inputs, outputs, controls and KPIs is measured and reviewed, but monitoring, automation or scenario testing should be improved to prevent maturity drift.</t>
  </si>
  <si>
    <t>Low residual risk: process ownership for critical processes with inputs, outputs, controls and KPIs is mature and crisis-tested. Maintain monitoring, evidence, ownership and periodic stress testing.</t>
  </si>
  <si>
    <t>Create an immediate risk owner, minimum control baseline and fallback procedure for process ownership for critical processes with inputs, outputs, controls and KPIs. Add it to the crisis risk register and collect first evidence.</t>
  </si>
  <si>
    <t>Document process ownership for critical processes with inputs, outputs, controls and KPIs, assign RACI, define minimum controls and KPIs, and validate coverage across key sites, teams or systems.</t>
  </si>
  <si>
    <t>Standardize process ownership for critical processes with inputs, outputs, controls and KPIs, close coverage gaps, train accountable roles and connect controls to the relevant crisis scenarios and continuity plans.</t>
  </si>
  <si>
    <t>Measure and test process ownership for critical processes with inputs, outputs, controls and KPIs, run tabletop or operational stress tests, integrate it with dependent processes and update crisis playbooks.</t>
  </si>
  <si>
    <t>Sustain maturity for process ownership for critical processes with inputs, outputs, controls and KPIs: keep evidence current, monitor drift, benchmark externally and refresh risk tests after organizational, system or market changes.</t>
  </si>
  <si>
    <t>Immature capability for process maturity assessment for automation, measurement, resilience and improvement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</si>
  <si>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process maturity assessment for automation, measurement, resilience and improvement.</t>
  </si>
  <si>
    <t>Severe risk: process maturity assessment for automation, measurement, resilience and improvement is not reliably controlled. During Execution failure; Delivery disruption; Decision failure, the organization may face poor quality control, failed change execution, unmanaged portfolio trade-offs and benefit erosion with limited visibility or accountability.</t>
  </si>
  <si>
    <t>High risk: process maturity assessment for automation, measurement, resilience and improvement depends on informal practices or individual knowledge. Disruption may expose poor quality control, failed change execution, unmanaged portfolio trade-offs and benefit erosion and slow recovery.</t>
  </si>
  <si>
    <t>Elevated risk: process maturity assessment for automation, measurement, resilience and improvement is partially controlled, but coverage, evidence or testing is inconsistent. Crisis response may be fragmented.</t>
  </si>
  <si>
    <t>Moderate risk: process maturity assessment for automation, measurement, resilience and improvement is documented and owned, but measurement, stress testing and integration with dependent processes need strengthening.</t>
  </si>
  <si>
    <t>Residual risk: process maturity assessment for automation, measurement, resilience and improvement is measured and reviewed, but monitoring, automation or scenario testing should be improved to prevent maturity drift.</t>
  </si>
  <si>
    <t>Low residual risk: process maturity assessment for automation, measurement, resilience and improvement is mature and crisis-tested. Maintain monitoring, evidence, ownership and periodic stress testing.</t>
  </si>
  <si>
    <t>Create an immediate risk owner, minimum control baseline and fallback procedure for process maturity assessment for automation, measurement, resilience and improvement. Add it to the crisis risk register and collect first evidence.</t>
  </si>
  <si>
    <t>Document process maturity assessment for automation, measurement, resilience and improvement, assign RACI, define minimum controls and KPIs, and validate coverage across key sites, teams or systems.</t>
  </si>
  <si>
    <t>Standardize process maturity assessment for automation, measurement, resilience and improvement, close coverage gaps, train accountable roles and connect controls to the relevant crisis scenarios and continuity plans.</t>
  </si>
  <si>
    <t>Measure and test process maturity assessment for automation, measurement, resilience and improvement, run tabletop or operational stress tests, integrate it with dependent processes and update crisis playbooks.</t>
  </si>
  <si>
    <t>Sustain maturity for process maturity assessment for automation, measurement, resilience and improvement: keep evidence current, monitor drift, benchmark externally and refresh risk tests after organizational, system or market changes.</t>
  </si>
  <si>
    <t>Immature capability for SOP and policy document control with versioning, ownership and review cadence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</si>
  <si>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SOP and policy document control with versioning, ownership and review cadence.</t>
  </si>
  <si>
    <t>Severe risk: SOP and policy document control with versioning, ownership and review cadence is not reliably controlled. During Execution failure; Delivery disruption; Decision failure, the organization may face poor quality control, failed change execution, unmanaged portfolio trade-offs and benefit erosion with limited visibility or accountability.</t>
  </si>
  <si>
    <t>High risk: SOP and policy document control with versioning, ownership and review cadence depends on informal practices or individual knowledge. Disruption may expose poor quality control, failed change execution, unmanaged portfolio trade-offs and benefit erosion and slow recovery.</t>
  </si>
  <si>
    <t>Elevated risk: SOP and policy document control with versioning, ownership and review cadence is partially controlled, but coverage, evidence or testing is inconsistent. Crisis response may be fragmented.</t>
  </si>
  <si>
    <t>Moderate risk: SOP and policy document control with versioning, ownership and review cadence is documented and owned, but measurement, stress testing and integration with dependent processes need strengthening.</t>
  </si>
  <si>
    <t>Residual risk: SOP and policy document control with versioning, ownership and review cadence is measured and reviewed, but monitoring, automation or scenario testing should be improved to prevent maturity drift.</t>
  </si>
  <si>
    <t>Low residual risk: SOP and policy document control with versioning, ownership and review cadence is mature and crisis-tested. Maintain monitoring, evidence, ownership and periodic stress testing.</t>
  </si>
  <si>
    <t>Create an immediate risk owner, minimum control baseline and fallback procedure for SOP and policy document control with versioning, ownership and review cadence. Add it to the crisis risk register and collect first evidence.</t>
  </si>
  <si>
    <t>Document SOP and policy document control with versioning, ownership and review cadence, assign RACI, define minimum controls and KPIs, and validate coverage across key sites, teams or systems.</t>
  </si>
  <si>
    <t>Standardize SOP and policy document control with versioning, ownership and review cadence, close coverage gaps, train accountable roles and connect controls to the relevant crisis scenarios and continuity plans.</t>
  </si>
  <si>
    <t>Measure and test SOP and policy document control with versioning, ownership and review cadence, run tabletop or operational stress tests, integrate it with dependent processes and update crisis playbooks.</t>
  </si>
  <si>
    <t>Sustain maturity for SOP and policy document control with versioning, ownership and review cadence: keep evidence current, monitor drift, benchmark externally and refresh risk tests after organizational, system or market changes.</t>
  </si>
  <si>
    <t>Immature capability for process automation documented, monitored and covered by manual fallback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</si>
  <si>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process automation documented, monitored and covered by manual fallback.</t>
  </si>
  <si>
    <t>Severe risk: process automation documented, monitored and covered by manual fallback is not reliably controlled. During Execution failure; Delivery disruption; Decision failure, the organization may face poor quality control, failed change execution, unmanaged portfolio trade-offs and benefit erosion with limited visibility or accountability.</t>
  </si>
  <si>
    <t>High risk: process automation documented, monitored and covered by manual fallback depends on informal practices or individual knowledge. Disruption may expose poor quality control, failed change execution, unmanaged portfolio trade-offs and benefit erosion and slow recovery.</t>
  </si>
  <si>
    <t>Elevated risk: process automation documented, monitored and covered by manual fallback is partially controlled, but coverage, evidence or testing is inconsistent. Crisis response may be fragmented.</t>
  </si>
  <si>
    <t>Moderate risk: process automation documented, monitored and covered by manual fallback is documented and owned, but measurement, stress testing and integration with dependent processes need strengthening.</t>
  </si>
  <si>
    <t>Residual risk: process automation documented, monitored and covered by manual fallback is measured and reviewed, but monitoring, automation or scenario testing should be improved to prevent maturity drift.</t>
  </si>
  <si>
    <t>Low residual risk: process automation documented, monitored and covered by manual fallback is mature and crisis-tested. Maintain monitoring, evidence, ownership and periodic stress testing.</t>
  </si>
  <si>
    <t>Create an immediate risk owner, minimum control baseline and fallback procedure for process automation documented, monitored and covered by manual fallback. Add it to the crisis risk register and collect first evidence.</t>
  </si>
  <si>
    <t>Document process automation documented, monitored and covered by manual fallback, assign RACI, define minimum controls and KPIs, and validate coverage across key sites, teams or systems.</t>
  </si>
  <si>
    <t>Standardize process automation documented, monitored and covered by manual fallback, close coverage gaps, train accountable roles and connect controls to the relevant crisis scenarios and continuity plans.</t>
  </si>
  <si>
    <t>Measure and test process automation documented, monitored and covered by manual fallback, run tabletop or operational stress tests, integrate it with dependent processes and update crisis playbooks.</t>
  </si>
  <si>
    <t>Sustain maturity for process automation documented, monitored and covered by manual fallback: keep evidence current, monitor drift, benchmark externally and refresh risk tests after organizational, system or market changes.</t>
  </si>
  <si>
    <t>Immature capability for quality objectives linked to customer, delivery and operational performance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</si>
  <si>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quality objectives linked to customer, delivery and operational performance.</t>
  </si>
  <si>
    <t>Severe risk: quality objectives linked to customer, delivery and operational performance is not reliably controlled. During Execution failure; Delivery disruption; Decision failure, the organization may face poor quality control, failed change execution, unmanaged portfolio trade-offs and benefit erosion with limited visibility or accountability.</t>
  </si>
  <si>
    <t>High risk: quality objectives linked to customer, delivery and operational performance depends on informal practices or individual knowledge. Disruption may expose poor quality control, failed change execution, unmanaged portfolio trade-offs and benefit erosion and slow recovery.</t>
  </si>
  <si>
    <t>Elevated risk: quality objectives linked to customer, delivery and operational performance is partially controlled, but coverage, evidence or testing is inconsistent. Crisis response may be fragmented.</t>
  </si>
  <si>
    <t>Moderate risk: quality objectives linked to customer, delivery and operational performance is documented and owned, but measurement, stress testing and integration with dependent processes need strengthening.</t>
  </si>
  <si>
    <t>Residual risk: quality objectives linked to customer, delivery and operational performance is measured and reviewed, but monitoring, automation or scenario testing should be improved to prevent maturity drift.</t>
  </si>
  <si>
    <t>Low residual risk: quality objectives linked to customer, delivery and operational performance is mature and crisis-tested. Maintain monitoring, evidence, ownership and periodic stress testing.</t>
  </si>
  <si>
    <t>Create an immediate risk owner, minimum control baseline and fallback procedure for quality objectives linked to customer, delivery and operational performance. Add it to the crisis risk register and collect first evidence.</t>
  </si>
  <si>
    <t>Document quality objectives linked to customer, delivery and operational performance, assign RACI, define minimum controls and KPIs, and validate coverage across key sites, teams or systems.</t>
  </si>
  <si>
    <t>Standardize quality objectives linked to customer, delivery and operational performance, close coverage gaps, train accountable roles and connect controls to the relevant crisis scenarios and continuity plans.</t>
  </si>
  <si>
    <t>Measure and test quality objectives linked to customer, delivery and operational performance, run tabletop or operational stress tests, integrate it with dependent processes and update crisis playbooks.</t>
  </si>
  <si>
    <t>Sustain maturity for quality objectives linked to customer, delivery and operational performance: keep evidence current, monitor drift, benchmark externally and refresh risk tests after organizational, system or market changes.</t>
  </si>
  <si>
    <t>Immature capability for nonconformity, defect, complaint and corrective action management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</si>
  <si>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nonconformity, defect, complaint and corrective action management.</t>
  </si>
  <si>
    <t>Severe risk: nonconformity, defect, complaint and corrective action management is not reliably controlled. During Execution failure; Delivery disruption; Decision failure, the organization may face poor quality control, failed change execution, unmanaged portfolio trade-offs and benefit erosion with limited visibility or accountability.</t>
  </si>
  <si>
    <t>High risk: nonconformity, defect, complaint and corrective action management depends on informal practices or individual knowledge. Disruption may expose poor quality control, failed change execution, unmanaged portfolio trade-offs and benefit erosion and slow recovery.</t>
  </si>
  <si>
    <t>Elevated risk: nonconformity, defect, complaint and corrective action management is partially controlled, but coverage, evidence or testing is inconsistent. Crisis response may be fragmented.</t>
  </si>
  <si>
    <t>Moderate risk: nonconformity, defect, complaint and corrective action management is documented and owned, but measurement, stress testing and integration with dependent processes need strengthening.</t>
  </si>
  <si>
    <t>Residual risk: nonconformity, defect, complaint and corrective action management is measured and reviewed, but monitoring, automation or scenario testing should be improved to prevent maturity drift.</t>
  </si>
  <si>
    <t>Low residual risk: nonconformity, defect, complaint and corrective action management is mature and crisis-tested. Maintain monitoring, evidence, ownership and periodic stress testing.</t>
  </si>
  <si>
    <t>Create an immediate risk owner, minimum control baseline and fallback procedure for nonconformity, defect, complaint and corrective action management. Add it to the crisis risk register and collect first evidence.</t>
  </si>
  <si>
    <t>Document nonconformity, defect, complaint and corrective action management, assign RACI, define minimum controls and KPIs, and validate coverage across key sites, teams or systems.</t>
  </si>
  <si>
    <t>Standardize nonconformity, defect, complaint and corrective action management, close coverage gaps, train accountable roles and connect controls to the relevant crisis scenarios and continuity plans.</t>
  </si>
  <si>
    <t>Measure and test nonconformity, defect, complaint and corrective action management, run tabletop or operational stress tests, integrate it with dependent processes and update crisis playbooks.</t>
  </si>
  <si>
    <t>Sustain maturity for nonconformity, defect, complaint and corrective action management: keep evidence current, monitor drift, benchmark externally and refresh risk tests after organizational, system or market changes.</t>
  </si>
  <si>
    <t>Immature capability for internal audit program for critical processes and controls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</si>
  <si>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internal audit program for critical processes and controls.</t>
  </si>
  <si>
    <t>Severe risk: internal audit program for critical processes and controls is not reliably controlled. During Execution failure; Delivery disruption; Decision failure, the organization may face poor quality control, failed change execution, unmanaged portfolio trade-offs and benefit erosion with limited visibility or accountability.</t>
  </si>
  <si>
    <t>High risk: internal audit program for critical processes and controls depends on informal practices or individual knowledge. Disruption may expose poor quality control, failed change execution, unmanaged portfolio trade-offs and benefit erosion and slow recovery.</t>
  </si>
  <si>
    <t>Elevated risk: internal audit program for critical processes and controls is partially controlled, but coverage, evidence or testing is inconsistent. Crisis response may be fragmented.</t>
  </si>
  <si>
    <t>Moderate risk: internal audit program for critical processes and controls is documented and owned, but measurement, stress testing and integration with dependent processes need strengthening.</t>
  </si>
  <si>
    <t>Residual risk: internal audit program for critical processes and controls is measured and reviewed, but monitoring, automation or scenario testing should be improved to prevent maturity drift.</t>
  </si>
  <si>
    <t>Low residual risk: internal audit program for critical processes and controls is mature and crisis-tested. Maintain monitoring, evidence, ownership and periodic stress testing.</t>
  </si>
  <si>
    <t>Create an immediate risk owner, minimum control baseline and fallback procedure for internal audit program for critical processes and controls. Add it to the crisis risk register and collect first evidence.</t>
  </si>
  <si>
    <t>Document internal audit program for critical processes and controls, assign RACI, define minimum controls and KPIs, and validate coverage across key sites, teams or systems.</t>
  </si>
  <si>
    <t>Standardize internal audit program for critical processes and controls, close coverage gaps, train accountable roles and connect controls to the relevant crisis scenarios and continuity plans.</t>
  </si>
  <si>
    <t>Measure and test internal audit program for critical processes and controls, run tabletop or operational stress tests, integrate it with dependent processes and update crisis playbooks.</t>
  </si>
  <si>
    <t>Sustain maturity for internal audit program for critical processes and controls: keep evidence current, monitor drift, benchmark externally and refresh risk tests after organizational, system or market changes.</t>
  </si>
  <si>
    <t>Immature capability for control testing for effectiveness, not only existence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</si>
  <si>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control testing for effectiveness, not only existence.</t>
  </si>
  <si>
    <t>Severe risk: control testing for effectiveness, not only existence is not reliably controlled. During Execution failure; Delivery disruption; Decision failure, the organization may face poor quality control, failed change execution, unmanaged portfolio trade-offs and benefit erosion with limited visibility or accountability.</t>
  </si>
  <si>
    <t>High risk: control testing for effectiveness, not only existence depends on informal practices or individual knowledge. Disruption may expose poor quality control, failed change execution, unmanaged portfolio trade-offs and benefit erosion and slow recovery.</t>
  </si>
  <si>
    <t>Elevated risk: control testing for effectiveness, not only existence is partially controlled, but coverage, evidence or testing is inconsistent. Crisis response may be fragmented.</t>
  </si>
  <si>
    <t>Moderate risk: control testing for effectiveness, not only existence is documented and owned, but measurement, stress testing and integration with dependent processes need strengthening.</t>
  </si>
  <si>
    <t>Residual risk: control testing for effectiveness, not only existence is measured and reviewed, but monitoring, automation or scenario testing should be improved to prevent maturity drift.</t>
  </si>
  <si>
    <t>Low residual risk: control testing for effectiveness, not only existence is mature and crisis-tested. Maintain monitoring, evidence, ownership and periodic stress testing.</t>
  </si>
  <si>
    <t>Create an immediate risk owner, minimum control baseline and fallback procedure for control testing for effectiveness, not only existence. Add it to the crisis risk register and collect first evidence.</t>
  </si>
  <si>
    <t>Document control testing for effectiveness, not only existence, assign RACI, define minimum controls and KPIs, and validate coverage across key sites, teams or systems.</t>
  </si>
  <si>
    <t>Standardize control testing for effectiveness, not only existence, close coverage gaps, train accountable roles and connect controls to the relevant crisis scenarios and continuity plans.</t>
  </si>
  <si>
    <t>Measure and test control testing for effectiveness, not only existence, run tabletop or operational stress tests, integrate it with dependent processes and update crisis playbooks.</t>
  </si>
  <si>
    <t>Sustain maturity for control testing for effectiveness, not only existence: keep evidence current, monitor drift, benchmark externally and refresh risk tests after organizational, system or market changes.</t>
  </si>
  <si>
    <t>Immature capability for customer complaint handling and root cause analysis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</si>
  <si>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customer complaint handling and root cause analysis.</t>
  </si>
  <si>
    <t>Severe risk: customer complaint handling and root cause analysis is not reliably controlled. During Execution failure; Delivery disruption; Decision failure, the organization may face poor quality control, failed change execution, unmanaged portfolio trade-offs and benefit erosion with limited visibility or accountability.</t>
  </si>
  <si>
    <t>High risk: customer complaint handling and root cause analysis depends on informal practices or individual knowledge. Disruption may expose poor quality control, failed change execution, unmanaged portfolio trade-offs and benefit erosion and slow recovery.</t>
  </si>
  <si>
    <t>Elevated risk: customer complaint handling and root cause analysis is partially controlled, but coverage, evidence or testing is inconsistent. Crisis response may be fragmented.</t>
  </si>
  <si>
    <t>Moderate risk: customer complaint handling and root cause analysis is documented and owned, but measurement, stress testing and integration with dependent processes need strengthening.</t>
  </si>
  <si>
    <t>Residual risk: customer complaint handling and root cause analysis is measured and reviewed, but monitoring, automation or scenario testing should be improved to prevent maturity drift.</t>
  </si>
  <si>
    <t>Low residual risk: customer complaint handling and root cause analysis is mature and crisis-tested. Maintain monitoring, evidence, ownership and periodic stress testing.</t>
  </si>
  <si>
    <t>Create an immediate risk owner, minimum control baseline and fallback procedure for customer complaint handling and root cause analysis. Add it to the crisis risk register and collect first evidence.</t>
  </si>
  <si>
    <t>Document customer complaint handling and root cause analysis, assign RACI, define minimum controls and KPIs, and validate coverage across key sites, teams or systems.</t>
  </si>
  <si>
    <t>Standardize customer complaint handling and root cause analysis, close coverage gaps, train accountable roles and connect controls to the relevant crisis scenarios and continuity plans.</t>
  </si>
  <si>
    <t>Measure and test customer complaint handling and root cause analysis, run tabletop or operational stress tests, integrate it with dependent processes and update crisis playbooks.</t>
  </si>
  <si>
    <t>Sustain maturity for customer complaint handling and root cause analysis: keep evidence current, monitor drift, benchmark externally and refresh risk tests after organizational, system or market changes.</t>
  </si>
  <si>
    <t>Immature capability for portfolio governance with prioritization, capacity, benefits, risks and dependencies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</si>
  <si>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portfolio governance with prioritization, capacity, benefits, risks and dependencies.</t>
  </si>
  <si>
    <t>Severe risk: portfolio governance with prioritization, capacity, benefits, risks and dependencies is not reliably controlled. During Execution failure; Delivery disruption; Decision failure, the organization may face poor quality control, failed change execution, unmanaged portfolio trade-offs and benefit erosion with limited visibility or accountability.</t>
  </si>
  <si>
    <t>High risk: portfolio governance with prioritization, capacity, benefits, risks and dependencies depends on informal practices or individual knowledge. Disruption may expose poor quality control, failed change execution, unmanaged portfolio trade-offs and benefit erosion and slow recovery.</t>
  </si>
  <si>
    <t>Elevated risk: portfolio governance with prioritization, capacity, benefits, risks and dependencies is partially controlled, but coverage, evidence or testing is inconsistent. Crisis response may be fragmented.</t>
  </si>
  <si>
    <t>Moderate risk: portfolio governance with prioritization, capacity, benefits, risks and dependencies is documented and owned, but measurement, stress testing and integration with dependent processes need strengthening.</t>
  </si>
  <si>
    <t>Residual risk: portfolio governance with prioritization, capacity, benefits, risks and dependencies is measured and reviewed, but monitoring, automation or scenario testing should be improved to prevent maturity drift.</t>
  </si>
  <si>
    <t>Low residual risk: portfolio governance with prioritization, capacity, benefits, risks and dependencies is mature and crisis-tested. Maintain monitoring, evidence, ownership and periodic stress testing.</t>
  </si>
  <si>
    <t>Create an immediate risk owner, minimum control baseline and fallback procedure for portfolio governance with prioritization, capacity, benefits, risks and dependencies. Add it to the crisis risk register and collect first evidence.</t>
  </si>
  <si>
    <t>Document portfolio governance with prioritization, capacity, benefits, risks and dependencies, assign RACI, define minimum controls and KPIs, and validate coverage across key sites, teams or systems.</t>
  </si>
  <si>
    <t>Standardize portfolio governance with prioritization, capacity, benefits, risks and dependencies, close coverage gaps, train accountable roles and connect controls to the relevant crisis scenarios and continuity plans.</t>
  </si>
  <si>
    <t>Measure and test portfolio governance with prioritization, capacity, benefits, risks and dependencies, run tabletop or operational stress tests, integrate it with dependent processes and update crisis playbooks.</t>
  </si>
  <si>
    <t>Sustain maturity for portfolio governance with prioritization, capacity, benefits, risks and dependencies: keep evidence current, monitor drift, benchmark externally and refresh risk tests after organizational, system or market changes.</t>
  </si>
  <si>
    <t>Immature capability for rapid reprioritization of initiatives during crisis using value, urgency, risk and capacity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</si>
  <si>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rapid reprioritization of initiatives during crisis using value, urgency, risk and capacity.</t>
  </si>
  <si>
    <t>Severe risk: rapid reprioritization of initiatives during crisis using value, urgency, risk and capacity is not reliably controlled. During Execution failure; Delivery disruption; Decision failure, the organization may face poor quality control, failed change execution, unmanaged portfolio trade-offs and benefit erosion with limited visibility or accountability.</t>
  </si>
  <si>
    <t>High risk: rapid reprioritization of initiatives during crisis using value, urgency, risk and capacity depends on informal practices or individual knowledge. Disruption may expose poor quality control, failed change execution, unmanaged portfolio trade-offs and benefit erosion and slow recovery.</t>
  </si>
  <si>
    <t>Elevated risk: rapid reprioritization of initiatives during crisis using value, urgency, risk and capacity is partially controlled, but coverage, evidence or testing is inconsistent. Crisis response may be fragmented.</t>
  </si>
  <si>
    <t>Moderate risk: rapid reprioritization of initiatives during crisis using value, urgency, risk and capacity is documented and owned, but measurement, stress testing and integration with dependent processes need strengthening.</t>
  </si>
  <si>
    <t>Residual risk: rapid reprioritization of initiatives during crisis using value, urgency, risk and capacity is measured and reviewed, but monitoring, automation or scenario testing should be improved to prevent maturity drift.</t>
  </si>
  <si>
    <t>Low residual risk: rapid reprioritization of initiatives during crisis using value, urgency, risk and capacity is mature and crisis-tested. Maintain monitoring, evidence, ownership and periodic stress testing.</t>
  </si>
  <si>
    <t>Create an immediate risk owner, minimum control baseline and fallback procedure for rapid reprioritization of initiatives during crisis using value, urgency, risk and capacity. Add it to the crisis risk register and collect first evidence.</t>
  </si>
  <si>
    <t>Document rapid reprioritization of initiatives during crisis using value, urgency, risk and capacity, assign RACI, define minimum controls and KPIs, and validate coverage across key sites, teams or systems.</t>
  </si>
  <si>
    <t>Standardize rapid reprioritization of initiatives during crisis using value, urgency, risk and capacity, close coverage gaps, train accountable roles and connect controls to the relevant crisis scenarios and continuity plans.</t>
  </si>
  <si>
    <t>Measure and test rapid reprioritization of initiatives during crisis using value, urgency, risk and capacity, run tabletop or operational stress tests, integrate it with dependent processes and update crisis playbooks.</t>
  </si>
  <si>
    <t>Sustain maturity for rapid reprioritization of initiatives during crisis using value, urgency, risk and capacity: keep evidence current, monitor drift, benchmark externally and refresh risk tests after organizational, system or market changes.</t>
  </si>
  <si>
    <t>Immature capability for benefits realization tracking for resilience, digital and operational initiatives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</si>
  <si>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benefits realization tracking for resilience, digital and operational initiatives.</t>
  </si>
  <si>
    <t>Severe risk: benefits realization tracking for resilience, digital and operational initiatives is not reliably controlled. During Execution failure; Delivery disruption; Decision failure, the organization may face poor quality control, failed change execution, unmanaged portfolio trade-offs and benefit erosion with limited visibility or accountability.</t>
  </si>
  <si>
    <t>High risk: benefits realization tracking for resilience, digital and operational initiatives depends on informal practices or individual knowledge. Disruption may expose poor quality control, failed change execution, unmanaged portfolio trade-offs and benefit erosion and slow recovery.</t>
  </si>
  <si>
    <t>Elevated risk: benefits realization tracking for resilience, digital and operational initiatives is partially controlled, but coverage, evidence or testing is inconsistent. Crisis response may be fragmented.</t>
  </si>
  <si>
    <t>Moderate risk: benefits realization tracking for resilience, digital and operational initiatives is documented and owned, but measurement, stress testing and integration with dependent processes need strengthening.</t>
  </si>
  <si>
    <t>Residual risk: benefits realization tracking for resilience, digital and operational initiatives is measured and reviewed, but monitoring, automation or scenario testing should be improved to prevent maturity drift.</t>
  </si>
  <si>
    <t>Low residual risk: benefits realization tracking for resilience, digital and operational initiatives is mature and crisis-tested. Maintain monitoring, evidence, ownership and periodic stress testing.</t>
  </si>
  <si>
    <t>Create an immediate risk owner, minimum control baseline and fallback procedure for benefits realization tracking for resilience, digital and operational initiatives. Add it to the crisis risk register and collect first evidence.</t>
  </si>
  <si>
    <t>Document benefits realization tracking for resilience, digital and operational initiatives, assign RACI, define minimum controls and KPIs, and validate coverage across key sites, teams or systems.</t>
  </si>
  <si>
    <t>Standardize benefits realization tracking for resilience, digital and operational initiatives, close coverage gaps, train accountable roles and connect controls to the relevant crisis scenarios and continuity plans.</t>
  </si>
  <si>
    <t>Measure and test benefits realization tracking for resilience, digital and operational initiatives, run tabletop or operational stress tests, integrate it with dependent processes and update crisis playbooks.</t>
  </si>
  <si>
    <t>Sustain maturity for benefits realization tracking for resilience, digital and operational initiatives: keep evidence current, monitor drift, benchmark externally and refresh risk tests after organizational, system or market changes.</t>
  </si>
  <si>
    <t>Immature capability for change adoption management with communication, training, sponsor accountability and adoption metrics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</si>
  <si>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change adoption management with communication, training, sponsor accountability and adoption metrics.</t>
  </si>
  <si>
    <t>Severe risk: change adoption management with communication, training, sponsor accountability and adoption metrics is not reliably controlled. During Execution failure; Delivery disruption; Decision failure, the organization may face poor quality control, failed change execution, unmanaged portfolio trade-offs and benefit erosion with limited visibility or accountability.</t>
  </si>
  <si>
    <t>High risk: change adoption management with communication, training, sponsor accountability and adoption metrics depends on informal practices or individual knowledge. Disruption may expose poor quality control, failed change execution, unmanaged portfolio trade-offs and benefit erosion and slow recovery.</t>
  </si>
  <si>
    <t>Elevated risk: change adoption management with communication, training, sponsor accountability and adoption metrics is partially controlled, but coverage, evidence or testing is inconsistent. Crisis response may be fragmented.</t>
  </si>
  <si>
    <t>Moderate risk: change adoption management with communication, training, sponsor accountability and adoption metrics is documented and owned, but measurement, stress testing and integration with dependent processes need strengthening.</t>
  </si>
  <si>
    <t>Residual risk: change adoption management with communication, training, sponsor accountability and adoption metrics is measured and reviewed, but monitoring, automation or scenario testing should be improved to prevent maturity drift.</t>
  </si>
  <si>
    <t>Low residual risk: change adoption management with communication, training, sponsor accountability and adoption metrics is mature and crisis-tested. Maintain monitoring, evidence, ownership and periodic stress testing.</t>
  </si>
  <si>
    <t>Create an immediate risk owner, minimum control baseline and fallback procedure for change adoption management with communication, training, sponsor accountability and adoption metrics. Add it to the crisis risk register and collect first evidence.</t>
  </si>
  <si>
    <t>Document change adoption management with communication, training, sponsor accountability and adoption metrics, assign RACI, define minimum controls and KPIs, and validate coverage across key sites, teams or systems.</t>
  </si>
  <si>
    <t>Standardize change adoption management with communication, training, sponsor accountability and adoption metrics, close coverage gaps, train accountable roles and connect controls to the relevant crisis scenarios and continuity plans.</t>
  </si>
  <si>
    <t>Measure and test change adoption management with communication, training, sponsor accountability and adoption metrics, run tabletop or operational stress tests, integrate it with dependent processes and update crisis playbooks.</t>
  </si>
  <si>
    <t>Sustain maturity for change adoption management with communication, training, sponsor accountability and adoption metrics: keep evidence current, monitor drift, benchmark externally and refresh risk tests after organizational, system or market changes.</t>
  </si>
  <si>
    <t>Immature capability for improvement backlog linked to incidents, audits, customer feedback, risk and strategy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</si>
  <si>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improvement backlog linked to incidents, audits, customer feedback, risk and strategy.</t>
  </si>
  <si>
    <t>Severe risk: improvement backlog linked to incidents, audits, customer feedback, risk and strategy is not reliably controlled. During Execution failure; Delivery disruption; Decision failure, the organization may face poor quality control, failed change execution, unmanaged portfolio trade-offs and benefit erosion with limited visibility or accountability.</t>
  </si>
  <si>
    <t>High risk: improvement backlog linked to incidents, audits, customer feedback, risk and strategy depends on informal practices or individual knowledge. Disruption may expose poor quality control, failed change execution, unmanaged portfolio trade-offs and benefit erosion and slow recovery.</t>
  </si>
  <si>
    <t>Elevated risk: improvement backlog linked to incidents, audits, customer feedback, risk and strategy is partially controlled, but coverage, evidence or testing is inconsistent. Crisis response may be fragmented.</t>
  </si>
  <si>
    <t>Moderate risk: improvement backlog linked to incidents, audits, customer feedback, risk and strategy is documented and owned, but measurement, stress testing and integration with dependent processes need strengthening.</t>
  </si>
  <si>
    <t>Residual risk: improvement backlog linked to incidents, audits, customer feedback, risk and strategy is measured and reviewed, but monitoring, automation or scenario testing should be improved to prevent maturity drift.</t>
  </si>
  <si>
    <t>Low residual risk: improvement backlog linked to incidents, audits, customer feedback, risk and strategy is mature and crisis-tested. Maintain monitoring, evidence, ownership and periodic stress testing.</t>
  </si>
  <si>
    <t>Create an immediate risk owner, minimum control baseline and fallback procedure for improvement backlog linked to incidents, audits, customer feedback, risk and strategy. Add it to the crisis risk register and collect first evidence.</t>
  </si>
  <si>
    <t>Document improvement backlog linked to incidents, audits, customer feedback, risk and strategy, assign RACI, define minimum controls and KPIs, and validate coverage across key sites, teams or systems.</t>
  </si>
  <si>
    <t>Standardize improvement backlog linked to incidents, audits, customer feedback, risk and strategy, close coverage gaps, train accountable roles and connect controls to the relevant crisis scenarios and continuity plans.</t>
  </si>
  <si>
    <t>Measure and test improvement backlog linked to incidents, audits, customer feedback, risk and strategy, run tabletop or operational stress tests, integrate it with dependent processes and update crisis playbooks.</t>
  </si>
  <si>
    <t>Sustain maturity for improvement backlog linked to incidents, audits, customer feedback, risk and strategy: keep evidence current, monitor drift, benchmark externally and refresh risk tests after organizational, system or market changes.</t>
  </si>
  <si>
    <t>Immature capability for KPI hierarchy from strategy to functions, processes, teams and crisis readiness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</si>
  <si>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KPI hierarchy from strategy to functions, processes, teams and crisis readiness.</t>
  </si>
  <si>
    <t>Severe risk: KPI hierarchy from strategy to functions, processes, teams and crisis readiness is not reliably controlled. During Execution failure; Delivery disruption; Decision failure, the organization may face poor quality control, failed change execution, unmanaged portfolio trade-offs and benefit erosion with limited visibility or accountability.</t>
  </si>
  <si>
    <t>High risk: KPI hierarchy from strategy to functions, processes, teams and crisis readiness depends on informal practices or individual knowledge. Disruption may expose poor quality control, failed change execution, unmanaged portfolio trade-offs and benefit erosion and slow recovery.</t>
  </si>
  <si>
    <t>Elevated risk: KPI hierarchy from strategy to functions, processes, teams and crisis readiness is partially controlled, but coverage, evidence or testing is inconsistent. Crisis response may be fragmented.</t>
  </si>
  <si>
    <t>Moderate risk: KPI hierarchy from strategy to functions, processes, teams and crisis readiness is documented and owned, but measurement, stress testing and integration with dependent processes need strengthening.</t>
  </si>
  <si>
    <t>Residual risk: KPI hierarchy from strategy to functions, processes, teams and crisis readiness is measured and reviewed, but monitoring, automation or scenario testing should be improved to prevent maturity drift.</t>
  </si>
  <si>
    <t>Low residual risk: KPI hierarchy from strategy to functions, processes, teams and crisis readiness is mature and crisis-tested. Maintain monitoring, evidence, ownership and periodic stress testing.</t>
  </si>
  <si>
    <t>Create an immediate risk owner, minimum control baseline and fallback procedure for KPI hierarchy from strategy to functions, processes, teams and crisis readiness. Add it to the crisis risk register and collect first evidence.</t>
  </si>
  <si>
    <t>Document KPI hierarchy from strategy to functions, processes, teams and crisis readiness, assign RACI, define minimum controls and KPIs, and validate coverage across key sites, teams or systems.</t>
  </si>
  <si>
    <t>Standardize KPI hierarchy from strategy to functions, processes, teams and crisis readiness, close coverage gaps, train accountable roles and connect controls to the relevant crisis scenarios and continuity plans.</t>
  </si>
  <si>
    <t>Measure and test KPI hierarchy from strategy to functions, processes, teams and crisis readiness, run tabletop or operational stress tests, integrate it with dependent processes and update crisis playbooks.</t>
  </si>
  <si>
    <t>Sustain maturity for KPI hierarchy from strategy to functions, processes, teams and crisis readiness: keep evidence current, monitor drift, benchmark externally and refresh risk tests after organizational, system or market changes.</t>
  </si>
  <si>
    <t>Immature capability for management review of performance, risks, audit findings, incidents, customers and improvements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</si>
  <si>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management review of performance, risks, audit findings, incidents, customers and improvements.</t>
  </si>
  <si>
    <t>Severe risk: management review of performance, risks, audit findings, incidents, customers and improvements is not reliably controlled. During Execution failure; Delivery disruption; Decision failure, the organization may face poor quality control, failed change execution, unmanaged portfolio trade-offs and benefit erosion with limited visibility or accountability.</t>
  </si>
  <si>
    <t>High risk: management review of performance, risks, audit findings, incidents, customers and improvements depends on informal practices or individual knowledge. Disruption may expose poor quality control, failed change execution, unmanaged portfolio trade-offs and benefit erosion and slow recovery.</t>
  </si>
  <si>
    <t>Elevated risk: management review of performance, risks, audit findings, incidents, customers and improvements is partially controlled, but coverage, evidence or testing is inconsistent. Crisis response may be fragmented.</t>
  </si>
  <si>
    <t>Moderate risk: management review of performance, risks, audit findings, incidents, customers and improvements is documented and owned, but measurement, stress testing and integration with dependent processes need strengthening.</t>
  </si>
  <si>
    <t>Residual risk: management review of performance, risks, audit findings, incidents, customers and improvements is measured and reviewed, but monitoring, automation or scenario testing should be improved to prevent maturity drift.</t>
  </si>
  <si>
    <t>Low residual risk: management review of performance, risks, audit findings, incidents, customers and improvements is mature and crisis-tested. Maintain monitoring, evidence, ownership and periodic stress testing.</t>
  </si>
  <si>
    <t>Create an immediate risk owner, minimum control baseline and fallback procedure for management review of performance, risks, audit findings, incidents, customers and improvements. Add it to the crisis risk register and collect first evidence.</t>
  </si>
  <si>
    <t>Document management review of performance, risks, audit findings, incidents, customers and improvements, assign RACI, define minimum controls and KPIs, and validate coverage across key sites, teams or systems.</t>
  </si>
  <si>
    <t>Standardize management review of performance, risks, audit findings, incidents, customers and improvements, close coverage gaps, train accountable roles and connect controls to the relevant crisis scenarios and continuity plans.</t>
  </si>
  <si>
    <t>Measure and test management review of performance, risks, audit findings, incidents, customers and improvements, run tabletop or operational stress tests, integrate it with dependent processes and update crisis playbooks.</t>
  </si>
  <si>
    <t>Sustain maturity for management review of performance, risks, audit findings, incidents, customers and improvements: keep evidence current, monitor drift, benchmark externally and refresh risk tests after organizational, system or market changes.</t>
  </si>
  <si>
    <t>Immature capability for decision log for major decisions with alternatives, risks, assumptions, owners and follow-up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</si>
  <si>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decision log for major decisions with alternatives, risks, assumptions, owners and follow-up.</t>
  </si>
  <si>
    <t>Severe risk: decision log for major decisions with alternatives, risks, assumptions, owners and follow-up is not reliably controlled. During Execution failure; Delivery disruption; Decision failure, the organization may face poor quality control, failed change execution, unmanaged portfolio trade-offs and benefit erosion with limited visibility or accountability.</t>
  </si>
  <si>
    <t>High risk: decision log for major decisions with alternatives, risks, assumptions, owners and follow-up depends on informal practices or individual knowledge. Disruption may expose poor quality control, failed change execution, unmanaged portfolio trade-offs and benefit erosion and slow recovery.</t>
  </si>
  <si>
    <t>Elevated risk: decision log for major decisions with alternatives, risks, assumptions, owners and follow-up is partially controlled, but coverage, evidence or testing is inconsistent. Crisis response may be fragmented.</t>
  </si>
  <si>
    <t>Moderate risk: decision log for major decisions with alternatives, risks, assumptions, owners and follow-up is documented and owned, but measurement, stress testing and integration with dependent processes need strengthening.</t>
  </si>
  <si>
    <t>Residual risk: decision log for major decisions with alternatives, risks, assumptions, owners and follow-up is measured and reviewed, but monitoring, automation or scenario testing should be improved to prevent maturity drift.</t>
  </si>
  <si>
    <t>Low residual risk: decision log for major decisions with alternatives, risks, assumptions, owners and follow-up is mature and crisis-tested. Maintain monitoring, evidence, ownership and periodic stress testing.</t>
  </si>
  <si>
    <t>Create an immediate risk owner, minimum control baseline and fallback procedure for decision log for major decisions with alternatives, risks, assumptions, owners and follow-up. Add it to the crisis risk register and collect first evidence.</t>
  </si>
  <si>
    <t>Document decision log for major decisions with alternatives, risks, assumptions, owners and follow-up, assign RACI, define minimum controls and KPIs, and validate coverage across key sites, teams or systems.</t>
  </si>
  <si>
    <t>Standardize decision log for major decisions with alternatives, risks, assumptions, owners and follow-up, close coverage gaps, train accountable roles and connect controls to the relevant crisis scenarios and continuity plans.</t>
  </si>
  <si>
    <t>Measure and test decision log for major decisions with alternatives, risks, assumptions, owners and follow-up, run tabletop or operational stress tests, integrate it with dependent processes and update crisis playbooks.</t>
  </si>
  <si>
    <t>Sustain maturity for decision log for major decisions with alternatives, risks, assumptions, owners and follow-up: keep evidence current, monitor drift, benchmark externally and refresh risk tests after organizational, system or market changes.</t>
  </si>
  <si>
    <t>Immature capability for evidence readiness for audits, customers, insurers or regulators during crisis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</si>
  <si>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evidence readiness for audits, customers, insurers or regulators during crisis.</t>
  </si>
  <si>
    <t>Severe risk: evidence readiness for audits, customers, insurers or regulators during crisis is not reliably controlled. During Execution failure; Delivery disruption; Decision failure, the organization may face poor quality control, failed change execution, unmanaged portfolio trade-offs and benefit erosion with limited visibility or accountability.</t>
  </si>
  <si>
    <t>High risk: evidence readiness for audits, customers, insurers or regulators during crisis depends on informal practices or individual knowledge. Disruption may expose poor quality control, failed change execution, unmanaged portfolio trade-offs and benefit erosion and slow recovery.</t>
  </si>
  <si>
    <t>Elevated risk: evidence readiness for audits, customers, insurers or regulators during crisis is partially controlled, but coverage, evidence or testing is inconsistent. Crisis response may be fragmented.</t>
  </si>
  <si>
    <t>Moderate risk: evidence readiness for audits, customers, insurers or regulators during crisis is documented and owned, but measurement, stress testing and integration with dependent processes need strengthening.</t>
  </si>
  <si>
    <t>Residual risk: evidence readiness for audits, customers, insurers or regulators during crisis is measured and reviewed, but monitoring, automation or scenario testing should be improved to prevent maturity drift.</t>
  </si>
  <si>
    <t>Low residual risk: evidence readiness for audits, customers, insurers or regulators during crisis is mature and crisis-tested. Maintain monitoring, evidence, ownership and periodic stress testing.</t>
  </si>
  <si>
    <t>Create an immediate risk owner, minimum control baseline and fallback procedure for evidence readiness for audits, customers, insurers or regulators during crisis. Add it to the crisis risk register and collect first evidence.</t>
  </si>
  <si>
    <t>Document evidence readiness for audits, customers, insurers or regulators during crisis, assign RACI, define minimum controls and KPIs, and validate coverage across key sites, teams or systems.</t>
  </si>
  <si>
    <t>Standardize evidence readiness for audits, customers, insurers or regulators during crisis, close coverage gaps, train accountable roles and connect controls to the relevant crisis scenarios and continuity plans.</t>
  </si>
  <si>
    <t>Measure and test evidence readiness for audits, customers, insurers or regulators during crisis, run tabletop or operational stress tests, integrate it with dependent processes and update crisis playbooks.</t>
  </si>
  <si>
    <t>Sustain maturity for evidence readiness for audits, customers, insurers or regulators during crisis: keep evidence current, monitor drift, benchmark externally and refresh risk tests after organizational, system or market changes.</t>
  </si>
  <si>
    <t>Immature capability for organizational alignment using McKinsey 7S or equivalent lens may lead to poor quality control, failed change execution, unmanaged portfolio trade-offs and benefit erosion during Execution failure; Delivery disruption; Decision failure.</t>
  </si>
  <si>
    <t>Low maturity, weak ownership, incomplete evidence, insufficient testing and poor integration with crisis-management routines for organizational alignment using McKinsey 7S or equivalent lens.</t>
  </si>
  <si>
    <t>Severe risk: organizational alignment using McKinsey 7S or equivalent lens is not reliably controlled. During Execution failure; Delivery disruption; Decision failure, the organization may face poor quality control, failed change execution, unmanaged portfolio trade-offs and benefit erosion with limited visibility or accountability.</t>
  </si>
  <si>
    <t>High risk: organizational alignment using McKinsey 7S or equivalent lens depends on informal practices or individual knowledge. Disruption may expose poor quality control, failed change execution, unmanaged portfolio trade-offs and benefit erosion and slow recovery.</t>
  </si>
  <si>
    <t>Elevated risk: organizational alignment using McKinsey 7S or equivalent lens is partially controlled, but coverage, evidence or testing is inconsistent. Crisis response may be fragmented.</t>
  </si>
  <si>
    <t>Moderate risk: organizational alignment using McKinsey 7S or equivalent lens is documented and owned, but measurement, stress testing and integration with dependent processes need strengthening.</t>
  </si>
  <si>
    <t>Residual risk: organizational alignment using McKinsey 7S or equivalent lens is measured and reviewed, but monitoring, automation or scenario testing should be improved to prevent maturity drift.</t>
  </si>
  <si>
    <t>Low residual risk: organizational alignment using McKinsey 7S or equivalent lens is mature and crisis-tested. Maintain monitoring, evidence, ownership and periodic stress testing.</t>
  </si>
  <si>
    <t>Create an immediate risk owner, minimum control baseline and fallback procedure for organizational alignment using McKinsey 7S or equivalent lens. Add it to the crisis risk register and collect first evidence.</t>
  </si>
  <si>
    <t>Document organizational alignment using McKinsey 7S or equivalent lens, assign RACI, define minimum controls and KPIs, and validate coverage across key sites, teams or systems.</t>
  </si>
  <si>
    <t>Standardize organizational alignment using McKinsey 7S or equivalent lens, close coverage gaps, train accountable roles and connect controls to the relevant crisis scenarios and continuity plans.</t>
  </si>
  <si>
    <t>Measure and test organizational alignment using McKinsey 7S or equivalent lens, run tabletop or operational stress tests, integrate it with dependent processes and update crisis playbooks.</t>
  </si>
  <si>
    <t>Sustain maturity for organizational alignment using McKinsey 7S or equivalent lens: keep evidence current, monitor drift, benchmark externally and refresh risk tests after organizational, system or market changes.</t>
  </si>
  <si>
    <t>Technical Crisis Scenario Model</t>
  </si>
  <si>
    <t>Internal logic: maps selected crisis scenario and severity to domain-level impact multipliers. Used by Crisis Simulator, Risk Summary and Executive Recommendations.</t>
  </si>
  <si>
    <t>Scenario</t>
  </si>
  <si>
    <t>Base multiplier</t>
  </si>
  <si>
    <t>Severity-adjusted multiplier</t>
  </si>
  <si>
    <t>Rationale</t>
  </si>
  <si>
    <t>Priority emphasis</t>
  </si>
  <si>
    <t>Mitigation theme</t>
  </si>
  <si>
    <t>Most relevant standards</t>
  </si>
  <si>
    <t>Key</t>
  </si>
  <si>
    <t>Geographic concentration, legal entity exposure and site dependency can amplify crisis impact.</t>
  </si>
  <si>
    <t>Secondary focus under this crisis scenario</t>
  </si>
  <si>
    <t>Map entities, locations, markets, revenue exposure and alternate operating options.</t>
  </si>
  <si>
    <t>ISO 22301; ISO 31000; ISO 9001; ISO 37000; PESTLE</t>
  </si>
  <si>
    <t>Multiplier is increased/decreased by severity: severity 3 = base; severity 5 = +30%; severity 1 = -30%.</t>
  </si>
  <si>
    <t>Market positioning, ICP clarity and offer structure determine whether the company can adapt revenue during crisis.</t>
  </si>
  <si>
    <t>Monitor; not a primary scenario driver</t>
  </si>
  <si>
    <t>Stress-test ICP, offering, pricing, channels and market focus under the selected crisis.</t>
  </si>
  <si>
    <t>Business Model Canvas; Porter; Bain Elements of Value; ISO 9001</t>
  </si>
  <si>
    <t>Decision rights, escalation and crisis governance determine response speed under pressure.</t>
  </si>
  <si>
    <t>Define crisis roles, escalation path, decision cadence and management war room routines.</t>
  </si>
  <si>
    <t>ISO 22301; ISO 31000; ISO 37000; Bain RAPID</t>
  </si>
  <si>
    <t>Workforce availability, critical people and knowledge continuity determine operational capacity.</t>
  </si>
  <si>
    <t>Primary focus under this crisis scenario</t>
  </si>
  <si>
    <t>Create critical role backups, knowledge transfer, cross-training and workforce continuity plans.</t>
  </si>
  <si>
    <t>ISO 30414; ISO 30405; ISO 45001; workforce planning</t>
  </si>
  <si>
    <t>Cash control, supplier payments and procurement discipline determine financial survival and response options.</t>
  </si>
  <si>
    <t>Build cash stress testing, payment prioritization, supplier risk review and procurement controls.</t>
  </si>
  <si>
    <t>COSO; ISO 20400; ISO 31000; IFRS</t>
  </si>
  <si>
    <t>Contracts, obligations and compliance exposure can turn operational crisis into legal or regulatory failure.</t>
  </si>
  <si>
    <t>Review critical contracts, compliance obligations, force majeure, data protection and legal continuity.</t>
  </si>
  <si>
    <t>ISO 37301; ISO 31000; GDPR; ISO 27701</t>
  </si>
  <si>
    <t>Employee safety, access control, evacuation and facilities resilience are direct crisis constraints.</t>
  </si>
  <si>
    <t>Implement evacuation, access control, emergency response, site security and travel-risk procedures.</t>
  </si>
  <si>
    <t>ISO 45001; ISO 22320; ISO 31030; ISO 22301</t>
  </si>
  <si>
    <t>Delivery capacity, SLA control and operational handover determine customer continuity.</t>
  </si>
  <si>
    <t>Define alternative delivery models, capacity buffers, SLA triage and incident recovery procedures.</t>
  </si>
  <si>
    <t>ISO 9001; ISO 22301; ITIL; SLA management</t>
  </si>
  <si>
    <t>Supplier concentration, logistics and inventory visibility determine production and delivery continuity.</t>
  </si>
  <si>
    <t>Diversify suppliers, define safety stock, alternate routes, supplier monitoring and substitution rules.</t>
  </si>
  <si>
    <t>SCOR; ISO 28000; ISO 20400; ISO 22301</t>
  </si>
  <si>
    <t>Production assets, MES, maintenance and utilities determine manufacturing recoverability.</t>
  </si>
  <si>
    <t>Define production fallback, maintenance priorities, spare parts, MES continuity and utility backup.</t>
  </si>
  <si>
    <t>ISA-95; ISO 9001; TPM; IEC 62443; ISO 22301</t>
  </si>
  <si>
    <t>CRM discipline, pipeline visibility and retention actions determine revenue protection.</t>
  </si>
  <si>
    <t>Improve CRM hygiene, retention playbooks, pipeline scenarios and customer segmentation.</t>
  </si>
  <si>
    <t>CRM best practices; ISO 10002; ISO 10004; revenue operations</t>
  </si>
  <si>
    <t>Customer communication and reputation control determine trust during uncertainty.</t>
  </si>
  <si>
    <t>Prepare crisis messages, customer notification templates, comms approval flow and brand monitoring.</t>
  </si>
  <si>
    <t>ISO 10002; ISO 10004; crisis communication practices</t>
  </si>
  <si>
    <t>Cloud, infrastructure, backups, RTO and RPO determine system recoverability.</t>
  </si>
  <si>
    <t>Implement tested backups, DR runbooks, failover, cloud landing zones and RTO/RPO monitoring.</t>
  </si>
  <si>
    <t>ISO 27001; NIST CSF; NIST SP 800-34; ISO 20000</t>
  </si>
  <si>
    <t>ERP, CRM, HRMS, MES and SaaS continuity determine transaction and process continuity.</t>
  </si>
  <si>
    <t>Document system dependencies, SaaS continuity, role access, data exports and manual fallback.</t>
  </si>
  <si>
    <t>COBIT; ITIL; ISO 20000; ERP/CRM/MES governance</t>
  </si>
  <si>
    <t>Data quality, BI and analytics determine decision visibility and forecasting under stress.</t>
  </si>
  <si>
    <t>Assign data owners, improve data quality, dashboards, forecasting and AI governance.</t>
  </si>
  <si>
    <t>DAMA-DMBOK; ISO 42001; ISO 23894; data governance</t>
  </si>
  <si>
    <t>Cybersecurity and privacy controls determine resistance to digital disruption and regulatory exposure.</t>
  </si>
  <si>
    <t>Strengthen MFA, EDR, logging, IR playbooks, restore testing, privacy controls and awareness.</t>
  </si>
  <si>
    <t>ISO 27001; NIST CSF; CIS Controls; ISO 27701; GDPR</t>
  </si>
  <si>
    <t>Portfolio discipline and benefits realization determine whether scarce resources are focused on the right actions.</t>
  </si>
  <si>
    <t>Prioritize crisis initiatives by value, risk reduction, dependencies and implementation waves.</t>
  </si>
  <si>
    <t>ISO 9001; PMI; ISO 21502; benefits realization; APQC</t>
  </si>
  <si>
    <t>Technical Strategy Recommendation Library</t>
  </si>
  <si>
    <t>Internal logic: strategies are scored by crisis fit, domain gaps, active risks and horizontal metric gaps. Used by Strategy Selection.</t>
  </si>
  <si>
    <t>Recommended when</t>
  </si>
  <si>
    <t>Base importance</t>
  </si>
  <si>
    <t>Digital focus weight</t>
  </si>
  <si>
    <t>Resilience focus weight</t>
  </si>
  <si>
    <t>Process focus weight</t>
  </si>
  <si>
    <t>Trigger domains</t>
  </si>
  <si>
    <t>Establish basic digital tools, ownership, workflows, reporting and system governance.</t>
  </si>
  <si>
    <t>Low process maturity and weak digital foundations across core business functions.</t>
  </si>
  <si>
    <t>Basic tools, process ownership, reporting and control are established.</t>
  </si>
  <si>
    <t>Process ownership, workflow tools, baseline systems, master data, reporting discipline.</t>
  </si>
  <si>
    <t>COO / CIO</t>
  </si>
  <si>
    <t>0-6 months</t>
  </si>
  <si>
    <t>Tool adoption; process coverage; manual work reduction; report cycle time</t>
  </si>
  <si>
    <t>Business Systems; Data BI AI; IT Cloud DR</t>
  </si>
  <si>
    <t>Build continuity governance, BIA, recovery priorities, crisis roles, exercises and recovery playbooks.</t>
  </si>
  <si>
    <t>High disruption exposure, low continuity readiness, weak crisis governance or unclear recovery priorities.</t>
  </si>
  <si>
    <t>Critical operations can continue or recover faster under crisis conditions.</t>
  </si>
  <si>
    <t>BIA, BCP, crisis governance, RTO/RPO alignment, tabletop exercises, recovery playbooks.</t>
  </si>
  <si>
    <t>BIA coverage; tested recovery plans; RTO achievement; crisis exercise completion</t>
  </si>
  <si>
    <t>Governance Crisis; Physical Safety; Delivery Ops; IT Cloud DR; Supply Chain; HR Workforce</t>
  </si>
  <si>
    <t>Reduce dependency on fragile infrastructure through cloud architecture, DR, backup, failover and remote access readiness.</t>
  </si>
  <si>
    <t>Physical infrastructure, cloud, SaaS, backup, RTO/RPO or remote access weaknesses create material continuity risk.</t>
  </si>
  <si>
    <t>Infrastructure risk, recovery time and data loss exposure are reduced.</t>
  </si>
  <si>
    <t>Cloud landing zone, backup modernization, restore tests, DR runbooks, failover, identity resilience.</t>
  </si>
  <si>
    <t>CIO / CTO</t>
  </si>
  <si>
    <t>0-9 months</t>
  </si>
  <si>
    <t>RTO/RPO achieved; restore test success; backup coverage; cloud resilience score</t>
  </si>
  <si>
    <t>IT Cloud DR; Business Systems; Cyber Privacy</t>
  </si>
  <si>
    <t>Strengthen cybersecurity controls, incident response, monitoring, identity protection, backup recovery and security awareness.</t>
  </si>
  <si>
    <t>Cyber, ransomware, privacy, access, monitoring or incident response immaturity creates high business risk.</t>
  </si>
  <si>
    <t>Probability and impact of cyber disruption are reduced and response speed increases.</t>
  </si>
  <si>
    <t>MFA, EDR, SIEM/logging, IR playbook, ransomware tabletop, backup isolation, awareness.</t>
  </si>
  <si>
    <t>CISO / CIO</t>
  </si>
  <si>
    <t>MFA coverage; critical vulnerabilities; MTTD/MTTR; phishing failure rate; restore success</t>
  </si>
  <si>
    <t>Create data ownership, quality rules, BI governance, analytics discipline and responsible AI controls.</t>
  </si>
  <si>
    <t>Data quality, ownership, reporting, BI or AI governance is weak.</t>
  </si>
  <si>
    <t>Reliable data foundation for analytics, forecasting, AI and executive decisions.</t>
  </si>
  <si>
    <t>Data owners, data catalog, BI standards, data quality rules, AI governance, decision dashboards.</t>
  </si>
  <si>
    <t>CDO / CIO / CFO</t>
  </si>
  <si>
    <t>3-12 months</t>
  </si>
  <si>
    <t>Data owner coverage; data quality score; BI adoption; forecast accuracy; AI use-case governance</t>
  </si>
  <si>
    <t>Data BI AI; Business Systems</t>
  </si>
  <si>
    <t>Reduce critical people risk through succession, cross-training, knowledge management, staffing flexibility and wellbeing controls.</t>
  </si>
  <si>
    <t>The company depends on critical people, lacks backup roles or faces workforce availability disruption.</t>
  </si>
  <si>
    <t>Knowledge, productivity and continuity of critical roles improve.</t>
  </si>
  <si>
    <t>Critical role matrix, succession, backup teams, knowledge base, cross-training, remote work readiness.</t>
  </si>
  <si>
    <t>CHRO / COO</t>
  </si>
  <si>
    <t>Critical roles with backups; cross-training coverage; attrition risk; onboarding time; knowledge coverage</t>
  </si>
  <si>
    <t>Improve process control, reduce manual effort, automate repetitive work and strengthen KPIs and ownership.</t>
  </si>
  <si>
    <t>Processes are manual, slow, costly, fragmented or weakly measured.</t>
  </si>
  <si>
    <t>Cost-to-serve decreases and execution reliability improves.</t>
  </si>
  <si>
    <t>Process mapping, KPI cadence, automation, workflow redesign, standard work, performance management.</t>
  </si>
  <si>
    <t>Cycle time; automation rate; defect rate; productivity; process owner coverage</t>
  </si>
  <si>
    <t>Delivery Ops; Manufacturing MES; Business Systems; Quality Portfolio</t>
  </si>
  <si>
    <t>Strengthen supplier diversification, logistics alternatives, inventory visibility, delivery governance and supplier monitoring.</t>
  </si>
  <si>
    <t>Supply, logistics or delivery dependencies create material disruption risk.</t>
  </si>
  <si>
    <t>Alternative suppliers, locations and delivery models are strengthened.</t>
  </si>
  <si>
    <t>Supplier map, dual sourcing, inventory visibility, route alternatives, SLA triage, delivery fallback.</t>
  </si>
  <si>
    <t>COO / Procurement Lead</t>
  </si>
  <si>
    <t>Critical suppliers with alternatives; OTIF; safety stock coverage; route alternatives; supplier risk score</t>
  </si>
  <si>
    <t>Supply Chain; Delivery Ops; Manufacturing MES</t>
  </si>
  <si>
    <t>Improve production continuity, MES visibility, asset maintenance, spare parts, utilities backup and production recovery procedures.</t>
  </si>
  <si>
    <t>Manufacturing continuity, MES, maintenance or utility dependencies create operational risk.</t>
  </si>
  <si>
    <t>Production visibility, recoverability and operational control improve.</t>
  </si>
  <si>
    <t>MES continuity, OEE visibility, maintenance planning, spare parts, utility backup, production recovery sequence.</t>
  </si>
  <si>
    <t>Plant Manager / COO</t>
  </si>
  <si>
    <t>OEE; unplanned downtime; MES availability; spare parts coverage; production recovery time</t>
  </si>
  <si>
    <t>Manufacturing MES; Physical Safety; Supply Chain</t>
  </si>
  <si>
    <t>Protect people, sites and physical assets through safety controls, emergency response, access management and alternate-site planning.</t>
  </si>
  <si>
    <t>Employee safety, facility, access, emergency response or site loss risks are material.</t>
  </si>
  <si>
    <t>People safety and site continuity are strengthened under physical disruption.</t>
  </si>
  <si>
    <t>Site risk assessment, evacuation, emergency roles, access control, travel risk, alternate site, security providers.</t>
  </si>
  <si>
    <t>Drill completion; incident rate; access review coverage; evacuation readiness; site risk actions closed</t>
  </si>
  <si>
    <t>Reduce revenue dependency through digital channels, new markets, CRM discipline, partner channels and offer packaging.</t>
  </si>
  <si>
    <t>Revenue depends on one region, customer segment, physical channel or narrow customer base.</t>
  </si>
  <si>
    <t>Revenue risk is reduced through digital channels and diversified markets.</t>
  </si>
  <si>
    <t>ICP validation, channel mix, ecommerce/digital sales, partner channels, pricing, market diversification.</t>
  </si>
  <si>
    <t>CRO / CMO</t>
  </si>
  <si>
    <t>Pipeline diversification; channel revenue mix; win rate; customer concentration; digital lead share</t>
  </si>
  <si>
    <t>Strategy GTM; Sales CRM; Marketing Comms</t>
  </si>
  <si>
    <t>Protect existing revenue through churn analytics, account risk monitoring, customer communication and recovery offers.</t>
  </si>
  <si>
    <t>Churn, revenue concentration, weak account visibility or poor customer analytics exist.</t>
  </si>
  <si>
    <t>Customer retention, revenue visibility and forecasting improve.</t>
  </si>
  <si>
    <t>Customer health score, churn playbooks, account coverage, retention offers, comms scripts, revenue risk dashboard.</t>
  </si>
  <si>
    <t>CRO / Customer Success Lead</t>
  </si>
  <si>
    <t>Churn rate; retention rate; revenue at risk; account coverage; forecast accuracy</t>
  </si>
  <si>
    <t>Sales CRM; Marketing Comms; Strategy GTM</t>
  </si>
  <si>
    <t>Strengthen compliance obligations, risk register, control testing, data protection, contract controls and regulatory monitoring.</t>
  </si>
  <si>
    <t>Regulatory exposure is high or compliance, risk, contract or privacy controls are weak.</t>
  </si>
  <si>
    <t>Compliance risk is reduced and controls become auditable.</t>
  </si>
  <si>
    <t>Obligation register, risk register, compliance calendar, policy automation, audit trail, contract controls.</t>
  </si>
  <si>
    <t>Obligations mapped; control tests; audit findings; policy exceptions; risk register completeness</t>
  </si>
  <si>
    <t>Legal Risk; Cyber Privacy; Governance Crisis</t>
  </si>
  <si>
    <t>Clarify decision rights, crisis roles, portfolio governance, management cadence and cross-functional escalation.</t>
  </si>
  <si>
    <t>Slow decisions, unclear ownership, weak prioritization or fragmented management practices reduce crisis response speed.</t>
  </si>
  <si>
    <t>Management decisions become faster, clearer and better aligned to risk and value.</t>
  </si>
  <si>
    <t>RACI, decision rights, RAPID, crisis board, portfolio steering, KPI cadence, escalation triggers.</t>
  </si>
  <si>
    <t>CEO / COO</t>
  </si>
  <si>
    <t>0-3 months</t>
  </si>
  <si>
    <t>Decision cycle time; owner coverage; escalation SLA; portfolio focus; action closure rate</t>
  </si>
  <si>
    <t>Standards Mapping per Question</t>
  </si>
  <si>
    <t>One row per questionnaire item. This sheet links every assessment question to standards, frameworks, evidence, score criteria and crisis tags.</t>
  </si>
  <si>
    <t>Source row</t>
  </si>
  <si>
    <t>Quality Control and Completeness Checks</t>
  </si>
  <si>
    <t>Formula-driven checks for missing scores, invalid score values, missing comments for critical/high risks, missing owners and domain completion.</t>
  </si>
  <si>
    <t>QC metric</t>
  </si>
  <si>
    <t>Result</t>
  </si>
  <si>
    <t>Completed</t>
  </si>
  <si>
    <t>Missing</t>
  </si>
  <si>
    <t>Critical/high</t>
  </si>
  <si>
    <t>Critical/high no comments</t>
  </si>
  <si>
    <t>Questions with either a numeric score or N/A.</t>
  </si>
  <si>
    <t>Scored or N/A</t>
  </si>
  <si>
    <t>Must be completed before relying on dashboards.</t>
  </si>
  <si>
    <t>Missing scores</t>
  </si>
  <si>
    <t>Must be corrected because dashboards assume scores are 0-5 or N/A.</t>
  </si>
  <si>
    <t>Invalid scores</t>
  </si>
  <si>
    <t>Critical/high risks should contain assessor comments or evidence notes.</t>
  </si>
  <si>
    <t>Critical/high risks without comments</t>
  </si>
  <si>
    <t>Each question should have an accountable owner or SME.</t>
  </si>
  <si>
    <t>Missing owner / SME</t>
  </si>
  <si>
    <t>Recommended action should exist where there is a gap.</t>
  </si>
  <si>
    <t>Must match a template in _TECH_Industry_Templates.</t>
  </si>
  <si>
    <t>Industry template rows</t>
  </si>
  <si>
    <t>Should equal 17 for valid domain coverage.</t>
  </si>
  <si>
    <t>Domains below minimum viable threshold for selected industry.</t>
  </si>
  <si>
    <t>Domains with target gap &gt; 1</t>
  </si>
  <si>
    <t>Indicates significant maturity gap against industry target.</t>
  </si>
  <si>
    <t>Missing evidence confidence on critical/high</t>
  </si>
  <si>
    <t>Fill evidence confidence for material risks to avoid over-trusting weak evidence.</t>
  </si>
  <si>
    <t>Missing assessor confidence on critical/high</t>
  </si>
  <si>
    <t>Fill assessor confidence for material risks to distinguish verified findings from opinion.</t>
  </si>
  <si>
    <t>Score check</t>
  </si>
  <si>
    <t>Comments check</t>
  </si>
  <si>
    <t>Owner check</t>
  </si>
  <si>
    <t>Recommendation check</t>
  </si>
  <si>
    <t>Evidence requested</t>
  </si>
  <si>
    <t>Gantt Roadmap and Capacity Plan</t>
  </si>
  <si>
    <t>Formula-driven implementation roadmap. It pulls initiatives from the initiative library by industry-adjusted rank, schedules them by wave, shows dependencies, decision flags, monthly capacity load and Gantt bars.</t>
  </si>
  <si>
    <t>Assessment start</t>
  </si>
  <si>
    <t>Capacity threshold</t>
  </si>
  <si>
    <t>Overloaded months</t>
  </si>
  <si>
    <t>6-12+ months</t>
  </si>
  <si>
    <t>Monthly capacity and overload check</t>
  </si>
  <si>
    <t>Decision required</t>
  </si>
  <si>
    <t>Start date</t>
  </si>
  <si>
    <t>End date</t>
  </si>
  <si>
    <t>Duration weeks</t>
  </si>
  <si>
    <t>Technical Industry Templates</t>
  </si>
  <si>
    <t>Hidden logic sheet. Industry templates modify weights, targets, criticality, initiative priority and evidence expectations without changing the core questionnaire.</t>
  </si>
  <si>
    <t>Domain weight 1-5</t>
  </si>
  <si>
    <t>Target maturity 0-5</t>
  </si>
  <si>
    <t>Minimum viable threshold</t>
  </si>
  <si>
    <t>Crisis exposure profile</t>
  </si>
  <si>
    <t>Evidence expectations</t>
  </si>
  <si>
    <t>Industry dropdown list</t>
  </si>
  <si>
    <t>CRM; HRMS; project/portfolio tools; time tracking; knowledge base; finance system; cloud collaboration; IAM; BI dashboards</t>
  </si>
  <si>
    <t>critical role backups; secure remote work; MFA; delivery continuity; project knowledge base; customer communication path</t>
  </si>
  <si>
    <t>High confidence requires documented owner, current evidence, recent KPI/report and crisis-tested procedure for material domains.</t>
  </si>
  <si>
    <t>Workforce Resilience Strategy; Digital Foundation Strategy; Business Continuity and Resilience Strategy</t>
  </si>
  <si>
    <t>SaaS / Digital Product</t>
  </si>
  <si>
    <t>Manufacturing</t>
  </si>
  <si>
    <t>Retail / Ecommerce</t>
  </si>
  <si>
    <t>Logistics / Distribution</t>
  </si>
  <si>
    <t>Healthcare / Pharma</t>
  </si>
  <si>
    <t>Energy / Utilities</t>
  </si>
  <si>
    <t>Professional Services</t>
  </si>
  <si>
    <t>Public Sector / Regulated Organization</t>
  </si>
  <si>
    <t>Cloud platform; CI/CD; monitoring; IAM; billing; CRM; support system; data warehouse; product analytics; backup/DR</t>
  </si>
  <si>
    <t>MFA; tested backups; DR runbook; monitoring; incident response; data privacy; customer status communication</t>
  </si>
  <si>
    <t>Cloud and Infrastructure Resilience Strategy; Cyber Resilience Strategy; Data Governance and AI Readiness Strategy</t>
  </si>
  <si>
    <t>ERP; MES; WMS; QMS; maintenance system; SCADA/PLC data; supplier portal; BI; HRMS; backup/DR</t>
  </si>
  <si>
    <t>safety procedures; emergency response; MES/ERP backup; supplier alternatives; spare parts visibility; energy backup; restart procedures</t>
  </si>
  <si>
    <t>Supply Chain and Delivery Resilience Strategy; Operational Excellence and Automation Strategy; Business Continuity and Resilience Strategy</t>
  </si>
  <si>
    <t>POS; ecommerce platform; CRM/loyalty; payment gateway; ERP; WMS; marketing automation; BI; customer support</t>
  </si>
  <si>
    <t>payment security; POS/ecommerce continuity; inventory visibility; CRM/customer communication; data privacy; supplier alternatives</t>
  </si>
  <si>
    <t>Sales Channel Diversification Strategy; Customer Retention and Revenue Protection Strategy; Cyber Resilience Strategy</t>
  </si>
  <si>
    <t>TMS; WMS; route optimization; GPS/fleet management; ERP; customer portal; fuel/procurement systems; BI</t>
  </si>
  <si>
    <t>fleet/warehouse visibility; route disruption plan; carrier alternatives; fuel continuity; driver availability; customer notification</t>
  </si>
  <si>
    <t>EHR/EMR; LIMS; QMS; ERP; privacy/security tooling; validated systems; incident reporting; BI; backup/DR</t>
  </si>
  <si>
    <t>data privacy; regulatory compliance; validated systems; incident reporting; quality documentation; continuity of critical patient/product processes</t>
  </si>
  <si>
    <t>Compliance and Risk Control Strategy; Cyber Resilience Strategy; Data Governance and AI Readiness Strategy</t>
  </si>
  <si>
    <t>SCADA/OT; ERP; maintenance systems; outage management; GIS; customer billing; cyber monitoring; backup/DR</t>
  </si>
  <si>
    <t>OT cyber controls; emergency response; physical safety; outage response; backup communications; critical spares; regulatory reporting</t>
  </si>
  <si>
    <t>Business Continuity and Resilience Strategy; Cyber Resilience Strategy; Cloud and Infrastructure Resilience Strategy</t>
  </si>
  <si>
    <t>CRM; HRMS; project tools; document management; knowledge base; finance system; BI; cloud collaboration; IAM</t>
  </si>
  <si>
    <t>critical people backup; customer continuity; document security; secure remote work; CRM discipline; knowledge management</t>
  </si>
  <si>
    <t>Workforce Resilience Strategy; Customer Retention and Revenue Protection Strategy; Digital Foundation Strategy</t>
  </si>
  <si>
    <t>ERP; case management; citizen/customer portal; document management; IAM; cyber monitoring; BI; backup/DR; compliance systems</t>
  </si>
  <si>
    <t>compliance controls; data protection; continuity of essential services; audit trail; incident response; citizen communication</t>
  </si>
  <si>
    <t>Compliance and Risk Control Strategy; Business Continuity and Resilience Strategy; Cyber Resilience Strategy</t>
  </si>
  <si>
    <t>Technical Scoring Settings</t>
  </si>
  <si>
    <t>Hidden sheet used by improved scoring logic. Confidence factors reduce scores when evidence or assessor confidence is weak.</t>
  </si>
  <si>
    <t>Confidence level</t>
  </si>
  <si>
    <t>Factor</t>
  </si>
  <si>
    <t>Not assessed</t>
  </si>
  <si>
    <t>No evidence or confidence information has been provided.</t>
  </si>
  <si>
    <t>Answer is based mainly on interview opinion or weak/incomplete evidence.</t>
  </si>
  <si>
    <t>Answer is supported by partial evidence or a credible SME statement.</t>
  </si>
  <si>
    <t>Answer is supported by current documents, system records, KPIs or test results.</t>
  </si>
  <si>
    <t>Technical Industry Strategy Fit</t>
  </si>
  <si>
    <t>Hidden logic sheet. Fit scores are used to adjust Strategy Selection rankings by selected industry.</t>
  </si>
  <si>
    <t>Fit score 0-5</t>
  </si>
  <si>
    <t>Digital Foundation Strategy receives a fit score of 4.5 for IT Services based on typical operating model, critical systems, crisis exposure and value-protection logic.</t>
  </si>
  <si>
    <t>Business Continuity and Resilience Strategy receives a fit score of 4.5 for IT Services based on typical operating model, critical systems, crisis exposure and value-protection logic.</t>
  </si>
  <si>
    <t>Cloud and Infrastructure Resilience Strategy receives a fit score of 3 for IT Services based on typical operating model, critical systems, crisis exposure and value-protection logic.</t>
  </si>
  <si>
    <t>Cyber Resilience Strategy receives a fit score of 3 for IT Services based on typical operating model, critical systems, crisis exposure and value-protection logic.</t>
  </si>
  <si>
    <t>Data Governance and AI Readiness Strategy receives a fit score of 3 for IT Services based on typical operating model, critical systems, crisis exposure and value-protection logic.</t>
  </si>
  <si>
    <t>Workforce Resilience Strategy receives a fit score of 5 for IT Services based on typical operating model, critical systems, crisis exposure and value-protection logic.</t>
  </si>
  <si>
    <t>Operational Excellence and Automation Strategy receives a fit score of 4 for IT Services based on typical operating model, critical systems, crisis exposure and value-protection logic.</t>
  </si>
  <si>
    <t>Supply Chain and Delivery Resilience Strategy receives a fit score of 3 for IT Services based on typical operating model, critical systems, crisis exposure and value-protection logic.</t>
  </si>
  <si>
    <t>Manufacturing Continuity and MES Strategy receives a fit score of 3 for IT Services based on typical operating model, critical systems, crisis exposure and value-protection logic.</t>
  </si>
  <si>
    <t>Physical Safety and Site Resilience Strategy receives a fit score of 4 for IT Services based on typical operating model, critical systems, crisis exposure and value-protection logic.</t>
  </si>
  <si>
    <t>Sales Channel Diversification Strategy receives a fit score of 3 for IT Services based on typical operating model, critical systems, crisis exposure and value-protection logic.</t>
  </si>
  <si>
    <t>Customer Retention and Revenue Protection Strategy receives a fit score of 3 for IT Services based on typical operating model, critical systems, crisis exposure and value-protection logic.</t>
  </si>
  <si>
    <t>Compliance and Risk Control Strategy receives a fit score of 3 for IT Services based on typical operating model, critical systems, crisis exposure and value-protection logic.</t>
  </si>
  <si>
    <t>Governance and Decision-Speed Strategy receives a fit score of 3 for IT Services based on typical operating model, critical systems, crisis exposure and value-protection logic.</t>
  </si>
  <si>
    <t>Digital Foundation Strategy receives a fit score of 3 for SaaS / Digital Product based on typical operating model, critical systems, crisis exposure and value-protection logic.</t>
  </si>
  <si>
    <t>Business Continuity and Resilience Strategy receives a fit score of 3 for SaaS / Digital Product based on typical operating model, critical systems, crisis exposure and value-protection logic.</t>
  </si>
  <si>
    <t>Cloud and Infrastructure Resilience Strategy receives a fit score of 5 for SaaS / Digital Product based on typical operating model, critical systems, crisis exposure and value-protection logic.</t>
  </si>
  <si>
    <t>Cyber Resilience Strategy receives a fit score of 5 for SaaS / Digital Product based on typical operating model, critical systems, crisis exposure and value-protection logic.</t>
  </si>
  <si>
    <t>Data Governance and AI Readiness Strategy receives a fit score of 4.5 for SaaS / Digital Product based on typical operating model, critical systems, crisis exposure and value-protection logic.</t>
  </si>
  <si>
    <t>Workforce Resilience Strategy receives a fit score of 3 for SaaS / Digital Product based on typical operating model, critical systems, crisis exposure and value-protection logic.</t>
  </si>
  <si>
    <t>Operational Excellence and Automation Strategy receives a fit score of 3 for SaaS / Digital Product based on typical operating model, critical systems, crisis exposure and value-protection logic.</t>
  </si>
  <si>
    <t>Supply Chain and Delivery Resilience Strategy receives a fit score of 3 for SaaS / Digital Product based on typical operating model, critical systems, crisis exposure and value-protection logic.</t>
  </si>
  <si>
    <t>Manufacturing Continuity and MES Strategy receives a fit score of 4 for SaaS / Digital Product based on typical operating model, critical systems, crisis exposure and value-protection logic.</t>
  </si>
  <si>
    <t>Physical Safety and Site Resilience Strategy receives a fit score of 4 for SaaS / Digital Product based on typical operating model, critical systems, crisis exposure and value-protection logic.</t>
  </si>
  <si>
    <t>Sales Channel Diversification Strategy receives a fit score of 3 for SaaS / Digital Product based on typical operating model, critical systems, crisis exposure and value-protection logic.</t>
  </si>
  <si>
    <t>Customer Retention and Revenue Protection Strategy receives a fit score of 3 for SaaS / Digital Product based on typical operating model, critical systems, crisis exposure and value-protection logic.</t>
  </si>
  <si>
    <t>Compliance and Risk Control Strategy receives a fit score of 3 for SaaS / Digital Product based on typical operating model, critical systems, crisis exposure and value-protection logic.</t>
  </si>
  <si>
    <t>Governance and Decision-Speed Strategy receives a fit score of 3 for SaaS / Digital Product based on typical operating model, critical systems, crisis exposure and value-protection logic.</t>
  </si>
  <si>
    <t>Digital Foundation Strategy receives a fit score of 3 for Manufacturing based on typical operating model, critical systems, crisis exposure and value-protection logic.</t>
  </si>
  <si>
    <t>Business Continuity and Resilience Strategy receives a fit score of 4.5 for Manufacturing based on typical operating model, critical systems, crisis exposure and value-protection logic.</t>
  </si>
  <si>
    <t>Cloud and Infrastructure Resilience Strategy receives a fit score of 4 for Manufacturing based on typical operating model, critical systems, crisis exposure and value-protection logic.</t>
  </si>
  <si>
    <t>Cyber Resilience Strategy receives a fit score of 3 for Manufacturing based on typical operating model, critical systems, crisis exposure and value-protection logic.</t>
  </si>
  <si>
    <t>Data Governance and AI Readiness Strategy receives a fit score of 3 for Manufacturing based on typical operating model, critical systems, crisis exposure and value-protection logic.</t>
  </si>
  <si>
    <t>Workforce Resilience Strategy receives a fit score of 3 for Manufacturing based on typical operating model, critical systems, crisis exposure and value-protection logic.</t>
  </si>
  <si>
    <t>Operational Excellence and Automation Strategy receives a fit score of 5 for Manufacturing based on typical operating model, critical systems, crisis exposure and value-protection logic.</t>
  </si>
  <si>
    <t>Supply Chain and Delivery Resilience Strategy receives a fit score of 5 for Manufacturing based on typical operating model, critical systems, crisis exposure and value-protection logic.</t>
  </si>
  <si>
    <t>Manufacturing Continuity and MES Strategy receives a fit score of 3 for Manufacturing based on typical operating model, critical systems, crisis exposure and value-protection logic.</t>
  </si>
  <si>
    <t>Physical Safety and Site Resilience Strategy receives a fit score of 3 for Manufacturing based on typical operating model, critical systems, crisis exposure and value-protection logic.</t>
  </si>
  <si>
    <t>Sales Channel Diversification Strategy receives a fit score of 3 for Manufacturing based on typical operating model, critical systems, crisis exposure and value-protection logic.</t>
  </si>
  <si>
    <t>Customer Retention and Revenue Protection Strategy receives a fit score of 4.5 for Manufacturing based on typical operating model, critical systems, crisis exposure and value-protection logic.</t>
  </si>
  <si>
    <t>Compliance and Risk Control Strategy receives a fit score of 3 for Manufacturing based on typical operating model, critical systems, crisis exposure and value-protection logic.</t>
  </si>
  <si>
    <t>Governance and Decision-Speed Strategy receives a fit score of 3 for Manufacturing based on typical operating model, critical systems, crisis exposure and value-protection logic.</t>
  </si>
  <si>
    <t>Digital Foundation Strategy receives a fit score of 3 for Retail / Ecommerce based on typical operating model, critical systems, crisis exposure and value-protection logic.</t>
  </si>
  <si>
    <t>Business Continuity and Resilience Strategy receives a fit score of 3 for Retail / Ecommerce based on typical operating model, critical systems, crisis exposure and value-protection logic.</t>
  </si>
  <si>
    <t>Cloud and Infrastructure Resilience Strategy receives a fit score of 3 for Retail / Ecommerce based on typical operating model, critical systems, crisis exposure and value-protection logic.</t>
  </si>
  <si>
    <t>Cyber Resilience Strategy receives a fit score of 4.5 for Retail / Ecommerce based on typical operating model, critical systems, crisis exposure and value-protection logic.</t>
  </si>
  <si>
    <t>Data Governance and AI Readiness Strategy receives a fit score of 4 for Retail / Ecommerce based on typical operating model, critical systems, crisis exposure and value-protection logic.</t>
  </si>
  <si>
    <t>Workforce Resilience Strategy receives a fit score of 3 for Retail / Ecommerce based on typical operating model, critical systems, crisis exposure and value-protection logic.</t>
  </si>
  <si>
    <t>Operational Excellence and Automation Strategy receives a fit score of 3 for Retail / Ecommerce based on typical operating model, critical systems, crisis exposure and value-protection logic.</t>
  </si>
  <si>
    <t>Supply Chain and Delivery Resilience Strategy receives a fit score of 4 for Retail / Ecommerce based on typical operating model, critical systems, crisis exposure and value-protection logic.</t>
  </si>
  <si>
    <t>Manufacturing Continuity and MES Strategy receives a fit score of 5 for Retail / Ecommerce based on typical operating model, critical systems, crisis exposure and value-protection logic.</t>
  </si>
  <si>
    <t>Physical Safety and Site Resilience Strategy receives a fit score of 5 for Retail / Ecommerce based on typical operating model, critical systems, crisis exposure and value-protection logic.</t>
  </si>
  <si>
    <t>Sales Channel Diversification Strategy receives a fit score of 3 for Retail / Ecommerce based on typical operating model, critical systems, crisis exposure and value-protection logic.</t>
  </si>
  <si>
    <t>Customer Retention and Revenue Protection Strategy receives a fit score of 3 for Retail / Ecommerce based on typical operating model, critical systems, crisis exposure and value-protection logic.</t>
  </si>
  <si>
    <t>Compliance and Risk Control Strategy receives a fit score of 3 for Retail / Ecommerce based on typical operating model, critical systems, crisis exposure and value-protection logic.</t>
  </si>
  <si>
    <t>Governance and Decision-Speed Strategy receives a fit score of 3 for Retail / Ecommerce based on typical operating model, critical systems, crisis exposure and value-protection logic.</t>
  </si>
  <si>
    <t>Digital Foundation Strategy receives a fit score of 3 for Logistics / Distribution based on typical operating model, critical systems, crisis exposure and value-protection logic.</t>
  </si>
  <si>
    <t>Business Continuity and Resilience Strategy receives a fit score of 4.5 for Logistics / Distribution based on typical operating model, critical systems, crisis exposure and value-protection logic.</t>
  </si>
  <si>
    <t>Cloud and Infrastructure Resilience Strategy receives a fit score of 4 for Logistics / Distribution based on typical operating model, critical systems, crisis exposure and value-protection logic.</t>
  </si>
  <si>
    <t>Cyber Resilience Strategy receives a fit score of 3 for Logistics / Distribution based on typical operating model, critical systems, crisis exposure and value-protection logic.</t>
  </si>
  <si>
    <t>Data Governance and AI Readiness Strategy receives a fit score of 4 for Logistics / Distribution based on typical operating model, critical systems, crisis exposure and value-protection logic.</t>
  </si>
  <si>
    <t>Workforce Resilience Strategy receives a fit score of 3 for Logistics / Distribution based on typical operating model, critical systems, crisis exposure and value-protection logic.</t>
  </si>
  <si>
    <t>Operational Excellence and Automation Strategy receives a fit score of 4.5 for Logistics / Distribution based on typical operating model, critical systems, crisis exposure and value-protection logic.</t>
  </si>
  <si>
    <t>Supply Chain and Delivery Resilience Strategy receives a fit score of 5 for Logistics / Distribution based on typical operating model, critical systems, crisis exposure and value-protection logic.</t>
  </si>
  <si>
    <t>Manufacturing Continuity and MES Strategy receives a fit score of 3 for Logistics / Distribution based on typical operating model, critical systems, crisis exposure and value-protection logic.</t>
  </si>
  <si>
    <t>Physical Safety and Site Resilience Strategy receives a fit score of 3 for Logistics / Distribution based on typical operating model, critical systems, crisis exposure and value-protection logic.</t>
  </si>
  <si>
    <t>Sales Channel Diversification Strategy receives a fit score of 3 for Logistics / Distribution based on typical operating model, critical systems, crisis exposure and value-protection logic.</t>
  </si>
  <si>
    <t>Customer Retention and Revenue Protection Strategy receives a fit score of 3 for Logistics / Distribution based on typical operating model, critical systems, crisis exposure and value-protection logic.</t>
  </si>
  <si>
    <t>Compliance and Risk Control Strategy receives a fit score of 3 for Logistics / Distribution based on typical operating model, critical systems, crisis exposure and value-protection logic.</t>
  </si>
  <si>
    <t>Governance and Decision-Speed Strategy receives a fit score of 3 for Logistics / Distribution based on typical operating model, critical systems, crisis exposure and value-protection logic.</t>
  </si>
  <si>
    <t>Digital Foundation Strategy receives a fit score of 3 for Healthcare / Pharma based on typical operating model, critical systems, crisis exposure and value-protection logic.</t>
  </si>
  <si>
    <t>Business Continuity and Resilience Strategy receives a fit score of 4.5 for Healthcare / Pharma based on typical operating model, critical systems, crisis exposure and value-protection logic.</t>
  </si>
  <si>
    <t>Cloud and Infrastructure Resilience Strategy receives a fit score of 3 for Healthcare / Pharma based on typical operating model, critical systems, crisis exposure and value-protection logic.</t>
  </si>
  <si>
    <t>Cyber Resilience Strategy receives a fit score of 5 for Healthcare / Pharma based on typical operating model, critical systems, crisis exposure and value-protection logic.</t>
  </si>
  <si>
    <t>Data Governance and AI Readiness Strategy receives a fit score of 4.5 for Healthcare / Pharma based on typical operating model, critical systems, crisis exposure and value-protection logic.</t>
  </si>
  <si>
    <t>Workforce Resilience Strategy receives a fit score of 3 for Healthcare / Pharma based on typical operating model, critical systems, crisis exposure and value-protection logic.</t>
  </si>
  <si>
    <t>Operational Excellence and Automation Strategy receives a fit score of 3 for Healthcare / Pharma based on typical operating model, critical systems, crisis exposure and value-protection logic.</t>
  </si>
  <si>
    <t>Supply Chain and Delivery Resilience Strategy receives a fit score of 3 for Healthcare / Pharma based on typical operating model, critical systems, crisis exposure and value-protection logic.</t>
  </si>
  <si>
    <t>Manufacturing Continuity and MES Strategy receives a fit score of 3 for Healthcare / Pharma based on typical operating model, critical systems, crisis exposure and value-protection logic.</t>
  </si>
  <si>
    <t>Physical Safety and Site Resilience Strategy receives a fit score of 3 for Healthcare / Pharma based on typical operating model, critical systems, crisis exposure and value-protection logic.</t>
  </si>
  <si>
    <t>Sales Channel Diversification Strategy receives a fit score of 5 for Healthcare / Pharma based on typical operating model, critical systems, crisis exposure and value-protection logic.</t>
  </si>
  <si>
    <t>Customer Retention and Revenue Protection Strategy receives a fit score of 3 for Healthcare / Pharma based on typical operating model, critical systems, crisis exposure and value-protection logic.</t>
  </si>
  <si>
    <t>Compliance and Risk Control Strategy receives a fit score of 4 for Healthcare / Pharma based on typical operating model, critical systems, crisis exposure and value-protection logic.</t>
  </si>
  <si>
    <t>Governance and Decision-Speed Strategy receives a fit score of 3 for Healthcare / Pharma based on typical operating model, critical systems, crisis exposure and value-protection logic.</t>
  </si>
  <si>
    <t>Digital Foundation Strategy receives a fit score of 3 for Energy / Utilities based on typical operating model, critical systems, crisis exposure and value-protection logic.</t>
  </si>
  <si>
    <t>Business Continuity and Resilience Strategy receives a fit score of 5 for Energy / Utilities based on typical operating model, critical systems, crisis exposure and value-protection logic.</t>
  </si>
  <si>
    <t>Cloud and Infrastructure Resilience Strategy receives a fit score of 4.5 for Energy / Utilities based on typical operating model, critical systems, crisis exposure and value-protection logic.</t>
  </si>
  <si>
    <t>Cyber Resilience Strategy receives a fit score of 5 for Energy / Utilities based on typical operating model, critical systems, crisis exposure and value-protection logic.</t>
  </si>
  <si>
    <t>Data Governance and AI Readiness Strategy receives a fit score of 3 for Energy / Utilities based on typical operating model, critical systems, crisis exposure and value-protection logic.</t>
  </si>
  <si>
    <t>Workforce Resilience Strategy receives a fit score of 3 for Energy / Utilities based on typical operating model, critical systems, crisis exposure and value-protection logic.</t>
  </si>
  <si>
    <t>Operational Excellence and Automation Strategy receives a fit score of 3 for Energy / Utilities based on typical operating model, critical systems, crisis exposure and value-protection logic.</t>
  </si>
  <si>
    <t>Supply Chain and Delivery Resilience Strategy receives a fit score of 4.5 for Energy / Utilities based on typical operating model, critical systems, crisis exposure and value-protection logic.</t>
  </si>
  <si>
    <t>Manufacturing Continuity and MES Strategy receives a fit score of 3 for Energy / Utilities based on typical operating model, critical systems, crisis exposure and value-protection logic.</t>
  </si>
  <si>
    <t>Physical Safety and Site Resilience Strategy receives a fit score of 3 for Energy / Utilities based on typical operating model, critical systems, crisis exposure and value-protection logic.</t>
  </si>
  <si>
    <t>Sales Channel Diversification Strategy receives a fit score of 4 for Energy / Utilities based on typical operating model, critical systems, crisis exposure and value-protection logic.</t>
  </si>
  <si>
    <t>Customer Retention and Revenue Protection Strategy receives a fit score of 3 for Energy / Utilities based on typical operating model, critical systems, crisis exposure and value-protection logic.</t>
  </si>
  <si>
    <t>Compliance and Risk Control Strategy receives a fit score of 3 for Energy / Utilities based on typical operating model, critical systems, crisis exposure and value-protection logic.</t>
  </si>
  <si>
    <t>Governance and Decision-Speed Strategy receives a fit score of 3 for Energy / Utilities based on typical operating model, critical systems, crisis exposure and value-protection logic.</t>
  </si>
  <si>
    <t>Digital Foundation Strategy receives a fit score of 4 for Professional Services based on typical operating model, critical systems, crisis exposure and value-protection logic.</t>
  </si>
  <si>
    <t>Business Continuity and Resilience Strategy receives a fit score of 4 for Professional Services based on typical operating model, critical systems, crisis exposure and value-protection logic.</t>
  </si>
  <si>
    <t>Cloud and Infrastructure Resilience Strategy receives a fit score of 3 for Professional Services based on typical operating model, critical systems, crisis exposure and value-protection logic.</t>
  </si>
  <si>
    <t>Cyber Resilience Strategy receives a fit score of 3 for Professional Services based on typical operating model, critical systems, crisis exposure and value-protection logic.</t>
  </si>
  <si>
    <t>Data Governance and AI Readiness Strategy receives a fit score of 3 for Professional Services based on typical operating model, critical systems, crisis exposure and value-protection logic.</t>
  </si>
  <si>
    <t>Workforce Resilience Strategy receives a fit score of 5 for Professional Services based on typical operating model, critical systems, crisis exposure and value-protection logic.</t>
  </si>
  <si>
    <t>Operational Excellence and Automation Strategy receives a fit score of 3 for Professional Services based on typical operating model, critical systems, crisis exposure and value-protection logic.</t>
  </si>
  <si>
    <t>Supply Chain and Delivery Resilience Strategy receives a fit score of 3 for Professional Services based on typical operating model, critical systems, crisis exposure and value-protection logic.</t>
  </si>
  <si>
    <t>Manufacturing Continuity and MES Strategy receives a fit score of 4 for Professional Services based on typical operating model, critical systems, crisis exposure and value-protection logic.</t>
  </si>
  <si>
    <t>Physical Safety and Site Resilience Strategy receives a fit score of 4.5 for Professional Services based on typical operating model, critical systems, crisis exposure and value-protection logic.</t>
  </si>
  <si>
    <t>Sales Channel Diversification Strategy receives a fit score of 3 for Professional Services based on typical operating model, critical systems, crisis exposure and value-protection logic.</t>
  </si>
  <si>
    <t>Customer Retention and Revenue Protection Strategy receives a fit score of 3 for Professional Services based on typical operating model, critical systems, crisis exposure and value-protection logic.</t>
  </si>
  <si>
    <t>Compliance and Risk Control Strategy receives a fit score of 3 for Professional Services based on typical operating model, critical systems, crisis exposure and value-protection logic.</t>
  </si>
  <si>
    <t>Governance and Decision-Speed Strategy receives a fit score of 3 for Professional Services based on typical operating model, critical systems, crisis exposure and value-protection logic.</t>
  </si>
  <si>
    <t>Digital Foundation Strategy receives a fit score of 3 for Public Sector / Regulated Organization based on typical operating model, critical systems, crisis exposure and value-protection logic.</t>
  </si>
  <si>
    <t>Business Continuity and Resilience Strategy receives a fit score of 5 for Public Sector / Regulated Organization based on typical operating model, critical systems, crisis exposure and value-protection logic.</t>
  </si>
  <si>
    <t>Cloud and Infrastructure Resilience Strategy receives a fit score of 4 for Public Sector / Regulated Organization based on typical operating model, critical systems, crisis exposure and value-protection logic.</t>
  </si>
  <si>
    <t>Cyber Resilience Strategy receives a fit score of 4.5 for Public Sector / Regulated Organization based on typical operating model, critical systems, crisis exposure and value-protection logic.</t>
  </si>
  <si>
    <t>Data Governance and AI Readiness Strategy receives a fit score of 4 for Public Sector / Regulated Organization based on typical operating model, critical systems, crisis exposure and value-protection logic.</t>
  </si>
  <si>
    <t>Workforce Resilience Strategy receives a fit score of 3 for Public Sector / Regulated Organization based on typical operating model, critical systems, crisis exposure and value-protection logic.</t>
  </si>
  <si>
    <t>Operational Excellence and Automation Strategy receives a fit score of 3 for Public Sector / Regulated Organization based on typical operating model, critical systems, crisis exposure and value-protection logic.</t>
  </si>
  <si>
    <t>Supply Chain and Delivery Resilience Strategy receives a fit score of 3 for Public Sector / Regulated Organization based on typical operating model, critical systems, crisis exposure and value-protection logic.</t>
  </si>
  <si>
    <t>Manufacturing Continuity and MES Strategy receives a fit score of 3 for Public Sector / Regulated Organization based on typical operating model, critical systems, crisis exposure and value-protection logic.</t>
  </si>
  <si>
    <t>Physical Safety and Site Resilience Strategy receives a fit score of 3 for Public Sector / Regulated Organization based on typical operating model, critical systems, crisis exposure and value-protection logic.</t>
  </si>
  <si>
    <t>Sales Channel Diversification Strategy receives a fit score of 5 for Public Sector / Regulated Organization based on typical operating model, critical systems, crisis exposure and value-protection logic.</t>
  </si>
  <si>
    <t>Customer Retention and Revenue Protection Strategy receives a fit score of 3 for Public Sector / Regulated Organization based on typical operating model, critical systems, crisis exposure and value-protection logic.</t>
  </si>
  <si>
    <t>Compliance and Risk Control Strategy receives a fit score of 3 for Public Sector / Regulated Organization based on typical operating model, critical systems, crisis exposure and value-protection logic.</t>
  </si>
  <si>
    <t>Governance and Decision-Speed Strategy receives a fit score of 3 for Public Sector / Regulated Organization based on typical operating model, critical systems, crisis exposure and value-protection logic.</t>
  </si>
  <si>
    <t>Concentration band</t>
  </si>
  <si>
    <t>Supplier substitutability</t>
  </si>
  <si>
    <t>Workforce country footprint</t>
  </si>
  <si>
    <t>Workforce share band</t>
  </si>
  <si>
    <t>Cross-border mobility</t>
  </si>
  <si>
    <t>Critical process</t>
  </si>
  <si>
    <t>Critical product or service</t>
  </si>
  <si>
    <t>Crisis history</t>
  </si>
  <si>
    <t>Crisis impact level</t>
  </si>
  <si>
    <t>Scenario comparison</t>
  </si>
  <si>
    <t>B2B</t>
  </si>
  <si>
    <t>Mostly recurring</t>
  </si>
  <si>
    <t>&lt;10%</t>
  </si>
  <si>
    <t>Multiple qualified alternatives</t>
  </si>
  <si>
    <t>Single country</t>
  </si>
  <si>
    <t>&lt;25%</t>
  </si>
  <si>
    <t>Fully remote-ready</t>
  </si>
  <si>
    <t>Established relocation / mobility process</t>
  </si>
  <si>
    <t>Customer acquisition</t>
  </si>
  <si>
    <t>Single flagship product/service</t>
  </si>
  <si>
    <t>Baseline</t>
  </si>
  <si>
    <t>B2C</t>
  </si>
  <si>
    <t>Mostly one-off</t>
  </si>
  <si>
    <t>Inside sales</t>
  </si>
  <si>
    <t>Some alternatives identified</t>
  </si>
  <si>
    <t>Manual workaround available</t>
  </si>
  <si>
    <t>Lead-to-order</t>
  </si>
  <si>
    <t>Several core products/services</t>
  </si>
  <si>
    <t>Planned</t>
  </si>
  <si>
    <t>B2B2C</t>
  </si>
  <si>
    <t>Self-service / product-led</t>
  </si>
  <si>
    <t>4-10 countries</t>
  </si>
  <si>
    <t>Remote-ready for office roles only</t>
  </si>
  <si>
    <t>Limited mobility options</t>
  </si>
  <si>
    <t>Broad product portfolio</t>
  </si>
  <si>
    <t>In progress</t>
  </si>
  <si>
    <t>Marketplace</t>
  </si>
  <si>
    <t>Transaction-driven</t>
  </si>
  <si>
    <t>Channel / partner sales</t>
  </si>
  <si>
    <t>Single-source dependency</t>
  </si>
  <si>
    <t>Minor degradation</t>
  </si>
  <si>
    <t>Partial workaround</t>
  </si>
  <si>
    <t>10+ countries</t>
  </si>
  <si>
    <t>&gt;75%</t>
  </si>
  <si>
    <t>Limited remote work capability</t>
  </si>
  <si>
    <t>No mobility support</t>
  </si>
  <si>
    <t>Procure-to-pay</t>
  </si>
  <si>
    <t>On hold</t>
  </si>
  <si>
    <t>Natural disaster</t>
  </si>
  <si>
    <t>Subscription</t>
  </si>
  <si>
    <t>Seasonal</t>
  </si>
  <si>
    <t>Marketplace sales</t>
  </si>
  <si>
    <t>No supplier mapping</t>
  </si>
  <si>
    <t>No workaround</t>
  </si>
  <si>
    <t>Mostly remote across countries</t>
  </si>
  <si>
    <t>No remote work capability</t>
  </si>
  <si>
    <t>Hire-to-retire</t>
  </si>
  <si>
    <t>Regulated product/service</t>
  </si>
  <si>
    <t>Critical impact</t>
  </si>
  <si>
    <t>Energy crisis</t>
  </si>
  <si>
    <t>Unknown</t>
  </si>
  <si>
    <t>Retail / physical store</t>
  </si>
  <si>
    <t>Production planning</t>
  </si>
  <si>
    <t>Physical goods</t>
  </si>
  <si>
    <t>Cancelled</t>
  </si>
  <si>
    <t>Cyberattack</t>
  </si>
  <si>
    <t>Transaction-based</t>
  </si>
  <si>
    <t>Tender / procurement-driven</t>
  </si>
  <si>
    <t>Manufacturing execution</t>
  </si>
  <si>
    <t>License-based</t>
  </si>
  <si>
    <t>Account management / farming</t>
  </si>
  <si>
    <t>Logistics fulfillment</t>
  </si>
  <si>
    <t>Regulatory shock</t>
  </si>
  <si>
    <t>Workforce availability crisis</t>
  </si>
  <si>
    <t>Usage-based</t>
  </si>
  <si>
    <t>Essential service</t>
  </si>
  <si>
    <t>Key customer loss</t>
  </si>
  <si>
    <t>Regional sales decline</t>
  </si>
  <si>
    <t>Advertising-based</t>
  </si>
  <si>
    <t>Incident response</t>
  </si>
  <si>
    <t>Public funding / grants</t>
  </si>
  <si>
    <t>Maintenance / field service</t>
  </si>
  <si>
    <t>Financial / liquidity crisis</t>
  </si>
  <si>
    <t>Regulatory compliance</t>
  </si>
  <si>
    <t>Physical infrastructure disruption</t>
  </si>
  <si>
    <t>Other / unknown</t>
  </si>
  <si>
    <t>Product development</t>
  </si>
  <si>
    <t>Multiple crises</t>
  </si>
  <si>
    <t>Supplier management</t>
  </si>
  <si>
    <t>Physical security / HSE</t>
  </si>
  <si>
    <t>Technical Strategy Package Library</t>
  </si>
  <si>
    <t>Hidden strategy package templates. A strategy is treated as a package of executive initiatives connected to risks, crisis scenarios and roadmap logic.</t>
  </si>
  <si>
    <t>Strategy Package ID</t>
  </si>
  <si>
    <t>Strategy Package</t>
  </si>
  <si>
    <t>Strategic objective</t>
  </si>
  <si>
    <t>Executive initiatives included</t>
  </si>
  <si>
    <t>Primary domains</t>
  </si>
  <si>
    <t>Risk focus</t>
  </si>
  <si>
    <t>Relevant crisis scenarios</t>
  </si>
  <si>
    <t>Relevant revenue models</t>
  </si>
  <si>
    <t>Relevant industries</t>
  </si>
  <si>
    <t>Default owner</t>
  </si>
  <si>
    <t>Default wave</t>
  </si>
  <si>
    <t>Base business value</t>
  </si>
  <si>
    <t>Base time criticality</t>
  </si>
  <si>
    <t>Base risk reduction</t>
  </si>
  <si>
    <t>Industry fit</t>
  </si>
  <si>
    <t>Crisis fit</t>
  </si>
  <si>
    <t>Revenue model fit</t>
  </si>
  <si>
    <t>Active initiative count</t>
  </si>
  <si>
    <t>Active risk count</t>
  </si>
  <si>
    <t>Calculated priority score</t>
  </si>
  <si>
    <t>Strategy WSJF</t>
  </si>
  <si>
    <t>Priority tier</t>
  </si>
  <si>
    <t>STR-PKG-01</t>
  </si>
  <si>
    <t>Establish baseline digital tools, ownership, workflows, reporting and data discipline.</t>
  </si>
  <si>
    <t>Low digital foundations, fragmented tools, weak ownership or limited reporting.</t>
  </si>
  <si>
    <t>Process ownership; workflow tools; core system governance; master data; reporting discipline.</t>
  </si>
  <si>
    <t>Governance Crisis; Business Systems; Data BI AI; IT Cloud DR</t>
  </si>
  <si>
    <t>Process immaturity; data quality; tool fragmentation</t>
  </si>
  <si>
    <t>All</t>
  </si>
  <si>
    <t>STR-PKG-02</t>
  </si>
  <si>
    <t>Build BIA, recovery priorities, crisis roles, recovery playbooks and testing.</t>
  </si>
  <si>
    <t>High disruption exposure, weak continuity governance, unclear recovery priorities.</t>
  </si>
  <si>
    <t>BIA; BCP; crisis governance; recovery playbooks; tabletop exercises.</t>
  </si>
  <si>
    <t>Governance Crisis; IT Cloud DR; Physical Safety; Delivery Ops</t>
  </si>
  <si>
    <t>Business interruption; recovery failure; crisis governance</t>
  </si>
  <si>
    <t>Pandemic; War / geopolitical escalation; Natural disaster; Energy crisis; Physical infrastructure disruption; Cyberattack</t>
  </si>
  <si>
    <t>STR-PKG-03</t>
  </si>
  <si>
    <t>Reduce infrastructure fragility through cloud architecture, DR, backup, failover and remote access readiness.</t>
  </si>
  <si>
    <t>Physical infrastructure dependency, weak backup, high RTO/RPO or poor remote access readiness.</t>
  </si>
  <si>
    <t>Cloud landing zone; backup modernization; restore tests; DR runbooks; identity resilience.</t>
  </si>
  <si>
    <t>IT Cloud DR; Cyber Privacy; Business Systems</t>
  </si>
  <si>
    <t>Infrastructure disruption; data loss; downtime</t>
  </si>
  <si>
    <t>Cyberattack; Physical infrastructure disruption; War / geopolitical escalation; Energy crisis</t>
  </si>
  <si>
    <t>Subscription; Usage-based; B2B; B2C; Hybrid</t>
  </si>
  <si>
    <t>SaaS / Digital Product; IT Services; Retail / Ecommerce; Healthcare / Pharma; Energy / Utilities; Public Sector / Regulated Organization</t>
  </si>
  <si>
    <t>STR-PKG-04</t>
  </si>
  <si>
    <t>Strengthen identity, monitoring, incident response, backup recovery and security awareness.</t>
  </si>
  <si>
    <t>Cybersecurity, ransomware, privacy, access or monitoring weaknesses create material risk.</t>
  </si>
  <si>
    <t>MFA; EDR; SIEM/logging; IR playbook; ransomware tabletop; backup isolation; awareness.</t>
  </si>
  <si>
    <t>Cyber Privacy; IT Cloud DR; Legal Risk; Data BI AI</t>
  </si>
  <si>
    <t>Cyberattack; privacy breach; ransomware; identity compromise</t>
  </si>
  <si>
    <t>Cyberattack; Regulatory shock; War / geopolitical escalation</t>
  </si>
  <si>
    <t>STR-PKG-05</t>
  </si>
  <si>
    <t>Data quality, reporting, BI, forecasting or AI governance are weak.</t>
  </si>
  <si>
    <t>Data owners; data catalog; BI standards; data quality rules; AI governance; executive dashboards.</t>
  </si>
  <si>
    <t>Data BI AI; Business Systems; Governance Crisis</t>
  </si>
  <si>
    <t>Poor data quality; unreliable reporting; AI misuse</t>
  </si>
  <si>
    <t>Regulatory shock; Economic downturn; Key customer loss</t>
  </si>
  <si>
    <t>Subscription; Usage-based; Transaction-based; B2B; B2C; Hybrid</t>
  </si>
  <si>
    <t>SaaS / Digital Product; Retail / Ecommerce; Healthcare / Pharma; Energy / Utilities; IT Services</t>
  </si>
  <si>
    <t>STR-PKG-06</t>
  </si>
  <si>
    <t>Reduce critical people risk through succession, cross-training, knowledge management and staffing flexibility.</t>
  </si>
  <si>
    <t>High key-person dependency, weak role backup, knowledge gaps or workforce availability risk.</t>
  </si>
  <si>
    <t>Critical role matrix; succession; backup teams; knowledge base; cross-training; remote work readiness.</t>
  </si>
  <si>
    <t>HR Workforce; Delivery Ops; Governance Crisis</t>
  </si>
  <si>
    <t>Critical people risk; productivity loss; knowledge loss</t>
  </si>
  <si>
    <t>Pandemic; War / geopolitical escalation; Workforce availability crisis</t>
  </si>
  <si>
    <t>STR-PKG-07</t>
  </si>
  <si>
    <t>Operational Excellence and Process Maturity Strategy</t>
  </si>
  <si>
    <t>Improve process ownership, KPI discipline, standard work, automation and management cadence.</t>
  </si>
  <si>
    <t>Process mapping; KPI cadence; automation; workflow redesign; standard work; performance management.</t>
  </si>
  <si>
    <t>Governance Crisis; Delivery Ops; Quality Portfolio; Business Systems</t>
  </si>
  <si>
    <t>Process failure; operational inefficiency; poor execution control</t>
  </si>
  <si>
    <t>Economic downturn; Workforce availability crisis; Key customer loss</t>
  </si>
  <si>
    <t>Project-based; Transaction-based; Hybrid; B2B</t>
  </si>
  <si>
    <t>IT Services; Manufacturing; Professional Services; Logistics / Distribution; Retail / Ecommerce</t>
  </si>
  <si>
    <t>STR-PKG-08</t>
  </si>
  <si>
    <t>Strengthen supplier diversification, inventory visibility, logistics alternatives and delivery fallback.</t>
  </si>
  <si>
    <t>Supply, logistics, delivery or supplier dependencies create material disruption risk.</t>
  </si>
  <si>
    <t>Supplier map; dual sourcing; inventory visibility; route alternatives; SLA triage; delivery fallback.</t>
  </si>
  <si>
    <t>Supply Chain; Delivery Ops; Finance Procurement; Manufacturing MES</t>
  </si>
  <si>
    <t>Supplier failure; logistics disruption; delivery failure</t>
  </si>
  <si>
    <t>Supply chain disruption; War / geopolitical escalation; Natural disaster; Energy crisis</t>
  </si>
  <si>
    <t>Transaction-based; B2B; B2C; Hybrid</t>
  </si>
  <si>
    <t>Manufacturing; Retail / Ecommerce; Logistics / Distribution; Energy / Utilities; Healthcare / Pharma</t>
  </si>
  <si>
    <t>STR-PKG-09</t>
  </si>
  <si>
    <t>Improve production continuity, MES visibility, maintenance, spare parts, utilities backup and recovery sequence.</t>
  </si>
  <si>
    <t>Manufacturing, MES, maintenance, utilities or spare parts dependencies create operational risk.</t>
  </si>
  <si>
    <t>MES continuity; OEE visibility; maintenance planning; spare parts; utility backup; production recovery sequence.</t>
  </si>
  <si>
    <t>Manufacturing MES; Supply Chain; Physical Safety; IT Cloud DR</t>
  </si>
  <si>
    <t>Production stoppage; asset failure; MES outage</t>
  </si>
  <si>
    <t>Energy crisis; Supply chain disruption; Natural disaster; War / geopolitical escalation</t>
  </si>
  <si>
    <t>B2B; B2C; Transaction-based; Hybrid</t>
  </si>
  <si>
    <t>Manufacturing; Energy / Utilities; Healthcare / Pharma</t>
  </si>
  <si>
    <t>STR-PKG-10</t>
  </si>
  <si>
    <t>Protect people, sites and physical assets through safety, emergency response, access control and alternate-site planning.</t>
  </si>
  <si>
    <t>Site risk assessment; evacuation; emergency roles; access control; travel risk; alternate site.</t>
  </si>
  <si>
    <t>Physical Safety; Company Geography; HR Workforce; Governance Crisis</t>
  </si>
  <si>
    <t>People safety; site loss; access failure</t>
  </si>
  <si>
    <t>War / geopolitical escalation; Natural disaster; Physical infrastructure disruption; Pandemic</t>
  </si>
  <si>
    <t>Manufacturing; Logistics / Distribution; Energy / Utilities; Public Sector / Regulated Organization; Healthcare / Pharma; Retail / Ecommerce</t>
  </si>
  <si>
    <t>STR-PKG-11</t>
  </si>
  <si>
    <t>GTM and Revenue Diversification Strategy</t>
  </si>
  <si>
    <t>Reduce revenue dependency through ICP clarity, offer packaging, new channels, market diversification and CRM discipline.</t>
  </si>
  <si>
    <t>Revenue depends on one region, customer segment, physical channel, weak ICP or narrow customer base.</t>
  </si>
  <si>
    <t>ICP validation; offer packaging; channel mix; partner channels; pricing; market diversification.</t>
  </si>
  <si>
    <t>Revenue concentration; weak pipeline; market dependency</t>
  </si>
  <si>
    <t>Regional sales decline; Key customer loss; Economic downturn</t>
  </si>
  <si>
    <t>B2B; B2C; Marketplace; Subscription; Project-based; Transaction-based; Hybrid</t>
  </si>
  <si>
    <t>SaaS / Digital Product; IT Services; Retail / Ecommerce; Professional Services; Logistics / Distribution</t>
  </si>
  <si>
    <t>STR-PKG-12</t>
  </si>
  <si>
    <t>Customer health score; churn playbooks; account coverage; retention offers; revenue risk dashboard.</t>
  </si>
  <si>
    <t>Sales CRM; Marketing Comms; Data BI AI</t>
  </si>
  <si>
    <t>Customer loss; churn; revenue leakage</t>
  </si>
  <si>
    <t>Key customer loss; Regional sales decline; Economic downturn</t>
  </si>
  <si>
    <t>Subscription; B2B; B2C; Marketplace; Hybrid</t>
  </si>
  <si>
    <t>SaaS / Digital Product; Retail / Ecommerce; IT Services; Professional Services</t>
  </si>
  <si>
    <t>STR-PKG-13</t>
  </si>
  <si>
    <t>Strengthen compliance obligations, risk register, control testing, privacy and contract controls.</t>
  </si>
  <si>
    <t>Obligation register; risk register; compliance calendar; control tests; contract controls; privacy governance.</t>
  </si>
  <si>
    <t>Legal Risk; Cyber Privacy; Finance Procurement; Governance Crisis</t>
  </si>
  <si>
    <t>Regulatory breach; contract exposure; control failure</t>
  </si>
  <si>
    <t>Regulatory shock; Cyberattack; War / geopolitical escalation</t>
  </si>
  <si>
    <t>Healthcare / Pharma; Public Sector / Regulated Organization; Energy / Utilities; Financial services; SaaS / Digital Product</t>
  </si>
  <si>
    <t>STR-PKG-14</t>
  </si>
  <si>
    <t>Clarify decision rights, crisis roles, portfolio governance, management cadence and escalation triggers.</t>
  </si>
  <si>
    <t>RACI; decision rights; crisis board; portfolio steering; KPI cadence; escalation triggers.</t>
  </si>
  <si>
    <t>Governance Crisis; Quality Portfolio; Strategy GTM</t>
  </si>
  <si>
    <t>Decision delay; poor prioritization; crisis coordination failure</t>
  </si>
  <si>
    <t>Executive Strategy Packages</t>
  </si>
  <si>
    <t>This page groups detailed recommendations and initiatives into executive-level strategy packages. Use it as the management-facing output after the questionnaire and crisis simulation are completed.</t>
  </si>
  <si>
    <t>Context parameter</t>
  </si>
  <si>
    <t>Industry template changes target maturity, risk priority and strategy fit.</t>
  </si>
  <si>
    <t>Closed answer from Company Profile.</t>
  </si>
  <si>
    <t>Customer concentration signal</t>
  </si>
  <si>
    <t>Derived from top 1 and top 5 client revenue share.</t>
  </si>
  <si>
    <t>Supplier concentration signal</t>
  </si>
  <si>
    <t>Derived from top 1 and top 5 supplier dependency.</t>
  </si>
  <si>
    <t>Selected scenario changes crisis fit and priority.</t>
  </si>
  <si>
    <t>Severity 1-5 from Crisis Simulator.</t>
  </si>
  <si>
    <t>Primary strategy from engine</t>
  </si>
  <si>
    <t>Existing strategy recommendation engine output.</t>
  </si>
  <si>
    <t>Strategy package</t>
  </si>
  <si>
    <t>Relevant crises</t>
  </si>
  <si>
    <t>Suggested wave</t>
  </si>
  <si>
    <t>Decision note</t>
  </si>
  <si>
    <t>Business Resilience and Digital Maturity Assessment - Methodology, Logic and Formula Guide</t>
  </si>
  <si>
    <t>This sheet explains how the workbook works: assessment flow, scoring formulas, industry templates, crisis simulation, risks, recommendations, strategy packages, initiatives, roadmap, heatmaps, standards mapping and quality control.</t>
  </si>
  <si>
    <t>Section</t>
  </si>
  <si>
    <t>How it works</t>
  </si>
  <si>
    <t>Formula / rule</t>
  </si>
  <si>
    <t>Main inputs</t>
  </si>
  <si>
    <t>Main outputs</t>
  </si>
  <si>
    <t>Maintenance notes</t>
  </si>
  <si>
    <t>1. Product concept</t>
  </si>
  <si>
    <t>Core purpose</t>
  </si>
  <si>
    <t>The workbook is a crisis resilience and digital maturity decision-support tool. The company completes a closed-answer profile and a detailed questionnaire. The model converts answers into maturity, digitalization, resilience, risks, recommendations, strategy packages and roadmap outputs.</t>
  </si>
  <si>
    <t>Company context + scores + industry template + crisis scenario -&gt; scores -&gt; risks -&gt; recommendations -&gt; strategy packages -&gt; roadmap.</t>
  </si>
  <si>
    <t>Company Profile, domain sheets, crisis simulator, industry template.</t>
  </si>
  <si>
    <t>Dashboard, Risk Summary, Executive Recommendations, Executive Strategy Packages, Initiatives Roadmap, Gantt Roadmap, Heatmaps.</t>
  </si>
  <si>
    <t>It is not a certification audit unless a formal audit process is added later.</t>
  </si>
  <si>
    <t>User workflow</t>
  </si>
  <si>
    <t>Recommended flow: complete Company Profile, complete assessment tabs, review scores, select crisis scenario and severity, review risks and recommendations, review strategy packages and roadmap, run Quality Control.</t>
  </si>
  <si>
    <t>Profile -&gt; questionnaire -&gt; scenario -&gt; interpretation -&gt; prioritization -&gt; roadmap.</t>
  </si>
  <si>
    <t>Closed-answer profile fields, 0-5 scores, N/A where genuinely not applicable.</t>
  </si>
  <si>
    <t>Management-readable outputs with prioritized actions.</t>
  </si>
  <si>
    <t>Start client sessions from Company Profile and Dashboard, not hidden technical tabs.</t>
  </si>
  <si>
    <t>Visible versus hidden sheets</t>
  </si>
  <si>
    <t>Visible sheets support assessment and executive interpretation. Hidden sheets contain reusable logic, dropdown lists, libraries, mappings and scoring parameters.</t>
  </si>
  <si>
    <t>Visible sheets = client-facing workflow. Hidden sheets = calculation and vocabulary layer.</t>
  </si>
  <si>
    <t>Workbook structure.</t>
  </si>
  <si>
    <t>Controlled separation between user interface and technical model.</t>
  </si>
  <si>
    <t>Keep new calculation libraries hidden unless the client needs transparency.</t>
  </si>
  <si>
    <t>2. Company profile</t>
  </si>
  <si>
    <t>Closed-answer company context</t>
  </si>
  <si>
    <t>Company Profile captures organization context using dropdowns and predefined options wherever possible. This reduces ambiguity and improves comparability across companies.</t>
  </si>
  <si>
    <t>Each profile field uses a predefined option list from _TECH_Profile_Lists.</t>
  </si>
  <si>
    <t>Industry, size, geography, revenue model, location criticality, customer concentration, supplier concentration, workforce distribution, critical processes, critical products/services, crisis history.</t>
  </si>
  <si>
    <t>Context profile used to modify scoring, risk exposure, strategy fit and recommendations.</t>
  </si>
  <si>
    <t>When adding new profile fields, add dropdown options to _TECH_Profile_Lists.</t>
  </si>
  <si>
    <t>Revenue model describes how the company earns money and changes interpretation of sales, CRM, customer retention and channel resilience.</t>
  </si>
  <si>
    <t>Revenue model modifies strategy package fit and initiative relevance.</t>
  </si>
  <si>
    <t>B2B, B2C, marketplace, subscription, project-based, transaction-based, hybrid options.</t>
  </si>
  <si>
    <t>Adjusted GTM, revenue protection and CRM recommendations.</t>
  </si>
  <si>
    <t>Use predefined options rather than free text.</t>
  </si>
  <si>
    <t>Business-critical locations</t>
  </si>
  <si>
    <t>The profile identifies which location types are business-critical: HQ, production, warehouse, data center, call center, R&amp;D, sales office, service center and remote workforce hubs.</t>
  </si>
  <si>
    <t>Location criticality increases relevance of physical safety, geographical concentration, IT continuity and workforce continuity risks.</t>
  </si>
  <si>
    <t>Business-critical location dropdowns.</t>
  </si>
  <si>
    <t>More accurate crisis exposure for war, natural disaster, infrastructure disruption, energy crisis and workforce crisis.</t>
  </si>
  <si>
    <t>Keep location categories broad enough for many industries.</t>
  </si>
  <si>
    <t>Customer concentration captures dependency on top 1, top 5 and top 10 clients. Higher concentration increases revenue risk.</t>
  </si>
  <si>
    <t>Higher concentration -&gt; higher priority for customer retention, pipeline diversification and CRM discipline.</t>
  </si>
  <si>
    <t>Revenue share bands for top clients.</t>
  </si>
  <si>
    <t>Customer concentration risk and revenue protection recommendations.</t>
  </si>
  <si>
    <t>Use percentage bands if exact values are confidential.</t>
  </si>
  <si>
    <t>Supplier concentration</t>
  </si>
  <si>
    <t>Supplier concentration captures dependency on single-source or limited-source suppliers. For service companies, suppliers may include cloud, identity, payroll, delivery tools and critical subcontractors.</t>
  </si>
  <si>
    <t>Higher concentration -&gt; higher supply chain and operational continuity risk.</t>
  </si>
  <si>
    <t>Supplier concentration bands.</t>
  </si>
  <si>
    <t>Supplier diversification, procurement resilience and continuity recommendations.</t>
  </si>
  <si>
    <t>Review supplier categories by industry.</t>
  </si>
  <si>
    <t>Workforce distribution</t>
  </si>
  <si>
    <t>Workforce distribution by country or city helps evaluate geopolitical, pandemic, travel, labor availability and infrastructure risks.</t>
  </si>
  <si>
    <t>Higher workforce concentration -&gt; higher workforce availability and geographic concentration risk.</t>
  </si>
  <si>
    <t>Country/city workforce distribution bands.</t>
  </si>
  <si>
    <t>Workforce resilience and geography risk interpretation.</t>
  </si>
  <si>
    <t>Use bands when exact headcount is not available.</t>
  </si>
  <si>
    <t>Critical process list</t>
  </si>
  <si>
    <t>Critical processes define what must continue during disruption: order-to-cash, procure-to-pay, production planning, service delivery, customer support, payroll, financial close, incident response and regulatory reporting.</t>
  </si>
  <si>
    <t>Selected critical processes increase weight of related risks and initiatives.</t>
  </si>
  <si>
    <t>Critical process dropdowns.</t>
  </si>
  <si>
    <t>Sharper risk and initiative prioritization.</t>
  </si>
  <si>
    <t>Keep the list standardized and reusable.</t>
  </si>
  <si>
    <t>Critical product / service list</t>
  </si>
  <si>
    <t>Critical products and services define business impact if disrupted. This affects revenue, delivery, production, customer communication and recovery planning.</t>
  </si>
  <si>
    <t>Critical product/service relevance modifies domain and risk interpretation.</t>
  </si>
  <si>
    <t>Critical product or service categories.</t>
  </si>
  <si>
    <t>More realistic crisis impact outputs.</t>
  </si>
  <si>
    <t>Use categories rather than long descriptions.</t>
  </si>
  <si>
    <t>Crisis history records disruptions already experienced by the company, such as pandemic, war, cyberattack, energy crisis, supply chain disruption, key customer loss, regulatory shock, physical site disruption or natural disaster.</t>
  </si>
  <si>
    <t>Past crisis can increase relevance of lessons learned; if lessons are not formalized, repeat risk remains high.</t>
  </si>
  <si>
    <t>Crisis history and impact severity fields.</t>
  </si>
  <si>
    <t>Contextualized recommendations and preparedness assessment.</t>
  </si>
  <si>
    <t>A future version may add lessons-learned maturity.</t>
  </si>
  <si>
    <t>3. Assessment structure</t>
  </si>
  <si>
    <t>Domain sheets</t>
  </si>
  <si>
    <t>Each domain sheet contains questions grouped by subdomain. The user enters score, comments, evidence confidence and assessor confidence. Questions are mapped to standards, risks, recommendations and horizontal metrics.</t>
  </si>
  <si>
    <t>Question response is the atomic input for downstream calculations.</t>
  </si>
  <si>
    <t>Domain tabs such as HR Workforce, IT Cloud DR, Sales CRM, Manufacturing MES, Cyber Privacy and others.</t>
  </si>
  <si>
    <t>Domain scores, subdomain scores, risk triggers, recommendations and initiative candidates.</t>
  </si>
  <si>
    <t>Do not delete or duplicate Question IDs.</t>
  </si>
  <si>
    <t>Subdomains</t>
  </si>
  <si>
    <t>Subdomains group questions into meaningful clusters inside a domain. They feed spider charts and make weak areas easier to identify.</t>
  </si>
  <si>
    <t>Subdomain Score = SUM(Score * Weight) / SUM(Applicable Weight).</t>
  </si>
  <si>
    <t>Subdomain labels, scores and weights.</t>
  </si>
  <si>
    <t>Subarea radar charts and focused improvement areas.</t>
  </si>
  <si>
    <t>Assign every new question to a subdomain.</t>
  </si>
  <si>
    <t>Question ID is the stable key connecting questions with standards, risk library, recommendation matrix, initiative library and strategy packages.</t>
  </si>
  <si>
    <t>Question ID must be unique and stable.</t>
  </si>
  <si>
    <t>Question ID in domain sheets and technical libraries.</t>
  </si>
  <si>
    <t>Correct lookup behavior across the workbook.</t>
  </si>
  <si>
    <t>Changing Question IDs requires updating linked libraries.</t>
  </si>
  <si>
    <t>4. Base scoring</t>
  </si>
  <si>
    <t>0-5 scoring scale</t>
  </si>
  <si>
    <t>The questionnaire uses a practical 0-5 scale. 0 means not existing; 1 means ad hoc; 2 means informal; 3 means defined or basic; 4 means managed and measured; 5 means optimized, integrated, resilient or adaptive.</t>
  </si>
  <si>
    <t>Allowed values: 0, 1, 2, 3, 4, 5, N/A.</t>
  </si>
  <si>
    <t>User score in each domain sheet.</t>
  </si>
  <si>
    <t>Raw maturity signal for all engines.</t>
  </si>
  <si>
    <t>Keep criteria visible to reduce subjective scoring.</t>
  </si>
  <si>
    <t>N/A handling</t>
  </si>
  <si>
    <t>N/A is used only when a question is genuinely irrelevant to the company. It is excluded from averages and weight totals.</t>
  </si>
  <si>
    <t>Applicable Weight = 0 if Score = N/A; otherwise Question Weight.</t>
  </si>
  <si>
    <t>Score cells.</t>
  </si>
  <si>
    <t>Fair domain averages without penalizing irrelevant areas.</t>
  </si>
  <si>
    <t>Quality Control should flag excessive N/A usage.</t>
  </si>
  <si>
    <t>Each question can have a weight. Critical questions have stronger impact on domain and horizontal metrics.</t>
  </si>
  <si>
    <t>Weighted Score = Score * Question Weight, excluding N/A.</t>
  </si>
  <si>
    <t>Score and Question Weight.</t>
  </si>
  <si>
    <t>Domain and subdomain weighted maturity.</t>
  </si>
  <si>
    <t>Use high weights only for material business impact.</t>
  </si>
  <si>
    <t>Domain score</t>
  </si>
  <si>
    <t>Domain score aggregates applicable question scores within one business area.</t>
  </si>
  <si>
    <t>Domain Score = SUM(Score * Weight) / SUM(Applicable Weight).</t>
  </si>
  <si>
    <t>Scores and weights in a domain.</t>
  </si>
  <si>
    <t>Process view by business area.</t>
  </si>
  <si>
    <t>Weighted average is preferred when critical questions differ in importance.</t>
  </si>
  <si>
    <t>Normalized score</t>
  </si>
  <si>
    <t>The workbook converts 0-5 values into 0-100 values for dashboards and management interpretation.</t>
  </si>
  <si>
    <t>Normalized Score = Score / 5 * 100.</t>
  </si>
  <si>
    <t>Raw or confidence-adjusted score.</t>
  </si>
  <si>
    <t>Comparable 0-100 maturity, digitalization and resilience indicators.</t>
  </si>
  <si>
    <t>Visible input remains 0-5 for easier interviews.</t>
  </si>
  <si>
    <t>5. Improved scoring</t>
  </si>
  <si>
    <t>Evidence confidence reflects how well the answer is supported by documentation, reports, system screenshots, audit records, contracts, KPI dashboards or incident logs.</t>
  </si>
  <si>
    <t>Evidence Factor is looked up from _TECH_Scoring_Settings.</t>
  </si>
  <si>
    <t>Evidence confidence dropdown.</t>
  </si>
  <si>
    <t>Confidence-adjusted score.</t>
  </si>
  <si>
    <t>Use Low when the answer is opinion-based and High when evidence exists.</t>
  </si>
  <si>
    <t>Assessor confidence reflects how confident the assessor is in the response. It separates verified facts from assumptions.</t>
  </si>
  <si>
    <t>Assessor Factor is looked up from _TECH_Scoring_Settings.</t>
  </si>
  <si>
    <t>Assessor confidence dropdown.</t>
  </si>
  <si>
    <t>Confidence-adjusted score and Quality Control flags.</t>
  </si>
  <si>
    <t>Low confidence should trigger follow-up evidence requests.</t>
  </si>
  <si>
    <t>The improved score reduces inflated maturity when evidence or assessor confidence is weak. It does not overwrite the original score; it adds a stricter interpretation layer.</t>
  </si>
  <si>
    <t>Confidence Adjusted Score = Raw Score * Evidence Factor * Assessor Factor.</t>
  </si>
  <si>
    <t>Raw score, evidence factor, assessor factor.</t>
  </si>
  <si>
    <t>More conservative maturity and risk logic.</t>
  </si>
  <si>
    <t>Use this layer for decision confidence.</t>
  </si>
  <si>
    <t>Each industry has expected target maturity by domain. A score can be acceptable in one industry and insufficient in another.</t>
  </si>
  <si>
    <t>Gap = MAX(0, Industry Target Maturity - Confidence Adjusted Score).</t>
  </si>
  <si>
    <t>Selected industry, domain, confidence-adjusted score.</t>
  </si>
  <si>
    <t>Industry-adjusted gap and priority.</t>
  </si>
  <si>
    <t>Targets are maintained in _TECH_Industry_Templates.</t>
  </si>
  <si>
    <t>Industry templates define how critical each domain is for a given industry. This multiplier increases priority for gaps in business-critical areas.</t>
  </si>
  <si>
    <t>Industry Adjusted Gap Priority = Gap * Industry Criticality Multiplier.</t>
  </si>
  <si>
    <t>Industry template, domain, gap.</t>
  </si>
  <si>
    <t>Priority ranking for risks, recommendations and initiatives.</t>
  </si>
  <si>
    <t>Criticality defines business impact of immaturity, not maturity itself.</t>
  </si>
  <si>
    <t>Each question can contribute to Digitalization, Resilience and Process Maturity. Relevance weights define contribution strength.</t>
  </si>
  <si>
    <t>Metric Score = SUM(Question Score * Metric Relevance Weight) / SUM(Metric Relevance Weight).</t>
  </si>
  <si>
    <t>Question scores and metric relevance weights.</t>
  </si>
  <si>
    <t>Three cross-area indicators independent from domain structure.</t>
  </si>
  <si>
    <t>Review weights when adding questions.</t>
  </si>
  <si>
    <t>6. Industry templates</t>
  </si>
  <si>
    <t>Industry template purpose</t>
  </si>
  <si>
    <t>Industry templates adjust interpretation without changing the core questionnaire. The same question can matter differently in SaaS, manufacturing, retail, logistics, healthcare, energy, public sector or professional services.</t>
  </si>
  <si>
    <t>One common questionnaire + industry-specific interpretation layer.</t>
  </si>
  <si>
    <t>Selected industry in Company Profile.</t>
  </si>
  <si>
    <t>Adjusted targets, risk multipliers, strategy fit and initiative priority.</t>
  </si>
  <si>
    <t>Avoid separate questionnaires unless a deep-dive module is needed.</t>
  </si>
  <si>
    <t>Domain weights</t>
  </si>
  <si>
    <t>Domain weights define which business areas matter more by industry. Manufacturing increases production, supply chain and safety weight; SaaS increases cloud, cyber and data weight.</t>
  </si>
  <si>
    <t>Weighted Industry Score = Domain Score * Industry Domain Weight.</t>
  </si>
  <si>
    <t>Industry template and domain score.</t>
  </si>
  <si>
    <t>Industry-adjusted dashboard and risk interpretation.</t>
  </si>
  <si>
    <t>Weights should be calibrated during pilots.</t>
  </si>
  <si>
    <t>Critical systems by industry</t>
  </si>
  <si>
    <t>Industry templates define expected critical systems. SaaS may require cloud platform, CI/CD, monitoring, identity and billing. Manufacturing may require ERP, MES, WMS, SCADA and quality systems.</t>
  </si>
  <si>
    <t>Critical system relevance modifies IT, cyber, data, supply chain and operational risk interpretation.</t>
  </si>
  <si>
    <t>Industry template and Company Profile systems fields.</t>
  </si>
  <si>
    <t>System-specific risk and initiative relevance.</t>
  </si>
  <si>
    <t>Update profile lists and standards mapping when adding system types.</t>
  </si>
  <si>
    <t>Some controls are non-negotiable by industry. Examples: MFA and backup testing for SaaS; safety procedures and MES/ERP continuity for manufacturing; POS and payment continuity for retail.</t>
  </si>
  <si>
    <t>If red-line control maturity is below threshold, flag critical regardless of average score.</t>
  </si>
  <si>
    <t>Industry template and relevant question scores.</t>
  </si>
  <si>
    <t>Critical warnings and high-priority recommendations.</t>
  </si>
  <si>
    <t>Keep red-line controls limited to essential capabilities.</t>
  </si>
  <si>
    <t>7. Crisis simulator</t>
  </si>
  <si>
    <t>Scenario selection</t>
  </si>
  <si>
    <t>The Crisis Simulator lets users select a crisis scenario and severity. This modifies risk exposure, strategy package ranking and initiative priorities.</t>
  </si>
  <si>
    <t>Scenario Adjusted Exposure = Base Exposure * Crisis Multiplier * Severity Factor * Industry Sensitivity.</t>
  </si>
  <si>
    <t>Selected crisis scenario, severity, crisis multipliers, industry template.</t>
  </si>
  <si>
    <t>Scenario-adjusted risks, strategy packages, recommendations and heatmaps.</t>
  </si>
  <si>
    <t>Severity should not overpower base maturity logic at low values.</t>
  </si>
  <si>
    <t>Crisis scenario types</t>
  </si>
  <si>
    <t>Typical scenarios include economic downturn, war or geopolitical escalation, pandemic or workforce crisis, cyberattack, supply chain disruption, physical infrastructure disruption, energy crisis, regulatory shock, key customer loss and natural disaster.</t>
  </si>
  <si>
    <t>Each scenario has different domain multipliers.</t>
  </si>
  <si>
    <t>_TECH_Crisis_Model, Company Profile, selected scenario.</t>
  </si>
  <si>
    <t>Domain exposure ranking under the selected crisis.</t>
  </si>
  <si>
    <t>Add scenarios only if they change recommendations.</t>
  </si>
  <si>
    <t>Domain crisis exposure</t>
  </si>
  <si>
    <t>Each domain receives a scenario-specific exposure score. Cyberattack increases IT, cyber, data and legal exposure. Energy crisis increases manufacturing, operations, facilities and IT continuity exposure.</t>
  </si>
  <si>
    <t>Domain Exposure = Domain Base Exposure * Scenario Domain Multiplier * Severity Factor.</t>
  </si>
  <si>
    <t>Domain, scenario, severity.</t>
  </si>
  <si>
    <t>Heatmaps and strategy score adjustments.</t>
  </si>
  <si>
    <t>Use Heatmaps to validate exposure patterns.</t>
  </si>
  <si>
    <t>8. Risk engine</t>
  </si>
  <si>
    <t>Risk library</t>
  </si>
  <si>
    <t>Risk Library maps question-level immaturity to risk events, drivers, affected domains, categories and treatment actions.</t>
  </si>
  <si>
    <t>Question ID links each answer to risk statements and treatment logic.</t>
  </si>
  <si>
    <t>Question scores, Risk Library, industry template, crisis scenario.</t>
  </si>
  <si>
    <t>Risk Summary and risk heatmaps.</t>
  </si>
  <si>
    <t>Keep risk statements management-readable.</t>
  </si>
  <si>
    <t>Control weakness</t>
  </si>
  <si>
    <t>Control weakness is derived from low maturity. A low score means controls are weak and risk probability or impact increases.</t>
  </si>
  <si>
    <t>Control Weakness = 1 - (Confidence Adjusted Score / 5).</t>
  </si>
  <si>
    <t>Risk score multiplier.</t>
  </si>
  <si>
    <t>This is a proxy model, not actuarial prediction.</t>
  </si>
  <si>
    <t>Risks are ranked using maturity weakness, likelihood, impact, industry criticality and crisis adjustment.</t>
  </si>
  <si>
    <t>Risk Score = Likelihood * Impact * Control Weakness * Industry Criticality * Crisis Multiplier * Severity Factor.</t>
  </si>
  <si>
    <t>Risk library, score, crisis, industry template.</t>
  </si>
  <si>
    <t>Ranked active risks.</t>
  </si>
  <si>
    <t>Exact sheet formula may vary, but this is the conceptual model.</t>
  </si>
  <si>
    <t>Each risk has a treatment logic: reduce, avoid, transfer, accept or monitor. Recommendations and initiatives should reduce probability, impact or recovery difficulty.</t>
  </si>
  <si>
    <t>Risk Treatment = linked mitigation action from Risk Library and Initiative Library.</t>
  </si>
  <si>
    <t>Risk event, score, strategy package, initiative library.</t>
  </si>
  <si>
    <t>Mitigation recommendations and roadmap candidates.</t>
  </si>
  <si>
    <t>Avoid expensive initiatives for low-impact risks unless they solve multiple issues.</t>
  </si>
  <si>
    <t>9. Recommendation engine</t>
  </si>
  <si>
    <t>Recommendation matrix</t>
  </si>
  <si>
    <t>Recommendation Matrix stores next-level actions for each question and score. If a company scores 3, the recommendation describes what is needed to reach level 4.</t>
  </si>
  <si>
    <t>Recommendation = LOOKUP(Question ID, Current Score).</t>
  </si>
  <si>
    <t>Question ID and current score.</t>
  </si>
  <si>
    <t>Executive Recommendations.</t>
  </si>
  <si>
    <t>Keep score-specific recommendations concise and action-oriented.</t>
  </si>
  <si>
    <t>Executive recommendations</t>
  </si>
  <si>
    <t>Executive Recommendations filters and ranks question-level recommendations using gap, risk, complexity, industry criticality and crisis adjustment.</t>
  </si>
  <si>
    <t>Priority = function(Gap, Risk Reduction, Business Value, Time Criticality, Industry Criticality, Crisis Multiplier).</t>
  </si>
  <si>
    <t>Assessment scores, recommendation matrix, risk summary, strategy logic.</t>
  </si>
  <si>
    <t>Ranked actions.</t>
  </si>
  <si>
    <t>Use as input for initiative and strategy package clustering.</t>
  </si>
  <si>
    <t>10. Strategy packages</t>
  </si>
  <si>
    <t>Why strategy packages exist</t>
  </si>
  <si>
    <t>Detailed recommendations can be too granular for executives. Strategy packages group related initiatives into management-level themes.</t>
  </si>
  <si>
    <t>Strategy Package = cluster of initiatives + related risks + industry/crisis fit.</t>
  </si>
  <si>
    <t>Executive Recommendations, Risk Summary, Initiative Library, Strategy Package Library.</t>
  </si>
  <si>
    <t>Executive Strategy Packages.</t>
  </si>
  <si>
    <t>Use strategy packages as client-facing language.</t>
  </si>
  <si>
    <t>Template package library</t>
  </si>
  <si>
    <t>_TECH_Strategy_Packages stores reusable strategy packages. Each package defines target domains, typical initiatives, industries, crisis fit, owner, complexity, wave and KPIs.</t>
  </si>
  <si>
    <t>Package Score = Industry Fit + Crisis Fit + Revenue Model Fit + Risk Fit + Initiative Support.</t>
  </si>
  <si>
    <t>Industry, revenue model, crisis, active risks, initiatives.</t>
  </si>
  <si>
    <t>Ranked strategy packages.</t>
  </si>
  <si>
    <t>Add a new package only for coherent executive themes.</t>
  </si>
  <si>
    <t>Strategy package examples</t>
  </si>
  <si>
    <t>Examples include Business Continuity and Crisis Response, Cloud and Infrastructure Resilience, Workforce Resilience, Supply Chain and Delivery Resilience, Data and BI Foundation, CRM and Revenue Protection, Cybersecurity Baseline, Manufacturing Continuity and Safety.</t>
  </si>
  <si>
    <t>Each package bundles several initiatives and related risks.</t>
  </si>
  <si>
    <t>_TECH_Strategy_Packages.</t>
  </si>
  <si>
    <t>Executive action themes.</t>
  </si>
  <si>
    <t>Keep package names stable because dashboards may reference them.</t>
  </si>
  <si>
    <t>11. Initiative library</t>
  </si>
  <si>
    <t>Initiative library purpose</t>
  </si>
  <si>
    <t>The initiative library turns granular recommendations into structured actions with owner, complexity, timeline, related risks, crisis scenarios, expected impact and KPIs.</t>
  </si>
  <si>
    <t>Initiative eligibility depends on active recommendations, active risks, selected strategies and crisis scenario.</t>
  </si>
  <si>
    <t>_TECH_Initiative_Library, Executive Recommendations, Risk Summary, Strategy Packages.</t>
  </si>
  <si>
    <t>Initiatives Roadmap and Gantt Roadmap.</t>
  </si>
  <si>
    <t>Use initiatives as the practical implementation unit.</t>
  </si>
  <si>
    <t>Initiative linkage</t>
  </si>
  <si>
    <t>Each initiative links to domains, subdomains, risks, questions, crisis scenarios and strategy packages. One initiative can address multiple weak points.</t>
  </si>
  <si>
    <t>Initiative Support Score = weighted count of related active risks and recommendations.</t>
  </si>
  <si>
    <t>Question IDs, risk categories, strategy package tags.</t>
  </si>
  <si>
    <t>Reduced duplication and better executive grouping.</t>
  </si>
  <si>
    <t>Maintain links carefully when adding or renaming questions.</t>
  </si>
  <si>
    <t>WSJF prioritization</t>
  </si>
  <si>
    <t>WSJF ranks initiatives by comparing cost of delay with implementation complexity.</t>
  </si>
  <si>
    <t>WSJF = (Business Value + Time Criticality + Risk Reduction + Opportunity Enablement) / Job Size.</t>
  </si>
  <si>
    <t>Initiative attributes, risk score, crisis multiplier, industry criticality.</t>
  </si>
  <si>
    <t>Ranked initiatives and roadmap waves.</t>
  </si>
  <si>
    <t>Job Size means complexity, not only cost.</t>
  </si>
  <si>
    <t>Initiatives are grouped into 0-90 days, 3-6 months, 6-12 months and 12+ months based on urgency, WSJF, dependencies and complexity.</t>
  </si>
  <si>
    <t>Wave = function(WSJF rank, complexity, dependency, crisis urgency).</t>
  </si>
  <si>
    <t>Initiative rank, complexity, dependency, status.</t>
  </si>
  <si>
    <t>Avoid overloading the first wave.</t>
  </si>
  <si>
    <t>12. Gantt roadmap</t>
  </si>
  <si>
    <t>Gantt purpose</t>
  </si>
  <si>
    <t>Gantt Roadmap converts prioritized initiatives into a month-level implementation plan with owner, dependencies, duration, capacity load and overload warnings.</t>
  </si>
  <si>
    <t>Gantt Bar = active from Start Month to End Month.</t>
  </si>
  <si>
    <t>Initiatives Roadmap, duration, start month, owner, dependencies.</t>
  </si>
  <si>
    <t>Visual implementation calendar.</t>
  </si>
  <si>
    <t>Use for planning and capacity discussion.</t>
  </si>
  <si>
    <t>The roadmap includes monthly capacity load so the organization does not launch too many initiatives at once.</t>
  </si>
  <si>
    <t>Monthly Capacity Load = SUM(Job Size or effort of initiatives active in the month).</t>
  </si>
  <si>
    <t>Active initiatives, duration, job size.</t>
  </si>
  <si>
    <t>Overload indicator and realistic sequencing.</t>
  </si>
  <si>
    <t>Calibrate capacity threshold by company size and transformation capacity.</t>
  </si>
  <si>
    <t>Dependencies prevent unrealistic sequencing. Example: data governance should often precede advanced BI; system inventory should precede DR planning.</t>
  </si>
  <si>
    <t>Dependent initiative should start after prerequisite initiative reaches planned stage.</t>
  </si>
  <si>
    <t>Dependency field in roadmap.</t>
  </si>
  <si>
    <t>Better sequencing and fewer conflicts.</t>
  </si>
  <si>
    <t>Dependencies should be reviewed manually by consultants.</t>
  </si>
  <si>
    <t>13. Heatmaps</t>
  </si>
  <si>
    <t>Heatmap purpose</t>
  </si>
  <si>
    <t>Heatmaps show patterns that are difficult to read in large tables: domain versus crisis, domain versus risk category, initiative timeline and capacity load.</t>
  </si>
  <si>
    <t>Heatmap color = normalized score or risk intensity.</t>
  </si>
  <si>
    <t>Risk scores, crisis exposure, domain scores, roadmap capacity.</t>
  </si>
  <si>
    <t>Visual risk and priority interpretation.</t>
  </si>
  <si>
    <t>Use heatmaps in executive workshops.</t>
  </si>
  <si>
    <t>Domain versus crisis heatmap</t>
  </si>
  <si>
    <t>This heatmap shows which domains are most exposed under each crisis scenario.</t>
  </si>
  <si>
    <t>Cell value = domain exposure under scenario.</t>
  </si>
  <si>
    <t>_TECH_Crisis_Model, industry template, severity.</t>
  </si>
  <si>
    <t>Scenario comparison view.</t>
  </si>
  <si>
    <t>Adjust multipliers if patterns are counterintuitive.</t>
  </si>
  <si>
    <t>Domain versus risk category heatmap</t>
  </si>
  <si>
    <t>This heatmap shows where active risks concentrate by domain and category.</t>
  </si>
  <si>
    <t>Cell value = aggregated active risk score for domain and risk category.</t>
  </si>
  <si>
    <t>Risk Summary.</t>
  </si>
  <si>
    <t>Risk concentration map.</t>
  </si>
  <si>
    <t>Use it to identify cross-functional risks.</t>
  </si>
  <si>
    <t>14. Standards mapping</t>
  </si>
  <si>
    <t>Standards per question</t>
  </si>
  <si>
    <t>Standards per Question maps every question to standards, frameworks, evidence expectations and crisis tags. It provides methodological traceability.</t>
  </si>
  <si>
    <t>Question ID -&gt; standard/framework -&gt; evidence -&gt; score criteria.</t>
  </si>
  <si>
    <t>Question bank and standards mapping.</t>
  </si>
  <si>
    <t>Traceability and assessor guidance.</t>
  </si>
  <si>
    <t>Always update this sheet when adding questions.</t>
  </si>
  <si>
    <t>Typical frameworks</t>
  </si>
  <si>
    <t>The workbook references ISO 9001, ISO 22301, ISO 31000, ISO/IEC 27001, ISO 45001, ISO 37301, NIST CSF, NIST SP 800-34, COBIT, ITIL, DAMA-DMBOK, SCOR, COSO and management best practices.</t>
  </si>
  <si>
    <t>Frameworks are reference sources, not compliance claims.</t>
  </si>
  <si>
    <t>Standards Map and Standards per Question.</t>
  </si>
  <si>
    <t>Credible methodology foundation.</t>
  </si>
  <si>
    <t>Do not state that assessment equals certification.</t>
  </si>
  <si>
    <t>15. Quality control</t>
  </si>
  <si>
    <t>Quality Control purpose</t>
  </si>
  <si>
    <t>Quality Control checks missing scores, invalid scores, missing comments for high-risk items, missing owners, missing statuses and recommendation gaps.</t>
  </si>
  <si>
    <t>QC Flag = TRUE if a required condition is missing or inconsistent.</t>
  </si>
  <si>
    <t>Visible and technical tabs.</t>
  </si>
  <si>
    <t>Assessment completeness and reliability score.</t>
  </si>
  <si>
    <t>Run Quality Control before sharing outputs.</t>
  </si>
  <si>
    <t>Confidence and evidence checks</t>
  </si>
  <si>
    <t>Low confidence or missing evidence should reduce score confidence and trigger follow-up.</t>
  </si>
  <si>
    <t>If Evidence Confidence = Low or blank, flag for review.</t>
  </si>
  <si>
    <t>Evidence and confidence fields.</t>
  </si>
  <si>
    <t>Follow-up action list.</t>
  </si>
  <si>
    <t>This prevents inflated maturity based only on verbal claims.</t>
  </si>
  <si>
    <t>Formula health</t>
  </si>
  <si>
    <t>After structural changes, scan for formula error tokens.</t>
  </si>
  <si>
    <t>Search for #REF!, #DIV/0!, #VALUE!, #NAME?, #N/A.</t>
  </si>
  <si>
    <t>Workbook formulas.</t>
  </si>
  <si>
    <t>Reduced risk of broken logic.</t>
  </si>
  <si>
    <t>Client-facing tabs should not show visible formula errors.</t>
  </si>
  <si>
    <t>16. Dashboards</t>
  </si>
  <si>
    <t>Dashboard purpose</t>
  </si>
  <si>
    <t>Dashboard provides the executive view: scores, selected crisis, top risks, strategy packages, initiatives, roadmap signals and heatmaps.</t>
  </si>
  <si>
    <t>Dashboard reads from scoring, risk, strategy, initiative and crisis outputs.</t>
  </si>
  <si>
    <t>All model outputs.</t>
  </si>
  <si>
    <t>One-screen management summary.</t>
  </si>
  <si>
    <t>Keep dashboard simple; detailed logic belongs here and in technical tabs.</t>
  </si>
  <si>
    <t>Spider dashboards</t>
  </si>
  <si>
    <t>Spider charts show domain and subdomain maturity patterns. They help compare uneven capability levels across business areas.</t>
  </si>
  <si>
    <t>Radar values = domain or subdomain average scores.</t>
  </si>
  <si>
    <t>Domain scores and subdomain summaries.</t>
  </si>
  <si>
    <t>Visual maturity profile.</t>
  </si>
  <si>
    <t>Use radar charts for patterns, not exact numeric comparison.</t>
  </si>
  <si>
    <t>Executive output philosophy</t>
  </si>
  <si>
    <t>The workbook should move from detailed answers to executive conclusions: top risks, strategy packages, initiatives, owners and timeline.</t>
  </si>
  <si>
    <t>Question detail -&gt; risk/recommendation -&gt; initiative -&gt; strategy package -&gt; roadmap.</t>
  </si>
  <si>
    <t>All assessment inputs.</t>
  </si>
  <si>
    <t>Management-ready decision support.</t>
  </si>
  <si>
    <t>Do not overwhelm executives with all question-level findings.</t>
  </si>
  <si>
    <t>17. Maintenance rules</t>
  </si>
  <si>
    <t>Adding a new question</t>
  </si>
  <si>
    <t>A new question must be added consistently across the domain sheet, Recommendation Matrix, Risk Library, Standards per Question and, where relevant, Initiative Library and Strategy Packages.</t>
  </si>
  <si>
    <t>New Question ID must be unique and mapped everywhere.</t>
  </si>
  <si>
    <t>Question bank and technical libraries.</t>
  </si>
  <si>
    <t>Complete end-to-end model behavior.</t>
  </si>
  <si>
    <t>Use a change log if productized.</t>
  </si>
  <si>
    <t>Adding a new industry template</t>
  </si>
  <si>
    <t>A new industry template must define domain weights, targets, criticality multipliers, crisis sensitivities, critical systems, red-line controls and preferred strategies.</t>
  </si>
  <si>
    <t>Industry Template = set of interpretation parameters.</t>
  </si>
  <si>
    <t>_TECH_Industry_Templates and _TECH_Industry_Strategy_Fit.</t>
  </si>
  <si>
    <t>Industry-specific scoring and recommendations.</t>
  </si>
  <si>
    <t>Pilot new templates with real company profiles.</t>
  </si>
  <si>
    <t>Adding a new crisis scenario</t>
  </si>
  <si>
    <t>A new crisis scenario must define affected domains, crisis multipliers, triggered risks, relevant strategy packages and initiative priority effects.</t>
  </si>
  <si>
    <t>Scenario = domain multipliers + risk triggers + strategy/initiative modifiers.</t>
  </si>
  <si>
    <t>_TECH_Crisis_Model, Risk Library, Strategy Packages, Initiative Library.</t>
  </si>
  <si>
    <t>Scenario-specific simulation output.</t>
  </si>
  <si>
    <t>Do not add a scenario that does not change priorities.</t>
  </si>
  <si>
    <t>Adding a new strategy package</t>
  </si>
  <si>
    <t>A strategy package should represent a coherent bundle of initiatives and not a minor recommendation. It must include target domains, risks, industry fit, crisis fit, owner, wave and KPIs.</t>
  </si>
  <si>
    <t>Package score uses industry, revenue model, crisis, risk and initiative fit.</t>
  </si>
  <si>
    <t>Keep the number of packages manageable.</t>
  </si>
  <si>
    <t>Adding a new initiative</t>
  </si>
  <si>
    <t>A new initiative should include domains, risks, questions, strategy package, owner, complexity, duration, dependencies, KPIs and expected impact on maturity, digitalization and resilience.</t>
  </si>
  <si>
    <t>Initiative WSJF requires Business Value, Time Criticality, Risk Reduction, Opportunity Enablement and Job Size.</t>
  </si>
  <si>
    <t>_TECH_Initiative_Library.</t>
  </si>
  <si>
    <t>Roadmap and Gantt updates.</t>
  </si>
  <si>
    <t>Avoid duplicate initiatives solving the same problem.</t>
  </si>
  <si>
    <t>18. Interpretation</t>
  </si>
  <si>
    <t>Low scores</t>
  </si>
  <si>
    <t>Low scores indicate immature or weakly controlled capabilities. They increase crisis risk but do not automatically mean operational failure.</t>
  </si>
  <si>
    <t>Low Score -&gt; Gap -&gt; Risk -&gt; Recommendation -&gt; Initiative.</t>
  </si>
  <si>
    <t>Score, target, criticality.</t>
  </si>
  <si>
    <t>Prioritized improvement path.</t>
  </si>
  <si>
    <t>Interpret low scores in company context.</t>
  </si>
  <si>
    <t>High scores</t>
  </si>
  <si>
    <t>High scores indicate mature, measured, digitalized or resilient capabilities, but they should be trusted only when evidence and confidence are strong.</t>
  </si>
  <si>
    <t>High Score + Low Evidence Confidence = validation issue.</t>
  </si>
  <si>
    <t>Score and evidence confidence.</t>
  </si>
  <si>
    <t>Reliable strengths or validation gaps.</t>
  </si>
  <si>
    <t>Evidence quality matters as much as score.</t>
  </si>
  <si>
    <t>Crisis outputs</t>
  </si>
  <si>
    <t>Crisis outputs show how current weaknesses become more dangerous under selected disruption. They are scenario-based decision aids, not predictions.</t>
  </si>
  <si>
    <t>Crisis Output = current maturity + scenario multiplier + industry sensitivity + severity.</t>
  </si>
  <si>
    <t>Selected crisis, company profile, assessment scores.</t>
  </si>
  <si>
    <t>Adjusted risk and priority view.</t>
  </si>
  <si>
    <t>Use for preparedness discussions.</t>
  </si>
  <si>
    <t>Strategy packages</t>
  </si>
  <si>
    <t>In this workbook, a strategy is an executive-level package of initiatives that addresses key risks and maturity gaps.</t>
  </si>
  <si>
    <t>Strategy Package = prioritized initiative cluster.</t>
  </si>
  <si>
    <t>Risks, recommendations, industry fit, crisis fit.</t>
  </si>
  <si>
    <t>Executive action theme.</t>
  </si>
  <si>
    <t>This aligns strategy with practical implementation.</t>
  </si>
  <si>
    <t>19. Scope limits</t>
  </si>
  <si>
    <t>What the workbook does not do</t>
  </si>
  <si>
    <t>The workbook does not provide formal certification, legal advice, penetration testing, financial valuation, automated LLM reporting or guaranteed crisis prediction.</t>
  </si>
  <si>
    <t>Outputs require human review.</t>
  </si>
  <si>
    <t>Assessment data.</t>
  </si>
  <si>
    <t>Prioritized management insight.</t>
  </si>
  <si>
    <t>Use qualified experts for specialized assurance.</t>
  </si>
  <si>
    <t>Financial and LLM scope</t>
  </si>
  <si>
    <t>Financial business case and LLM-generated reports are intentionally outside this version to keep the workbook focused and maintainable.</t>
  </si>
  <si>
    <t>No ROI, NPV, Monte Carlo or LLM calculation layer is required in this version.</t>
  </si>
  <si>
    <t>N/A.</t>
  </si>
  <si>
    <t>Cleaner crisis resilience assessment model.</t>
  </si>
  <si>
    <t>These modules can be separate future extensions.</t>
  </si>
  <si>
    <t>20. Recommended use</t>
  </si>
  <si>
    <t>Consulting delivery model</t>
  </si>
  <si>
    <t>Use the workbook in workshops. First collect Company Profile, then complete assessment, validate evidence, simulate crisis scenarios and agree roadmap with leadership.</t>
  </si>
  <si>
    <t>Workshop -&gt; evidence validation -&gt; scenario simulation -&gt; roadmap agreement.</t>
  </si>
  <si>
    <t>Executives and functional owners.</t>
  </si>
  <si>
    <t>Actionable resilience roadmap.</t>
  </si>
  <si>
    <t>Do not ask one person to answer every domain alone.</t>
  </si>
  <si>
    <t>Executive review output</t>
  </si>
  <si>
    <t>The best executive output includes current maturity, digitalization, resilience, top risks, selected crisis impact, top strategy packages, top initiatives, first 90-day decisions and owners.</t>
  </si>
  <si>
    <t>Executive output should be based on calculated outputs, not manual opinion.</t>
  </si>
  <si>
    <t>Dashboard, Risk Summary, Executive Strategy Packages, Initiatives Roadmap, Gantt Roadmap.</t>
  </si>
  <si>
    <t>Management decision agenda.</t>
  </si>
  <si>
    <t>A future Executive Output tab could simplify this further.</t>
  </si>
  <si>
    <t>Pilot and calibration</t>
  </si>
  <si>
    <t>The first real assessments should calibrate weights, thresholds, red-line controls, industry templates and strategy package scoring.</t>
  </si>
  <si>
    <t>Calibration = compare model output with consultant judgment and client feedback.</t>
  </si>
  <si>
    <t>Pilot assessments.</t>
  </si>
  <si>
    <t>Improved reliability and usability.</t>
  </si>
  <si>
    <t>Do not overfit to one company.</t>
  </si>
  <si>
    <t>Cascade &amp; Nonlinear Resilience Engine — Methodology</t>
  </si>
  <si>
    <t>Step / component</t>
  </si>
  <si>
    <t>Formula / default</t>
  </si>
  <si>
    <t>Adds the two behaviours weighted averages cannot express: nonlinearity (a weak control or red-line drags the domain down) and cross-domain cascades (failure propagates through coupled domains and crisis scenarios). Non-destructive: reads existing scores; originals untouched.</t>
  </si>
  <si>
    <t>Inputs</t>
  </si>
  <si>
    <t>Base domain maturity from Dashboard!H5:H21; raw question scores from each domain tab (col H); concentration &amp; workforce bands from Company Profile; active scenario+severity from Crisis Simulator; crisis multipliers from _TECH_Crisis_Model.</t>
  </si>
  <si>
    <t>1. Weak-link maturity</t>
  </si>
  <si>
    <t>Blends the domain's weighted-average maturity with its single weakest answered control so one '1' is no longer hidden by many '5's.</t>
  </si>
  <si>
    <t>AdjMat = a*BaseMat + (1-a)*min(answered scores); a (alpha_weaklink) default 0.65</t>
  </si>
  <si>
    <t>2. Red-line gate</t>
  </si>
  <si>
    <t>Named non-negotiable controls (e.g. MFA, backups, restore tests, evacuation, liquidity, breach notification). If any sits below the threshold, the domain's maturity is capped regardless of other strengths.</t>
  </si>
  <si>
    <t>Gated = IF(min(red-line)&lt;threshold, MIN(AdjMat,cap), AdjMat); threshold=3, cap=2.0</t>
  </si>
  <si>
    <t>3. SPOF load</t>
  </si>
  <si>
    <t>Single-point-of-failure exposure from the profile. Supplier-driven domains use supplier concentration + substitutability; customer-facing use customer concentration; people/site domains use workforce concentration.</t>
  </si>
  <si>
    <t>SPOF = 1 + MIN(spof_cap, mapped factors); spof_cap=0.80 (so up to 1.8x)</t>
  </si>
  <si>
    <t>4. Own risk</t>
  </si>
  <si>
    <t>Converts gated maturity to risk and applies SPOF.</t>
  </si>
  <si>
    <t>OwnRisk = (5 - Gated); SPOFRisk = MIN(5, OwnRisk * SPOF)</t>
  </si>
  <si>
    <t>5. Cross-domain cascade</t>
  </si>
  <si>
    <t>Each domain receives inbound risk from every domain that depends on it, via the 17x17 coupling matrix. Diagonal is zero (no self-cascade).</t>
  </si>
  <si>
    <t>Cascade_j = beta * SUM_i( M[i-&gt;j] * SPOFRisk_i ); beta=0.35</t>
  </si>
  <si>
    <t>6. Effective risk</t>
  </si>
  <si>
    <t>Own risk plus cascade inflow, capped at 5. Levels: &gt;=4 Critical, &gt;=3 High, &gt;=2 Medium, &gt;=1 Low.</t>
  </si>
  <si>
    <t>EffRisk = MIN(5, SPOFRisk + Cascade)</t>
  </si>
  <si>
    <t>7. Scenario cascade</t>
  </si>
  <si>
    <t>The active crisis applies a per-domain direct multiplier (from _TECH_Crisis_Model) AND propagates that shock through the same matrix to neighbours. Severity scales the uplift but is bounded so it cannot overpower base maturity.</t>
  </si>
  <si>
    <t>Factor = MIN(scen_cap, 1 + (Sev/5)*((x-1) + gamma*chain)); gamma=0.50, scen_cap=2.0. Exposure = MIN(5, EffRisk*Factor)</t>
  </si>
  <si>
    <t>8. Org metrics</t>
  </si>
  <si>
    <t>Organisation resilience is itself weak-link aware: it blends average gated maturity with the weakest domain.</t>
  </si>
  <si>
    <t>OrgResilience = org_a*avg(Gated) + (1-org_a)*min(Gated); org_a=0.60</t>
  </si>
  <si>
    <t>Stress test</t>
  </si>
  <si>
    <t>Severity heatmap shows every domain across severity 1-5 (checks whether severity overpowers maturity). Beta and alpha sensitivity tables show how results move with the two key parameters.</t>
  </si>
  <si>
    <t>See 'Resilience Stress Test' sheet</t>
  </si>
  <si>
    <t>Calibration</t>
  </si>
  <si>
    <t>Defaults are expert-judgment starting points. Pilot against 1-2 real assessments, then tune the matrix and parameters. Keep red-line controls few and truly non-negotiable. Re-check after adding domains/questions.</t>
  </si>
  <si>
    <t>Edit _TECH_Dependency_Map (unhide it): matrix C4:S20, parameters B27:B34, lookup tables E/H/K cols</t>
  </si>
  <si>
    <t>Scope limits</t>
  </si>
  <si>
    <t>A transparent proxy model, not actuarial or probabilistic. No ROI/NPV/Monte Carlo. Coupling strengths are judgment-based. Outputs require human review and should support, not replace, expert discussion.</t>
  </si>
  <si>
    <t>Maintenance</t>
  </si>
  <si>
    <t>Adding a domain: insert a matrix row+column, extend Dashboard mapping and engine rows. Adding a red-line: add the control's cell to the engine staging block. Changing thresholds: edit the parameter panel only.</t>
  </si>
  <si>
    <t>Cross-Domain Dependency Matrix (EDITABLE)</t>
  </si>
  <si>
    <t>M[row source -&gt; col target] = fraction of the source domain's risk that propagates to the target. 0 = independent, 1 = full propagation. Diagonal = 0. Tune these to the client; pre-filled with defaults.</t>
  </si>
  <si>
    <t>Source \ Target</t>
  </si>
  <si>
    <t>Outbound (amplifier)</t>
  </si>
  <si>
    <t>Inbound (exposed)</t>
  </si>
  <si>
    <t>PARAMETERS (editable)</t>
  </si>
  <si>
    <t>LOOKUP TABLES (band -&gt; SPOF factor)</t>
  </si>
  <si>
    <t>Parameter</t>
  </si>
  <si>
    <t>alpha_weaklink</t>
  </si>
  <si>
    <t>Weak-link blend: effective maturity = a*avg + (1-a)*weakest control</t>
  </si>
  <si>
    <t>beta_cascade</t>
  </si>
  <si>
    <t>Cascade gain: inbound risk added = beta * sum(coupling * source risk)</t>
  </si>
  <si>
    <t>gamma_scenario</t>
  </si>
  <si>
    <t>Scenario chain gain on neighbours' direct hits</t>
  </si>
  <si>
    <t>redline_threshold</t>
  </si>
  <si>
    <t>If a red-line control scores BELOW this, the domain is gated</t>
  </si>
  <si>
    <t>redline_cap</t>
  </si>
  <si>
    <t>Maturity ceiling applied to a gated domain</t>
  </si>
  <si>
    <t>spof_cap</t>
  </si>
  <si>
    <t>Max extra single-point-of-failure factor (so SPOF mult &lt;= 1+cap)</t>
  </si>
  <si>
    <t>org_alpha</t>
  </si>
  <si>
    <t>Org resilience blend: a*avg(maturity) + (1-a)*weakest domain</t>
  </si>
  <si>
    <t>scen_factor_cap</t>
  </si>
  <si>
    <t>Max scenario uplift multiplier on effective risk</t>
  </si>
  <si>
    <t>Cascade Calculation Engine (do not edit – formula-driven)</t>
  </si>
  <si>
    <t>Reads existing domain scores via the Dashboard and domain tabs. Tune behaviour in _TECH_Dependency_Map.</t>
  </si>
  <si>
    <t>Adj maturity (weak-link)</t>
  </si>
  <si>
    <t>Red-line min</t>
  </si>
  <si>
    <t>Gated maturity</t>
  </si>
  <si>
    <t>SPOF risk</t>
  </si>
  <si>
    <t>Raw inbound</t>
  </si>
  <si>
    <t>Cascade risk +</t>
  </si>
  <si>
    <t>Eff risk(num)</t>
  </si>
  <si>
    <t>Eff risk</t>
  </si>
  <si>
    <t>Eff risk level</t>
  </si>
  <si>
    <t>Scen direct x</t>
  </si>
  <si>
    <t>Scen excess</t>
  </si>
  <si>
    <t>Scen raw inbound</t>
  </si>
  <si>
    <t>Scen factor</t>
  </si>
  <si>
    <t>Scen exp(num)</t>
  </si>
  <si>
    <t>Scen exposure</t>
  </si>
  <si>
    <t>Scen exp level</t>
  </si>
  <si>
    <t>Eff maturity</t>
  </si>
  <si>
    <t>Scen rank</t>
  </si>
  <si>
    <t>Org weak-link maturity avg</t>
  </si>
  <si>
    <t>Org weakest domain (min gated)</t>
  </si>
  <si>
    <t># Critical risk domains</t>
  </si>
  <si>
    <t># High risk domains</t>
  </si>
  <si>
    <t>Top exposed domain (scenario)</t>
  </si>
  <si>
    <t>Top amplifier (outbound)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</si>
</sst>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6" formatCode="0.0"/>
    <numFmt numFmtId="167" formatCode="0.000"/>
    <numFmt numFmtId="168" formatCode="0.0000"/>
  </numFmts>
  <fonts count="40">
    <font>
      <sz val="11"/>
      <name val="Carlito"/>
    </font>
    <font>
      <b/>
      <sz val="15"/>
      <color rgb="FFFFFFFF"/>
      <name val="Carlito"/>
    </font>
    <font>
      <i/>
      <sz val="10"/>
      <color rgb="FF1F2937"/>
      <name val="Carlito"/>
    </font>
    <font>
      <b/>
      <sz val="11"/>
      <color rgb="FFFFFFFF"/>
      <name val="Carlito"/>
    </font>
    <font>
      <b/>
      <sz val="10"/>
      <color rgb="FFFFFFFF"/>
      <name val="Carlito"/>
    </font>
    <font>
      <b/>
      <sz val="14"/>
      <color rgb="FFFFFFFF"/>
      <name val="Carlito"/>
    </font>
    <font>
      <b/>
      <sz val="11"/>
      <name val="Carlito"/>
    </font>
    <font>
      <b/>
      <sz val="16"/>
      <color rgb="FFFFFFFF"/>
      <name val="Carlito"/>
    </font>
    <font>
      <i/>
      <sz val="11"/>
      <color rgb="FF333333"/>
      <name val="Carlito"/>
    </font>
    <font>
      <b/>
      <sz val="16"/>
      <color rgb="FFFFFFFF"/>
      <name val="Carlito"/>
    </font>
    <font>
      <i/>
      <sz val="10"/>
      <color rgb="FF374151"/>
      <name val="Carlito"/>
    </font>
    <font>
      <b/>
      <sz val="11"/>
      <color rgb="FFFFFFFF"/>
      <name val="Carlito"/>
    </font>
    <font>
      <sz val="9"/>
      <name val="Carlito"/>
    </font>
    <font>
      <b/>
      <sz val="12"/>
      <color rgb="FF111827"/>
      <name val="Carlito"/>
    </font>
    <font>
      <b/>
      <sz val="14"/>
      <color rgb="FFFFFFFF"/>
      <name val="Carlito"/>
    </font>
    <font>
      <i/>
      <sz val="11"/>
      <color rgb="FF44546A"/>
      <name val="Carlito"/>
    </font>
    <font>
      <b/>
      <sz val="11"/>
      <name val="Carlito"/>
    </font>
    <font>
      <b/>
      <sz val="13"/>
      <color rgb="FFFFFFFF"/>
      <name val="Carlito"/>
    </font>
    <font>
      <b/>
      <sz val="16"/>
      <color rgb="FF1F4E78"/>
      <name val="Carlito"/>
    </font>
    <font>
      <sz val="10"/>
      <name val="Carlito"/>
    </font>
    <font>
      <b/>
      <sz val="11"/>
      <color rgb="FF1F4E78"/>
      <name val="Carlito"/>
    </font>
    <font>
      <b/>
      <sz val="12"/>
      <color rgb="FF1F4E78"/>
      <name val="Carlito"/>
    </font>
    <font>
      <i/>
      <sz val="9"/>
      <color rgb="FF666666"/>
      <name val="Carlito"/>
    </font>
    <font>
      <b/>
      <sz val="10"/>
      <name val="Carlito"/>
    </font>
    <font>
      <b/>
      <sz val="12"/>
      <color rgb="FFFFFFFF"/>
      <name val="Carlito"/>
    </font>
    <font>
      <b/>
      <sz val="11"/>
      <color rgb="FF1F2937"/>
      <name val="Carlito"/>
    </font>
    <font>
      <i/>
      <sz val="10"/>
      <color rgb="FF666666"/>
      <name val="Carlito"/>
    </font>
    <font>
      <b/>
      <sz val="14"/>
      <color rgb="FF1F3864"/>
      <name val="Carlito"/>
    </font>
    <font>
      <i/>
      <sz val="9"/>
      <color rgb="FF595959"/>
      <name val="Carlito"/>
    </font>
    <font>
      <b/>
      <sz val="9"/>
      <name val="Carlito"/>
    </font>
    <font>
      <b/>
      <sz val="8"/>
      <name val="Carlito"/>
    </font>
    <font>
      <b/>
      <sz val="10"/>
      <color rgb="FFFFFFFF"/>
      <name val="Carlito"/>
    </font>
    <font>
      <b/>
      <sz val="11"/>
      <color rgb="FF1F3864"/>
      <name val="Carlito"/>
    </font>
    <font>
      <b/>
      <sz val="11"/>
      <color rgb="FFC00000"/>
      <name val="Carlito"/>
    </font>
    <font>
      <sz val="9"/>
      <color rgb="FF1F3864"/>
      <name val="Carlito"/>
    </font>
    <font>
      <sz val="8"/>
      <name val="Carlito"/>
    </font>
    <font>
      <b/>
      <sz val="11"/>
      <color rgb="FF1F3864"/>
      <name val="Carlito"/>
    </font>
    <font>
      <b/>
      <sz val="18"/>
      <color rgb="FF1F3864"/>
      <name val="Carlito"/>
    </font>
    <font>
      <i/>
      <sz val="10"/>
      <color rgb="FF595959"/>
      <name val="Carlito"/>
    </font>
    <font>
      <b/>
      <sz val="12"/>
      <color rgb="FF1F3864"/>
      <name val="Carlito"/>
    </font>
  </fonts>
  <fills count="32">
    <fill>
      <patternFill patternType="none"/>
    </fill>
    <fill>
      <patternFill patternType="gray125"/>
    </fill>
    <fill>
      <patternFill patternType="solid">
        <fgColor rgb="FF17324D"/>
      </patternFill>
    </fill>
    <fill>
      <patternFill patternType="solid">
        <fgColor rgb="FFEAF2F8"/>
      </patternFill>
    </fill>
    <fill>
      <patternFill patternType="solid">
        <fgColor rgb="FF24577A"/>
      </patternFill>
    </fill>
    <fill>
      <patternFill patternType="solid">
        <fgColor rgb="FF0B1F33"/>
      </patternFill>
    </fill>
    <fill>
      <patternFill patternType="solid">
        <fgColor rgb="FF17324D"/>
      </patternFill>
    </fill>
    <fill>
      <patternFill patternType="solid">
        <fgColor rgb="FF0B1F33"/>
      </patternFill>
    </fill>
    <fill>
      <patternFill patternType="solid">
        <fgColor rgb="FF17365D"/>
      </patternFill>
    </fill>
    <fill>
      <patternFill patternType="solid">
        <fgColor rgb="FFEAF2F8"/>
      </patternFill>
    </fill>
    <fill>
      <patternFill patternType="solid">
        <fgColor rgb="FF1F4E78"/>
      </patternFill>
    </fill>
    <fill>
      <patternFill patternType="solid">
        <fgColor rgb="FFF3F6FA"/>
      </patternFill>
    </fill>
    <fill>
      <patternFill patternType="solid">
        <fgColor rgb="FF7F1D1D"/>
      </patternFill>
    </fill>
    <fill>
      <patternFill patternType="solid">
        <fgColor rgb="FFFFF7ED"/>
      </patternFill>
    </fill>
    <fill>
      <patternFill patternType="solid">
        <fgColor rgb="FF991B1B"/>
      </patternFill>
    </fill>
    <fill>
      <patternFill patternType="solid">
        <fgColor rgb="FFFEE2E2"/>
      </patternFill>
    </fill>
    <fill>
      <patternFill patternType="solid">
        <fgColor rgb="FFD9EAF7"/>
      </patternFill>
    </fill>
    <fill>
      <patternFill patternType="solid">
        <fgColor rgb="FFFFFDE7"/>
      </patternFill>
    </fill>
    <fill>
      <patternFill patternType="solid">
        <fgColor rgb="FFEAF3F8"/>
      </patternFill>
    </fill>
    <fill>
      <patternFill patternType="solid">
        <fgColor rgb="FFF8FBFD"/>
      </patternFill>
    </fill>
    <fill>
      <patternFill patternType="solid">
        <fgColor rgb="FFFFF2CC"/>
      </patternFill>
    </fill>
    <fill>
      <patternFill patternType="solid">
        <fgColor rgb="FFEEF5FB"/>
      </patternFill>
    </fill>
    <fill>
      <patternFill patternType="solid">
        <fgColor rgb="FFD9E1F2"/>
      </patternFill>
    </fill>
    <fill>
      <patternFill patternType="solid">
        <fgColor rgb="FF1F3864"/>
      </patternFill>
    </fill>
    <fill>
      <patternFill patternType="solid">
        <fgColor rgb="FF00B050"/>
      </patternFill>
    </fill>
    <fill>
      <patternFill patternType="solid">
        <fgColor rgb="FF548235"/>
      </patternFill>
    </fill>
    <fill>
      <patternFill patternType="solid">
        <fgColor rgb="FFED7D31"/>
      </patternFill>
    </fill>
    <fill>
      <patternFill patternType="solid">
        <fgColor rgb="FFBF8F00"/>
      </patternFill>
    </fill>
    <fill>
      <patternFill patternType="solid">
        <fgColor rgb="FF2E75B6"/>
      </patternFill>
    </fill>
    <fill>
      <patternFill patternType="solid">
        <fgColor rgb="FF808080"/>
      </patternFill>
    </fill>
    <fill>
      <patternFill patternType="solid">
        <fgColor rgb="FFFFE699"/>
      </patternFill>
    </fill>
    <fill>
      <patternFill patternType="solid">
        <fgColor rgb="FFF8CBAD"/>
      </patternFill>
    </fill>
  </fills>
  <borders count="14">
    <border>
      <left/>
      <right/>
      <top/>
      <bottom/>
      <diagonal/>
    </border>
    <border>
      <left/>
      <right/>
      <top/>
      <bottom/>
      <diagonal/>
    </border>
    <border>
      <left style="thin">
        <color rgb="FFE5E7EB"/>
      </left>
      <right style="thin">
        <color rgb="FFE5E7EB"/>
      </right>
      <top style="thin">
        <color rgb="FFE5E7EB"/>
      </top>
      <bottom style="thin">
        <color rgb="FFE5E7EB"/>
      </bottom>
      <diagonal/>
    </border>
    <border>
      <left style="thin">
        <color rgb="FFD9E2F3"/>
      </left>
      <right style="thin">
        <color rgb="FFD9E2F3"/>
      </right>
      <top style="thin">
        <color rgb="FFD9E2F3"/>
      </top>
      <bottom style="thin">
        <color rgb="FFD9E2F3"/>
      </bottom>
      <diagonal/>
    </border>
    <border>
      <left/>
      <right/>
      <top style="thin">
        <color rgb="FFD9E2F3"/>
      </top>
      <bottom/>
      <diagonal/>
    </border>
    <border>
      <left/>
      <right style="thin">
        <color rgb="FFD9E2F3"/>
      </right>
      <top style="thin">
        <color rgb="FFD9E2F3"/>
      </top>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BFBFBF"/>
      </left>
      <right style="thin">
        <color rgb="FFBFBFBF"/>
      </right>
      <top style="thin">
        <color rgb="FFBFBFBF"/>
      </top>
      <bottom style="thin">
        <color rgb="FFBFBFBF"/>
      </bottom>
      <diagonal/>
    </border>
  </borders>
  <cellStyleXfs count="1">
    <xf numFmtId="0" fontId="0" fillId="0" borderId="1"/>
  </cellStyleXfs>
  <cellXfs count="203">
    <xf numFmtId="0" fontId="0" fillId="0" borderId="0" xfId="0" applyBorder="1"/>
    <xf numFmtId="0" fontId="0" fillId="0" borderId="1" xfId="0"/>
    <xf numFmtId="0" fontId="1" fillId="2" borderId="1" xfId="0" applyFont="1" applyFill="1" applyAlignment="1">
      <alignment horizontal="left" vertical="center"/>
    </xf>
    <xf numFmtId="0" fontId="3" fillId="4" borderId="0" xfId="0" applyFont="1" applyFill="1" applyBorder="1" applyAlignment="1">
      <alignment horizontal="center"/>
    </xf>
    <xf numFmtId="0" fontId="3" fillId="4" borderId="0" xfId="0" applyFont="1" applyFill="1" applyBorder="1" applyAlignment="1">
      <alignment horizontal="center" wrapText="1"/>
    </xf>
    <xf numFmtId="0" fontId="0" fillId="0" borderId="0" xfId="0" applyBorder="1" applyAlignment="1">
      <alignment wrapText="1"/>
    </xf>
    <xf numFmtId="0" fontId="4" fillId="4" borderId="0" xfId="0" applyFont="1" applyFill="1" applyBorder="1" applyAlignment="1">
      <alignment horizontal="center" vertical="center" wrapText="1"/>
    </xf>
    <xf numFmtId="0" fontId="0" fillId="0" borderId="0" xfId="0" applyBorder="1" applyAlignment="1">
      <alignment vertical="top" wrapText="1"/>
    </xf>
    <xf numFmtId="2" fontId="0" fillId="0" borderId="0" xfId="0" applyNumberFormat="1" applyBorder="1" applyAlignment="1">
      <alignment vertical="top" wrapText="1"/>
    </xf>
    <xf numFmtId="9" fontId="0" fillId="0" borderId="0" xfId="0" applyNumberFormat="1" applyBorder="1" applyAlignment="1">
      <alignment wrapText="1"/>
    </xf>
    <xf numFmtId="2" fontId="0" fillId="0" borderId="0" xfId="0" applyNumberFormat="1" applyBorder="1" applyAlignment="1">
      <alignment wrapText="1"/>
    </xf>
    <xf numFmtId="2" fontId="0" fillId="0" borderId="0" xfId="0" applyNumberFormat="1" applyBorder="1"/>
    <xf numFmtId="0" fontId="3" fillId="6" borderId="0" xfId="0" applyFont="1" applyFill="1" applyBorder="1" applyAlignment="1">
      <alignment horizontal="center" vertical="center" wrapText="1"/>
    </xf>
    <xf numFmtId="0" fontId="0" fillId="0" borderId="0" xfId="0" applyBorder="1" applyAlignment="1">
      <alignment horizontal="center"/>
    </xf>
    <xf numFmtId="1" fontId="0" fillId="0" borderId="0" xfId="0" applyNumberFormat="1" applyBorder="1" applyAlignment="1">
      <alignment horizontal="center"/>
    </xf>
    <xf numFmtId="2" fontId="0" fillId="0" borderId="0" xfId="0" applyNumberFormat="1" applyBorder="1" applyAlignment="1">
      <alignment horizontal="center"/>
    </xf>
    <xf numFmtId="9" fontId="0" fillId="0" borderId="0" xfId="0" applyNumberFormat="1" applyBorder="1" applyAlignment="1">
      <alignment horizontal="center"/>
    </xf>
    <xf numFmtId="0" fontId="6" fillId="0" borderId="0" xfId="0" applyFont="1" applyBorder="1" applyAlignment="1">
      <alignment wrapText="1"/>
    </xf>
    <xf numFmtId="0" fontId="0" fillId="0" borderId="0" xfId="0" applyBorder="1" applyAlignment="1">
      <alignment vertical="center"/>
    </xf>
    <xf numFmtId="2" fontId="0" fillId="0" borderId="0" xfId="0" applyNumberFormat="1" applyBorder="1" applyAlignment="1">
      <alignment vertical="center"/>
    </xf>
    <xf numFmtId="0" fontId="0" fillId="0" borderId="0" xfId="0" applyBorder="1" applyAlignment="1">
      <alignment vertical="center" wrapText="1"/>
    </xf>
    <xf numFmtId="2" fontId="0" fillId="0" borderId="0" xfId="0" applyNumberFormat="1" applyBorder="1" applyAlignment="1">
      <alignment horizontal="center" vertical="center"/>
    </xf>
    <xf numFmtId="9" fontId="0" fillId="0" borderId="0" xfId="0" applyNumberFormat="1" applyBorder="1" applyAlignment="1">
      <alignment horizontal="center" vertical="center"/>
    </xf>
    <xf numFmtId="1" fontId="0" fillId="0" borderId="0" xfId="0" applyNumberFormat="1" applyBorder="1" applyAlignment="1">
      <alignment horizontal="center" vertical="center"/>
    </xf>
    <xf numFmtId="2" fontId="0" fillId="0" borderId="0" xfId="0" applyNumberFormat="1" applyBorder="1" applyAlignment="1">
      <alignment horizontal="center" vertical="center" wrapText="1"/>
    </xf>
    <xf numFmtId="9" fontId="0" fillId="0" borderId="0" xfId="0" applyNumberFormat="1" applyBorder="1" applyAlignment="1">
      <alignment horizontal="center" vertical="center" wrapText="1"/>
    </xf>
    <xf numFmtId="0" fontId="3" fillId="10" borderId="0" xfId="0" applyFont="1" applyFill="1" applyBorder="1" applyAlignment="1">
      <alignment horizontal="center" vertical="center" wrapText="1"/>
    </xf>
    <xf numFmtId="0" fontId="6" fillId="11" borderId="0" xfId="0" applyFont="1" applyFill="1" applyBorder="1" applyAlignment="1">
      <alignment horizontal="center" vertical="center"/>
    </xf>
    <xf numFmtId="1" fontId="0" fillId="0" borderId="0" xfId="0" applyNumberFormat="1" applyBorder="1" applyAlignment="1">
      <alignment vertical="top" wrapText="1"/>
    </xf>
    <xf numFmtId="164" fontId="0" fillId="0" borderId="0" xfId="0" applyNumberFormat="1" applyBorder="1" applyAlignment="1">
      <alignment vertical="top" wrapText="1"/>
    </xf>
    <xf numFmtId="0" fontId="6" fillId="9" borderId="0" xfId="0" applyFont="1" applyFill="1" applyBorder="1" applyAlignment="1">
      <alignment vertical="top" wrapText="1"/>
    </xf>
    <xf numFmtId="0" fontId="11" fillId="14" borderId="2" xfId="0" applyFont="1" applyFill="1" applyBorder="1" applyAlignment="1">
      <alignment vertical="top" wrapText="1"/>
    </xf>
    <xf numFmtId="0" fontId="12" fillId="13" borderId="2" xfId="0" applyFont="1" applyFill="1" applyBorder="1" applyAlignment="1">
      <alignment vertical="top" wrapText="1"/>
    </xf>
    <xf numFmtId="0" fontId="11" fillId="14" borderId="2" xfId="0" applyFont="1" applyFill="1" applyBorder="1" applyAlignment="1">
      <alignment horizontal="center" vertical="center" wrapText="1"/>
    </xf>
    <xf numFmtId="1" fontId="13" fillId="15" borderId="2" xfId="0" applyNumberFormat="1" applyFont="1" applyFill="1" applyBorder="1" applyAlignment="1">
      <alignment horizontal="center"/>
    </xf>
    <xf numFmtId="2" fontId="13" fillId="15" borderId="2" xfId="0" applyNumberFormat="1" applyFont="1" applyFill="1" applyBorder="1" applyAlignment="1">
      <alignment horizontal="center"/>
    </xf>
    <xf numFmtId="0" fontId="12" fillId="0" borderId="2" xfId="0" applyFont="1" applyBorder="1" applyAlignment="1">
      <alignment vertical="top" wrapText="1"/>
    </xf>
    <xf numFmtId="1" fontId="12" fillId="0" borderId="2" xfId="0" applyNumberFormat="1" applyFont="1" applyBorder="1" applyAlignment="1">
      <alignment vertical="top" wrapText="1"/>
    </xf>
    <xf numFmtId="2" fontId="12" fillId="0" borderId="2" xfId="0" applyNumberFormat="1" applyFont="1" applyBorder="1" applyAlignment="1">
      <alignment vertical="top" wrapText="1"/>
    </xf>
    <xf numFmtId="0" fontId="12" fillId="14" borderId="2" xfId="0" applyFont="1" applyFill="1" applyBorder="1" applyAlignment="1">
      <alignment vertical="top" wrapText="1"/>
    </xf>
    <xf numFmtId="0" fontId="16" fillId="16" borderId="3" xfId="0" applyFont="1" applyFill="1" applyBorder="1"/>
    <xf numFmtId="0" fontId="0" fillId="17" borderId="3" xfId="0" applyFill="1" applyBorder="1"/>
    <xf numFmtId="0" fontId="0" fillId="0" borderId="3" xfId="0" applyBorder="1" applyAlignment="1">
      <alignment wrapText="1"/>
    </xf>
    <xf numFmtId="0" fontId="16" fillId="16" borderId="0" xfId="0" applyFont="1" applyFill="1" applyBorder="1" applyAlignment="1">
      <alignment vertical="top" wrapText="1"/>
    </xf>
    <xf numFmtId="0" fontId="0" fillId="17" borderId="0" xfId="0" applyFill="1" applyBorder="1" applyAlignment="1">
      <alignment vertical="top" wrapText="1"/>
    </xf>
    <xf numFmtId="0" fontId="16" fillId="16" borderId="3" xfId="0" applyFont="1" applyFill="1" applyBorder="1" applyAlignment="1">
      <alignment vertical="top" wrapText="1"/>
    </xf>
    <xf numFmtId="0" fontId="0" fillId="17" borderId="3" xfId="0" applyFill="1" applyBorder="1" applyAlignment="1">
      <alignment vertical="top" wrapText="1"/>
    </xf>
    <xf numFmtId="0" fontId="11" fillId="10" borderId="3" xfId="0" applyFont="1" applyFill="1" applyBorder="1" applyAlignment="1">
      <alignment horizontal="center" vertical="top" wrapText="1"/>
    </xf>
    <xf numFmtId="0" fontId="0" fillId="0" borderId="3" xfId="0" applyBorder="1" applyAlignment="1">
      <alignment vertical="top" wrapText="1"/>
    </xf>
    <xf numFmtId="0" fontId="11" fillId="10" borderId="3" xfId="0" applyFont="1" applyFill="1" applyBorder="1" applyAlignment="1">
      <alignment horizontal="center" wrapText="1"/>
    </xf>
    <xf numFmtId="0" fontId="11" fillId="10" borderId="3" xfId="0" applyFont="1" applyFill="1" applyBorder="1" applyAlignment="1">
      <alignment horizontal="center" vertical="center" wrapText="1"/>
    </xf>
    <xf numFmtId="0" fontId="19" fillId="10" borderId="3" xfId="0" applyFont="1" applyFill="1" applyBorder="1" applyAlignment="1">
      <alignment vertical="top" wrapText="1"/>
    </xf>
    <xf numFmtId="0" fontId="19" fillId="0" borderId="3" xfId="0" applyFont="1" applyBorder="1" applyAlignment="1">
      <alignment vertical="top" wrapText="1"/>
    </xf>
    <xf numFmtId="0" fontId="20" fillId="16" borderId="3" xfId="0" applyFont="1" applyFill="1" applyBorder="1" applyAlignment="1">
      <alignment horizontal="center" vertical="center" wrapText="1"/>
    </xf>
    <xf numFmtId="2" fontId="20" fillId="16" borderId="3" xfId="0" applyNumberFormat="1" applyFont="1" applyFill="1" applyBorder="1" applyAlignment="1">
      <alignment horizontal="center" vertical="center" wrapText="1"/>
    </xf>
    <xf numFmtId="2" fontId="19" fillId="10" borderId="3" xfId="0" applyNumberFormat="1" applyFont="1" applyFill="1" applyBorder="1" applyAlignment="1">
      <alignment vertical="top" wrapText="1"/>
    </xf>
    <xf numFmtId="2" fontId="19" fillId="0" borderId="3" xfId="0" applyNumberFormat="1" applyFont="1" applyBorder="1" applyAlignment="1">
      <alignment vertical="top" wrapText="1"/>
    </xf>
    <xf numFmtId="0" fontId="11" fillId="10" borderId="3" xfId="0" applyFont="1" applyFill="1" applyBorder="1"/>
    <xf numFmtId="0" fontId="14" fillId="10" borderId="1" xfId="0" applyFont="1" applyFill="1" applyAlignment="1">
      <alignment horizontal="left" vertical="center"/>
    </xf>
    <xf numFmtId="0" fontId="22" fillId="18" borderId="1" xfId="0" applyFont="1" applyFill="1" applyAlignment="1">
      <alignment vertical="top" wrapText="1"/>
    </xf>
    <xf numFmtId="0" fontId="0" fillId="0" borderId="3" xfId="0" applyBorder="1"/>
    <xf numFmtId="0" fontId="23" fillId="0" borderId="3" xfId="0" applyFont="1" applyBorder="1" applyAlignment="1">
      <alignment vertical="top" wrapText="1"/>
    </xf>
    <xf numFmtId="0" fontId="19" fillId="17" borderId="3" xfId="0" applyFont="1" applyFill="1" applyBorder="1" applyAlignment="1">
      <alignment vertical="top" wrapText="1"/>
    </xf>
    <xf numFmtId="0" fontId="0" fillId="18" borderId="3" xfId="0" applyFill="1" applyBorder="1" applyAlignment="1">
      <alignment vertical="top" wrapText="1"/>
    </xf>
    <xf numFmtId="0" fontId="19" fillId="19" borderId="3" xfId="0" applyFont="1" applyFill="1" applyBorder="1" applyAlignment="1">
      <alignment vertical="top" wrapText="1"/>
    </xf>
    <xf numFmtId="0" fontId="23" fillId="0" borderId="3" xfId="0" applyFont="1" applyBorder="1" applyAlignment="1">
      <alignment wrapText="1"/>
    </xf>
    <xf numFmtId="0" fontId="19" fillId="17" borderId="3" xfId="0" applyFont="1" applyFill="1" applyBorder="1" applyAlignment="1">
      <alignment wrapText="1"/>
    </xf>
    <xf numFmtId="0" fontId="19" fillId="0" borderId="3" xfId="0" applyFont="1" applyBorder="1" applyAlignment="1">
      <alignment wrapText="1"/>
    </xf>
    <xf numFmtId="9" fontId="19" fillId="0" borderId="3" xfId="0" applyNumberFormat="1" applyFont="1" applyBorder="1" applyAlignment="1">
      <alignment wrapText="1"/>
    </xf>
    <xf numFmtId="9" fontId="11" fillId="10" borderId="3" xfId="0" applyNumberFormat="1" applyFont="1" applyFill="1" applyBorder="1" applyAlignment="1">
      <alignment horizontal="center" vertical="center" wrapText="1"/>
    </xf>
    <xf numFmtId="9" fontId="19" fillId="19" borderId="3" xfId="0" applyNumberFormat="1" applyFont="1" applyFill="1" applyBorder="1" applyAlignment="1">
      <alignment vertical="top" wrapText="1"/>
    </xf>
    <xf numFmtId="9" fontId="19" fillId="0" borderId="3" xfId="0" applyNumberFormat="1" applyFont="1" applyBorder="1" applyAlignment="1">
      <alignment vertical="top" wrapText="1"/>
    </xf>
    <xf numFmtId="0" fontId="16" fillId="0" borderId="3" xfId="0" applyFont="1" applyBorder="1"/>
    <xf numFmtId="0" fontId="0" fillId="18" borderId="3" xfId="0" applyFill="1" applyBorder="1"/>
    <xf numFmtId="0" fontId="0" fillId="19" borderId="3" xfId="0" applyFill="1" applyBorder="1" applyAlignment="1">
      <alignment vertical="top" wrapText="1"/>
    </xf>
    <xf numFmtId="0" fontId="16" fillId="0" borderId="0" xfId="0" applyFont="1" applyBorder="1" applyAlignment="1">
      <alignment vertical="top" wrapText="1"/>
    </xf>
    <xf numFmtId="0" fontId="0" fillId="18" borderId="0" xfId="0" applyFill="1" applyBorder="1" applyAlignment="1">
      <alignment vertical="top" wrapText="1"/>
    </xf>
    <xf numFmtId="0" fontId="11" fillId="10" borderId="3" xfId="0" applyFont="1" applyFill="1" applyBorder="1" applyAlignment="1">
      <alignment vertical="top" wrapText="1"/>
    </xf>
    <xf numFmtId="0" fontId="16" fillId="0" borderId="3" xfId="0" applyFont="1" applyBorder="1" applyAlignment="1">
      <alignment vertical="top" wrapText="1"/>
    </xf>
    <xf numFmtId="0" fontId="16" fillId="19" borderId="3" xfId="0" applyFont="1" applyFill="1" applyBorder="1" applyAlignment="1">
      <alignment vertical="top" wrapText="1"/>
    </xf>
    <xf numFmtId="0" fontId="25" fillId="0" borderId="0" xfId="0" applyFont="1" applyBorder="1"/>
    <xf numFmtId="0" fontId="0" fillId="20" borderId="3" xfId="0" applyFill="1" applyBorder="1" applyAlignment="1">
      <alignment vertical="top" wrapText="1"/>
    </xf>
    <xf numFmtId="9" fontId="19" fillId="17" borderId="3" xfId="0" applyNumberFormat="1" applyFont="1" applyFill="1" applyBorder="1" applyAlignment="1">
      <alignment vertical="top" wrapText="1"/>
    </xf>
    <xf numFmtId="49" fontId="20" fillId="21" borderId="3" xfId="0" applyNumberFormat="1" applyFont="1" applyFill="1" applyBorder="1" applyAlignment="1">
      <alignment horizontal="center" vertical="center" wrapText="1"/>
    </xf>
    <xf numFmtId="0" fontId="20" fillId="21" borderId="3" xfId="0" applyFont="1" applyFill="1" applyBorder="1" applyAlignment="1">
      <alignment horizontal="center" vertical="center" wrapText="1"/>
    </xf>
    <xf numFmtId="0" fontId="0" fillId="0" borderId="3" xfId="0" applyBorder="1" applyAlignment="1">
      <alignment horizontal="center" vertical="center" wrapText="1"/>
    </xf>
    <xf numFmtId="0" fontId="20" fillId="16" borderId="3" xfId="0" applyFont="1" applyFill="1" applyBorder="1" applyAlignment="1">
      <alignment vertical="top" wrapText="1"/>
    </xf>
    <xf numFmtId="2" fontId="0" fillId="0" borderId="3" xfId="0" applyNumberFormat="1" applyBorder="1" applyAlignment="1">
      <alignment horizontal="center" vertical="center"/>
    </xf>
    <xf numFmtId="166" fontId="0" fillId="0" borderId="3" xfId="0" applyNumberFormat="1" applyBorder="1" applyAlignment="1">
      <alignment horizontal="center" vertical="center"/>
    </xf>
    <xf numFmtId="17" fontId="11" fillId="10" borderId="3" xfId="0" applyNumberFormat="1" applyFont="1" applyFill="1" applyBorder="1" applyAlignment="1">
      <alignment horizontal="center" vertical="center" wrapText="1"/>
    </xf>
    <xf numFmtId="1" fontId="0" fillId="0" borderId="3" xfId="0" applyNumberFormat="1" applyBorder="1" applyAlignment="1">
      <alignment horizontal="center" vertical="center"/>
    </xf>
    <xf numFmtId="0" fontId="0" fillId="0" borderId="3" xfId="0" applyBorder="1" applyAlignment="1">
      <alignment horizontal="center" vertical="center"/>
    </xf>
    <xf numFmtId="0" fontId="20" fillId="0" borderId="3" xfId="0" applyFont="1" applyBorder="1" applyAlignment="1">
      <alignment vertical="top" wrapText="1"/>
    </xf>
    <xf numFmtId="164" fontId="0" fillId="21" borderId="3" xfId="0" applyNumberFormat="1" applyFill="1" applyBorder="1" applyAlignment="1">
      <alignment horizontal="center" vertical="center"/>
    </xf>
    <xf numFmtId="0" fontId="0" fillId="21" borderId="3" xfId="0" applyFill="1" applyBorder="1" applyAlignment="1">
      <alignment horizontal="center" vertical="center"/>
    </xf>
    <xf numFmtId="2" fontId="0" fillId="21" borderId="3" xfId="0" applyNumberFormat="1" applyFill="1" applyBorder="1" applyAlignment="1">
      <alignment horizontal="center" vertical="center"/>
    </xf>
    <xf numFmtId="0" fontId="20" fillId="16" borderId="3" xfId="0" applyFont="1" applyFill="1" applyBorder="1" applyAlignment="1">
      <alignment horizontal="center" vertical="center"/>
    </xf>
    <xf numFmtId="1" fontId="0" fillId="21" borderId="3" xfId="0" applyNumberFormat="1" applyFill="1" applyBorder="1" applyAlignment="1">
      <alignment horizontal="center" vertical="center"/>
    </xf>
    <xf numFmtId="164" fontId="0" fillId="0" borderId="3" xfId="0" applyNumberFormat="1" applyBorder="1" applyAlignment="1">
      <alignment horizontal="center" vertical="center"/>
    </xf>
    <xf numFmtId="0" fontId="27" fillId="0" borderId="0" xfId="0" applyFont="1" applyBorder="1"/>
    <xf numFmtId="0" fontId="28" fillId="0" borderId="0" xfId="0" applyFont="1" applyBorder="1"/>
    <xf numFmtId="0" fontId="29" fillId="22" borderId="0" xfId="0" applyFont="1" applyFill="1" applyBorder="1"/>
    <xf numFmtId="0" fontId="30" fillId="22" borderId="13" xfId="0" applyFont="1" applyFill="1" applyBorder="1" applyAlignment="1">
      <alignment horizontal="center" textRotation="90"/>
    </xf>
    <xf numFmtId="0" fontId="30" fillId="0" borderId="0" xfId="0" applyFont="1" applyBorder="1" applyAlignment="1">
      <alignment horizontal="center" wrapText="1"/>
    </xf>
    <xf numFmtId="0" fontId="30" fillId="22" borderId="13" xfId="0" applyFont="1" applyFill="1" applyBorder="1"/>
    <xf numFmtId="2" fontId="0" fillId="0" borderId="13" xfId="0" applyNumberFormat="1" applyBorder="1" applyAlignment="1">
      <alignment horizontal="center"/>
    </xf>
    <xf numFmtId="0" fontId="30" fillId="0" borderId="0" xfId="0" applyFont="1" applyBorder="1"/>
    <xf numFmtId="0" fontId="16" fillId="0" borderId="0" xfId="0" applyFont="1" applyBorder="1"/>
    <xf numFmtId="0" fontId="31" fillId="23" borderId="0" xfId="0" applyFont="1" applyFill="1" applyBorder="1"/>
    <xf numFmtId="0" fontId="0" fillId="20" borderId="13" xfId="0" applyFill="1" applyBorder="1"/>
    <xf numFmtId="0" fontId="31" fillId="23" borderId="13" xfId="0" applyFont="1" applyFill="1" applyBorder="1" applyAlignment="1">
      <alignment horizontal="center" vertical="center" wrapText="1"/>
    </xf>
    <xf numFmtId="0" fontId="16" fillId="22" borderId="13" xfId="0" applyFont="1" applyFill="1" applyBorder="1"/>
    <xf numFmtId="0" fontId="32" fillId="0" borderId="13" xfId="0" applyFont="1" applyBorder="1"/>
    <xf numFmtId="2" fontId="32" fillId="0" borderId="13" xfId="0" applyNumberFormat="1" applyFont="1" applyBorder="1"/>
    <xf numFmtId="0" fontId="29" fillId="0" borderId="13" xfId="0" applyFont="1" applyBorder="1"/>
    <xf numFmtId="2" fontId="0" fillId="0" borderId="13" xfId="0" applyNumberFormat="1" applyBorder="1"/>
    <xf numFmtId="0" fontId="33" fillId="0" borderId="13" xfId="0" applyFont="1" applyBorder="1" applyAlignment="1">
      <alignment horizontal="center"/>
    </xf>
    <xf numFmtId="0" fontId="0" fillId="0" borderId="13" xfId="0" applyBorder="1"/>
    <xf numFmtId="0" fontId="12" fillId="0" borderId="0" xfId="0" applyFont="1" applyBorder="1"/>
    <xf numFmtId="0" fontId="16" fillId="0" borderId="13" xfId="0" applyFont="1" applyBorder="1" applyAlignment="1">
      <alignment vertical="top" wrapText="1"/>
    </xf>
    <xf numFmtId="0" fontId="0" fillId="0" borderId="13" xfId="0" applyBorder="1" applyAlignment="1">
      <alignment vertical="top" wrapText="1"/>
    </xf>
    <xf numFmtId="0" fontId="34" fillId="0" borderId="13" xfId="0" applyFont="1" applyBorder="1" applyAlignment="1">
      <alignment vertical="top" wrapText="1"/>
    </xf>
    <xf numFmtId="167" fontId="0" fillId="0" borderId="0" xfId="0" applyNumberFormat="1" applyBorder="1"/>
    <xf numFmtId="168" fontId="0" fillId="0" borderId="0" xfId="0" applyNumberFormat="1" applyBorder="1"/>
    <xf numFmtId="0" fontId="12" fillId="0" borderId="13" xfId="0" applyFont="1" applyBorder="1"/>
    <xf numFmtId="0" fontId="35" fillId="0" borderId="13" xfId="0" applyFont="1" applyBorder="1"/>
    <xf numFmtId="168" fontId="0" fillId="0" borderId="13" xfId="0" applyNumberFormat="1" applyBorder="1"/>
    <xf numFmtId="167" fontId="0" fillId="0" borderId="13" xfId="0" applyNumberFormat="1" applyBorder="1"/>
    <xf numFmtId="0" fontId="33" fillId="0" borderId="0" xfId="0" applyFont="1" applyBorder="1" applyAlignment="1">
      <alignment horizontal="center"/>
    </xf>
    <xf numFmtId="0" fontId="36" fillId="0" borderId="0" xfId="0" applyFont="1" applyBorder="1"/>
    <xf numFmtId="167" fontId="32" fillId="0" borderId="0" xfId="0" applyNumberFormat="1" applyFont="1" applyBorder="1"/>
    <xf numFmtId="2" fontId="32" fillId="0" borderId="0" xfId="0" applyNumberFormat="1" applyFont="1" applyBorder="1"/>
    <xf numFmtId="0" fontId="32" fillId="0" borderId="0" xfId="0" applyFont="1" applyBorder="1"/>
    <xf numFmtId="0" fontId="35" fillId="0" borderId="0" xfId="0" applyFont="1" applyBorder="1"/>
    <xf numFmtId="166" fontId="0" fillId="0" borderId="0" xfId="0" applyNumberFormat="1" applyBorder="1"/>
    <xf numFmtId="0" fontId="37" fillId="0" borderId="0" xfId="0" applyFont="1" applyBorder="1"/>
    <xf numFmtId="0" fontId="38" fillId="0" borderId="0" xfId="0" applyFont="1" applyBorder="1"/>
    <xf numFmtId="0" fontId="39" fillId="0" borderId="0" xfId="0" applyFont="1" applyBorder="1"/>
    <xf numFmtId="0" fontId="0" fillId="24" borderId="0" xfId="0" applyFill="1" applyBorder="1"/>
    <xf numFmtId="0" fontId="19" fillId="0" borderId="0" xfId="0" applyFont="1" applyBorder="1" applyAlignment="1">
      <alignment vertical="center" wrapText="1"/>
    </xf>
    <xf numFmtId="0" fontId="0" fillId="25" borderId="0" xfId="0" applyFill="1" applyBorder="1"/>
    <xf numFmtId="0" fontId="0" fillId="26" borderId="0" xfId="0" applyFill="1" applyBorder="1"/>
    <xf numFmtId="0" fontId="0" fillId="27" borderId="0" xfId="0" applyFill="1" applyBorder="1"/>
    <xf numFmtId="0" fontId="0" fillId="28" borderId="0" xfId="0" applyFill="1" applyBorder="1"/>
    <xf numFmtId="0" fontId="0" fillId="29" borderId="0" xfId="0" applyFill="1" applyBorder="1"/>
    <xf numFmtId="0" fontId="0" fillId="30" borderId="13" xfId="0" applyFill="1" applyBorder="1"/>
    <xf numFmtId="0" fontId="19" fillId="0" borderId="0" xfId="0" applyFont="1" applyBorder="1" applyAlignment="1">
      <alignment wrapText="1"/>
    </xf>
    <xf numFmtId="0" fontId="0" fillId="31" borderId="13" xfId="0" applyFill="1" applyBorder="1"/>
    <xf numFmtId="0" fontId="23" fillId="0" borderId="0" xfId="0" applyFont="1" applyBorder="1"/>
    <xf numFmtId="0" fontId="19" fillId="0" borderId="0" xfId="0" applyFont="1" applyBorder="1" applyAlignment="1">
      <alignment vertical="top" wrapText="1"/>
    </xf>
    <xf numFmtId="0" fontId="19" fillId="30" borderId="3" xfId="0" applyFont="1" applyFill="1" applyBorder="1" applyAlignment="1">
      <alignment vertical="top" wrapText="1"/>
    </xf>
    <xf numFmtId="164" fontId="19" fillId="30" borderId="3" xfId="0" applyNumberFormat="1" applyFont="1" applyFill="1" applyBorder="1" applyAlignment="1">
      <alignment vertical="top" wrapText="1"/>
    </xf>
    <xf numFmtId="0" fontId="0" fillId="30" borderId="3" xfId="0" applyFill="1" applyBorder="1"/>
    <xf numFmtId="0" fontId="0" fillId="30" borderId="0" xfId="0" applyFill="1" applyBorder="1" applyAlignment="1">
      <alignment vertical="top" wrapText="1"/>
    </xf>
    <xf numFmtId="2" fontId="0" fillId="31" borderId="13" xfId="0" applyNumberFormat="1" applyFill="1" applyBorder="1" applyAlignment="1">
      <alignment horizontal="center"/>
    </xf>
    <xf numFmtId="2" fontId="0" fillId="31" borderId="13" xfId="0" applyNumberFormat="1" applyFill="1" applyBorder="1"/>
    <xf numFmtId="0" fontId="0" fillId="30" borderId="0" xfId="0" applyFill="1" applyBorder="1"/>
    <xf numFmtId="0" fontId="2" fillId="3" borderId="1" xfId="0" applyFont="1" applyFill="1" applyAlignment="1">
      <alignment vertical="top" wrapText="1"/>
    </xf>
    <xf numFmtId="0" fontId="0" fillId="0" borderId="1" xfId="0"/>
    <xf numFmtId="0" fontId="21" fillId="0" borderId="1" xfId="0" applyFont="1"/>
    <xf numFmtId="0" fontId="1" fillId="2" borderId="1" xfId="0" applyFont="1" applyFill="1" applyAlignment="1">
      <alignment horizontal="left" vertical="center"/>
    </xf>
    <xf numFmtId="0" fontId="24" fillId="10" borderId="1" xfId="0" applyFont="1" applyFill="1"/>
    <xf numFmtId="0" fontId="11" fillId="10" borderId="3" xfId="0" applyFont="1" applyFill="1" applyBorder="1" applyAlignment="1">
      <alignment vertical="top" wrapText="1"/>
    </xf>
    <xf numFmtId="0" fontId="0" fillId="0" borderId="7" xfId="0" applyBorder="1"/>
    <xf numFmtId="0" fontId="11" fillId="10" borderId="1" xfId="0" applyFont="1" applyFill="1"/>
    <xf numFmtId="0" fontId="20" fillId="0" borderId="3" xfId="0" applyFont="1" applyBorder="1"/>
    <xf numFmtId="0" fontId="0" fillId="0" borderId="6" xfId="0" applyBorder="1"/>
    <xf numFmtId="0" fontId="26" fillId="0" borderId="3" xfId="0" applyFont="1" applyBorder="1" applyAlignment="1">
      <alignment vertical="top" wrapText="1"/>
    </xf>
    <xf numFmtId="0" fontId="18" fillId="0" borderId="3" xfId="0" applyFont="1" applyBorder="1"/>
    <xf numFmtId="0" fontId="28" fillId="0" borderId="1" xfId="0" applyFont="1" applyAlignment="1">
      <alignment wrapText="1"/>
    </xf>
    <xf numFmtId="0" fontId="3" fillId="8" borderId="1" xfId="0" applyFont="1" applyFill="1"/>
    <xf numFmtId="0" fontId="5" fillId="5" borderId="1" xfId="0" applyFont="1" applyFill="1" applyAlignment="1">
      <alignment horizontal="left" vertical="center" wrapText="1"/>
    </xf>
    <xf numFmtId="0" fontId="9" fillId="12" borderId="1" xfId="0" applyFont="1" applyFill="1" applyAlignment="1">
      <alignment horizontal="left"/>
    </xf>
    <xf numFmtId="0" fontId="17" fillId="10" borderId="1" xfId="0" applyFont="1" applyFill="1"/>
    <xf numFmtId="0" fontId="0" fillId="18" borderId="3" xfId="0" applyFill="1" applyBorder="1" applyAlignment="1">
      <alignment vertical="top" wrapText="1"/>
    </xf>
    <xf numFmtId="0" fontId="0" fillId="0" borderId="4" xfId="0" applyBorder="1"/>
    <xf numFmtId="0" fontId="0" fillId="0" borderId="5" xfId="0"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22" fillId="18" borderId="1" xfId="0" applyFont="1" applyFill="1" applyAlignment="1">
      <alignment vertical="top" wrapText="1"/>
    </xf>
    <xf numFmtId="0" fontId="14" fillId="10" borderId="1" xfId="0" applyFont="1" applyFill="1" applyAlignment="1">
      <alignment horizontal="left" vertical="center"/>
    </xf>
    <xf numFmtId="0" fontId="14" fillId="10" borderId="1" xfId="0" applyFont="1" applyFill="1" applyAlignment="1">
      <alignment vertical="top" wrapText="1"/>
    </xf>
    <xf numFmtId="0" fontId="11" fillId="10" borderId="1" xfId="0" applyFont="1" applyFill="1" applyAlignment="1">
      <alignment vertical="top" wrapText="1"/>
    </xf>
    <xf numFmtId="0" fontId="15" fillId="0" borderId="1" xfId="0" applyFont="1" applyAlignment="1">
      <alignment vertical="top" wrapText="1"/>
    </xf>
    <xf numFmtId="0" fontId="9" fillId="10" borderId="1" xfId="0" applyFont="1" applyFill="1" applyAlignment="1">
      <alignment vertical="top" wrapText="1"/>
    </xf>
    <xf numFmtId="0" fontId="0" fillId="0" borderId="3" xfId="0" applyBorder="1" applyAlignment="1">
      <alignment vertical="top" wrapText="1"/>
    </xf>
    <xf numFmtId="0" fontId="12" fillId="0" borderId="1" xfId="0" applyFont="1" applyAlignment="1">
      <alignment wrapText="1"/>
    </xf>
    <xf numFmtId="0" fontId="18" fillId="0" borderId="1" xfId="0" applyFont="1" applyAlignment="1">
      <alignment vertical="top" wrapText="1"/>
    </xf>
    <xf numFmtId="0" fontId="5" fillId="7" borderId="1" xfId="0" applyFont="1" applyFill="1" applyAlignment="1">
      <alignment horizontal="left" vertical="center" wrapText="1"/>
    </xf>
    <xf numFmtId="0" fontId="0" fillId="0" borderId="1" xfId="0" applyAlignment="1">
      <alignment wrapText="1"/>
    </xf>
    <xf numFmtId="0" fontId="8" fillId="9" borderId="1" xfId="0" applyFont="1" applyFill="1" applyAlignment="1">
      <alignment wrapText="1"/>
    </xf>
    <xf numFmtId="0" fontId="7" fillId="8" borderId="1" xfId="0" applyFont="1" applyFill="1" applyAlignment="1">
      <alignment horizontal="left" vertical="center"/>
    </xf>
    <xf numFmtId="0" fontId="9" fillId="12" borderId="1" xfId="0" applyFont="1" applyFill="1" applyAlignment="1">
      <alignment horizontal="left" vertical="center"/>
    </xf>
    <xf numFmtId="0" fontId="10" fillId="13" borderId="1" xfId="0" applyFont="1" applyFill="1" applyAlignment="1">
      <alignment wrapText="1"/>
    </xf>
    <xf numFmtId="0" fontId="14" fillId="10" borderId="1" xfId="0" applyFont="1" applyFill="1"/>
    <xf numFmtId="0" fontId="20" fillId="0" borderId="1" xfId="0" applyFont="1"/>
    <xf numFmtId="0" fontId="26" fillId="0" borderId="1" xfId="0" applyFont="1" applyAlignment="1">
      <alignment vertical="top" wrapText="1"/>
    </xf>
    <xf numFmtId="0" fontId="18" fillId="0" borderId="1" xfId="0" applyFont="1"/>
    <xf numFmtId="0" fontId="22" fillId="18" borderId="1" xfId="0" applyFont="1" applyFill="1" applyAlignment="1">
      <alignment vertical="top"/>
    </xf>
  </cellXfs>
  <cellStyles count="1">
    <cellStyle name="Normal" xfId="0" builtinId="0"/>
  </cellStyles>
  <dxfs count="108">
    <dxf>
      <fill>
        <patternFill patternType="solid">
          <fgColor rgb="FF5B9BD5"/>
        </patternFill>
      </fill>
    </dxf>
    <dxf>
      <font>
        <color rgb="FF006100"/>
      </font>
      <fill>
        <patternFill patternType="solid">
          <fgColor rgb="FFD9EAD3"/>
        </patternFill>
      </fill>
    </dxf>
    <dxf>
      <font>
        <b/>
        <color rgb="FF9C0006"/>
      </font>
      <fill>
        <patternFill patternType="solid">
          <fgColor rgb="FFF4CCCC"/>
        </patternFill>
      </fill>
    </dxf>
    <dxf>
      <font>
        <b/>
        <color rgb="FF9C6500"/>
      </font>
      <fill>
        <patternFill patternType="solid">
          <fgColor rgb="FFFCE4D6"/>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CE4D6"/>
        </patternFill>
      </fill>
    </dxf>
    <dxf>
      <fill>
        <patternFill patternType="solid">
          <fgColor rgb="FFFED7AA"/>
        </patternFill>
      </fill>
    </dxf>
    <dxf>
      <fill>
        <patternFill patternType="solid">
          <fgColor rgb="FFFCA5A5"/>
        </patternFill>
      </fill>
    </dxf>
    <dxf>
      <font>
        <color rgb="FF7F6000"/>
      </font>
      <fill>
        <patternFill patternType="solid">
          <bgColor rgb="FFFCE5CD"/>
        </patternFill>
      </fill>
    </dxf>
    <dxf>
      <font>
        <b/>
        <color rgb="FF990000"/>
      </font>
      <fill>
        <patternFill patternType="solid">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ont>
        <b/>
        <color rgb="FF006100"/>
      </font>
      <fill>
        <patternFill>
          <bgColor rgb="FFE2F0D9"/>
        </patternFill>
      </fill>
    </dxf>
    <dxf>
      <font>
        <color rgb="FF1F4E79"/>
      </font>
      <fill>
        <patternFill>
          <bgColor rgb="FFDDEBF7"/>
        </patternFill>
      </fill>
    </dxf>
    <dxf>
      <font>
        <color rgb="FF7F6000"/>
      </font>
      <fill>
        <patternFill>
          <bgColor rgb="FFFFF2CC"/>
        </patternFill>
      </fill>
    </dxf>
    <dxf>
      <font>
        <b/>
        <color rgb="FFC65911"/>
      </font>
      <fill>
        <patternFill>
          <bgColor rgb="FFFCE4D6"/>
        </patternFill>
      </fill>
    </dxf>
    <dxf>
      <font>
        <b/>
        <color rgb="FF990000"/>
      </font>
      <fill>
        <patternFill>
          <bgColor rgb="FFF4CCCC"/>
        </patternFill>
      </fill>
    </dxf>
    <dxf>
      <fill>
        <patternFill patternType="solid">
          <fgColor rgb="FFFFF2CC"/>
        </patternFill>
      </fill>
    </dxf>
    <dxf>
      <fill>
        <patternFill patternType="solid">
          <fgColor rgb="FFD9EAD3"/>
        </patternFill>
      </fill>
    </dxf>
    <dxf>
      <fill>
        <patternFill patternType="solid">
          <fgColor rgb="FFF4CCCC"/>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F4CCCC"/>
        </patternFill>
      </fill>
    </dxf>
    <dxf>
      <fill>
        <patternFill patternType="solid">
          <fgColor rgb="FFFFF2CC"/>
        </patternFill>
      </fill>
    </dxf>
    <dxf>
      <fill>
        <patternFill patternType="solid">
          <fgColor rgb="FFF4CCCC"/>
        </patternFill>
      </fill>
    </dxf>
    <dxf>
      <fill>
        <patternFill patternType="solid">
          <fgColor rgb="FF5B9BD5"/>
        </patternFill>
      </fill>
    </dxf>
    <dxf>
      <font>
        <b/>
        <color rgb="FF9C0006"/>
      </font>
      <fill>
        <patternFill patternType="solid">
          <f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13" Type="http://schemas.openxmlformats.org/officeDocument/2006/relationships/worksheet" Target="worksheets/sheet13.xml" /><ns0:Relationship Id="rId18" Type="http://schemas.openxmlformats.org/officeDocument/2006/relationships/worksheet" Target="worksheets/sheet18.xml" /><ns0:Relationship Id="rId26" Type="http://schemas.openxmlformats.org/officeDocument/2006/relationships/worksheet" Target="worksheets/sheet26.xml" /><ns0:Relationship Id="rId39" Type="http://schemas.openxmlformats.org/officeDocument/2006/relationships/worksheet" Target="worksheets/sheet39.xml" /><ns0:Relationship Id="rId21" Type="http://schemas.openxmlformats.org/officeDocument/2006/relationships/worksheet" Target="worksheets/sheet21.xml" /><ns0:Relationship Id="rId34" Type="http://schemas.openxmlformats.org/officeDocument/2006/relationships/worksheet" Target="worksheets/sheet34.xml" /><ns0:Relationship Id="rId42" Type="http://schemas.openxmlformats.org/officeDocument/2006/relationships/worksheet" Target="worksheets/sheet42.xml" /><ns0:Relationship Id="rId47" Type="http://schemas.openxmlformats.org/officeDocument/2006/relationships/worksheet" Target="worksheets/sheet47.xml" /><ns0:Relationship Id="rId50" Type="http://schemas.openxmlformats.org/officeDocument/2006/relationships/worksheet" Target="worksheets/sheet50.xml" /><ns0:Relationship Id="rId55" Type="http://schemas.openxmlformats.org/officeDocument/2006/relationships/worksheet" Target="worksheets/sheet55.xml" /><ns0:Relationship Id="rId7" Type="http://schemas.openxmlformats.org/officeDocument/2006/relationships/worksheet" Target="worksheets/sheet7.xml" /><ns0:Relationship Id="rId2" Type="http://schemas.openxmlformats.org/officeDocument/2006/relationships/worksheet" Target="worksheets/sheet2.xml" /><ns0:Relationship Id="rId16" Type="http://schemas.openxmlformats.org/officeDocument/2006/relationships/worksheet" Target="worksheets/sheet16.xml" /><ns0:Relationship Id="rId29" Type="http://schemas.openxmlformats.org/officeDocument/2006/relationships/worksheet" Target="worksheets/sheet29.xml" /><ns0:Relationship Id="rId11" Type="http://schemas.openxmlformats.org/officeDocument/2006/relationships/worksheet" Target="worksheets/sheet11.xml" /><ns0:Relationship Id="rId24" Type="http://schemas.openxmlformats.org/officeDocument/2006/relationships/worksheet" Target="worksheets/sheet24.xml" /><ns0:Relationship Id="rId32" Type="http://schemas.openxmlformats.org/officeDocument/2006/relationships/worksheet" Target="worksheets/sheet32.xml" /><ns0:Relationship Id="rId37" Type="http://schemas.openxmlformats.org/officeDocument/2006/relationships/worksheet" Target="worksheets/sheet37.xml" /><ns0:Relationship Id="rId40" Type="http://schemas.openxmlformats.org/officeDocument/2006/relationships/worksheet" Target="worksheets/sheet40.xml" /><ns0:Relationship Id="rId45" Type="http://schemas.openxmlformats.org/officeDocument/2006/relationships/worksheet" Target="worksheets/sheet45.xml" /><ns0:Relationship Id="rId53" Type="http://schemas.openxmlformats.org/officeDocument/2006/relationships/worksheet" Target="worksheets/sheet53.xml" /><ns0:Relationship Id="rId58" Type="http://schemas.openxmlformats.org/officeDocument/2006/relationships/styles" Target="styles.xml" /><ns0:Relationship Id="rId5" Type="http://schemas.openxmlformats.org/officeDocument/2006/relationships/worksheet" Target="worksheets/sheet5.xml" /><ns0:Relationship Id="rId19" Type="http://schemas.openxmlformats.org/officeDocument/2006/relationships/worksheet" Target="worksheets/sheet19.xml" /><ns0:Relationship Id="rId4" Type="http://schemas.openxmlformats.org/officeDocument/2006/relationships/worksheet" Target="worksheets/sheet4.xml" /><ns0:Relationship Id="rId9" Type="http://schemas.openxmlformats.org/officeDocument/2006/relationships/worksheet" Target="worksheets/sheet9.xml" /><ns0:Relationship Id="rId14" Type="http://schemas.openxmlformats.org/officeDocument/2006/relationships/worksheet" Target="worksheets/sheet14.xml" /><ns0:Relationship Id="rId22" Type="http://schemas.openxmlformats.org/officeDocument/2006/relationships/worksheet" Target="worksheets/sheet22.xml" /><ns0:Relationship Id="rId27" Type="http://schemas.openxmlformats.org/officeDocument/2006/relationships/worksheet" Target="worksheets/sheet27.xml" /><ns0:Relationship Id="rId30" Type="http://schemas.openxmlformats.org/officeDocument/2006/relationships/worksheet" Target="worksheets/sheet30.xml" /><ns0:Relationship Id="rId35" Type="http://schemas.openxmlformats.org/officeDocument/2006/relationships/worksheet" Target="worksheets/sheet35.xml" /><ns0:Relationship Id="rId43" Type="http://schemas.openxmlformats.org/officeDocument/2006/relationships/worksheet" Target="worksheets/sheet43.xml" /><ns0:Relationship Id="rId48" Type="http://schemas.openxmlformats.org/officeDocument/2006/relationships/worksheet" Target="worksheets/sheet48.xml" /><ns0:Relationship Id="rId56" Type="http://schemas.openxmlformats.org/officeDocument/2006/relationships/worksheet" Target="worksheets/sheet56.xml" /><ns0:Relationship Id="rId8" Type="http://schemas.openxmlformats.org/officeDocument/2006/relationships/worksheet" Target="worksheets/sheet8.xml" /><ns0:Relationship Id="rId51" Type="http://schemas.openxmlformats.org/officeDocument/2006/relationships/worksheet" Target="worksheets/sheet51.xml" /><ns0:Relationship Id="rId3" Type="http://schemas.openxmlformats.org/officeDocument/2006/relationships/worksheet" Target="worksheets/sheet3.xml" /><ns0:Relationship Id="rId12" Type="http://schemas.openxmlformats.org/officeDocument/2006/relationships/worksheet" Target="worksheets/sheet12.xml" /><ns0:Relationship Id="rId17" Type="http://schemas.openxmlformats.org/officeDocument/2006/relationships/worksheet" Target="worksheets/sheet17.xml" /><ns0:Relationship Id="rId25" Type="http://schemas.openxmlformats.org/officeDocument/2006/relationships/worksheet" Target="worksheets/sheet25.xml" /><ns0:Relationship Id="rId33" Type="http://schemas.openxmlformats.org/officeDocument/2006/relationships/worksheet" Target="worksheets/sheet33.xml" /><ns0:Relationship Id="rId38" Type="http://schemas.openxmlformats.org/officeDocument/2006/relationships/worksheet" Target="worksheets/sheet38.xml" /><ns0:Relationship Id="rId46" Type="http://schemas.openxmlformats.org/officeDocument/2006/relationships/worksheet" Target="worksheets/sheet46.xml" /><ns0:Relationship Id="rId59" Type="http://schemas.openxmlformats.org/officeDocument/2006/relationships/sharedStrings" Target="sharedStrings.xml" /><ns0:Relationship Id="rId20" Type="http://schemas.openxmlformats.org/officeDocument/2006/relationships/worksheet" Target="worksheets/sheet20.xml" /><ns0:Relationship Id="rId41" Type="http://schemas.openxmlformats.org/officeDocument/2006/relationships/worksheet" Target="worksheets/sheet41.xml" /><ns0:Relationship Id="rId54" Type="http://schemas.openxmlformats.org/officeDocument/2006/relationships/worksheet" Target="worksheets/sheet54.xml" /><ns0:Relationship Id="rId1" Type="http://schemas.openxmlformats.org/officeDocument/2006/relationships/worksheet" Target="worksheets/sheet1.xml" /><ns0:Relationship Id="rId6" Type="http://schemas.openxmlformats.org/officeDocument/2006/relationships/worksheet" Target="worksheets/sheet6.xml" /><ns0:Relationship Id="rId15" Type="http://schemas.openxmlformats.org/officeDocument/2006/relationships/worksheet" Target="worksheets/sheet15.xml" /><ns0:Relationship Id="rId23" Type="http://schemas.openxmlformats.org/officeDocument/2006/relationships/worksheet" Target="worksheets/sheet23.xml" /><ns0:Relationship Id="rId28" Type="http://schemas.openxmlformats.org/officeDocument/2006/relationships/worksheet" Target="worksheets/sheet28.xml" /><ns0:Relationship Id="rId36" Type="http://schemas.openxmlformats.org/officeDocument/2006/relationships/worksheet" Target="worksheets/sheet36.xml" /><ns0:Relationship Id="rId49" Type="http://schemas.openxmlformats.org/officeDocument/2006/relationships/worksheet" Target="worksheets/sheet49.xml" /><ns0:Relationship Id="rId57" Type="http://schemas.openxmlformats.org/officeDocument/2006/relationships/theme" Target="theme/theme1.xml" /><ns0:Relationship Id="rId10" Type="http://schemas.openxmlformats.org/officeDocument/2006/relationships/worksheet" Target="worksheets/sheet10.xml" /><ns0:Relationship Id="rId31" Type="http://schemas.openxmlformats.org/officeDocument/2006/relationships/worksheet" Target="worksheets/sheet31.xml" /><ns0:Relationship Id="rId44" Type="http://schemas.openxmlformats.org/officeDocument/2006/relationships/worksheet" Target="worksheets/sheet44.xml" /><ns0:Relationship Id="rId52" Type="http://schemas.openxmlformats.org/officeDocument/2006/relationships/worksheet" Target="worksheets/sheet52.xml" /><ns0:Relationship Id="rId60" Type="http://schemas.openxmlformats.org/officeDocument/2006/relationships/worksheet" Target="worksheets/sheet57.xml" /></ns0: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0"/>
        <c:ser>
          <c:idx val="0"/>
          <c:order val="0"/>
          <c:tx>
            <c:v>Maturity 0-5</c:v>
          </c:tx>
          <c:spPr>
            <a:ln>
              <a:prstDash val="solid"/>
            </a:ln>
          </c:spPr>
          <c:invertIfNegative val="1"/>
          <c:cat>
            <c:strRef>
              <c:f>Dashboard!$A$5:$A$21</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Dashboard!$H$5:$H$21</c:f>
              <c:numCache>
                <c:formatCode>0.00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E373-4793-8098-D32C8BD6D73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Scenario-adjusted exposure by domain</a:t>
            </a:r>
          </a:p>
        </c:rich>
      </c:tx>
      <c:overlay val="1"/>
    </c:title>
    <c:autoTitleDeleted val="0"/>
    <c:plotArea>
      <c:layout/>
      <c:barChart>
        <c:barDir val="bar"/>
        <c:grouping val="clustered"/>
        <c:varyColors val="1"/>
        <c:ser>
          <c:idx val="0"/>
          <c:order val="0"/>
          <c:tx>
            <c:strRef>
              <c:f>'Crisis Simulator'!$F$8</c:f>
              <c:strCache>
                <c:ptCount val="1"/>
                <c:pt idx="0">
                  <c:v>Scenario-adjusted exposure</c:v>
                </c:pt>
              </c:strCache>
            </c:strRef>
          </c:tx>
          <c:spPr>
            <a:ln>
              <a:prstDash val="solid"/>
            </a:ln>
          </c:spPr>
          <c:invertIfNegative val="1"/>
          <c:cat>
            <c:strRef>
              <c:f>'Crisis Simulator'!$A$9:$A$25</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'Crisis Simulator'!$F$9:$F$25</c:f>
              <c:numCache>
                <c:formatCode>General</c:formatCode>
                <c:ptCount val="17"/>
                <c:pt idx="0">
                  <c:v>8</c:v>
                </c:pt>
                <c:pt idx="1">
                  <c:v>5</c:v>
                </c:pt>
                <c:pt idx="2">
                  <c:v>7</c:v>
                </c:pt>
                <c:pt idx="3">
                  <c:v>9</c:v>
                </c:pt>
                <c:pt idx="4">
                  <c:v>6.5</c:v>
                </c:pt>
                <c:pt idx="5">
                  <c:v>7</c:v>
                </c:pt>
                <c:pt idx="6">
                  <c:v>10</c:v>
                </c:pt>
                <c:pt idx="7">
                  <c:v>8.5</c:v>
                </c:pt>
                <c:pt idx="8">
                  <c:v>8.5</c:v>
                </c:pt>
                <c:pt idx="9">
                  <c:v>7</c:v>
                </c:pt>
                <c:pt idx="10">
                  <c:v>5</c:v>
                </c:pt>
                <c:pt idx="11">
                  <c:v>6</c:v>
                </c:pt>
                <c:pt idx="12">
                  <c:v>8.5</c:v>
                </c:pt>
                <c:pt idx="13">
                  <c:v>5</c:v>
                </c:pt>
                <c:pt idx="14">
                  <c:v>5</c:v>
                </c:pt>
                <c:pt idx="15">
                  <c:v>7.5</c:v>
                </c:pt>
                <c:pt idx="16">
                  <c:v>5</c:v>
                </c:pt>
              </c:numCache>
            </c:numRef>
          </c:val>
          <c:extLst>
            <c:ext xmlns:c16="http://schemas.microsoft.com/office/drawing/2014/chart" uri="{C3380CC4-5D6E-409C-BE32-E72D297353CC}">
              <c16:uniqueId val="{00000000-F6ED-4B85-A490-B259D05C183E}"/>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Adjusted exposure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Domain</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Strategy scores</a:t>
            </a:r>
          </a:p>
        </c:rich>
      </c:tx>
      <c:overlay val="1"/>
    </c:title>
    <c:autoTitleDeleted val="0"/>
    <c:plotArea>
      <c:layout/>
      <c:barChart>
        <c:barDir val="bar"/>
        <c:grouping val="clustered"/>
        <c:varyColors val="1"/>
        <c:ser>
          <c:idx val="0"/>
          <c:order val="0"/>
          <c:tx>
            <c:strRef>
              <c:f>'Strategy Selection'!$J$9</c:f>
              <c:strCache>
                <c:ptCount val="1"/>
                <c:pt idx="0">
                  <c:v>Total strategy score</c:v>
                </c:pt>
              </c:strCache>
            </c:strRef>
          </c:tx>
          <c:spPr>
            <a:ln>
              <a:prstDash val="solid"/>
            </a:ln>
          </c:spPr>
          <c:invertIfNegative val="1"/>
          <c:cat>
            <c:strRef>
              <c:f>'Strategy Selection'!$B$10:$B$23</c:f>
              <c:strCache>
                <c:ptCount val="14"/>
                <c:pt idx="0">
                  <c:v>Digital Foundation Strategy</c:v>
                </c:pt>
                <c:pt idx="1">
                  <c:v>Business Continuity and Resilience Strategy</c:v>
                </c:pt>
                <c:pt idx="2">
                  <c:v>Cloud and Infrastructure Resilience Strategy</c:v>
                </c:pt>
                <c:pt idx="3">
                  <c:v>Cyber Resilience Strategy</c:v>
                </c:pt>
                <c:pt idx="4">
                  <c:v>Data Governance and AI Readiness Strategy</c:v>
                </c:pt>
                <c:pt idx="5">
                  <c:v>Workforce Resilience Strategy</c:v>
                </c:pt>
                <c:pt idx="6">
                  <c:v>Operational Excellence and Automation Strategy</c:v>
                </c:pt>
                <c:pt idx="7">
                  <c:v>Supply Chain and Delivery Resilience Strategy</c:v>
                </c:pt>
                <c:pt idx="8">
                  <c:v>Manufacturing Continuity and MES Strategy</c:v>
                </c:pt>
                <c:pt idx="9">
                  <c:v>Physical Safety and Site Resilience Strategy</c:v>
                </c:pt>
                <c:pt idx="10">
                  <c:v>Sales Channel Diversification Strategy</c:v>
                </c:pt>
                <c:pt idx="11">
                  <c:v>Customer Retention and Revenue Protection Strategy</c:v>
                </c:pt>
                <c:pt idx="12">
                  <c:v>Compliance and Risk Control Strategy</c:v>
                </c:pt>
                <c:pt idx="13">
                  <c:v>Governance and Decision-Speed Strategy</c:v>
                </c:pt>
              </c:strCache>
            </c:strRef>
          </c:cat>
          <c:val>
            <c:numRef>
              <c:f>'Strategy Selection'!$J$10:$J$23</c:f>
              <c:numCache>
                <c:formatCode>General</c:formatCode>
                <c:ptCount val="14"/>
                <c:pt idx="0">
                  <c:v>61.5</c:v>
                </c:pt>
                <c:pt idx="1">
                  <c:v>69.5</c:v>
                </c:pt>
                <c:pt idx="2">
                  <c:v>69.8</c:v>
                </c:pt>
                <c:pt idx="3">
                  <c:v>63.5</c:v>
                </c:pt>
                <c:pt idx="4">
                  <c:v>59.5</c:v>
                </c:pt>
                <c:pt idx="5">
                  <c:v>67</c:v>
                </c:pt>
                <c:pt idx="6">
                  <c:v>61.5</c:v>
                </c:pt>
                <c:pt idx="7">
                  <c:v>69</c:v>
                </c:pt>
                <c:pt idx="8">
                  <c:v>67.3</c:v>
                </c:pt>
                <c:pt idx="9">
                  <c:v>69.5</c:v>
                </c:pt>
                <c:pt idx="10">
                  <c:v>62</c:v>
                </c:pt>
                <c:pt idx="11">
                  <c:v>59.5</c:v>
                </c:pt>
                <c:pt idx="12">
                  <c:v>61.5</c:v>
                </c:pt>
                <c:pt idx="13">
                  <c:v>65.8</c:v>
                </c:pt>
              </c:numCache>
            </c:numRef>
          </c:val>
          <c:extLst>
            <c:ext xmlns:c16="http://schemas.microsoft.com/office/drawing/2014/chart" uri="{C3380CC4-5D6E-409C-BE32-E72D297353CC}">
              <c16:uniqueId val="{00000000-AE4E-4CFF-B3DF-EB9E00B4A8B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Score 0-100</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Strategy</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Initiatives by roadmap wave</a:t>
            </a:r>
          </a:p>
        </c:rich>
      </c:tx>
      <c:overlay val="1"/>
    </c:title>
    <c:autoTitleDeleted val="0"/>
    <c:plotArea>
      <c:layout/>
      <c:barChart>
        <c:barDir val="bar"/>
        <c:grouping val="clustered"/>
        <c:varyColors val="1"/>
        <c:ser>
          <c:idx val="0"/>
          <c:order val="0"/>
          <c:tx>
            <c:strRef>
              <c:f>'Initiatives Roadmap'!$B$38</c:f>
              <c:strCache>
                <c:ptCount val="1"/>
                <c:pt idx="0">
                  <c:v>Initiatives</c:v>
                </c:pt>
              </c:strCache>
            </c:strRef>
          </c:tx>
          <c:spPr>
            <a:ln>
              <a:prstDash val="solid"/>
            </a:ln>
          </c:spPr>
          <c:invertIfNegative val="1"/>
          <c:cat>
            <c:strRef>
              <c:f>'Initiatives Roadmap'!$A$39:$A$42</c:f>
              <c:strCache>
                <c:ptCount val="4"/>
                <c:pt idx="0">
                  <c:v>0-90 days</c:v>
                </c:pt>
                <c:pt idx="1">
                  <c:v>3-6 months</c:v>
                </c:pt>
                <c:pt idx="2">
                  <c:v>6-12 months</c:v>
                </c:pt>
                <c:pt idx="3">
                  <c:v>12+ months</c:v>
                </c:pt>
              </c:strCache>
            </c:strRef>
          </c:cat>
          <c:val>
            <c:numRef>
              <c:f>'Initiatives Roadmap'!$B$39:$B$42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68DF-4312-B6F2-1C67CDA94A2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Initiatives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Wave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Top 10 initiatives by WSJF</a:t>
            </a:r>
          </a:p>
        </c:rich>
      </c:tx>
      <c:overlay val="1"/>
    </c:title>
    <c:autoTitleDeleted val="0"/>
    <c:plotArea>
      <c:layout/>
      <c:barChart>
        <c:barDir val="bar"/>
        <c:grouping val="clustered"/>
        <c:varyColors val="1"/>
        <c:ser>
          <c:idx val="0"/>
          <c:order val="0"/>
          <c:tx>
            <c:strRef>
              <c:f>'Initiatives Roadmap'!$H$9</c:f>
              <c:strCache>
                <c:ptCount val="1"/>
                <c:pt idx="0">
                  <c:v>WSJF</c:v>
                </c:pt>
              </c:strCache>
            </c:strRef>
          </c:tx>
          <c:spPr>
            <a:ln>
              <a:prstDash val="solid"/>
            </a:ln>
          </c:spPr>
          <c:invertIfNegative val="1"/>
          <c:cat>
            <c:multiLvlStrRef>
              <c:f>'Initiatives Roadmap'!$B$10:$B$19</c:f>
            </c:multiLvlStrRef>
          </c:cat>
          <c:val>
            <c:numRef>
              <c:f>'Initiatives Roadmap'!$H$10:$H$19</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863-4032-82C8-FDE0F2CEDD6A}"/>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WSJF</a:t>
                </a:r>
              </a:p>
            </c:rich>
          </c:tx>
          <c:overlay val="1"/>
        </c:title>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Initiative</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Adjusted maturity vs industry target</a:t>
            </a:r>
          </a:p>
        </c:rich>
      </c:tx>
      <c:overlay val="1"/>
    </c:title>
    <c:autoTitleDeleted val="0"/>
    <c:plotArea>
      <c:layout/>
      <c:barChart>
        <c:barDir val="bar"/>
        <c:grouping val="clustered"/>
        <c:varyColors val="1"/>
        <c:ser>
          <c:idx val="0"/>
          <c:order val="0"/>
          <c:tx>
            <c:strRef>
              <c:f>'Improved Scoring Model'!$C$5</c:f>
              <c:strCache>
                <c:ptCount val="1"/>
                <c:pt idx="0">
                  <c:v>Confidence-adjusted maturity 0-5</c:v>
                </c:pt>
              </c:strCache>
            </c:strRef>
          </c:tx>
          <c:spPr>
            <a:ln>
              <a:prstDash val="solid"/>
            </a:ln>
          </c:spPr>
          <c:invertIfNegative val="1"/>
          <c:cat>
            <c:strRef>
              <c:f>'Improved Scoring Model'!$A$6:$A$22</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'Improved Scoring Model'!$C$6:$C$22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A83E-4F3C-876B-45A8616DA006}"/>
            </c:ext>
          </c:extLst>
        </c:ser>
        <c:ser>
          <c:idx val="1"/>
          <c:order val="1"/>
          <c:tx>
            <c:strRef>
              <c:f>'Improved Scoring Model'!$D$5</c:f>
              <c:strCache>
                <c:ptCount val="1"/>
                <c:pt idx="0">
                  <c:v>Industry target 0-5</c:v>
                </c:pt>
              </c:strCache>
            </c:strRef>
          </c:tx>
          <c:spPr>
            <a:ln>
              <a:prstDash val="solid"/>
            </a:ln>
          </c:spPr>
          <c:invertIfNegative val="1"/>
          <c:cat>
            <c:strRef>
              <c:f>'Improved Scoring Model'!$A$6:$A$22</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'Improved Scoring Model'!$D$6:$D$22</c:f>
              <c:numCache>
                <c:formatCode>General</c:formatCode>
                <c:ptCount val="17"/>
                <c:pt idx="0">
                  <c:v>3.5</c:v>
                </c:pt>
                <c:pt idx="1">
                  <c:v>3.5</c:v>
                </c:pt>
                <c:pt idx="2">
                  <c:v>4</c:v>
                </c:pt>
                <c:pt idx="3">
                  <c:v>4</c:v>
                </c:pt>
                <c:pt idx="4">
                  <c:v>3.5</c:v>
                </c:pt>
                <c:pt idx="5">
                  <c:v>3.5</c:v>
                </c:pt>
                <c:pt idx="6">
                  <c:v>2.8</c:v>
                </c:pt>
                <c:pt idx="7">
                  <c:v>4</c:v>
                </c:pt>
                <c:pt idx="8">
                  <c:v>3.5</c:v>
                </c:pt>
                <c:pt idx="9">
                  <c:v>1</c:v>
                </c:pt>
                <c:pt idx="10">
                  <c:v>3.8</c:v>
                </c:pt>
                <c:pt idx="11">
                  <c:v>3.5</c:v>
                </c:pt>
                <c:pt idx="12">
                  <c:v>4</c:v>
                </c:pt>
                <c:pt idx="13">
                  <c:v>4</c:v>
                </c:pt>
                <c:pt idx="14">
                  <c:v>3.5</c:v>
                </c:pt>
                <c:pt idx="15">
                  <c:v>4</c:v>
                </c:pt>
                <c:pt idx="16">
                  <c:v>4</c:v>
                </c:pt>
              </c:numCache>
            </c:numRef>
          </c:val>
          <c:extLst>
            <c:ext xmlns:c16="http://schemas.microsoft.com/office/drawing/2014/chart" uri="{C3380CC4-5D6E-409C-BE32-E72D297353CC}">
              <c16:uniqueId val="{00000001-A83E-4F3C-876B-45A8616DA006}"/>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Score 0-5</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Domain</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Company Geography: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'Company Geography'!$AA$5:$AA$7</c:f>
              <c:strCache>
                <c:ptCount val="3"/>
                <c:pt idx="0">
                  <c:v>Company profile</c:v>
                </c:pt>
                <c:pt idx="1">
                  <c:v>Geographical distribution</c:v>
                </c:pt>
                <c:pt idx="2">
                  <c:v>Context and dependencies</c:v>
                </c:pt>
              </c:strCache>
            </c:strRef>
          </c:cat>
          <c:val>
            <c:numRef>
              <c:f>'Company Geography'!$AC$5:$AC$7</c:f>
              <c:numCache>
                <c:formatCode>0.00</c:formatCode>
                <c:ptCount val="3"/>
                <c:pt idx="0">
                  <c:v>0</c:v>
                </c:pt>
                <c:pt idx="1">
                  <c:v>0</c:v>
                </c:pt>
                <c:pt idx="2">
                  <c:v>0</c:v>
                </c:pt>
              </c:numCache>
            </c:numRef>
          </c:val>
          <c:extLst>
            <c:ext xmlns:c16="http://schemas.microsoft.com/office/drawing/2014/chart" uri="{C3380CC4-5D6E-409C-BE32-E72D297353CC}">
              <c16:uniqueId val="{00000000-E224-4ABC-B8DC-BD884911C8F9}"/>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Strategy GTM: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'Strategy GTM'!$AA$5:$AA$8</c:f>
              <c:strCache>
                <c:ptCount val="4"/>
                <c:pt idx="0">
                  <c:v>Corporate strategy</c:v>
                </c:pt>
                <c:pt idx="1">
                  <c:v>Market and ICP</c:v>
                </c:pt>
                <c:pt idx="2">
                  <c:v>Offering and positioning</c:v>
                </c:pt>
                <c:pt idx="3">
                  <c:v>GTM execution</c:v>
                </c:pt>
              </c:strCache>
            </c:strRef>
          </c:cat>
          <c:val>
            <c:numRef>
              <c:f>'Strategy GTM'!$AC$5:$AC$8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1019-4789-9A5B-CAB1E602C1DD}"/>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Governance Crisis: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'Governance Crisis'!$AA$5:$AA$7</c:f>
              <c:strCache>
                <c:ptCount val="3"/>
                <c:pt idx="0">
                  <c:v>Crisis governance</c:v>
                </c:pt>
                <c:pt idx="1">
                  <c:v>Risk and continuity</c:v>
                </c:pt>
                <c:pt idx="2">
                  <c:v>Incident management</c:v>
                </c:pt>
              </c:strCache>
            </c:strRef>
          </c:cat>
          <c:val>
            <c:numRef>
              <c:f>'Governance Crisis'!$AC$5:$AC$7</c:f>
              <c:numCache>
                <c:formatCode>0.00</c:formatCode>
                <c:ptCount val="3"/>
                <c:pt idx="0">
                  <c:v>0</c:v>
                </c:pt>
                <c:pt idx="1">
                  <c:v>0</c:v>
                </c:pt>
                <c:pt idx="2">
                  <c:v>0</c:v>
                </c:pt>
              </c:numCache>
            </c:numRef>
          </c:val>
          <c:extLst>
            <c:ext xmlns:c16="http://schemas.microsoft.com/office/drawing/2014/chart" uri="{C3380CC4-5D6E-409C-BE32-E72D297353CC}">
              <c16:uniqueId val="{00000000-48FF-4B26-94EA-71BF56C7C066}"/>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HR Workforce: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'HR Workforce'!$AA$5:$AA$8</c:f>
              <c:strCache>
                <c:ptCount val="4"/>
                <c:pt idx="0">
                  <c:v>Workforce visibility</c:v>
                </c:pt>
                <c:pt idx="1">
                  <c:v>Recruitment and retention</c:v>
                </c:pt>
                <c:pt idx="2">
                  <c:v>Continuity and wellbeing</c:v>
                </c:pt>
                <c:pt idx="3">
                  <c:v>HR systems and compliance</c:v>
                </c:pt>
              </c:strCache>
            </c:strRef>
          </c:cat>
          <c:val>
            <c:numRef>
              <c:f>'HR Workforce'!$AC$5:$AC$8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1C25-4A6A-AA12-B07E1EB56096}"/>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Finance Procurement: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'Finance Procurement'!$AA$5:$AA$8</c:f>
              <c:strCache>
                <c:ptCount val="4"/>
                <c:pt idx="0">
                  <c:v>Financial resilience</c:v>
                </c:pt>
                <c:pt idx="1">
                  <c:v>Controls and accounting</c:v>
                </c:pt>
                <c:pt idx="2">
                  <c:v>Procurement and suppliers</c:v>
                </c:pt>
                <c:pt idx="3">
                  <c:v>Working capital</c:v>
                </c:pt>
              </c:strCache>
            </c:strRef>
          </c:cat>
          <c:val>
            <c:numRef>
              <c:f>'Finance Procurement'!$AC$5:$AC$8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B55F-42B1-B97A-8457A174B15B}"/>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Legal Risk: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'Legal Risk'!$AA$5:$AA$8</c:f>
              <c:strCache>
                <c:ptCount val="4"/>
                <c:pt idx="0">
                  <c:v>Compliance</c:v>
                </c:pt>
                <c:pt idx="1">
                  <c:v>Contracts</c:v>
                </c:pt>
                <c:pt idx="2">
                  <c:v>Data and IP</c:v>
                </c:pt>
                <c:pt idx="3">
                  <c:v>Employment law</c:v>
                </c:pt>
              </c:strCache>
            </c:strRef>
          </c:cat>
          <c:val>
            <c:numRef>
              <c:f>'Legal Risk'!$AC$5:$AC$8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9A51-4AB3-BD41-58AA15A4A8E3}"/>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Physical Safety: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'Physical Safety'!$AA$5:$AA$9</c:f>
              <c:strCache>
                <c:ptCount val="5"/>
                <c:pt idx="0">
                  <c:v>OH&amp;S governance</c:v>
                </c:pt>
                <c:pt idx="1">
                  <c:v>Facilities and access</c:v>
                </c:pt>
                <c:pt idx="2">
                  <c:v>Emergency response</c:v>
                </c:pt>
                <c:pt idx="3">
                  <c:v>Security and travel</c:v>
                </c:pt>
                <c:pt idx="4">
                  <c:v>Utilities and resilience</c:v>
                </c:pt>
              </c:strCache>
            </c:strRef>
          </c:cat>
          <c:val>
            <c:numRef>
              <c:f>'Physical Safety'!$AC$5:$AC$9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1F70-48DD-BB4A-B3893044EC5D}"/>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Delivery Ops: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'Delivery Ops'!$AA$5:$AA$8</c:f>
              <c:strCache>
                <c:ptCount val="4"/>
                <c:pt idx="0">
                  <c:v>Delivery governance</c:v>
                </c:pt>
                <c:pt idx="1">
                  <c:v>Capacity and continuity</c:v>
                </c:pt>
                <c:pt idx="2">
                  <c:v>Process control</c:v>
                </c:pt>
                <c:pt idx="3">
                  <c:v>Operational visibility</c:v>
                </c:pt>
              </c:strCache>
            </c:strRef>
          </c:cat>
          <c:val>
            <c:numRef>
              <c:f>'Delivery Ops'!$AC$5:$AC$8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F1FA-4D2D-94EF-F4DF0B104095}"/>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Supply Chain: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'Supply Chain'!$AA$5:$AA$8</c:f>
              <c:strCache>
                <c:ptCount val="4"/>
                <c:pt idx="0">
                  <c:v>Supply chain design</c:v>
                </c:pt>
                <c:pt idx="1">
                  <c:v>Logistics</c:v>
                </c:pt>
                <c:pt idx="2">
                  <c:v>Inventory and planning</c:v>
                </c:pt>
                <c:pt idx="3">
                  <c:v>Technology and risk</c:v>
                </c:pt>
              </c:strCache>
            </c:strRef>
          </c:cat>
          <c:val>
            <c:numRef>
              <c:f>'Supply Chain'!$AC$5:$AC$8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AA53-4D5B-B130-34E34E7BB0F7}"/>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Manufacturing MES: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'Manufacturing MES'!$AA$5:$AA$9</c:f>
              <c:strCache>
                <c:ptCount val="5"/>
                <c:pt idx="0">
                  <c:v>Production footprint</c:v>
                </c:pt>
                <c:pt idx="1">
                  <c:v>MES and shop floor</c:v>
                </c:pt>
                <c:pt idx="2">
                  <c:v>Maintenance and assets</c:v>
                </c:pt>
                <c:pt idx="3">
                  <c:v>Quality and safety</c:v>
                </c:pt>
                <c:pt idx="4">
                  <c:v>OT security</c:v>
                </c:pt>
              </c:strCache>
            </c:strRef>
          </c:cat>
          <c:val>
            <c:numRef>
              <c:f>'Manufacturing MES'!$AC$5:$AC$9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1FA2-4E65-9590-AFCDB4311C44}"/>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Sales CRM: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'Sales CRM'!$AA$5:$AA$8</c:f>
              <c:strCache>
                <c:ptCount val="4"/>
                <c:pt idx="0">
                  <c:v>CRM foundation</c:v>
                </c:pt>
                <c:pt idx="1">
                  <c:v>Pipeline and forecast</c:v>
                </c:pt>
                <c:pt idx="2">
                  <c:v>Customer continuity</c:v>
                </c:pt>
                <c:pt idx="3">
                  <c:v>Revenue controls</c:v>
                </c:pt>
              </c:strCache>
            </c:strRef>
          </c:cat>
          <c:val>
            <c:numRef>
              <c:f>'Sales CRM'!$AC$5:$AC$8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9D38-43F1-BEB8-554934B15C73}"/>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Marketing Comms: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'Marketing Comms'!$AA$5:$AA$7</c:f>
              <c:strCache>
                <c:ptCount val="3"/>
                <c:pt idx="0">
                  <c:v>Brand and market presence</c:v>
                </c:pt>
                <c:pt idx="1">
                  <c:v>Crisis communication</c:v>
                </c:pt>
                <c:pt idx="2">
                  <c:v>Marketing operations</c:v>
                </c:pt>
              </c:strCache>
            </c:strRef>
          </c:cat>
          <c:val>
            <c:numRef>
              <c:f>'Marketing Comms'!$AC$5:$AC$7</c:f>
              <c:numCache>
                <c:formatCode>0.00</c:formatCode>
                <c:ptCount val="3"/>
                <c:pt idx="0">
                  <c:v>0</c:v>
                </c:pt>
                <c:pt idx="1">
                  <c:v>0</c:v>
                </c:pt>
                <c:pt idx="2">
                  <c:v>0</c:v>
                </c:pt>
              </c:numCache>
            </c:numRef>
          </c:val>
          <c:extLst>
            <c:ext xmlns:c16="http://schemas.microsoft.com/office/drawing/2014/chart" uri="{C3380CC4-5D6E-409C-BE32-E72D297353CC}">
              <c16:uniqueId val="{00000000-5A76-480F-8464-137FF64D9305}"/>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IT Cloud DR: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'IT Cloud DR'!$AA$5:$AA$9</c:f>
              <c:strCache>
                <c:ptCount val="5"/>
                <c:pt idx="0">
                  <c:v>IT inventory and architecture</c:v>
                </c:pt>
                <c:pt idx="1">
                  <c:v>Cloud usage</c:v>
                </c:pt>
                <c:pt idx="2">
                  <c:v>Resilience and DR</c:v>
                </c:pt>
                <c:pt idx="3">
                  <c:v>Operations</c:v>
                </c:pt>
                <c:pt idx="4">
                  <c:v>SaaS and integrations</c:v>
                </c:pt>
              </c:strCache>
            </c:strRef>
          </c:cat>
          <c:val>
            <c:numRef>
              <c:f>'IT Cloud DR'!$AC$5:$AC$9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19A9-43E7-88DF-F4986CC4429C}"/>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Business Systems: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'Business Systems'!$AA$5:$AA$9</c:f>
              <c:strCache>
                <c:ptCount val="5"/>
                <c:pt idx="0">
                  <c:v>ERP</c:v>
                </c:pt>
                <c:pt idx="1">
                  <c:v>CRM and commerce</c:v>
                </c:pt>
                <c:pt idx="2">
                  <c:v>MES WMS TMS</c:v>
                </c:pt>
                <c:pt idx="3">
                  <c:v>HRMS and finance systems</c:v>
                </c:pt>
                <c:pt idx="4">
                  <c:v>Governance and lifecycle</c:v>
                </c:pt>
              </c:strCache>
            </c:strRef>
          </c:cat>
          <c:val>
            <c:numRef>
              <c:f>'Business Systems'!$AC$5:$AC$9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023D-4C99-BDAE-B6A8C60AF224}"/>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Data BI AI: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'Data BI AI'!$AA$5:$AA$9</c:f>
              <c:strCache>
                <c:ptCount val="5"/>
                <c:pt idx="0">
                  <c:v>Data governance</c:v>
                </c:pt>
                <c:pt idx="1">
                  <c:v>Data architecture</c:v>
                </c:pt>
                <c:pt idx="2">
                  <c:v>BI and analytics</c:v>
                </c:pt>
                <c:pt idx="3">
                  <c:v>Forecasting and scenarios</c:v>
                </c:pt>
                <c:pt idx="4">
                  <c:v>AI readiness</c:v>
                </c:pt>
              </c:strCache>
            </c:strRef>
          </c:cat>
          <c:val>
            <c:numRef>
              <c:f>'Data BI AI'!$AC$5:$AC$9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58E0-4A02-9CF5-F5EC4D7C7A08}"/>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Cyber Privacy: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'Cyber Privacy'!$AA$5:$AA$10</c:f>
              <c:strCache>
                <c:ptCount val="6"/>
                <c:pt idx="0">
                  <c:v>Security governance</c:v>
                </c:pt>
                <c:pt idx="1">
                  <c:v>Identity and access</c:v>
                </c:pt>
                <c:pt idx="2">
                  <c:v>Protection</c:v>
                </c:pt>
                <c:pt idx="3">
                  <c:v>Detection and response</c:v>
                </c:pt>
                <c:pt idx="4">
                  <c:v>Application and OT security</c:v>
                </c:pt>
                <c:pt idx="5">
                  <c:v>Privacy</c:v>
                </c:pt>
              </c:strCache>
            </c:strRef>
          </c:cat>
          <c:val>
            <c:numRef>
              <c:f>'Cyber Privacy'!$AC$5:$AC$10</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23F-4D14-B279-4F4444AE4C77}"/>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Quality Portfolio: subarea maturity spider</a:t>
            </a:r>
          </a:p>
        </c:rich>
      </c:tx>
      <c:overlay val="0"/>
    </c:title>
    <c:autoTitleDeleted val="0"/>
    <c:plotArea>
      <c:layout/>
      <c:radarChart>
        <c:radarStyle val="marker"/>
        <c:varyColors val="1"/>
        <c:ser>
          <c:idx val="0"/>
          <c:order val="0"/>
          <c:tx>
            <c:v>Average score</c:v>
          </c:tx>
          <c:spPr>
            <a:ln>
              <a:prstDash val="solid"/>
            </a:ln>
          </c:spPr>
          <c:marker>
            <c:symbol val="none"/>
          </c:marker>
          <c:cat>
            <c:strRef>
              <c:f>'Quality Portfolio'!$AA$5:$AA$8</c:f>
              <c:strCache>
                <c:ptCount val="4"/>
                <c:pt idx="0">
                  <c:v>Process management</c:v>
                </c:pt>
                <c:pt idx="1">
                  <c:v>Quality management</c:v>
                </c:pt>
                <c:pt idx="2">
                  <c:v>Portfolio and change</c:v>
                </c:pt>
                <c:pt idx="3">
                  <c:v>Management system</c:v>
                </c:pt>
              </c:strCache>
            </c:strRef>
          </c:cat>
          <c:val>
            <c:numRef>
              <c:f>'Quality Portfolio'!$AC$5:$AC$8</c:f>
              <c:numCache>
                <c:formatCode>0.00</c:formatCode>
                <c:ptCount val="4"/>
                <c:pt idx="0">
                  <c:v>0</c:v>
                </c:pt>
                <c:pt idx="1">
                  <c:v>0</c:v>
                </c:pt>
                <c:pt idx="2">
                  <c:v>0</c:v>
                </c:pt>
                <c:pt idx="3">
                  <c:v>0</c:v>
                </c:pt>
              </c:numCache>
            </c:numRef>
          </c:val>
          <c:extLst>
            <c:ext xmlns:c16="http://schemas.microsoft.com/office/drawing/2014/chart" uri="{C3380CC4-5D6E-409C-BE32-E72D297353CC}">
              <c16:uniqueId val="{00000000-2BDD-4D09-A992-18A7B28075A3}"/>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Common domain maturity spider</a:t>
            </a:r>
          </a:p>
        </c:rich>
      </c:tx>
      <c:overlay val="0"/>
    </c:title>
    <c:autoTitleDeleted val="0"/>
    <c:plotArea>
      <c:layout/>
      <c:radarChart>
        <c:radarStyle val="marker"/>
        <c:varyColors val="1"/>
        <c:ser>
          <c:idx val="0"/>
          <c:order val="0"/>
          <c:tx>
            <c:v>Maturity 0-5</c:v>
          </c:tx>
          <c:spPr>
            <a:ln>
              <a:prstDash val="solid"/>
            </a:ln>
          </c:spPr>
          <c:marker>
            <c:symbol val="none"/>
          </c:marker>
          <c:cat>
            <c:strRef>
              <c:f>'Spider Dashboards'!$A$5:$A$21</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'Spider Dashboards'!$B$5:$B$21</c:f>
              <c:numCache>
                <c:formatCode>0.00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EE01-442E-BDE5-B3B64AC2A16D}"/>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Cross-area horizontal metrics spider</a:t>
            </a:r>
          </a:p>
        </c:rich>
      </c:tx>
      <c:overlay val="0"/>
    </c:title>
    <c:autoTitleDeleted val="0"/>
    <c:plotArea>
      <c:layout/>
      <c:radarChart>
        <c:radarStyle val="marker"/>
        <c:varyColors val="1"/>
        <c:ser>
          <c:idx val="0"/>
          <c:order val="0"/>
          <c:tx>
            <c:v>Overall score</c:v>
          </c:tx>
          <c:spPr>
            <a:ln>
              <a:prstDash val="solid"/>
            </a:ln>
          </c:spPr>
          <c:marker>
            <c:symbol val="none"/>
          </c:marker>
          <c:cat>
            <c:strRef>
              <c:f>'Spider Dashboards'!$G$5:$G$7</c:f>
              <c:strCache>
                <c:ptCount val="3"/>
                <c:pt idx="0">
                  <c:v>Digitalization</c:v>
                </c:pt>
                <c:pt idx="1">
                  <c:v>Resilience</c:v>
                </c:pt>
                <c:pt idx="2">
                  <c:v>Process Maturity</c:v>
                </c:pt>
              </c:strCache>
            </c:strRef>
          </c:cat>
          <c:val>
            <c:numRef>
              <c:f>'Spider Dashboards'!$H$5:$H$7</c:f>
              <c:numCache>
                <c:formatCode>0.00</c:formatCode>
                <c:ptCount val="3"/>
                <c:pt idx="0">
                  <c:v>0</c:v>
                </c:pt>
                <c:pt idx="1">
                  <c:v>0</c:v>
                </c:pt>
                <c:pt idx="2">
                  <c:v>0</c:v>
                </c:pt>
              </c:numCache>
            </c:numRef>
          </c:val>
          <c:extLst>
            <c:ext xmlns:c16="http://schemas.microsoft.com/office/drawing/2014/chart" uri="{C3380CC4-5D6E-409C-BE32-E72D297353CC}">
              <c16:uniqueId val="{00000000-61C5-4CEB-9905-B78656DF00CF}"/>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Active Risks by Domain</a:t>
            </a:r>
          </a:p>
        </c:rich>
      </c:tx>
      <c:overlay val="1"/>
    </c:title>
    <c:autoTitleDeleted val="0"/>
    <c:plotArea>
      <c:layout/>
      <c:barChart>
        <c:barDir val="bar"/>
        <c:grouping val="clustered"/>
        <c:varyColors val="1"/>
        <c:ser>
          <c:idx val="0"/>
          <c:order val="0"/>
          <c:tx>
            <c:strRef>
              <c:f>'Risk Summary'!$AI$4</c:f>
              <c:strCache>
                <c:ptCount val="1"/>
                <c:pt idx="0">
                  <c:v>Active risks</c:v>
                </c:pt>
              </c:strCache>
            </c:strRef>
          </c:tx>
          <c:spPr>
            <a:ln>
              <a:prstDash val="solid"/>
            </a:ln>
          </c:spPr>
          <c:invertIfNegative val="1"/>
          <c:cat>
            <c:strRef>
              <c:f>'Risk Summary'!$AH$5:$AH$21</c:f>
              <c:strCache>
                <c:ptCount val="17"/>
                <c:pt idx="0">
                  <c:v>Company Geography</c:v>
                </c:pt>
                <c:pt idx="1">
                  <c:v>Strategy GTM</c:v>
                </c:pt>
                <c:pt idx="2">
                  <c:v>Governance Crisis</c:v>
                </c:pt>
                <c:pt idx="3">
                  <c:v>HR Workforce</c:v>
                </c:pt>
                <c:pt idx="4">
                  <c:v>Finance Procurement</c:v>
                </c:pt>
                <c:pt idx="5">
                  <c:v>Legal Risk</c:v>
                </c:pt>
                <c:pt idx="6">
                  <c:v>Physical Safety</c:v>
                </c:pt>
                <c:pt idx="7">
                  <c:v>Delivery Ops</c:v>
                </c:pt>
                <c:pt idx="8">
                  <c:v>Supply Chain</c:v>
                </c:pt>
                <c:pt idx="9">
                  <c:v>Manufacturing MES</c:v>
                </c:pt>
                <c:pt idx="10">
                  <c:v>Sales CRM</c:v>
                </c:pt>
                <c:pt idx="11">
                  <c:v>Marketing Comms</c:v>
                </c:pt>
                <c:pt idx="12">
                  <c:v>IT Cloud DR</c:v>
                </c:pt>
                <c:pt idx="13">
                  <c:v>Business Systems</c:v>
                </c:pt>
                <c:pt idx="14">
                  <c:v>Data BI AI</c:v>
                </c:pt>
                <c:pt idx="15">
                  <c:v>Cyber Privacy</c:v>
                </c:pt>
                <c:pt idx="16">
                  <c:v>Quality Portfolio</c:v>
                </c:pt>
              </c:strCache>
            </c:strRef>
          </c:cat>
          <c:val>
            <c:numRef>
              <c:f>'Risk Summary'!$AI$5:$AI$21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479C-4970-AE3E-71994B90DBE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Active risks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Domain</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Monthly Capacity Load</a:t>
            </a:r>
          </a:p>
        </c:rich>
      </c:tx>
      <c:overlay val="1"/>
    </c:title>
    <c:autoTitleDeleted val="0"/>
    <c:plotArea>
      <c:layout/>
      <c:barChart>
        <c:barDir val="col"/>
        <c:grouping val="clustered"/>
        <c:varyColors val="1"/>
        <c:ser>
          <c:idx val="0"/>
          <c:order val="0"/>
          <c:spPr>
            <a:ln>
              <a:prstDash val="solid"/>
            </a:ln>
          </c:spPr>
          <c:invertIfNegative val="1"/>
          <c:cat>
            <c:numRef>
              <c:f>'Gantt Roadmap'!$S$13:$AJ$13</c:f>
              <c:numCache>
                <c:formatCode>mmm\-yy</c:formatCode>
                <c:ptCount val="18"/>
                <c:pt idx="0">
                  <c:v>46179</c:v>
                </c:pt>
                <c:pt idx="1">
                  <c:v>46209</c:v>
                </c:pt>
                <c:pt idx="2">
                  <c:v>46240</c:v>
                </c:pt>
                <c:pt idx="3">
                  <c:v>46271</c:v>
                </c:pt>
                <c:pt idx="4">
                  <c:v>46301</c:v>
                </c:pt>
                <c:pt idx="5">
                  <c:v>46332</c:v>
                </c:pt>
                <c:pt idx="6">
                  <c:v>46362</c:v>
                </c:pt>
                <c:pt idx="7">
                  <c:v>46393</c:v>
                </c:pt>
                <c:pt idx="8">
                  <c:v>46424</c:v>
                </c:pt>
                <c:pt idx="9">
                  <c:v>46452</c:v>
                </c:pt>
                <c:pt idx="10">
                  <c:v>46483</c:v>
                </c:pt>
                <c:pt idx="11">
                  <c:v>46513</c:v>
                </c:pt>
                <c:pt idx="12">
                  <c:v>46544</c:v>
                </c:pt>
                <c:pt idx="13">
                  <c:v>46574</c:v>
                </c:pt>
                <c:pt idx="14">
                  <c:v>46605</c:v>
                </c:pt>
                <c:pt idx="15">
                  <c:v>46636</c:v>
                </c:pt>
                <c:pt idx="16">
                  <c:v>46666</c:v>
                </c:pt>
                <c:pt idx="17">
                  <c:v>46697</c:v>
                </c:pt>
              </c:numCache>
            </c:numRef>
          </c:cat>
          <c:val>
            <c:numRef>
              <c:f>'Gantt Roadmap'!$S$9:$AJ$9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3E03-4584-AADC-5AF5695444EF}"/>
            </c:ext>
          </c:extLst>
        </c:ser>
        <c:dLbls>
          <c:showLegendKey val="0"/>
          <c:showVal val="0"/>
          <c:showCatName val="0"/>
          <c:showSerName val="0"/>
          <c:showPercent val="0"/>
          <c:showBubbleSize val="0"/>
        </c:dLbls>
        <c:gapWidth val="150"/>
        <c:axId val="10"/>
        <c:axId val="100"/>
      </c:barChart>
      <c:dateAx>
        <c:axId val="10"/>
        <c:scaling>
          <c:orientation val="minMax"/>
        </c:scaling>
        <c:delete val="1"/>
        <c:axPos val="b"/>
        <c:title>
          <c:tx>
            <c:rich>
              <a:bodyPr/>
              <a:lstStyle/>
              <a:p>
                <a:pPr>
                  <a:defRPr/>
                </a:pPr>
                <a:r>
                  <a:t>Month</a:t>
                </a:r>
              </a:p>
            </c:rich>
          </c:tx>
          <c:overlay val="1"/>
        </c:title>
        <c:numFmt formatCode="mmm\-yy" sourceLinked="1"/>
        <c:majorTickMark val="none"/>
        <c:minorTickMark val="none"/>
        <c:tickLblPos val="nextTo"/>
        <c:crossAx val="100"/>
        <c:crosses val="autoZero"/>
        <c:auto val="1"/>
        <c:lblOffset val="100"/>
        <c:baseTimeUnit val="months"/>
      </c:dateAx>
      <c:valAx>
        <c:axId val="100"/>
        <c:scaling>
          <c:orientation val="minMax"/>
        </c:scaling>
        <c:delete val="1"/>
        <c:axPos val="l"/>
        <c:majorGridlines/>
        <c:title>
          <c:tx>
            <c:rich>
              <a:bodyPr/>
              <a:lstStyle/>
              <a:p>
                <a:pPr>
                  <a:defRPr/>
                </a:pPr>
                <a:r>
                  <a:t>Capacity load</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15</xdr:col>
      <xdr:colOff>0</xdr:colOff>
      <xdr:row>45</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13</xdr:col>
      <xdr:colOff>0</xdr:colOff>
      <xdr:row>11</xdr:row>
      <xdr:rowOff>0</xdr:rowOff>
    </xdr:from>
    <xdr:ext cx="576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3</xdr:row>
      <xdr:rowOff>0</xdr:rowOff>
    </xdr:from>
    <xdr:ext cx="6480000" cy="432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37</xdr:row>
      <xdr:rowOff>0</xdr:rowOff>
    </xdr:from>
    <xdr:ext cx="4320000" cy="252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37</xdr:row>
      <xdr:rowOff>0</xdr:rowOff>
    </xdr:from>
    <xdr:ext cx="504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15</xdr:col>
      <xdr:colOff>0</xdr:colOff>
      <xdr:row>7</xdr:row>
      <xdr:rowOff>0</xdr:rowOff>
    </xdr:from>
    <xdr:ext cx="5400000" cy="270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1.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6.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8.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9.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0.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1.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2.xml><?xml version="1.0" encoding="utf-8"?>
<xdr:wsDr xmlns:xdr="http://schemas.openxmlformats.org/drawingml/2006/spreadsheetDrawing" xmlns:a="http://schemas.openxmlformats.org/drawingml/2006/main">
  <xdr:oneCellAnchor>
    <xdr:from>
      <xdr:col>34</xdr:col>
      <xdr:colOff>0</xdr:colOff>
      <xdr:row>3</xdr:row>
      <xdr:rowOff>0</xdr:rowOff>
    </xdr:from>
    <xdr:ext cx="5334000" cy="3429000"/>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23</xdr:row>
      <xdr:rowOff>0</xdr:rowOff>
    </xdr:from>
    <xdr:ext cx="6191250" cy="4095750"/>
    <xdr:graphicFrame macro="">
      <xdr:nvGraphicFramePr>
        <xdr:cNvPr id="2" name="Chart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23</xdr:row>
      <xdr:rowOff>0</xdr:rowOff>
    </xdr:from>
    <xdr:ext cx="5143500" cy="4095750"/>
    <xdr:graphicFrame macro="">
      <xdr:nvGraphicFramePr>
        <xdr:cNvPr id="3" name="Chart 2">
          <a:extLst>
            <a:ext uri="{FF2B5EF4-FFF2-40B4-BE49-F238E27FC236}">
              <a16:creationId xmlns:a16="http://schemas.microsoft.com/office/drawing/2014/main" id="{00000000-0008-0000-2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4.xml><?xml version="1.0" encoding="utf-8"?>
<xdr:wsDr xmlns:xdr="http://schemas.openxmlformats.org/drawingml/2006/spreadsheetDrawing" xmlns:a="http://schemas.openxmlformats.org/drawingml/2006/main">
  <xdr:oneCellAnchor>
    <xdr:from>
      <xdr:col>33</xdr:col>
      <xdr:colOff>0</xdr:colOff>
      <xdr:row>23</xdr:row>
      <xdr:rowOff>0</xdr:rowOff>
    </xdr:from>
    <xdr:ext cx="5760000" cy="3600000"/>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5.xml><?xml version="1.0" encoding="utf-8"?>
<xdr:wsDr xmlns:xdr="http://schemas.openxmlformats.org/drawingml/2006/spreadsheetDrawing" xmlns:a="http://schemas.openxmlformats.org/drawingml/2006/main">
  <xdr:oneCellAnchor>
    <xdr:from>
      <xdr:col>1</xdr:col>
      <xdr:colOff>0</xdr:colOff>
      <xdr:row>87</xdr:row>
      <xdr:rowOff>0</xdr:rowOff>
    </xdr:from>
    <xdr:ext cx="6480000" cy="216000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itiativePortfolioTable" displayName="InitiativePortfolioTable" ref="A46:V118">
  <autoFilter ref="A46:V118" xr:uid="{00000000-0009-0000-0100-000001000000}"/>
  <tableColumns count="22">
    <tableColumn id="1" xr3:uid="{00000000-0010-0000-0000-000001000000}" name="Rank"/>
    <tableColumn id="2" xr3:uid="{00000000-0010-0000-0000-000002000000}" name="Initiative ID"/>
    <tableColumn id="3" xr3:uid="{00000000-0010-0000-0000-000003000000}" name="Initiative"/>
    <tableColumn id="4" xr3:uid="{00000000-0010-0000-0000-000004000000}" name="Domain"/>
    <tableColumn id="5" xr3:uid="{00000000-0010-0000-0000-000005000000}" name="Subdomain"/>
    <tableColumn id="6" xr3:uid="{00000000-0010-0000-0000-000006000000}" name="Strategy"/>
    <tableColumn id="7" xr3:uid="{00000000-0010-0000-0000-000007000000}" name="Wave"/>
    <tableColumn id="8" xr3:uid="{00000000-0010-0000-0000-000008000000}" name="WSJF"/>
    <tableColumn id="9" xr3:uid="{00000000-0010-0000-0000-000009000000}" name="Business value"/>
    <tableColumn id="10" xr3:uid="{00000000-0010-0000-0000-00000A000000}" name="Time criticality"/>
    <tableColumn id="11" xr3:uid="{00000000-0010-0000-0000-00000B000000}" name="Risk reduction"/>
    <tableColumn id="12" xr3:uid="{00000000-0010-0000-0000-00000C000000}" name="Opportunity enablement"/>
    <tableColumn id="13" xr3:uid="{00000000-0010-0000-0000-00000D000000}" name="Complexity"/>
    <tableColumn id="14" xr3:uid="{00000000-0010-0000-0000-00000E000000}" name="Active recommendations"/>
    <tableColumn id="15" xr3:uid="{00000000-0010-0000-0000-00000F000000}" name="Active risks"/>
    <tableColumn id="16" xr3:uid="{00000000-0010-0000-0000-000010000000}" name="Current subdomain score"/>
    <tableColumn id="17" xr3:uid="{00000000-0010-0000-0000-000011000000}" name="Crisis multiplier"/>
    <tableColumn id="18" xr3:uid="{00000000-0010-0000-0000-000012000000}" name="Owner"/>
    <tableColumn id="19" xr3:uid="{00000000-0010-0000-0000-000013000000}" name="Duration"/>
    <tableColumn id="20" xr3:uid="{00000000-0010-0000-0000-000014000000}" name="Budget estimate"/>
    <tableColumn id="21" xr3:uid="{00000000-0010-0000-0000-000015000000}" name="Status"/>
    <tableColumn id="22" xr3:uid="{00000000-0010-0000-0000-000016000000}" name="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CompanyGeography" displayName="T_CompanyGeography" ref="A4:V24">
  <tableColumns count="22">
    <tableColumn id="1" xr3:uid="{00000000-0010-0000-0100-000001000000}" name="ID"/>
    <tableColumn id="2" xr3:uid="{00000000-0010-0000-0100-000002000000}" name="Subdomain"/>
    <tableColumn id="3" xr3:uid="{00000000-0010-0000-0100-000003000000}" name="Question"/>
    <tableColumn id="4" xr3:uid="{00000000-0010-0000-0100-000004000000}" name="Crisis relevance / why it matters"/>
    <tableColumn id="5" xr3:uid="{00000000-0010-0000-0100-000005000000}" name="Standards / frameworks"/>
    <tableColumn id="6" xr3:uid="{00000000-0010-0000-0100-000006000000}" name="Evidence to request"/>
    <tableColumn id="7" xr3:uid="{00000000-0010-0000-0100-000007000000}" name="Weight 1-5"/>
    <tableColumn id="8" xr3:uid="{00000000-0010-0000-0100-000008000000}" name="Score 0-5 or N/A"/>
    <tableColumn id="9" xr3:uid="{00000000-0010-0000-0100-000009000000}" name="Weighted score"/>
    <tableColumn id="10" xr3:uid="{00000000-0010-0000-0100-00000A000000}" name="Max score"/>
    <tableColumn id="11" xr3:uid="{00000000-0010-0000-0100-00000B000000}" name="Gap"/>
    <tableColumn id="12" xr3:uid="{00000000-0010-0000-0100-00000C000000}" name="Risk level"/>
    <tableColumn id="13" xr3:uid="{00000000-0010-0000-0100-00000D000000}" name="Score 0 criteria"/>
    <tableColumn id="14" xr3:uid="{00000000-0010-0000-0100-00000E000000}" name="Score 1 criteria"/>
    <tableColumn id="15" xr3:uid="{00000000-0010-0000-0100-00000F000000}" name="Score 2 criteria"/>
    <tableColumn id="16" xr3:uid="{00000000-0010-0000-0100-000010000000}" name="Score 3 criteria"/>
    <tableColumn id="17" xr3:uid="{00000000-0010-0000-0100-000011000000}" name="Score 4 criteria"/>
    <tableColumn id="18" xr3:uid="{00000000-0010-0000-0100-000012000000}" name="Score 5 criteria"/>
    <tableColumn id="19" xr3:uid="{00000000-0010-0000-0100-000013000000}" name="Crisis scenario tags"/>
    <tableColumn id="20" xr3:uid="{00000000-0010-0000-0100-000014000000}" name="Owner / SME"/>
    <tableColumn id="21" xr3:uid="{00000000-0010-0000-0100-000015000000}" name="Comments / findings"/>
    <tableColumn id="22" xr3:uid="{00000000-0010-0000-0100-000016000000}" name="Recommended a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StrategyGTM" displayName="T_StrategyGTM" ref="A4:V28">
  <tableColumns count="22">
    <tableColumn id="1" xr3:uid="{00000000-0010-0000-0200-000001000000}" name="ID"/>
    <tableColumn id="2" xr3:uid="{00000000-0010-0000-0200-000002000000}" name="Subdomain"/>
    <tableColumn id="3" xr3:uid="{00000000-0010-0000-0200-000003000000}" name="Question"/>
    <tableColumn id="4" xr3:uid="{00000000-0010-0000-0200-000004000000}" name="Crisis relevance / why it matters"/>
    <tableColumn id="5" xr3:uid="{00000000-0010-0000-0200-000005000000}" name="Standards / frameworks"/>
    <tableColumn id="6" xr3:uid="{00000000-0010-0000-0200-000006000000}" name="Evidence to request"/>
    <tableColumn id="7" xr3:uid="{00000000-0010-0000-0200-000007000000}" name="Weight 1-5"/>
    <tableColumn id="8" xr3:uid="{00000000-0010-0000-0200-000008000000}" name="Score 0-5 or N/A"/>
    <tableColumn id="9" xr3:uid="{00000000-0010-0000-0200-000009000000}" name="Weighted score"/>
    <tableColumn id="10" xr3:uid="{00000000-0010-0000-0200-00000A000000}" name="Max score"/>
    <tableColumn id="11" xr3:uid="{00000000-0010-0000-0200-00000B000000}" name="Gap"/>
    <tableColumn id="12" xr3:uid="{00000000-0010-0000-0200-00000C000000}" name="Risk level"/>
    <tableColumn id="13" xr3:uid="{00000000-0010-0000-0200-00000D000000}" name="Score 0 criteria"/>
    <tableColumn id="14" xr3:uid="{00000000-0010-0000-0200-00000E000000}" name="Score 1 criteria"/>
    <tableColumn id="15" xr3:uid="{00000000-0010-0000-0200-00000F000000}" name="Score 2 criteria"/>
    <tableColumn id="16" xr3:uid="{00000000-0010-0000-0200-000010000000}" name="Score 3 criteria"/>
    <tableColumn id="17" xr3:uid="{00000000-0010-0000-0200-000011000000}" name="Score 4 criteria"/>
    <tableColumn id="18" xr3:uid="{00000000-0010-0000-0200-000012000000}" name="Score 5 criteria"/>
    <tableColumn id="19" xr3:uid="{00000000-0010-0000-0200-000013000000}" name="Crisis scenario tags"/>
    <tableColumn id="20" xr3:uid="{00000000-0010-0000-0200-000014000000}" name="Owner / SME"/>
    <tableColumn id="21" xr3:uid="{00000000-0010-0000-0200-000015000000}" name="Comments / findings"/>
    <tableColumn id="22" xr3:uid="{00000000-0010-0000-0200-000016000000}" name="Recommended ac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GovernanceCrisis" displayName="T_GovernanceCrisis" ref="A4:V23">
  <tableColumns count="22">
    <tableColumn id="1" xr3:uid="{00000000-0010-0000-0300-000001000000}" name="ID"/>
    <tableColumn id="2" xr3:uid="{00000000-0010-0000-0300-000002000000}" name="Subdomain"/>
    <tableColumn id="3" xr3:uid="{00000000-0010-0000-0300-000003000000}" name="Question"/>
    <tableColumn id="4" xr3:uid="{00000000-0010-0000-0300-000004000000}" name="Crisis relevance / why it matters"/>
    <tableColumn id="5" xr3:uid="{00000000-0010-0000-0300-000005000000}" name="Standards / frameworks"/>
    <tableColumn id="6" xr3:uid="{00000000-0010-0000-0300-000006000000}" name="Evidence to request"/>
    <tableColumn id="7" xr3:uid="{00000000-0010-0000-0300-000007000000}" name="Weight 1-5"/>
    <tableColumn id="8" xr3:uid="{00000000-0010-0000-0300-000008000000}" name="Score 0-5 or N/A"/>
    <tableColumn id="9" xr3:uid="{00000000-0010-0000-0300-000009000000}" name="Weighted score"/>
    <tableColumn id="10" xr3:uid="{00000000-0010-0000-0300-00000A000000}" name="Max score"/>
    <tableColumn id="11" xr3:uid="{00000000-0010-0000-0300-00000B000000}" name="Gap"/>
    <tableColumn id="12" xr3:uid="{00000000-0010-0000-0300-00000C000000}" name="Risk level"/>
    <tableColumn id="13" xr3:uid="{00000000-0010-0000-0300-00000D000000}" name="Score 0 criteria"/>
    <tableColumn id="14" xr3:uid="{00000000-0010-0000-0300-00000E000000}" name="Score 1 criteria"/>
    <tableColumn id="15" xr3:uid="{00000000-0010-0000-0300-00000F000000}" name="Score 2 criteria"/>
    <tableColumn id="16" xr3:uid="{00000000-0010-0000-0300-000010000000}" name="Score 3 criteria"/>
    <tableColumn id="17" xr3:uid="{00000000-0010-0000-0300-000011000000}" name="Score 4 criteria"/>
    <tableColumn id="18" xr3:uid="{00000000-0010-0000-0300-000012000000}" name="Score 5 criteria"/>
    <tableColumn id="19" xr3:uid="{00000000-0010-0000-0300-000013000000}" name="Crisis scenario tags"/>
    <tableColumn id="20" xr3:uid="{00000000-0010-0000-0300-000014000000}" name="Owner / SME"/>
    <tableColumn id="21" xr3:uid="{00000000-0010-0000-0300-000015000000}" name="Comments / findings"/>
    <tableColumn id="22" xr3:uid="{00000000-0010-0000-0300-000016000000}" name="Recommended ac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HRWorkforce" displayName="T_HRWorkforce" ref="A4:V28">
  <tableColumns count="22">
    <tableColumn id="1" xr3:uid="{00000000-0010-0000-0400-000001000000}" name="ID"/>
    <tableColumn id="2" xr3:uid="{00000000-0010-0000-0400-000002000000}" name="Subdomain"/>
    <tableColumn id="3" xr3:uid="{00000000-0010-0000-0400-000003000000}" name="Question"/>
    <tableColumn id="4" xr3:uid="{00000000-0010-0000-0400-000004000000}" name="Crisis relevance / why it matters"/>
    <tableColumn id="5" xr3:uid="{00000000-0010-0000-0400-000005000000}" name="Standards / frameworks"/>
    <tableColumn id="6" xr3:uid="{00000000-0010-0000-0400-000006000000}" name="Evidence to request"/>
    <tableColumn id="7" xr3:uid="{00000000-0010-0000-0400-000007000000}" name="Weight 1-5"/>
    <tableColumn id="8" xr3:uid="{00000000-0010-0000-0400-000008000000}" name="Score 0-5 or N/A"/>
    <tableColumn id="9" xr3:uid="{00000000-0010-0000-0400-000009000000}" name="Weighted score"/>
    <tableColumn id="10" xr3:uid="{00000000-0010-0000-0400-00000A000000}" name="Max score"/>
    <tableColumn id="11" xr3:uid="{00000000-0010-0000-0400-00000B000000}" name="Gap"/>
    <tableColumn id="12" xr3:uid="{00000000-0010-0000-0400-00000C000000}" name="Risk level"/>
    <tableColumn id="13" xr3:uid="{00000000-0010-0000-0400-00000D000000}" name="Score 0 criteria"/>
    <tableColumn id="14" xr3:uid="{00000000-0010-0000-0400-00000E000000}" name="Score 1 criteria"/>
    <tableColumn id="15" xr3:uid="{00000000-0010-0000-0400-00000F000000}" name="Score 2 criteria"/>
    <tableColumn id="16" xr3:uid="{00000000-0010-0000-0400-000010000000}" name="Score 3 criteria"/>
    <tableColumn id="17" xr3:uid="{00000000-0010-0000-0400-000011000000}" name="Score 4 criteria"/>
    <tableColumn id="18" xr3:uid="{00000000-0010-0000-0400-000012000000}" name="Score 5 criteria"/>
    <tableColumn id="19" xr3:uid="{00000000-0010-0000-0400-000013000000}" name="Crisis scenario tags"/>
    <tableColumn id="20" xr3:uid="{00000000-0010-0000-0400-000014000000}" name="Owner / SME"/>
    <tableColumn id="21" xr3:uid="{00000000-0010-0000-0400-000015000000}" name="Comments / findings"/>
    <tableColumn id="22" xr3:uid="{00000000-0010-0000-0400-000016000000}" name="Recommended ac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FinanceProcurement" displayName="T_FinanceProcurement" ref="A4:V28">
  <tableColumns count="22">
    <tableColumn id="1" xr3:uid="{00000000-0010-0000-0500-000001000000}" name="ID"/>
    <tableColumn id="2" xr3:uid="{00000000-0010-0000-0500-000002000000}" name="Subdomain"/>
    <tableColumn id="3" xr3:uid="{00000000-0010-0000-0500-000003000000}" name="Question"/>
    <tableColumn id="4" xr3:uid="{00000000-0010-0000-0500-000004000000}" name="Crisis relevance / why it matters"/>
    <tableColumn id="5" xr3:uid="{00000000-0010-0000-0500-000005000000}" name="Standards / frameworks"/>
    <tableColumn id="6" xr3:uid="{00000000-0010-0000-0500-000006000000}" name="Evidence to request"/>
    <tableColumn id="7" xr3:uid="{00000000-0010-0000-0500-000007000000}" name="Weight 1-5"/>
    <tableColumn id="8" xr3:uid="{00000000-0010-0000-0500-000008000000}" name="Score 0-5 or N/A"/>
    <tableColumn id="9" xr3:uid="{00000000-0010-0000-0500-000009000000}" name="Weighted score"/>
    <tableColumn id="10" xr3:uid="{00000000-0010-0000-0500-00000A000000}" name="Max score"/>
    <tableColumn id="11" xr3:uid="{00000000-0010-0000-0500-00000B000000}" name="Gap"/>
    <tableColumn id="12" xr3:uid="{00000000-0010-0000-0500-00000C000000}" name="Risk level"/>
    <tableColumn id="13" xr3:uid="{00000000-0010-0000-0500-00000D000000}" name="Score 0 criteria"/>
    <tableColumn id="14" xr3:uid="{00000000-0010-0000-0500-00000E000000}" name="Score 1 criteria"/>
    <tableColumn id="15" xr3:uid="{00000000-0010-0000-0500-00000F000000}" name="Score 2 criteria"/>
    <tableColumn id="16" xr3:uid="{00000000-0010-0000-0500-000010000000}" name="Score 3 criteria"/>
    <tableColumn id="17" xr3:uid="{00000000-0010-0000-0500-000011000000}" name="Score 4 criteria"/>
    <tableColumn id="18" xr3:uid="{00000000-0010-0000-0500-000012000000}" name="Score 5 criteria"/>
    <tableColumn id="19" xr3:uid="{00000000-0010-0000-0500-000013000000}" name="Crisis scenario tags"/>
    <tableColumn id="20" xr3:uid="{00000000-0010-0000-0500-000014000000}" name="Owner / SME"/>
    <tableColumn id="21" xr3:uid="{00000000-0010-0000-0500-000015000000}" name="Comments / findings"/>
    <tableColumn id="22" xr3:uid="{00000000-0010-0000-0500-000016000000}" name="Recommended ac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LegalRisk" displayName="T_LegalRisk" ref="A4:V24">
  <tableColumns count="22">
    <tableColumn id="1" xr3:uid="{00000000-0010-0000-0600-000001000000}" name="ID"/>
    <tableColumn id="2" xr3:uid="{00000000-0010-0000-0600-000002000000}" name="Subdomain"/>
    <tableColumn id="3" xr3:uid="{00000000-0010-0000-0600-000003000000}" name="Question"/>
    <tableColumn id="4" xr3:uid="{00000000-0010-0000-0600-000004000000}" name="Crisis relevance / why it matters"/>
    <tableColumn id="5" xr3:uid="{00000000-0010-0000-0600-000005000000}" name="Standards / frameworks"/>
    <tableColumn id="6" xr3:uid="{00000000-0010-0000-0600-000006000000}" name="Evidence to request"/>
    <tableColumn id="7" xr3:uid="{00000000-0010-0000-0600-000007000000}" name="Weight 1-5"/>
    <tableColumn id="8" xr3:uid="{00000000-0010-0000-0600-000008000000}" name="Score 0-5 or N/A"/>
    <tableColumn id="9" xr3:uid="{00000000-0010-0000-0600-000009000000}" name="Weighted score"/>
    <tableColumn id="10" xr3:uid="{00000000-0010-0000-0600-00000A000000}" name="Max score"/>
    <tableColumn id="11" xr3:uid="{00000000-0010-0000-0600-00000B000000}" name="Gap"/>
    <tableColumn id="12" xr3:uid="{00000000-0010-0000-0600-00000C000000}" name="Risk level"/>
    <tableColumn id="13" xr3:uid="{00000000-0010-0000-0600-00000D000000}" name="Score 0 criteria"/>
    <tableColumn id="14" xr3:uid="{00000000-0010-0000-0600-00000E000000}" name="Score 1 criteria"/>
    <tableColumn id="15" xr3:uid="{00000000-0010-0000-0600-00000F000000}" name="Score 2 criteria"/>
    <tableColumn id="16" xr3:uid="{00000000-0010-0000-0600-000010000000}" name="Score 3 criteria"/>
    <tableColumn id="17" xr3:uid="{00000000-0010-0000-0600-000011000000}" name="Score 4 criteria"/>
    <tableColumn id="18" xr3:uid="{00000000-0010-0000-0600-000012000000}" name="Score 5 criteria"/>
    <tableColumn id="19" xr3:uid="{00000000-0010-0000-0600-000013000000}" name="Crisis scenario tags"/>
    <tableColumn id="20" xr3:uid="{00000000-0010-0000-0600-000014000000}" name="Owner / SME"/>
    <tableColumn id="21" xr3:uid="{00000000-0010-0000-0600-000015000000}" name="Comments / findings"/>
    <tableColumn id="22" xr3:uid="{00000000-0010-0000-0600-000016000000}" name="Recommended ac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PhysicalSafety" displayName="T_PhysicalSafety" ref="A4:V32">
  <tableColumns count="22">
    <tableColumn id="1" xr3:uid="{00000000-0010-0000-0700-000001000000}" name="ID"/>
    <tableColumn id="2" xr3:uid="{00000000-0010-0000-0700-000002000000}" name="Subdomain"/>
    <tableColumn id="3" xr3:uid="{00000000-0010-0000-0700-000003000000}" name="Question"/>
    <tableColumn id="4" xr3:uid="{00000000-0010-0000-0700-000004000000}" name="Crisis relevance / why it matters"/>
    <tableColumn id="5" xr3:uid="{00000000-0010-0000-0700-000005000000}" name="Standards / frameworks"/>
    <tableColumn id="6" xr3:uid="{00000000-0010-0000-0700-000006000000}" name="Evidence to request"/>
    <tableColumn id="7" xr3:uid="{00000000-0010-0000-0700-000007000000}" name="Weight 1-5"/>
    <tableColumn id="8" xr3:uid="{00000000-0010-0000-0700-000008000000}" name="Score 0-5 or N/A"/>
    <tableColumn id="9" xr3:uid="{00000000-0010-0000-0700-000009000000}" name="Weighted score"/>
    <tableColumn id="10" xr3:uid="{00000000-0010-0000-0700-00000A000000}" name="Max score"/>
    <tableColumn id="11" xr3:uid="{00000000-0010-0000-0700-00000B000000}" name="Gap"/>
    <tableColumn id="12" xr3:uid="{00000000-0010-0000-0700-00000C000000}" name="Risk level"/>
    <tableColumn id="13" xr3:uid="{00000000-0010-0000-0700-00000D000000}" name="Score 0 criteria"/>
    <tableColumn id="14" xr3:uid="{00000000-0010-0000-0700-00000E000000}" name="Score 1 criteria"/>
    <tableColumn id="15" xr3:uid="{00000000-0010-0000-0700-00000F000000}" name="Score 2 criteria"/>
    <tableColumn id="16" xr3:uid="{00000000-0010-0000-0700-000010000000}" name="Score 3 criteria"/>
    <tableColumn id="17" xr3:uid="{00000000-0010-0000-0700-000011000000}" name="Score 4 criteria"/>
    <tableColumn id="18" xr3:uid="{00000000-0010-0000-0700-000012000000}" name="Score 5 criteria"/>
    <tableColumn id="19" xr3:uid="{00000000-0010-0000-0700-000013000000}" name="Crisis scenario tags"/>
    <tableColumn id="20" xr3:uid="{00000000-0010-0000-0700-000014000000}" name="Owner / SME"/>
    <tableColumn id="21" xr3:uid="{00000000-0010-0000-0700-000015000000}" name="Comments / findings"/>
    <tableColumn id="22" xr3:uid="{00000000-0010-0000-0700-000016000000}" name="Recommended a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DeliveryOps" displayName="T_DeliveryOps" ref="A4:V28">
  <tableColumns count="22">
    <tableColumn id="1" xr3:uid="{00000000-0010-0000-0800-000001000000}" name="ID"/>
    <tableColumn id="2" xr3:uid="{00000000-0010-0000-0800-000002000000}" name="Subdomain"/>
    <tableColumn id="3" xr3:uid="{00000000-0010-0000-0800-000003000000}" name="Question"/>
    <tableColumn id="4" xr3:uid="{00000000-0010-0000-0800-000004000000}" name="Crisis relevance / why it matters"/>
    <tableColumn id="5" xr3:uid="{00000000-0010-0000-0800-000005000000}" name="Standards / frameworks"/>
    <tableColumn id="6" xr3:uid="{00000000-0010-0000-0800-000006000000}" name="Evidence to request"/>
    <tableColumn id="7" xr3:uid="{00000000-0010-0000-0800-000007000000}" name="Weight 1-5"/>
    <tableColumn id="8" xr3:uid="{00000000-0010-0000-0800-000008000000}" name="Score 0-5 or N/A"/>
    <tableColumn id="9" xr3:uid="{00000000-0010-0000-0800-000009000000}" name="Weighted score"/>
    <tableColumn id="10" xr3:uid="{00000000-0010-0000-0800-00000A000000}" name="Max score"/>
    <tableColumn id="11" xr3:uid="{00000000-0010-0000-0800-00000B000000}" name="Gap"/>
    <tableColumn id="12" xr3:uid="{00000000-0010-0000-0800-00000C000000}" name="Risk level"/>
    <tableColumn id="13" xr3:uid="{00000000-0010-0000-0800-00000D000000}" name="Score 0 criteria"/>
    <tableColumn id="14" xr3:uid="{00000000-0010-0000-0800-00000E000000}" name="Score 1 criteria"/>
    <tableColumn id="15" xr3:uid="{00000000-0010-0000-0800-00000F000000}" name="Score 2 criteria"/>
    <tableColumn id="16" xr3:uid="{00000000-0010-0000-0800-000010000000}" name="Score 3 criteria"/>
    <tableColumn id="17" xr3:uid="{00000000-0010-0000-0800-000011000000}" name="Score 4 criteria"/>
    <tableColumn id="18" xr3:uid="{00000000-0010-0000-0800-000012000000}" name="Score 5 criteria"/>
    <tableColumn id="19" xr3:uid="{00000000-0010-0000-0800-000013000000}" name="Crisis scenario tags"/>
    <tableColumn id="20" xr3:uid="{00000000-0010-0000-0800-000014000000}" name="Owner / SME"/>
    <tableColumn id="21" xr3:uid="{00000000-0010-0000-0800-000015000000}" name="Comments / findings"/>
    <tableColumn id="22" xr3:uid="{00000000-0010-0000-0800-000016000000}" name="Recommended ac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SupplyChain" displayName="T_SupplyChain" ref="A4:V29">
  <tableColumns count="22">
    <tableColumn id="1" xr3:uid="{00000000-0010-0000-0900-000001000000}" name="ID"/>
    <tableColumn id="2" xr3:uid="{00000000-0010-0000-0900-000002000000}" name="Subdomain"/>
    <tableColumn id="3" xr3:uid="{00000000-0010-0000-0900-000003000000}" name="Question"/>
    <tableColumn id="4" xr3:uid="{00000000-0010-0000-0900-000004000000}" name="Crisis relevance / why it matters"/>
    <tableColumn id="5" xr3:uid="{00000000-0010-0000-0900-000005000000}" name="Standards / frameworks"/>
    <tableColumn id="6" xr3:uid="{00000000-0010-0000-0900-000006000000}" name="Evidence to request"/>
    <tableColumn id="7" xr3:uid="{00000000-0010-0000-0900-000007000000}" name="Weight 1-5"/>
    <tableColumn id="8" xr3:uid="{00000000-0010-0000-0900-000008000000}" name="Score 0-5 or N/A"/>
    <tableColumn id="9" xr3:uid="{00000000-0010-0000-0900-000009000000}" name="Weighted score"/>
    <tableColumn id="10" xr3:uid="{00000000-0010-0000-0900-00000A000000}" name="Max score"/>
    <tableColumn id="11" xr3:uid="{00000000-0010-0000-0900-00000B000000}" name="Gap"/>
    <tableColumn id="12" xr3:uid="{00000000-0010-0000-0900-00000C000000}" name="Risk level"/>
    <tableColumn id="13" xr3:uid="{00000000-0010-0000-0900-00000D000000}" name="Score 0 criteria"/>
    <tableColumn id="14" xr3:uid="{00000000-0010-0000-0900-00000E000000}" name="Score 1 criteria"/>
    <tableColumn id="15" xr3:uid="{00000000-0010-0000-0900-00000F000000}" name="Score 2 criteria"/>
    <tableColumn id="16" xr3:uid="{00000000-0010-0000-0900-000010000000}" name="Score 3 criteria"/>
    <tableColumn id="17" xr3:uid="{00000000-0010-0000-0900-000011000000}" name="Score 4 criteria"/>
    <tableColumn id="18" xr3:uid="{00000000-0010-0000-0900-000012000000}" name="Score 5 criteria"/>
    <tableColumn id="19" xr3:uid="{00000000-0010-0000-0900-000013000000}" name="Crisis scenario tags"/>
    <tableColumn id="20" xr3:uid="{00000000-0010-0000-0900-000014000000}" name="Owner / SME"/>
    <tableColumn id="21" xr3:uid="{00000000-0010-0000-0900-000015000000}" name="Comments / findings"/>
    <tableColumn id="22" xr3:uid="{00000000-0010-0000-0900-000016000000}" name="Recommended acti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ManufacturingMES" displayName="T_ManufacturingMES" ref="A4:V32">
  <tableColumns count="22">
    <tableColumn id="1" xr3:uid="{00000000-0010-0000-0A00-000001000000}" name="ID"/>
    <tableColumn id="2" xr3:uid="{00000000-0010-0000-0A00-000002000000}" name="Subdomain"/>
    <tableColumn id="3" xr3:uid="{00000000-0010-0000-0A00-000003000000}" name="Question"/>
    <tableColumn id="4" xr3:uid="{00000000-0010-0000-0A00-000004000000}" name="Crisis relevance / why it matters"/>
    <tableColumn id="5" xr3:uid="{00000000-0010-0000-0A00-000005000000}" name="Standards / frameworks"/>
    <tableColumn id="6" xr3:uid="{00000000-0010-0000-0A00-000006000000}" name="Evidence to request"/>
    <tableColumn id="7" xr3:uid="{00000000-0010-0000-0A00-000007000000}" name="Weight 1-5"/>
    <tableColumn id="8" xr3:uid="{00000000-0010-0000-0A00-000008000000}" name="Score 0-5 or N/A"/>
    <tableColumn id="9" xr3:uid="{00000000-0010-0000-0A00-000009000000}" name="Weighted score"/>
    <tableColumn id="10" xr3:uid="{00000000-0010-0000-0A00-00000A000000}" name="Max score"/>
    <tableColumn id="11" xr3:uid="{00000000-0010-0000-0A00-00000B000000}" name="Gap"/>
    <tableColumn id="12" xr3:uid="{00000000-0010-0000-0A00-00000C000000}" name="Risk level"/>
    <tableColumn id="13" xr3:uid="{00000000-0010-0000-0A00-00000D000000}" name="Score 0 criteria"/>
    <tableColumn id="14" xr3:uid="{00000000-0010-0000-0A00-00000E000000}" name="Score 1 criteria"/>
    <tableColumn id="15" xr3:uid="{00000000-0010-0000-0A00-00000F000000}" name="Score 2 criteria"/>
    <tableColumn id="16" xr3:uid="{00000000-0010-0000-0A00-000010000000}" name="Score 3 criteria"/>
    <tableColumn id="17" xr3:uid="{00000000-0010-0000-0A00-000011000000}" name="Score 4 criteria"/>
    <tableColumn id="18" xr3:uid="{00000000-0010-0000-0A00-000012000000}" name="Score 5 criteria"/>
    <tableColumn id="19" xr3:uid="{00000000-0010-0000-0A00-000013000000}" name="Crisis scenario tags"/>
    <tableColumn id="20" xr3:uid="{00000000-0010-0000-0A00-000014000000}" name="Owner / SME"/>
    <tableColumn id="21" xr3:uid="{00000000-0010-0000-0A00-000015000000}" name="Comments / findings"/>
    <tableColumn id="22" xr3:uid="{00000000-0010-0000-0A00-000016000000}" name="Recommended a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SalesCRM" displayName="T_SalesCRM" ref="A4:V25">
  <tableColumns count="22">
    <tableColumn id="1" xr3:uid="{00000000-0010-0000-0B00-000001000000}" name="ID"/>
    <tableColumn id="2" xr3:uid="{00000000-0010-0000-0B00-000002000000}" name="Subdomain"/>
    <tableColumn id="3" xr3:uid="{00000000-0010-0000-0B00-000003000000}" name="Question"/>
    <tableColumn id="4" xr3:uid="{00000000-0010-0000-0B00-000004000000}" name="Crisis relevance / why it matters"/>
    <tableColumn id="5" xr3:uid="{00000000-0010-0000-0B00-000005000000}" name="Standards / frameworks"/>
    <tableColumn id="6" xr3:uid="{00000000-0010-0000-0B00-000006000000}" name="Evidence to request"/>
    <tableColumn id="7" xr3:uid="{00000000-0010-0000-0B00-000007000000}" name="Weight 1-5"/>
    <tableColumn id="8" xr3:uid="{00000000-0010-0000-0B00-000008000000}" name="Score 0-5 or N/A"/>
    <tableColumn id="9" xr3:uid="{00000000-0010-0000-0B00-000009000000}" name="Weighted score"/>
    <tableColumn id="10" xr3:uid="{00000000-0010-0000-0B00-00000A000000}" name="Max score"/>
    <tableColumn id="11" xr3:uid="{00000000-0010-0000-0B00-00000B000000}" name="Gap"/>
    <tableColumn id="12" xr3:uid="{00000000-0010-0000-0B00-00000C000000}" name="Risk level"/>
    <tableColumn id="13" xr3:uid="{00000000-0010-0000-0B00-00000D000000}" name="Score 0 criteria"/>
    <tableColumn id="14" xr3:uid="{00000000-0010-0000-0B00-00000E000000}" name="Score 1 criteria"/>
    <tableColumn id="15" xr3:uid="{00000000-0010-0000-0B00-00000F000000}" name="Score 2 criteria"/>
    <tableColumn id="16" xr3:uid="{00000000-0010-0000-0B00-000010000000}" name="Score 3 criteria"/>
    <tableColumn id="17" xr3:uid="{00000000-0010-0000-0B00-000011000000}" name="Score 4 criteria"/>
    <tableColumn id="18" xr3:uid="{00000000-0010-0000-0B00-000012000000}" name="Score 5 criteria"/>
    <tableColumn id="19" xr3:uid="{00000000-0010-0000-0B00-000013000000}" name="Crisis scenario tags"/>
    <tableColumn id="20" xr3:uid="{00000000-0010-0000-0B00-000014000000}" name="Owner / SME"/>
    <tableColumn id="21" xr3:uid="{00000000-0010-0000-0B00-000015000000}" name="Comments / findings"/>
    <tableColumn id="22" xr3:uid="{00000000-0010-0000-0B00-000016000000}" name="Recommended act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MarketingComms" displayName="T_MarketingComms" ref="A4:V21">
  <tableColumns count="22">
    <tableColumn id="1" xr3:uid="{00000000-0010-0000-0C00-000001000000}" name="ID"/>
    <tableColumn id="2" xr3:uid="{00000000-0010-0000-0C00-000002000000}" name="Subdomain"/>
    <tableColumn id="3" xr3:uid="{00000000-0010-0000-0C00-000003000000}" name="Question"/>
    <tableColumn id="4" xr3:uid="{00000000-0010-0000-0C00-000004000000}" name="Crisis relevance / why it matters"/>
    <tableColumn id="5" xr3:uid="{00000000-0010-0000-0C00-000005000000}" name="Standards / frameworks"/>
    <tableColumn id="6" xr3:uid="{00000000-0010-0000-0C00-000006000000}" name="Evidence to request"/>
    <tableColumn id="7" xr3:uid="{00000000-0010-0000-0C00-000007000000}" name="Weight 1-5"/>
    <tableColumn id="8" xr3:uid="{00000000-0010-0000-0C00-000008000000}" name="Score 0-5 or N/A"/>
    <tableColumn id="9" xr3:uid="{00000000-0010-0000-0C00-000009000000}" name="Weighted score"/>
    <tableColumn id="10" xr3:uid="{00000000-0010-0000-0C00-00000A000000}" name="Max score"/>
    <tableColumn id="11" xr3:uid="{00000000-0010-0000-0C00-00000B000000}" name="Gap"/>
    <tableColumn id="12" xr3:uid="{00000000-0010-0000-0C00-00000C000000}" name="Risk level"/>
    <tableColumn id="13" xr3:uid="{00000000-0010-0000-0C00-00000D000000}" name="Score 0 criteria"/>
    <tableColumn id="14" xr3:uid="{00000000-0010-0000-0C00-00000E000000}" name="Score 1 criteria"/>
    <tableColumn id="15" xr3:uid="{00000000-0010-0000-0C00-00000F000000}" name="Score 2 criteria"/>
    <tableColumn id="16" xr3:uid="{00000000-0010-0000-0C00-000010000000}" name="Score 3 criteria"/>
    <tableColumn id="17" xr3:uid="{00000000-0010-0000-0C00-000011000000}" name="Score 4 criteria"/>
    <tableColumn id="18" xr3:uid="{00000000-0010-0000-0C00-000012000000}" name="Score 5 criteria"/>
    <tableColumn id="19" xr3:uid="{00000000-0010-0000-0C00-000013000000}" name="Crisis scenario tags"/>
    <tableColumn id="20" xr3:uid="{00000000-0010-0000-0C00-000014000000}" name="Owner / SME"/>
    <tableColumn id="21" xr3:uid="{00000000-0010-0000-0C00-000015000000}" name="Comments / findings"/>
    <tableColumn id="22" xr3:uid="{00000000-0010-0000-0C00-000016000000}" name="Recommended a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ITCloudDR" displayName="T_ITCloudDR" ref="A4:V33">
  <tableColumns count="22">
    <tableColumn id="1" xr3:uid="{00000000-0010-0000-0D00-000001000000}" name="ID"/>
    <tableColumn id="2" xr3:uid="{00000000-0010-0000-0D00-000002000000}" name="Subdomain"/>
    <tableColumn id="3" xr3:uid="{00000000-0010-0000-0D00-000003000000}" name="Question"/>
    <tableColumn id="4" xr3:uid="{00000000-0010-0000-0D00-000004000000}" name="Crisis relevance / why it matters"/>
    <tableColumn id="5" xr3:uid="{00000000-0010-0000-0D00-000005000000}" name="Standards / frameworks"/>
    <tableColumn id="6" xr3:uid="{00000000-0010-0000-0D00-000006000000}" name="Evidence to request"/>
    <tableColumn id="7" xr3:uid="{00000000-0010-0000-0D00-000007000000}" name="Weight 1-5"/>
    <tableColumn id="8" xr3:uid="{00000000-0010-0000-0D00-000008000000}" name="Score 0-5 or N/A"/>
    <tableColumn id="9" xr3:uid="{00000000-0010-0000-0D00-000009000000}" name="Weighted score"/>
    <tableColumn id="10" xr3:uid="{00000000-0010-0000-0D00-00000A000000}" name="Max score"/>
    <tableColumn id="11" xr3:uid="{00000000-0010-0000-0D00-00000B000000}" name="Gap"/>
    <tableColumn id="12" xr3:uid="{00000000-0010-0000-0D00-00000C000000}" name="Risk level"/>
    <tableColumn id="13" xr3:uid="{00000000-0010-0000-0D00-00000D000000}" name="Score 0 criteria"/>
    <tableColumn id="14" xr3:uid="{00000000-0010-0000-0D00-00000E000000}" name="Score 1 criteria"/>
    <tableColumn id="15" xr3:uid="{00000000-0010-0000-0D00-00000F000000}" name="Score 2 criteria"/>
    <tableColumn id="16" xr3:uid="{00000000-0010-0000-0D00-000010000000}" name="Score 3 criteria"/>
    <tableColumn id="17" xr3:uid="{00000000-0010-0000-0D00-000011000000}" name="Score 4 criteria"/>
    <tableColumn id="18" xr3:uid="{00000000-0010-0000-0D00-000012000000}" name="Score 5 criteria"/>
    <tableColumn id="19" xr3:uid="{00000000-0010-0000-0D00-000013000000}" name="Crisis scenario tags"/>
    <tableColumn id="20" xr3:uid="{00000000-0010-0000-0D00-000014000000}" name="Owner / SME"/>
    <tableColumn id="21" xr3:uid="{00000000-0010-0000-0D00-000015000000}" name="Comments / findings"/>
    <tableColumn id="22" xr3:uid="{00000000-0010-0000-0D00-000016000000}" name="Recommended actio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_BusinessSystems" displayName="T_BusinessSystems" ref="A4:V27">
  <tableColumns count="22">
    <tableColumn id="1" xr3:uid="{00000000-0010-0000-0E00-000001000000}" name="ID"/>
    <tableColumn id="2" xr3:uid="{00000000-0010-0000-0E00-000002000000}" name="Subdomain"/>
    <tableColumn id="3" xr3:uid="{00000000-0010-0000-0E00-000003000000}" name="Question"/>
    <tableColumn id="4" xr3:uid="{00000000-0010-0000-0E00-000004000000}" name="Crisis relevance / why it matters"/>
    <tableColumn id="5" xr3:uid="{00000000-0010-0000-0E00-000005000000}" name="Standards / frameworks"/>
    <tableColumn id="6" xr3:uid="{00000000-0010-0000-0E00-000006000000}" name="Evidence to request"/>
    <tableColumn id="7" xr3:uid="{00000000-0010-0000-0E00-000007000000}" name="Weight 1-5"/>
    <tableColumn id="8" xr3:uid="{00000000-0010-0000-0E00-000008000000}" name="Score 0-5 or N/A"/>
    <tableColumn id="9" xr3:uid="{00000000-0010-0000-0E00-000009000000}" name="Weighted score"/>
    <tableColumn id="10" xr3:uid="{00000000-0010-0000-0E00-00000A000000}" name="Max score"/>
    <tableColumn id="11" xr3:uid="{00000000-0010-0000-0E00-00000B000000}" name="Gap"/>
    <tableColumn id="12" xr3:uid="{00000000-0010-0000-0E00-00000C000000}" name="Risk level"/>
    <tableColumn id="13" xr3:uid="{00000000-0010-0000-0E00-00000D000000}" name="Score 0 criteria"/>
    <tableColumn id="14" xr3:uid="{00000000-0010-0000-0E00-00000E000000}" name="Score 1 criteria"/>
    <tableColumn id="15" xr3:uid="{00000000-0010-0000-0E00-00000F000000}" name="Score 2 criteria"/>
    <tableColumn id="16" xr3:uid="{00000000-0010-0000-0E00-000010000000}" name="Score 3 criteria"/>
    <tableColumn id="17" xr3:uid="{00000000-0010-0000-0E00-000011000000}" name="Score 4 criteria"/>
    <tableColumn id="18" xr3:uid="{00000000-0010-0000-0E00-000012000000}" name="Score 5 criteria"/>
    <tableColumn id="19" xr3:uid="{00000000-0010-0000-0E00-000013000000}" name="Crisis scenario tags"/>
    <tableColumn id="20" xr3:uid="{00000000-0010-0000-0E00-000014000000}" name="Owner / SME"/>
    <tableColumn id="21" xr3:uid="{00000000-0010-0000-0E00-000015000000}" name="Comments / findings"/>
    <tableColumn id="22" xr3:uid="{00000000-0010-0000-0E00-000016000000}" name="Recommended actio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_DataBIAI" displayName="T_DataBIAI" ref="A4:V31">
  <tableColumns count="22">
    <tableColumn id="1" xr3:uid="{00000000-0010-0000-0F00-000001000000}" name="ID"/>
    <tableColumn id="2" xr3:uid="{00000000-0010-0000-0F00-000002000000}" name="Subdomain"/>
    <tableColumn id="3" xr3:uid="{00000000-0010-0000-0F00-000003000000}" name="Question"/>
    <tableColumn id="4" xr3:uid="{00000000-0010-0000-0F00-000004000000}" name="Crisis relevance / why it matters"/>
    <tableColumn id="5" xr3:uid="{00000000-0010-0000-0F00-000005000000}" name="Standards / frameworks"/>
    <tableColumn id="6" xr3:uid="{00000000-0010-0000-0F00-000006000000}" name="Evidence to request"/>
    <tableColumn id="7" xr3:uid="{00000000-0010-0000-0F00-000007000000}" name="Weight 1-5"/>
    <tableColumn id="8" xr3:uid="{00000000-0010-0000-0F00-000008000000}" name="Score 0-5 or N/A"/>
    <tableColumn id="9" xr3:uid="{00000000-0010-0000-0F00-000009000000}" name="Weighted score"/>
    <tableColumn id="10" xr3:uid="{00000000-0010-0000-0F00-00000A000000}" name="Max score"/>
    <tableColumn id="11" xr3:uid="{00000000-0010-0000-0F00-00000B000000}" name="Gap"/>
    <tableColumn id="12" xr3:uid="{00000000-0010-0000-0F00-00000C000000}" name="Risk level"/>
    <tableColumn id="13" xr3:uid="{00000000-0010-0000-0F00-00000D000000}" name="Score 0 criteria"/>
    <tableColumn id="14" xr3:uid="{00000000-0010-0000-0F00-00000E000000}" name="Score 1 criteria"/>
    <tableColumn id="15" xr3:uid="{00000000-0010-0000-0F00-00000F000000}" name="Score 2 criteria"/>
    <tableColumn id="16" xr3:uid="{00000000-0010-0000-0F00-000010000000}" name="Score 3 criteria"/>
    <tableColumn id="17" xr3:uid="{00000000-0010-0000-0F00-000011000000}" name="Score 4 criteria"/>
    <tableColumn id="18" xr3:uid="{00000000-0010-0000-0F00-000012000000}" name="Score 5 criteria"/>
    <tableColumn id="19" xr3:uid="{00000000-0010-0000-0F00-000013000000}" name="Crisis scenario tags"/>
    <tableColumn id="20" xr3:uid="{00000000-0010-0000-0F00-000014000000}" name="Owner / SME"/>
    <tableColumn id="21" xr3:uid="{00000000-0010-0000-0F00-000015000000}" name="Comments / findings"/>
    <tableColumn id="22" xr3:uid="{00000000-0010-0000-0F00-000016000000}" name="Recommended actio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_CyberPrivacy" displayName="T_CyberPrivacy" ref="A4:V38">
  <tableColumns count="22">
    <tableColumn id="1" xr3:uid="{00000000-0010-0000-1000-000001000000}" name="ID"/>
    <tableColumn id="2" xr3:uid="{00000000-0010-0000-1000-000002000000}" name="Subdomain"/>
    <tableColumn id="3" xr3:uid="{00000000-0010-0000-1000-000003000000}" name="Question"/>
    <tableColumn id="4" xr3:uid="{00000000-0010-0000-1000-000004000000}" name="Crisis relevance / why it matters"/>
    <tableColumn id="5" xr3:uid="{00000000-0010-0000-1000-000005000000}" name="Standards / frameworks"/>
    <tableColumn id="6" xr3:uid="{00000000-0010-0000-1000-000006000000}" name="Evidence to request"/>
    <tableColumn id="7" xr3:uid="{00000000-0010-0000-1000-000007000000}" name="Weight 1-5"/>
    <tableColumn id="8" xr3:uid="{00000000-0010-0000-1000-000008000000}" name="Score 0-5 or N/A"/>
    <tableColumn id="9" xr3:uid="{00000000-0010-0000-1000-000009000000}" name="Weighted score"/>
    <tableColumn id="10" xr3:uid="{00000000-0010-0000-1000-00000A000000}" name="Max score"/>
    <tableColumn id="11" xr3:uid="{00000000-0010-0000-1000-00000B000000}" name="Gap"/>
    <tableColumn id="12" xr3:uid="{00000000-0010-0000-1000-00000C000000}" name="Risk level"/>
    <tableColumn id="13" xr3:uid="{00000000-0010-0000-1000-00000D000000}" name="Score 0 criteria"/>
    <tableColumn id="14" xr3:uid="{00000000-0010-0000-1000-00000E000000}" name="Score 1 criteria"/>
    <tableColumn id="15" xr3:uid="{00000000-0010-0000-1000-00000F000000}" name="Score 2 criteria"/>
    <tableColumn id="16" xr3:uid="{00000000-0010-0000-1000-000010000000}" name="Score 3 criteria"/>
    <tableColumn id="17" xr3:uid="{00000000-0010-0000-1000-000011000000}" name="Score 4 criteria"/>
    <tableColumn id="18" xr3:uid="{00000000-0010-0000-1000-000012000000}" name="Score 5 criteria"/>
    <tableColumn id="19" xr3:uid="{00000000-0010-0000-1000-000013000000}" name="Crisis scenario tags"/>
    <tableColumn id="20" xr3:uid="{00000000-0010-0000-1000-000014000000}" name="Owner / SME"/>
    <tableColumn id="21" xr3:uid="{00000000-0010-0000-1000-000015000000}" name="Comments / findings"/>
    <tableColumn id="22" xr3:uid="{00000000-0010-0000-1000-000016000000}" name="Recommended actio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_QualityPortfolio" displayName="T_QualityPortfolio" ref="A4:V24">
  <tableColumns count="22">
    <tableColumn id="1" xr3:uid="{00000000-0010-0000-1100-000001000000}" name="ID"/>
    <tableColumn id="2" xr3:uid="{00000000-0010-0000-1100-000002000000}" name="Subdomain"/>
    <tableColumn id="3" xr3:uid="{00000000-0010-0000-1100-000003000000}" name="Question"/>
    <tableColumn id="4" xr3:uid="{00000000-0010-0000-1100-000004000000}" name="Crisis relevance / why it matters"/>
    <tableColumn id="5" xr3:uid="{00000000-0010-0000-1100-000005000000}" name="Standards / frameworks"/>
    <tableColumn id="6" xr3:uid="{00000000-0010-0000-1100-000006000000}" name="Evidence to request"/>
    <tableColumn id="7" xr3:uid="{00000000-0010-0000-1100-000007000000}" name="Weight 1-5"/>
    <tableColumn id="8" xr3:uid="{00000000-0010-0000-1100-000008000000}" name="Score 0-5 or N/A"/>
    <tableColumn id="9" xr3:uid="{00000000-0010-0000-1100-000009000000}" name="Weighted score"/>
    <tableColumn id="10" xr3:uid="{00000000-0010-0000-1100-00000A000000}" name="Max score"/>
    <tableColumn id="11" xr3:uid="{00000000-0010-0000-1100-00000B000000}" name="Gap"/>
    <tableColumn id="12" xr3:uid="{00000000-0010-0000-1100-00000C000000}" name="Risk level"/>
    <tableColumn id="13" xr3:uid="{00000000-0010-0000-1100-00000D000000}" name="Score 0 criteria"/>
    <tableColumn id="14" xr3:uid="{00000000-0010-0000-1100-00000E000000}" name="Score 1 criteria"/>
    <tableColumn id="15" xr3:uid="{00000000-0010-0000-1100-00000F000000}" name="Score 2 criteria"/>
    <tableColumn id="16" xr3:uid="{00000000-0010-0000-1100-000010000000}" name="Score 3 criteria"/>
    <tableColumn id="17" xr3:uid="{00000000-0010-0000-1100-000011000000}" name="Score 4 criteria"/>
    <tableColumn id="18" xr3:uid="{00000000-0010-0000-1100-000012000000}" name="Score 5 criteria"/>
    <tableColumn id="19" xr3:uid="{00000000-0010-0000-1100-000013000000}" name="Crisis scenario tags"/>
    <tableColumn id="20" xr3:uid="{00000000-0010-0000-1100-000014000000}" name="Owner / SME"/>
    <tableColumn id="21" xr3:uid="{00000000-0010-0000-1100-000015000000}" name="Comments / findings"/>
    <tableColumn id="22" xr3:uid="{00000000-0010-0000-1100-000016000000}" name="Recommended actio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RecommendationMatrixTable" displayName="RecommendationMatrixTable" ref="A4:V411">
  <tableColumns count="22">
    <tableColumn id="1" xr3:uid="{00000000-0010-0000-1200-000001000000}" name="Question ID"/>
    <tableColumn id="2" xr3:uid="{00000000-0010-0000-1200-000002000000}" name="Domain"/>
    <tableColumn id="3" xr3:uid="{00000000-0010-0000-1200-000003000000}" name="Subdomain"/>
    <tableColumn id="4" xr3:uid="{00000000-0010-0000-1200-000004000000}" name="Question"/>
    <tableColumn id="5" xr3:uid="{00000000-0010-0000-1200-000005000000}" name="Score 0 → 1 recommendation"/>
    <tableColumn id="6" xr3:uid="{00000000-0010-0000-1200-000006000000}" name="Score 1 → 2 recommendation"/>
    <tableColumn id="7" xr3:uid="{00000000-0010-0000-1200-000007000000}" name="Score 2 → 3 recommendation"/>
    <tableColumn id="8" xr3:uid="{00000000-0010-0000-1200-000008000000}" name="Score 3 → 4 recommendation"/>
    <tableColumn id="9" xr3:uid="{00000000-0010-0000-1200-000009000000}" name="Score 4 → 5 recommendation"/>
    <tableColumn id="10" xr3:uid="{00000000-0010-0000-1200-00000A000000}" name="Score 5 sustain recommendation"/>
    <tableColumn id="11" xr3:uid="{00000000-0010-0000-1200-00000B000000}" name="Expected benefit"/>
    <tableColumn id="12" xr3:uid="{00000000-0010-0000-1200-00000C000000}" name="Complexity if score 0"/>
    <tableColumn id="13" xr3:uid="{00000000-0010-0000-1200-00000D000000}" name="Complexity if score 1"/>
    <tableColumn id="14" xr3:uid="{00000000-0010-0000-1200-00000E000000}" name="Complexity if score 2"/>
    <tableColumn id="15" xr3:uid="{00000000-0010-0000-1200-00000F000000}" name="Complexity if score 3"/>
    <tableColumn id="16" xr3:uid="{00000000-0010-0000-1200-000010000000}" name="Complexity if score 4"/>
    <tableColumn id="17" xr3:uid="{00000000-0010-0000-1200-000011000000}" name="Complexity if score 5"/>
    <tableColumn id="18" xr3:uid="{00000000-0010-0000-1200-000012000000}" name="Standards / frameworks"/>
    <tableColumn id="19" xr3:uid="{00000000-0010-0000-1200-000013000000}" name="Evidence to request"/>
    <tableColumn id="20" xr3:uid="{00000000-0010-0000-1200-000014000000}" name="Crisis tags"/>
    <tableColumn id="21" xr3:uid="{00000000-0010-0000-1200-000015000000}" name="Owner / SME"/>
    <tableColumn id="22" xr3:uid="{00000000-0010-0000-1200-000016000000}" name="Source sheet row"/>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ExecutiveRecommendationsTable" displayName="ExecutiveRecommendationsTable" ref="A7:AC414">
  <tableColumns count="29">
    <tableColumn id="1" xr3:uid="{00000000-0010-0000-1300-000001000000}" name="Rank"/>
    <tableColumn id="2" xr3:uid="{00000000-0010-0000-1300-000002000000}" name="Show"/>
    <tableColumn id="3" xr3:uid="{00000000-0010-0000-1300-000003000000}" name="Domain"/>
    <tableColumn id="4" xr3:uid="{00000000-0010-0000-1300-000004000000}" name="Subdomain"/>
    <tableColumn id="5" xr3:uid="{00000000-0010-0000-1300-000005000000}" name="Question ID"/>
    <tableColumn id="6" xr3:uid="{00000000-0010-0000-1300-000006000000}" name="Question"/>
    <tableColumn id="7" xr3:uid="{00000000-0010-0000-1300-000007000000}" name="Current score"/>
    <tableColumn id="8" xr3:uid="{00000000-0010-0000-1300-000008000000}" name="Target level"/>
    <tableColumn id="9" xr3:uid="{00000000-0010-0000-1300-000009000000}" name="Risk level"/>
    <tableColumn id="10" xr3:uid="{00000000-0010-0000-1300-00000A000000}" name="Recommendation"/>
    <tableColumn id="11" xr3:uid="{00000000-0010-0000-1300-00000B000000}" name="Expected benefit"/>
    <tableColumn id="12" xr3:uid="{00000000-0010-0000-1300-00000C000000}" name="Priority score"/>
    <tableColumn id="13" xr3:uid="{00000000-0010-0000-1300-00000D000000}" name="Complexity / job size"/>
    <tableColumn id="14" xr3:uid="{00000000-0010-0000-1300-00000E000000}" name="Business value"/>
    <tableColumn id="15" xr3:uid="{00000000-0010-0000-1300-00000F000000}" name="Time criticality"/>
    <tableColumn id="16" xr3:uid="{00000000-0010-0000-1300-000010000000}" name="Risk reduction"/>
    <tableColumn id="17" xr3:uid="{00000000-0010-0000-1300-000011000000}" name="Opportunity enablement"/>
    <tableColumn id="18" xr3:uid="{00000000-0010-0000-1300-000012000000}" name="WSJF"/>
    <tableColumn id="19" xr3:uid="{00000000-0010-0000-1300-000013000000}" name="Question weight"/>
    <tableColumn id="20" xr3:uid="{00000000-0010-0000-1300-000014000000}" name="Digitalization relevance"/>
    <tableColumn id="21" xr3:uid="{00000000-0010-0000-1300-000015000000}" name="Resilience relevance"/>
    <tableColumn id="22" xr3:uid="{00000000-0010-0000-1300-000016000000}" name="Process maturity relevance"/>
    <tableColumn id="23" xr3:uid="{00000000-0010-0000-1300-000017000000}" name="Crisis tags"/>
    <tableColumn id="24" xr3:uid="{00000000-0010-0000-1300-000018000000}" name="Owner / SME"/>
    <tableColumn id="25" xr3:uid="{00000000-0010-0000-1300-000019000000}" name="Evidence to request"/>
    <tableColumn id="26" xr3:uid="{00000000-0010-0000-1300-00001A000000}" name="Comments / findings"/>
    <tableColumn id="27" xr3:uid="{00000000-0010-0000-1300-00001B000000}" name="Action owner"/>
    <tableColumn id="28" xr3:uid="{00000000-0010-0000-1300-00001C000000}" name="Due date"/>
    <tableColumn id="29" xr3:uid="{00000000-0010-0000-1300-00001D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8.vml"/><Relationship Id="rId1" Type="http://schemas.openxmlformats.org/officeDocument/2006/relationships/drawing" Target="../drawings/drawing6.xml"/><Relationship Id="rId4" Type="http://schemas.openxmlformats.org/officeDocument/2006/relationships/comments" Target="../comments8.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9.vml"/><Relationship Id="rId1" Type="http://schemas.openxmlformats.org/officeDocument/2006/relationships/drawing" Target="../drawings/drawing7.xml"/><Relationship Id="rId4" Type="http://schemas.openxmlformats.org/officeDocument/2006/relationships/comments" Target="../comments9.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0.vml"/><Relationship Id="rId1" Type="http://schemas.openxmlformats.org/officeDocument/2006/relationships/drawing" Target="../drawings/drawing8.xml"/><Relationship Id="rId4" Type="http://schemas.openxmlformats.org/officeDocument/2006/relationships/comments" Target="../comments10.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1.vml"/><Relationship Id="rId1" Type="http://schemas.openxmlformats.org/officeDocument/2006/relationships/drawing" Target="../drawings/drawing9.xml"/><Relationship Id="rId4" Type="http://schemas.openxmlformats.org/officeDocument/2006/relationships/comments" Target="../comments11.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12.vml"/><Relationship Id="rId1" Type="http://schemas.openxmlformats.org/officeDocument/2006/relationships/drawing" Target="../drawings/drawing10.xml"/><Relationship Id="rId4" Type="http://schemas.openxmlformats.org/officeDocument/2006/relationships/comments" Target="../comments12.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13.vml"/><Relationship Id="rId1" Type="http://schemas.openxmlformats.org/officeDocument/2006/relationships/drawing" Target="../drawings/drawing11.xml"/><Relationship Id="rId4" Type="http://schemas.openxmlformats.org/officeDocument/2006/relationships/comments" Target="../comments1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14.vml"/><Relationship Id="rId1" Type="http://schemas.openxmlformats.org/officeDocument/2006/relationships/drawing" Target="../drawings/drawing12.xml"/><Relationship Id="rId4" Type="http://schemas.openxmlformats.org/officeDocument/2006/relationships/comments" Target="../comments14.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15.vml"/><Relationship Id="rId1" Type="http://schemas.openxmlformats.org/officeDocument/2006/relationships/drawing" Target="../drawings/drawing13.xml"/><Relationship Id="rId4" Type="http://schemas.openxmlformats.org/officeDocument/2006/relationships/comments" Target="../comments15.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16.vml"/><Relationship Id="rId1" Type="http://schemas.openxmlformats.org/officeDocument/2006/relationships/drawing" Target="../drawings/drawing14.xml"/><Relationship Id="rId4" Type="http://schemas.openxmlformats.org/officeDocument/2006/relationships/comments" Target="../comments1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17.vml"/><Relationship Id="rId1" Type="http://schemas.openxmlformats.org/officeDocument/2006/relationships/drawing" Target="../drawings/drawing15.xml"/><Relationship Id="rId4" Type="http://schemas.openxmlformats.org/officeDocument/2006/relationships/comments" Target="../comments17.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18.vml"/><Relationship Id="rId1" Type="http://schemas.openxmlformats.org/officeDocument/2006/relationships/drawing" Target="../drawings/drawing16.xml"/><Relationship Id="rId4" Type="http://schemas.openxmlformats.org/officeDocument/2006/relationships/comments" Target="../comments18.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19.vml"/><Relationship Id="rId1" Type="http://schemas.openxmlformats.org/officeDocument/2006/relationships/drawing" Target="../drawings/drawing17.xml"/><Relationship Id="rId4" Type="http://schemas.openxmlformats.org/officeDocument/2006/relationships/comments" Target="../comments19.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20.vml"/><Relationship Id="rId1" Type="http://schemas.openxmlformats.org/officeDocument/2006/relationships/drawing" Target="../drawings/drawing18.xml"/><Relationship Id="rId4" Type="http://schemas.openxmlformats.org/officeDocument/2006/relationships/comments" Target="../comments20.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21.vml"/><Relationship Id="rId1" Type="http://schemas.openxmlformats.org/officeDocument/2006/relationships/drawing" Target="../drawings/drawing19.xml"/><Relationship Id="rId4" Type="http://schemas.openxmlformats.org/officeDocument/2006/relationships/comments" Target="../comments21.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22.vml"/><Relationship Id="rId1" Type="http://schemas.openxmlformats.org/officeDocument/2006/relationships/drawing" Target="../drawings/drawing20.xml"/><Relationship Id="rId4" Type="http://schemas.openxmlformats.org/officeDocument/2006/relationships/comments" Target="../comments22.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vmlDrawing" Target="../drawings/vmlDrawing23.vml"/><Relationship Id="rId1" Type="http://schemas.openxmlformats.org/officeDocument/2006/relationships/drawing" Target="../drawings/drawing21.xml"/><Relationship Id="rId4" Type="http://schemas.openxmlformats.org/officeDocument/2006/relationships/comments" Target="../comments23.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vmlDrawing" Target="../drawings/vmlDrawing24.vml"/><Relationship Id="rId1" Type="http://schemas.openxmlformats.org/officeDocument/2006/relationships/drawing" Target="../drawings/drawing22.xml"/><Relationship Id="rId4" Type="http://schemas.openxmlformats.org/officeDocument/2006/relationships/comments" Target="../comments2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sheetPr>
    <tabColor rgb="FF00B050"/>
  </sheetPr>
  <dimension ref="B1:C31"/>
  <sheetViews>
    <sheetView showGridLines="0" tabSelected="1" workbookViewId="0"/>
  </sheetViews>
  <sheetFormatPr defaultRowHeight="14.25"/>
  <cols>
    <col min="1" max="1" width="3" customWidth="1"/>
    <col min="2" max="2" width="34" customWidth="1"/>
    <col min="3" max="3" width="88" customWidth="1"/>
  </cols>
  <sheetData>
    <row r="1" spans="2:3" ht="23.25">
      <c r="B1" s="135" t="s">
        <v>0</v>
      </c>
    </row>
    <row r="2" spans="2:3">
      <c r="B2" s="136" t="s">
        <v>1</v>
      </c>
    </row>
    <row r="4" spans="2:3" ht="15.75">
      <c r="B4" s="137" t="s">
        <v>2</v>
      </c>
    </row>
    <row r="5" spans="2:3">
      <c r="B5" s="138" t="s">
        <v>3</v>
      </c>
      <c r="C5" s="139" t="s">
        <v>4</v>
      </c>
    </row>
    <row r="6" spans="2:3">
      <c r="B6" s="140" t="s">
        <v>3</v>
      </c>
      <c r="C6" s="139" t="s">
        <v>5</v>
      </c>
    </row>
    <row r="7" spans="2:3">
      <c r="B7" s="141" t="s">
        <v>3</v>
      </c>
      <c r="C7" s="139" t="s">
        <v>6</v>
      </c>
    </row>
    <row r="8" spans="2:3" ht="25.5">
      <c r="B8" s="142" t="s">
        <v>3</v>
      </c>
      <c r="C8" s="139" t="s">
        <v>7</v>
      </c>
    </row>
    <row r="9" spans="2:3">
      <c r="B9" s="143" t="s">
        <v>3</v>
      </c>
      <c r="C9" s="139" t="s">
        <v>8</v>
      </c>
    </row>
    <row r="10" spans="2:3" ht="25.5">
      <c r="B10" s="144" t="s">
        <v>3</v>
      </c>
      <c r="C10" s="139" t="s">
        <v>9</v>
      </c>
    </row>
    <row r="12" spans="2:3" ht="15.75">
      <c r="B12" s="137" t="s">
        <v>10</v>
      </c>
    </row>
    <row r="13" spans="2:3">
      <c r="B13" s="145" t="s">
        <v>3</v>
      </c>
      <c r="C13" s="146" t="s">
        <v>11</v>
      </c>
    </row>
    <row r="14" spans="2:3">
      <c r="B14" s="147" t="s">
        <v>3</v>
      </c>
      <c r="C14" s="146" t="s">
        <v>12</v>
      </c>
    </row>
    <row r="15" spans="2:3">
      <c r="B15" s="109" t="s">
        <v>3</v>
      </c>
      <c r="C15" s="146" t="s">
        <v>13</v>
      </c>
    </row>
    <row r="16" spans="2:3">
      <c r="B16" s="117" t="s">
        <v>3</v>
      </c>
      <c r="C16" s="146" t="s">
        <v>14</v>
      </c>
    </row>
    <row r="18" spans="2:3" ht="15.75">
      <c r="B18" s="137" t="s">
        <v>15</v>
      </c>
    </row>
    <row r="19" spans="2:3" ht="30" customHeight="1">
      <c r="B19" s="148" t="s">
        <v>16</v>
      </c>
      <c r="C19" s="149" t="s">
        <v>17</v>
      </c>
    </row>
    <row r="20" spans="2:3" ht="30" customHeight="1">
      <c r="B20" s="148" t="s">
        <v>18</v>
      </c>
      <c r="C20" s="149" t="s">
        <v>19</v>
      </c>
    </row>
    <row r="21" spans="2:3" ht="30" customHeight="1">
      <c r="B21" s="148" t="s">
        <v>20</v>
      </c>
      <c r="C21" s="149" t="s">
        <v>21</v>
      </c>
    </row>
    <row r="22" spans="2:3" ht="30" customHeight="1">
      <c r="B22" s="148" t="s">
        <v>22</v>
      </c>
      <c r="C22" s="149" t="s">
        <v>23</v>
      </c>
    </row>
    <row r="23" spans="2:3" ht="30" customHeight="1">
      <c r="B23" s="148" t="s">
        <v>24</v>
      </c>
      <c r="C23" s="149" t="s">
        <v>25</v>
      </c>
    </row>
    <row r="24" spans="2:3" ht="30" customHeight="1">
      <c r="B24" s="148" t="s">
        <v>26</v>
      </c>
      <c r="C24" s="149" t="s">
        <v>27</v>
      </c>
    </row>
    <row r="26" spans="2:3" ht="15.75">
      <c r="B26" s="137" t="s">
        <v>28</v>
      </c>
    </row>
    <row r="27" spans="2:3" ht="27.95" customHeight="1">
      <c r="C27" s="149" t="s">
        <v>29</v>
      </c>
    </row>
    <row r="28" spans="2:3" ht="27.95" customHeight="1">
      <c r="C28" s="149" t="s">
        <v>30</v>
      </c>
    </row>
    <row r="29" spans="2:3" ht="27.95" customHeight="1">
      <c r="C29" s="149" t="s">
        <v>31</v>
      </c>
    </row>
    <row r="30" spans="2:3" ht="27.95" customHeight="1">
      <c r="C30" s="149" t="s">
        <v>32</v>
      </c>
    </row>
    <row r="31" spans="2:3" ht="27.95" customHeight="1">
      <c r="C31" s="149" t="s">
        <v>33</v>
      </c>
    </row>
  </sheetData>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2.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100-000000000000}">
  <sheetPr>
    <tabColor rgb="FF548235"/>
  </sheetPr>
  <dimension ref="A1:V90"/>
  <sheetViews>
    <sheetView workbookViewId="0">
      <selection sqref="A1:V1"/>
    </sheetView>
  </sheetViews>
  <sheetFormatPr defaultRowHeight="14.25"/>
  <cols>
    <col min="1" max="1" width="26" customWidth="1"/>
    <col min="2" max="14" width="13" customWidth="1"/>
    <col min="15" max="15" width="28" customWidth="1"/>
    <col min="17" max="17" width="25" customWidth="1"/>
    <col min="18" max="18" width="16" customWidth="1"/>
    <col min="19" max="19" width="52" customWidth="1"/>
  </cols>
  <sheetData>
    <row r="1" spans="1:22" ht="27.95" customHeight="1">
      <c r="A1" s="160" t="s">
        <v>34</v>
      </c>
      <c r="B1" s="158"/>
      <c r="C1" s="158"/>
      <c r="D1" s="158"/>
      <c r="E1" s="158"/>
      <c r="F1" s="158"/>
      <c r="G1" s="158"/>
      <c r="H1" s="158"/>
      <c r="I1" s="158"/>
      <c r="J1" s="158"/>
      <c r="K1" s="158"/>
      <c r="L1" s="158"/>
      <c r="M1" s="158"/>
      <c r="N1" s="158"/>
      <c r="O1" s="158"/>
      <c r="P1" s="158"/>
      <c r="Q1" s="158"/>
      <c r="R1" s="158"/>
      <c r="S1" s="158"/>
      <c r="T1" s="158"/>
      <c r="U1" s="158"/>
      <c r="V1" s="158"/>
    </row>
    <row r="2" spans="1:22" ht="38.1" customHeight="1">
      <c r="A2" s="157" t="s">
        <v>35</v>
      </c>
      <c r="B2" s="158"/>
      <c r="C2" s="158"/>
      <c r="D2" s="158"/>
      <c r="E2" s="158"/>
      <c r="F2" s="158"/>
      <c r="G2" s="158"/>
      <c r="H2" s="158"/>
      <c r="I2" s="158"/>
      <c r="J2" s="158"/>
      <c r="K2" s="158"/>
      <c r="L2" s="158"/>
      <c r="M2" s="158"/>
      <c r="N2" s="158"/>
      <c r="O2" s="158"/>
      <c r="P2" s="158"/>
      <c r="Q2" s="158"/>
      <c r="R2" s="158"/>
      <c r="S2" s="158"/>
      <c r="T2" s="158"/>
      <c r="U2" s="158"/>
      <c r="V2" s="158"/>
    </row>
    <row r="4" spans="1:22" ht="30">
      <c r="A4" s="4" t="s">
        <v>36</v>
      </c>
      <c r="B4" s="4" t="s">
        <v>37</v>
      </c>
      <c r="C4" s="4" t="s">
        <v>38</v>
      </c>
      <c r="D4" s="4" t="s">
        <v>39</v>
      </c>
      <c r="E4" s="4" t="s">
        <v>40</v>
      </c>
      <c r="F4" s="4" t="s">
        <v>41</v>
      </c>
      <c r="G4" s="4" t="s">
        <v>42</v>
      </c>
      <c r="H4" s="4" t="s">
        <v>43</v>
      </c>
      <c r="I4" s="4" t="s">
        <v>44</v>
      </c>
      <c r="J4" s="4" t="s">
        <v>45</v>
      </c>
      <c r="K4" s="4" t="s">
        <v>46</v>
      </c>
      <c r="L4" s="4" t="s">
        <v>47</v>
      </c>
      <c r="M4" s="4" t="s">
        <v>48</v>
      </c>
      <c r="N4" s="4" t="s">
        <v>49</v>
      </c>
      <c r="O4" s="4" t="s">
        <v>50</v>
      </c>
      <c r="Q4" s="3" t="s">
        <v>51</v>
      </c>
      <c r="R4" s="3" t="s">
        <v>52</v>
      </c>
      <c r="S4" s="3" t="s">
        <v>53</v>
      </c>
    </row>
    <row r="5" spans="1:22">
      <c r="A5" s="5" t="s">
        <v>54</v>
      </c>
      <c r="B5" s="5">
        <v>20</v>
      </c>
      <c r="C5" s="5">
        <f>COUNTIF('Company Geography'!$H$5:$H$24,"N/A")+COUNTIF('Company Geography'!$H$5:$H$24,"0")+COUNTIF('Company Geography'!$H$5:$H$24,"1")+COUNTIF('Company Geography'!$H$5:$H$24,"2")+COUNTIF('Company Geography'!$H$5:$H$24,"3")+COUNTIF('Company Geography'!$H$5:$H$24,"4")+COUNTIF('Company Geography'!$H$5:$H$24,"5")</f>
        <v>0</v>
      </c>
      <c r="D5" s="9">
        <f t="shared" ref="D5:D21" si="0">IFERROR(C5/B5,0)</f>
        <v>0</v>
      </c>
      <c r="E5" s="10">
        <f>SUM('Company Geography'!$I$5:$I$24)</f>
        <v>0</v>
      </c>
      <c r="F5" s="10">
        <f>SUM('Company Geography'!$J$5:$J$24)</f>
        <v>0</v>
      </c>
      <c r="G5" s="10">
        <f t="shared" ref="G5:G21" si="1">IFERROR(E5/F5,0)</f>
        <v>0</v>
      </c>
      <c r="H5" s="10">
        <f t="shared" ref="H5:H21" si="2">G5*5</f>
        <v>0</v>
      </c>
      <c r="I5" s="10">
        <f>SUM('Company Geography'!$K$5:$K$24)</f>
        <v>0</v>
      </c>
      <c r="J5" s="5">
        <f>COUNTIF('Company Geography'!$L$5:$L$24,"Critical")</f>
        <v>0</v>
      </c>
      <c r="K5" s="5">
        <f>COUNTIF('Company Geography'!$L$5:$L$24,"High")</f>
        <v>0</v>
      </c>
      <c r="L5" s="5">
        <f>COUNTIF('Company Geography'!$L$5:$L$24,"Medium")</f>
        <v>0</v>
      </c>
      <c r="M5" s="5">
        <f>COUNTIF('Company Geography'!$L$5:$L$24,"Low")</f>
        <v>0</v>
      </c>
      <c r="N5" s="5">
        <f>COUNTIF('Company Geography'!$L$5:$L$24,"Resilient")</f>
        <v>0</v>
      </c>
      <c r="O5" s="5" t="str">
        <f t="shared" ref="O5:O21" si="3">IF(J5+K5&gt;0,"Review critical/high-risk gaps",IF(D5&lt;1,"Complete assessment","Monitor and improve"))</f>
        <v>Complete assessment</v>
      </c>
      <c r="Q5" t="s">
        <v>55</v>
      </c>
      <c r="R5" s="11">
        <f>SUM(B5:B21)</f>
        <v>407</v>
      </c>
      <c r="S5" t="s">
        <v>56</v>
      </c>
    </row>
    <row r="6" spans="1:22">
      <c r="A6" s="5" t="s">
        <v>57</v>
      </c>
      <c r="B6" s="5">
        <v>24</v>
      </c>
      <c r="C6" s="5">
        <f>COUNTIF('Strategy GTM'!$H$5:$H$28,"N/A")+COUNTIF('Strategy GTM'!$H$5:$H$28,"0")+COUNTIF('Strategy GTM'!$H$5:$H$28,"1")+COUNTIF('Strategy GTM'!$H$5:$H$28,"2")+COUNTIF('Strategy GTM'!$H$5:$H$28,"3")+COUNTIF('Strategy GTM'!$H$5:$H$28,"4")+COUNTIF('Strategy GTM'!$H$5:$H$28,"5")</f>
        <v>0</v>
      </c>
      <c r="D6" s="9">
        <f t="shared" si="0"/>
        <v>0</v>
      </c>
      <c r="E6" s="10">
        <f>SUM('Strategy GTM'!$I$5:$I$28)</f>
        <v>0</v>
      </c>
      <c r="F6" s="10">
        <f>SUM('Strategy GTM'!$J$5:$J$28)</f>
        <v>0</v>
      </c>
      <c r="G6" s="10">
        <f t="shared" si="1"/>
        <v>0</v>
      </c>
      <c r="H6" s="10">
        <f t="shared" si="2"/>
        <v>0</v>
      </c>
      <c r="I6" s="10">
        <f>SUM('Strategy GTM'!$K$5:$K$28)</f>
        <v>0</v>
      </c>
      <c r="J6" s="5">
        <f>COUNTIF('Strategy GTM'!$L$5:$L$28,"Critical")</f>
        <v>0</v>
      </c>
      <c r="K6" s="5">
        <f>COUNTIF('Strategy GTM'!$L$5:$L$28,"High")</f>
        <v>0</v>
      </c>
      <c r="L6" s="5">
        <f>COUNTIF('Strategy GTM'!$L$5:$L$28,"Medium")</f>
        <v>0</v>
      </c>
      <c r="M6" s="5">
        <f>COUNTIF('Strategy GTM'!$L$5:$L$28,"Low")</f>
        <v>0</v>
      </c>
      <c r="N6" s="5">
        <f>COUNTIF('Strategy GTM'!$L$5:$L$28,"Resilient")</f>
        <v>0</v>
      </c>
      <c r="O6" s="5" t="str">
        <f t="shared" si="3"/>
        <v>Complete assessment</v>
      </c>
      <c r="Q6" t="s">
        <v>58</v>
      </c>
      <c r="R6" s="11">
        <f>SUM(C5:C21)</f>
        <v>0</v>
      </c>
      <c r="S6" t="s">
        <v>59</v>
      </c>
    </row>
    <row r="7" spans="1:22">
      <c r="A7" s="5" t="s">
        <v>60</v>
      </c>
      <c r="B7" s="5">
        <v>19</v>
      </c>
      <c r="C7" s="5">
        <f>COUNTIF('Governance Crisis'!$H$5:$H$23,"N/A")+COUNTIF('Governance Crisis'!$H$5:$H$23,"0")+COUNTIF('Governance Crisis'!$H$5:$H$23,"1")+COUNTIF('Governance Crisis'!$H$5:$H$23,"2")+COUNTIF('Governance Crisis'!$H$5:$H$23,"3")+COUNTIF('Governance Crisis'!$H$5:$H$23,"4")+COUNTIF('Governance Crisis'!$H$5:$H$23,"5")</f>
        <v>0</v>
      </c>
      <c r="D7" s="9">
        <f t="shared" si="0"/>
        <v>0</v>
      </c>
      <c r="E7" s="10">
        <f>SUM('Governance Crisis'!$I$5:$I$23)</f>
        <v>0</v>
      </c>
      <c r="F7" s="10">
        <f>SUM('Governance Crisis'!$J$5:$J$23)</f>
        <v>0</v>
      </c>
      <c r="G7" s="10">
        <f t="shared" si="1"/>
        <v>0</v>
      </c>
      <c r="H7" s="10">
        <f t="shared" si="2"/>
        <v>0</v>
      </c>
      <c r="I7" s="10">
        <f>SUM('Governance Crisis'!$K$5:$K$23)</f>
        <v>0</v>
      </c>
      <c r="J7" s="5">
        <f>COUNTIF('Governance Crisis'!$L$5:$L$23,"Critical")</f>
        <v>0</v>
      </c>
      <c r="K7" s="5">
        <f>COUNTIF('Governance Crisis'!$L$5:$L$23,"High")</f>
        <v>0</v>
      </c>
      <c r="L7" s="5">
        <f>COUNTIF('Governance Crisis'!$L$5:$L$23,"Medium")</f>
        <v>0</v>
      </c>
      <c r="M7" s="5">
        <f>COUNTIF('Governance Crisis'!$L$5:$L$23,"Low")</f>
        <v>0</v>
      </c>
      <c r="N7" s="5">
        <f>COUNTIF('Governance Crisis'!$L$5:$L$23,"Resilient")</f>
        <v>0</v>
      </c>
      <c r="O7" s="5" t="str">
        <f t="shared" si="3"/>
        <v>Complete assessment</v>
      </c>
      <c r="Q7" t="s">
        <v>61</v>
      </c>
      <c r="R7" s="11">
        <f>IFERROR(R6/R5,0)</f>
        <v>0</v>
      </c>
      <c r="S7" t="s">
        <v>62</v>
      </c>
    </row>
    <row r="8" spans="1:22">
      <c r="A8" s="5" t="s">
        <v>63</v>
      </c>
      <c r="B8" s="5">
        <v>24</v>
      </c>
      <c r="C8" s="5">
        <f>COUNTIF('HR Workforce'!$H$5:$H$28,"N/A")+COUNTIF('HR Workforce'!$H$5:$H$28,"0")+COUNTIF('HR Workforce'!$H$5:$H$28,"1")+COUNTIF('HR Workforce'!$H$5:$H$28,"2")+COUNTIF('HR Workforce'!$H$5:$H$28,"3")+COUNTIF('HR Workforce'!$H$5:$H$28,"4")+COUNTIF('HR Workforce'!$H$5:$H$28,"5")</f>
        <v>0</v>
      </c>
      <c r="D8" s="9">
        <f t="shared" si="0"/>
        <v>0</v>
      </c>
      <c r="E8" s="10">
        <f>SUM('HR Workforce'!$I$5:$I$28)</f>
        <v>0</v>
      </c>
      <c r="F8" s="10">
        <f>SUM('HR Workforce'!$J$5:$J$28)</f>
        <v>0</v>
      </c>
      <c r="G8" s="10">
        <f t="shared" si="1"/>
        <v>0</v>
      </c>
      <c r="H8" s="10">
        <f t="shared" si="2"/>
        <v>0</v>
      </c>
      <c r="I8" s="10">
        <f>SUM('HR Workforce'!$K$5:$K$28)</f>
        <v>0</v>
      </c>
      <c r="J8" s="5">
        <f>COUNTIF('HR Workforce'!$L$5:$L$28,"Critical")</f>
        <v>0</v>
      </c>
      <c r="K8" s="5">
        <f>COUNTIF('HR Workforce'!$L$5:$L$28,"High")</f>
        <v>0</v>
      </c>
      <c r="L8" s="5">
        <f>COUNTIF('HR Workforce'!$L$5:$L$28,"Medium")</f>
        <v>0</v>
      </c>
      <c r="M8" s="5">
        <f>COUNTIF('HR Workforce'!$L$5:$L$28,"Low")</f>
        <v>0</v>
      </c>
      <c r="N8" s="5">
        <f>COUNTIF('HR Workforce'!$L$5:$L$28,"Resilient")</f>
        <v>0</v>
      </c>
      <c r="O8" s="5" t="str">
        <f t="shared" si="3"/>
        <v>Complete assessment</v>
      </c>
      <c r="Q8" t="s">
        <v>64</v>
      </c>
      <c r="R8" s="11">
        <f>IFERROR(SUM(E5:E21)/SUM(F5:F21),0)</f>
        <v>0</v>
      </c>
      <c r="S8" t="s">
        <v>65</v>
      </c>
    </row>
    <row r="9" spans="1:22">
      <c r="A9" s="5" t="s">
        <v>66</v>
      </c>
      <c r="B9" s="5">
        <v>24</v>
      </c>
      <c r="C9" s="5">
        <f>COUNTIF('Finance Procurement'!$H$5:$H$28,"N/A")+COUNTIF('Finance Procurement'!$H$5:$H$28,"0")+COUNTIF('Finance Procurement'!$H$5:$H$28,"1")+COUNTIF('Finance Procurement'!$H$5:$H$28,"2")+COUNTIF('Finance Procurement'!$H$5:$H$28,"3")+COUNTIF('Finance Procurement'!$H$5:$H$28,"4")+COUNTIF('Finance Procurement'!$H$5:$H$28,"5")</f>
        <v>0</v>
      </c>
      <c r="D9" s="9">
        <f t="shared" si="0"/>
        <v>0</v>
      </c>
      <c r="E9" s="10">
        <f>SUM('Finance Procurement'!$I$5:$I$28)</f>
        <v>0</v>
      </c>
      <c r="F9" s="10">
        <f>SUM('Finance Procurement'!$J$5:$J$28)</f>
        <v>0</v>
      </c>
      <c r="G9" s="10">
        <f t="shared" si="1"/>
        <v>0</v>
      </c>
      <c r="H9" s="10">
        <f t="shared" si="2"/>
        <v>0</v>
      </c>
      <c r="I9" s="10">
        <f>SUM('Finance Procurement'!$K$5:$K$28)</f>
        <v>0</v>
      </c>
      <c r="J9" s="5">
        <f>COUNTIF('Finance Procurement'!$L$5:$L$28,"Critical")</f>
        <v>0</v>
      </c>
      <c r="K9" s="5">
        <f>COUNTIF('Finance Procurement'!$L$5:$L$28,"High")</f>
        <v>0</v>
      </c>
      <c r="L9" s="5">
        <f>COUNTIF('Finance Procurement'!$L$5:$L$28,"Medium")</f>
        <v>0</v>
      </c>
      <c r="M9" s="5">
        <f>COUNTIF('Finance Procurement'!$L$5:$L$28,"Low")</f>
        <v>0</v>
      </c>
      <c r="N9" s="5">
        <f>COUNTIF('Finance Procurement'!$L$5:$L$28,"Resilient")</f>
        <v>0</v>
      </c>
      <c r="O9" s="5" t="str">
        <f t="shared" si="3"/>
        <v>Complete assessment</v>
      </c>
      <c r="Q9" t="s">
        <v>67</v>
      </c>
      <c r="R9" s="11">
        <f>R8*5</f>
        <v>0</v>
      </c>
      <c r="S9" t="s">
        <v>68</v>
      </c>
    </row>
    <row r="10" spans="1:22">
      <c r="A10" s="5" t="s">
        <v>69</v>
      </c>
      <c r="B10" s="5">
        <v>20</v>
      </c>
      <c r="C10" s="5">
        <f>COUNTIF('Legal Risk'!$H$5:$H$24,"N/A")+COUNTIF('Legal Risk'!$H$5:$H$24,"0")+COUNTIF('Legal Risk'!$H$5:$H$24,"1")+COUNTIF('Legal Risk'!$H$5:$H$24,"2")+COUNTIF('Legal Risk'!$H$5:$H$24,"3")+COUNTIF('Legal Risk'!$H$5:$H$24,"4")+COUNTIF('Legal Risk'!$H$5:$H$24,"5")</f>
        <v>0</v>
      </c>
      <c r="D10" s="9">
        <f t="shared" si="0"/>
        <v>0</v>
      </c>
      <c r="E10" s="10">
        <f>SUM('Legal Risk'!$I$5:$I$24)</f>
        <v>0</v>
      </c>
      <c r="F10" s="10">
        <f>SUM('Legal Risk'!$J$5:$J$24)</f>
        <v>0</v>
      </c>
      <c r="G10" s="10">
        <f t="shared" si="1"/>
        <v>0</v>
      </c>
      <c r="H10" s="10">
        <f t="shared" si="2"/>
        <v>0</v>
      </c>
      <c r="I10" s="10">
        <f>SUM('Legal Risk'!$K$5:$K$24)</f>
        <v>0</v>
      </c>
      <c r="J10" s="5">
        <f>COUNTIF('Legal Risk'!$L$5:$L$24,"Critical")</f>
        <v>0</v>
      </c>
      <c r="K10" s="5">
        <f>COUNTIF('Legal Risk'!$L$5:$L$24,"High")</f>
        <v>0</v>
      </c>
      <c r="L10" s="5">
        <f>COUNTIF('Legal Risk'!$L$5:$L$24,"Medium")</f>
        <v>0</v>
      </c>
      <c r="M10" s="5">
        <f>COUNTIF('Legal Risk'!$L$5:$L$24,"Low")</f>
        <v>0</v>
      </c>
      <c r="N10" s="5">
        <f>COUNTIF('Legal Risk'!$L$5:$L$24,"Resilient")</f>
        <v>0</v>
      </c>
      <c r="O10" s="5" t="str">
        <f t="shared" si="3"/>
        <v>Complete assessment</v>
      </c>
      <c r="Q10" t="s">
        <v>70</v>
      </c>
      <c r="R10" s="11">
        <f>SUM(J5:J21)</f>
        <v>0</v>
      </c>
      <c r="S10" t="s">
        <v>71</v>
      </c>
    </row>
    <row r="11" spans="1:22">
      <c r="A11" s="5" t="s">
        <v>72</v>
      </c>
      <c r="B11" s="5">
        <v>28</v>
      </c>
      <c r="C11" s="5">
        <f>COUNTIF('Physical Safety'!$H$5:$H$32,"N/A")+COUNTIF('Physical Safety'!$H$5:$H$32,"0")+COUNTIF('Physical Safety'!$H$5:$H$32,"1")+COUNTIF('Physical Safety'!$H$5:$H$32,"2")+COUNTIF('Physical Safety'!$H$5:$H$32,"3")+COUNTIF('Physical Safety'!$H$5:$H$32,"4")+COUNTIF('Physical Safety'!$H$5:$H$32,"5")</f>
        <v>0</v>
      </c>
      <c r="D11" s="9">
        <f t="shared" si="0"/>
        <v>0</v>
      </c>
      <c r="E11" s="10">
        <f>SUM('Physical Safety'!$I$5:$I$32)</f>
        <v>0</v>
      </c>
      <c r="F11" s="10">
        <f>SUM('Physical Safety'!$J$5:$J$32)</f>
        <v>0</v>
      </c>
      <c r="G11" s="10">
        <f t="shared" si="1"/>
        <v>0</v>
      </c>
      <c r="H11" s="10">
        <f t="shared" si="2"/>
        <v>0</v>
      </c>
      <c r="I11" s="10">
        <f>SUM('Physical Safety'!$K$5:$K$32)</f>
        <v>0</v>
      </c>
      <c r="J11" s="5">
        <f>COUNTIF('Physical Safety'!$L$5:$L$32,"Critical")</f>
        <v>0</v>
      </c>
      <c r="K11" s="5">
        <f>COUNTIF('Physical Safety'!$L$5:$L$32,"High")</f>
        <v>0</v>
      </c>
      <c r="L11" s="5">
        <f>COUNTIF('Physical Safety'!$L$5:$L$32,"Medium")</f>
        <v>0</v>
      </c>
      <c r="M11" s="5">
        <f>COUNTIF('Physical Safety'!$L$5:$L$32,"Low")</f>
        <v>0</v>
      </c>
      <c r="N11" s="5">
        <f>COUNTIF('Physical Safety'!$L$5:$L$32,"Resilient")</f>
        <v>0</v>
      </c>
      <c r="O11" s="5" t="str">
        <f t="shared" si="3"/>
        <v>Complete assessment</v>
      </c>
      <c r="Q11" t="s">
        <v>73</v>
      </c>
      <c r="R11" s="11">
        <f>SUM(K5:K21)</f>
        <v>0</v>
      </c>
      <c r="S11" t="s">
        <v>74</v>
      </c>
    </row>
    <row r="12" spans="1:22">
      <c r="A12" s="5" t="s">
        <v>75</v>
      </c>
      <c r="B12" s="5">
        <v>24</v>
      </c>
      <c r="C12" s="5">
        <f>COUNTIF('Delivery Ops'!$H$5:$H$28,"N/A")+COUNTIF('Delivery Ops'!$H$5:$H$28,"0")+COUNTIF('Delivery Ops'!$H$5:$H$28,"1")+COUNTIF('Delivery Ops'!$H$5:$H$28,"2")+COUNTIF('Delivery Ops'!$H$5:$H$28,"3")+COUNTIF('Delivery Ops'!$H$5:$H$28,"4")+COUNTIF('Delivery Ops'!$H$5:$H$28,"5")</f>
        <v>0</v>
      </c>
      <c r="D12" s="9">
        <f t="shared" si="0"/>
        <v>0</v>
      </c>
      <c r="E12" s="10">
        <f>SUM('Delivery Ops'!$I$5:$I$28)</f>
        <v>0</v>
      </c>
      <c r="F12" s="10">
        <f>SUM('Delivery Ops'!$J$5:$J$28)</f>
        <v>0</v>
      </c>
      <c r="G12" s="10">
        <f t="shared" si="1"/>
        <v>0</v>
      </c>
      <c r="H12" s="10">
        <f t="shared" si="2"/>
        <v>0</v>
      </c>
      <c r="I12" s="10">
        <f>SUM('Delivery Ops'!$K$5:$K$28)</f>
        <v>0</v>
      </c>
      <c r="J12" s="5">
        <f>COUNTIF('Delivery Ops'!$L$5:$L$28,"Critical")</f>
        <v>0</v>
      </c>
      <c r="K12" s="5">
        <f>COUNTIF('Delivery Ops'!$L$5:$L$28,"High")</f>
        <v>0</v>
      </c>
      <c r="L12" s="5">
        <f>COUNTIF('Delivery Ops'!$L$5:$L$28,"Medium")</f>
        <v>0</v>
      </c>
      <c r="M12" s="5">
        <f>COUNTIF('Delivery Ops'!$L$5:$L$28,"Low")</f>
        <v>0</v>
      </c>
      <c r="N12" s="5">
        <f>COUNTIF('Delivery Ops'!$L$5:$L$28,"Resilient")</f>
        <v>0</v>
      </c>
      <c r="O12" s="5" t="str">
        <f t="shared" si="3"/>
        <v>Complete assessment</v>
      </c>
      <c r="Q12" t="s">
        <v>76</v>
      </c>
      <c r="R12" s="11">
        <f>SUM(I5:I21)</f>
        <v>0</v>
      </c>
      <c r="S12" t="s">
        <v>77</v>
      </c>
    </row>
    <row r="13" spans="1:22" ht="15">
      <c r="A13" s="5" t="s">
        <v>78</v>
      </c>
      <c r="B13" s="5">
        <v>25</v>
      </c>
      <c r="C13" s="5">
        <f>COUNTIF('Supply Chain'!$H$5:$H$29,"N/A")+COUNTIF('Supply Chain'!$H$5:$H$29,"0")+COUNTIF('Supply Chain'!$H$5:$H$29,"1")+COUNTIF('Supply Chain'!$H$5:$H$29,"2")+COUNTIF('Supply Chain'!$H$5:$H$29,"3")+COUNTIF('Supply Chain'!$H$5:$H$29,"4")+COUNTIF('Supply Chain'!$H$5:$H$29,"5")</f>
        <v>0</v>
      </c>
      <c r="D13" s="9">
        <f t="shared" si="0"/>
        <v>0</v>
      </c>
      <c r="E13" s="10">
        <f>SUM('Supply Chain'!$I$5:$I$29)</f>
        <v>0</v>
      </c>
      <c r="F13" s="10">
        <f>SUM('Supply Chain'!$J$5:$J$29)</f>
        <v>0</v>
      </c>
      <c r="G13" s="10">
        <f t="shared" si="1"/>
        <v>0</v>
      </c>
      <c r="H13" s="10">
        <f t="shared" si="2"/>
        <v>0</v>
      </c>
      <c r="I13" s="10">
        <f>SUM('Supply Chain'!$K$5:$K$29)</f>
        <v>0</v>
      </c>
      <c r="J13" s="5">
        <f>COUNTIF('Supply Chain'!$L$5:$L$29,"Critical")</f>
        <v>0</v>
      </c>
      <c r="K13" s="5">
        <f>COUNTIF('Supply Chain'!$L$5:$L$29,"High")</f>
        <v>0</v>
      </c>
      <c r="L13" s="5">
        <f>COUNTIF('Supply Chain'!$L$5:$L$29,"Medium")</f>
        <v>0</v>
      </c>
      <c r="M13" s="5">
        <f>COUNTIF('Supply Chain'!$L$5:$L$29,"Low")</f>
        <v>0</v>
      </c>
      <c r="N13" s="5">
        <f>COUNTIF('Supply Chain'!$L$5:$L$29,"Resilient")</f>
        <v>0</v>
      </c>
      <c r="O13" s="5" t="str">
        <f t="shared" si="3"/>
        <v>Complete assessment</v>
      </c>
      <c r="Q13" s="40" t="s">
        <v>79</v>
      </c>
      <c r="R13" s="41" t="str">
        <f>'Crisis Simulator'!$B$4</f>
        <v>War / security crisis</v>
      </c>
      <c r="S13" s="42" t="s">
        <v>80</v>
      </c>
    </row>
    <row r="14" spans="1:22" ht="15">
      <c r="A14" s="5" t="s">
        <v>81</v>
      </c>
      <c r="B14" s="5">
        <v>28</v>
      </c>
      <c r="C14" s="5">
        <f>COUNTIF('Manufacturing MES'!$H$5:$H$32,"N/A")+COUNTIF('Manufacturing MES'!$H$5:$H$32,"0")+COUNTIF('Manufacturing MES'!$H$5:$H$32,"1")+COUNTIF('Manufacturing MES'!$H$5:$H$32,"2")+COUNTIF('Manufacturing MES'!$H$5:$H$32,"3")+COUNTIF('Manufacturing MES'!$H$5:$H$32,"4")+COUNTIF('Manufacturing MES'!$H$5:$H$32,"5")</f>
        <v>0</v>
      </c>
      <c r="D14" s="9">
        <f t="shared" si="0"/>
        <v>0</v>
      </c>
      <c r="E14" s="10">
        <f>SUM('Manufacturing MES'!$I$5:$I$32)</f>
        <v>0</v>
      </c>
      <c r="F14" s="10">
        <f>SUM('Manufacturing MES'!$J$5:$J$32)</f>
        <v>0</v>
      </c>
      <c r="G14" s="10">
        <f t="shared" si="1"/>
        <v>0</v>
      </c>
      <c r="H14" s="10">
        <f t="shared" si="2"/>
        <v>0</v>
      </c>
      <c r="I14" s="10">
        <f>SUM('Manufacturing MES'!$K$5:$K$32)</f>
        <v>0</v>
      </c>
      <c r="J14" s="5">
        <f>COUNTIF('Manufacturing MES'!$L$5:$L$32,"Critical")</f>
        <v>0</v>
      </c>
      <c r="K14" s="5">
        <f>COUNTIF('Manufacturing MES'!$L$5:$L$32,"High")</f>
        <v>0</v>
      </c>
      <c r="L14" s="5">
        <f>COUNTIF('Manufacturing MES'!$L$5:$L$32,"Medium")</f>
        <v>0</v>
      </c>
      <c r="M14" s="5">
        <f>COUNTIF('Manufacturing MES'!$L$5:$L$32,"Low")</f>
        <v>0</v>
      </c>
      <c r="N14" s="5">
        <f>COUNTIF('Manufacturing MES'!$L$5:$L$32,"Resilient")</f>
        <v>0</v>
      </c>
      <c r="O14" s="5" t="str">
        <f t="shared" si="3"/>
        <v>Complete assessment</v>
      </c>
      <c r="Q14" s="40" t="s">
        <v>82</v>
      </c>
      <c r="R14" s="41">
        <f>'Crisis Simulator'!$B$5</f>
        <v>3</v>
      </c>
      <c r="S14" s="42" t="s">
        <v>83</v>
      </c>
    </row>
    <row r="15" spans="1:22" ht="15">
      <c r="A15" s="5" t="s">
        <v>84</v>
      </c>
      <c r="B15" s="5">
        <v>21</v>
      </c>
      <c r="C15" s="5">
        <f>COUNTIF('Sales CRM'!$H$5:$H$25,"N/A")+COUNTIF('Sales CRM'!$H$5:$H$25,"0")+COUNTIF('Sales CRM'!$H$5:$H$25,"1")+COUNTIF('Sales CRM'!$H$5:$H$25,"2")+COUNTIF('Sales CRM'!$H$5:$H$25,"3")+COUNTIF('Sales CRM'!$H$5:$H$25,"4")+COUNTIF('Sales CRM'!$H$5:$H$25,"5")</f>
        <v>0</v>
      </c>
      <c r="D15" s="9">
        <f t="shared" si="0"/>
        <v>0</v>
      </c>
      <c r="E15" s="10">
        <f>SUM('Sales CRM'!$I$5:$I$25)</f>
        <v>0</v>
      </c>
      <c r="F15" s="10">
        <f>SUM('Sales CRM'!$J$5:$J$25)</f>
        <v>0</v>
      </c>
      <c r="G15" s="10">
        <f t="shared" si="1"/>
        <v>0</v>
      </c>
      <c r="H15" s="10">
        <f t="shared" si="2"/>
        <v>0</v>
      </c>
      <c r="I15" s="10">
        <f>SUM('Sales CRM'!$K$5:$K$25)</f>
        <v>0</v>
      </c>
      <c r="J15" s="5">
        <f>COUNTIF('Sales CRM'!$L$5:$L$25,"Critical")</f>
        <v>0</v>
      </c>
      <c r="K15" s="5">
        <f>COUNTIF('Sales CRM'!$L$5:$L$25,"High")</f>
        <v>0</v>
      </c>
      <c r="L15" s="5">
        <f>COUNTIF('Sales CRM'!$L$5:$L$25,"Medium")</f>
        <v>0</v>
      </c>
      <c r="M15" s="5">
        <f>COUNTIF('Sales CRM'!$L$5:$L$25,"Low")</f>
        <v>0</v>
      </c>
      <c r="N15" s="5">
        <f>COUNTIF('Sales CRM'!$L$5:$L$25,"Resilient")</f>
        <v>0</v>
      </c>
      <c r="O15" s="5" t="str">
        <f t="shared" si="3"/>
        <v>Complete assessment</v>
      </c>
      <c r="Q15" s="40" t="s">
        <v>85</v>
      </c>
      <c r="R15" s="41" t="str">
        <f ca="1">'Crisis Simulator'!$O$7</f>
        <v/>
      </c>
      <c r="S15" s="42" t="s">
        <v>86</v>
      </c>
    </row>
    <row r="16" spans="1:22" ht="15">
      <c r="A16" s="5" t="s">
        <v>87</v>
      </c>
      <c r="B16" s="5">
        <v>17</v>
      </c>
      <c r="C16" s="5">
        <f>COUNTIF('Marketing Comms'!$H$5:$H$21,"N/A")+COUNTIF('Marketing Comms'!$H$5:$H$21,"0")+COUNTIF('Marketing Comms'!$H$5:$H$21,"1")+COUNTIF('Marketing Comms'!$H$5:$H$21,"2")+COUNTIF('Marketing Comms'!$H$5:$H$21,"3")+COUNTIF('Marketing Comms'!$H$5:$H$21,"4")+COUNTIF('Marketing Comms'!$H$5:$H$21,"5")</f>
        <v>0</v>
      </c>
      <c r="D16" s="9">
        <f t="shared" si="0"/>
        <v>0</v>
      </c>
      <c r="E16" s="10">
        <f>SUM('Marketing Comms'!$I$5:$I$21)</f>
        <v>0</v>
      </c>
      <c r="F16" s="10">
        <f>SUM('Marketing Comms'!$J$5:$J$21)</f>
        <v>0</v>
      </c>
      <c r="G16" s="10">
        <f t="shared" si="1"/>
        <v>0</v>
      </c>
      <c r="H16" s="10">
        <f t="shared" si="2"/>
        <v>0</v>
      </c>
      <c r="I16" s="10">
        <f>SUM('Marketing Comms'!$K$5:$K$21)</f>
        <v>0</v>
      </c>
      <c r="J16" s="5">
        <f>COUNTIF('Marketing Comms'!$L$5:$L$21,"Critical")</f>
        <v>0</v>
      </c>
      <c r="K16" s="5">
        <f>COUNTIF('Marketing Comms'!$L$5:$L$21,"High")</f>
        <v>0</v>
      </c>
      <c r="L16" s="5">
        <f>COUNTIF('Marketing Comms'!$L$5:$L$21,"Medium")</f>
        <v>0</v>
      </c>
      <c r="M16" s="5">
        <f>COUNTIF('Marketing Comms'!$L$5:$L$21,"Low")</f>
        <v>0</v>
      </c>
      <c r="N16" s="5">
        <f>COUNTIF('Marketing Comms'!$L$5:$L$21,"Resilient")</f>
        <v>0</v>
      </c>
      <c r="O16" s="5" t="str">
        <f t="shared" si="3"/>
        <v>Complete assessment</v>
      </c>
      <c r="Q16" s="40" t="s">
        <v>88</v>
      </c>
      <c r="R16" s="41" t="str">
        <f ca="1">'Strategy Selection'!$B$6</f>
        <v/>
      </c>
      <c r="S16" s="42" t="s">
        <v>89</v>
      </c>
    </row>
    <row r="17" spans="1:15">
      <c r="A17" s="5" t="s">
        <v>90</v>
      </c>
      <c r="B17" s="5">
        <v>29</v>
      </c>
      <c r="C17" s="5">
        <f>COUNTIF('IT Cloud DR'!$H$5:$H$33,"N/A")+COUNTIF('IT Cloud DR'!$H$5:$H$33,"0")+COUNTIF('IT Cloud DR'!$H$5:$H$33,"1")+COUNTIF('IT Cloud DR'!$H$5:$H$33,"2")+COUNTIF('IT Cloud DR'!$H$5:$H$33,"3")+COUNTIF('IT Cloud DR'!$H$5:$H$33,"4")+COUNTIF('IT Cloud DR'!$H$5:$H$33,"5")</f>
        <v>0</v>
      </c>
      <c r="D17" s="9">
        <f t="shared" si="0"/>
        <v>0</v>
      </c>
      <c r="E17" s="10">
        <f>SUM('IT Cloud DR'!$I$5:$I$33)</f>
        <v>0</v>
      </c>
      <c r="F17" s="10">
        <f>SUM('IT Cloud DR'!$J$5:$J$33)</f>
        <v>0</v>
      </c>
      <c r="G17" s="10">
        <f t="shared" si="1"/>
        <v>0</v>
      </c>
      <c r="H17" s="10">
        <f t="shared" si="2"/>
        <v>0</v>
      </c>
      <c r="I17" s="10">
        <f>SUM('IT Cloud DR'!$K$5:$K$33)</f>
        <v>0</v>
      </c>
      <c r="J17" s="5">
        <f>COUNTIF('IT Cloud DR'!$L$5:$L$33,"Critical")</f>
        <v>0</v>
      </c>
      <c r="K17" s="5">
        <f>COUNTIF('IT Cloud DR'!$L$5:$L$33,"High")</f>
        <v>0</v>
      </c>
      <c r="L17" s="5">
        <f>COUNTIF('IT Cloud DR'!$L$5:$L$33,"Medium")</f>
        <v>0</v>
      </c>
      <c r="M17" s="5">
        <f>COUNTIF('IT Cloud DR'!$L$5:$L$33,"Low")</f>
        <v>0</v>
      </c>
      <c r="N17" s="5">
        <f>COUNTIF('IT Cloud DR'!$L$5:$L$33,"Resilient")</f>
        <v>0</v>
      </c>
      <c r="O17" s="5" t="str">
        <f t="shared" si="3"/>
        <v>Complete assessment</v>
      </c>
    </row>
    <row r="18" spans="1:15">
      <c r="A18" s="5" t="s">
        <v>91</v>
      </c>
      <c r="B18" s="5">
        <v>23</v>
      </c>
      <c r="C18" s="5">
        <f>COUNTIF('Business Systems'!$H$5:$H$27,"N/A")+COUNTIF('Business Systems'!$H$5:$H$27,"0")+COUNTIF('Business Systems'!$H$5:$H$27,"1")+COUNTIF('Business Systems'!$H$5:$H$27,"2")+COUNTIF('Business Systems'!$H$5:$H$27,"3")+COUNTIF('Business Systems'!$H$5:$H$27,"4")+COUNTIF('Business Systems'!$H$5:$H$27,"5")</f>
        <v>0</v>
      </c>
      <c r="D18" s="9">
        <f t="shared" si="0"/>
        <v>0</v>
      </c>
      <c r="E18" s="10">
        <f>SUM('Business Systems'!$I$5:$I$27)</f>
        <v>0</v>
      </c>
      <c r="F18" s="10">
        <f>SUM('Business Systems'!$J$5:$J$27)</f>
        <v>0</v>
      </c>
      <c r="G18" s="10">
        <f t="shared" si="1"/>
        <v>0</v>
      </c>
      <c r="H18" s="10">
        <f t="shared" si="2"/>
        <v>0</v>
      </c>
      <c r="I18" s="10">
        <f>SUM('Business Systems'!$K$5:$K$27)</f>
        <v>0</v>
      </c>
      <c r="J18" s="5">
        <f>COUNTIF('Business Systems'!$L$5:$L$27,"Critical")</f>
        <v>0</v>
      </c>
      <c r="K18" s="5">
        <f>COUNTIF('Business Systems'!$L$5:$L$27,"High")</f>
        <v>0</v>
      </c>
      <c r="L18" s="5">
        <f>COUNTIF('Business Systems'!$L$5:$L$27,"Medium")</f>
        <v>0</v>
      </c>
      <c r="M18" s="5">
        <f>COUNTIF('Business Systems'!$L$5:$L$27,"Low")</f>
        <v>0</v>
      </c>
      <c r="N18" s="5">
        <f>COUNTIF('Business Systems'!$L$5:$L$27,"Resilient")</f>
        <v>0</v>
      </c>
      <c r="O18" s="5" t="str">
        <f t="shared" si="3"/>
        <v>Complete assessment</v>
      </c>
    </row>
    <row r="19" spans="1:15">
      <c r="A19" s="5" t="s">
        <v>92</v>
      </c>
      <c r="B19" s="5">
        <v>27</v>
      </c>
      <c r="C19" s="5">
        <f>COUNTIF('Data BI AI'!$H$5:$H$31,"N/A")+COUNTIF('Data BI AI'!$H$5:$H$31,"0")+COUNTIF('Data BI AI'!$H$5:$H$31,"1")+COUNTIF('Data BI AI'!$H$5:$H$31,"2")+COUNTIF('Data BI AI'!$H$5:$H$31,"3")+COUNTIF('Data BI AI'!$H$5:$H$31,"4")+COUNTIF('Data BI AI'!$H$5:$H$31,"5")</f>
        <v>0</v>
      </c>
      <c r="D19" s="9">
        <f t="shared" si="0"/>
        <v>0</v>
      </c>
      <c r="E19" s="10">
        <f>SUM('Data BI AI'!$I$5:$I$31)</f>
        <v>0</v>
      </c>
      <c r="F19" s="10">
        <f>SUM('Data BI AI'!$J$5:$J$31)</f>
        <v>0</v>
      </c>
      <c r="G19" s="10">
        <f t="shared" si="1"/>
        <v>0</v>
      </c>
      <c r="H19" s="10">
        <f t="shared" si="2"/>
        <v>0</v>
      </c>
      <c r="I19" s="10">
        <f>SUM('Data BI AI'!$K$5:$K$31)</f>
        <v>0</v>
      </c>
      <c r="J19" s="5">
        <f>COUNTIF('Data BI AI'!$L$5:$L$31,"Critical")</f>
        <v>0</v>
      </c>
      <c r="K19" s="5">
        <f>COUNTIF('Data BI AI'!$L$5:$L$31,"High")</f>
        <v>0</v>
      </c>
      <c r="L19" s="5">
        <f>COUNTIF('Data BI AI'!$L$5:$L$31,"Medium")</f>
        <v>0</v>
      </c>
      <c r="M19" s="5">
        <f>COUNTIF('Data BI AI'!$L$5:$L$31,"Low")</f>
        <v>0</v>
      </c>
      <c r="N19" s="5">
        <f>COUNTIF('Data BI AI'!$L$5:$L$31,"Resilient")</f>
        <v>0</v>
      </c>
      <c r="O19" s="5" t="str">
        <f t="shared" si="3"/>
        <v>Complete assessment</v>
      </c>
    </row>
    <row r="20" spans="1:15">
      <c r="A20" s="5" t="s">
        <v>93</v>
      </c>
      <c r="B20" s="5">
        <v>34</v>
      </c>
      <c r="C20" s="5">
        <f>COUNTIF('Cyber Privacy'!$H$5:$H$38,"N/A")+COUNTIF('Cyber Privacy'!$H$5:$H$38,"0")+COUNTIF('Cyber Privacy'!$H$5:$H$38,"1")+COUNTIF('Cyber Privacy'!$H$5:$H$38,"2")+COUNTIF('Cyber Privacy'!$H$5:$H$38,"3")+COUNTIF('Cyber Privacy'!$H$5:$H$38,"4")+COUNTIF('Cyber Privacy'!$H$5:$H$38,"5")</f>
        <v>0</v>
      </c>
      <c r="D20" s="9">
        <f t="shared" si="0"/>
        <v>0</v>
      </c>
      <c r="E20" s="10">
        <f>SUM('Cyber Privacy'!$I$5:$I$38)</f>
        <v>0</v>
      </c>
      <c r="F20" s="10">
        <f>SUM('Cyber Privacy'!$J$5:$J$38)</f>
        <v>0</v>
      </c>
      <c r="G20" s="10">
        <f t="shared" si="1"/>
        <v>0</v>
      </c>
      <c r="H20" s="10">
        <f t="shared" si="2"/>
        <v>0</v>
      </c>
      <c r="I20" s="10">
        <f>SUM('Cyber Privacy'!$K$5:$K$38)</f>
        <v>0</v>
      </c>
      <c r="J20" s="5">
        <f>COUNTIF('Cyber Privacy'!$L$5:$L$38,"Critical")</f>
        <v>0</v>
      </c>
      <c r="K20" s="5">
        <f>COUNTIF('Cyber Privacy'!$L$5:$L$38,"High")</f>
        <v>0</v>
      </c>
      <c r="L20" s="5">
        <f>COUNTIF('Cyber Privacy'!$L$5:$L$38,"Medium")</f>
        <v>0</v>
      </c>
      <c r="M20" s="5">
        <f>COUNTIF('Cyber Privacy'!$L$5:$L$38,"Low")</f>
        <v>0</v>
      </c>
      <c r="N20" s="5">
        <f>COUNTIF('Cyber Privacy'!$L$5:$L$38,"Resilient")</f>
        <v>0</v>
      </c>
      <c r="O20" s="5" t="str">
        <f t="shared" si="3"/>
        <v>Complete assessment</v>
      </c>
    </row>
    <row r="21" spans="1:15">
      <c r="A21" s="5" t="s">
        <v>94</v>
      </c>
      <c r="B21" s="5">
        <v>20</v>
      </c>
      <c r="C21" s="5">
        <f>COUNTIF('Quality Portfolio'!$H$5:$H$24,"N/A")+COUNTIF('Quality Portfolio'!$H$5:$H$24,"0")+COUNTIF('Quality Portfolio'!$H$5:$H$24,"1")+COUNTIF('Quality Portfolio'!$H$5:$H$24,"2")+COUNTIF('Quality Portfolio'!$H$5:$H$24,"3")+COUNTIF('Quality Portfolio'!$H$5:$H$24,"4")+COUNTIF('Quality Portfolio'!$H$5:$H$24,"5")</f>
        <v>0</v>
      </c>
      <c r="D21" s="9">
        <f t="shared" si="0"/>
        <v>0</v>
      </c>
      <c r="E21" s="10">
        <f>SUM('Quality Portfolio'!$I$5:$I$24)</f>
        <v>0</v>
      </c>
      <c r="F21" s="10">
        <f>SUM('Quality Portfolio'!$J$5:$J$24)</f>
        <v>0</v>
      </c>
      <c r="G21" s="10">
        <f t="shared" si="1"/>
        <v>0</v>
      </c>
      <c r="H21" s="10">
        <f t="shared" si="2"/>
        <v>0</v>
      </c>
      <c r="I21" s="10">
        <f>SUM('Quality Portfolio'!$K$5:$K$24)</f>
        <v>0</v>
      </c>
      <c r="J21" s="5">
        <f>COUNTIF('Quality Portfolio'!$L$5:$L$24,"Critical")</f>
        <v>0</v>
      </c>
      <c r="K21" s="5">
        <f>COUNTIF('Quality Portfolio'!$L$5:$L$24,"High")</f>
        <v>0</v>
      </c>
      <c r="L21" s="5">
        <f>COUNTIF('Quality Portfolio'!$L$5:$L$24,"Medium")</f>
        <v>0</v>
      </c>
      <c r="M21" s="5">
        <f>COUNTIF('Quality Portfolio'!$L$5:$L$24,"Low")</f>
        <v>0</v>
      </c>
      <c r="N21" s="5">
        <f>COUNTIF('Quality Portfolio'!$L$5:$L$24,"Resilient")</f>
        <v>0</v>
      </c>
      <c r="O21" s="5" t="str">
        <f t="shared" si="3"/>
        <v>Complete assessment</v>
      </c>
    </row>
    <row r="40" spans="17:19" ht="30">
      <c r="Q40" s="4" t="s">
        <v>95</v>
      </c>
      <c r="R40" s="4" t="s">
        <v>96</v>
      </c>
      <c r="S40" s="4" t="s">
        <v>97</v>
      </c>
    </row>
    <row r="41" spans="17:19" ht="85.5">
      <c r="Q41" s="5" t="s">
        <v>98</v>
      </c>
      <c r="R41" s="5" t="s">
        <v>99</v>
      </c>
      <c r="S41" s="5" t="s">
        <v>100</v>
      </c>
    </row>
    <row r="42" spans="17:19" ht="85.5">
      <c r="Q42" s="5" t="s">
        <v>101</v>
      </c>
      <c r="R42" s="5" t="s">
        <v>102</v>
      </c>
      <c r="S42" s="5" t="s">
        <v>103</v>
      </c>
    </row>
    <row r="43" spans="17:19" ht="85.5">
      <c r="Q43" s="5" t="s">
        <v>104</v>
      </c>
      <c r="R43" s="5" t="s">
        <v>105</v>
      </c>
      <c r="S43" s="5" t="s">
        <v>106</v>
      </c>
    </row>
    <row r="44" spans="17:19" ht="57">
      <c r="Q44" s="5" t="s">
        <v>107</v>
      </c>
      <c r="R44" s="5" t="s">
        <v>108</v>
      </c>
      <c r="S44" s="5" t="s">
        <v>109</v>
      </c>
    </row>
    <row r="45" spans="17:19" ht="85.5">
      <c r="Q45" s="5" t="s">
        <v>110</v>
      </c>
      <c r="R45" s="5" t="s">
        <v>111</v>
      </c>
      <c r="S45" s="5" t="s">
        <v>112</v>
      </c>
    </row>
    <row r="46" spans="17:19" ht="57">
      <c r="Q46" s="5" t="s">
        <v>113</v>
      </c>
      <c r="R46" s="5" t="s">
        <v>114</v>
      </c>
      <c r="S46" s="5" t="s">
        <v>115</v>
      </c>
    </row>
    <row r="47" spans="17:19" ht="85.5">
      <c r="Q47" s="5" t="s">
        <v>116</v>
      </c>
      <c r="R47" s="5" t="s">
        <v>117</v>
      </c>
      <c r="S47" s="5" t="s">
        <v>118</v>
      </c>
    </row>
    <row r="48" spans="17:19" ht="71.25">
      <c r="Q48" s="5" t="s">
        <v>119</v>
      </c>
      <c r="R48" s="5" t="s">
        <v>120</v>
      </c>
      <c r="S48" s="5" t="s">
        <v>121</v>
      </c>
    </row>
    <row r="49" spans="1:19" ht="57">
      <c r="Q49" s="5" t="s">
        <v>122</v>
      </c>
      <c r="R49" s="5" t="s">
        <v>123</v>
      </c>
      <c r="S49" s="5" t="s">
        <v>124</v>
      </c>
    </row>
    <row r="50" spans="1:19" ht="57">
      <c r="Q50" s="5" t="s">
        <v>125</v>
      </c>
      <c r="R50" s="5" t="s">
        <v>126</v>
      </c>
      <c r="S50" s="5" t="s">
        <v>127</v>
      </c>
    </row>
    <row r="51" spans="1:19" ht="57">
      <c r="Q51" s="5" t="s">
        <v>128</v>
      </c>
      <c r="R51" s="5" t="s">
        <v>129</v>
      </c>
      <c r="S51" s="5" t="s">
        <v>130</v>
      </c>
    </row>
    <row r="52" spans="1:19" ht="57">
      <c r="Q52" s="5" t="s">
        <v>131</v>
      </c>
      <c r="R52" s="5" t="s">
        <v>132</v>
      </c>
      <c r="S52" s="5" t="s">
        <v>133</v>
      </c>
    </row>
    <row r="55" spans="1:19" ht="15.75">
      <c r="A55" s="159" t="s">
        <v>134</v>
      </c>
      <c r="B55" s="158"/>
      <c r="C55" s="158"/>
      <c r="D55" s="158"/>
      <c r="E55" s="158"/>
      <c r="F55" s="158"/>
      <c r="G55" s="158"/>
      <c r="H55" s="158"/>
    </row>
    <row r="56" spans="1:19" ht="25.5">
      <c r="A56" s="51" t="s">
        <v>135</v>
      </c>
      <c r="B56" s="51" t="s">
        <v>52</v>
      </c>
      <c r="C56" s="51" t="s">
        <v>136</v>
      </c>
      <c r="D56" s="51" t="s">
        <v>137</v>
      </c>
    </row>
    <row r="57" spans="1:19" ht="51">
      <c r="A57" s="52" t="s">
        <v>88</v>
      </c>
      <c r="B57" s="52" t="str">
        <f ca="1">'Strategy Selection'!$B$6</f>
        <v/>
      </c>
      <c r="C57" s="52" t="s">
        <v>138</v>
      </c>
      <c r="D57" s="52" t="s">
        <v>139</v>
      </c>
    </row>
    <row r="58" spans="1:19" ht="38.25">
      <c r="A58" s="52" t="s">
        <v>140</v>
      </c>
      <c r="B58" s="52" t="str">
        <f>'Crisis Simulator'!$B$4</f>
        <v>War / security crisis</v>
      </c>
      <c r="C58" s="52" t="s">
        <v>141</v>
      </c>
      <c r="D58" s="52" t="s">
        <v>142</v>
      </c>
    </row>
    <row r="59" spans="1:19" ht="51">
      <c r="A59" s="52" t="s">
        <v>143</v>
      </c>
      <c r="B59" s="52">
        <f ca="1">'Initiatives Roadmap'!$E$5</f>
        <v>0</v>
      </c>
      <c r="C59" s="52" t="s">
        <v>144</v>
      </c>
      <c r="D59" s="52" t="s">
        <v>145</v>
      </c>
    </row>
    <row r="60" spans="1:19" ht="38.25">
      <c r="A60" s="52" t="s">
        <v>146</v>
      </c>
      <c r="B60" s="52" t="str">
        <f ca="1">'Initiatives Roadmap'!$G$5</f>
        <v/>
      </c>
      <c r="C60" s="52" t="s">
        <v>147</v>
      </c>
      <c r="D60" s="52" t="s">
        <v>148</v>
      </c>
    </row>
    <row r="61" spans="1:19" ht="38.25">
      <c r="A61" s="52" t="s">
        <v>149</v>
      </c>
      <c r="B61" s="52">
        <f ca="1">'Initiatives Roadmap'!$H$5</f>
        <v>0</v>
      </c>
      <c r="C61" s="52" t="s">
        <v>150</v>
      </c>
      <c r="D61" s="52" t="s">
        <v>151</v>
      </c>
    </row>
    <row r="62" spans="1:19" ht="38.25">
      <c r="A62" s="52" t="s">
        <v>152</v>
      </c>
      <c r="B62" s="52">
        <f ca="1">'Initiatives Roadmap'!$I$5</f>
        <v>0</v>
      </c>
      <c r="C62" s="52" t="s">
        <v>150</v>
      </c>
      <c r="D62" s="52" t="s">
        <v>153</v>
      </c>
    </row>
    <row r="64" spans="1:19" ht="15">
      <c r="A64" s="164" t="s">
        <v>154</v>
      </c>
      <c r="B64" s="158"/>
      <c r="C64" s="158"/>
      <c r="D64" s="158"/>
      <c r="E64" s="158"/>
      <c r="F64" s="158"/>
    </row>
    <row r="65" spans="1:8" ht="28.5">
      <c r="A65" s="42" t="s">
        <v>155</v>
      </c>
      <c r="B65" s="42" t="s">
        <v>156</v>
      </c>
    </row>
    <row r="66" spans="1:8" ht="42.75">
      <c r="A66" s="42" t="s">
        <v>157</v>
      </c>
      <c r="B66" s="42" t="s">
        <v>158</v>
      </c>
    </row>
    <row r="67" spans="1:8" ht="42.75">
      <c r="A67" s="42" t="s">
        <v>159</v>
      </c>
      <c r="B67" s="42" t="s">
        <v>160</v>
      </c>
    </row>
    <row r="68" spans="1:8" ht="42.75">
      <c r="A68" s="42" t="s">
        <v>161</v>
      </c>
      <c r="B68" s="42" t="s">
        <v>162</v>
      </c>
    </row>
    <row r="72" spans="1:8" ht="15.75">
      <c r="A72" s="161" t="s">
        <v>163</v>
      </c>
      <c r="B72" s="158"/>
      <c r="C72" s="158"/>
      <c r="D72" s="158"/>
      <c r="E72" s="158"/>
      <c r="F72" s="158"/>
      <c r="G72" s="158"/>
      <c r="H72" s="158"/>
    </row>
    <row r="73" spans="1:8" ht="30">
      <c r="A73" s="72" t="s">
        <v>164</v>
      </c>
      <c r="B73" s="73" t="str">
        <f>'Company Profile'!$B$9</f>
        <v>IT Services</v>
      </c>
      <c r="D73" s="50" t="s">
        <v>36</v>
      </c>
      <c r="E73" s="50" t="s">
        <v>165</v>
      </c>
      <c r="F73" s="50" t="s">
        <v>166</v>
      </c>
      <c r="G73" s="50" t="s">
        <v>44</v>
      </c>
      <c r="H73" s="50" t="s">
        <v>167</v>
      </c>
    </row>
    <row r="74" spans="1:8" ht="28.5">
      <c r="A74" s="72" t="s">
        <v>168</v>
      </c>
      <c r="B74" s="73" t="str">
        <f>'Improved Scoring Model'!$Q$4</f>
        <v/>
      </c>
      <c r="D74" s="74" t="s">
        <v>54</v>
      </c>
      <c r="E74" s="74" t="str">
        <f>IFERROR(INDEX('Improved Scoring Model'!$C$6:$C$22,MATCH($D74,'Improved Scoring Model'!$A$6:$A$22,0)),"")</f>
        <v/>
      </c>
      <c r="F74" s="74">
        <f>IFERROR(INDEX('Improved Scoring Model'!$D$6:$D$22,MATCH($D74,'Improved Scoring Model'!$A$6:$A$22,0)),"")</f>
        <v>3.5</v>
      </c>
      <c r="G74" s="74" t="str">
        <f>IFERROR(INDEX('Improved Scoring Model'!$E$6:$E$22,MATCH($D74,'Improved Scoring Model'!$A$6:$A$22,0)),"")</f>
        <v/>
      </c>
      <c r="H74" s="74" t="str">
        <f>IFERROR(INDEX('Improved Scoring Model'!$I$6:$I$22,MATCH($D74,'Improved Scoring Model'!$A$6:$A$22,0)),"")</f>
        <v/>
      </c>
    </row>
    <row r="75" spans="1:8" ht="15">
      <c r="A75" s="72" t="s">
        <v>169</v>
      </c>
      <c r="B75" s="73" t="str">
        <f>'Improved Scoring Model'!$Q$5</f>
        <v/>
      </c>
      <c r="D75" s="48" t="s">
        <v>57</v>
      </c>
      <c r="E75" s="48" t="str">
        <f>IFERROR(INDEX('Improved Scoring Model'!$C$6:$C$22,MATCH($D75,'Improved Scoring Model'!$A$6:$A$22,0)),"")</f>
        <v/>
      </c>
      <c r="F75" s="48">
        <f>IFERROR(INDEX('Improved Scoring Model'!$D$6:$D$22,MATCH($D75,'Improved Scoring Model'!$A$6:$A$22,0)),"")</f>
        <v>3.5</v>
      </c>
      <c r="G75" s="48" t="str">
        <f>IFERROR(INDEX('Improved Scoring Model'!$E$6:$E$22,MATCH($D75,'Improved Scoring Model'!$A$6:$A$22,0)),"")</f>
        <v/>
      </c>
      <c r="H75" s="48" t="str">
        <f>IFERROR(INDEX('Improved Scoring Model'!$I$6:$I$22,MATCH($D75,'Improved Scoring Model'!$A$6:$A$22,0)),"")</f>
        <v/>
      </c>
    </row>
    <row r="76" spans="1:8" ht="28.5">
      <c r="A76" s="72" t="s">
        <v>170</v>
      </c>
      <c r="B76" s="73">
        <f>'Improved Scoring Model'!$Q$6</f>
        <v>0</v>
      </c>
      <c r="D76" s="74" t="s">
        <v>60</v>
      </c>
      <c r="E76" s="74" t="str">
        <f>IFERROR(INDEX('Improved Scoring Model'!$C$6:$C$22,MATCH($D76,'Improved Scoring Model'!$A$6:$A$22,0)),"")</f>
        <v/>
      </c>
      <c r="F76" s="74">
        <f>IFERROR(INDEX('Improved Scoring Model'!$D$6:$D$22,MATCH($D76,'Improved Scoring Model'!$A$6:$A$22,0)),"")</f>
        <v>4</v>
      </c>
      <c r="G76" s="74" t="str">
        <f>IFERROR(INDEX('Improved Scoring Model'!$E$6:$E$22,MATCH($D76,'Improved Scoring Model'!$A$6:$A$22,0)),"")</f>
        <v/>
      </c>
      <c r="H76" s="74" t="str">
        <f>IFERROR(INDEX('Improved Scoring Model'!$I$6:$I$22,MATCH($D76,'Improved Scoring Model'!$A$6:$A$22,0)),"")</f>
        <v/>
      </c>
    </row>
    <row r="77" spans="1:8" ht="15">
      <c r="A77" s="72" t="s">
        <v>171</v>
      </c>
      <c r="B77" s="73" t="str">
        <f ca="1">'Strategy Selection'!$B$6</f>
        <v/>
      </c>
      <c r="D77" s="48" t="s">
        <v>63</v>
      </c>
      <c r="E77" s="48" t="str">
        <f>IFERROR(INDEX('Improved Scoring Model'!$C$6:$C$22,MATCH($D77,'Improved Scoring Model'!$A$6:$A$22,0)),"")</f>
        <v/>
      </c>
      <c r="F77" s="48">
        <f>IFERROR(INDEX('Improved Scoring Model'!$D$6:$D$22,MATCH($D77,'Improved Scoring Model'!$A$6:$A$22,0)),"")</f>
        <v>4</v>
      </c>
      <c r="G77" s="48" t="str">
        <f>IFERROR(INDEX('Improved Scoring Model'!$E$6:$E$22,MATCH($D77,'Improved Scoring Model'!$A$6:$A$22,0)),"")</f>
        <v/>
      </c>
      <c r="H77" s="48" t="str">
        <f>IFERROR(INDEX('Improved Scoring Model'!$I$6:$I$22,MATCH($D77,'Improved Scoring Model'!$A$6:$A$22,0)),"")</f>
        <v/>
      </c>
    </row>
    <row r="78" spans="1:8" ht="28.5">
      <c r="D78" s="74" t="s">
        <v>66</v>
      </c>
      <c r="E78" s="74" t="str">
        <f>IFERROR(INDEX('Improved Scoring Model'!$C$6:$C$22,MATCH($D78,'Improved Scoring Model'!$A$6:$A$22,0)),"")</f>
        <v/>
      </c>
      <c r="F78" s="74">
        <f>IFERROR(INDEX('Improved Scoring Model'!$D$6:$D$22,MATCH($D78,'Improved Scoring Model'!$A$6:$A$22,0)),"")</f>
        <v>3.5</v>
      </c>
      <c r="G78" s="74" t="str">
        <f>IFERROR(INDEX('Improved Scoring Model'!$E$6:$E$22,MATCH($D78,'Improved Scoring Model'!$A$6:$A$22,0)),"")</f>
        <v/>
      </c>
      <c r="H78" s="74" t="str">
        <f>IFERROR(INDEX('Improved Scoring Model'!$I$6:$I$22,MATCH($D78,'Improved Scoring Model'!$A$6:$A$22,0)),"")</f>
        <v/>
      </c>
    </row>
    <row r="79" spans="1:8">
      <c r="D79" s="48" t="s">
        <v>69</v>
      </c>
      <c r="E79" s="48" t="str">
        <f>IFERROR(INDEX('Improved Scoring Model'!$C$6:$C$22,MATCH($D79,'Improved Scoring Model'!$A$6:$A$22,0)),"")</f>
        <v/>
      </c>
      <c r="F79" s="48">
        <f>IFERROR(INDEX('Improved Scoring Model'!$D$6:$D$22,MATCH($D79,'Improved Scoring Model'!$A$6:$A$22,0)),"")</f>
        <v>3.5</v>
      </c>
      <c r="G79" s="48" t="str">
        <f>IFERROR(INDEX('Improved Scoring Model'!$E$6:$E$22,MATCH($D79,'Improved Scoring Model'!$A$6:$A$22,0)),"")</f>
        <v/>
      </c>
      <c r="H79" s="48" t="str">
        <f>IFERROR(INDEX('Improved Scoring Model'!$I$6:$I$22,MATCH($D79,'Improved Scoring Model'!$A$6:$A$22,0)),"")</f>
        <v/>
      </c>
    </row>
    <row r="80" spans="1:8" ht="28.5">
      <c r="D80" s="74" t="s">
        <v>72</v>
      </c>
      <c r="E80" s="74" t="str">
        <f>IFERROR(INDEX('Improved Scoring Model'!$C$6:$C$22,MATCH($D80,'Improved Scoring Model'!$A$6:$A$22,0)),"")</f>
        <v/>
      </c>
      <c r="F80" s="74">
        <f>IFERROR(INDEX('Improved Scoring Model'!$D$6:$D$22,MATCH($D80,'Improved Scoring Model'!$A$6:$A$22,0)),"")</f>
        <v>2.8</v>
      </c>
      <c r="G80" s="74" t="str">
        <f>IFERROR(INDEX('Improved Scoring Model'!$E$6:$E$22,MATCH($D80,'Improved Scoring Model'!$A$6:$A$22,0)),"")</f>
        <v/>
      </c>
      <c r="H80" s="74" t="str">
        <f>IFERROR(INDEX('Improved Scoring Model'!$I$6:$I$22,MATCH($D80,'Improved Scoring Model'!$A$6:$A$22,0)),"")</f>
        <v/>
      </c>
    </row>
    <row r="81" spans="1:8">
      <c r="D81" s="48" t="s">
        <v>75</v>
      </c>
      <c r="E81" s="48" t="str">
        <f>IFERROR(INDEX('Improved Scoring Model'!$C$6:$C$22,MATCH($D81,'Improved Scoring Model'!$A$6:$A$22,0)),"")</f>
        <v/>
      </c>
      <c r="F81" s="48">
        <f>IFERROR(INDEX('Improved Scoring Model'!$D$6:$D$22,MATCH($D81,'Improved Scoring Model'!$A$6:$A$22,0)),"")</f>
        <v>4</v>
      </c>
      <c r="G81" s="48" t="str">
        <f>IFERROR(INDEX('Improved Scoring Model'!$E$6:$E$22,MATCH($D81,'Improved Scoring Model'!$A$6:$A$22,0)),"")</f>
        <v/>
      </c>
      <c r="H81" s="48" t="str">
        <f>IFERROR(INDEX('Improved Scoring Model'!$I$6:$I$22,MATCH($D81,'Improved Scoring Model'!$A$6:$A$22,0)),"")</f>
        <v/>
      </c>
    </row>
    <row r="82" spans="1:8">
      <c r="D82" s="74" t="s">
        <v>78</v>
      </c>
      <c r="E82" s="74" t="str">
        <f>IFERROR(INDEX('Improved Scoring Model'!$C$6:$C$22,MATCH($D82,'Improved Scoring Model'!$A$6:$A$22,0)),"")</f>
        <v/>
      </c>
      <c r="F82" s="74">
        <f>IFERROR(INDEX('Improved Scoring Model'!$D$6:$D$22,MATCH($D82,'Improved Scoring Model'!$A$6:$A$22,0)),"")</f>
        <v>3.5</v>
      </c>
      <c r="G82" s="74" t="str">
        <f>IFERROR(INDEX('Improved Scoring Model'!$E$6:$E$22,MATCH($D82,'Improved Scoring Model'!$A$6:$A$22,0)),"")</f>
        <v/>
      </c>
      <c r="H82" s="74" t="str">
        <f>IFERROR(INDEX('Improved Scoring Model'!$I$6:$I$22,MATCH($D82,'Improved Scoring Model'!$A$6:$A$22,0)),"")</f>
        <v/>
      </c>
    </row>
    <row r="83" spans="1:8" ht="28.5">
      <c r="D83" s="48" t="s">
        <v>81</v>
      </c>
      <c r="E83" s="48" t="str">
        <f>IFERROR(INDEX('Improved Scoring Model'!$C$6:$C$22,MATCH($D83,'Improved Scoring Model'!$A$6:$A$22,0)),"")</f>
        <v/>
      </c>
      <c r="F83" s="48">
        <f>IFERROR(INDEX('Improved Scoring Model'!$D$6:$D$22,MATCH($D83,'Improved Scoring Model'!$A$6:$A$22,0)),"")</f>
        <v>1</v>
      </c>
      <c r="G83" s="48" t="str">
        <f>IFERROR(INDEX('Improved Scoring Model'!$E$6:$E$22,MATCH($D83,'Improved Scoring Model'!$A$6:$A$22,0)),"")</f>
        <v/>
      </c>
      <c r="H83" s="48" t="str">
        <f>IFERROR(INDEX('Improved Scoring Model'!$I$6:$I$22,MATCH($D83,'Improved Scoring Model'!$A$6:$A$22,0)),"")</f>
        <v/>
      </c>
    </row>
    <row r="84" spans="1:8">
      <c r="A84" s="162" t="s">
        <v>172</v>
      </c>
      <c r="B84" s="163"/>
      <c r="D84" s="74" t="s">
        <v>84</v>
      </c>
      <c r="E84" s="74" t="str">
        <f>IFERROR(INDEX('Improved Scoring Model'!$C$6:$C$22,MATCH($D84,'Improved Scoring Model'!$A$6:$A$22,0)),"")</f>
        <v/>
      </c>
      <c r="F84" s="74">
        <f>IFERROR(INDEX('Improved Scoring Model'!$D$6:$D$22,MATCH($D84,'Improved Scoring Model'!$A$6:$A$22,0)),"")</f>
        <v>3.8</v>
      </c>
      <c r="G84" s="74" t="str">
        <f>IFERROR(INDEX('Improved Scoring Model'!$E$6:$E$22,MATCH($D84,'Improved Scoring Model'!$A$6:$A$22,0)),"")</f>
        <v/>
      </c>
      <c r="H84" s="74" t="str">
        <f>IFERROR(INDEX('Improved Scoring Model'!$I$6:$I$22,MATCH($D84,'Improved Scoring Model'!$A$6:$A$22,0)),"")</f>
        <v/>
      </c>
    </row>
    <row r="85" spans="1:8" ht="171">
      <c r="A85" s="48" t="s">
        <v>159</v>
      </c>
      <c r="B85" s="48" t="s">
        <v>173</v>
      </c>
      <c r="D85" s="48" t="s">
        <v>87</v>
      </c>
      <c r="E85" s="48" t="str">
        <f>IFERROR(INDEX('Improved Scoring Model'!$C$6:$C$22,MATCH($D85,'Improved Scoring Model'!$A$6:$A$22,0)),"")</f>
        <v/>
      </c>
      <c r="F85" s="48">
        <f>IFERROR(INDEX('Improved Scoring Model'!$D$6:$D$22,MATCH($D85,'Improved Scoring Model'!$A$6:$A$22,0)),"")</f>
        <v>3.5</v>
      </c>
      <c r="G85" s="48" t="str">
        <f>IFERROR(INDEX('Improved Scoring Model'!$E$6:$E$22,MATCH($D85,'Improved Scoring Model'!$A$6:$A$22,0)),"")</f>
        <v/>
      </c>
      <c r="H85" s="48" t="str">
        <f>IFERROR(INDEX('Improved Scoring Model'!$I$6:$I$22,MATCH($D85,'Improved Scoring Model'!$A$6:$A$22,0)),"")</f>
        <v/>
      </c>
    </row>
    <row r="86" spans="1:8" ht="156.75">
      <c r="A86" s="48" t="s">
        <v>174</v>
      </c>
      <c r="B86" s="48" t="s">
        <v>175</v>
      </c>
      <c r="D86" s="74" t="s">
        <v>90</v>
      </c>
      <c r="E86" s="74" t="str">
        <f>IFERROR(INDEX('Improved Scoring Model'!$C$6:$C$22,MATCH($D86,'Improved Scoring Model'!$A$6:$A$22,0)),"")</f>
        <v/>
      </c>
      <c r="F86" s="74">
        <f>IFERROR(INDEX('Improved Scoring Model'!$D$6:$D$22,MATCH($D86,'Improved Scoring Model'!$A$6:$A$22,0)),"")</f>
        <v>4</v>
      </c>
      <c r="G86" s="74" t="str">
        <f>IFERROR(INDEX('Improved Scoring Model'!$E$6:$E$22,MATCH($D86,'Improved Scoring Model'!$A$6:$A$22,0)),"")</f>
        <v/>
      </c>
      <c r="H86" s="74" t="str">
        <f>IFERROR(INDEX('Improved Scoring Model'!$I$6:$I$22,MATCH($D86,'Improved Scoring Model'!$A$6:$A$22,0)),"")</f>
        <v/>
      </c>
    </row>
    <row r="87" spans="1:8" ht="28.5">
      <c r="D87" s="48" t="s">
        <v>91</v>
      </c>
      <c r="E87" s="48" t="str">
        <f>IFERROR(INDEX('Improved Scoring Model'!$C$6:$C$22,MATCH($D87,'Improved Scoring Model'!$A$6:$A$22,0)),"")</f>
        <v/>
      </c>
      <c r="F87" s="48">
        <f>IFERROR(INDEX('Improved Scoring Model'!$D$6:$D$22,MATCH($D87,'Improved Scoring Model'!$A$6:$A$22,0)),"")</f>
        <v>4</v>
      </c>
      <c r="G87" s="48" t="str">
        <f>IFERROR(INDEX('Improved Scoring Model'!$E$6:$E$22,MATCH($D87,'Improved Scoring Model'!$A$6:$A$22,0)),"")</f>
        <v/>
      </c>
      <c r="H87" s="48" t="str">
        <f>IFERROR(INDEX('Improved Scoring Model'!$I$6:$I$22,MATCH($D87,'Improved Scoring Model'!$A$6:$A$22,0)),"")</f>
        <v/>
      </c>
    </row>
    <row r="88" spans="1:8">
      <c r="D88" s="74" t="s">
        <v>92</v>
      </c>
      <c r="E88" s="74" t="str">
        <f>IFERROR(INDEX('Improved Scoring Model'!$C$6:$C$22,MATCH($D88,'Improved Scoring Model'!$A$6:$A$22,0)),"")</f>
        <v/>
      </c>
      <c r="F88" s="74">
        <f>IFERROR(INDEX('Improved Scoring Model'!$D$6:$D$22,MATCH($D88,'Improved Scoring Model'!$A$6:$A$22,0)),"")</f>
        <v>3.5</v>
      </c>
      <c r="G88" s="74" t="str">
        <f>IFERROR(INDEX('Improved Scoring Model'!$E$6:$E$22,MATCH($D88,'Improved Scoring Model'!$A$6:$A$22,0)),"")</f>
        <v/>
      </c>
      <c r="H88" s="74" t="str">
        <f>IFERROR(INDEX('Improved Scoring Model'!$I$6:$I$22,MATCH($D88,'Improved Scoring Model'!$A$6:$A$22,0)),"")</f>
        <v/>
      </c>
    </row>
    <row r="89" spans="1:8">
      <c r="D89" s="48" t="s">
        <v>93</v>
      </c>
      <c r="E89" s="48" t="str">
        <f>IFERROR(INDEX('Improved Scoring Model'!$C$6:$C$22,MATCH($D89,'Improved Scoring Model'!$A$6:$A$22,0)),"")</f>
        <v/>
      </c>
      <c r="F89" s="48">
        <f>IFERROR(INDEX('Improved Scoring Model'!$D$6:$D$22,MATCH($D89,'Improved Scoring Model'!$A$6:$A$22,0)),"")</f>
        <v>4</v>
      </c>
      <c r="G89" s="48" t="str">
        <f>IFERROR(INDEX('Improved Scoring Model'!$E$6:$E$22,MATCH($D89,'Improved Scoring Model'!$A$6:$A$22,0)),"")</f>
        <v/>
      </c>
      <c r="H89" s="48" t="str">
        <f>IFERROR(INDEX('Improved Scoring Model'!$I$6:$I$22,MATCH($D89,'Improved Scoring Model'!$A$6:$A$22,0)),"")</f>
        <v/>
      </c>
    </row>
    <row r="90" spans="1:8" ht="28.5">
      <c r="D90" s="74" t="s">
        <v>94</v>
      </c>
      <c r="E90" s="74" t="str">
        <f>IFERROR(INDEX('Improved Scoring Model'!$C$6:$C$22,MATCH($D90,'Improved Scoring Model'!$A$6:$A$22,0)),"")</f>
        <v/>
      </c>
      <c r="F90" s="74">
        <f>IFERROR(INDEX('Improved Scoring Model'!$D$6:$D$22,MATCH($D90,'Improved Scoring Model'!$A$6:$A$22,0)),"")</f>
        <v>4</v>
      </c>
      <c r="G90" s="74" t="str">
        <f>IFERROR(INDEX('Improved Scoring Model'!$E$6:$E$22,MATCH($D90,'Improved Scoring Model'!$A$6:$A$22,0)),"")</f>
        <v/>
      </c>
      <c r="H90" s="74" t="str">
        <f>IFERROR(INDEX('Improved Scoring Model'!$I$6:$I$22,MATCH($D90,'Improved Scoring Model'!$A$6:$A$22,0)),"")</f>
        <v/>
      </c>
    </row>
  </sheetData>
  <mergeCells count="6">
    <mergeCell ref="A2:V2"/>
    <mergeCell ref="A55:H55"/>
    <mergeCell ref="A1:V1"/>
    <mergeCell ref="A72:H72"/>
    <mergeCell ref="A84:B84"/>
    <mergeCell ref="A64:F64"/>
  </mergeCells>
  <conditionalFormatting sqref="G5:G21">
    <cfRule type="colorScale" priority="1">
      <colorScale>
        <cfvo type="min"/>
        <cfvo type="percentile" val="50"/>
        <cfvo type="max"/>
        <color rgb="FFF8696B"/>
        <color rgb="FFFFEB84"/>
        <color rgb="FF63BE7B"/>
      </colorScale>
    </cfRule>
  </conditionalFormatting>
  <conditionalFormatting sqref="H5:H21">
    <cfRule type="colorScale" priority="2">
      <colorScale>
        <cfvo type="min"/>
        <cfvo type="percentile" val="50"/>
        <cfvo type="max"/>
        <color rgb="FFF8696B"/>
        <color rgb="FFFFEB84"/>
        <color rgb="FF63BE7B"/>
      </colorScale>
    </cfRule>
  </conditionalFormatting>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worksheet>
</file>

<file path=xl/worksheets/sheet3.xml><?xml version="1.0" encoding="utf-8"?>
<worksheet xmlns="http://schemas.openxmlformats.org/spreadsheetml/2006/main" xmlns:ns1="http://schemas.openxmlformats.org/markup-compatibility/2006" xmlns:ns2="http://schemas.microsoft.com/office/spreadsheetml/2014/revision" ns1:Ignorable="x14ac xr xr2 xr3" ns2:uid="{00000000-0001-0000-0200-000000000000}">
  <sheetPr>
    <tabColor rgb="FF548235"/>
  </sheetPr>
  <dimension ref="A1:V81"/>
  <sheetViews>
    <sheetView workbookViewId="0">
      <pane xSplit="1" ySplit="9" topLeftCell="B10" activePane="bottomRight" state="frozen"/>
      <selection pane="topRight"/>
      <selection pane="bottomLeft"/>
      <selection pane="bottomRight" sqref="A1:H1"/>
    </sheetView>
  </sheetViews>
  <sheetFormatPr defaultRowHeight="14.25"/>
  <cols>
    <col min="1" max="1" width="28" customWidth="1"/>
    <col min="2" max="2" width="34" customWidth="1"/>
    <col min="3" max="24" width="14" customWidth="1"/>
  </cols>
  <sheetData>
    <row r="1" spans="1:22" ht="24" customHeight="1">
      <c r="A1" s="168" t="s">
        <v>176</v>
      </c>
      <c r="B1" s="166"/>
      <c r="C1" s="166"/>
      <c r="D1" s="166"/>
      <c r="E1" s="166"/>
      <c r="F1" s="166"/>
      <c r="G1" s="166"/>
      <c r="H1" s="163"/>
      <c r="I1" s="60"/>
      <c r="J1" s="60"/>
      <c r="K1" s="60"/>
      <c r="L1" s="60"/>
      <c r="M1" s="60"/>
      <c r="N1" s="60"/>
      <c r="O1" s="60"/>
      <c r="P1" s="60"/>
      <c r="Q1" s="60"/>
      <c r="R1" s="60"/>
      <c r="S1" s="60"/>
      <c r="T1" s="60"/>
      <c r="U1" s="60"/>
      <c r="V1" s="60"/>
    </row>
    <row r="2" spans="1:22" ht="33.950000000000003" customHeight="1">
      <c r="A2" s="167" t="s">
        <v>177</v>
      </c>
      <c r="B2" s="166"/>
      <c r="C2" s="166"/>
      <c r="D2" s="166"/>
      <c r="E2" s="166"/>
      <c r="F2" s="166"/>
      <c r="G2" s="166"/>
      <c r="H2" s="163"/>
      <c r="I2" s="60"/>
      <c r="J2" s="60"/>
      <c r="K2" s="60"/>
      <c r="L2" s="60"/>
      <c r="M2" s="60"/>
      <c r="N2" s="60"/>
      <c r="O2" s="60"/>
      <c r="P2" s="60"/>
      <c r="Q2" s="60"/>
      <c r="R2" s="60"/>
      <c r="S2" s="60"/>
      <c r="T2" s="60"/>
      <c r="U2" s="60"/>
      <c r="V2" s="60"/>
    </row>
    <row r="3" spans="1:22">
      <c r="A3" s="60"/>
      <c r="B3" s="60"/>
      <c r="C3" s="60"/>
      <c r="D3" s="60"/>
      <c r="E3" s="60"/>
      <c r="F3" s="60"/>
      <c r="G3" s="60"/>
      <c r="H3" s="60"/>
      <c r="I3" s="60"/>
      <c r="J3" s="60"/>
      <c r="K3" s="60"/>
      <c r="L3" s="60"/>
      <c r="M3" s="60"/>
      <c r="N3" s="60"/>
      <c r="O3" s="60"/>
      <c r="P3" s="60"/>
      <c r="Q3" s="60"/>
      <c r="R3" s="60"/>
      <c r="S3" s="60"/>
      <c r="T3" s="60"/>
      <c r="U3" s="60"/>
      <c r="V3" s="60"/>
    </row>
    <row r="4" spans="1:22" ht="30">
      <c r="A4" s="50" t="s">
        <v>164</v>
      </c>
      <c r="B4" s="83" t="str">
        <f>'Company Profile'!$B$9</f>
        <v>IT Services</v>
      </c>
      <c r="C4" s="50" t="s">
        <v>140</v>
      </c>
      <c r="D4" s="84" t="str">
        <f>'Crisis Simulator'!$B$4</f>
        <v>War / security crisis</v>
      </c>
      <c r="E4" s="50" t="s">
        <v>178</v>
      </c>
      <c r="F4" s="84">
        <f>'Crisis Simulator'!$B$5</f>
        <v>3</v>
      </c>
      <c r="G4" s="60"/>
      <c r="H4" s="60"/>
      <c r="I4" s="60"/>
      <c r="J4" s="60"/>
      <c r="K4" s="60"/>
      <c r="L4" s="60"/>
      <c r="M4" s="60"/>
      <c r="N4" s="60"/>
      <c r="O4" s="60"/>
      <c r="P4" s="60"/>
      <c r="Q4" s="60"/>
      <c r="R4" s="60"/>
      <c r="S4" s="60"/>
      <c r="T4" s="60"/>
      <c r="U4" s="60"/>
      <c r="V4" s="60"/>
    </row>
    <row r="5" spans="1:22" ht="45">
      <c r="A5" s="50" t="s">
        <v>88</v>
      </c>
      <c r="B5" s="84" t="str">
        <f ca="1">'Strategy Selection'!$B$6</f>
        <v/>
      </c>
      <c r="C5" s="50" t="s">
        <v>179</v>
      </c>
      <c r="D5" s="84">
        <f>Dashboard!$B$31</f>
        <v>0</v>
      </c>
      <c r="E5" s="50" t="s">
        <v>180</v>
      </c>
      <c r="F5" s="84">
        <f>'Risk Summary'!$A$5</f>
        <v>0</v>
      </c>
      <c r="G5" s="60"/>
      <c r="H5" s="60"/>
      <c r="I5" s="60"/>
      <c r="J5" s="60"/>
      <c r="K5" s="60"/>
      <c r="L5" s="60"/>
      <c r="M5" s="60"/>
      <c r="N5" s="60"/>
      <c r="O5" s="60"/>
      <c r="P5" s="60"/>
      <c r="Q5" s="60"/>
      <c r="R5" s="60"/>
      <c r="S5" s="60"/>
      <c r="T5" s="60"/>
      <c r="U5" s="60"/>
      <c r="V5" s="60"/>
    </row>
    <row r="6" spans="1:22">
      <c r="A6" s="60"/>
      <c r="B6" s="60"/>
      <c r="C6" s="60"/>
      <c r="D6" s="60"/>
      <c r="E6" s="60"/>
      <c r="F6" s="60"/>
      <c r="G6" s="60"/>
      <c r="H6" s="60"/>
      <c r="I6" s="60"/>
      <c r="J6" s="60"/>
      <c r="K6" s="60"/>
      <c r="L6" s="60"/>
      <c r="M6" s="60"/>
      <c r="N6" s="60"/>
      <c r="O6" s="60"/>
      <c r="P6" s="60"/>
      <c r="Q6" s="60"/>
      <c r="R6" s="60"/>
      <c r="S6" s="60"/>
      <c r="T6" s="60"/>
      <c r="U6" s="60"/>
      <c r="V6" s="60"/>
    </row>
    <row r="7" spans="1:22">
      <c r="A7" s="60"/>
      <c r="B7" s="60"/>
      <c r="C7" s="60"/>
      <c r="D7" s="60"/>
      <c r="E7" s="60"/>
      <c r="F7" s="60"/>
      <c r="G7" s="60"/>
      <c r="H7" s="60"/>
      <c r="I7" s="60"/>
      <c r="J7" s="60"/>
      <c r="K7" s="60"/>
      <c r="L7" s="60"/>
      <c r="M7" s="60"/>
      <c r="N7" s="60"/>
      <c r="O7" s="60"/>
      <c r="P7" s="60"/>
      <c r="Q7" s="60"/>
      <c r="R7" s="60"/>
      <c r="S7" s="60"/>
      <c r="T7" s="60"/>
      <c r="U7" s="60"/>
      <c r="V7" s="60"/>
    </row>
    <row r="8" spans="1:22" ht="15">
      <c r="A8" s="165" t="s">
        <v>181</v>
      </c>
      <c r="B8" s="166"/>
      <c r="C8" s="166"/>
      <c r="D8" s="166"/>
      <c r="E8" s="166"/>
      <c r="F8" s="166"/>
      <c r="G8" s="166"/>
      <c r="H8" s="166"/>
      <c r="I8" s="166"/>
      <c r="J8" s="166"/>
      <c r="K8" s="166"/>
      <c r="L8" s="163"/>
      <c r="M8" s="60"/>
      <c r="N8" s="60"/>
      <c r="O8" s="60"/>
      <c r="P8" s="60"/>
      <c r="Q8" s="60"/>
      <c r="R8" s="60"/>
      <c r="S8" s="60"/>
      <c r="T8" s="60"/>
      <c r="U8" s="60"/>
      <c r="V8" s="60"/>
    </row>
    <row r="9" spans="1:22" ht="44.1" customHeight="1">
      <c r="A9" s="50" t="s">
        <v>36</v>
      </c>
      <c r="B9" s="50" t="s">
        <v>98</v>
      </c>
      <c r="C9" s="50" t="s">
        <v>101</v>
      </c>
      <c r="D9" s="50" t="s">
        <v>104</v>
      </c>
      <c r="E9" s="50" t="s">
        <v>107</v>
      </c>
      <c r="F9" s="50" t="s">
        <v>110</v>
      </c>
      <c r="G9" s="50" t="s">
        <v>113</v>
      </c>
      <c r="H9" s="50" t="s">
        <v>116</v>
      </c>
      <c r="I9" s="50" t="s">
        <v>119</v>
      </c>
      <c r="J9" s="50" t="s">
        <v>122</v>
      </c>
      <c r="K9" s="50" t="s">
        <v>125</v>
      </c>
      <c r="L9" s="50" t="s">
        <v>128</v>
      </c>
      <c r="M9" s="85"/>
      <c r="N9" s="85"/>
      <c r="O9" s="85"/>
      <c r="P9" s="85"/>
      <c r="Q9" s="85"/>
      <c r="R9" s="85"/>
      <c r="S9" s="85"/>
      <c r="T9" s="85"/>
      <c r="U9" s="85"/>
      <c r="V9" s="85"/>
    </row>
    <row r="10" spans="1:22" ht="15">
      <c r="A10" s="86" t="s">
        <v>54</v>
      </c>
      <c r="B10" s="87">
        <f>IFERROR(SUMIFS(_TECH_Crisis_Model!$D:$D,_TECH_Crisis_Model!$A:$A,B$9,_TECH_Crisis_Model!$B:$B,$A10),"")</f>
        <v>1.6</v>
      </c>
      <c r="C10" s="87">
        <f>IFERROR(SUMIFS(_TECH_Crisis_Model!$D:$D,_TECH_Crisis_Model!$A:$A,C$9,_TECH_Crisis_Model!$B:$B,$A10),"")</f>
        <v>1.3</v>
      </c>
      <c r="D10" s="87">
        <f>IFERROR(SUMIFS(_TECH_Crisis_Model!$D:$D,_TECH_Crisis_Model!$A:$A,D$9,_TECH_Crisis_Model!$B:$B,$A10),"")</f>
        <v>1</v>
      </c>
      <c r="E10" s="87">
        <f>IFERROR(SUMIFS(_TECH_Crisis_Model!$D:$D,_TECH_Crisis_Model!$A:$A,E$9,_TECH_Crisis_Model!$B:$B,$A10),"")</f>
        <v>1</v>
      </c>
      <c r="F10" s="87">
        <f>IFERROR(SUMIFS(_TECH_Crisis_Model!$D:$D,_TECH_Crisis_Model!$A:$A,F$9,_TECH_Crisis_Model!$B:$B,$A10),"")</f>
        <v>1.3</v>
      </c>
      <c r="G10" s="87">
        <f>IFERROR(SUMIFS(_TECH_Crisis_Model!$D:$D,_TECH_Crisis_Model!$A:$A,G$9,_TECH_Crisis_Model!$B:$B,$A10),"")</f>
        <v>1</v>
      </c>
      <c r="H10" s="87">
        <f>IFERROR(SUMIFS(_TECH_Crisis_Model!$D:$D,_TECH_Crisis_Model!$A:$A,H$9,_TECH_Crisis_Model!$B:$B,$A10),"")</f>
        <v>1</v>
      </c>
      <c r="I10" s="87">
        <f>IFERROR(SUMIFS(_TECH_Crisis_Model!$D:$D,_TECH_Crisis_Model!$A:$A,I$9,_TECH_Crisis_Model!$B:$B,$A10),"")</f>
        <v>1</v>
      </c>
      <c r="J10" s="87">
        <f>IFERROR(SUMIFS(_TECH_Crisis_Model!$D:$D,_TECH_Crisis_Model!$A:$A,J$9,_TECH_Crisis_Model!$B:$B,$A10),"")</f>
        <v>1</v>
      </c>
      <c r="K10" s="87">
        <f>IFERROR(SUMIFS(_TECH_Crisis_Model!$D:$D,_TECH_Crisis_Model!$A:$A,K$9,_TECH_Crisis_Model!$B:$B,$A10),"")</f>
        <v>1</v>
      </c>
      <c r="L10" s="87">
        <f>IFERROR(SUMIFS(_TECH_Crisis_Model!$D:$D,_TECH_Crisis_Model!$A:$A,L$9,_TECH_Crisis_Model!$B:$B,$A10),"")</f>
        <v>1</v>
      </c>
      <c r="M10" s="60"/>
      <c r="N10" s="60"/>
      <c r="O10" s="60"/>
      <c r="P10" s="60"/>
      <c r="Q10" s="60"/>
      <c r="R10" s="60"/>
      <c r="S10" s="60"/>
      <c r="T10" s="60"/>
      <c r="U10" s="60"/>
      <c r="V10" s="60"/>
    </row>
    <row r="11" spans="1:22" ht="15">
      <c r="A11" s="86" t="s">
        <v>57</v>
      </c>
      <c r="B11" s="87">
        <f>IFERROR(SUMIFS(_TECH_Crisis_Model!$D:$D,_TECH_Crisis_Model!$A:$A,B$9,_TECH_Crisis_Model!$B:$B,$A11),"")</f>
        <v>1</v>
      </c>
      <c r="C11" s="87">
        <f>IFERROR(SUMIFS(_TECH_Crisis_Model!$D:$D,_TECH_Crisis_Model!$A:$A,C$9,_TECH_Crisis_Model!$B:$B,$A11),"")</f>
        <v>1</v>
      </c>
      <c r="D11" s="87">
        <f>IFERROR(SUMIFS(_TECH_Crisis_Model!$D:$D,_TECH_Crisis_Model!$A:$A,D$9,_TECH_Crisis_Model!$B:$B,$A11),"")</f>
        <v>1</v>
      </c>
      <c r="E11" s="87">
        <f>IFERROR(SUMIFS(_TECH_Crisis_Model!$D:$D,_TECH_Crisis_Model!$A:$A,E$9,_TECH_Crisis_Model!$B:$B,$A11),"")</f>
        <v>1</v>
      </c>
      <c r="F11" s="87">
        <f>IFERROR(SUMIFS(_TECH_Crisis_Model!$D:$D,_TECH_Crisis_Model!$A:$A,F$9,_TECH_Crisis_Model!$B:$B,$A11),"")</f>
        <v>1.2</v>
      </c>
      <c r="G11" s="87">
        <f>IFERROR(SUMIFS(_TECH_Crisis_Model!$D:$D,_TECH_Crisis_Model!$A:$A,G$9,_TECH_Crisis_Model!$B:$B,$A11),"")</f>
        <v>1</v>
      </c>
      <c r="H11" s="87">
        <f>IFERROR(SUMIFS(_TECH_Crisis_Model!$D:$D,_TECH_Crisis_Model!$A:$A,H$9,_TECH_Crisis_Model!$B:$B,$A11),"")</f>
        <v>1.8</v>
      </c>
      <c r="I11" s="87">
        <f>IFERROR(SUMIFS(_TECH_Crisis_Model!$D:$D,_TECH_Crisis_Model!$A:$A,I$9,_TECH_Crisis_Model!$B:$B,$A11),"")</f>
        <v>2</v>
      </c>
      <c r="J11" s="87">
        <f>IFERROR(SUMIFS(_TECH_Crisis_Model!$D:$D,_TECH_Crisis_Model!$A:$A,J$9,_TECH_Crisis_Model!$B:$B,$A11),"")</f>
        <v>1</v>
      </c>
      <c r="K11" s="87">
        <f>IFERROR(SUMIFS(_TECH_Crisis_Model!$D:$D,_TECH_Crisis_Model!$A:$A,K$9,_TECH_Crisis_Model!$B:$B,$A11),"")</f>
        <v>1.2</v>
      </c>
      <c r="L11" s="87">
        <f>IFERROR(SUMIFS(_TECH_Crisis_Model!$D:$D,_TECH_Crisis_Model!$A:$A,L$9,_TECH_Crisis_Model!$B:$B,$A11),"")</f>
        <v>1.3</v>
      </c>
      <c r="M11" s="60"/>
      <c r="N11" s="60"/>
      <c r="O11" s="60"/>
      <c r="P11" s="60"/>
      <c r="Q11" s="60"/>
      <c r="R11" s="60"/>
      <c r="S11" s="60"/>
      <c r="T11" s="60"/>
      <c r="U11" s="60"/>
      <c r="V11" s="60"/>
    </row>
    <row r="12" spans="1:22" ht="15">
      <c r="A12" s="86" t="s">
        <v>60</v>
      </c>
      <c r="B12" s="87">
        <f>IFERROR(SUMIFS(_TECH_Crisis_Model!$D:$D,_TECH_Crisis_Model!$A:$A,B$9,_TECH_Crisis_Model!$B:$B,$A12),"")</f>
        <v>1.4</v>
      </c>
      <c r="C12" s="87">
        <f>IFERROR(SUMIFS(_TECH_Crisis_Model!$D:$D,_TECH_Crisis_Model!$A:$A,C$9,_TECH_Crisis_Model!$B:$B,$A12),"")</f>
        <v>1</v>
      </c>
      <c r="D12" s="87">
        <f>IFERROR(SUMIFS(_TECH_Crisis_Model!$D:$D,_TECH_Crisis_Model!$A:$A,D$9,_TECH_Crisis_Model!$B:$B,$A12),"")</f>
        <v>1.2</v>
      </c>
      <c r="E12" s="87">
        <f>IFERROR(SUMIFS(_TECH_Crisis_Model!$D:$D,_TECH_Crisis_Model!$A:$A,E$9,_TECH_Crisis_Model!$B:$B,$A12),"")</f>
        <v>1</v>
      </c>
      <c r="F12" s="87">
        <f>IFERROR(SUMIFS(_TECH_Crisis_Model!$D:$D,_TECH_Crisis_Model!$A:$A,F$9,_TECH_Crisis_Model!$B:$B,$A12),"")</f>
        <v>1</v>
      </c>
      <c r="G12" s="87">
        <f>IFERROR(SUMIFS(_TECH_Crisis_Model!$D:$D,_TECH_Crisis_Model!$A:$A,G$9,_TECH_Crisis_Model!$B:$B,$A12),"")</f>
        <v>1</v>
      </c>
      <c r="H12" s="87">
        <f>IFERROR(SUMIFS(_TECH_Crisis_Model!$D:$D,_TECH_Crisis_Model!$A:$A,H$9,_TECH_Crisis_Model!$B:$B,$A12),"")</f>
        <v>1.4</v>
      </c>
      <c r="I12" s="87">
        <f>IFERROR(SUMIFS(_TECH_Crisis_Model!$D:$D,_TECH_Crisis_Model!$A:$A,I$9,_TECH_Crisis_Model!$B:$B,$A12),"")</f>
        <v>1</v>
      </c>
      <c r="J12" s="87">
        <f>IFERROR(SUMIFS(_TECH_Crisis_Model!$D:$D,_TECH_Crisis_Model!$A:$A,J$9,_TECH_Crisis_Model!$B:$B,$A12),"")</f>
        <v>1.3</v>
      </c>
      <c r="K12" s="87">
        <f>IFERROR(SUMIFS(_TECH_Crisis_Model!$D:$D,_TECH_Crisis_Model!$A:$A,K$9,_TECH_Crisis_Model!$B:$B,$A12),"")</f>
        <v>1.3</v>
      </c>
      <c r="L12" s="87">
        <f>IFERROR(SUMIFS(_TECH_Crisis_Model!$D:$D,_TECH_Crisis_Model!$A:$A,L$9,_TECH_Crisis_Model!$B:$B,$A12),"")</f>
        <v>1.5</v>
      </c>
      <c r="M12" s="60"/>
      <c r="N12" s="60"/>
      <c r="O12" s="60"/>
      <c r="P12" s="60"/>
      <c r="Q12" s="60"/>
      <c r="R12" s="60"/>
      <c r="S12" s="60"/>
      <c r="T12" s="60"/>
      <c r="U12" s="60"/>
      <c r="V12" s="60"/>
    </row>
    <row r="13" spans="1:22" ht="15">
      <c r="A13" s="86" t="s">
        <v>63</v>
      </c>
      <c r="B13" s="87">
        <f>IFERROR(SUMIFS(_TECH_Crisis_Model!$D:$D,_TECH_Crisis_Model!$A:$A,B$9,_TECH_Crisis_Model!$B:$B,$A13),"")</f>
        <v>1.8</v>
      </c>
      <c r="C13" s="87">
        <f>IFERROR(SUMIFS(_TECH_Crisis_Model!$D:$D,_TECH_Crisis_Model!$A:$A,C$9,_TECH_Crisis_Model!$B:$B,$A13),"")</f>
        <v>1.3</v>
      </c>
      <c r="D13" s="87">
        <f>IFERROR(SUMIFS(_TECH_Crisis_Model!$D:$D,_TECH_Crisis_Model!$A:$A,D$9,_TECH_Crisis_Model!$B:$B,$A13),"")</f>
        <v>1</v>
      </c>
      <c r="E13" s="87">
        <f>IFERROR(SUMIFS(_TECH_Crisis_Model!$D:$D,_TECH_Crisis_Model!$A:$A,E$9,_TECH_Crisis_Model!$B:$B,$A13),"")</f>
        <v>1</v>
      </c>
      <c r="F13" s="87">
        <f>IFERROR(SUMIFS(_TECH_Crisis_Model!$D:$D,_TECH_Crisis_Model!$A:$A,F$9,_TECH_Crisis_Model!$B:$B,$A13),"")</f>
        <v>1</v>
      </c>
      <c r="G13" s="87">
        <f>IFERROR(SUMIFS(_TECH_Crisis_Model!$D:$D,_TECH_Crisis_Model!$A:$A,G$9,_TECH_Crisis_Model!$B:$B,$A13),"")</f>
        <v>1.2</v>
      </c>
      <c r="H13" s="87">
        <f>IFERROR(SUMIFS(_TECH_Crisis_Model!$D:$D,_TECH_Crisis_Model!$A:$A,H$9,_TECH_Crisis_Model!$B:$B,$A13),"")</f>
        <v>1.2</v>
      </c>
      <c r="I13" s="87">
        <f>IFERROR(SUMIFS(_TECH_Crisis_Model!$D:$D,_TECH_Crisis_Model!$A:$A,I$9,_TECH_Crisis_Model!$B:$B,$A13),"")</f>
        <v>1</v>
      </c>
      <c r="J13" s="87">
        <f>IFERROR(SUMIFS(_TECH_Crisis_Model!$D:$D,_TECH_Crisis_Model!$A:$A,J$9,_TECH_Crisis_Model!$B:$B,$A13),"")</f>
        <v>2</v>
      </c>
      <c r="K13" s="87">
        <f>IFERROR(SUMIFS(_TECH_Crisis_Model!$D:$D,_TECH_Crisis_Model!$A:$A,K$9,_TECH_Crisis_Model!$B:$B,$A13),"")</f>
        <v>1</v>
      </c>
      <c r="L13" s="87">
        <f>IFERROR(SUMIFS(_TECH_Crisis_Model!$D:$D,_TECH_Crisis_Model!$A:$A,L$9,_TECH_Crisis_Model!$B:$B,$A13),"")</f>
        <v>1.2</v>
      </c>
      <c r="M13" s="60"/>
      <c r="N13" s="60"/>
      <c r="O13" s="60"/>
      <c r="P13" s="60"/>
      <c r="Q13" s="60"/>
      <c r="R13" s="60"/>
      <c r="S13" s="60"/>
      <c r="T13" s="60"/>
      <c r="U13" s="60"/>
      <c r="V13" s="60"/>
    </row>
    <row r="14" spans="1:22" ht="15">
      <c r="A14" s="86" t="s">
        <v>66</v>
      </c>
      <c r="B14" s="87">
        <f>IFERROR(SUMIFS(_TECH_Crisis_Model!$D:$D,_TECH_Crisis_Model!$A:$A,B$9,_TECH_Crisis_Model!$B:$B,$A14),"")</f>
        <v>1.3</v>
      </c>
      <c r="C14" s="87">
        <f>IFERROR(SUMIFS(_TECH_Crisis_Model!$D:$D,_TECH_Crisis_Model!$A:$A,C$9,_TECH_Crisis_Model!$B:$B,$A14),"")</f>
        <v>1</v>
      </c>
      <c r="D14" s="87">
        <f>IFERROR(SUMIFS(_TECH_Crisis_Model!$D:$D,_TECH_Crisis_Model!$A:$A,D$9,_TECH_Crisis_Model!$B:$B,$A14),"")</f>
        <v>1.3</v>
      </c>
      <c r="E14" s="87">
        <f>IFERROR(SUMIFS(_TECH_Crisis_Model!$D:$D,_TECH_Crisis_Model!$A:$A,E$9,_TECH_Crisis_Model!$B:$B,$A14),"")</f>
        <v>1.2</v>
      </c>
      <c r="F14" s="87">
        <f>IFERROR(SUMIFS(_TECH_Crisis_Model!$D:$D,_TECH_Crisis_Model!$A:$A,F$9,_TECH_Crisis_Model!$B:$B,$A14),"")</f>
        <v>1.4</v>
      </c>
      <c r="G14" s="87">
        <f>IFERROR(SUMIFS(_TECH_Crisis_Model!$D:$D,_TECH_Crisis_Model!$A:$A,G$9,_TECH_Crisis_Model!$B:$B,$A14),"")</f>
        <v>1</v>
      </c>
      <c r="H14" s="87">
        <f>IFERROR(SUMIFS(_TECH_Crisis_Model!$D:$D,_TECH_Crisis_Model!$A:$A,H$9,_TECH_Crisis_Model!$B:$B,$A14),"")</f>
        <v>2</v>
      </c>
      <c r="I14" s="87">
        <f>IFERROR(SUMIFS(_TECH_Crisis_Model!$D:$D,_TECH_Crisis_Model!$A:$A,I$9,_TECH_Crisis_Model!$B:$B,$A14),"")</f>
        <v>1.5</v>
      </c>
      <c r="J14" s="87">
        <f>IFERROR(SUMIFS(_TECH_Crisis_Model!$D:$D,_TECH_Crisis_Model!$A:$A,J$9,_TECH_Crisis_Model!$B:$B,$A14),"")</f>
        <v>1</v>
      </c>
      <c r="K14" s="87">
        <f>IFERROR(SUMIFS(_TECH_Crisis_Model!$D:$D,_TECH_Crisis_Model!$A:$A,K$9,_TECH_Crisis_Model!$B:$B,$A14),"")</f>
        <v>1.4</v>
      </c>
      <c r="L14" s="87">
        <f>IFERROR(SUMIFS(_TECH_Crisis_Model!$D:$D,_TECH_Crisis_Model!$A:$A,L$9,_TECH_Crisis_Model!$B:$B,$A14),"")</f>
        <v>1</v>
      </c>
      <c r="M14" s="60"/>
      <c r="N14" s="60"/>
      <c r="O14" s="60"/>
      <c r="P14" s="60"/>
      <c r="Q14" s="60"/>
      <c r="R14" s="60"/>
      <c r="S14" s="60"/>
      <c r="T14" s="60"/>
      <c r="U14" s="60"/>
      <c r="V14" s="60"/>
    </row>
    <row r="15" spans="1:22" ht="15">
      <c r="A15" s="86" t="s">
        <v>69</v>
      </c>
      <c r="B15" s="87">
        <f>IFERROR(SUMIFS(_TECH_Crisis_Model!$D:$D,_TECH_Crisis_Model!$A:$A,B$9,_TECH_Crisis_Model!$B:$B,$A15),"")</f>
        <v>1.4</v>
      </c>
      <c r="C15" s="87">
        <f>IFERROR(SUMIFS(_TECH_Crisis_Model!$D:$D,_TECH_Crisis_Model!$A:$A,C$9,_TECH_Crisis_Model!$B:$B,$A15),"")</f>
        <v>1</v>
      </c>
      <c r="D15" s="87">
        <f>IFERROR(SUMIFS(_TECH_Crisis_Model!$D:$D,_TECH_Crisis_Model!$A:$A,D$9,_TECH_Crisis_Model!$B:$B,$A15),"")</f>
        <v>1.5</v>
      </c>
      <c r="E15" s="87">
        <f>IFERROR(SUMIFS(_TECH_Crisis_Model!$D:$D,_TECH_Crisis_Model!$A:$A,E$9,_TECH_Crisis_Model!$B:$B,$A15),"")</f>
        <v>1</v>
      </c>
      <c r="F15" s="87">
        <f>IFERROR(SUMIFS(_TECH_Crisis_Model!$D:$D,_TECH_Crisis_Model!$A:$A,F$9,_TECH_Crisis_Model!$B:$B,$A15),"")</f>
        <v>1</v>
      </c>
      <c r="G15" s="87">
        <f>IFERROR(SUMIFS(_TECH_Crisis_Model!$D:$D,_TECH_Crisis_Model!$A:$A,G$9,_TECH_Crisis_Model!$B:$B,$A15),"")</f>
        <v>1</v>
      </c>
      <c r="H15" s="87">
        <f>IFERROR(SUMIFS(_TECH_Crisis_Model!$D:$D,_TECH_Crisis_Model!$A:$A,H$9,_TECH_Crisis_Model!$B:$B,$A15),"")</f>
        <v>1</v>
      </c>
      <c r="I15" s="87">
        <f>IFERROR(SUMIFS(_TECH_Crisis_Model!$D:$D,_TECH_Crisis_Model!$A:$A,I$9,_TECH_Crisis_Model!$B:$B,$A15),"")</f>
        <v>1</v>
      </c>
      <c r="J15" s="87">
        <f>IFERROR(SUMIFS(_TECH_Crisis_Model!$D:$D,_TECH_Crisis_Model!$A:$A,J$9,_TECH_Crisis_Model!$B:$B,$A15),"")</f>
        <v>1</v>
      </c>
      <c r="K15" s="87">
        <f>IFERROR(SUMIFS(_TECH_Crisis_Model!$D:$D,_TECH_Crisis_Model!$A:$A,K$9,_TECH_Crisis_Model!$B:$B,$A15),"")</f>
        <v>2</v>
      </c>
      <c r="L15" s="87">
        <f>IFERROR(SUMIFS(_TECH_Crisis_Model!$D:$D,_TECH_Crisis_Model!$A:$A,L$9,_TECH_Crisis_Model!$B:$B,$A15),"")</f>
        <v>1.4</v>
      </c>
      <c r="M15" s="60"/>
      <c r="N15" s="60"/>
      <c r="O15" s="60"/>
      <c r="P15" s="60"/>
      <c r="Q15" s="60"/>
      <c r="R15" s="60"/>
      <c r="S15" s="60"/>
      <c r="T15" s="60"/>
      <c r="U15" s="60"/>
      <c r="V15" s="60"/>
    </row>
    <row r="16" spans="1:22" ht="15">
      <c r="A16" s="86" t="s">
        <v>72</v>
      </c>
      <c r="B16" s="87">
        <f>IFERROR(SUMIFS(_TECH_Crisis_Model!$D:$D,_TECH_Crisis_Model!$A:$A,B$9,_TECH_Crisis_Model!$B:$B,$A16),"")</f>
        <v>2</v>
      </c>
      <c r="C16" s="87">
        <f>IFERROR(SUMIFS(_TECH_Crisis_Model!$D:$D,_TECH_Crisis_Model!$A:$A,C$9,_TECH_Crisis_Model!$B:$B,$A16),"")</f>
        <v>2</v>
      </c>
      <c r="D16" s="87">
        <f>IFERROR(SUMIFS(_TECH_Crisis_Model!$D:$D,_TECH_Crisis_Model!$A:$A,D$9,_TECH_Crisis_Model!$B:$B,$A16),"")</f>
        <v>1</v>
      </c>
      <c r="E16" s="87">
        <f>IFERROR(SUMIFS(_TECH_Crisis_Model!$D:$D,_TECH_Crisis_Model!$A:$A,E$9,_TECH_Crisis_Model!$B:$B,$A16),"")</f>
        <v>1</v>
      </c>
      <c r="F16" s="87">
        <f>IFERROR(SUMIFS(_TECH_Crisis_Model!$D:$D,_TECH_Crisis_Model!$A:$A,F$9,_TECH_Crisis_Model!$B:$B,$A16),"")</f>
        <v>1.2</v>
      </c>
      <c r="G16" s="87">
        <f>IFERROR(SUMIFS(_TECH_Crisis_Model!$D:$D,_TECH_Crisis_Model!$A:$A,G$9,_TECH_Crisis_Model!$B:$B,$A16),"")</f>
        <v>1.8</v>
      </c>
      <c r="H16" s="87">
        <f>IFERROR(SUMIFS(_TECH_Crisis_Model!$D:$D,_TECH_Crisis_Model!$A:$A,H$9,_TECH_Crisis_Model!$B:$B,$A16),"")</f>
        <v>1</v>
      </c>
      <c r="I16" s="87">
        <f>IFERROR(SUMIFS(_TECH_Crisis_Model!$D:$D,_TECH_Crisis_Model!$A:$A,I$9,_TECH_Crisis_Model!$B:$B,$A16),"")</f>
        <v>1</v>
      </c>
      <c r="J16" s="87">
        <f>IFERROR(SUMIFS(_TECH_Crisis_Model!$D:$D,_TECH_Crisis_Model!$A:$A,J$9,_TECH_Crisis_Model!$B:$B,$A16),"")</f>
        <v>1.6</v>
      </c>
      <c r="K16" s="87">
        <f>IFERROR(SUMIFS(_TECH_Crisis_Model!$D:$D,_TECH_Crisis_Model!$A:$A,K$9,_TECH_Crisis_Model!$B:$B,$A16),"")</f>
        <v>1</v>
      </c>
      <c r="L16" s="87">
        <f>IFERROR(SUMIFS(_TECH_Crisis_Model!$D:$D,_TECH_Crisis_Model!$A:$A,L$9,_TECH_Crisis_Model!$B:$B,$A16),"")</f>
        <v>1</v>
      </c>
      <c r="M16" s="60"/>
      <c r="N16" s="60"/>
      <c r="O16" s="60"/>
      <c r="P16" s="60"/>
      <c r="Q16" s="60"/>
      <c r="R16" s="60"/>
      <c r="S16" s="60"/>
      <c r="T16" s="60"/>
      <c r="U16" s="60"/>
      <c r="V16" s="60"/>
    </row>
    <row r="17" spans="1:22" ht="15">
      <c r="A17" s="86" t="s">
        <v>75</v>
      </c>
      <c r="B17" s="87">
        <f>IFERROR(SUMIFS(_TECH_Crisis_Model!$D:$D,_TECH_Crisis_Model!$A:$A,B$9,_TECH_Crisis_Model!$B:$B,$A17),"")</f>
        <v>1.7</v>
      </c>
      <c r="C17" s="87">
        <f>IFERROR(SUMIFS(_TECH_Crisis_Model!$D:$D,_TECH_Crisis_Model!$A:$A,C$9,_TECH_Crisis_Model!$B:$B,$A17),"")</f>
        <v>1.7</v>
      </c>
      <c r="D17" s="87">
        <f>IFERROR(SUMIFS(_TECH_Crisis_Model!$D:$D,_TECH_Crisis_Model!$A:$A,D$9,_TECH_Crisis_Model!$B:$B,$A17),"")</f>
        <v>1</v>
      </c>
      <c r="E17" s="87">
        <f>IFERROR(SUMIFS(_TECH_Crisis_Model!$D:$D,_TECH_Crisis_Model!$A:$A,E$9,_TECH_Crisis_Model!$B:$B,$A17),"")</f>
        <v>1.4</v>
      </c>
      <c r="F17" s="87">
        <f>IFERROR(SUMIFS(_TECH_Crisis_Model!$D:$D,_TECH_Crisis_Model!$A:$A,F$9,_TECH_Crisis_Model!$B:$B,$A17),"")</f>
        <v>1.7</v>
      </c>
      <c r="G17" s="87">
        <f>IFERROR(SUMIFS(_TECH_Crisis_Model!$D:$D,_TECH_Crisis_Model!$A:$A,G$9,_TECH_Crisis_Model!$B:$B,$A17),"")</f>
        <v>1.4</v>
      </c>
      <c r="H17" s="87">
        <f>IFERROR(SUMIFS(_TECH_Crisis_Model!$D:$D,_TECH_Crisis_Model!$A:$A,H$9,_TECH_Crisis_Model!$B:$B,$A17),"")</f>
        <v>1</v>
      </c>
      <c r="I17" s="87">
        <f>IFERROR(SUMIFS(_TECH_Crisis_Model!$D:$D,_TECH_Crisis_Model!$A:$A,I$9,_TECH_Crisis_Model!$B:$B,$A17),"")</f>
        <v>1.2</v>
      </c>
      <c r="J17" s="87">
        <f>IFERROR(SUMIFS(_TECH_Crisis_Model!$D:$D,_TECH_Crisis_Model!$A:$A,J$9,_TECH_Crisis_Model!$B:$B,$A17),"")</f>
        <v>1.5</v>
      </c>
      <c r="K17" s="87">
        <f>IFERROR(SUMIFS(_TECH_Crisis_Model!$D:$D,_TECH_Crisis_Model!$A:$A,K$9,_TECH_Crisis_Model!$B:$B,$A17),"")</f>
        <v>1</v>
      </c>
      <c r="L17" s="87">
        <f>IFERROR(SUMIFS(_TECH_Crisis_Model!$D:$D,_TECH_Crisis_Model!$A:$A,L$9,_TECH_Crisis_Model!$B:$B,$A17),"")</f>
        <v>1</v>
      </c>
      <c r="M17" s="60"/>
      <c r="N17" s="60"/>
      <c r="O17" s="60"/>
      <c r="P17" s="60"/>
      <c r="Q17" s="60"/>
      <c r="R17" s="60"/>
      <c r="S17" s="60"/>
      <c r="T17" s="60"/>
      <c r="U17" s="60"/>
      <c r="V17" s="60"/>
    </row>
    <row r="18" spans="1:22" ht="15">
      <c r="A18" s="86" t="s">
        <v>78</v>
      </c>
      <c r="B18" s="87">
        <f>IFERROR(SUMIFS(_TECH_Crisis_Model!$D:$D,_TECH_Crisis_Model!$A:$A,B$9,_TECH_Crisis_Model!$B:$B,$A18),"")</f>
        <v>1.7</v>
      </c>
      <c r="C18" s="87">
        <f>IFERROR(SUMIFS(_TECH_Crisis_Model!$D:$D,_TECH_Crisis_Model!$A:$A,C$9,_TECH_Crisis_Model!$B:$B,$A18),"")</f>
        <v>1.5</v>
      </c>
      <c r="D18" s="87">
        <f>IFERROR(SUMIFS(_TECH_Crisis_Model!$D:$D,_TECH_Crisis_Model!$A:$A,D$9,_TECH_Crisis_Model!$B:$B,$A18),"")</f>
        <v>1</v>
      </c>
      <c r="E18" s="87">
        <f>IFERROR(SUMIFS(_TECH_Crisis_Model!$D:$D,_TECH_Crisis_Model!$A:$A,E$9,_TECH_Crisis_Model!$B:$B,$A18),"")</f>
        <v>1</v>
      </c>
      <c r="F18" s="87">
        <f>IFERROR(SUMIFS(_TECH_Crisis_Model!$D:$D,_TECH_Crisis_Model!$A:$A,F$9,_TECH_Crisis_Model!$B:$B,$A18),"")</f>
        <v>2</v>
      </c>
      <c r="G18" s="87">
        <f>IFERROR(SUMIFS(_TECH_Crisis_Model!$D:$D,_TECH_Crisis_Model!$A:$A,G$9,_TECH_Crisis_Model!$B:$B,$A18),"")</f>
        <v>1.3</v>
      </c>
      <c r="H18" s="87">
        <f>IFERROR(SUMIFS(_TECH_Crisis_Model!$D:$D,_TECH_Crisis_Model!$A:$A,H$9,_TECH_Crisis_Model!$B:$B,$A18),"")</f>
        <v>1</v>
      </c>
      <c r="I18" s="87">
        <f>IFERROR(SUMIFS(_TECH_Crisis_Model!$D:$D,_TECH_Crisis_Model!$A:$A,I$9,_TECH_Crisis_Model!$B:$B,$A18),"")</f>
        <v>1</v>
      </c>
      <c r="J18" s="87">
        <f>IFERROR(SUMIFS(_TECH_Crisis_Model!$D:$D,_TECH_Crisis_Model!$A:$A,J$9,_TECH_Crisis_Model!$B:$B,$A18),"")</f>
        <v>1.4</v>
      </c>
      <c r="K18" s="87">
        <f>IFERROR(SUMIFS(_TECH_Crisis_Model!$D:$D,_TECH_Crisis_Model!$A:$A,K$9,_TECH_Crisis_Model!$B:$B,$A18),"")</f>
        <v>1</v>
      </c>
      <c r="L18" s="87">
        <f>IFERROR(SUMIFS(_TECH_Crisis_Model!$D:$D,_TECH_Crisis_Model!$A:$A,L$9,_TECH_Crisis_Model!$B:$B,$A18),"")</f>
        <v>1</v>
      </c>
      <c r="M18" s="60"/>
      <c r="N18" s="60"/>
      <c r="O18" s="60"/>
      <c r="P18" s="60"/>
      <c r="Q18" s="60"/>
      <c r="R18" s="60"/>
      <c r="S18" s="60"/>
      <c r="T18" s="60"/>
      <c r="U18" s="60"/>
      <c r="V18" s="60"/>
    </row>
    <row r="19" spans="1:22" ht="15">
      <c r="A19" s="86" t="s">
        <v>81</v>
      </c>
      <c r="B19" s="87">
        <f>IFERROR(SUMIFS(_TECH_Crisis_Model!$D:$D,_TECH_Crisis_Model!$A:$A,B$9,_TECH_Crisis_Model!$B:$B,$A19),"")</f>
        <v>1.4</v>
      </c>
      <c r="C19" s="87">
        <f>IFERROR(SUMIFS(_TECH_Crisis_Model!$D:$D,_TECH_Crisis_Model!$A:$A,C$9,_TECH_Crisis_Model!$B:$B,$A19),"")</f>
        <v>1.9</v>
      </c>
      <c r="D19" s="87">
        <f>IFERROR(SUMIFS(_TECH_Crisis_Model!$D:$D,_TECH_Crisis_Model!$A:$A,D$9,_TECH_Crisis_Model!$B:$B,$A19),"")</f>
        <v>1</v>
      </c>
      <c r="E19" s="87">
        <f>IFERROR(SUMIFS(_TECH_Crisis_Model!$D:$D,_TECH_Crisis_Model!$A:$A,E$9,_TECH_Crisis_Model!$B:$B,$A19),"")</f>
        <v>1</v>
      </c>
      <c r="F19" s="87">
        <f>IFERROR(SUMIFS(_TECH_Crisis_Model!$D:$D,_TECH_Crisis_Model!$A:$A,F$9,_TECH_Crisis_Model!$B:$B,$A19),"")</f>
        <v>1.8</v>
      </c>
      <c r="G19" s="87">
        <f>IFERROR(SUMIFS(_TECH_Crisis_Model!$D:$D,_TECH_Crisis_Model!$A:$A,G$9,_TECH_Crisis_Model!$B:$B,$A19),"")</f>
        <v>2</v>
      </c>
      <c r="H19" s="87">
        <f>IFERROR(SUMIFS(_TECH_Crisis_Model!$D:$D,_TECH_Crisis_Model!$A:$A,H$9,_TECH_Crisis_Model!$B:$B,$A19),"")</f>
        <v>1</v>
      </c>
      <c r="I19" s="87">
        <f>IFERROR(SUMIFS(_TECH_Crisis_Model!$D:$D,_TECH_Crisis_Model!$A:$A,I$9,_TECH_Crisis_Model!$B:$B,$A19),"")</f>
        <v>1</v>
      </c>
      <c r="J19" s="87">
        <f>IFERROR(SUMIFS(_TECH_Crisis_Model!$D:$D,_TECH_Crisis_Model!$A:$A,J$9,_TECH_Crisis_Model!$B:$B,$A19),"")</f>
        <v>1</v>
      </c>
      <c r="K19" s="87">
        <f>IFERROR(SUMIFS(_TECH_Crisis_Model!$D:$D,_TECH_Crisis_Model!$A:$A,K$9,_TECH_Crisis_Model!$B:$B,$A19),"")</f>
        <v>1</v>
      </c>
      <c r="L19" s="87">
        <f>IFERROR(SUMIFS(_TECH_Crisis_Model!$D:$D,_TECH_Crisis_Model!$A:$A,L$9,_TECH_Crisis_Model!$B:$B,$A19),"")</f>
        <v>1</v>
      </c>
      <c r="M19" s="60"/>
      <c r="N19" s="60"/>
      <c r="O19" s="60"/>
      <c r="P19" s="60"/>
      <c r="Q19" s="60"/>
      <c r="R19" s="60"/>
      <c r="S19" s="60"/>
      <c r="T19" s="60"/>
      <c r="U19" s="60"/>
      <c r="V19" s="60"/>
    </row>
    <row r="20" spans="1:22" ht="15">
      <c r="A20" s="86" t="s">
        <v>84</v>
      </c>
      <c r="B20" s="87">
        <f>IFERROR(SUMIFS(_TECH_Crisis_Model!$D:$D,_TECH_Crisis_Model!$A:$A,B$9,_TECH_Crisis_Model!$B:$B,$A20),"")</f>
        <v>1</v>
      </c>
      <c r="C20" s="87">
        <f>IFERROR(SUMIFS(_TECH_Crisis_Model!$D:$D,_TECH_Crisis_Model!$A:$A,C$9,_TECH_Crisis_Model!$B:$B,$A20),"")</f>
        <v>1</v>
      </c>
      <c r="D20" s="87">
        <f>IFERROR(SUMIFS(_TECH_Crisis_Model!$D:$D,_TECH_Crisis_Model!$A:$A,D$9,_TECH_Crisis_Model!$B:$B,$A20),"")</f>
        <v>1.2</v>
      </c>
      <c r="E20" s="87">
        <f>IFERROR(SUMIFS(_TECH_Crisis_Model!$D:$D,_TECH_Crisis_Model!$A:$A,E$9,_TECH_Crisis_Model!$B:$B,$A20),"")</f>
        <v>1.5</v>
      </c>
      <c r="F20" s="87">
        <f>IFERROR(SUMIFS(_TECH_Crisis_Model!$D:$D,_TECH_Crisis_Model!$A:$A,F$9,_TECH_Crisis_Model!$B:$B,$A20),"")</f>
        <v>1</v>
      </c>
      <c r="G20" s="87">
        <f>IFERROR(SUMIFS(_TECH_Crisis_Model!$D:$D,_TECH_Crisis_Model!$A:$A,G$9,_TECH_Crisis_Model!$B:$B,$A20),"")</f>
        <v>1</v>
      </c>
      <c r="H20" s="87">
        <f>IFERROR(SUMIFS(_TECH_Crisis_Model!$D:$D,_TECH_Crisis_Model!$A:$A,H$9,_TECH_Crisis_Model!$B:$B,$A20),"")</f>
        <v>1.6</v>
      </c>
      <c r="I20" s="87">
        <f>IFERROR(SUMIFS(_TECH_Crisis_Model!$D:$D,_TECH_Crisis_Model!$A:$A,I$9,_TECH_Crisis_Model!$B:$B,$A20),"")</f>
        <v>1.9</v>
      </c>
      <c r="J20" s="87">
        <f>IFERROR(SUMIFS(_TECH_Crisis_Model!$D:$D,_TECH_Crisis_Model!$A:$A,J$9,_TECH_Crisis_Model!$B:$B,$A20),"")</f>
        <v>1</v>
      </c>
      <c r="K20" s="87">
        <f>IFERROR(SUMIFS(_TECH_Crisis_Model!$D:$D,_TECH_Crisis_Model!$A:$A,K$9,_TECH_Crisis_Model!$B:$B,$A20),"")</f>
        <v>1</v>
      </c>
      <c r="L20" s="87">
        <f>IFERROR(SUMIFS(_TECH_Crisis_Model!$D:$D,_TECH_Crisis_Model!$A:$A,L$9,_TECH_Crisis_Model!$B:$B,$A20),"")</f>
        <v>1.8</v>
      </c>
      <c r="M20" s="60"/>
      <c r="N20" s="60"/>
      <c r="O20" s="60"/>
      <c r="P20" s="60"/>
      <c r="Q20" s="60"/>
      <c r="R20" s="60"/>
      <c r="S20" s="60"/>
      <c r="T20" s="60"/>
      <c r="U20" s="60"/>
      <c r="V20" s="60"/>
    </row>
    <row r="21" spans="1:22" ht="15">
      <c r="A21" s="86" t="s">
        <v>87</v>
      </c>
      <c r="B21" s="87">
        <f>IFERROR(SUMIFS(_TECH_Crisis_Model!$D:$D,_TECH_Crisis_Model!$A:$A,B$9,_TECH_Crisis_Model!$B:$B,$A21),"")</f>
        <v>1.2</v>
      </c>
      <c r="C21" s="87">
        <f>IFERROR(SUMIFS(_TECH_Crisis_Model!$D:$D,_TECH_Crisis_Model!$A:$A,C$9,_TECH_Crisis_Model!$B:$B,$A21),"")</f>
        <v>1</v>
      </c>
      <c r="D21" s="87">
        <f>IFERROR(SUMIFS(_TECH_Crisis_Model!$D:$D,_TECH_Crisis_Model!$A:$A,D$9,_TECH_Crisis_Model!$B:$B,$A21),"")</f>
        <v>1.4</v>
      </c>
      <c r="E21" s="87">
        <f>IFERROR(SUMIFS(_TECH_Crisis_Model!$D:$D,_TECH_Crisis_Model!$A:$A,E$9,_TECH_Crisis_Model!$B:$B,$A21),"")</f>
        <v>1.3</v>
      </c>
      <c r="F21" s="87">
        <f>IFERROR(SUMIFS(_TECH_Crisis_Model!$D:$D,_TECH_Crisis_Model!$A:$A,F$9,_TECH_Crisis_Model!$B:$B,$A21),"")</f>
        <v>1</v>
      </c>
      <c r="G21" s="87">
        <f>IFERROR(SUMIFS(_TECH_Crisis_Model!$D:$D,_TECH_Crisis_Model!$A:$A,G$9,_TECH_Crisis_Model!$B:$B,$A21),"")</f>
        <v>1</v>
      </c>
      <c r="H21" s="87">
        <f>IFERROR(SUMIFS(_TECH_Crisis_Model!$D:$D,_TECH_Crisis_Model!$A:$A,H$9,_TECH_Crisis_Model!$B:$B,$A21),"")</f>
        <v>1</v>
      </c>
      <c r="I21" s="87">
        <f>IFERROR(SUMIFS(_TECH_Crisis_Model!$D:$D,_TECH_Crisis_Model!$A:$A,I$9,_TECH_Crisis_Model!$B:$B,$A21),"")</f>
        <v>1.7</v>
      </c>
      <c r="J21" s="87">
        <f>IFERROR(SUMIFS(_TECH_Crisis_Model!$D:$D,_TECH_Crisis_Model!$A:$A,J$9,_TECH_Crisis_Model!$B:$B,$A21),"")</f>
        <v>1.2</v>
      </c>
      <c r="K21" s="87">
        <f>IFERROR(SUMIFS(_TECH_Crisis_Model!$D:$D,_TECH_Crisis_Model!$A:$A,K$9,_TECH_Crisis_Model!$B:$B,$A21),"")</f>
        <v>1.2</v>
      </c>
      <c r="L21" s="87">
        <f>IFERROR(SUMIFS(_TECH_Crisis_Model!$D:$D,_TECH_Crisis_Model!$A:$A,L$9,_TECH_Crisis_Model!$B:$B,$A21),"")</f>
        <v>2</v>
      </c>
      <c r="M21" s="60"/>
      <c r="N21" s="60"/>
      <c r="O21" s="60"/>
      <c r="P21" s="60"/>
      <c r="Q21" s="60"/>
      <c r="R21" s="60"/>
      <c r="S21" s="60"/>
      <c r="T21" s="60"/>
      <c r="U21" s="60"/>
      <c r="V21" s="60"/>
    </row>
    <row r="22" spans="1:22" ht="15">
      <c r="A22" s="86" t="s">
        <v>90</v>
      </c>
      <c r="B22" s="87">
        <f>IFERROR(SUMIFS(_TECH_Crisis_Model!$D:$D,_TECH_Crisis_Model!$A:$A,B$9,_TECH_Crisis_Model!$B:$B,$A22),"")</f>
        <v>1.7</v>
      </c>
      <c r="C22" s="87">
        <f>IFERROR(SUMIFS(_TECH_Crisis_Model!$D:$D,_TECH_Crisis_Model!$A:$A,C$9,_TECH_Crisis_Model!$B:$B,$A22),"")</f>
        <v>1.6</v>
      </c>
      <c r="D22" s="87">
        <f>IFERROR(SUMIFS(_TECH_Crisis_Model!$D:$D,_TECH_Crisis_Model!$A:$A,D$9,_TECH_Crisis_Model!$B:$B,$A22),"")</f>
        <v>1.8</v>
      </c>
      <c r="E22" s="87">
        <f>IFERROR(SUMIFS(_TECH_Crisis_Model!$D:$D,_TECH_Crisis_Model!$A:$A,E$9,_TECH_Crisis_Model!$B:$B,$A22),"")</f>
        <v>2</v>
      </c>
      <c r="F22" s="87">
        <f>IFERROR(SUMIFS(_TECH_Crisis_Model!$D:$D,_TECH_Crisis_Model!$A:$A,F$9,_TECH_Crisis_Model!$B:$B,$A22),"")</f>
        <v>1</v>
      </c>
      <c r="G22" s="87">
        <f>IFERROR(SUMIFS(_TECH_Crisis_Model!$D:$D,_TECH_Crisis_Model!$A:$A,G$9,_TECH_Crisis_Model!$B:$B,$A22),"")</f>
        <v>1.5</v>
      </c>
      <c r="H22" s="87">
        <f>IFERROR(SUMIFS(_TECH_Crisis_Model!$D:$D,_TECH_Crisis_Model!$A:$A,H$9,_TECH_Crisis_Model!$B:$B,$A22),"")</f>
        <v>1</v>
      </c>
      <c r="I22" s="87">
        <f>IFERROR(SUMIFS(_TECH_Crisis_Model!$D:$D,_TECH_Crisis_Model!$A:$A,I$9,_TECH_Crisis_Model!$B:$B,$A22),"")</f>
        <v>1</v>
      </c>
      <c r="J22" s="87">
        <f>IFERROR(SUMIFS(_TECH_Crisis_Model!$D:$D,_TECH_Crisis_Model!$A:$A,J$9,_TECH_Crisis_Model!$B:$B,$A22),"")</f>
        <v>1.4</v>
      </c>
      <c r="K22" s="87">
        <f>IFERROR(SUMIFS(_TECH_Crisis_Model!$D:$D,_TECH_Crisis_Model!$A:$A,K$9,_TECH_Crisis_Model!$B:$B,$A22),"")</f>
        <v>1</v>
      </c>
      <c r="L22" s="87">
        <f>IFERROR(SUMIFS(_TECH_Crisis_Model!$D:$D,_TECH_Crisis_Model!$A:$A,L$9,_TECH_Crisis_Model!$B:$B,$A22),"")</f>
        <v>1</v>
      </c>
      <c r="M22" s="60"/>
      <c r="N22" s="60"/>
      <c r="O22" s="60"/>
      <c r="P22" s="60"/>
      <c r="Q22" s="60"/>
      <c r="R22" s="60"/>
      <c r="S22" s="60"/>
      <c r="T22" s="60"/>
      <c r="U22" s="60"/>
      <c r="V22" s="60"/>
    </row>
    <row r="23" spans="1:22" ht="15">
      <c r="A23" s="86" t="s">
        <v>91</v>
      </c>
      <c r="B23" s="87">
        <f>IFERROR(SUMIFS(_TECH_Crisis_Model!$D:$D,_TECH_Crisis_Model!$A:$A,B$9,_TECH_Crisis_Model!$B:$B,$A23),"")</f>
        <v>1</v>
      </c>
      <c r="C23" s="87">
        <f>IFERROR(SUMIFS(_TECH_Crisis_Model!$D:$D,_TECH_Crisis_Model!$A:$A,C$9,_TECH_Crisis_Model!$B:$B,$A23),"")</f>
        <v>1.3</v>
      </c>
      <c r="D23" s="87">
        <f>IFERROR(SUMIFS(_TECH_Crisis_Model!$D:$D,_TECH_Crisis_Model!$A:$A,D$9,_TECH_Crisis_Model!$B:$B,$A23),"")</f>
        <v>1.7</v>
      </c>
      <c r="E23" s="87">
        <f>IFERROR(SUMIFS(_TECH_Crisis_Model!$D:$D,_TECH_Crisis_Model!$A:$A,E$9,_TECH_Crisis_Model!$B:$B,$A23),"")</f>
        <v>1.8</v>
      </c>
      <c r="F23" s="87">
        <f>IFERROR(SUMIFS(_TECH_Crisis_Model!$D:$D,_TECH_Crisis_Model!$A:$A,F$9,_TECH_Crisis_Model!$B:$B,$A23),"")</f>
        <v>1</v>
      </c>
      <c r="G23" s="87">
        <f>IFERROR(SUMIFS(_TECH_Crisis_Model!$D:$D,_TECH_Crisis_Model!$A:$A,G$9,_TECH_Crisis_Model!$B:$B,$A23),"")</f>
        <v>1.3</v>
      </c>
      <c r="H23" s="87">
        <f>IFERROR(SUMIFS(_TECH_Crisis_Model!$D:$D,_TECH_Crisis_Model!$A:$A,H$9,_TECH_Crisis_Model!$B:$B,$A23),"")</f>
        <v>1</v>
      </c>
      <c r="I23" s="87">
        <f>IFERROR(SUMIFS(_TECH_Crisis_Model!$D:$D,_TECH_Crisis_Model!$A:$A,I$9,_TECH_Crisis_Model!$B:$B,$A23),"")</f>
        <v>1</v>
      </c>
      <c r="J23" s="87">
        <f>IFERROR(SUMIFS(_TECH_Crisis_Model!$D:$D,_TECH_Crisis_Model!$A:$A,J$9,_TECH_Crisis_Model!$B:$B,$A23),"")</f>
        <v>1.2</v>
      </c>
      <c r="K23" s="87">
        <f>IFERROR(SUMIFS(_TECH_Crisis_Model!$D:$D,_TECH_Crisis_Model!$A:$A,K$9,_TECH_Crisis_Model!$B:$B,$A23),"")</f>
        <v>1.2</v>
      </c>
      <c r="L23" s="87">
        <f>IFERROR(SUMIFS(_TECH_Crisis_Model!$D:$D,_TECH_Crisis_Model!$A:$A,L$9,_TECH_Crisis_Model!$B:$B,$A23),"")</f>
        <v>1</v>
      </c>
      <c r="M23" s="60"/>
      <c r="N23" s="60"/>
      <c r="O23" s="60"/>
      <c r="P23" s="60"/>
      <c r="Q23" s="60"/>
      <c r="R23" s="60"/>
      <c r="S23" s="60"/>
      <c r="T23" s="60"/>
      <c r="U23" s="60"/>
      <c r="V23" s="60"/>
    </row>
    <row r="24" spans="1:22" ht="15">
      <c r="A24" s="86" t="s">
        <v>92</v>
      </c>
      <c r="B24" s="87">
        <f>IFERROR(SUMIFS(_TECH_Crisis_Model!$D:$D,_TECH_Crisis_Model!$A:$A,B$9,_TECH_Crisis_Model!$B:$B,$A24),"")</f>
        <v>1</v>
      </c>
      <c r="C24" s="87">
        <f>IFERROR(SUMIFS(_TECH_Crisis_Model!$D:$D,_TECH_Crisis_Model!$A:$A,C$9,_TECH_Crisis_Model!$B:$B,$A24),"")</f>
        <v>1</v>
      </c>
      <c r="D24" s="87">
        <f>IFERROR(SUMIFS(_TECH_Crisis_Model!$D:$D,_TECH_Crisis_Model!$A:$A,D$9,_TECH_Crisis_Model!$B:$B,$A24),"")</f>
        <v>1.6</v>
      </c>
      <c r="E24" s="87">
        <f>IFERROR(SUMIFS(_TECH_Crisis_Model!$D:$D,_TECH_Crisis_Model!$A:$A,E$9,_TECH_Crisis_Model!$B:$B,$A24),"")</f>
        <v>1.6</v>
      </c>
      <c r="F24" s="87">
        <f>IFERROR(SUMIFS(_TECH_Crisis_Model!$D:$D,_TECH_Crisis_Model!$A:$A,F$9,_TECH_Crisis_Model!$B:$B,$A24),"")</f>
        <v>1</v>
      </c>
      <c r="G24" s="87">
        <f>IFERROR(SUMIFS(_TECH_Crisis_Model!$D:$D,_TECH_Crisis_Model!$A:$A,G$9,_TECH_Crisis_Model!$B:$B,$A24),"")</f>
        <v>1</v>
      </c>
      <c r="H24" s="87">
        <f>IFERROR(SUMIFS(_TECH_Crisis_Model!$D:$D,_TECH_Crisis_Model!$A:$A,H$9,_TECH_Crisis_Model!$B:$B,$A24),"")</f>
        <v>1.2</v>
      </c>
      <c r="I24" s="87">
        <f>IFERROR(SUMIFS(_TECH_Crisis_Model!$D:$D,_TECH_Crisis_Model!$A:$A,I$9,_TECH_Crisis_Model!$B:$B,$A24),"")</f>
        <v>1.3</v>
      </c>
      <c r="J24" s="87">
        <f>IFERROR(SUMIFS(_TECH_Crisis_Model!$D:$D,_TECH_Crisis_Model!$A:$A,J$9,_TECH_Crisis_Model!$B:$B,$A24),"")</f>
        <v>1</v>
      </c>
      <c r="K24" s="87">
        <f>IFERROR(SUMIFS(_TECH_Crisis_Model!$D:$D,_TECH_Crisis_Model!$A:$A,K$9,_TECH_Crisis_Model!$B:$B,$A24),"")</f>
        <v>1.4</v>
      </c>
      <c r="L24" s="87">
        <f>IFERROR(SUMIFS(_TECH_Crisis_Model!$D:$D,_TECH_Crisis_Model!$A:$A,L$9,_TECH_Crisis_Model!$B:$B,$A24),"")</f>
        <v>1</v>
      </c>
      <c r="M24" s="60"/>
      <c r="N24" s="60"/>
      <c r="O24" s="60"/>
      <c r="P24" s="60"/>
      <c r="Q24" s="60"/>
      <c r="R24" s="60"/>
      <c r="S24" s="60"/>
      <c r="T24" s="60"/>
      <c r="U24" s="60"/>
      <c r="V24" s="60"/>
    </row>
    <row r="25" spans="1:22" ht="15">
      <c r="A25" s="86" t="s">
        <v>93</v>
      </c>
      <c r="B25" s="87">
        <f>IFERROR(SUMIFS(_TECH_Crisis_Model!$D:$D,_TECH_Crisis_Model!$A:$A,B$9,_TECH_Crisis_Model!$B:$B,$A25),"")</f>
        <v>1.5</v>
      </c>
      <c r="C25" s="87">
        <f>IFERROR(SUMIFS(_TECH_Crisis_Model!$D:$D,_TECH_Crisis_Model!$A:$A,C$9,_TECH_Crisis_Model!$B:$B,$A25),"")</f>
        <v>1</v>
      </c>
      <c r="D25" s="87">
        <f>IFERROR(SUMIFS(_TECH_Crisis_Model!$D:$D,_TECH_Crisis_Model!$A:$A,D$9,_TECH_Crisis_Model!$B:$B,$A25),"")</f>
        <v>2</v>
      </c>
      <c r="E25" s="87">
        <f>IFERROR(SUMIFS(_TECH_Crisis_Model!$D:$D,_TECH_Crisis_Model!$A:$A,E$9,_TECH_Crisis_Model!$B:$B,$A25),"")</f>
        <v>1.3</v>
      </c>
      <c r="F25" s="87">
        <f>IFERROR(SUMIFS(_TECH_Crisis_Model!$D:$D,_TECH_Crisis_Model!$A:$A,F$9,_TECH_Crisis_Model!$B:$B,$A25),"")</f>
        <v>1</v>
      </c>
      <c r="G25" s="87">
        <f>IFERROR(SUMIFS(_TECH_Crisis_Model!$D:$D,_TECH_Crisis_Model!$A:$A,G$9,_TECH_Crisis_Model!$B:$B,$A25),"")</f>
        <v>1</v>
      </c>
      <c r="H25" s="87">
        <f>IFERROR(SUMIFS(_TECH_Crisis_Model!$D:$D,_TECH_Crisis_Model!$A:$A,H$9,_TECH_Crisis_Model!$B:$B,$A25),"")</f>
        <v>1</v>
      </c>
      <c r="I25" s="87">
        <f>IFERROR(SUMIFS(_TECH_Crisis_Model!$D:$D,_TECH_Crisis_Model!$A:$A,I$9,_TECH_Crisis_Model!$B:$B,$A25),"")</f>
        <v>1</v>
      </c>
      <c r="J25" s="87">
        <f>IFERROR(SUMIFS(_TECH_Crisis_Model!$D:$D,_TECH_Crisis_Model!$A:$A,J$9,_TECH_Crisis_Model!$B:$B,$A25),"")</f>
        <v>1</v>
      </c>
      <c r="K25" s="87">
        <f>IFERROR(SUMIFS(_TECH_Crisis_Model!$D:$D,_TECH_Crisis_Model!$A:$A,K$9,_TECH_Crisis_Model!$B:$B,$A25),"")</f>
        <v>1.6</v>
      </c>
      <c r="L25" s="87">
        <f>IFERROR(SUMIFS(_TECH_Crisis_Model!$D:$D,_TECH_Crisis_Model!$A:$A,L$9,_TECH_Crisis_Model!$B:$B,$A25),"")</f>
        <v>1.3</v>
      </c>
      <c r="M25" s="60"/>
      <c r="N25" s="60"/>
      <c r="O25" s="60"/>
      <c r="P25" s="60"/>
      <c r="Q25" s="60"/>
      <c r="R25" s="60"/>
      <c r="S25" s="60"/>
      <c r="T25" s="60"/>
      <c r="U25" s="60"/>
      <c r="V25" s="60"/>
    </row>
    <row r="26" spans="1:22" ht="15">
      <c r="A26" s="86" t="s">
        <v>94</v>
      </c>
      <c r="B26" s="87">
        <f>IFERROR(SUMIFS(_TECH_Crisis_Model!$D:$D,_TECH_Crisis_Model!$A:$A,B$9,_TECH_Crisis_Model!$B:$B,$A26),"")</f>
        <v>1</v>
      </c>
      <c r="C26" s="87">
        <f>IFERROR(SUMIFS(_TECH_Crisis_Model!$D:$D,_TECH_Crisis_Model!$A:$A,C$9,_TECH_Crisis_Model!$B:$B,$A26),"")</f>
        <v>1</v>
      </c>
      <c r="D26" s="87">
        <f>IFERROR(SUMIFS(_TECH_Crisis_Model!$D:$D,_TECH_Crisis_Model!$A:$A,D$9,_TECH_Crisis_Model!$B:$B,$A26),"")</f>
        <v>1</v>
      </c>
      <c r="E26" s="87">
        <f>IFERROR(SUMIFS(_TECH_Crisis_Model!$D:$D,_TECH_Crisis_Model!$A:$A,E$9,_TECH_Crisis_Model!$B:$B,$A26),"")</f>
        <v>1</v>
      </c>
      <c r="F26" s="87">
        <f>IFERROR(SUMIFS(_TECH_Crisis_Model!$D:$D,_TECH_Crisis_Model!$A:$A,F$9,_TECH_Crisis_Model!$B:$B,$A26),"")</f>
        <v>1</v>
      </c>
      <c r="G26" s="87">
        <f>IFERROR(SUMIFS(_TECH_Crisis_Model!$D:$D,_TECH_Crisis_Model!$A:$A,G$9,_TECH_Crisis_Model!$B:$B,$A26),"")</f>
        <v>1</v>
      </c>
      <c r="H26" s="87">
        <f>IFERROR(SUMIFS(_TECH_Crisis_Model!$D:$D,_TECH_Crisis_Model!$A:$A,H$9,_TECH_Crisis_Model!$B:$B,$A26),"")</f>
        <v>1.3</v>
      </c>
      <c r="I26" s="87">
        <f>IFERROR(SUMIFS(_TECH_Crisis_Model!$D:$D,_TECH_Crisis_Model!$A:$A,I$9,_TECH_Crisis_Model!$B:$B,$A26),"")</f>
        <v>1.2</v>
      </c>
      <c r="J26" s="87">
        <f>IFERROR(SUMIFS(_TECH_Crisis_Model!$D:$D,_TECH_Crisis_Model!$A:$A,J$9,_TECH_Crisis_Model!$B:$B,$A26),"")</f>
        <v>1</v>
      </c>
      <c r="K26" s="87">
        <f>IFERROR(SUMIFS(_TECH_Crisis_Model!$D:$D,_TECH_Crisis_Model!$A:$A,K$9,_TECH_Crisis_Model!$B:$B,$A26),"")</f>
        <v>1</v>
      </c>
      <c r="L26" s="87">
        <f>IFERROR(SUMIFS(_TECH_Crisis_Model!$D:$D,_TECH_Crisis_Model!$A:$A,L$9,_TECH_Crisis_Model!$B:$B,$A26),"")</f>
        <v>1</v>
      </c>
      <c r="M26" s="60"/>
      <c r="N26" s="60"/>
      <c r="O26" s="60"/>
      <c r="P26" s="60"/>
      <c r="Q26" s="60"/>
      <c r="R26" s="60"/>
      <c r="S26" s="60"/>
      <c r="T26" s="60"/>
      <c r="U26" s="60"/>
      <c r="V26" s="60"/>
    </row>
    <row r="27" spans="1:22">
      <c r="A27" s="60"/>
      <c r="B27" s="60"/>
      <c r="C27" s="60"/>
      <c r="D27" s="60"/>
      <c r="E27" s="60"/>
      <c r="F27" s="60"/>
      <c r="G27" s="60"/>
      <c r="H27" s="60"/>
      <c r="I27" s="60"/>
      <c r="J27" s="60"/>
      <c r="K27" s="60"/>
      <c r="L27" s="60"/>
      <c r="M27" s="60"/>
      <c r="N27" s="60"/>
      <c r="O27" s="60"/>
      <c r="P27" s="60"/>
      <c r="Q27" s="60"/>
      <c r="R27" s="60"/>
      <c r="S27" s="60"/>
      <c r="T27" s="60"/>
      <c r="U27" s="60"/>
      <c r="V27" s="60"/>
    </row>
    <row r="28" spans="1:22">
      <c r="A28" s="60"/>
      <c r="B28" s="60"/>
      <c r="C28" s="60"/>
      <c r="D28" s="60"/>
      <c r="E28" s="60"/>
      <c r="F28" s="60"/>
      <c r="G28" s="60"/>
      <c r="H28" s="60"/>
      <c r="I28" s="60"/>
      <c r="J28" s="60"/>
      <c r="K28" s="60"/>
      <c r="L28" s="60"/>
      <c r="M28" s="60"/>
      <c r="N28" s="60"/>
      <c r="O28" s="60"/>
      <c r="P28" s="60"/>
      <c r="Q28" s="60"/>
      <c r="R28" s="60"/>
      <c r="S28" s="60"/>
      <c r="T28" s="60"/>
      <c r="U28" s="60"/>
      <c r="V28" s="60"/>
    </row>
    <row r="29" spans="1:22">
      <c r="A29" s="60"/>
      <c r="B29" s="60"/>
      <c r="C29" s="60"/>
      <c r="D29" s="60"/>
      <c r="E29" s="60"/>
      <c r="F29" s="60"/>
      <c r="G29" s="60"/>
      <c r="H29" s="60"/>
      <c r="I29" s="60"/>
      <c r="J29" s="60"/>
      <c r="K29" s="60"/>
      <c r="L29" s="60"/>
      <c r="M29" s="60"/>
      <c r="N29" s="60"/>
      <c r="O29" s="60"/>
      <c r="P29" s="60"/>
      <c r="Q29" s="60"/>
      <c r="R29" s="60"/>
      <c r="S29" s="60"/>
      <c r="T29" s="60"/>
      <c r="U29" s="60"/>
      <c r="V29" s="60"/>
    </row>
    <row r="30" spans="1:22" ht="15">
      <c r="A30" s="165" t="s">
        <v>182</v>
      </c>
      <c r="B30" s="166"/>
      <c r="C30" s="166"/>
      <c r="D30" s="166"/>
      <c r="E30" s="166"/>
      <c r="F30" s="166"/>
      <c r="G30" s="166"/>
      <c r="H30" s="166"/>
      <c r="I30" s="166"/>
      <c r="J30" s="166"/>
      <c r="K30" s="166"/>
      <c r="L30" s="166"/>
      <c r="M30" s="163"/>
      <c r="N30" s="60"/>
      <c r="O30" s="60"/>
      <c r="P30" s="60"/>
      <c r="Q30" s="60"/>
      <c r="R30" s="60"/>
      <c r="S30" s="60"/>
      <c r="T30" s="60"/>
      <c r="U30" s="60"/>
      <c r="V30" s="60"/>
    </row>
    <row r="31" spans="1:22" ht="44.1" customHeight="1">
      <c r="A31" s="50" t="s">
        <v>36</v>
      </c>
      <c r="B31" s="50" t="s">
        <v>183</v>
      </c>
      <c r="C31" s="50" t="s">
        <v>184</v>
      </c>
      <c r="D31" s="50" t="s">
        <v>185</v>
      </c>
      <c r="E31" s="50" t="s">
        <v>186</v>
      </c>
      <c r="F31" s="50" t="s">
        <v>187</v>
      </c>
      <c r="G31" s="50" t="s">
        <v>188</v>
      </c>
      <c r="H31" s="50" t="s">
        <v>189</v>
      </c>
      <c r="I31" s="50" t="s">
        <v>190</v>
      </c>
      <c r="J31" s="50" t="s">
        <v>191</v>
      </c>
      <c r="K31" s="50" t="s">
        <v>192</v>
      </c>
      <c r="L31" s="50" t="s">
        <v>193</v>
      </c>
      <c r="M31" s="50" t="s">
        <v>194</v>
      </c>
      <c r="N31" s="85"/>
      <c r="O31" s="85"/>
      <c r="P31" s="85"/>
      <c r="Q31" s="85"/>
      <c r="R31" s="85"/>
      <c r="S31" s="85"/>
      <c r="T31" s="85"/>
      <c r="U31" s="85"/>
      <c r="V31" s="85"/>
    </row>
    <row r="32" spans="1:22" ht="15">
      <c r="A32" s="86" t="s">
        <v>54</v>
      </c>
      <c r="B32" s="88" t="str">
        <f>IFERROR(ROUND(AVERAGEIFS('Risk Summary'!$L$8:$L$414,'Risk Summary'!$B$8:$B$414,"Yes",'Risk Summary'!$C$8:$C$414,$A32,'Risk Summary'!$F$8:$F$414,B$31),1),"")</f>
        <v/>
      </c>
      <c r="C32" s="88" t="str">
        <f>IFERROR(ROUND(AVERAGEIFS('Risk Summary'!$L$8:$L$414,'Risk Summary'!$B$8:$B$414,"Yes",'Risk Summary'!$C$8:$C$414,$A32,'Risk Summary'!$F$8:$F$414,C$31),1),"")</f>
        <v/>
      </c>
      <c r="D32" s="88" t="str">
        <f>IFERROR(ROUND(AVERAGEIFS('Risk Summary'!$L$8:$L$414,'Risk Summary'!$B$8:$B$414,"Yes",'Risk Summary'!$C$8:$C$414,$A32,'Risk Summary'!$F$8:$F$414,D$31),1),"")</f>
        <v/>
      </c>
      <c r="E32" s="88" t="str">
        <f>IFERROR(ROUND(AVERAGEIFS('Risk Summary'!$L$8:$L$414,'Risk Summary'!$B$8:$B$414,"Yes",'Risk Summary'!$C$8:$C$414,$A32,'Risk Summary'!$F$8:$F$414,E$31),1),"")</f>
        <v/>
      </c>
      <c r="F32" s="88" t="str">
        <f>IFERROR(ROUND(AVERAGEIFS('Risk Summary'!$L$8:$L$414,'Risk Summary'!$B$8:$B$414,"Yes",'Risk Summary'!$C$8:$C$414,$A32,'Risk Summary'!$F$8:$F$414,F$31),1),"")</f>
        <v/>
      </c>
      <c r="G32" s="88" t="str">
        <f>IFERROR(ROUND(AVERAGEIFS('Risk Summary'!$L$8:$L$414,'Risk Summary'!$B$8:$B$414,"Yes",'Risk Summary'!$C$8:$C$414,$A32,'Risk Summary'!$F$8:$F$414,G$31),1),"")</f>
        <v/>
      </c>
      <c r="H32" s="88" t="str">
        <f>IFERROR(ROUND(AVERAGEIFS('Risk Summary'!$L$8:$L$414,'Risk Summary'!$B$8:$B$414,"Yes",'Risk Summary'!$C$8:$C$414,$A32,'Risk Summary'!$F$8:$F$414,H$31),1),"")</f>
        <v/>
      </c>
      <c r="I32" s="88" t="str">
        <f>IFERROR(ROUND(AVERAGEIFS('Risk Summary'!$L$8:$L$414,'Risk Summary'!$B$8:$B$414,"Yes",'Risk Summary'!$C$8:$C$414,$A32,'Risk Summary'!$F$8:$F$414,I$31),1),"")</f>
        <v/>
      </c>
      <c r="J32" s="88" t="str">
        <f>IFERROR(ROUND(AVERAGEIFS('Risk Summary'!$L$8:$L$414,'Risk Summary'!$B$8:$B$414,"Yes",'Risk Summary'!$C$8:$C$414,$A32,'Risk Summary'!$F$8:$F$414,J$31),1),"")</f>
        <v/>
      </c>
      <c r="K32" s="88" t="str">
        <f>IFERROR(ROUND(AVERAGEIFS('Risk Summary'!$L$8:$L$414,'Risk Summary'!$B$8:$B$414,"Yes",'Risk Summary'!$C$8:$C$414,$A32,'Risk Summary'!$F$8:$F$414,K$31),1),"")</f>
        <v/>
      </c>
      <c r="L32" s="88" t="str">
        <f>IFERROR(ROUND(AVERAGEIFS('Risk Summary'!$L$8:$L$414,'Risk Summary'!$B$8:$B$414,"Yes",'Risk Summary'!$C$8:$C$414,$A32,'Risk Summary'!$F$8:$F$414,L$31),1),"")</f>
        <v/>
      </c>
      <c r="M32" s="88" t="str">
        <f>IFERROR(ROUND(AVERAGEIFS('Risk Summary'!$L$8:$L$414,'Risk Summary'!$B$8:$B$414,"Yes",'Risk Summary'!$C$8:$C$414,$A32,'Risk Summary'!$F$8:$F$414,M$31),1),"")</f>
        <v/>
      </c>
      <c r="N32" s="60"/>
      <c r="O32" s="60"/>
      <c r="P32" s="60"/>
      <c r="Q32" s="60"/>
      <c r="R32" s="60"/>
      <c r="S32" s="60"/>
      <c r="T32" s="60"/>
      <c r="U32" s="60"/>
      <c r="V32" s="60"/>
    </row>
    <row r="33" spans="1:22" ht="15">
      <c r="A33" s="86" t="s">
        <v>57</v>
      </c>
      <c r="B33" s="88" t="str">
        <f>IFERROR(ROUND(AVERAGEIFS('Risk Summary'!$L$8:$L$414,'Risk Summary'!$B$8:$B$414,"Yes",'Risk Summary'!$C$8:$C$414,$A33,'Risk Summary'!$F$8:$F$414,B$31),1),"")</f>
        <v/>
      </c>
      <c r="C33" s="88" t="str">
        <f>IFERROR(ROUND(AVERAGEIFS('Risk Summary'!$L$8:$L$414,'Risk Summary'!$B$8:$B$414,"Yes",'Risk Summary'!$C$8:$C$414,$A33,'Risk Summary'!$F$8:$F$414,C$31),1),"")</f>
        <v/>
      </c>
      <c r="D33" s="88" t="str">
        <f>IFERROR(ROUND(AVERAGEIFS('Risk Summary'!$L$8:$L$414,'Risk Summary'!$B$8:$B$414,"Yes",'Risk Summary'!$C$8:$C$414,$A33,'Risk Summary'!$F$8:$F$414,D$31),1),"")</f>
        <v/>
      </c>
      <c r="E33" s="88" t="str">
        <f>IFERROR(ROUND(AVERAGEIFS('Risk Summary'!$L$8:$L$414,'Risk Summary'!$B$8:$B$414,"Yes",'Risk Summary'!$C$8:$C$414,$A33,'Risk Summary'!$F$8:$F$414,E$31),1),"")</f>
        <v/>
      </c>
      <c r="F33" s="88" t="str">
        <f>IFERROR(ROUND(AVERAGEIFS('Risk Summary'!$L$8:$L$414,'Risk Summary'!$B$8:$B$414,"Yes",'Risk Summary'!$C$8:$C$414,$A33,'Risk Summary'!$F$8:$F$414,F$31),1),"")</f>
        <v/>
      </c>
      <c r="G33" s="88" t="str">
        <f>IFERROR(ROUND(AVERAGEIFS('Risk Summary'!$L$8:$L$414,'Risk Summary'!$B$8:$B$414,"Yes",'Risk Summary'!$C$8:$C$414,$A33,'Risk Summary'!$F$8:$F$414,G$31),1),"")</f>
        <v/>
      </c>
      <c r="H33" s="88" t="str">
        <f>IFERROR(ROUND(AVERAGEIFS('Risk Summary'!$L$8:$L$414,'Risk Summary'!$B$8:$B$414,"Yes",'Risk Summary'!$C$8:$C$414,$A33,'Risk Summary'!$F$8:$F$414,H$31),1),"")</f>
        <v/>
      </c>
      <c r="I33" s="88" t="str">
        <f>IFERROR(ROUND(AVERAGEIFS('Risk Summary'!$L$8:$L$414,'Risk Summary'!$B$8:$B$414,"Yes",'Risk Summary'!$C$8:$C$414,$A33,'Risk Summary'!$F$8:$F$414,I$31),1),"")</f>
        <v/>
      </c>
      <c r="J33" s="88" t="str">
        <f>IFERROR(ROUND(AVERAGEIFS('Risk Summary'!$L$8:$L$414,'Risk Summary'!$B$8:$B$414,"Yes",'Risk Summary'!$C$8:$C$414,$A33,'Risk Summary'!$F$8:$F$414,J$31),1),"")</f>
        <v/>
      </c>
      <c r="K33" s="88" t="str">
        <f>IFERROR(ROUND(AVERAGEIFS('Risk Summary'!$L$8:$L$414,'Risk Summary'!$B$8:$B$414,"Yes",'Risk Summary'!$C$8:$C$414,$A33,'Risk Summary'!$F$8:$F$414,K$31),1),"")</f>
        <v/>
      </c>
      <c r="L33" s="88" t="str">
        <f>IFERROR(ROUND(AVERAGEIFS('Risk Summary'!$L$8:$L$414,'Risk Summary'!$B$8:$B$414,"Yes",'Risk Summary'!$C$8:$C$414,$A33,'Risk Summary'!$F$8:$F$414,L$31),1),"")</f>
        <v/>
      </c>
      <c r="M33" s="88" t="str">
        <f>IFERROR(ROUND(AVERAGEIFS('Risk Summary'!$L$8:$L$414,'Risk Summary'!$B$8:$B$414,"Yes",'Risk Summary'!$C$8:$C$414,$A33,'Risk Summary'!$F$8:$F$414,M$31),1),"")</f>
        <v/>
      </c>
      <c r="N33" s="60"/>
      <c r="O33" s="60"/>
      <c r="P33" s="60"/>
      <c r="Q33" s="60"/>
      <c r="R33" s="60"/>
      <c r="S33" s="60"/>
      <c r="T33" s="60"/>
      <c r="U33" s="60"/>
      <c r="V33" s="60"/>
    </row>
    <row r="34" spans="1:22" ht="15">
      <c r="A34" s="86" t="s">
        <v>60</v>
      </c>
      <c r="B34" s="88" t="str">
        <f>IFERROR(ROUND(AVERAGEIFS('Risk Summary'!$L$8:$L$414,'Risk Summary'!$B$8:$B$414,"Yes",'Risk Summary'!$C$8:$C$414,$A34,'Risk Summary'!$F$8:$F$414,B$31),1),"")</f>
        <v/>
      </c>
      <c r="C34" s="88" t="str">
        <f>IFERROR(ROUND(AVERAGEIFS('Risk Summary'!$L$8:$L$414,'Risk Summary'!$B$8:$B$414,"Yes",'Risk Summary'!$C$8:$C$414,$A34,'Risk Summary'!$F$8:$F$414,C$31),1),"")</f>
        <v/>
      </c>
      <c r="D34" s="88" t="str">
        <f>IFERROR(ROUND(AVERAGEIFS('Risk Summary'!$L$8:$L$414,'Risk Summary'!$B$8:$B$414,"Yes",'Risk Summary'!$C$8:$C$414,$A34,'Risk Summary'!$F$8:$F$414,D$31),1),"")</f>
        <v/>
      </c>
      <c r="E34" s="88" t="str">
        <f>IFERROR(ROUND(AVERAGEIFS('Risk Summary'!$L$8:$L$414,'Risk Summary'!$B$8:$B$414,"Yes",'Risk Summary'!$C$8:$C$414,$A34,'Risk Summary'!$F$8:$F$414,E$31),1),"")</f>
        <v/>
      </c>
      <c r="F34" s="88" t="str">
        <f>IFERROR(ROUND(AVERAGEIFS('Risk Summary'!$L$8:$L$414,'Risk Summary'!$B$8:$B$414,"Yes",'Risk Summary'!$C$8:$C$414,$A34,'Risk Summary'!$F$8:$F$414,F$31),1),"")</f>
        <v/>
      </c>
      <c r="G34" s="88" t="str">
        <f>IFERROR(ROUND(AVERAGEIFS('Risk Summary'!$L$8:$L$414,'Risk Summary'!$B$8:$B$414,"Yes",'Risk Summary'!$C$8:$C$414,$A34,'Risk Summary'!$F$8:$F$414,G$31),1),"")</f>
        <v/>
      </c>
      <c r="H34" s="88" t="str">
        <f>IFERROR(ROUND(AVERAGEIFS('Risk Summary'!$L$8:$L$414,'Risk Summary'!$B$8:$B$414,"Yes",'Risk Summary'!$C$8:$C$414,$A34,'Risk Summary'!$F$8:$F$414,H$31),1),"")</f>
        <v/>
      </c>
      <c r="I34" s="88" t="str">
        <f>IFERROR(ROUND(AVERAGEIFS('Risk Summary'!$L$8:$L$414,'Risk Summary'!$B$8:$B$414,"Yes",'Risk Summary'!$C$8:$C$414,$A34,'Risk Summary'!$F$8:$F$414,I$31),1),"")</f>
        <v/>
      </c>
      <c r="J34" s="88" t="str">
        <f>IFERROR(ROUND(AVERAGEIFS('Risk Summary'!$L$8:$L$414,'Risk Summary'!$B$8:$B$414,"Yes",'Risk Summary'!$C$8:$C$414,$A34,'Risk Summary'!$F$8:$F$414,J$31),1),"")</f>
        <v/>
      </c>
      <c r="K34" s="88" t="str">
        <f>IFERROR(ROUND(AVERAGEIFS('Risk Summary'!$L$8:$L$414,'Risk Summary'!$B$8:$B$414,"Yes",'Risk Summary'!$C$8:$C$414,$A34,'Risk Summary'!$F$8:$F$414,K$31),1),"")</f>
        <v/>
      </c>
      <c r="L34" s="88" t="str">
        <f>IFERROR(ROUND(AVERAGEIFS('Risk Summary'!$L$8:$L$414,'Risk Summary'!$B$8:$B$414,"Yes",'Risk Summary'!$C$8:$C$414,$A34,'Risk Summary'!$F$8:$F$414,L$31),1),"")</f>
        <v/>
      </c>
      <c r="M34" s="88" t="str">
        <f>IFERROR(ROUND(AVERAGEIFS('Risk Summary'!$L$8:$L$414,'Risk Summary'!$B$8:$B$414,"Yes",'Risk Summary'!$C$8:$C$414,$A34,'Risk Summary'!$F$8:$F$414,M$31),1),"")</f>
        <v/>
      </c>
      <c r="N34" s="60"/>
      <c r="O34" s="60"/>
      <c r="P34" s="60"/>
      <c r="Q34" s="60"/>
      <c r="R34" s="60"/>
      <c r="S34" s="60"/>
      <c r="T34" s="60"/>
      <c r="U34" s="60"/>
      <c r="V34" s="60"/>
    </row>
    <row r="35" spans="1:22" ht="15">
      <c r="A35" s="86" t="s">
        <v>63</v>
      </c>
      <c r="B35" s="88" t="str">
        <f>IFERROR(ROUND(AVERAGEIFS('Risk Summary'!$L$8:$L$414,'Risk Summary'!$B$8:$B$414,"Yes",'Risk Summary'!$C$8:$C$414,$A35,'Risk Summary'!$F$8:$F$414,B$31),1),"")</f>
        <v/>
      </c>
      <c r="C35" s="88" t="str">
        <f>IFERROR(ROUND(AVERAGEIFS('Risk Summary'!$L$8:$L$414,'Risk Summary'!$B$8:$B$414,"Yes",'Risk Summary'!$C$8:$C$414,$A35,'Risk Summary'!$F$8:$F$414,C$31),1),"")</f>
        <v/>
      </c>
      <c r="D35" s="88" t="str">
        <f>IFERROR(ROUND(AVERAGEIFS('Risk Summary'!$L$8:$L$414,'Risk Summary'!$B$8:$B$414,"Yes",'Risk Summary'!$C$8:$C$414,$A35,'Risk Summary'!$F$8:$F$414,D$31),1),"")</f>
        <v/>
      </c>
      <c r="E35" s="88" t="str">
        <f>IFERROR(ROUND(AVERAGEIFS('Risk Summary'!$L$8:$L$414,'Risk Summary'!$B$8:$B$414,"Yes",'Risk Summary'!$C$8:$C$414,$A35,'Risk Summary'!$F$8:$F$414,E$31),1),"")</f>
        <v/>
      </c>
      <c r="F35" s="88" t="str">
        <f>IFERROR(ROUND(AVERAGEIFS('Risk Summary'!$L$8:$L$414,'Risk Summary'!$B$8:$B$414,"Yes",'Risk Summary'!$C$8:$C$414,$A35,'Risk Summary'!$F$8:$F$414,F$31),1),"")</f>
        <v/>
      </c>
      <c r="G35" s="88" t="str">
        <f>IFERROR(ROUND(AVERAGEIFS('Risk Summary'!$L$8:$L$414,'Risk Summary'!$B$8:$B$414,"Yes",'Risk Summary'!$C$8:$C$414,$A35,'Risk Summary'!$F$8:$F$414,G$31),1),"")</f>
        <v/>
      </c>
      <c r="H35" s="88" t="str">
        <f>IFERROR(ROUND(AVERAGEIFS('Risk Summary'!$L$8:$L$414,'Risk Summary'!$B$8:$B$414,"Yes",'Risk Summary'!$C$8:$C$414,$A35,'Risk Summary'!$F$8:$F$414,H$31),1),"")</f>
        <v/>
      </c>
      <c r="I35" s="88" t="str">
        <f>IFERROR(ROUND(AVERAGEIFS('Risk Summary'!$L$8:$L$414,'Risk Summary'!$B$8:$B$414,"Yes",'Risk Summary'!$C$8:$C$414,$A35,'Risk Summary'!$F$8:$F$414,I$31),1),"")</f>
        <v/>
      </c>
      <c r="J35" s="88" t="str">
        <f>IFERROR(ROUND(AVERAGEIFS('Risk Summary'!$L$8:$L$414,'Risk Summary'!$B$8:$B$414,"Yes",'Risk Summary'!$C$8:$C$414,$A35,'Risk Summary'!$F$8:$F$414,J$31),1),"")</f>
        <v/>
      </c>
      <c r="K35" s="88" t="str">
        <f>IFERROR(ROUND(AVERAGEIFS('Risk Summary'!$L$8:$L$414,'Risk Summary'!$B$8:$B$414,"Yes",'Risk Summary'!$C$8:$C$414,$A35,'Risk Summary'!$F$8:$F$414,K$31),1),"")</f>
        <v/>
      </c>
      <c r="L35" s="88" t="str">
        <f>IFERROR(ROUND(AVERAGEIFS('Risk Summary'!$L$8:$L$414,'Risk Summary'!$B$8:$B$414,"Yes",'Risk Summary'!$C$8:$C$414,$A35,'Risk Summary'!$F$8:$F$414,L$31),1),"")</f>
        <v/>
      </c>
      <c r="M35" s="88" t="str">
        <f>IFERROR(ROUND(AVERAGEIFS('Risk Summary'!$L$8:$L$414,'Risk Summary'!$B$8:$B$414,"Yes",'Risk Summary'!$C$8:$C$414,$A35,'Risk Summary'!$F$8:$F$414,M$31),1),"")</f>
        <v/>
      </c>
      <c r="N35" s="60"/>
      <c r="O35" s="60"/>
      <c r="P35" s="60"/>
      <c r="Q35" s="60"/>
      <c r="R35" s="60"/>
      <c r="S35" s="60"/>
      <c r="T35" s="60"/>
      <c r="U35" s="60"/>
      <c r="V35" s="60"/>
    </row>
    <row r="36" spans="1:22" ht="15">
      <c r="A36" s="86" t="s">
        <v>66</v>
      </c>
      <c r="B36" s="88" t="str">
        <f>IFERROR(ROUND(AVERAGEIFS('Risk Summary'!$L$8:$L$414,'Risk Summary'!$B$8:$B$414,"Yes",'Risk Summary'!$C$8:$C$414,$A36,'Risk Summary'!$F$8:$F$414,B$31),1),"")</f>
        <v/>
      </c>
      <c r="C36" s="88" t="str">
        <f>IFERROR(ROUND(AVERAGEIFS('Risk Summary'!$L$8:$L$414,'Risk Summary'!$B$8:$B$414,"Yes",'Risk Summary'!$C$8:$C$414,$A36,'Risk Summary'!$F$8:$F$414,C$31),1),"")</f>
        <v/>
      </c>
      <c r="D36" s="88" t="str">
        <f>IFERROR(ROUND(AVERAGEIFS('Risk Summary'!$L$8:$L$414,'Risk Summary'!$B$8:$B$414,"Yes",'Risk Summary'!$C$8:$C$414,$A36,'Risk Summary'!$F$8:$F$414,D$31),1),"")</f>
        <v/>
      </c>
      <c r="E36" s="88" t="str">
        <f>IFERROR(ROUND(AVERAGEIFS('Risk Summary'!$L$8:$L$414,'Risk Summary'!$B$8:$B$414,"Yes",'Risk Summary'!$C$8:$C$414,$A36,'Risk Summary'!$F$8:$F$414,E$31),1),"")</f>
        <v/>
      </c>
      <c r="F36" s="88" t="str">
        <f>IFERROR(ROUND(AVERAGEIFS('Risk Summary'!$L$8:$L$414,'Risk Summary'!$B$8:$B$414,"Yes",'Risk Summary'!$C$8:$C$414,$A36,'Risk Summary'!$F$8:$F$414,F$31),1),"")</f>
        <v/>
      </c>
      <c r="G36" s="88" t="str">
        <f>IFERROR(ROUND(AVERAGEIFS('Risk Summary'!$L$8:$L$414,'Risk Summary'!$B$8:$B$414,"Yes",'Risk Summary'!$C$8:$C$414,$A36,'Risk Summary'!$F$8:$F$414,G$31),1),"")</f>
        <v/>
      </c>
      <c r="H36" s="88" t="str">
        <f>IFERROR(ROUND(AVERAGEIFS('Risk Summary'!$L$8:$L$414,'Risk Summary'!$B$8:$B$414,"Yes",'Risk Summary'!$C$8:$C$414,$A36,'Risk Summary'!$F$8:$F$414,H$31),1),"")</f>
        <v/>
      </c>
      <c r="I36" s="88" t="str">
        <f>IFERROR(ROUND(AVERAGEIFS('Risk Summary'!$L$8:$L$414,'Risk Summary'!$B$8:$B$414,"Yes",'Risk Summary'!$C$8:$C$414,$A36,'Risk Summary'!$F$8:$F$414,I$31),1),"")</f>
        <v/>
      </c>
      <c r="J36" s="88" t="str">
        <f>IFERROR(ROUND(AVERAGEIFS('Risk Summary'!$L$8:$L$414,'Risk Summary'!$B$8:$B$414,"Yes",'Risk Summary'!$C$8:$C$414,$A36,'Risk Summary'!$F$8:$F$414,J$31),1),"")</f>
        <v/>
      </c>
      <c r="K36" s="88" t="str">
        <f>IFERROR(ROUND(AVERAGEIFS('Risk Summary'!$L$8:$L$414,'Risk Summary'!$B$8:$B$414,"Yes",'Risk Summary'!$C$8:$C$414,$A36,'Risk Summary'!$F$8:$F$414,K$31),1),"")</f>
        <v/>
      </c>
      <c r="L36" s="88" t="str">
        <f>IFERROR(ROUND(AVERAGEIFS('Risk Summary'!$L$8:$L$414,'Risk Summary'!$B$8:$B$414,"Yes",'Risk Summary'!$C$8:$C$414,$A36,'Risk Summary'!$F$8:$F$414,L$31),1),"")</f>
        <v/>
      </c>
      <c r="M36" s="88" t="str">
        <f>IFERROR(ROUND(AVERAGEIFS('Risk Summary'!$L$8:$L$414,'Risk Summary'!$B$8:$B$414,"Yes",'Risk Summary'!$C$8:$C$414,$A36,'Risk Summary'!$F$8:$F$414,M$31),1),"")</f>
        <v/>
      </c>
      <c r="N36" s="60"/>
      <c r="O36" s="60"/>
      <c r="P36" s="60"/>
      <c r="Q36" s="60"/>
      <c r="R36" s="60"/>
      <c r="S36" s="60"/>
      <c r="T36" s="60"/>
      <c r="U36" s="60"/>
      <c r="V36" s="60"/>
    </row>
    <row r="37" spans="1:22" ht="15">
      <c r="A37" s="86" t="s">
        <v>69</v>
      </c>
      <c r="B37" s="88" t="str">
        <f>IFERROR(ROUND(AVERAGEIFS('Risk Summary'!$L$8:$L$414,'Risk Summary'!$B$8:$B$414,"Yes",'Risk Summary'!$C$8:$C$414,$A37,'Risk Summary'!$F$8:$F$414,B$31),1),"")</f>
        <v/>
      </c>
      <c r="C37" s="88" t="str">
        <f>IFERROR(ROUND(AVERAGEIFS('Risk Summary'!$L$8:$L$414,'Risk Summary'!$B$8:$B$414,"Yes",'Risk Summary'!$C$8:$C$414,$A37,'Risk Summary'!$F$8:$F$414,C$31),1),"")</f>
        <v/>
      </c>
      <c r="D37" s="88" t="str">
        <f>IFERROR(ROUND(AVERAGEIFS('Risk Summary'!$L$8:$L$414,'Risk Summary'!$B$8:$B$414,"Yes",'Risk Summary'!$C$8:$C$414,$A37,'Risk Summary'!$F$8:$F$414,D$31),1),"")</f>
        <v/>
      </c>
      <c r="E37" s="88" t="str">
        <f>IFERROR(ROUND(AVERAGEIFS('Risk Summary'!$L$8:$L$414,'Risk Summary'!$B$8:$B$414,"Yes",'Risk Summary'!$C$8:$C$414,$A37,'Risk Summary'!$F$8:$F$414,E$31),1),"")</f>
        <v/>
      </c>
      <c r="F37" s="88" t="str">
        <f>IFERROR(ROUND(AVERAGEIFS('Risk Summary'!$L$8:$L$414,'Risk Summary'!$B$8:$B$414,"Yes",'Risk Summary'!$C$8:$C$414,$A37,'Risk Summary'!$F$8:$F$414,F$31),1),"")</f>
        <v/>
      </c>
      <c r="G37" s="88" t="str">
        <f>IFERROR(ROUND(AVERAGEIFS('Risk Summary'!$L$8:$L$414,'Risk Summary'!$B$8:$B$414,"Yes",'Risk Summary'!$C$8:$C$414,$A37,'Risk Summary'!$F$8:$F$414,G$31),1),"")</f>
        <v/>
      </c>
      <c r="H37" s="88" t="str">
        <f>IFERROR(ROUND(AVERAGEIFS('Risk Summary'!$L$8:$L$414,'Risk Summary'!$B$8:$B$414,"Yes",'Risk Summary'!$C$8:$C$414,$A37,'Risk Summary'!$F$8:$F$414,H$31),1),"")</f>
        <v/>
      </c>
      <c r="I37" s="88" t="str">
        <f>IFERROR(ROUND(AVERAGEIFS('Risk Summary'!$L$8:$L$414,'Risk Summary'!$B$8:$B$414,"Yes",'Risk Summary'!$C$8:$C$414,$A37,'Risk Summary'!$F$8:$F$414,I$31),1),"")</f>
        <v/>
      </c>
      <c r="J37" s="88" t="str">
        <f>IFERROR(ROUND(AVERAGEIFS('Risk Summary'!$L$8:$L$414,'Risk Summary'!$B$8:$B$414,"Yes",'Risk Summary'!$C$8:$C$414,$A37,'Risk Summary'!$F$8:$F$414,J$31),1),"")</f>
        <v/>
      </c>
      <c r="K37" s="88" t="str">
        <f>IFERROR(ROUND(AVERAGEIFS('Risk Summary'!$L$8:$L$414,'Risk Summary'!$B$8:$B$414,"Yes",'Risk Summary'!$C$8:$C$414,$A37,'Risk Summary'!$F$8:$F$414,K$31),1),"")</f>
        <v/>
      </c>
      <c r="L37" s="88" t="str">
        <f>IFERROR(ROUND(AVERAGEIFS('Risk Summary'!$L$8:$L$414,'Risk Summary'!$B$8:$B$414,"Yes",'Risk Summary'!$C$8:$C$414,$A37,'Risk Summary'!$F$8:$F$414,L$31),1),"")</f>
        <v/>
      </c>
      <c r="M37" s="88" t="str">
        <f>IFERROR(ROUND(AVERAGEIFS('Risk Summary'!$L$8:$L$414,'Risk Summary'!$B$8:$B$414,"Yes",'Risk Summary'!$C$8:$C$414,$A37,'Risk Summary'!$F$8:$F$414,M$31),1),"")</f>
        <v/>
      </c>
      <c r="N37" s="60"/>
      <c r="O37" s="60"/>
      <c r="P37" s="60"/>
      <c r="Q37" s="60"/>
      <c r="R37" s="60"/>
      <c r="S37" s="60"/>
      <c r="T37" s="60"/>
      <c r="U37" s="60"/>
      <c r="V37" s="60"/>
    </row>
    <row r="38" spans="1:22" ht="15">
      <c r="A38" s="86" t="s">
        <v>72</v>
      </c>
      <c r="B38" s="88" t="str">
        <f>IFERROR(ROUND(AVERAGEIFS('Risk Summary'!$L$8:$L$414,'Risk Summary'!$B$8:$B$414,"Yes",'Risk Summary'!$C$8:$C$414,$A38,'Risk Summary'!$F$8:$F$414,B$31),1),"")</f>
        <v/>
      </c>
      <c r="C38" s="88" t="str">
        <f>IFERROR(ROUND(AVERAGEIFS('Risk Summary'!$L$8:$L$414,'Risk Summary'!$B$8:$B$414,"Yes",'Risk Summary'!$C$8:$C$414,$A38,'Risk Summary'!$F$8:$F$414,C$31),1),"")</f>
        <v/>
      </c>
      <c r="D38" s="88" t="str">
        <f>IFERROR(ROUND(AVERAGEIFS('Risk Summary'!$L$8:$L$414,'Risk Summary'!$B$8:$B$414,"Yes",'Risk Summary'!$C$8:$C$414,$A38,'Risk Summary'!$F$8:$F$414,D$31),1),"")</f>
        <v/>
      </c>
      <c r="E38" s="88" t="str">
        <f>IFERROR(ROUND(AVERAGEIFS('Risk Summary'!$L$8:$L$414,'Risk Summary'!$B$8:$B$414,"Yes",'Risk Summary'!$C$8:$C$414,$A38,'Risk Summary'!$F$8:$F$414,E$31),1),"")</f>
        <v/>
      </c>
      <c r="F38" s="88" t="str">
        <f>IFERROR(ROUND(AVERAGEIFS('Risk Summary'!$L$8:$L$414,'Risk Summary'!$B$8:$B$414,"Yes",'Risk Summary'!$C$8:$C$414,$A38,'Risk Summary'!$F$8:$F$414,F$31),1),"")</f>
        <v/>
      </c>
      <c r="G38" s="88" t="str">
        <f>IFERROR(ROUND(AVERAGEIFS('Risk Summary'!$L$8:$L$414,'Risk Summary'!$B$8:$B$414,"Yes",'Risk Summary'!$C$8:$C$414,$A38,'Risk Summary'!$F$8:$F$414,G$31),1),"")</f>
        <v/>
      </c>
      <c r="H38" s="88" t="str">
        <f>IFERROR(ROUND(AVERAGEIFS('Risk Summary'!$L$8:$L$414,'Risk Summary'!$B$8:$B$414,"Yes",'Risk Summary'!$C$8:$C$414,$A38,'Risk Summary'!$F$8:$F$414,H$31),1),"")</f>
        <v/>
      </c>
      <c r="I38" s="88" t="str">
        <f>IFERROR(ROUND(AVERAGEIFS('Risk Summary'!$L$8:$L$414,'Risk Summary'!$B$8:$B$414,"Yes",'Risk Summary'!$C$8:$C$414,$A38,'Risk Summary'!$F$8:$F$414,I$31),1),"")</f>
        <v/>
      </c>
      <c r="J38" s="88" t="str">
        <f>IFERROR(ROUND(AVERAGEIFS('Risk Summary'!$L$8:$L$414,'Risk Summary'!$B$8:$B$414,"Yes",'Risk Summary'!$C$8:$C$414,$A38,'Risk Summary'!$F$8:$F$414,J$31),1),"")</f>
        <v/>
      </c>
      <c r="K38" s="88" t="str">
        <f>IFERROR(ROUND(AVERAGEIFS('Risk Summary'!$L$8:$L$414,'Risk Summary'!$B$8:$B$414,"Yes",'Risk Summary'!$C$8:$C$414,$A38,'Risk Summary'!$F$8:$F$414,K$31),1),"")</f>
        <v/>
      </c>
      <c r="L38" s="88" t="str">
        <f>IFERROR(ROUND(AVERAGEIFS('Risk Summary'!$L$8:$L$414,'Risk Summary'!$B$8:$B$414,"Yes",'Risk Summary'!$C$8:$C$414,$A38,'Risk Summary'!$F$8:$F$414,L$31),1),"")</f>
        <v/>
      </c>
      <c r="M38" s="88" t="str">
        <f>IFERROR(ROUND(AVERAGEIFS('Risk Summary'!$L$8:$L$414,'Risk Summary'!$B$8:$B$414,"Yes",'Risk Summary'!$C$8:$C$414,$A38,'Risk Summary'!$F$8:$F$414,M$31),1),"")</f>
        <v/>
      </c>
      <c r="N38" s="60"/>
      <c r="O38" s="60"/>
      <c r="P38" s="60"/>
      <c r="Q38" s="60"/>
      <c r="R38" s="60"/>
      <c r="S38" s="60"/>
      <c r="T38" s="60"/>
      <c r="U38" s="60"/>
      <c r="V38" s="60"/>
    </row>
    <row r="39" spans="1:22" ht="15">
      <c r="A39" s="86" t="s">
        <v>75</v>
      </c>
      <c r="B39" s="88" t="str">
        <f>IFERROR(ROUND(AVERAGEIFS('Risk Summary'!$L$8:$L$414,'Risk Summary'!$B$8:$B$414,"Yes",'Risk Summary'!$C$8:$C$414,$A39,'Risk Summary'!$F$8:$F$414,B$31),1),"")</f>
        <v/>
      </c>
      <c r="C39" s="88" t="str">
        <f>IFERROR(ROUND(AVERAGEIFS('Risk Summary'!$L$8:$L$414,'Risk Summary'!$B$8:$B$414,"Yes",'Risk Summary'!$C$8:$C$414,$A39,'Risk Summary'!$F$8:$F$414,C$31),1),"")</f>
        <v/>
      </c>
      <c r="D39" s="88" t="str">
        <f>IFERROR(ROUND(AVERAGEIFS('Risk Summary'!$L$8:$L$414,'Risk Summary'!$B$8:$B$414,"Yes",'Risk Summary'!$C$8:$C$414,$A39,'Risk Summary'!$F$8:$F$414,D$31),1),"")</f>
        <v/>
      </c>
      <c r="E39" s="88" t="str">
        <f>IFERROR(ROUND(AVERAGEIFS('Risk Summary'!$L$8:$L$414,'Risk Summary'!$B$8:$B$414,"Yes",'Risk Summary'!$C$8:$C$414,$A39,'Risk Summary'!$F$8:$F$414,E$31),1),"")</f>
        <v/>
      </c>
      <c r="F39" s="88" t="str">
        <f>IFERROR(ROUND(AVERAGEIFS('Risk Summary'!$L$8:$L$414,'Risk Summary'!$B$8:$B$414,"Yes",'Risk Summary'!$C$8:$C$414,$A39,'Risk Summary'!$F$8:$F$414,F$31),1),"")</f>
        <v/>
      </c>
      <c r="G39" s="88" t="str">
        <f>IFERROR(ROUND(AVERAGEIFS('Risk Summary'!$L$8:$L$414,'Risk Summary'!$B$8:$B$414,"Yes",'Risk Summary'!$C$8:$C$414,$A39,'Risk Summary'!$F$8:$F$414,G$31),1),"")</f>
        <v/>
      </c>
      <c r="H39" s="88" t="str">
        <f>IFERROR(ROUND(AVERAGEIFS('Risk Summary'!$L$8:$L$414,'Risk Summary'!$B$8:$B$414,"Yes",'Risk Summary'!$C$8:$C$414,$A39,'Risk Summary'!$F$8:$F$414,H$31),1),"")</f>
        <v/>
      </c>
      <c r="I39" s="88" t="str">
        <f>IFERROR(ROUND(AVERAGEIFS('Risk Summary'!$L$8:$L$414,'Risk Summary'!$B$8:$B$414,"Yes",'Risk Summary'!$C$8:$C$414,$A39,'Risk Summary'!$F$8:$F$414,I$31),1),"")</f>
        <v/>
      </c>
      <c r="J39" s="88" t="str">
        <f>IFERROR(ROUND(AVERAGEIFS('Risk Summary'!$L$8:$L$414,'Risk Summary'!$B$8:$B$414,"Yes",'Risk Summary'!$C$8:$C$414,$A39,'Risk Summary'!$F$8:$F$414,J$31),1),"")</f>
        <v/>
      </c>
      <c r="K39" s="88" t="str">
        <f>IFERROR(ROUND(AVERAGEIFS('Risk Summary'!$L$8:$L$414,'Risk Summary'!$B$8:$B$414,"Yes",'Risk Summary'!$C$8:$C$414,$A39,'Risk Summary'!$F$8:$F$414,K$31),1),"")</f>
        <v/>
      </c>
      <c r="L39" s="88" t="str">
        <f>IFERROR(ROUND(AVERAGEIFS('Risk Summary'!$L$8:$L$414,'Risk Summary'!$B$8:$B$414,"Yes",'Risk Summary'!$C$8:$C$414,$A39,'Risk Summary'!$F$8:$F$414,L$31),1),"")</f>
        <v/>
      </c>
      <c r="M39" s="88" t="str">
        <f>IFERROR(ROUND(AVERAGEIFS('Risk Summary'!$L$8:$L$414,'Risk Summary'!$B$8:$B$414,"Yes",'Risk Summary'!$C$8:$C$414,$A39,'Risk Summary'!$F$8:$F$414,M$31),1),"")</f>
        <v/>
      </c>
      <c r="N39" s="60"/>
      <c r="O39" s="60"/>
      <c r="P39" s="60"/>
      <c r="Q39" s="60"/>
      <c r="R39" s="60"/>
      <c r="S39" s="60"/>
      <c r="T39" s="60"/>
      <c r="U39" s="60"/>
      <c r="V39" s="60"/>
    </row>
    <row r="40" spans="1:22" ht="15">
      <c r="A40" s="86" t="s">
        <v>78</v>
      </c>
      <c r="B40" s="88" t="str">
        <f>IFERROR(ROUND(AVERAGEIFS('Risk Summary'!$L$8:$L$414,'Risk Summary'!$B$8:$B$414,"Yes",'Risk Summary'!$C$8:$C$414,$A40,'Risk Summary'!$F$8:$F$414,B$31),1),"")</f>
        <v/>
      </c>
      <c r="C40" s="88" t="str">
        <f>IFERROR(ROUND(AVERAGEIFS('Risk Summary'!$L$8:$L$414,'Risk Summary'!$B$8:$B$414,"Yes",'Risk Summary'!$C$8:$C$414,$A40,'Risk Summary'!$F$8:$F$414,C$31),1),"")</f>
        <v/>
      </c>
      <c r="D40" s="88" t="str">
        <f>IFERROR(ROUND(AVERAGEIFS('Risk Summary'!$L$8:$L$414,'Risk Summary'!$B$8:$B$414,"Yes",'Risk Summary'!$C$8:$C$414,$A40,'Risk Summary'!$F$8:$F$414,D$31),1),"")</f>
        <v/>
      </c>
      <c r="E40" s="88" t="str">
        <f>IFERROR(ROUND(AVERAGEIFS('Risk Summary'!$L$8:$L$414,'Risk Summary'!$B$8:$B$414,"Yes",'Risk Summary'!$C$8:$C$414,$A40,'Risk Summary'!$F$8:$F$414,E$31),1),"")</f>
        <v/>
      </c>
      <c r="F40" s="88" t="str">
        <f>IFERROR(ROUND(AVERAGEIFS('Risk Summary'!$L$8:$L$414,'Risk Summary'!$B$8:$B$414,"Yes",'Risk Summary'!$C$8:$C$414,$A40,'Risk Summary'!$F$8:$F$414,F$31),1),"")</f>
        <v/>
      </c>
      <c r="G40" s="88" t="str">
        <f>IFERROR(ROUND(AVERAGEIFS('Risk Summary'!$L$8:$L$414,'Risk Summary'!$B$8:$B$414,"Yes",'Risk Summary'!$C$8:$C$414,$A40,'Risk Summary'!$F$8:$F$414,G$31),1),"")</f>
        <v/>
      </c>
      <c r="H40" s="88" t="str">
        <f>IFERROR(ROUND(AVERAGEIFS('Risk Summary'!$L$8:$L$414,'Risk Summary'!$B$8:$B$414,"Yes",'Risk Summary'!$C$8:$C$414,$A40,'Risk Summary'!$F$8:$F$414,H$31),1),"")</f>
        <v/>
      </c>
      <c r="I40" s="88" t="str">
        <f>IFERROR(ROUND(AVERAGEIFS('Risk Summary'!$L$8:$L$414,'Risk Summary'!$B$8:$B$414,"Yes",'Risk Summary'!$C$8:$C$414,$A40,'Risk Summary'!$F$8:$F$414,I$31),1),"")</f>
        <v/>
      </c>
      <c r="J40" s="88" t="str">
        <f>IFERROR(ROUND(AVERAGEIFS('Risk Summary'!$L$8:$L$414,'Risk Summary'!$B$8:$B$414,"Yes",'Risk Summary'!$C$8:$C$414,$A40,'Risk Summary'!$F$8:$F$414,J$31),1),"")</f>
        <v/>
      </c>
      <c r="K40" s="88" t="str">
        <f>IFERROR(ROUND(AVERAGEIFS('Risk Summary'!$L$8:$L$414,'Risk Summary'!$B$8:$B$414,"Yes",'Risk Summary'!$C$8:$C$414,$A40,'Risk Summary'!$F$8:$F$414,K$31),1),"")</f>
        <v/>
      </c>
      <c r="L40" s="88" t="str">
        <f>IFERROR(ROUND(AVERAGEIFS('Risk Summary'!$L$8:$L$414,'Risk Summary'!$B$8:$B$414,"Yes",'Risk Summary'!$C$8:$C$414,$A40,'Risk Summary'!$F$8:$F$414,L$31),1),"")</f>
        <v/>
      </c>
      <c r="M40" s="88" t="str">
        <f>IFERROR(ROUND(AVERAGEIFS('Risk Summary'!$L$8:$L$414,'Risk Summary'!$B$8:$B$414,"Yes",'Risk Summary'!$C$8:$C$414,$A40,'Risk Summary'!$F$8:$F$414,M$31),1),"")</f>
        <v/>
      </c>
      <c r="N40" s="60"/>
      <c r="O40" s="60"/>
      <c r="P40" s="60"/>
      <c r="Q40" s="60"/>
      <c r="R40" s="60"/>
      <c r="S40" s="60"/>
      <c r="T40" s="60"/>
      <c r="U40" s="60"/>
      <c r="V40" s="60"/>
    </row>
    <row r="41" spans="1:22" ht="15">
      <c r="A41" s="86" t="s">
        <v>81</v>
      </c>
      <c r="B41" s="88" t="str">
        <f>IFERROR(ROUND(AVERAGEIFS('Risk Summary'!$L$8:$L$414,'Risk Summary'!$B$8:$B$414,"Yes",'Risk Summary'!$C$8:$C$414,$A41,'Risk Summary'!$F$8:$F$414,B$31),1),"")</f>
        <v/>
      </c>
      <c r="C41" s="88" t="str">
        <f>IFERROR(ROUND(AVERAGEIFS('Risk Summary'!$L$8:$L$414,'Risk Summary'!$B$8:$B$414,"Yes",'Risk Summary'!$C$8:$C$414,$A41,'Risk Summary'!$F$8:$F$414,C$31),1),"")</f>
        <v/>
      </c>
      <c r="D41" s="88" t="str">
        <f>IFERROR(ROUND(AVERAGEIFS('Risk Summary'!$L$8:$L$414,'Risk Summary'!$B$8:$B$414,"Yes",'Risk Summary'!$C$8:$C$414,$A41,'Risk Summary'!$F$8:$F$414,D$31),1),"")</f>
        <v/>
      </c>
      <c r="E41" s="88" t="str">
        <f>IFERROR(ROUND(AVERAGEIFS('Risk Summary'!$L$8:$L$414,'Risk Summary'!$B$8:$B$414,"Yes",'Risk Summary'!$C$8:$C$414,$A41,'Risk Summary'!$F$8:$F$414,E$31),1),"")</f>
        <v/>
      </c>
      <c r="F41" s="88" t="str">
        <f>IFERROR(ROUND(AVERAGEIFS('Risk Summary'!$L$8:$L$414,'Risk Summary'!$B$8:$B$414,"Yes",'Risk Summary'!$C$8:$C$414,$A41,'Risk Summary'!$F$8:$F$414,F$31),1),"")</f>
        <v/>
      </c>
      <c r="G41" s="88" t="str">
        <f>IFERROR(ROUND(AVERAGEIFS('Risk Summary'!$L$8:$L$414,'Risk Summary'!$B$8:$B$414,"Yes",'Risk Summary'!$C$8:$C$414,$A41,'Risk Summary'!$F$8:$F$414,G$31),1),"")</f>
        <v/>
      </c>
      <c r="H41" s="88" t="str">
        <f>IFERROR(ROUND(AVERAGEIFS('Risk Summary'!$L$8:$L$414,'Risk Summary'!$B$8:$B$414,"Yes",'Risk Summary'!$C$8:$C$414,$A41,'Risk Summary'!$F$8:$F$414,H$31),1),"")</f>
        <v/>
      </c>
      <c r="I41" s="88" t="str">
        <f>IFERROR(ROUND(AVERAGEIFS('Risk Summary'!$L$8:$L$414,'Risk Summary'!$B$8:$B$414,"Yes",'Risk Summary'!$C$8:$C$414,$A41,'Risk Summary'!$F$8:$F$414,I$31),1),"")</f>
        <v/>
      </c>
      <c r="J41" s="88" t="str">
        <f>IFERROR(ROUND(AVERAGEIFS('Risk Summary'!$L$8:$L$414,'Risk Summary'!$B$8:$B$414,"Yes",'Risk Summary'!$C$8:$C$414,$A41,'Risk Summary'!$F$8:$F$414,J$31),1),"")</f>
        <v/>
      </c>
      <c r="K41" s="88" t="str">
        <f>IFERROR(ROUND(AVERAGEIFS('Risk Summary'!$L$8:$L$414,'Risk Summary'!$B$8:$B$414,"Yes",'Risk Summary'!$C$8:$C$414,$A41,'Risk Summary'!$F$8:$F$414,K$31),1),"")</f>
        <v/>
      </c>
      <c r="L41" s="88" t="str">
        <f>IFERROR(ROUND(AVERAGEIFS('Risk Summary'!$L$8:$L$414,'Risk Summary'!$B$8:$B$414,"Yes",'Risk Summary'!$C$8:$C$414,$A41,'Risk Summary'!$F$8:$F$414,L$31),1),"")</f>
        <v/>
      </c>
      <c r="M41" s="88" t="str">
        <f>IFERROR(ROUND(AVERAGEIFS('Risk Summary'!$L$8:$L$414,'Risk Summary'!$B$8:$B$414,"Yes",'Risk Summary'!$C$8:$C$414,$A41,'Risk Summary'!$F$8:$F$414,M$31),1),"")</f>
        <v/>
      </c>
      <c r="N41" s="60"/>
      <c r="O41" s="60"/>
      <c r="P41" s="60"/>
      <c r="Q41" s="60"/>
      <c r="R41" s="60"/>
      <c r="S41" s="60"/>
      <c r="T41" s="60"/>
      <c r="U41" s="60"/>
      <c r="V41" s="60"/>
    </row>
    <row r="42" spans="1:22" ht="15">
      <c r="A42" s="86" t="s">
        <v>84</v>
      </c>
      <c r="B42" s="88" t="str">
        <f>IFERROR(ROUND(AVERAGEIFS('Risk Summary'!$L$8:$L$414,'Risk Summary'!$B$8:$B$414,"Yes",'Risk Summary'!$C$8:$C$414,$A42,'Risk Summary'!$F$8:$F$414,B$31),1),"")</f>
        <v/>
      </c>
      <c r="C42" s="88" t="str">
        <f>IFERROR(ROUND(AVERAGEIFS('Risk Summary'!$L$8:$L$414,'Risk Summary'!$B$8:$B$414,"Yes",'Risk Summary'!$C$8:$C$414,$A42,'Risk Summary'!$F$8:$F$414,C$31),1),"")</f>
        <v/>
      </c>
      <c r="D42" s="88" t="str">
        <f>IFERROR(ROUND(AVERAGEIFS('Risk Summary'!$L$8:$L$414,'Risk Summary'!$B$8:$B$414,"Yes",'Risk Summary'!$C$8:$C$414,$A42,'Risk Summary'!$F$8:$F$414,D$31),1),"")</f>
        <v/>
      </c>
      <c r="E42" s="88" t="str">
        <f>IFERROR(ROUND(AVERAGEIFS('Risk Summary'!$L$8:$L$414,'Risk Summary'!$B$8:$B$414,"Yes",'Risk Summary'!$C$8:$C$414,$A42,'Risk Summary'!$F$8:$F$414,E$31),1),"")</f>
        <v/>
      </c>
      <c r="F42" s="88" t="str">
        <f>IFERROR(ROUND(AVERAGEIFS('Risk Summary'!$L$8:$L$414,'Risk Summary'!$B$8:$B$414,"Yes",'Risk Summary'!$C$8:$C$414,$A42,'Risk Summary'!$F$8:$F$414,F$31),1),"")</f>
        <v/>
      </c>
      <c r="G42" s="88" t="str">
        <f>IFERROR(ROUND(AVERAGEIFS('Risk Summary'!$L$8:$L$414,'Risk Summary'!$B$8:$B$414,"Yes",'Risk Summary'!$C$8:$C$414,$A42,'Risk Summary'!$F$8:$F$414,G$31),1),"")</f>
        <v/>
      </c>
      <c r="H42" s="88" t="str">
        <f>IFERROR(ROUND(AVERAGEIFS('Risk Summary'!$L$8:$L$414,'Risk Summary'!$B$8:$B$414,"Yes",'Risk Summary'!$C$8:$C$414,$A42,'Risk Summary'!$F$8:$F$414,H$31),1),"")</f>
        <v/>
      </c>
      <c r="I42" s="88" t="str">
        <f>IFERROR(ROUND(AVERAGEIFS('Risk Summary'!$L$8:$L$414,'Risk Summary'!$B$8:$B$414,"Yes",'Risk Summary'!$C$8:$C$414,$A42,'Risk Summary'!$F$8:$F$414,I$31),1),"")</f>
        <v/>
      </c>
      <c r="J42" s="88" t="str">
        <f>IFERROR(ROUND(AVERAGEIFS('Risk Summary'!$L$8:$L$414,'Risk Summary'!$B$8:$B$414,"Yes",'Risk Summary'!$C$8:$C$414,$A42,'Risk Summary'!$F$8:$F$414,J$31),1),"")</f>
        <v/>
      </c>
      <c r="K42" s="88" t="str">
        <f>IFERROR(ROUND(AVERAGEIFS('Risk Summary'!$L$8:$L$414,'Risk Summary'!$B$8:$B$414,"Yes",'Risk Summary'!$C$8:$C$414,$A42,'Risk Summary'!$F$8:$F$414,K$31),1),"")</f>
        <v/>
      </c>
      <c r="L42" s="88" t="str">
        <f>IFERROR(ROUND(AVERAGEIFS('Risk Summary'!$L$8:$L$414,'Risk Summary'!$B$8:$B$414,"Yes",'Risk Summary'!$C$8:$C$414,$A42,'Risk Summary'!$F$8:$F$414,L$31),1),"")</f>
        <v/>
      </c>
      <c r="M42" s="88" t="str">
        <f>IFERROR(ROUND(AVERAGEIFS('Risk Summary'!$L$8:$L$414,'Risk Summary'!$B$8:$B$414,"Yes",'Risk Summary'!$C$8:$C$414,$A42,'Risk Summary'!$F$8:$F$414,M$31),1),"")</f>
        <v/>
      </c>
      <c r="N42" s="60"/>
      <c r="O42" s="60"/>
      <c r="P42" s="60"/>
      <c r="Q42" s="60"/>
      <c r="R42" s="60"/>
      <c r="S42" s="60"/>
      <c r="T42" s="60"/>
      <c r="U42" s="60"/>
      <c r="V42" s="60"/>
    </row>
    <row r="43" spans="1:22" ht="15">
      <c r="A43" s="86" t="s">
        <v>87</v>
      </c>
      <c r="B43" s="88" t="str">
        <f>IFERROR(ROUND(AVERAGEIFS('Risk Summary'!$L$8:$L$414,'Risk Summary'!$B$8:$B$414,"Yes",'Risk Summary'!$C$8:$C$414,$A43,'Risk Summary'!$F$8:$F$414,B$31),1),"")</f>
        <v/>
      </c>
      <c r="C43" s="88" t="str">
        <f>IFERROR(ROUND(AVERAGEIFS('Risk Summary'!$L$8:$L$414,'Risk Summary'!$B$8:$B$414,"Yes",'Risk Summary'!$C$8:$C$414,$A43,'Risk Summary'!$F$8:$F$414,C$31),1),"")</f>
        <v/>
      </c>
      <c r="D43" s="88" t="str">
        <f>IFERROR(ROUND(AVERAGEIFS('Risk Summary'!$L$8:$L$414,'Risk Summary'!$B$8:$B$414,"Yes",'Risk Summary'!$C$8:$C$414,$A43,'Risk Summary'!$F$8:$F$414,D$31),1),"")</f>
        <v/>
      </c>
      <c r="E43" s="88" t="str">
        <f>IFERROR(ROUND(AVERAGEIFS('Risk Summary'!$L$8:$L$414,'Risk Summary'!$B$8:$B$414,"Yes",'Risk Summary'!$C$8:$C$414,$A43,'Risk Summary'!$F$8:$F$414,E$31),1),"")</f>
        <v/>
      </c>
      <c r="F43" s="88" t="str">
        <f>IFERROR(ROUND(AVERAGEIFS('Risk Summary'!$L$8:$L$414,'Risk Summary'!$B$8:$B$414,"Yes",'Risk Summary'!$C$8:$C$414,$A43,'Risk Summary'!$F$8:$F$414,F$31),1),"")</f>
        <v/>
      </c>
      <c r="G43" s="88" t="str">
        <f>IFERROR(ROUND(AVERAGEIFS('Risk Summary'!$L$8:$L$414,'Risk Summary'!$B$8:$B$414,"Yes",'Risk Summary'!$C$8:$C$414,$A43,'Risk Summary'!$F$8:$F$414,G$31),1),"")</f>
        <v/>
      </c>
      <c r="H43" s="88" t="str">
        <f>IFERROR(ROUND(AVERAGEIFS('Risk Summary'!$L$8:$L$414,'Risk Summary'!$B$8:$B$414,"Yes",'Risk Summary'!$C$8:$C$414,$A43,'Risk Summary'!$F$8:$F$414,H$31),1),"")</f>
        <v/>
      </c>
      <c r="I43" s="88" t="str">
        <f>IFERROR(ROUND(AVERAGEIFS('Risk Summary'!$L$8:$L$414,'Risk Summary'!$B$8:$B$414,"Yes",'Risk Summary'!$C$8:$C$414,$A43,'Risk Summary'!$F$8:$F$414,I$31),1),"")</f>
        <v/>
      </c>
      <c r="J43" s="88" t="str">
        <f>IFERROR(ROUND(AVERAGEIFS('Risk Summary'!$L$8:$L$414,'Risk Summary'!$B$8:$B$414,"Yes",'Risk Summary'!$C$8:$C$414,$A43,'Risk Summary'!$F$8:$F$414,J$31),1),"")</f>
        <v/>
      </c>
      <c r="K43" s="88" t="str">
        <f>IFERROR(ROUND(AVERAGEIFS('Risk Summary'!$L$8:$L$414,'Risk Summary'!$B$8:$B$414,"Yes",'Risk Summary'!$C$8:$C$414,$A43,'Risk Summary'!$F$8:$F$414,K$31),1),"")</f>
        <v/>
      </c>
      <c r="L43" s="88" t="str">
        <f>IFERROR(ROUND(AVERAGEIFS('Risk Summary'!$L$8:$L$414,'Risk Summary'!$B$8:$B$414,"Yes",'Risk Summary'!$C$8:$C$414,$A43,'Risk Summary'!$F$8:$F$414,L$31),1),"")</f>
        <v/>
      </c>
      <c r="M43" s="88" t="str">
        <f>IFERROR(ROUND(AVERAGEIFS('Risk Summary'!$L$8:$L$414,'Risk Summary'!$B$8:$B$414,"Yes",'Risk Summary'!$C$8:$C$414,$A43,'Risk Summary'!$F$8:$F$414,M$31),1),"")</f>
        <v/>
      </c>
      <c r="N43" s="60"/>
      <c r="O43" s="60"/>
      <c r="P43" s="60"/>
      <c r="Q43" s="60"/>
      <c r="R43" s="60"/>
      <c r="S43" s="60"/>
      <c r="T43" s="60"/>
      <c r="U43" s="60"/>
      <c r="V43" s="60"/>
    </row>
    <row r="44" spans="1:22" ht="15">
      <c r="A44" s="86" t="s">
        <v>90</v>
      </c>
      <c r="B44" s="88" t="str">
        <f>IFERROR(ROUND(AVERAGEIFS('Risk Summary'!$L$8:$L$414,'Risk Summary'!$B$8:$B$414,"Yes",'Risk Summary'!$C$8:$C$414,$A44,'Risk Summary'!$F$8:$F$414,B$31),1),"")</f>
        <v/>
      </c>
      <c r="C44" s="88" t="str">
        <f>IFERROR(ROUND(AVERAGEIFS('Risk Summary'!$L$8:$L$414,'Risk Summary'!$B$8:$B$414,"Yes",'Risk Summary'!$C$8:$C$414,$A44,'Risk Summary'!$F$8:$F$414,C$31),1),"")</f>
        <v/>
      </c>
      <c r="D44" s="88" t="str">
        <f>IFERROR(ROUND(AVERAGEIFS('Risk Summary'!$L$8:$L$414,'Risk Summary'!$B$8:$B$414,"Yes",'Risk Summary'!$C$8:$C$414,$A44,'Risk Summary'!$F$8:$F$414,D$31),1),"")</f>
        <v/>
      </c>
      <c r="E44" s="88" t="str">
        <f>IFERROR(ROUND(AVERAGEIFS('Risk Summary'!$L$8:$L$414,'Risk Summary'!$B$8:$B$414,"Yes",'Risk Summary'!$C$8:$C$414,$A44,'Risk Summary'!$F$8:$F$414,E$31),1),"")</f>
        <v/>
      </c>
      <c r="F44" s="88" t="str">
        <f>IFERROR(ROUND(AVERAGEIFS('Risk Summary'!$L$8:$L$414,'Risk Summary'!$B$8:$B$414,"Yes",'Risk Summary'!$C$8:$C$414,$A44,'Risk Summary'!$F$8:$F$414,F$31),1),"")</f>
        <v/>
      </c>
      <c r="G44" s="88" t="str">
        <f>IFERROR(ROUND(AVERAGEIFS('Risk Summary'!$L$8:$L$414,'Risk Summary'!$B$8:$B$414,"Yes",'Risk Summary'!$C$8:$C$414,$A44,'Risk Summary'!$F$8:$F$414,G$31),1),"")</f>
        <v/>
      </c>
      <c r="H44" s="88" t="str">
        <f>IFERROR(ROUND(AVERAGEIFS('Risk Summary'!$L$8:$L$414,'Risk Summary'!$B$8:$B$414,"Yes",'Risk Summary'!$C$8:$C$414,$A44,'Risk Summary'!$F$8:$F$414,H$31),1),"")</f>
        <v/>
      </c>
      <c r="I44" s="88" t="str">
        <f>IFERROR(ROUND(AVERAGEIFS('Risk Summary'!$L$8:$L$414,'Risk Summary'!$B$8:$B$414,"Yes",'Risk Summary'!$C$8:$C$414,$A44,'Risk Summary'!$F$8:$F$414,I$31),1),"")</f>
        <v/>
      </c>
      <c r="J44" s="88" t="str">
        <f>IFERROR(ROUND(AVERAGEIFS('Risk Summary'!$L$8:$L$414,'Risk Summary'!$B$8:$B$414,"Yes",'Risk Summary'!$C$8:$C$414,$A44,'Risk Summary'!$F$8:$F$414,J$31),1),"")</f>
        <v/>
      </c>
      <c r="K44" s="88" t="str">
        <f>IFERROR(ROUND(AVERAGEIFS('Risk Summary'!$L$8:$L$414,'Risk Summary'!$B$8:$B$414,"Yes",'Risk Summary'!$C$8:$C$414,$A44,'Risk Summary'!$F$8:$F$414,K$31),1),"")</f>
        <v/>
      </c>
      <c r="L44" s="88" t="str">
        <f>IFERROR(ROUND(AVERAGEIFS('Risk Summary'!$L$8:$L$414,'Risk Summary'!$B$8:$B$414,"Yes",'Risk Summary'!$C$8:$C$414,$A44,'Risk Summary'!$F$8:$F$414,L$31),1),"")</f>
        <v/>
      </c>
      <c r="M44" s="88" t="str">
        <f>IFERROR(ROUND(AVERAGEIFS('Risk Summary'!$L$8:$L$414,'Risk Summary'!$B$8:$B$414,"Yes",'Risk Summary'!$C$8:$C$414,$A44,'Risk Summary'!$F$8:$F$414,M$31),1),"")</f>
        <v/>
      </c>
      <c r="N44" s="60"/>
      <c r="O44" s="60"/>
      <c r="P44" s="60"/>
      <c r="Q44" s="60"/>
      <c r="R44" s="60"/>
      <c r="S44" s="60"/>
      <c r="T44" s="60"/>
      <c r="U44" s="60"/>
      <c r="V44" s="60"/>
    </row>
    <row r="45" spans="1:22" ht="15">
      <c r="A45" s="86" t="s">
        <v>91</v>
      </c>
      <c r="B45" s="88" t="str">
        <f>IFERROR(ROUND(AVERAGEIFS('Risk Summary'!$L$8:$L$414,'Risk Summary'!$B$8:$B$414,"Yes",'Risk Summary'!$C$8:$C$414,$A45,'Risk Summary'!$F$8:$F$414,B$31),1),"")</f>
        <v/>
      </c>
      <c r="C45" s="88" t="str">
        <f>IFERROR(ROUND(AVERAGEIFS('Risk Summary'!$L$8:$L$414,'Risk Summary'!$B$8:$B$414,"Yes",'Risk Summary'!$C$8:$C$414,$A45,'Risk Summary'!$F$8:$F$414,C$31),1),"")</f>
        <v/>
      </c>
      <c r="D45" s="88" t="str">
        <f>IFERROR(ROUND(AVERAGEIFS('Risk Summary'!$L$8:$L$414,'Risk Summary'!$B$8:$B$414,"Yes",'Risk Summary'!$C$8:$C$414,$A45,'Risk Summary'!$F$8:$F$414,D$31),1),"")</f>
        <v/>
      </c>
      <c r="E45" s="88" t="str">
        <f>IFERROR(ROUND(AVERAGEIFS('Risk Summary'!$L$8:$L$414,'Risk Summary'!$B$8:$B$414,"Yes",'Risk Summary'!$C$8:$C$414,$A45,'Risk Summary'!$F$8:$F$414,E$31),1),"")</f>
        <v/>
      </c>
      <c r="F45" s="88" t="str">
        <f>IFERROR(ROUND(AVERAGEIFS('Risk Summary'!$L$8:$L$414,'Risk Summary'!$B$8:$B$414,"Yes",'Risk Summary'!$C$8:$C$414,$A45,'Risk Summary'!$F$8:$F$414,F$31),1),"")</f>
        <v/>
      </c>
      <c r="G45" s="88" t="str">
        <f>IFERROR(ROUND(AVERAGEIFS('Risk Summary'!$L$8:$L$414,'Risk Summary'!$B$8:$B$414,"Yes",'Risk Summary'!$C$8:$C$414,$A45,'Risk Summary'!$F$8:$F$414,G$31),1),"")</f>
        <v/>
      </c>
      <c r="H45" s="88" t="str">
        <f>IFERROR(ROUND(AVERAGEIFS('Risk Summary'!$L$8:$L$414,'Risk Summary'!$B$8:$B$414,"Yes",'Risk Summary'!$C$8:$C$414,$A45,'Risk Summary'!$F$8:$F$414,H$31),1),"")</f>
        <v/>
      </c>
      <c r="I45" s="88" t="str">
        <f>IFERROR(ROUND(AVERAGEIFS('Risk Summary'!$L$8:$L$414,'Risk Summary'!$B$8:$B$414,"Yes",'Risk Summary'!$C$8:$C$414,$A45,'Risk Summary'!$F$8:$F$414,I$31),1),"")</f>
        <v/>
      </c>
      <c r="J45" s="88" t="str">
        <f>IFERROR(ROUND(AVERAGEIFS('Risk Summary'!$L$8:$L$414,'Risk Summary'!$B$8:$B$414,"Yes",'Risk Summary'!$C$8:$C$414,$A45,'Risk Summary'!$F$8:$F$414,J$31),1),"")</f>
        <v/>
      </c>
      <c r="K45" s="88" t="str">
        <f>IFERROR(ROUND(AVERAGEIFS('Risk Summary'!$L$8:$L$414,'Risk Summary'!$B$8:$B$414,"Yes",'Risk Summary'!$C$8:$C$414,$A45,'Risk Summary'!$F$8:$F$414,K$31),1),"")</f>
        <v/>
      </c>
      <c r="L45" s="88" t="str">
        <f>IFERROR(ROUND(AVERAGEIFS('Risk Summary'!$L$8:$L$414,'Risk Summary'!$B$8:$B$414,"Yes",'Risk Summary'!$C$8:$C$414,$A45,'Risk Summary'!$F$8:$F$414,L$31),1),"")</f>
        <v/>
      </c>
      <c r="M45" s="88" t="str">
        <f>IFERROR(ROUND(AVERAGEIFS('Risk Summary'!$L$8:$L$414,'Risk Summary'!$B$8:$B$414,"Yes",'Risk Summary'!$C$8:$C$414,$A45,'Risk Summary'!$F$8:$F$414,M$31),1),"")</f>
        <v/>
      </c>
      <c r="N45" s="60"/>
      <c r="O45" s="60"/>
      <c r="P45" s="60"/>
      <c r="Q45" s="60"/>
      <c r="R45" s="60"/>
      <c r="S45" s="60"/>
      <c r="T45" s="60"/>
      <c r="U45" s="60"/>
      <c r="V45" s="60"/>
    </row>
    <row r="46" spans="1:22" ht="15">
      <c r="A46" s="86" t="s">
        <v>92</v>
      </c>
      <c r="B46" s="88" t="str">
        <f>IFERROR(ROUND(AVERAGEIFS('Risk Summary'!$L$8:$L$414,'Risk Summary'!$B$8:$B$414,"Yes",'Risk Summary'!$C$8:$C$414,$A46,'Risk Summary'!$F$8:$F$414,B$31),1),"")</f>
        <v/>
      </c>
      <c r="C46" s="88" t="str">
        <f>IFERROR(ROUND(AVERAGEIFS('Risk Summary'!$L$8:$L$414,'Risk Summary'!$B$8:$B$414,"Yes",'Risk Summary'!$C$8:$C$414,$A46,'Risk Summary'!$F$8:$F$414,C$31),1),"")</f>
        <v/>
      </c>
      <c r="D46" s="88" t="str">
        <f>IFERROR(ROUND(AVERAGEIFS('Risk Summary'!$L$8:$L$414,'Risk Summary'!$B$8:$B$414,"Yes",'Risk Summary'!$C$8:$C$414,$A46,'Risk Summary'!$F$8:$F$414,D$31),1),"")</f>
        <v/>
      </c>
      <c r="E46" s="88" t="str">
        <f>IFERROR(ROUND(AVERAGEIFS('Risk Summary'!$L$8:$L$414,'Risk Summary'!$B$8:$B$414,"Yes",'Risk Summary'!$C$8:$C$414,$A46,'Risk Summary'!$F$8:$F$414,E$31),1),"")</f>
        <v/>
      </c>
      <c r="F46" s="88" t="str">
        <f>IFERROR(ROUND(AVERAGEIFS('Risk Summary'!$L$8:$L$414,'Risk Summary'!$B$8:$B$414,"Yes",'Risk Summary'!$C$8:$C$414,$A46,'Risk Summary'!$F$8:$F$414,F$31),1),"")</f>
        <v/>
      </c>
      <c r="G46" s="88" t="str">
        <f>IFERROR(ROUND(AVERAGEIFS('Risk Summary'!$L$8:$L$414,'Risk Summary'!$B$8:$B$414,"Yes",'Risk Summary'!$C$8:$C$414,$A46,'Risk Summary'!$F$8:$F$414,G$31),1),"")</f>
        <v/>
      </c>
      <c r="H46" s="88" t="str">
        <f>IFERROR(ROUND(AVERAGEIFS('Risk Summary'!$L$8:$L$414,'Risk Summary'!$B$8:$B$414,"Yes",'Risk Summary'!$C$8:$C$414,$A46,'Risk Summary'!$F$8:$F$414,H$31),1),"")</f>
        <v/>
      </c>
      <c r="I46" s="88" t="str">
        <f>IFERROR(ROUND(AVERAGEIFS('Risk Summary'!$L$8:$L$414,'Risk Summary'!$B$8:$B$414,"Yes",'Risk Summary'!$C$8:$C$414,$A46,'Risk Summary'!$F$8:$F$414,I$31),1),"")</f>
        <v/>
      </c>
      <c r="J46" s="88" t="str">
        <f>IFERROR(ROUND(AVERAGEIFS('Risk Summary'!$L$8:$L$414,'Risk Summary'!$B$8:$B$414,"Yes",'Risk Summary'!$C$8:$C$414,$A46,'Risk Summary'!$F$8:$F$414,J$31),1),"")</f>
        <v/>
      </c>
      <c r="K46" s="88" t="str">
        <f>IFERROR(ROUND(AVERAGEIFS('Risk Summary'!$L$8:$L$414,'Risk Summary'!$B$8:$B$414,"Yes",'Risk Summary'!$C$8:$C$414,$A46,'Risk Summary'!$F$8:$F$414,K$31),1),"")</f>
        <v/>
      </c>
      <c r="L46" s="88" t="str">
        <f>IFERROR(ROUND(AVERAGEIFS('Risk Summary'!$L$8:$L$414,'Risk Summary'!$B$8:$B$414,"Yes",'Risk Summary'!$C$8:$C$414,$A46,'Risk Summary'!$F$8:$F$414,L$31),1),"")</f>
        <v/>
      </c>
      <c r="M46" s="88" t="str">
        <f>IFERROR(ROUND(AVERAGEIFS('Risk Summary'!$L$8:$L$414,'Risk Summary'!$B$8:$B$414,"Yes",'Risk Summary'!$C$8:$C$414,$A46,'Risk Summary'!$F$8:$F$414,M$31),1),"")</f>
        <v/>
      </c>
      <c r="N46" s="60"/>
      <c r="O46" s="60"/>
      <c r="P46" s="60"/>
      <c r="Q46" s="60"/>
      <c r="R46" s="60"/>
      <c r="S46" s="60"/>
      <c r="T46" s="60"/>
      <c r="U46" s="60"/>
      <c r="V46" s="60"/>
    </row>
    <row r="47" spans="1:22" ht="15">
      <c r="A47" s="86" t="s">
        <v>93</v>
      </c>
      <c r="B47" s="88" t="str">
        <f>IFERROR(ROUND(AVERAGEIFS('Risk Summary'!$L$8:$L$414,'Risk Summary'!$B$8:$B$414,"Yes",'Risk Summary'!$C$8:$C$414,$A47,'Risk Summary'!$F$8:$F$414,B$31),1),"")</f>
        <v/>
      </c>
      <c r="C47" s="88" t="str">
        <f>IFERROR(ROUND(AVERAGEIFS('Risk Summary'!$L$8:$L$414,'Risk Summary'!$B$8:$B$414,"Yes",'Risk Summary'!$C$8:$C$414,$A47,'Risk Summary'!$F$8:$F$414,C$31),1),"")</f>
        <v/>
      </c>
      <c r="D47" s="88" t="str">
        <f>IFERROR(ROUND(AVERAGEIFS('Risk Summary'!$L$8:$L$414,'Risk Summary'!$B$8:$B$414,"Yes",'Risk Summary'!$C$8:$C$414,$A47,'Risk Summary'!$F$8:$F$414,D$31),1),"")</f>
        <v/>
      </c>
      <c r="E47" s="88" t="str">
        <f>IFERROR(ROUND(AVERAGEIFS('Risk Summary'!$L$8:$L$414,'Risk Summary'!$B$8:$B$414,"Yes",'Risk Summary'!$C$8:$C$414,$A47,'Risk Summary'!$F$8:$F$414,E$31),1),"")</f>
        <v/>
      </c>
      <c r="F47" s="88" t="str">
        <f>IFERROR(ROUND(AVERAGEIFS('Risk Summary'!$L$8:$L$414,'Risk Summary'!$B$8:$B$414,"Yes",'Risk Summary'!$C$8:$C$414,$A47,'Risk Summary'!$F$8:$F$414,F$31),1),"")</f>
        <v/>
      </c>
      <c r="G47" s="88" t="str">
        <f>IFERROR(ROUND(AVERAGEIFS('Risk Summary'!$L$8:$L$414,'Risk Summary'!$B$8:$B$414,"Yes",'Risk Summary'!$C$8:$C$414,$A47,'Risk Summary'!$F$8:$F$414,G$31),1),"")</f>
        <v/>
      </c>
      <c r="H47" s="88" t="str">
        <f>IFERROR(ROUND(AVERAGEIFS('Risk Summary'!$L$8:$L$414,'Risk Summary'!$B$8:$B$414,"Yes",'Risk Summary'!$C$8:$C$414,$A47,'Risk Summary'!$F$8:$F$414,H$31),1),"")</f>
        <v/>
      </c>
      <c r="I47" s="88" t="str">
        <f>IFERROR(ROUND(AVERAGEIFS('Risk Summary'!$L$8:$L$414,'Risk Summary'!$B$8:$B$414,"Yes",'Risk Summary'!$C$8:$C$414,$A47,'Risk Summary'!$F$8:$F$414,I$31),1),"")</f>
        <v/>
      </c>
      <c r="J47" s="88" t="str">
        <f>IFERROR(ROUND(AVERAGEIFS('Risk Summary'!$L$8:$L$414,'Risk Summary'!$B$8:$B$414,"Yes",'Risk Summary'!$C$8:$C$414,$A47,'Risk Summary'!$F$8:$F$414,J$31),1),"")</f>
        <v/>
      </c>
      <c r="K47" s="88" t="str">
        <f>IFERROR(ROUND(AVERAGEIFS('Risk Summary'!$L$8:$L$414,'Risk Summary'!$B$8:$B$414,"Yes",'Risk Summary'!$C$8:$C$414,$A47,'Risk Summary'!$F$8:$F$414,K$31),1),"")</f>
        <v/>
      </c>
      <c r="L47" s="88" t="str">
        <f>IFERROR(ROUND(AVERAGEIFS('Risk Summary'!$L$8:$L$414,'Risk Summary'!$B$8:$B$414,"Yes",'Risk Summary'!$C$8:$C$414,$A47,'Risk Summary'!$F$8:$F$414,L$31),1),"")</f>
        <v/>
      </c>
      <c r="M47" s="88" t="str">
        <f>IFERROR(ROUND(AVERAGEIFS('Risk Summary'!$L$8:$L$414,'Risk Summary'!$B$8:$B$414,"Yes",'Risk Summary'!$C$8:$C$414,$A47,'Risk Summary'!$F$8:$F$414,M$31),1),"")</f>
        <v/>
      </c>
      <c r="N47" s="60"/>
      <c r="O47" s="60"/>
      <c r="P47" s="60"/>
      <c r="Q47" s="60"/>
      <c r="R47" s="60"/>
      <c r="S47" s="60"/>
      <c r="T47" s="60"/>
      <c r="U47" s="60"/>
      <c r="V47" s="60"/>
    </row>
    <row r="48" spans="1:22" ht="15">
      <c r="A48" s="86" t="s">
        <v>94</v>
      </c>
      <c r="B48" s="88" t="str">
        <f>IFERROR(ROUND(AVERAGEIFS('Risk Summary'!$L$8:$L$414,'Risk Summary'!$B$8:$B$414,"Yes",'Risk Summary'!$C$8:$C$414,$A48,'Risk Summary'!$F$8:$F$414,B$31),1),"")</f>
        <v/>
      </c>
      <c r="C48" s="88" t="str">
        <f>IFERROR(ROUND(AVERAGEIFS('Risk Summary'!$L$8:$L$414,'Risk Summary'!$B$8:$B$414,"Yes",'Risk Summary'!$C$8:$C$414,$A48,'Risk Summary'!$F$8:$F$414,C$31),1),"")</f>
        <v/>
      </c>
      <c r="D48" s="88" t="str">
        <f>IFERROR(ROUND(AVERAGEIFS('Risk Summary'!$L$8:$L$414,'Risk Summary'!$B$8:$B$414,"Yes",'Risk Summary'!$C$8:$C$414,$A48,'Risk Summary'!$F$8:$F$414,D$31),1),"")</f>
        <v/>
      </c>
      <c r="E48" s="88" t="str">
        <f>IFERROR(ROUND(AVERAGEIFS('Risk Summary'!$L$8:$L$414,'Risk Summary'!$B$8:$B$414,"Yes",'Risk Summary'!$C$8:$C$414,$A48,'Risk Summary'!$F$8:$F$414,E$31),1),"")</f>
        <v/>
      </c>
      <c r="F48" s="88" t="str">
        <f>IFERROR(ROUND(AVERAGEIFS('Risk Summary'!$L$8:$L$414,'Risk Summary'!$B$8:$B$414,"Yes",'Risk Summary'!$C$8:$C$414,$A48,'Risk Summary'!$F$8:$F$414,F$31),1),"")</f>
        <v/>
      </c>
      <c r="G48" s="88" t="str">
        <f>IFERROR(ROUND(AVERAGEIFS('Risk Summary'!$L$8:$L$414,'Risk Summary'!$B$8:$B$414,"Yes",'Risk Summary'!$C$8:$C$414,$A48,'Risk Summary'!$F$8:$F$414,G$31),1),"")</f>
        <v/>
      </c>
      <c r="H48" s="88" t="str">
        <f>IFERROR(ROUND(AVERAGEIFS('Risk Summary'!$L$8:$L$414,'Risk Summary'!$B$8:$B$414,"Yes",'Risk Summary'!$C$8:$C$414,$A48,'Risk Summary'!$F$8:$F$414,H$31),1),"")</f>
        <v/>
      </c>
      <c r="I48" s="88" t="str">
        <f>IFERROR(ROUND(AVERAGEIFS('Risk Summary'!$L$8:$L$414,'Risk Summary'!$B$8:$B$414,"Yes",'Risk Summary'!$C$8:$C$414,$A48,'Risk Summary'!$F$8:$F$414,I$31),1),"")</f>
        <v/>
      </c>
      <c r="J48" s="88" t="str">
        <f>IFERROR(ROUND(AVERAGEIFS('Risk Summary'!$L$8:$L$414,'Risk Summary'!$B$8:$B$414,"Yes",'Risk Summary'!$C$8:$C$414,$A48,'Risk Summary'!$F$8:$F$414,J$31),1),"")</f>
        <v/>
      </c>
      <c r="K48" s="88" t="str">
        <f>IFERROR(ROUND(AVERAGEIFS('Risk Summary'!$L$8:$L$414,'Risk Summary'!$B$8:$B$414,"Yes",'Risk Summary'!$C$8:$C$414,$A48,'Risk Summary'!$F$8:$F$414,K$31),1),"")</f>
        <v/>
      </c>
      <c r="L48" s="88" t="str">
        <f>IFERROR(ROUND(AVERAGEIFS('Risk Summary'!$L$8:$L$414,'Risk Summary'!$B$8:$B$414,"Yes",'Risk Summary'!$C$8:$C$414,$A48,'Risk Summary'!$F$8:$F$414,L$31),1),"")</f>
        <v/>
      </c>
      <c r="M48" s="88" t="str">
        <f>IFERROR(ROUND(AVERAGEIFS('Risk Summary'!$L$8:$L$414,'Risk Summary'!$B$8:$B$414,"Yes",'Risk Summary'!$C$8:$C$414,$A48,'Risk Summary'!$F$8:$F$414,M$31),1),"")</f>
        <v/>
      </c>
      <c r="N48" s="60"/>
      <c r="O48" s="60"/>
      <c r="P48" s="60"/>
      <c r="Q48" s="60"/>
      <c r="R48" s="60"/>
      <c r="S48" s="60"/>
      <c r="T48" s="60"/>
      <c r="U48" s="60"/>
      <c r="V48" s="60"/>
    </row>
    <row r="49" spans="1:22">
      <c r="A49" s="60"/>
      <c r="B49" s="60"/>
      <c r="C49" s="60"/>
      <c r="D49" s="60"/>
      <c r="E49" s="60"/>
      <c r="F49" s="60"/>
      <c r="G49" s="60"/>
      <c r="H49" s="60"/>
      <c r="I49" s="60"/>
      <c r="J49" s="60"/>
      <c r="K49" s="60"/>
      <c r="L49" s="60"/>
      <c r="M49" s="60"/>
      <c r="N49" s="60"/>
      <c r="O49" s="60"/>
      <c r="P49" s="60"/>
      <c r="Q49" s="60"/>
      <c r="R49" s="60"/>
      <c r="S49" s="60"/>
      <c r="T49" s="60"/>
      <c r="U49" s="60"/>
      <c r="V49" s="60"/>
    </row>
    <row r="50" spans="1:22">
      <c r="A50" s="60"/>
      <c r="B50" s="60"/>
      <c r="C50" s="60"/>
      <c r="D50" s="60"/>
      <c r="E50" s="60"/>
      <c r="F50" s="60"/>
      <c r="G50" s="60"/>
      <c r="H50" s="60"/>
      <c r="I50" s="60"/>
      <c r="J50" s="60"/>
      <c r="K50" s="60"/>
      <c r="L50" s="60"/>
      <c r="M50" s="60"/>
      <c r="N50" s="60"/>
      <c r="O50" s="60"/>
      <c r="P50" s="60"/>
      <c r="Q50" s="60"/>
      <c r="R50" s="60"/>
      <c r="S50" s="60"/>
      <c r="T50" s="60"/>
      <c r="U50" s="60"/>
      <c r="V50" s="60"/>
    </row>
    <row r="51" spans="1:22">
      <c r="A51" s="60"/>
      <c r="B51" s="60"/>
      <c r="C51" s="60"/>
      <c r="D51" s="60"/>
      <c r="E51" s="60"/>
      <c r="F51" s="60"/>
      <c r="G51" s="60"/>
      <c r="H51" s="60"/>
      <c r="I51" s="60"/>
      <c r="J51" s="60"/>
      <c r="K51" s="60"/>
      <c r="L51" s="60"/>
      <c r="M51" s="60"/>
      <c r="N51" s="60"/>
      <c r="O51" s="60"/>
      <c r="P51" s="60"/>
      <c r="Q51" s="60"/>
      <c r="R51" s="60"/>
      <c r="S51" s="60"/>
      <c r="T51" s="60"/>
      <c r="U51" s="60"/>
      <c r="V51" s="60"/>
    </row>
    <row r="52" spans="1:22" ht="15">
      <c r="A52" s="165" t="s">
        <v>195</v>
      </c>
      <c r="B52" s="166"/>
      <c r="C52" s="166"/>
      <c r="D52" s="166"/>
      <c r="E52" s="166"/>
      <c r="F52" s="166"/>
      <c r="G52" s="166"/>
      <c r="H52" s="166"/>
      <c r="I52" s="166"/>
      <c r="J52" s="166"/>
      <c r="K52" s="166"/>
      <c r="L52" s="166"/>
      <c r="M52" s="166"/>
      <c r="N52" s="166"/>
      <c r="O52" s="166"/>
      <c r="P52" s="166"/>
      <c r="Q52" s="166"/>
      <c r="R52" s="166"/>
      <c r="S52" s="166"/>
      <c r="T52" s="166"/>
      <c r="U52" s="166"/>
      <c r="V52" s="163"/>
    </row>
    <row r="53" spans="1:22" ht="44.1" customHeight="1">
      <c r="A53" s="50" t="s">
        <v>196</v>
      </c>
      <c r="B53" s="50" t="s">
        <v>197</v>
      </c>
      <c r="C53" s="89">
        <f>'Gantt Roadmap'!S$13</f>
        <v>46179</v>
      </c>
      <c r="D53" s="89">
        <f>'Gantt Roadmap'!T$13</f>
        <v>46209</v>
      </c>
      <c r="E53" s="89">
        <f>'Gantt Roadmap'!U$13</f>
        <v>46240</v>
      </c>
      <c r="F53" s="89">
        <f>'Gantt Roadmap'!V$13</f>
        <v>46271</v>
      </c>
      <c r="G53" s="89">
        <f>'Gantt Roadmap'!W$13</f>
        <v>46301</v>
      </c>
      <c r="H53" s="89">
        <f>'Gantt Roadmap'!X$13</f>
        <v>46332</v>
      </c>
      <c r="I53" s="89">
        <f>'Gantt Roadmap'!Y$13</f>
        <v>46362</v>
      </c>
      <c r="J53" s="89">
        <f>'Gantt Roadmap'!Z$13</f>
        <v>46393</v>
      </c>
      <c r="K53" s="89">
        <f>'Gantt Roadmap'!AA$13</f>
        <v>46424</v>
      </c>
      <c r="L53" s="89">
        <f>'Gantt Roadmap'!AB$13</f>
        <v>46452</v>
      </c>
      <c r="M53" s="89">
        <f>'Gantt Roadmap'!AC$13</f>
        <v>46483</v>
      </c>
      <c r="N53" s="89">
        <f>'Gantt Roadmap'!AD$13</f>
        <v>46513</v>
      </c>
      <c r="O53" s="89">
        <f>'Gantt Roadmap'!AE$13</f>
        <v>46544</v>
      </c>
      <c r="P53" s="89">
        <f>'Gantt Roadmap'!AF$13</f>
        <v>46574</v>
      </c>
      <c r="Q53" s="89">
        <f>'Gantt Roadmap'!AG$13</f>
        <v>46605</v>
      </c>
      <c r="R53" s="89">
        <f>'Gantt Roadmap'!AH$13</f>
        <v>46636</v>
      </c>
      <c r="S53" s="89">
        <f>'Gantt Roadmap'!AI$13</f>
        <v>46666</v>
      </c>
      <c r="T53" s="89">
        <f>'Gantt Roadmap'!AJ$13</f>
        <v>46697</v>
      </c>
      <c r="U53" s="85"/>
      <c r="V53" s="85"/>
    </row>
    <row r="54" spans="1:22" ht="15">
      <c r="A54" s="86">
        <v>1</v>
      </c>
      <c r="B54" s="86" t="str">
        <f ca="1">'Gantt Roadmap'!$C$14</f>
        <v/>
      </c>
      <c r="C54" s="90" t="str">
        <f ca="1">IF('Gantt Roadmap'!S$14="■",1,"")</f>
        <v/>
      </c>
      <c r="D54" s="90" t="str">
        <f ca="1">IF('Gantt Roadmap'!T$14="■",1,"")</f>
        <v/>
      </c>
      <c r="E54" s="90" t="str">
        <f ca="1">IF('Gantt Roadmap'!U$14="■",1,"")</f>
        <v/>
      </c>
      <c r="F54" s="90" t="str">
        <f ca="1">IF('Gantt Roadmap'!V$14="■",1,"")</f>
        <v/>
      </c>
      <c r="G54" s="90" t="str">
        <f ca="1">IF('Gantt Roadmap'!W$14="■",1,"")</f>
        <v/>
      </c>
      <c r="H54" s="90" t="str">
        <f ca="1">IF('Gantt Roadmap'!X$14="■",1,"")</f>
        <v/>
      </c>
      <c r="I54" s="90" t="str">
        <f ca="1">IF('Gantt Roadmap'!Y$14="■",1,"")</f>
        <v/>
      </c>
      <c r="J54" s="90" t="str">
        <f ca="1">IF('Gantt Roadmap'!Z$14="■",1,"")</f>
        <v/>
      </c>
      <c r="K54" s="90" t="str">
        <f ca="1">IF('Gantt Roadmap'!AA$14="■",1,"")</f>
        <v/>
      </c>
      <c r="L54" s="90" t="str">
        <f ca="1">IF('Gantt Roadmap'!AB$14="■",1,"")</f>
        <v/>
      </c>
      <c r="M54" s="90" t="str">
        <f ca="1">IF('Gantt Roadmap'!AC$14="■",1,"")</f>
        <v/>
      </c>
      <c r="N54" s="90" t="str">
        <f ca="1">IF('Gantt Roadmap'!AD$14="■",1,"")</f>
        <v/>
      </c>
      <c r="O54" s="90" t="str">
        <f ca="1">IF('Gantt Roadmap'!AE$14="■",1,"")</f>
        <v/>
      </c>
      <c r="P54" s="90" t="str">
        <f ca="1">IF('Gantt Roadmap'!AF$14="■",1,"")</f>
        <v/>
      </c>
      <c r="Q54" s="90" t="str">
        <f ca="1">IF('Gantt Roadmap'!AG$14="■",1,"")</f>
        <v/>
      </c>
      <c r="R54" s="90" t="str">
        <f ca="1">IF('Gantt Roadmap'!AH$14="■",1,"")</f>
        <v/>
      </c>
      <c r="S54" s="90" t="str">
        <f ca="1">IF('Gantt Roadmap'!AI$14="■",1,"")</f>
        <v/>
      </c>
      <c r="T54" s="90" t="str">
        <f ca="1">IF('Gantt Roadmap'!AJ$14="■",1,"")</f>
        <v/>
      </c>
      <c r="U54" s="60"/>
      <c r="V54" s="60"/>
    </row>
    <row r="55" spans="1:22" ht="15">
      <c r="A55" s="86">
        <v>2</v>
      </c>
      <c r="B55" s="86" t="str">
        <f ca="1">'Gantt Roadmap'!$C$15</f>
        <v/>
      </c>
      <c r="C55" s="90" t="str">
        <f ca="1">IF('Gantt Roadmap'!S$15="■",1,"")</f>
        <v/>
      </c>
      <c r="D55" s="90" t="str">
        <f ca="1">IF('Gantt Roadmap'!T$15="■",1,"")</f>
        <v/>
      </c>
      <c r="E55" s="90" t="str">
        <f ca="1">IF('Gantt Roadmap'!U$15="■",1,"")</f>
        <v/>
      </c>
      <c r="F55" s="90" t="str">
        <f ca="1">IF('Gantt Roadmap'!V$15="■",1,"")</f>
        <v/>
      </c>
      <c r="G55" s="90" t="str">
        <f ca="1">IF('Gantt Roadmap'!W$15="■",1,"")</f>
        <v/>
      </c>
      <c r="H55" s="90" t="str">
        <f ca="1">IF('Gantt Roadmap'!X$15="■",1,"")</f>
        <v/>
      </c>
      <c r="I55" s="90" t="str">
        <f ca="1">IF('Gantt Roadmap'!Y$15="■",1,"")</f>
        <v/>
      </c>
      <c r="J55" s="90" t="str">
        <f ca="1">IF('Gantt Roadmap'!Z$15="■",1,"")</f>
        <v/>
      </c>
      <c r="K55" s="90" t="str">
        <f ca="1">IF('Gantt Roadmap'!AA$15="■",1,"")</f>
        <v/>
      </c>
      <c r="L55" s="90" t="str">
        <f ca="1">IF('Gantt Roadmap'!AB$15="■",1,"")</f>
        <v/>
      </c>
      <c r="M55" s="90" t="str">
        <f ca="1">IF('Gantt Roadmap'!AC$15="■",1,"")</f>
        <v/>
      </c>
      <c r="N55" s="90" t="str">
        <f ca="1">IF('Gantt Roadmap'!AD$15="■",1,"")</f>
        <v/>
      </c>
      <c r="O55" s="90" t="str">
        <f ca="1">IF('Gantt Roadmap'!AE$15="■",1,"")</f>
        <v/>
      </c>
      <c r="P55" s="90" t="str">
        <f ca="1">IF('Gantt Roadmap'!AF$15="■",1,"")</f>
        <v/>
      </c>
      <c r="Q55" s="90" t="str">
        <f ca="1">IF('Gantt Roadmap'!AG$15="■",1,"")</f>
        <v/>
      </c>
      <c r="R55" s="90" t="str">
        <f ca="1">IF('Gantt Roadmap'!AH$15="■",1,"")</f>
        <v/>
      </c>
      <c r="S55" s="90" t="str">
        <f ca="1">IF('Gantt Roadmap'!AI$15="■",1,"")</f>
        <v/>
      </c>
      <c r="T55" s="90" t="str">
        <f ca="1">IF('Gantt Roadmap'!AJ$15="■",1,"")</f>
        <v/>
      </c>
      <c r="U55" s="60"/>
      <c r="V55" s="60"/>
    </row>
    <row r="56" spans="1:22" ht="15">
      <c r="A56" s="86">
        <v>3</v>
      </c>
      <c r="B56" s="86" t="str">
        <f ca="1">'Gantt Roadmap'!$C$16</f>
        <v/>
      </c>
      <c r="C56" s="90" t="str">
        <f ca="1">IF('Gantt Roadmap'!S$16="■",1,"")</f>
        <v/>
      </c>
      <c r="D56" s="90" t="str">
        <f ca="1">IF('Gantt Roadmap'!T$16="■",1,"")</f>
        <v/>
      </c>
      <c r="E56" s="90" t="str">
        <f ca="1">IF('Gantt Roadmap'!U$16="■",1,"")</f>
        <v/>
      </c>
      <c r="F56" s="90" t="str">
        <f ca="1">IF('Gantt Roadmap'!V$16="■",1,"")</f>
        <v/>
      </c>
      <c r="G56" s="90" t="str">
        <f ca="1">IF('Gantt Roadmap'!W$16="■",1,"")</f>
        <v/>
      </c>
      <c r="H56" s="90" t="str">
        <f ca="1">IF('Gantt Roadmap'!X$16="■",1,"")</f>
        <v/>
      </c>
      <c r="I56" s="90" t="str">
        <f ca="1">IF('Gantt Roadmap'!Y$16="■",1,"")</f>
        <v/>
      </c>
      <c r="J56" s="90" t="str">
        <f ca="1">IF('Gantt Roadmap'!Z$16="■",1,"")</f>
        <v/>
      </c>
      <c r="K56" s="90" t="str">
        <f ca="1">IF('Gantt Roadmap'!AA$16="■",1,"")</f>
        <v/>
      </c>
      <c r="L56" s="90" t="str">
        <f ca="1">IF('Gantt Roadmap'!AB$16="■",1,"")</f>
        <v/>
      </c>
      <c r="M56" s="90" t="str">
        <f ca="1">IF('Gantt Roadmap'!AC$16="■",1,"")</f>
        <v/>
      </c>
      <c r="N56" s="90" t="str">
        <f ca="1">IF('Gantt Roadmap'!AD$16="■",1,"")</f>
        <v/>
      </c>
      <c r="O56" s="90" t="str">
        <f ca="1">IF('Gantt Roadmap'!AE$16="■",1,"")</f>
        <v/>
      </c>
      <c r="P56" s="90" t="str">
        <f ca="1">IF('Gantt Roadmap'!AF$16="■",1,"")</f>
        <v/>
      </c>
      <c r="Q56" s="90" t="str">
        <f ca="1">IF('Gantt Roadmap'!AG$16="■",1,"")</f>
        <v/>
      </c>
      <c r="R56" s="90" t="str">
        <f ca="1">IF('Gantt Roadmap'!AH$16="■",1,"")</f>
        <v/>
      </c>
      <c r="S56" s="90" t="str">
        <f ca="1">IF('Gantt Roadmap'!AI$16="■",1,"")</f>
        <v/>
      </c>
      <c r="T56" s="90" t="str">
        <f ca="1">IF('Gantt Roadmap'!AJ$16="■",1,"")</f>
        <v/>
      </c>
      <c r="U56" s="60"/>
      <c r="V56" s="60"/>
    </row>
    <row r="57" spans="1:22" ht="15">
      <c r="A57" s="86">
        <v>4</v>
      </c>
      <c r="B57" s="86" t="str">
        <f ca="1">'Gantt Roadmap'!$C$17</f>
        <v/>
      </c>
      <c r="C57" s="90" t="str">
        <f ca="1">IF('Gantt Roadmap'!S$17="■",1,"")</f>
        <v/>
      </c>
      <c r="D57" s="90" t="str">
        <f ca="1">IF('Gantt Roadmap'!T$17="■",1,"")</f>
        <v/>
      </c>
      <c r="E57" s="90" t="str">
        <f ca="1">IF('Gantt Roadmap'!U$17="■",1,"")</f>
        <v/>
      </c>
      <c r="F57" s="90" t="str">
        <f ca="1">IF('Gantt Roadmap'!V$17="■",1,"")</f>
        <v/>
      </c>
      <c r="G57" s="90" t="str">
        <f ca="1">IF('Gantt Roadmap'!W$17="■",1,"")</f>
        <v/>
      </c>
      <c r="H57" s="90" t="str">
        <f ca="1">IF('Gantt Roadmap'!X$17="■",1,"")</f>
        <v/>
      </c>
      <c r="I57" s="90" t="str">
        <f ca="1">IF('Gantt Roadmap'!Y$17="■",1,"")</f>
        <v/>
      </c>
      <c r="J57" s="90" t="str">
        <f ca="1">IF('Gantt Roadmap'!Z$17="■",1,"")</f>
        <v/>
      </c>
      <c r="K57" s="90" t="str">
        <f ca="1">IF('Gantt Roadmap'!AA$17="■",1,"")</f>
        <v/>
      </c>
      <c r="L57" s="90" t="str">
        <f ca="1">IF('Gantt Roadmap'!AB$17="■",1,"")</f>
        <v/>
      </c>
      <c r="M57" s="90" t="str">
        <f ca="1">IF('Gantt Roadmap'!AC$17="■",1,"")</f>
        <v/>
      </c>
      <c r="N57" s="90" t="str">
        <f ca="1">IF('Gantt Roadmap'!AD$17="■",1,"")</f>
        <v/>
      </c>
      <c r="O57" s="90" t="str">
        <f ca="1">IF('Gantt Roadmap'!AE$17="■",1,"")</f>
        <v/>
      </c>
      <c r="P57" s="90" t="str">
        <f ca="1">IF('Gantt Roadmap'!AF$17="■",1,"")</f>
        <v/>
      </c>
      <c r="Q57" s="90" t="str">
        <f ca="1">IF('Gantt Roadmap'!AG$17="■",1,"")</f>
        <v/>
      </c>
      <c r="R57" s="90" t="str">
        <f ca="1">IF('Gantt Roadmap'!AH$17="■",1,"")</f>
        <v/>
      </c>
      <c r="S57" s="90" t="str">
        <f ca="1">IF('Gantt Roadmap'!AI$17="■",1,"")</f>
        <v/>
      </c>
      <c r="T57" s="90" t="str">
        <f ca="1">IF('Gantt Roadmap'!AJ$17="■",1,"")</f>
        <v/>
      </c>
      <c r="U57" s="60"/>
      <c r="V57" s="60"/>
    </row>
    <row r="58" spans="1:22" ht="15">
      <c r="A58" s="86">
        <v>5</v>
      </c>
      <c r="B58" s="86" t="str">
        <f ca="1">'Gantt Roadmap'!$C$18</f>
        <v/>
      </c>
      <c r="C58" s="90" t="str">
        <f ca="1">IF('Gantt Roadmap'!S$18="■",1,"")</f>
        <v/>
      </c>
      <c r="D58" s="90" t="str">
        <f ca="1">IF('Gantt Roadmap'!T$18="■",1,"")</f>
        <v/>
      </c>
      <c r="E58" s="90" t="str">
        <f ca="1">IF('Gantt Roadmap'!U$18="■",1,"")</f>
        <v/>
      </c>
      <c r="F58" s="90" t="str">
        <f ca="1">IF('Gantt Roadmap'!V$18="■",1,"")</f>
        <v/>
      </c>
      <c r="G58" s="90" t="str">
        <f ca="1">IF('Gantt Roadmap'!W$18="■",1,"")</f>
        <v/>
      </c>
      <c r="H58" s="90" t="str">
        <f ca="1">IF('Gantt Roadmap'!X$18="■",1,"")</f>
        <v/>
      </c>
      <c r="I58" s="90" t="str">
        <f ca="1">IF('Gantt Roadmap'!Y$18="■",1,"")</f>
        <v/>
      </c>
      <c r="J58" s="90" t="str">
        <f ca="1">IF('Gantt Roadmap'!Z$18="■",1,"")</f>
        <v/>
      </c>
      <c r="K58" s="90" t="str">
        <f ca="1">IF('Gantt Roadmap'!AA$18="■",1,"")</f>
        <v/>
      </c>
      <c r="L58" s="90" t="str">
        <f ca="1">IF('Gantt Roadmap'!AB$18="■",1,"")</f>
        <v/>
      </c>
      <c r="M58" s="90" t="str">
        <f ca="1">IF('Gantt Roadmap'!AC$18="■",1,"")</f>
        <v/>
      </c>
      <c r="N58" s="90" t="str">
        <f ca="1">IF('Gantt Roadmap'!AD$18="■",1,"")</f>
        <v/>
      </c>
      <c r="O58" s="90" t="str">
        <f ca="1">IF('Gantt Roadmap'!AE$18="■",1,"")</f>
        <v/>
      </c>
      <c r="P58" s="90" t="str">
        <f ca="1">IF('Gantt Roadmap'!AF$18="■",1,"")</f>
        <v/>
      </c>
      <c r="Q58" s="90" t="str">
        <f ca="1">IF('Gantt Roadmap'!AG$18="■",1,"")</f>
        <v/>
      </c>
      <c r="R58" s="90" t="str">
        <f ca="1">IF('Gantt Roadmap'!AH$18="■",1,"")</f>
        <v/>
      </c>
      <c r="S58" s="90" t="str">
        <f ca="1">IF('Gantt Roadmap'!AI$18="■",1,"")</f>
        <v/>
      </c>
      <c r="T58" s="90" t="str">
        <f ca="1">IF('Gantt Roadmap'!AJ$18="■",1,"")</f>
        <v/>
      </c>
      <c r="U58" s="60"/>
      <c r="V58" s="60"/>
    </row>
    <row r="59" spans="1:22" ht="15">
      <c r="A59" s="86">
        <v>6</v>
      </c>
      <c r="B59" s="86" t="str">
        <f ca="1">'Gantt Roadmap'!$C$19</f>
        <v/>
      </c>
      <c r="C59" s="90" t="str">
        <f ca="1">IF('Gantt Roadmap'!S$19="■",1,"")</f>
        <v/>
      </c>
      <c r="D59" s="90" t="str">
        <f ca="1">IF('Gantt Roadmap'!T$19="■",1,"")</f>
        <v/>
      </c>
      <c r="E59" s="90" t="str">
        <f ca="1">IF('Gantt Roadmap'!U$19="■",1,"")</f>
        <v/>
      </c>
      <c r="F59" s="90" t="str">
        <f ca="1">IF('Gantt Roadmap'!V$19="■",1,"")</f>
        <v/>
      </c>
      <c r="G59" s="90" t="str">
        <f ca="1">IF('Gantt Roadmap'!W$19="■",1,"")</f>
        <v/>
      </c>
      <c r="H59" s="90" t="str">
        <f ca="1">IF('Gantt Roadmap'!X$19="■",1,"")</f>
        <v/>
      </c>
      <c r="I59" s="90" t="str">
        <f ca="1">IF('Gantt Roadmap'!Y$19="■",1,"")</f>
        <v/>
      </c>
      <c r="J59" s="90" t="str">
        <f ca="1">IF('Gantt Roadmap'!Z$19="■",1,"")</f>
        <v/>
      </c>
      <c r="K59" s="90" t="str">
        <f ca="1">IF('Gantt Roadmap'!AA$19="■",1,"")</f>
        <v/>
      </c>
      <c r="L59" s="90" t="str">
        <f ca="1">IF('Gantt Roadmap'!AB$19="■",1,"")</f>
        <v/>
      </c>
      <c r="M59" s="90" t="str">
        <f ca="1">IF('Gantt Roadmap'!AC$19="■",1,"")</f>
        <v/>
      </c>
      <c r="N59" s="90" t="str">
        <f ca="1">IF('Gantt Roadmap'!AD$19="■",1,"")</f>
        <v/>
      </c>
      <c r="O59" s="90" t="str">
        <f ca="1">IF('Gantt Roadmap'!AE$19="■",1,"")</f>
        <v/>
      </c>
      <c r="P59" s="90" t="str">
        <f ca="1">IF('Gantt Roadmap'!AF$19="■",1,"")</f>
        <v/>
      </c>
      <c r="Q59" s="90" t="str">
        <f ca="1">IF('Gantt Roadmap'!AG$19="■",1,"")</f>
        <v/>
      </c>
      <c r="R59" s="90" t="str">
        <f ca="1">IF('Gantt Roadmap'!AH$19="■",1,"")</f>
        <v/>
      </c>
      <c r="S59" s="90" t="str">
        <f ca="1">IF('Gantt Roadmap'!AI$19="■",1,"")</f>
        <v/>
      </c>
      <c r="T59" s="90" t="str">
        <f ca="1">IF('Gantt Roadmap'!AJ$19="■",1,"")</f>
        <v/>
      </c>
      <c r="U59" s="60"/>
      <c r="V59" s="60"/>
    </row>
    <row r="60" spans="1:22" ht="15">
      <c r="A60" s="86">
        <v>7</v>
      </c>
      <c r="B60" s="86" t="str">
        <f ca="1">'Gantt Roadmap'!$C$20</f>
        <v/>
      </c>
      <c r="C60" s="90" t="str">
        <f ca="1">IF('Gantt Roadmap'!S$20="■",1,"")</f>
        <v/>
      </c>
      <c r="D60" s="90" t="str">
        <f ca="1">IF('Gantt Roadmap'!T$20="■",1,"")</f>
        <v/>
      </c>
      <c r="E60" s="90" t="str">
        <f ca="1">IF('Gantt Roadmap'!U$20="■",1,"")</f>
        <v/>
      </c>
      <c r="F60" s="90" t="str">
        <f ca="1">IF('Gantt Roadmap'!V$20="■",1,"")</f>
        <v/>
      </c>
      <c r="G60" s="90" t="str">
        <f ca="1">IF('Gantt Roadmap'!W$20="■",1,"")</f>
        <v/>
      </c>
      <c r="H60" s="90" t="str">
        <f ca="1">IF('Gantt Roadmap'!X$20="■",1,"")</f>
        <v/>
      </c>
      <c r="I60" s="90" t="str">
        <f ca="1">IF('Gantt Roadmap'!Y$20="■",1,"")</f>
        <v/>
      </c>
      <c r="J60" s="90" t="str">
        <f ca="1">IF('Gantt Roadmap'!Z$20="■",1,"")</f>
        <v/>
      </c>
      <c r="K60" s="90" t="str">
        <f ca="1">IF('Gantt Roadmap'!AA$20="■",1,"")</f>
        <v/>
      </c>
      <c r="L60" s="90" t="str">
        <f ca="1">IF('Gantt Roadmap'!AB$20="■",1,"")</f>
        <v/>
      </c>
      <c r="M60" s="90" t="str">
        <f ca="1">IF('Gantt Roadmap'!AC$20="■",1,"")</f>
        <v/>
      </c>
      <c r="N60" s="90" t="str">
        <f ca="1">IF('Gantt Roadmap'!AD$20="■",1,"")</f>
        <v/>
      </c>
      <c r="O60" s="90" t="str">
        <f ca="1">IF('Gantt Roadmap'!AE$20="■",1,"")</f>
        <v/>
      </c>
      <c r="P60" s="90" t="str">
        <f ca="1">IF('Gantt Roadmap'!AF$20="■",1,"")</f>
        <v/>
      </c>
      <c r="Q60" s="90" t="str">
        <f ca="1">IF('Gantt Roadmap'!AG$20="■",1,"")</f>
        <v/>
      </c>
      <c r="R60" s="90" t="str">
        <f ca="1">IF('Gantt Roadmap'!AH$20="■",1,"")</f>
        <v/>
      </c>
      <c r="S60" s="90" t="str">
        <f ca="1">IF('Gantt Roadmap'!AI$20="■",1,"")</f>
        <v/>
      </c>
      <c r="T60" s="90" t="str">
        <f ca="1">IF('Gantt Roadmap'!AJ$20="■",1,"")</f>
        <v/>
      </c>
      <c r="U60" s="60"/>
      <c r="V60" s="60"/>
    </row>
    <row r="61" spans="1:22" ht="15">
      <c r="A61" s="86">
        <v>8</v>
      </c>
      <c r="B61" s="86" t="str">
        <f ca="1">'Gantt Roadmap'!$C$21</f>
        <v/>
      </c>
      <c r="C61" s="90" t="str">
        <f ca="1">IF('Gantt Roadmap'!S$21="■",1,"")</f>
        <v/>
      </c>
      <c r="D61" s="90" t="str">
        <f ca="1">IF('Gantt Roadmap'!T$21="■",1,"")</f>
        <v/>
      </c>
      <c r="E61" s="90" t="str">
        <f ca="1">IF('Gantt Roadmap'!U$21="■",1,"")</f>
        <v/>
      </c>
      <c r="F61" s="90" t="str">
        <f ca="1">IF('Gantt Roadmap'!V$21="■",1,"")</f>
        <v/>
      </c>
      <c r="G61" s="90" t="str">
        <f ca="1">IF('Gantt Roadmap'!W$21="■",1,"")</f>
        <v/>
      </c>
      <c r="H61" s="90" t="str">
        <f ca="1">IF('Gantt Roadmap'!X$21="■",1,"")</f>
        <v/>
      </c>
      <c r="I61" s="90" t="str">
        <f ca="1">IF('Gantt Roadmap'!Y$21="■",1,"")</f>
        <v/>
      </c>
      <c r="J61" s="90" t="str">
        <f ca="1">IF('Gantt Roadmap'!Z$21="■",1,"")</f>
        <v/>
      </c>
      <c r="K61" s="90" t="str">
        <f ca="1">IF('Gantt Roadmap'!AA$21="■",1,"")</f>
        <v/>
      </c>
      <c r="L61" s="90" t="str">
        <f ca="1">IF('Gantt Roadmap'!AB$21="■",1,"")</f>
        <v/>
      </c>
      <c r="M61" s="90" t="str">
        <f ca="1">IF('Gantt Roadmap'!AC$21="■",1,"")</f>
        <v/>
      </c>
      <c r="N61" s="90" t="str">
        <f ca="1">IF('Gantt Roadmap'!AD$21="■",1,"")</f>
        <v/>
      </c>
      <c r="O61" s="90" t="str">
        <f ca="1">IF('Gantt Roadmap'!AE$21="■",1,"")</f>
        <v/>
      </c>
      <c r="P61" s="90" t="str">
        <f ca="1">IF('Gantt Roadmap'!AF$21="■",1,"")</f>
        <v/>
      </c>
      <c r="Q61" s="90" t="str">
        <f ca="1">IF('Gantt Roadmap'!AG$21="■",1,"")</f>
        <v/>
      </c>
      <c r="R61" s="90" t="str">
        <f ca="1">IF('Gantt Roadmap'!AH$21="■",1,"")</f>
        <v/>
      </c>
      <c r="S61" s="90" t="str">
        <f ca="1">IF('Gantt Roadmap'!AI$21="■",1,"")</f>
        <v/>
      </c>
      <c r="T61" s="90" t="str">
        <f ca="1">IF('Gantt Roadmap'!AJ$21="■",1,"")</f>
        <v/>
      </c>
      <c r="U61" s="60"/>
      <c r="V61" s="60"/>
    </row>
    <row r="62" spans="1:22" ht="15">
      <c r="A62" s="86">
        <v>9</v>
      </c>
      <c r="B62" s="86" t="str">
        <f ca="1">'Gantt Roadmap'!$C$22</f>
        <v/>
      </c>
      <c r="C62" s="90" t="str">
        <f ca="1">IF('Gantt Roadmap'!S$22="■",1,"")</f>
        <v/>
      </c>
      <c r="D62" s="90" t="str">
        <f ca="1">IF('Gantt Roadmap'!T$22="■",1,"")</f>
        <v/>
      </c>
      <c r="E62" s="90" t="str">
        <f ca="1">IF('Gantt Roadmap'!U$22="■",1,"")</f>
        <v/>
      </c>
      <c r="F62" s="90" t="str">
        <f ca="1">IF('Gantt Roadmap'!V$22="■",1,"")</f>
        <v/>
      </c>
      <c r="G62" s="90" t="str">
        <f ca="1">IF('Gantt Roadmap'!W$22="■",1,"")</f>
        <v/>
      </c>
      <c r="H62" s="90" t="str">
        <f ca="1">IF('Gantt Roadmap'!X$22="■",1,"")</f>
        <v/>
      </c>
      <c r="I62" s="90" t="str">
        <f ca="1">IF('Gantt Roadmap'!Y$22="■",1,"")</f>
        <v/>
      </c>
      <c r="J62" s="90" t="str">
        <f ca="1">IF('Gantt Roadmap'!Z$22="■",1,"")</f>
        <v/>
      </c>
      <c r="K62" s="90" t="str">
        <f ca="1">IF('Gantt Roadmap'!AA$22="■",1,"")</f>
        <v/>
      </c>
      <c r="L62" s="90" t="str">
        <f ca="1">IF('Gantt Roadmap'!AB$22="■",1,"")</f>
        <v/>
      </c>
      <c r="M62" s="90" t="str">
        <f ca="1">IF('Gantt Roadmap'!AC$22="■",1,"")</f>
        <v/>
      </c>
      <c r="N62" s="90" t="str">
        <f ca="1">IF('Gantt Roadmap'!AD$22="■",1,"")</f>
        <v/>
      </c>
      <c r="O62" s="90" t="str">
        <f ca="1">IF('Gantt Roadmap'!AE$22="■",1,"")</f>
        <v/>
      </c>
      <c r="P62" s="90" t="str">
        <f ca="1">IF('Gantt Roadmap'!AF$22="■",1,"")</f>
        <v/>
      </c>
      <c r="Q62" s="90" t="str">
        <f ca="1">IF('Gantt Roadmap'!AG$22="■",1,"")</f>
        <v/>
      </c>
      <c r="R62" s="90" t="str">
        <f ca="1">IF('Gantt Roadmap'!AH$22="■",1,"")</f>
        <v/>
      </c>
      <c r="S62" s="90" t="str">
        <f ca="1">IF('Gantt Roadmap'!AI$22="■",1,"")</f>
        <v/>
      </c>
      <c r="T62" s="90" t="str">
        <f ca="1">IF('Gantt Roadmap'!AJ$22="■",1,"")</f>
        <v/>
      </c>
      <c r="U62" s="60"/>
      <c r="V62" s="60"/>
    </row>
    <row r="63" spans="1:22" ht="15">
      <c r="A63" s="86">
        <v>10</v>
      </c>
      <c r="B63" s="86" t="str">
        <f ca="1">'Gantt Roadmap'!$C$23</f>
        <v/>
      </c>
      <c r="C63" s="90" t="str">
        <f ca="1">IF('Gantt Roadmap'!S$23="■",1,"")</f>
        <v/>
      </c>
      <c r="D63" s="90" t="str">
        <f ca="1">IF('Gantt Roadmap'!T$23="■",1,"")</f>
        <v/>
      </c>
      <c r="E63" s="90" t="str">
        <f ca="1">IF('Gantt Roadmap'!U$23="■",1,"")</f>
        <v/>
      </c>
      <c r="F63" s="90" t="str">
        <f ca="1">IF('Gantt Roadmap'!V$23="■",1,"")</f>
        <v/>
      </c>
      <c r="G63" s="90" t="str">
        <f ca="1">IF('Gantt Roadmap'!W$23="■",1,"")</f>
        <v/>
      </c>
      <c r="H63" s="90" t="str">
        <f ca="1">IF('Gantt Roadmap'!X$23="■",1,"")</f>
        <v/>
      </c>
      <c r="I63" s="90" t="str">
        <f ca="1">IF('Gantt Roadmap'!Y$23="■",1,"")</f>
        <v/>
      </c>
      <c r="J63" s="90" t="str">
        <f ca="1">IF('Gantt Roadmap'!Z$23="■",1,"")</f>
        <v/>
      </c>
      <c r="K63" s="90" t="str">
        <f ca="1">IF('Gantt Roadmap'!AA$23="■",1,"")</f>
        <v/>
      </c>
      <c r="L63" s="90" t="str">
        <f ca="1">IF('Gantt Roadmap'!AB$23="■",1,"")</f>
        <v/>
      </c>
      <c r="M63" s="90" t="str">
        <f ca="1">IF('Gantt Roadmap'!AC$23="■",1,"")</f>
        <v/>
      </c>
      <c r="N63" s="90" t="str">
        <f ca="1">IF('Gantt Roadmap'!AD$23="■",1,"")</f>
        <v/>
      </c>
      <c r="O63" s="90" t="str">
        <f ca="1">IF('Gantt Roadmap'!AE$23="■",1,"")</f>
        <v/>
      </c>
      <c r="P63" s="90" t="str">
        <f ca="1">IF('Gantt Roadmap'!AF$23="■",1,"")</f>
        <v/>
      </c>
      <c r="Q63" s="90" t="str">
        <f ca="1">IF('Gantt Roadmap'!AG$23="■",1,"")</f>
        <v/>
      </c>
      <c r="R63" s="90" t="str">
        <f ca="1">IF('Gantt Roadmap'!AH$23="■",1,"")</f>
        <v/>
      </c>
      <c r="S63" s="90" t="str">
        <f ca="1">IF('Gantt Roadmap'!AI$23="■",1,"")</f>
        <v/>
      </c>
      <c r="T63" s="90" t="str">
        <f ca="1">IF('Gantt Roadmap'!AJ$23="■",1,"")</f>
        <v/>
      </c>
      <c r="U63" s="60"/>
      <c r="V63" s="60"/>
    </row>
    <row r="64" spans="1:22" ht="15">
      <c r="A64" s="86">
        <v>11</v>
      </c>
      <c r="B64" s="86" t="str">
        <f ca="1">'Gantt Roadmap'!$C$24</f>
        <v/>
      </c>
      <c r="C64" s="90" t="str">
        <f ca="1">IF('Gantt Roadmap'!S$24="■",1,"")</f>
        <v/>
      </c>
      <c r="D64" s="90" t="str">
        <f ca="1">IF('Gantt Roadmap'!T$24="■",1,"")</f>
        <v/>
      </c>
      <c r="E64" s="90" t="str">
        <f ca="1">IF('Gantt Roadmap'!U$24="■",1,"")</f>
        <v/>
      </c>
      <c r="F64" s="90" t="str">
        <f ca="1">IF('Gantt Roadmap'!V$24="■",1,"")</f>
        <v/>
      </c>
      <c r="G64" s="90" t="str">
        <f ca="1">IF('Gantt Roadmap'!W$24="■",1,"")</f>
        <v/>
      </c>
      <c r="H64" s="90" t="str">
        <f ca="1">IF('Gantt Roadmap'!X$24="■",1,"")</f>
        <v/>
      </c>
      <c r="I64" s="90" t="str">
        <f ca="1">IF('Gantt Roadmap'!Y$24="■",1,"")</f>
        <v/>
      </c>
      <c r="J64" s="90" t="str">
        <f ca="1">IF('Gantt Roadmap'!Z$24="■",1,"")</f>
        <v/>
      </c>
      <c r="K64" s="90" t="str">
        <f ca="1">IF('Gantt Roadmap'!AA$24="■",1,"")</f>
        <v/>
      </c>
      <c r="L64" s="90" t="str">
        <f ca="1">IF('Gantt Roadmap'!AB$24="■",1,"")</f>
        <v/>
      </c>
      <c r="M64" s="90" t="str">
        <f ca="1">IF('Gantt Roadmap'!AC$24="■",1,"")</f>
        <v/>
      </c>
      <c r="N64" s="90" t="str">
        <f ca="1">IF('Gantt Roadmap'!AD$24="■",1,"")</f>
        <v/>
      </c>
      <c r="O64" s="90" t="str">
        <f ca="1">IF('Gantt Roadmap'!AE$24="■",1,"")</f>
        <v/>
      </c>
      <c r="P64" s="90" t="str">
        <f ca="1">IF('Gantt Roadmap'!AF$24="■",1,"")</f>
        <v/>
      </c>
      <c r="Q64" s="90" t="str">
        <f ca="1">IF('Gantt Roadmap'!AG$24="■",1,"")</f>
        <v/>
      </c>
      <c r="R64" s="90" t="str">
        <f ca="1">IF('Gantt Roadmap'!AH$24="■",1,"")</f>
        <v/>
      </c>
      <c r="S64" s="90" t="str">
        <f ca="1">IF('Gantt Roadmap'!AI$24="■",1,"")</f>
        <v/>
      </c>
      <c r="T64" s="90" t="str">
        <f ca="1">IF('Gantt Roadmap'!AJ$24="■",1,"")</f>
        <v/>
      </c>
      <c r="U64" s="60"/>
      <c r="V64" s="60"/>
    </row>
    <row r="65" spans="1:22" ht="15">
      <c r="A65" s="86">
        <v>12</v>
      </c>
      <c r="B65" s="86" t="str">
        <f ca="1">'Gantt Roadmap'!$C$25</f>
        <v/>
      </c>
      <c r="C65" s="90" t="str">
        <f ca="1">IF('Gantt Roadmap'!S$25="■",1,"")</f>
        <v/>
      </c>
      <c r="D65" s="90" t="str">
        <f ca="1">IF('Gantt Roadmap'!T$25="■",1,"")</f>
        <v/>
      </c>
      <c r="E65" s="90" t="str">
        <f ca="1">IF('Gantt Roadmap'!U$25="■",1,"")</f>
        <v/>
      </c>
      <c r="F65" s="90" t="str">
        <f ca="1">IF('Gantt Roadmap'!V$25="■",1,"")</f>
        <v/>
      </c>
      <c r="G65" s="90" t="str">
        <f ca="1">IF('Gantt Roadmap'!W$25="■",1,"")</f>
        <v/>
      </c>
      <c r="H65" s="90" t="str">
        <f ca="1">IF('Gantt Roadmap'!X$25="■",1,"")</f>
        <v/>
      </c>
      <c r="I65" s="90" t="str">
        <f ca="1">IF('Gantt Roadmap'!Y$25="■",1,"")</f>
        <v/>
      </c>
      <c r="J65" s="90" t="str">
        <f ca="1">IF('Gantt Roadmap'!Z$25="■",1,"")</f>
        <v/>
      </c>
      <c r="K65" s="90" t="str">
        <f ca="1">IF('Gantt Roadmap'!AA$25="■",1,"")</f>
        <v/>
      </c>
      <c r="L65" s="90" t="str">
        <f ca="1">IF('Gantt Roadmap'!AB$25="■",1,"")</f>
        <v/>
      </c>
      <c r="M65" s="90" t="str">
        <f ca="1">IF('Gantt Roadmap'!AC$25="■",1,"")</f>
        <v/>
      </c>
      <c r="N65" s="90" t="str">
        <f ca="1">IF('Gantt Roadmap'!AD$25="■",1,"")</f>
        <v/>
      </c>
      <c r="O65" s="90" t="str">
        <f ca="1">IF('Gantt Roadmap'!AE$25="■",1,"")</f>
        <v/>
      </c>
      <c r="P65" s="90" t="str">
        <f ca="1">IF('Gantt Roadmap'!AF$25="■",1,"")</f>
        <v/>
      </c>
      <c r="Q65" s="90" t="str">
        <f ca="1">IF('Gantt Roadmap'!AG$25="■",1,"")</f>
        <v/>
      </c>
      <c r="R65" s="90" t="str">
        <f ca="1">IF('Gantt Roadmap'!AH$25="■",1,"")</f>
        <v/>
      </c>
      <c r="S65" s="90" t="str">
        <f ca="1">IF('Gantt Roadmap'!AI$25="■",1,"")</f>
        <v/>
      </c>
      <c r="T65" s="90" t="str">
        <f ca="1">IF('Gantt Roadmap'!AJ$25="■",1,"")</f>
        <v/>
      </c>
      <c r="U65" s="60"/>
      <c r="V65" s="60"/>
    </row>
    <row r="66" spans="1:22" ht="15">
      <c r="A66" s="86">
        <v>13</v>
      </c>
      <c r="B66" s="86" t="str">
        <f ca="1">'Gantt Roadmap'!$C$26</f>
        <v/>
      </c>
      <c r="C66" s="90" t="str">
        <f ca="1">IF('Gantt Roadmap'!S$26="■",1,"")</f>
        <v/>
      </c>
      <c r="D66" s="90" t="str">
        <f ca="1">IF('Gantt Roadmap'!T$26="■",1,"")</f>
        <v/>
      </c>
      <c r="E66" s="90" t="str">
        <f ca="1">IF('Gantt Roadmap'!U$26="■",1,"")</f>
        <v/>
      </c>
      <c r="F66" s="90" t="str">
        <f ca="1">IF('Gantt Roadmap'!V$26="■",1,"")</f>
        <v/>
      </c>
      <c r="G66" s="90" t="str">
        <f ca="1">IF('Gantt Roadmap'!W$26="■",1,"")</f>
        <v/>
      </c>
      <c r="H66" s="90" t="str">
        <f ca="1">IF('Gantt Roadmap'!X$26="■",1,"")</f>
        <v/>
      </c>
      <c r="I66" s="90" t="str">
        <f ca="1">IF('Gantt Roadmap'!Y$26="■",1,"")</f>
        <v/>
      </c>
      <c r="J66" s="90" t="str">
        <f ca="1">IF('Gantt Roadmap'!Z$26="■",1,"")</f>
        <v/>
      </c>
      <c r="K66" s="90" t="str">
        <f ca="1">IF('Gantt Roadmap'!AA$26="■",1,"")</f>
        <v/>
      </c>
      <c r="L66" s="90" t="str">
        <f ca="1">IF('Gantt Roadmap'!AB$26="■",1,"")</f>
        <v/>
      </c>
      <c r="M66" s="90" t="str">
        <f ca="1">IF('Gantt Roadmap'!AC$26="■",1,"")</f>
        <v/>
      </c>
      <c r="N66" s="90" t="str">
        <f ca="1">IF('Gantt Roadmap'!AD$26="■",1,"")</f>
        <v/>
      </c>
      <c r="O66" s="90" t="str">
        <f ca="1">IF('Gantt Roadmap'!AE$26="■",1,"")</f>
        <v/>
      </c>
      <c r="P66" s="90" t="str">
        <f ca="1">IF('Gantt Roadmap'!AF$26="■",1,"")</f>
        <v/>
      </c>
      <c r="Q66" s="90" t="str">
        <f ca="1">IF('Gantt Roadmap'!AG$26="■",1,"")</f>
        <v/>
      </c>
      <c r="R66" s="90" t="str">
        <f ca="1">IF('Gantt Roadmap'!AH$26="■",1,"")</f>
        <v/>
      </c>
      <c r="S66" s="90" t="str">
        <f ca="1">IF('Gantt Roadmap'!AI$26="■",1,"")</f>
        <v/>
      </c>
      <c r="T66" s="90" t="str">
        <f ca="1">IF('Gantt Roadmap'!AJ$26="■",1,"")</f>
        <v/>
      </c>
      <c r="U66" s="60"/>
      <c r="V66" s="60"/>
    </row>
    <row r="67" spans="1:22" ht="15">
      <c r="A67" s="86">
        <v>14</v>
      </c>
      <c r="B67" s="86" t="str">
        <f ca="1">'Gantt Roadmap'!$C$27</f>
        <v/>
      </c>
      <c r="C67" s="90" t="str">
        <f ca="1">IF('Gantt Roadmap'!S$27="■",1,"")</f>
        <v/>
      </c>
      <c r="D67" s="90" t="str">
        <f ca="1">IF('Gantt Roadmap'!T$27="■",1,"")</f>
        <v/>
      </c>
      <c r="E67" s="90" t="str">
        <f ca="1">IF('Gantt Roadmap'!U$27="■",1,"")</f>
        <v/>
      </c>
      <c r="F67" s="90" t="str">
        <f ca="1">IF('Gantt Roadmap'!V$27="■",1,"")</f>
        <v/>
      </c>
      <c r="G67" s="90" t="str">
        <f ca="1">IF('Gantt Roadmap'!W$27="■",1,"")</f>
        <v/>
      </c>
      <c r="H67" s="90" t="str">
        <f ca="1">IF('Gantt Roadmap'!X$27="■",1,"")</f>
        <v/>
      </c>
      <c r="I67" s="90" t="str">
        <f ca="1">IF('Gantt Roadmap'!Y$27="■",1,"")</f>
        <v/>
      </c>
      <c r="J67" s="90" t="str">
        <f ca="1">IF('Gantt Roadmap'!Z$27="■",1,"")</f>
        <v/>
      </c>
      <c r="K67" s="90" t="str">
        <f ca="1">IF('Gantt Roadmap'!AA$27="■",1,"")</f>
        <v/>
      </c>
      <c r="L67" s="90" t="str">
        <f ca="1">IF('Gantt Roadmap'!AB$27="■",1,"")</f>
        <v/>
      </c>
      <c r="M67" s="90" t="str">
        <f ca="1">IF('Gantt Roadmap'!AC$27="■",1,"")</f>
        <v/>
      </c>
      <c r="N67" s="90" t="str">
        <f ca="1">IF('Gantt Roadmap'!AD$27="■",1,"")</f>
        <v/>
      </c>
      <c r="O67" s="90" t="str">
        <f ca="1">IF('Gantt Roadmap'!AE$27="■",1,"")</f>
        <v/>
      </c>
      <c r="P67" s="90" t="str">
        <f ca="1">IF('Gantt Roadmap'!AF$27="■",1,"")</f>
        <v/>
      </c>
      <c r="Q67" s="90" t="str">
        <f ca="1">IF('Gantt Roadmap'!AG$27="■",1,"")</f>
        <v/>
      </c>
      <c r="R67" s="90" t="str">
        <f ca="1">IF('Gantt Roadmap'!AH$27="■",1,"")</f>
        <v/>
      </c>
      <c r="S67" s="90" t="str">
        <f ca="1">IF('Gantt Roadmap'!AI$27="■",1,"")</f>
        <v/>
      </c>
      <c r="T67" s="90" t="str">
        <f ca="1">IF('Gantt Roadmap'!AJ$27="■",1,"")</f>
        <v/>
      </c>
      <c r="U67" s="60"/>
      <c r="V67" s="60"/>
    </row>
    <row r="68" spans="1:22" ht="15">
      <c r="A68" s="86">
        <v>15</v>
      </c>
      <c r="B68" s="86" t="str">
        <f ca="1">'Gantt Roadmap'!$C$28</f>
        <v/>
      </c>
      <c r="C68" s="90" t="str">
        <f ca="1">IF('Gantt Roadmap'!S$28="■",1,"")</f>
        <v/>
      </c>
      <c r="D68" s="90" t="str">
        <f ca="1">IF('Gantt Roadmap'!T$28="■",1,"")</f>
        <v/>
      </c>
      <c r="E68" s="90" t="str">
        <f ca="1">IF('Gantt Roadmap'!U$28="■",1,"")</f>
        <v/>
      </c>
      <c r="F68" s="90" t="str">
        <f ca="1">IF('Gantt Roadmap'!V$28="■",1,"")</f>
        <v/>
      </c>
      <c r="G68" s="90" t="str">
        <f ca="1">IF('Gantt Roadmap'!W$28="■",1,"")</f>
        <v/>
      </c>
      <c r="H68" s="90" t="str">
        <f ca="1">IF('Gantt Roadmap'!X$28="■",1,"")</f>
        <v/>
      </c>
      <c r="I68" s="90" t="str">
        <f ca="1">IF('Gantt Roadmap'!Y$28="■",1,"")</f>
        <v/>
      </c>
      <c r="J68" s="90" t="str">
        <f ca="1">IF('Gantt Roadmap'!Z$28="■",1,"")</f>
        <v/>
      </c>
      <c r="K68" s="90" t="str">
        <f ca="1">IF('Gantt Roadmap'!AA$28="■",1,"")</f>
        <v/>
      </c>
      <c r="L68" s="90" t="str">
        <f ca="1">IF('Gantt Roadmap'!AB$28="■",1,"")</f>
        <v/>
      </c>
      <c r="M68" s="90" t="str">
        <f ca="1">IF('Gantt Roadmap'!AC$28="■",1,"")</f>
        <v/>
      </c>
      <c r="N68" s="90" t="str">
        <f ca="1">IF('Gantt Roadmap'!AD$28="■",1,"")</f>
        <v/>
      </c>
      <c r="O68" s="90" t="str">
        <f ca="1">IF('Gantt Roadmap'!AE$28="■",1,"")</f>
        <v/>
      </c>
      <c r="P68" s="90" t="str">
        <f ca="1">IF('Gantt Roadmap'!AF$28="■",1,"")</f>
        <v/>
      </c>
      <c r="Q68" s="90" t="str">
        <f ca="1">IF('Gantt Roadmap'!AG$28="■",1,"")</f>
        <v/>
      </c>
      <c r="R68" s="90" t="str">
        <f ca="1">IF('Gantt Roadmap'!AH$28="■",1,"")</f>
        <v/>
      </c>
      <c r="S68" s="90" t="str">
        <f ca="1">IF('Gantt Roadmap'!AI$28="■",1,"")</f>
        <v/>
      </c>
      <c r="T68" s="90" t="str">
        <f ca="1">IF('Gantt Roadmap'!AJ$28="■",1,"")</f>
        <v/>
      </c>
      <c r="U68" s="60"/>
      <c r="V68" s="60"/>
    </row>
    <row r="69" spans="1:22" ht="15">
      <c r="A69" s="86">
        <v>16</v>
      </c>
      <c r="B69" s="86" t="str">
        <f ca="1">'Gantt Roadmap'!$C$29</f>
        <v/>
      </c>
      <c r="C69" s="90" t="str">
        <f ca="1">IF('Gantt Roadmap'!S$29="■",1,"")</f>
        <v/>
      </c>
      <c r="D69" s="90" t="str">
        <f ca="1">IF('Gantt Roadmap'!T$29="■",1,"")</f>
        <v/>
      </c>
      <c r="E69" s="90" t="str">
        <f ca="1">IF('Gantt Roadmap'!U$29="■",1,"")</f>
        <v/>
      </c>
      <c r="F69" s="90" t="str">
        <f ca="1">IF('Gantt Roadmap'!V$29="■",1,"")</f>
        <v/>
      </c>
      <c r="G69" s="90" t="str">
        <f ca="1">IF('Gantt Roadmap'!W$29="■",1,"")</f>
        <v/>
      </c>
      <c r="H69" s="90" t="str">
        <f ca="1">IF('Gantt Roadmap'!X$29="■",1,"")</f>
        <v/>
      </c>
      <c r="I69" s="90" t="str">
        <f ca="1">IF('Gantt Roadmap'!Y$29="■",1,"")</f>
        <v/>
      </c>
      <c r="J69" s="90" t="str">
        <f ca="1">IF('Gantt Roadmap'!Z$29="■",1,"")</f>
        <v/>
      </c>
      <c r="K69" s="90" t="str">
        <f ca="1">IF('Gantt Roadmap'!AA$29="■",1,"")</f>
        <v/>
      </c>
      <c r="L69" s="90" t="str">
        <f ca="1">IF('Gantt Roadmap'!AB$29="■",1,"")</f>
        <v/>
      </c>
      <c r="M69" s="90" t="str">
        <f ca="1">IF('Gantt Roadmap'!AC$29="■",1,"")</f>
        <v/>
      </c>
      <c r="N69" s="90" t="str">
        <f ca="1">IF('Gantt Roadmap'!AD$29="■",1,"")</f>
        <v/>
      </c>
      <c r="O69" s="90" t="str">
        <f ca="1">IF('Gantt Roadmap'!AE$29="■",1,"")</f>
        <v/>
      </c>
      <c r="P69" s="90" t="str">
        <f ca="1">IF('Gantt Roadmap'!AF$29="■",1,"")</f>
        <v/>
      </c>
      <c r="Q69" s="90" t="str">
        <f ca="1">IF('Gantt Roadmap'!AG$29="■",1,"")</f>
        <v/>
      </c>
      <c r="R69" s="90" t="str">
        <f ca="1">IF('Gantt Roadmap'!AH$29="■",1,"")</f>
        <v/>
      </c>
      <c r="S69" s="90" t="str">
        <f ca="1">IF('Gantt Roadmap'!AI$29="■",1,"")</f>
        <v/>
      </c>
      <c r="T69" s="90" t="str">
        <f ca="1">IF('Gantt Roadmap'!AJ$29="■",1,"")</f>
        <v/>
      </c>
      <c r="U69" s="60"/>
      <c r="V69" s="60"/>
    </row>
    <row r="70" spans="1:22" ht="15">
      <c r="A70" s="86">
        <v>17</v>
      </c>
      <c r="B70" s="86" t="str">
        <f ca="1">'Gantt Roadmap'!$C$30</f>
        <v/>
      </c>
      <c r="C70" s="90" t="str">
        <f ca="1">IF('Gantt Roadmap'!S$30="■",1,"")</f>
        <v/>
      </c>
      <c r="D70" s="90" t="str">
        <f ca="1">IF('Gantt Roadmap'!T$30="■",1,"")</f>
        <v/>
      </c>
      <c r="E70" s="90" t="str">
        <f ca="1">IF('Gantt Roadmap'!U$30="■",1,"")</f>
        <v/>
      </c>
      <c r="F70" s="90" t="str">
        <f ca="1">IF('Gantt Roadmap'!V$30="■",1,"")</f>
        <v/>
      </c>
      <c r="G70" s="90" t="str">
        <f ca="1">IF('Gantt Roadmap'!W$30="■",1,"")</f>
        <v/>
      </c>
      <c r="H70" s="90" t="str">
        <f ca="1">IF('Gantt Roadmap'!X$30="■",1,"")</f>
        <v/>
      </c>
      <c r="I70" s="90" t="str">
        <f ca="1">IF('Gantt Roadmap'!Y$30="■",1,"")</f>
        <v/>
      </c>
      <c r="J70" s="90" t="str">
        <f ca="1">IF('Gantt Roadmap'!Z$30="■",1,"")</f>
        <v/>
      </c>
      <c r="K70" s="90" t="str">
        <f ca="1">IF('Gantt Roadmap'!AA$30="■",1,"")</f>
        <v/>
      </c>
      <c r="L70" s="90" t="str">
        <f ca="1">IF('Gantt Roadmap'!AB$30="■",1,"")</f>
        <v/>
      </c>
      <c r="M70" s="90" t="str">
        <f ca="1">IF('Gantt Roadmap'!AC$30="■",1,"")</f>
        <v/>
      </c>
      <c r="N70" s="90" t="str">
        <f ca="1">IF('Gantt Roadmap'!AD$30="■",1,"")</f>
        <v/>
      </c>
      <c r="O70" s="90" t="str">
        <f ca="1">IF('Gantt Roadmap'!AE$30="■",1,"")</f>
        <v/>
      </c>
      <c r="P70" s="90" t="str">
        <f ca="1">IF('Gantt Roadmap'!AF$30="■",1,"")</f>
        <v/>
      </c>
      <c r="Q70" s="90" t="str">
        <f ca="1">IF('Gantt Roadmap'!AG$30="■",1,"")</f>
        <v/>
      </c>
      <c r="R70" s="90" t="str">
        <f ca="1">IF('Gantt Roadmap'!AH$30="■",1,"")</f>
        <v/>
      </c>
      <c r="S70" s="90" t="str">
        <f ca="1">IF('Gantt Roadmap'!AI$30="■",1,"")</f>
        <v/>
      </c>
      <c r="T70" s="90" t="str">
        <f ca="1">IF('Gantt Roadmap'!AJ$30="■",1,"")</f>
        <v/>
      </c>
      <c r="U70" s="60"/>
      <c r="V70" s="60"/>
    </row>
    <row r="71" spans="1:22" ht="15">
      <c r="A71" s="86">
        <v>18</v>
      </c>
      <c r="B71" s="86" t="str">
        <f ca="1">'Gantt Roadmap'!$C$31</f>
        <v/>
      </c>
      <c r="C71" s="90" t="str">
        <f ca="1">IF('Gantt Roadmap'!S$31="■",1,"")</f>
        <v/>
      </c>
      <c r="D71" s="90" t="str">
        <f ca="1">IF('Gantt Roadmap'!T$31="■",1,"")</f>
        <v/>
      </c>
      <c r="E71" s="90" t="str">
        <f ca="1">IF('Gantt Roadmap'!U$31="■",1,"")</f>
        <v/>
      </c>
      <c r="F71" s="90" t="str">
        <f ca="1">IF('Gantt Roadmap'!V$31="■",1,"")</f>
        <v/>
      </c>
      <c r="G71" s="90" t="str">
        <f ca="1">IF('Gantt Roadmap'!W$31="■",1,"")</f>
        <v/>
      </c>
      <c r="H71" s="90" t="str">
        <f ca="1">IF('Gantt Roadmap'!X$31="■",1,"")</f>
        <v/>
      </c>
      <c r="I71" s="90" t="str">
        <f ca="1">IF('Gantt Roadmap'!Y$31="■",1,"")</f>
        <v/>
      </c>
      <c r="J71" s="90" t="str">
        <f ca="1">IF('Gantt Roadmap'!Z$31="■",1,"")</f>
        <v/>
      </c>
      <c r="K71" s="90" t="str">
        <f ca="1">IF('Gantt Roadmap'!AA$31="■",1,"")</f>
        <v/>
      </c>
      <c r="L71" s="90" t="str">
        <f ca="1">IF('Gantt Roadmap'!AB$31="■",1,"")</f>
        <v/>
      </c>
      <c r="M71" s="90" t="str">
        <f ca="1">IF('Gantt Roadmap'!AC$31="■",1,"")</f>
        <v/>
      </c>
      <c r="N71" s="90" t="str">
        <f ca="1">IF('Gantt Roadmap'!AD$31="■",1,"")</f>
        <v/>
      </c>
      <c r="O71" s="90" t="str">
        <f ca="1">IF('Gantt Roadmap'!AE$31="■",1,"")</f>
        <v/>
      </c>
      <c r="P71" s="90" t="str">
        <f ca="1">IF('Gantt Roadmap'!AF$31="■",1,"")</f>
        <v/>
      </c>
      <c r="Q71" s="90" t="str">
        <f ca="1">IF('Gantt Roadmap'!AG$31="■",1,"")</f>
        <v/>
      </c>
      <c r="R71" s="90" t="str">
        <f ca="1">IF('Gantt Roadmap'!AH$31="■",1,"")</f>
        <v/>
      </c>
      <c r="S71" s="90" t="str">
        <f ca="1">IF('Gantt Roadmap'!AI$31="■",1,"")</f>
        <v/>
      </c>
      <c r="T71" s="90" t="str">
        <f ca="1">IF('Gantt Roadmap'!AJ$31="■",1,"")</f>
        <v/>
      </c>
      <c r="U71" s="60"/>
      <c r="V71" s="60"/>
    </row>
    <row r="72" spans="1:22" ht="15">
      <c r="A72" s="86">
        <v>19</v>
      </c>
      <c r="B72" s="86" t="str">
        <f ca="1">'Gantt Roadmap'!$C$32</f>
        <v/>
      </c>
      <c r="C72" s="90" t="str">
        <f ca="1">IF('Gantt Roadmap'!S$32="■",1,"")</f>
        <v/>
      </c>
      <c r="D72" s="90" t="str">
        <f ca="1">IF('Gantt Roadmap'!T$32="■",1,"")</f>
        <v/>
      </c>
      <c r="E72" s="90" t="str">
        <f ca="1">IF('Gantt Roadmap'!U$32="■",1,"")</f>
        <v/>
      </c>
      <c r="F72" s="90" t="str">
        <f ca="1">IF('Gantt Roadmap'!V$32="■",1,"")</f>
        <v/>
      </c>
      <c r="G72" s="90" t="str">
        <f ca="1">IF('Gantt Roadmap'!W$32="■",1,"")</f>
        <v/>
      </c>
      <c r="H72" s="90" t="str">
        <f ca="1">IF('Gantt Roadmap'!X$32="■",1,"")</f>
        <v/>
      </c>
      <c r="I72" s="90" t="str">
        <f ca="1">IF('Gantt Roadmap'!Y$32="■",1,"")</f>
        <v/>
      </c>
      <c r="J72" s="90" t="str">
        <f ca="1">IF('Gantt Roadmap'!Z$32="■",1,"")</f>
        <v/>
      </c>
      <c r="K72" s="90" t="str">
        <f ca="1">IF('Gantt Roadmap'!AA$32="■",1,"")</f>
        <v/>
      </c>
      <c r="L72" s="90" t="str">
        <f ca="1">IF('Gantt Roadmap'!AB$32="■",1,"")</f>
        <v/>
      </c>
      <c r="M72" s="90" t="str">
        <f ca="1">IF('Gantt Roadmap'!AC$32="■",1,"")</f>
        <v/>
      </c>
      <c r="N72" s="90" t="str">
        <f ca="1">IF('Gantt Roadmap'!AD$32="■",1,"")</f>
        <v/>
      </c>
      <c r="O72" s="90" t="str">
        <f ca="1">IF('Gantt Roadmap'!AE$32="■",1,"")</f>
        <v/>
      </c>
      <c r="P72" s="90" t="str">
        <f ca="1">IF('Gantt Roadmap'!AF$32="■",1,"")</f>
        <v/>
      </c>
      <c r="Q72" s="90" t="str">
        <f ca="1">IF('Gantt Roadmap'!AG$32="■",1,"")</f>
        <v/>
      </c>
      <c r="R72" s="90" t="str">
        <f ca="1">IF('Gantt Roadmap'!AH$32="■",1,"")</f>
        <v/>
      </c>
      <c r="S72" s="90" t="str">
        <f ca="1">IF('Gantt Roadmap'!AI$32="■",1,"")</f>
        <v/>
      </c>
      <c r="T72" s="90" t="str">
        <f ca="1">IF('Gantt Roadmap'!AJ$32="■",1,"")</f>
        <v/>
      </c>
      <c r="U72" s="60"/>
      <c r="V72" s="60"/>
    </row>
    <row r="73" spans="1:22" ht="15">
      <c r="A73" s="86">
        <v>20</v>
      </c>
      <c r="B73" s="86" t="str">
        <f ca="1">'Gantt Roadmap'!$C$33</f>
        <v/>
      </c>
      <c r="C73" s="90" t="str">
        <f ca="1">IF('Gantt Roadmap'!S$33="■",1,"")</f>
        <v/>
      </c>
      <c r="D73" s="90" t="str">
        <f ca="1">IF('Gantt Roadmap'!T$33="■",1,"")</f>
        <v/>
      </c>
      <c r="E73" s="90" t="str">
        <f ca="1">IF('Gantt Roadmap'!U$33="■",1,"")</f>
        <v/>
      </c>
      <c r="F73" s="90" t="str">
        <f ca="1">IF('Gantt Roadmap'!V$33="■",1,"")</f>
        <v/>
      </c>
      <c r="G73" s="90" t="str">
        <f ca="1">IF('Gantt Roadmap'!W$33="■",1,"")</f>
        <v/>
      </c>
      <c r="H73" s="90" t="str">
        <f ca="1">IF('Gantt Roadmap'!X$33="■",1,"")</f>
        <v/>
      </c>
      <c r="I73" s="90" t="str">
        <f ca="1">IF('Gantt Roadmap'!Y$33="■",1,"")</f>
        <v/>
      </c>
      <c r="J73" s="90" t="str">
        <f ca="1">IF('Gantt Roadmap'!Z$33="■",1,"")</f>
        <v/>
      </c>
      <c r="K73" s="90" t="str">
        <f ca="1">IF('Gantt Roadmap'!AA$33="■",1,"")</f>
        <v/>
      </c>
      <c r="L73" s="90" t="str">
        <f ca="1">IF('Gantt Roadmap'!AB$33="■",1,"")</f>
        <v/>
      </c>
      <c r="M73" s="90" t="str">
        <f ca="1">IF('Gantt Roadmap'!AC$33="■",1,"")</f>
        <v/>
      </c>
      <c r="N73" s="90" t="str">
        <f ca="1">IF('Gantt Roadmap'!AD$33="■",1,"")</f>
        <v/>
      </c>
      <c r="O73" s="90" t="str">
        <f ca="1">IF('Gantt Roadmap'!AE$33="■",1,"")</f>
        <v/>
      </c>
      <c r="P73" s="90" t="str">
        <f ca="1">IF('Gantt Roadmap'!AF$33="■",1,"")</f>
        <v/>
      </c>
      <c r="Q73" s="90" t="str">
        <f ca="1">IF('Gantt Roadmap'!AG$33="■",1,"")</f>
        <v/>
      </c>
      <c r="R73" s="90" t="str">
        <f ca="1">IF('Gantt Roadmap'!AH$33="■",1,"")</f>
        <v/>
      </c>
      <c r="S73" s="90" t="str">
        <f ca="1">IF('Gantt Roadmap'!AI$33="■",1,"")</f>
        <v/>
      </c>
      <c r="T73" s="90" t="str">
        <f ca="1">IF('Gantt Roadmap'!AJ$33="■",1,"")</f>
        <v/>
      </c>
      <c r="U73" s="60"/>
      <c r="V73" s="60"/>
    </row>
    <row r="74" spans="1:22">
      <c r="A74" s="60"/>
      <c r="B74" s="60"/>
      <c r="C74" s="60"/>
      <c r="D74" s="60"/>
      <c r="E74" s="60"/>
      <c r="F74" s="60"/>
      <c r="G74" s="60"/>
      <c r="H74" s="60"/>
      <c r="I74" s="60"/>
      <c r="J74" s="60"/>
      <c r="K74" s="60"/>
      <c r="L74" s="60"/>
      <c r="M74" s="60"/>
      <c r="N74" s="60"/>
      <c r="O74" s="60"/>
      <c r="P74" s="60"/>
      <c r="Q74" s="60"/>
      <c r="R74" s="60"/>
      <c r="S74" s="60"/>
      <c r="T74" s="60"/>
      <c r="U74" s="60"/>
      <c r="V74" s="60"/>
    </row>
    <row r="75" spans="1:22">
      <c r="A75" s="60"/>
      <c r="B75" s="60"/>
      <c r="C75" s="60"/>
      <c r="D75" s="60"/>
      <c r="E75" s="60"/>
      <c r="F75" s="60"/>
      <c r="G75" s="60"/>
      <c r="H75" s="60"/>
      <c r="I75" s="60"/>
      <c r="J75" s="60"/>
      <c r="K75" s="60"/>
      <c r="L75" s="60"/>
      <c r="M75" s="60"/>
      <c r="N75" s="60"/>
      <c r="O75" s="60"/>
      <c r="P75" s="60"/>
      <c r="Q75" s="60"/>
      <c r="R75" s="60"/>
      <c r="S75" s="60"/>
      <c r="T75" s="60"/>
      <c r="U75" s="60"/>
      <c r="V75" s="60"/>
    </row>
    <row r="76" spans="1:22">
      <c r="A76" s="60"/>
      <c r="B76" s="60"/>
      <c r="C76" s="60"/>
      <c r="D76" s="60"/>
      <c r="E76" s="60"/>
      <c r="F76" s="60"/>
      <c r="G76" s="60"/>
      <c r="H76" s="60"/>
      <c r="I76" s="60"/>
      <c r="J76" s="60"/>
      <c r="K76" s="60"/>
      <c r="L76" s="60"/>
      <c r="M76" s="60"/>
      <c r="N76" s="60"/>
      <c r="O76" s="60"/>
      <c r="P76" s="60"/>
      <c r="Q76" s="60"/>
      <c r="R76" s="60"/>
      <c r="S76" s="60"/>
      <c r="T76" s="60"/>
      <c r="U76" s="60"/>
      <c r="V76" s="60"/>
    </row>
    <row r="77" spans="1:22" ht="15">
      <c r="A77" s="165" t="s">
        <v>198</v>
      </c>
      <c r="B77" s="166"/>
      <c r="C77" s="166"/>
      <c r="D77" s="166"/>
      <c r="E77" s="166"/>
      <c r="F77" s="166"/>
      <c r="G77" s="166"/>
      <c r="H77" s="166"/>
      <c r="I77" s="166"/>
      <c r="J77" s="166"/>
      <c r="K77" s="166"/>
      <c r="L77" s="166"/>
      <c r="M77" s="166"/>
      <c r="N77" s="166"/>
      <c r="O77" s="166"/>
      <c r="P77" s="166"/>
      <c r="Q77" s="166"/>
      <c r="R77" s="166"/>
      <c r="S77" s="163"/>
      <c r="T77" s="60"/>
      <c r="U77" s="60"/>
      <c r="V77" s="60"/>
    </row>
    <row r="78" spans="1:22" ht="44.1" customHeight="1">
      <c r="A78" s="50" t="s">
        <v>135</v>
      </c>
      <c r="B78" s="89">
        <f>'Gantt Roadmap'!S$13</f>
        <v>46179</v>
      </c>
      <c r="C78" s="89">
        <f>'Gantt Roadmap'!T$13</f>
        <v>46209</v>
      </c>
      <c r="D78" s="89">
        <f>'Gantt Roadmap'!U$13</f>
        <v>46240</v>
      </c>
      <c r="E78" s="89">
        <f>'Gantt Roadmap'!V$13</f>
        <v>46271</v>
      </c>
      <c r="F78" s="89">
        <f>'Gantt Roadmap'!W$13</f>
        <v>46301</v>
      </c>
      <c r="G78" s="89">
        <f>'Gantt Roadmap'!X$13</f>
        <v>46332</v>
      </c>
      <c r="H78" s="89">
        <f>'Gantt Roadmap'!Y$13</f>
        <v>46362</v>
      </c>
      <c r="I78" s="89">
        <f>'Gantt Roadmap'!Z$13</f>
        <v>46393</v>
      </c>
      <c r="J78" s="89">
        <f>'Gantt Roadmap'!AA$13</f>
        <v>46424</v>
      </c>
      <c r="K78" s="89">
        <f>'Gantt Roadmap'!AB$13</f>
        <v>46452</v>
      </c>
      <c r="L78" s="89">
        <f>'Gantt Roadmap'!AC$13</f>
        <v>46483</v>
      </c>
      <c r="M78" s="89">
        <f>'Gantt Roadmap'!AD$13</f>
        <v>46513</v>
      </c>
      <c r="N78" s="89">
        <f>'Gantt Roadmap'!AE$13</f>
        <v>46544</v>
      </c>
      <c r="O78" s="89">
        <f>'Gantt Roadmap'!AF$13</f>
        <v>46574</v>
      </c>
      <c r="P78" s="89">
        <f>'Gantt Roadmap'!AG$13</f>
        <v>46605</v>
      </c>
      <c r="Q78" s="89">
        <f>'Gantt Roadmap'!AH$13</f>
        <v>46636</v>
      </c>
      <c r="R78" s="89">
        <f>'Gantt Roadmap'!AI$13</f>
        <v>46666</v>
      </c>
      <c r="S78" s="89">
        <f>'Gantt Roadmap'!AJ$13</f>
        <v>46697</v>
      </c>
      <c r="T78" s="85"/>
      <c r="U78" s="85"/>
      <c r="V78" s="85"/>
    </row>
    <row r="79" spans="1:22" ht="15">
      <c r="A79" s="86" t="s">
        <v>199</v>
      </c>
      <c r="B79" s="90">
        <f ca="1">'Gantt Roadmap'!S$9</f>
        <v>0</v>
      </c>
      <c r="C79" s="90">
        <f ca="1">'Gantt Roadmap'!T$9</f>
        <v>0</v>
      </c>
      <c r="D79" s="90">
        <f ca="1">'Gantt Roadmap'!U$9</f>
        <v>0</v>
      </c>
      <c r="E79" s="90">
        <f ca="1">'Gantt Roadmap'!V$9</f>
        <v>0</v>
      </c>
      <c r="F79" s="90">
        <f ca="1">'Gantt Roadmap'!W$9</f>
        <v>0</v>
      </c>
      <c r="G79" s="90">
        <f ca="1">'Gantt Roadmap'!X$9</f>
        <v>0</v>
      </c>
      <c r="H79" s="90">
        <f ca="1">'Gantt Roadmap'!Y$9</f>
        <v>0</v>
      </c>
      <c r="I79" s="90">
        <f ca="1">'Gantt Roadmap'!Z$9</f>
        <v>0</v>
      </c>
      <c r="J79" s="90">
        <f ca="1">'Gantt Roadmap'!AA$9</f>
        <v>0</v>
      </c>
      <c r="K79" s="90">
        <f ca="1">'Gantt Roadmap'!AB$9</f>
        <v>0</v>
      </c>
      <c r="L79" s="90">
        <f ca="1">'Gantt Roadmap'!AC$9</f>
        <v>0</v>
      </c>
      <c r="M79" s="90">
        <f ca="1">'Gantt Roadmap'!AD$9</f>
        <v>0</v>
      </c>
      <c r="N79" s="90">
        <f ca="1">'Gantt Roadmap'!AE$9</f>
        <v>0</v>
      </c>
      <c r="O79" s="90">
        <f ca="1">'Gantt Roadmap'!AF$9</f>
        <v>0</v>
      </c>
      <c r="P79" s="90">
        <f ca="1">'Gantt Roadmap'!AG$9</f>
        <v>0</v>
      </c>
      <c r="Q79" s="90">
        <f ca="1">'Gantt Roadmap'!AH$9</f>
        <v>0</v>
      </c>
      <c r="R79" s="90">
        <f ca="1">'Gantt Roadmap'!AI$9</f>
        <v>0</v>
      </c>
      <c r="S79" s="90">
        <f ca="1">'Gantt Roadmap'!AJ$9</f>
        <v>0</v>
      </c>
      <c r="T79" s="60"/>
      <c r="U79" s="60"/>
      <c r="V79" s="60"/>
    </row>
    <row r="80" spans="1:22" ht="15">
      <c r="A80" s="86" t="s">
        <v>200</v>
      </c>
      <c r="B80" s="90">
        <f ca="1">'Gantt Roadmap'!S$11</f>
        <v>0</v>
      </c>
      <c r="C80" s="90">
        <f ca="1">'Gantt Roadmap'!T$11</f>
        <v>0</v>
      </c>
      <c r="D80" s="90">
        <f ca="1">'Gantt Roadmap'!U$11</f>
        <v>0</v>
      </c>
      <c r="E80" s="90">
        <f ca="1">'Gantt Roadmap'!V$11</f>
        <v>0</v>
      </c>
      <c r="F80" s="90">
        <f ca="1">'Gantt Roadmap'!W$11</f>
        <v>0</v>
      </c>
      <c r="G80" s="90">
        <f ca="1">'Gantt Roadmap'!X$11</f>
        <v>0</v>
      </c>
      <c r="H80" s="90">
        <f ca="1">'Gantt Roadmap'!Y$11</f>
        <v>0</v>
      </c>
      <c r="I80" s="90">
        <f ca="1">'Gantt Roadmap'!Z$11</f>
        <v>0</v>
      </c>
      <c r="J80" s="90">
        <f ca="1">'Gantt Roadmap'!AA$11</f>
        <v>0</v>
      </c>
      <c r="K80" s="90">
        <f ca="1">'Gantt Roadmap'!AB$11</f>
        <v>0</v>
      </c>
      <c r="L80" s="90">
        <f ca="1">'Gantt Roadmap'!AC$11</f>
        <v>0</v>
      </c>
      <c r="M80" s="90">
        <f ca="1">'Gantt Roadmap'!AD$11</f>
        <v>0</v>
      </c>
      <c r="N80" s="90">
        <f ca="1">'Gantt Roadmap'!AE$11</f>
        <v>0</v>
      </c>
      <c r="O80" s="90">
        <f ca="1">'Gantt Roadmap'!AF$11</f>
        <v>0</v>
      </c>
      <c r="P80" s="90">
        <f ca="1">'Gantt Roadmap'!AG$11</f>
        <v>0</v>
      </c>
      <c r="Q80" s="90">
        <f ca="1">'Gantt Roadmap'!AH$11</f>
        <v>0</v>
      </c>
      <c r="R80" s="90">
        <f ca="1">'Gantt Roadmap'!AI$11</f>
        <v>0</v>
      </c>
      <c r="S80" s="90">
        <f ca="1">'Gantt Roadmap'!AJ$11</f>
        <v>0</v>
      </c>
      <c r="T80" s="60"/>
      <c r="U80" s="60"/>
      <c r="V80" s="60"/>
    </row>
    <row r="81" spans="1:22" ht="15">
      <c r="A81" s="86" t="s">
        <v>201</v>
      </c>
      <c r="B81" s="91" t="str">
        <f ca="1">'Gantt Roadmap'!S$10</f>
        <v>OK</v>
      </c>
      <c r="C81" s="91" t="str">
        <f ca="1">'Gantt Roadmap'!T$10</f>
        <v>OK</v>
      </c>
      <c r="D81" s="91" t="str">
        <f ca="1">'Gantt Roadmap'!U$10</f>
        <v>OK</v>
      </c>
      <c r="E81" s="91" t="str">
        <f ca="1">'Gantt Roadmap'!V$10</f>
        <v>OK</v>
      </c>
      <c r="F81" s="91" t="str">
        <f ca="1">'Gantt Roadmap'!W$10</f>
        <v>OK</v>
      </c>
      <c r="G81" s="91" t="str">
        <f ca="1">'Gantt Roadmap'!X$10</f>
        <v>OK</v>
      </c>
      <c r="H81" s="91" t="str">
        <f ca="1">'Gantt Roadmap'!Y$10</f>
        <v>OK</v>
      </c>
      <c r="I81" s="91" t="str">
        <f ca="1">'Gantt Roadmap'!Z$10</f>
        <v>OK</v>
      </c>
      <c r="J81" s="91" t="str">
        <f ca="1">'Gantt Roadmap'!AA$10</f>
        <v>OK</v>
      </c>
      <c r="K81" s="91" t="str">
        <f ca="1">'Gantt Roadmap'!AB$10</f>
        <v>OK</v>
      </c>
      <c r="L81" s="91" t="str">
        <f ca="1">'Gantt Roadmap'!AC$10</f>
        <v>OK</v>
      </c>
      <c r="M81" s="91" t="str">
        <f ca="1">'Gantt Roadmap'!AD$10</f>
        <v>OK</v>
      </c>
      <c r="N81" s="91" t="str">
        <f ca="1">'Gantt Roadmap'!AE$10</f>
        <v>OK</v>
      </c>
      <c r="O81" s="91" t="str">
        <f ca="1">'Gantt Roadmap'!AF$10</f>
        <v>OK</v>
      </c>
      <c r="P81" s="91" t="str">
        <f ca="1">'Gantt Roadmap'!AG$10</f>
        <v>OK</v>
      </c>
      <c r="Q81" s="91" t="str">
        <f ca="1">'Gantt Roadmap'!AH$10</f>
        <v>OK</v>
      </c>
      <c r="R81" s="91" t="str">
        <f ca="1">'Gantt Roadmap'!AI$10</f>
        <v>OK</v>
      </c>
      <c r="S81" s="91" t="str">
        <f ca="1">'Gantt Roadmap'!AJ$10</f>
        <v>OK</v>
      </c>
      <c r="T81" s="60"/>
      <c r="U81" s="60"/>
      <c r="V81" s="60"/>
    </row>
  </sheetData>
  <mergeCells count="6">
    <mergeCell ref="A1:H1"/>
    <mergeCell ref="A52:V52"/>
    <mergeCell ref="A2:H2"/>
    <mergeCell ref="A8:L8"/>
    <mergeCell ref="A30:M30"/>
    <mergeCell ref="A77:S77"/>
  </mergeCells>
  <conditionalFormatting sqref="B10:L26">
    <cfRule type="colorScale" priority="1">
      <colorScale>
        <cfvo type="num" val="0.7"/>
        <cfvo type="num" val="1.2"/>
        <cfvo type="num" val="1.8"/>
        <color rgb="FFD9EAD3"/>
        <color rgb="FFFFF2CC"/>
        <color rgb="FFF4CCCC"/>
      </colorScale>
    </cfRule>
  </conditionalFormatting>
  <conditionalFormatting sqref="B32:M48">
    <cfRule type="colorScale" priority="2">
      <colorScale>
        <cfvo type="num" val="1"/>
        <cfvo type="num" val="10"/>
        <cfvo type="num" val="25"/>
        <color rgb="FFD9EAD3"/>
        <color rgb="FFFFF2CC"/>
        <color rgb="FFF4CCCC"/>
      </colorScale>
    </cfRule>
  </conditionalFormatting>
  <conditionalFormatting sqref="B79:S79">
    <cfRule type="colorScale" priority="4">
      <colorScale>
        <cfvo type="min"/>
        <cfvo type="percentile" val="50"/>
        <cfvo type="max"/>
        <color rgb="FFD9EAD3"/>
        <color rgb="FFFFF2CC"/>
        <color rgb="FFF4CCCC"/>
      </colorScale>
    </cfRule>
  </conditionalFormatting>
  <conditionalFormatting sqref="B81:S81">
    <cfRule type="expression" dxfId="107" priority="5">
      <formula>B81="Overloaded"</formula>
    </cfRule>
  </conditionalFormatting>
  <conditionalFormatting sqref="C54:T73">
    <cfRule type="expression" dxfId="106" priority="3">
      <formula>C54=1</formula>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300-000000000000}">
  <sheetPr>
    <tabColor rgb="FF548235"/>
  </sheetPr>
  <dimension ref="A1:N36"/>
  <sheetViews>
    <sheetView workbookViewId="0">
      <pane ySplit="16" topLeftCell="A17" activePane="bottomLeft" state="frozen"/>
      <selection pane="bottomLeft"/>
    </sheetView>
  </sheetViews>
  <sheetFormatPr defaultRowHeight="14.25"/>
  <cols>
    <col min="1" max="1" width="18" customWidth="1"/>
    <col min="2" max="3" width="9" customWidth="1"/>
    <col min="4" max="4" width="11" customWidth="1"/>
    <col min="5" max="5" width="9" customWidth="1"/>
    <col min="6" max="7" width="8" customWidth="1"/>
    <col min="8" max="9" width="9" customWidth="1"/>
    <col min="10" max="10" width="10" customWidth="1"/>
    <col min="11" max="12" width="9" customWidth="1"/>
    <col min="13" max="13" width="10" customWidth="1"/>
    <col min="14" max="14" width="6" customWidth="1"/>
  </cols>
  <sheetData>
    <row r="1" spans="1:14" ht="18">
      <c r="A1" s="99" t="s">
        <v>202</v>
      </c>
    </row>
    <row r="2" spans="1:14">
      <c r="A2" s="100" t="s">
        <v>203</v>
      </c>
    </row>
    <row r="4" spans="1:14" ht="15">
      <c r="A4" s="111" t="s">
        <v>204</v>
      </c>
      <c r="B4" s="112" t="str">
        <f>'Crisis Simulator'!$B$4</f>
        <v>War / security crisis</v>
      </c>
    </row>
    <row r="5" spans="1:14" ht="15">
      <c r="A5" s="111" t="s">
        <v>205</v>
      </c>
      <c r="B5" s="112">
        <f>'Crisis Simulator'!$B$5</f>
        <v>3</v>
      </c>
    </row>
    <row r="6" spans="1:14" ht="15">
      <c r="A6" s="111" t="s">
        <v>206</v>
      </c>
      <c r="B6" s="113" t="str">
        <f>_TECH_Cascade_Engine!$B$23</f>
        <v/>
      </c>
    </row>
    <row r="7" spans="1:14" ht="15">
      <c r="A7" s="111" t="s">
        <v>207</v>
      </c>
      <c r="B7" s="113" t="str">
        <f>_TECH_Cascade_Engine!$B$26</f>
        <v/>
      </c>
    </row>
    <row r="8" spans="1:14" ht="15">
      <c r="A8" s="111" t="s">
        <v>208</v>
      </c>
      <c r="B8" s="113">
        <f>_TECH_Cascade_Engine!$B$25</f>
        <v>0</v>
      </c>
    </row>
    <row r="9" spans="1:14" ht="15">
      <c r="A9" s="111" t="s">
        <v>209</v>
      </c>
      <c r="B9" s="113">
        <f>_TECH_Cascade_Engine!$B$27</f>
        <v>0</v>
      </c>
    </row>
    <row r="10" spans="1:14" ht="15">
      <c r="A10" s="111" t="s">
        <v>210</v>
      </c>
      <c r="B10" s="112" t="str">
        <f>_TECH_Cascade_Engine!$B$28&amp;" / "&amp;_TECH_Cascade_Engine!$B$29</f>
        <v>0 / 0</v>
      </c>
    </row>
    <row r="11" spans="1:14" ht="15">
      <c r="A11" s="111" t="s">
        <v>211</v>
      </c>
      <c r="B11" s="113">
        <f>_TECH_Cascade_Engine!$B$30</f>
        <v>0</v>
      </c>
    </row>
    <row r="12" spans="1:14" ht="15">
      <c r="A12" s="111" t="s">
        <v>212</v>
      </c>
      <c r="B12" s="112" t="str">
        <f>_TECH_Cascade_Engine!$B$31</f>
        <v/>
      </c>
    </row>
    <row r="13" spans="1:14" ht="15">
      <c r="A13" s="111" t="s">
        <v>213</v>
      </c>
      <c r="B13" s="112" t="str">
        <f>_TECH_Cascade_Engine!$B$32</f>
        <v>IT Cloud DR</v>
      </c>
    </row>
    <row r="16" spans="1:14" ht="38.25">
      <c r="A16" s="110" t="s">
        <v>36</v>
      </c>
      <c r="B16" s="110" t="s">
        <v>214</v>
      </c>
      <c r="C16" s="110" t="s">
        <v>215</v>
      </c>
      <c r="D16" s="110" t="s">
        <v>216</v>
      </c>
      <c r="E16" s="110" t="s">
        <v>217</v>
      </c>
      <c r="F16" s="110" t="s">
        <v>218</v>
      </c>
      <c r="G16" s="110" t="s">
        <v>219</v>
      </c>
      <c r="H16" s="110" t="s">
        <v>220</v>
      </c>
      <c r="I16" s="110" t="s">
        <v>221</v>
      </c>
      <c r="J16" s="110" t="s">
        <v>222</v>
      </c>
      <c r="K16" s="110" t="s">
        <v>223</v>
      </c>
      <c r="L16" s="110" t="s">
        <v>224</v>
      </c>
      <c r="M16" s="110" t="s">
        <v>225</v>
      </c>
      <c r="N16" s="110" t="s">
        <v>196</v>
      </c>
    </row>
    <row r="17" spans="1:14" ht="15">
      <c r="A17" s="114" t="str">
        <f>_TECH_Cascade_Engine!A5</f>
        <v>Company Geography</v>
      </c>
      <c r="B17" s="115" t="str">
        <f>_TECH_Cascade_Engine!B5</f>
        <v/>
      </c>
      <c r="C17" s="115" t="str">
        <f>_TECH_Cascade_Engine!C5</f>
        <v/>
      </c>
      <c r="D17" s="115" t="str">
        <f>_TECH_Cascade_Engine!D5</f>
        <v/>
      </c>
      <c r="E17" s="116" t="str">
        <f>IF(_TECH_Cascade_Engine!F5=1,"BREACH","")</f>
        <v/>
      </c>
      <c r="F17" s="115">
        <f>_TECH_Cascade_Engine!H5</f>
        <v>1.4</v>
      </c>
      <c r="G17" s="115">
        <f>_TECH_Cascade_Engine!I5</f>
        <v>0</v>
      </c>
      <c r="H17" s="115">
        <f>_TECH_Cascade_Engine!L5</f>
        <v>0</v>
      </c>
      <c r="I17" s="115" t="str">
        <f>_TECH_Cascade_Engine!N5</f>
        <v/>
      </c>
      <c r="J17" s="117" t="str">
        <f>_TECH_Cascade_Engine!O5</f>
        <v/>
      </c>
      <c r="K17" s="115" t="str">
        <f>_TECH_Cascade_Engine!W5</f>
        <v/>
      </c>
      <c r="L17" s="115" t="str">
        <f>_TECH_Cascade_Engine!U5</f>
        <v/>
      </c>
      <c r="M17" s="117" t="str">
        <f>_TECH_Cascade_Engine!V5</f>
        <v/>
      </c>
      <c r="N17" s="117" t="str">
        <f>_TECH_Cascade_Engine!X5</f>
        <v/>
      </c>
    </row>
    <row r="18" spans="1:14" ht="15">
      <c r="A18" s="114" t="str">
        <f>_TECH_Cascade_Engine!A6</f>
        <v>Strategy GTM</v>
      </c>
      <c r="B18" s="115" t="str">
        <f>_TECH_Cascade_Engine!B6</f>
        <v/>
      </c>
      <c r="C18" s="115" t="str">
        <f>_TECH_Cascade_Engine!C6</f>
        <v/>
      </c>
      <c r="D18" s="115" t="str">
        <f>_TECH_Cascade_Engine!D6</f>
        <v/>
      </c>
      <c r="E18" s="116" t="str">
        <f>IF(_TECH_Cascade_Engine!F6=1,"BREACH","")</f>
        <v/>
      </c>
      <c r="F18" s="115">
        <f>_TECH_Cascade_Engine!H6</f>
        <v>1.1000000000000001</v>
      </c>
      <c r="G18" s="115">
        <f>_TECH_Cascade_Engine!I6</f>
        <v>0</v>
      </c>
      <c r="H18" s="115">
        <f>_TECH_Cascade_Engine!L6</f>
        <v>0</v>
      </c>
      <c r="I18" s="115" t="str">
        <f>_TECH_Cascade_Engine!N6</f>
        <v/>
      </c>
      <c r="J18" s="117" t="str">
        <f>_TECH_Cascade_Engine!O6</f>
        <v/>
      </c>
      <c r="K18" s="115" t="str">
        <f>_TECH_Cascade_Engine!W6</f>
        <v/>
      </c>
      <c r="L18" s="115" t="str">
        <f>_TECH_Cascade_Engine!U6</f>
        <v/>
      </c>
      <c r="M18" s="117" t="str">
        <f>_TECH_Cascade_Engine!V6</f>
        <v/>
      </c>
      <c r="N18" s="117" t="str">
        <f>_TECH_Cascade_Engine!X6</f>
        <v/>
      </c>
    </row>
    <row r="19" spans="1:14" ht="15">
      <c r="A19" s="114" t="str">
        <f>_TECH_Cascade_Engine!A7</f>
        <v>Governance Crisis</v>
      </c>
      <c r="B19" s="115" t="str">
        <f>_TECH_Cascade_Engine!B7</f>
        <v/>
      </c>
      <c r="C19" s="115" t="str">
        <f>_TECH_Cascade_Engine!C7</f>
        <v/>
      </c>
      <c r="D19" s="115" t="str">
        <f>_TECH_Cascade_Engine!D7</f>
        <v/>
      </c>
      <c r="E19" s="116" t="str">
        <f>IF(_TECH_Cascade_Engine!F7=1,"BREACH","")</f>
        <v/>
      </c>
      <c r="F19" s="115">
        <f>_TECH_Cascade_Engine!H7</f>
        <v>1</v>
      </c>
      <c r="G19" s="115">
        <f>_TECH_Cascade_Engine!I7</f>
        <v>0</v>
      </c>
      <c r="H19" s="115">
        <f>_TECH_Cascade_Engine!L7</f>
        <v>0</v>
      </c>
      <c r="I19" s="115" t="str">
        <f>_TECH_Cascade_Engine!N7</f>
        <v/>
      </c>
      <c r="J19" s="117" t="str">
        <f>_TECH_Cascade_Engine!O7</f>
        <v/>
      </c>
      <c r="K19" s="115" t="str">
        <f>_TECH_Cascade_Engine!W7</f>
        <v/>
      </c>
      <c r="L19" s="115" t="str">
        <f>_TECH_Cascade_Engine!U7</f>
        <v/>
      </c>
      <c r="M19" s="117" t="str">
        <f>_TECH_Cascade_Engine!V7</f>
        <v/>
      </c>
      <c r="N19" s="117" t="str">
        <f>_TECH_Cascade_Engine!X7</f>
        <v/>
      </c>
    </row>
    <row r="20" spans="1:14" ht="15">
      <c r="A20" s="114" t="str">
        <f>_TECH_Cascade_Engine!A8</f>
        <v>HR Workforce</v>
      </c>
      <c r="B20" s="115" t="str">
        <f>_TECH_Cascade_Engine!B8</f>
        <v/>
      </c>
      <c r="C20" s="115" t="str">
        <f>_TECH_Cascade_Engine!C8</f>
        <v/>
      </c>
      <c r="D20" s="115" t="str">
        <f>_TECH_Cascade_Engine!D8</f>
        <v/>
      </c>
      <c r="E20" s="116" t="str">
        <f>IF(_TECH_Cascade_Engine!F8=1,"BREACH","")</f>
        <v/>
      </c>
      <c r="F20" s="115">
        <f>_TECH_Cascade_Engine!H8</f>
        <v>1.4</v>
      </c>
      <c r="G20" s="115">
        <f>_TECH_Cascade_Engine!I8</f>
        <v>0</v>
      </c>
      <c r="H20" s="115">
        <f>_TECH_Cascade_Engine!L8</f>
        <v>0</v>
      </c>
      <c r="I20" s="115" t="str">
        <f>_TECH_Cascade_Engine!N8</f>
        <v/>
      </c>
      <c r="J20" s="117" t="str">
        <f>_TECH_Cascade_Engine!O8</f>
        <v/>
      </c>
      <c r="K20" s="115" t="str">
        <f>_TECH_Cascade_Engine!W8</f>
        <v/>
      </c>
      <c r="L20" s="115" t="str">
        <f>_TECH_Cascade_Engine!U8</f>
        <v/>
      </c>
      <c r="M20" s="117" t="str">
        <f>_TECH_Cascade_Engine!V8</f>
        <v/>
      </c>
      <c r="N20" s="117" t="str">
        <f>_TECH_Cascade_Engine!X8</f>
        <v/>
      </c>
    </row>
    <row r="21" spans="1:14" ht="15">
      <c r="A21" s="114" t="str">
        <f>_TECH_Cascade_Engine!A9</f>
        <v>Finance Procurement</v>
      </c>
      <c r="B21" s="115" t="str">
        <f>_TECH_Cascade_Engine!B9</f>
        <v/>
      </c>
      <c r="C21" s="115" t="str">
        <f>_TECH_Cascade_Engine!C9</f>
        <v/>
      </c>
      <c r="D21" s="115" t="str">
        <f>_TECH_Cascade_Engine!D9</f>
        <v/>
      </c>
      <c r="E21" s="116" t="str">
        <f>IF(_TECH_Cascade_Engine!F9=1,"BREACH","")</f>
        <v/>
      </c>
      <c r="F21" s="115">
        <f>_TECH_Cascade_Engine!H9</f>
        <v>1.3</v>
      </c>
      <c r="G21" s="115">
        <f>_TECH_Cascade_Engine!I9</f>
        <v>0</v>
      </c>
      <c r="H21" s="115">
        <f>_TECH_Cascade_Engine!L9</f>
        <v>0</v>
      </c>
      <c r="I21" s="115" t="str">
        <f>_TECH_Cascade_Engine!N9</f>
        <v/>
      </c>
      <c r="J21" s="117" t="str">
        <f>_TECH_Cascade_Engine!O9</f>
        <v/>
      </c>
      <c r="K21" s="115" t="str">
        <f>_TECH_Cascade_Engine!W9</f>
        <v/>
      </c>
      <c r="L21" s="115" t="str">
        <f>_TECH_Cascade_Engine!U9</f>
        <v/>
      </c>
      <c r="M21" s="117" t="str">
        <f>_TECH_Cascade_Engine!V9</f>
        <v/>
      </c>
      <c r="N21" s="117" t="str">
        <f>_TECH_Cascade_Engine!X9</f>
        <v/>
      </c>
    </row>
    <row r="22" spans="1:14" ht="15">
      <c r="A22" s="114" t="str">
        <f>_TECH_Cascade_Engine!A10</f>
        <v>Legal Risk</v>
      </c>
      <c r="B22" s="115" t="str">
        <f>_TECH_Cascade_Engine!B10</f>
        <v/>
      </c>
      <c r="C22" s="115" t="str">
        <f>_TECH_Cascade_Engine!C10</f>
        <v/>
      </c>
      <c r="D22" s="115" t="str">
        <f>_TECH_Cascade_Engine!D10</f>
        <v/>
      </c>
      <c r="E22" s="116" t="str">
        <f>IF(_TECH_Cascade_Engine!F10=1,"BREACH","")</f>
        <v/>
      </c>
      <c r="F22" s="115">
        <f>_TECH_Cascade_Engine!H10</f>
        <v>1</v>
      </c>
      <c r="G22" s="115">
        <f>_TECH_Cascade_Engine!I10</f>
        <v>0</v>
      </c>
      <c r="H22" s="115">
        <f>_TECH_Cascade_Engine!L10</f>
        <v>0</v>
      </c>
      <c r="I22" s="115" t="str">
        <f>_TECH_Cascade_Engine!N10</f>
        <v/>
      </c>
      <c r="J22" s="117" t="str">
        <f>_TECH_Cascade_Engine!O10</f>
        <v/>
      </c>
      <c r="K22" s="115" t="str">
        <f>_TECH_Cascade_Engine!W10</f>
        <v/>
      </c>
      <c r="L22" s="115" t="str">
        <f>_TECH_Cascade_Engine!U10</f>
        <v/>
      </c>
      <c r="M22" s="117" t="str">
        <f>_TECH_Cascade_Engine!V10</f>
        <v/>
      </c>
      <c r="N22" s="117" t="str">
        <f>_TECH_Cascade_Engine!X10</f>
        <v/>
      </c>
    </row>
    <row r="23" spans="1:14" ht="15">
      <c r="A23" s="114" t="str">
        <f>_TECH_Cascade_Engine!A11</f>
        <v>Physical Safety</v>
      </c>
      <c r="B23" s="115" t="str">
        <f>_TECH_Cascade_Engine!B11</f>
        <v/>
      </c>
      <c r="C23" s="115" t="str">
        <f>_TECH_Cascade_Engine!C11</f>
        <v/>
      </c>
      <c r="D23" s="115" t="str">
        <f>_TECH_Cascade_Engine!D11</f>
        <v/>
      </c>
      <c r="E23" s="116" t="str">
        <f>IF(_TECH_Cascade_Engine!F11=1,"BREACH","")</f>
        <v/>
      </c>
      <c r="F23" s="115">
        <f>_TECH_Cascade_Engine!H11</f>
        <v>1.4</v>
      </c>
      <c r="G23" s="115">
        <f>_TECH_Cascade_Engine!I11</f>
        <v>0</v>
      </c>
      <c r="H23" s="115">
        <f>_TECH_Cascade_Engine!L11</f>
        <v>0</v>
      </c>
      <c r="I23" s="115" t="str">
        <f>_TECH_Cascade_Engine!N11</f>
        <v/>
      </c>
      <c r="J23" s="117" t="str">
        <f>_TECH_Cascade_Engine!O11</f>
        <v/>
      </c>
      <c r="K23" s="115" t="str">
        <f>_TECH_Cascade_Engine!W11</f>
        <v/>
      </c>
      <c r="L23" s="115" t="str">
        <f>_TECH_Cascade_Engine!U11</f>
        <v/>
      </c>
      <c r="M23" s="117" t="str">
        <f>_TECH_Cascade_Engine!V11</f>
        <v/>
      </c>
      <c r="N23" s="117" t="str">
        <f>_TECH_Cascade_Engine!X11</f>
        <v/>
      </c>
    </row>
    <row r="24" spans="1:14" ht="15">
      <c r="A24" s="114" t="str">
        <f>_TECH_Cascade_Engine!A12</f>
        <v>Delivery Ops</v>
      </c>
      <c r="B24" s="115" t="str">
        <f>_TECH_Cascade_Engine!B12</f>
        <v/>
      </c>
      <c r="C24" s="115" t="str">
        <f>_TECH_Cascade_Engine!C12</f>
        <v/>
      </c>
      <c r="D24" s="115" t="str">
        <f>_TECH_Cascade_Engine!D12</f>
        <v/>
      </c>
      <c r="E24" s="116" t="str">
        <f>IF(_TECH_Cascade_Engine!F12=1,"BREACH","")</f>
        <v/>
      </c>
      <c r="F24" s="115">
        <f>_TECH_Cascade_Engine!H12</f>
        <v>1.3</v>
      </c>
      <c r="G24" s="115">
        <f>_TECH_Cascade_Engine!I12</f>
        <v>0</v>
      </c>
      <c r="H24" s="115">
        <f>_TECH_Cascade_Engine!L12</f>
        <v>0</v>
      </c>
      <c r="I24" s="115" t="str">
        <f>_TECH_Cascade_Engine!N12</f>
        <v/>
      </c>
      <c r="J24" s="117" t="str">
        <f>_TECH_Cascade_Engine!O12</f>
        <v/>
      </c>
      <c r="K24" s="115" t="str">
        <f>_TECH_Cascade_Engine!W12</f>
        <v/>
      </c>
      <c r="L24" s="115" t="str">
        <f>_TECH_Cascade_Engine!U12</f>
        <v/>
      </c>
      <c r="M24" s="117" t="str">
        <f>_TECH_Cascade_Engine!V12</f>
        <v/>
      </c>
      <c r="N24" s="117" t="str">
        <f>_TECH_Cascade_Engine!X12</f>
        <v/>
      </c>
    </row>
    <row r="25" spans="1:14" ht="15">
      <c r="A25" s="114" t="str">
        <f>_TECH_Cascade_Engine!A13</f>
        <v>Supply Chain</v>
      </c>
      <c r="B25" s="115" t="str">
        <f>_TECH_Cascade_Engine!B13</f>
        <v/>
      </c>
      <c r="C25" s="115" t="str">
        <f>_TECH_Cascade_Engine!C13</f>
        <v/>
      </c>
      <c r="D25" s="115" t="str">
        <f>_TECH_Cascade_Engine!D13</f>
        <v/>
      </c>
      <c r="E25" s="116" t="str">
        <f>IF(_TECH_Cascade_Engine!F13=1,"BREACH","")</f>
        <v/>
      </c>
      <c r="F25" s="115">
        <f>_TECH_Cascade_Engine!H13</f>
        <v>1.3</v>
      </c>
      <c r="G25" s="115">
        <f>_TECH_Cascade_Engine!I13</f>
        <v>0</v>
      </c>
      <c r="H25" s="115">
        <f>_TECH_Cascade_Engine!L13</f>
        <v>0</v>
      </c>
      <c r="I25" s="115" t="str">
        <f>_TECH_Cascade_Engine!N13</f>
        <v/>
      </c>
      <c r="J25" s="117" t="str">
        <f>_TECH_Cascade_Engine!O13</f>
        <v/>
      </c>
      <c r="K25" s="115" t="str">
        <f>_TECH_Cascade_Engine!W13</f>
        <v/>
      </c>
      <c r="L25" s="115" t="str">
        <f>_TECH_Cascade_Engine!U13</f>
        <v/>
      </c>
      <c r="M25" s="117" t="str">
        <f>_TECH_Cascade_Engine!V13</f>
        <v/>
      </c>
      <c r="N25" s="117" t="str">
        <f>_TECH_Cascade_Engine!X13</f>
        <v/>
      </c>
    </row>
    <row r="26" spans="1:14" ht="15">
      <c r="A26" s="114" t="str">
        <f>_TECH_Cascade_Engine!A14</f>
        <v>Manufacturing MES</v>
      </c>
      <c r="B26" s="115" t="str">
        <f>_TECH_Cascade_Engine!B14</f>
        <v/>
      </c>
      <c r="C26" s="115" t="str">
        <f>_TECH_Cascade_Engine!C14</f>
        <v/>
      </c>
      <c r="D26" s="115" t="str">
        <f>_TECH_Cascade_Engine!D14</f>
        <v/>
      </c>
      <c r="E26" s="116" t="str">
        <f>IF(_TECH_Cascade_Engine!F14=1,"BREACH","")</f>
        <v/>
      </c>
      <c r="F26" s="115">
        <f>_TECH_Cascade_Engine!H14</f>
        <v>1.3</v>
      </c>
      <c r="G26" s="115">
        <f>_TECH_Cascade_Engine!I14</f>
        <v>0</v>
      </c>
      <c r="H26" s="115">
        <f>_TECH_Cascade_Engine!L14</f>
        <v>0</v>
      </c>
      <c r="I26" s="115" t="str">
        <f>_TECH_Cascade_Engine!N14</f>
        <v/>
      </c>
      <c r="J26" s="117" t="str">
        <f>_TECH_Cascade_Engine!O14</f>
        <v/>
      </c>
      <c r="K26" s="115" t="str">
        <f>_TECH_Cascade_Engine!W14</f>
        <v/>
      </c>
      <c r="L26" s="115" t="str">
        <f>_TECH_Cascade_Engine!U14</f>
        <v/>
      </c>
      <c r="M26" s="117" t="str">
        <f>_TECH_Cascade_Engine!V14</f>
        <v/>
      </c>
      <c r="N26" s="117" t="str">
        <f>_TECH_Cascade_Engine!X14</f>
        <v/>
      </c>
    </row>
    <row r="27" spans="1:14" ht="15">
      <c r="A27" s="114" t="str">
        <f>_TECH_Cascade_Engine!A15</f>
        <v>Sales CRM</v>
      </c>
      <c r="B27" s="115" t="str">
        <f>_TECH_Cascade_Engine!B15</f>
        <v/>
      </c>
      <c r="C27" s="115" t="str">
        <f>_TECH_Cascade_Engine!C15</f>
        <v/>
      </c>
      <c r="D27" s="115" t="str">
        <f>_TECH_Cascade_Engine!D15</f>
        <v/>
      </c>
      <c r="E27" s="116" t="str">
        <f>IF(_TECH_Cascade_Engine!F15=1,"BREACH","")</f>
        <v/>
      </c>
      <c r="F27" s="115">
        <f>_TECH_Cascade_Engine!H15</f>
        <v>1.1000000000000001</v>
      </c>
      <c r="G27" s="115">
        <f>_TECH_Cascade_Engine!I15</f>
        <v>0</v>
      </c>
      <c r="H27" s="115">
        <f>_TECH_Cascade_Engine!L15</f>
        <v>0</v>
      </c>
      <c r="I27" s="115" t="str">
        <f>_TECH_Cascade_Engine!N15</f>
        <v/>
      </c>
      <c r="J27" s="117" t="str">
        <f>_TECH_Cascade_Engine!O15</f>
        <v/>
      </c>
      <c r="K27" s="115" t="str">
        <f>_TECH_Cascade_Engine!W15</f>
        <v/>
      </c>
      <c r="L27" s="115" t="str">
        <f>_TECH_Cascade_Engine!U15</f>
        <v/>
      </c>
      <c r="M27" s="117" t="str">
        <f>_TECH_Cascade_Engine!V15</f>
        <v/>
      </c>
      <c r="N27" s="117" t="str">
        <f>_TECH_Cascade_Engine!X15</f>
        <v/>
      </c>
    </row>
    <row r="28" spans="1:14" ht="15">
      <c r="A28" s="114" t="str">
        <f>_TECH_Cascade_Engine!A16</f>
        <v>Marketing Comms</v>
      </c>
      <c r="B28" s="115" t="str">
        <f>_TECH_Cascade_Engine!B16</f>
        <v/>
      </c>
      <c r="C28" s="115" t="str">
        <f>_TECH_Cascade_Engine!C16</f>
        <v/>
      </c>
      <c r="D28" s="115" t="str">
        <f>_TECH_Cascade_Engine!D16</f>
        <v/>
      </c>
      <c r="E28" s="116" t="str">
        <f>IF(_TECH_Cascade_Engine!F16=1,"BREACH","")</f>
        <v/>
      </c>
      <c r="F28" s="115">
        <f>_TECH_Cascade_Engine!H16</f>
        <v>1.1000000000000001</v>
      </c>
      <c r="G28" s="115">
        <f>_TECH_Cascade_Engine!I16</f>
        <v>0</v>
      </c>
      <c r="H28" s="115">
        <f>_TECH_Cascade_Engine!L16</f>
        <v>0</v>
      </c>
      <c r="I28" s="115" t="str">
        <f>_TECH_Cascade_Engine!N16</f>
        <v/>
      </c>
      <c r="J28" s="117" t="str">
        <f>_TECH_Cascade_Engine!O16</f>
        <v/>
      </c>
      <c r="K28" s="115" t="str">
        <f>_TECH_Cascade_Engine!W16</f>
        <v/>
      </c>
      <c r="L28" s="115" t="str">
        <f>_TECH_Cascade_Engine!U16</f>
        <v/>
      </c>
      <c r="M28" s="117" t="str">
        <f>_TECH_Cascade_Engine!V16</f>
        <v/>
      </c>
      <c r="N28" s="117" t="str">
        <f>_TECH_Cascade_Engine!X16</f>
        <v/>
      </c>
    </row>
    <row r="29" spans="1:14" ht="15">
      <c r="A29" s="114" t="str">
        <f>_TECH_Cascade_Engine!A17</f>
        <v>IT Cloud DR</v>
      </c>
      <c r="B29" s="115" t="str">
        <f>_TECH_Cascade_Engine!B17</f>
        <v/>
      </c>
      <c r="C29" s="115" t="str">
        <f>_TECH_Cascade_Engine!C17</f>
        <v/>
      </c>
      <c r="D29" s="115" t="str">
        <f>_TECH_Cascade_Engine!D17</f>
        <v/>
      </c>
      <c r="E29" s="116" t="str">
        <f>IF(_TECH_Cascade_Engine!F17=1,"BREACH","")</f>
        <v/>
      </c>
      <c r="F29" s="115">
        <f>_TECH_Cascade_Engine!H17</f>
        <v>1</v>
      </c>
      <c r="G29" s="115">
        <f>_TECH_Cascade_Engine!I17</f>
        <v>0</v>
      </c>
      <c r="H29" s="115">
        <f>_TECH_Cascade_Engine!L17</f>
        <v>0</v>
      </c>
      <c r="I29" s="115" t="str">
        <f>_TECH_Cascade_Engine!N17</f>
        <v/>
      </c>
      <c r="J29" s="117" t="str">
        <f>_TECH_Cascade_Engine!O17</f>
        <v/>
      </c>
      <c r="K29" s="115" t="str">
        <f>_TECH_Cascade_Engine!W17</f>
        <v/>
      </c>
      <c r="L29" s="115" t="str">
        <f>_TECH_Cascade_Engine!U17</f>
        <v/>
      </c>
      <c r="M29" s="117" t="str">
        <f>_TECH_Cascade_Engine!V17</f>
        <v/>
      </c>
      <c r="N29" s="117" t="str">
        <f>_TECH_Cascade_Engine!X17</f>
        <v/>
      </c>
    </row>
    <row r="30" spans="1:14" ht="15">
      <c r="A30" s="114" t="str">
        <f>_TECH_Cascade_Engine!A18</f>
        <v>Business Systems</v>
      </c>
      <c r="B30" s="115" t="str">
        <f>_TECH_Cascade_Engine!B18</f>
        <v/>
      </c>
      <c r="C30" s="115" t="str">
        <f>_TECH_Cascade_Engine!C18</f>
        <v/>
      </c>
      <c r="D30" s="115" t="str">
        <f>_TECH_Cascade_Engine!D18</f>
        <v/>
      </c>
      <c r="E30" s="116" t="str">
        <f>IF(_TECH_Cascade_Engine!F18=1,"BREACH","")</f>
        <v/>
      </c>
      <c r="F30" s="115">
        <f>_TECH_Cascade_Engine!H18</f>
        <v>1</v>
      </c>
      <c r="G30" s="115">
        <f>_TECH_Cascade_Engine!I18</f>
        <v>0</v>
      </c>
      <c r="H30" s="115">
        <f>_TECH_Cascade_Engine!L18</f>
        <v>0</v>
      </c>
      <c r="I30" s="115" t="str">
        <f>_TECH_Cascade_Engine!N18</f>
        <v/>
      </c>
      <c r="J30" s="117" t="str">
        <f>_TECH_Cascade_Engine!O18</f>
        <v/>
      </c>
      <c r="K30" s="115" t="str">
        <f>_TECH_Cascade_Engine!W18</f>
        <v/>
      </c>
      <c r="L30" s="115" t="str">
        <f>_TECH_Cascade_Engine!U18</f>
        <v/>
      </c>
      <c r="M30" s="117" t="str">
        <f>_TECH_Cascade_Engine!V18</f>
        <v/>
      </c>
      <c r="N30" s="117" t="str">
        <f>_TECH_Cascade_Engine!X18</f>
        <v/>
      </c>
    </row>
    <row r="31" spans="1:14" ht="15">
      <c r="A31" s="114" t="str">
        <f>_TECH_Cascade_Engine!A19</f>
        <v>Data BI AI</v>
      </c>
      <c r="B31" s="115" t="str">
        <f>_TECH_Cascade_Engine!B19</f>
        <v/>
      </c>
      <c r="C31" s="115" t="str">
        <f>_TECH_Cascade_Engine!C19</f>
        <v/>
      </c>
      <c r="D31" s="115" t="str">
        <f>_TECH_Cascade_Engine!D19</f>
        <v/>
      </c>
      <c r="E31" s="116" t="str">
        <f>IF(_TECH_Cascade_Engine!F19=1,"BREACH","")</f>
        <v/>
      </c>
      <c r="F31" s="115">
        <f>_TECH_Cascade_Engine!H19</f>
        <v>1</v>
      </c>
      <c r="G31" s="115">
        <f>_TECH_Cascade_Engine!I19</f>
        <v>0</v>
      </c>
      <c r="H31" s="115">
        <f>_TECH_Cascade_Engine!L19</f>
        <v>0</v>
      </c>
      <c r="I31" s="115" t="str">
        <f>_TECH_Cascade_Engine!N19</f>
        <v/>
      </c>
      <c r="J31" s="117" t="str">
        <f>_TECH_Cascade_Engine!O19</f>
        <v/>
      </c>
      <c r="K31" s="115" t="str">
        <f>_TECH_Cascade_Engine!W19</f>
        <v/>
      </c>
      <c r="L31" s="115" t="str">
        <f>_TECH_Cascade_Engine!U19</f>
        <v/>
      </c>
      <c r="M31" s="117" t="str">
        <f>_TECH_Cascade_Engine!V19</f>
        <v/>
      </c>
      <c r="N31" s="117" t="str">
        <f>_TECH_Cascade_Engine!X19</f>
        <v/>
      </c>
    </row>
    <row r="32" spans="1:14" ht="15">
      <c r="A32" s="114" t="str">
        <f>_TECH_Cascade_Engine!A20</f>
        <v>Cyber Privacy</v>
      </c>
      <c r="B32" s="115" t="str">
        <f>_TECH_Cascade_Engine!B20</f>
        <v/>
      </c>
      <c r="C32" s="115" t="str">
        <f>_TECH_Cascade_Engine!C20</f>
        <v/>
      </c>
      <c r="D32" s="115" t="str">
        <f>_TECH_Cascade_Engine!D20</f>
        <v/>
      </c>
      <c r="E32" s="116" t="str">
        <f>IF(_TECH_Cascade_Engine!F20=1,"BREACH","")</f>
        <v/>
      </c>
      <c r="F32" s="115">
        <f>_TECH_Cascade_Engine!H20</f>
        <v>1</v>
      </c>
      <c r="G32" s="115">
        <f>_TECH_Cascade_Engine!I20</f>
        <v>0</v>
      </c>
      <c r="H32" s="115">
        <f>_TECH_Cascade_Engine!L20</f>
        <v>0</v>
      </c>
      <c r="I32" s="115" t="str">
        <f>_TECH_Cascade_Engine!N20</f>
        <v/>
      </c>
      <c r="J32" s="117" t="str">
        <f>_TECH_Cascade_Engine!O20</f>
        <v/>
      </c>
      <c r="K32" s="115" t="str">
        <f>_TECH_Cascade_Engine!W20</f>
        <v/>
      </c>
      <c r="L32" s="115" t="str">
        <f>_TECH_Cascade_Engine!U20</f>
        <v/>
      </c>
      <c r="M32" s="117" t="str">
        <f>_TECH_Cascade_Engine!V20</f>
        <v/>
      </c>
      <c r="N32" s="117" t="str">
        <f>_TECH_Cascade_Engine!X20</f>
        <v/>
      </c>
    </row>
    <row r="33" spans="1:14" ht="15">
      <c r="A33" s="114" t="str">
        <f>_TECH_Cascade_Engine!A21</f>
        <v>Quality Portfolio</v>
      </c>
      <c r="B33" s="115" t="str">
        <f>_TECH_Cascade_Engine!B21</f>
        <v/>
      </c>
      <c r="C33" s="115" t="str">
        <f>_TECH_Cascade_Engine!C21</f>
        <v/>
      </c>
      <c r="D33" s="115" t="str">
        <f>_TECH_Cascade_Engine!D21</f>
        <v/>
      </c>
      <c r="E33" s="116" t="str">
        <f>IF(_TECH_Cascade_Engine!F21=1,"BREACH","")</f>
        <v/>
      </c>
      <c r="F33" s="115">
        <f>_TECH_Cascade_Engine!H21</f>
        <v>1</v>
      </c>
      <c r="G33" s="115">
        <f>_TECH_Cascade_Engine!I21</f>
        <v>0</v>
      </c>
      <c r="H33" s="115">
        <f>_TECH_Cascade_Engine!L21</f>
        <v>0</v>
      </c>
      <c r="I33" s="115" t="str">
        <f>_TECH_Cascade_Engine!N21</f>
        <v/>
      </c>
      <c r="J33" s="117" t="str">
        <f>_TECH_Cascade_Engine!O21</f>
        <v/>
      </c>
      <c r="K33" s="115" t="str">
        <f>_TECH_Cascade_Engine!W21</f>
        <v/>
      </c>
      <c r="L33" s="115" t="str">
        <f>_TECH_Cascade_Engine!U21</f>
        <v/>
      </c>
      <c r="M33" s="117" t="str">
        <f>_TECH_Cascade_Engine!V21</f>
        <v/>
      </c>
      <c r="N33" s="117" t="str">
        <f>_TECH_Cascade_Engine!X21</f>
        <v/>
      </c>
    </row>
    <row r="35" spans="1:14" ht="15">
      <c r="A35" s="107" t="s">
        <v>226</v>
      </c>
    </row>
    <row r="36" spans="1:14" ht="60" customHeight="1">
      <c r="A36" s="169" t="s">
        <v>227</v>
      </c>
      <c r="B36" s="158"/>
      <c r="C36" s="158"/>
      <c r="D36" s="158"/>
      <c r="E36" s="158"/>
      <c r="F36" s="158"/>
      <c r="G36" s="158"/>
      <c r="H36" s="158"/>
      <c r="I36" s="158"/>
      <c r="J36" s="158"/>
      <c r="K36" s="158"/>
      <c r="L36" s="158"/>
      <c r="M36" s="158"/>
      <c r="N36" s="158"/>
    </row>
  </sheetData>
  <mergeCells count="1">
    <mergeCell ref="A36:N36"/>
  </mergeCells>
  <conditionalFormatting sqref="I17:I33">
    <cfRule type="colorScale" priority="1">
      <colorScale>
        <cfvo type="num" val="0"/>
        <cfvo type="num" val="2.5"/>
        <cfvo type="num" val="5"/>
        <color rgb="FF63BE7B"/>
        <color rgb="FFFFEB84"/>
        <color rgb="FFF8696B"/>
      </colorScale>
    </cfRule>
  </conditionalFormatting>
  <conditionalFormatting sqref="L17:L33">
    <cfRule type="colorScale" priority="2">
      <colorScale>
        <cfvo type="num" val="0"/>
        <cfvo type="num" val="2.5"/>
        <cfvo type="num" val="5"/>
        <color rgb="FF63BE7B"/>
        <color rgb="FFFFEB84"/>
        <color rgb="FFF8696B"/>
      </colorScale>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legacyDrawing r:id="rId1"/>
</worksheet>
</file>

<file path=xl/worksheets/sheet5.xml><?xml version="1.0" encoding="utf-8"?>
<worksheet xmlns="http://schemas.openxmlformats.org/spreadsheetml/2006/main" xmlns:ns1="http://schemas.openxmlformats.org/markup-compatibility/2006" xmlns:ns2="http://schemas.microsoft.com/office/spreadsheetml/2014/revision" ns1:Ignorable="x14ac xr xr2 xr3" ns2:uid="{00000000-0001-0000-0400-000000000000}">
  <sheetPr>
    <tabColor rgb="FF548235"/>
  </sheetPr>
  <dimension ref="A1:F73"/>
  <sheetViews>
    <sheetView workbookViewId="0"/>
  </sheetViews>
  <sheetFormatPr defaultRowHeight="14.25"/>
  <cols>
    <col min="1" max="1" width="24" customWidth="1"/>
    <col min="2" max="6" width="11" customWidth="1"/>
  </cols>
  <sheetData>
    <row r="1" spans="1:6" ht="18">
      <c r="A1" s="99" t="s">
        <v>228</v>
      </c>
    </row>
    <row r="2" spans="1:6">
      <c r="A2" s="100" t="s">
        <v>229</v>
      </c>
    </row>
    <row r="4" spans="1:6" ht="15">
      <c r="A4" s="107" t="s">
        <v>230</v>
      </c>
    </row>
    <row r="5" spans="1:6">
      <c r="A5" s="110" t="s">
        <v>36</v>
      </c>
      <c r="B5" s="110" t="s">
        <v>231</v>
      </c>
      <c r="C5" s="110" t="s">
        <v>232</v>
      </c>
      <c r="D5" s="110" t="s">
        <v>233</v>
      </c>
      <c r="E5" s="110" t="s">
        <v>234</v>
      </c>
      <c r="F5" s="110" t="s">
        <v>235</v>
      </c>
    </row>
    <row r="6" spans="1:6">
      <c r="A6" s="118" t="str">
        <f>_TECH_Cascade_Engine!A5</f>
        <v>Company Geography</v>
      </c>
      <c r="B6" s="115" t="str">
        <f>IF(_TECH_Cascade_Engine!$B5="","",MIN(5,_TECH_Cascade_Engine!$M5*MIN(_TECH_Dependency_Map!$B$34,1+(1/5)*(_TECH_Cascade_Engine!$Q5+_TECH_Dependency_Map!$B$29*_TECH_Cascade_Engine!$R5))))</f>
        <v/>
      </c>
      <c r="C6" s="115" t="str">
        <f>IF(_TECH_Cascade_Engine!$B5="","",MIN(5,_TECH_Cascade_Engine!$M5*MIN(_TECH_Dependency_Map!$B$34,1+(2/5)*(_TECH_Cascade_Engine!$Q5+_TECH_Dependency_Map!$B$29*_TECH_Cascade_Engine!$R5))))</f>
        <v/>
      </c>
      <c r="D6" s="115" t="str">
        <f>IF(_TECH_Cascade_Engine!$B5="","",MIN(5,_TECH_Cascade_Engine!$M5*MIN(_TECH_Dependency_Map!$B$34,1+(3/5)*(_TECH_Cascade_Engine!$Q5+_TECH_Dependency_Map!$B$29*_TECH_Cascade_Engine!$R5))))</f>
        <v/>
      </c>
      <c r="E6" s="115" t="str">
        <f>IF(_TECH_Cascade_Engine!$B5="","",MIN(5,_TECH_Cascade_Engine!$M5*MIN(_TECH_Dependency_Map!$B$34,1+(4/5)*(_TECH_Cascade_Engine!$Q5+_TECH_Dependency_Map!$B$29*_TECH_Cascade_Engine!$R5))))</f>
        <v/>
      </c>
      <c r="F6" s="115" t="str">
        <f>IF(_TECH_Cascade_Engine!$B5="","",MIN(5,_TECH_Cascade_Engine!$M5*MIN(_TECH_Dependency_Map!$B$34,1+(5/5)*(_TECH_Cascade_Engine!$Q5+_TECH_Dependency_Map!$B$29*_TECH_Cascade_Engine!$R5))))</f>
        <v/>
      </c>
    </row>
    <row r="7" spans="1:6">
      <c r="A7" s="118" t="str">
        <f>_TECH_Cascade_Engine!A6</f>
        <v>Strategy GTM</v>
      </c>
      <c r="B7" s="115" t="str">
        <f>IF(_TECH_Cascade_Engine!$B6="","",MIN(5,_TECH_Cascade_Engine!$M6*MIN(_TECH_Dependency_Map!$B$34,1+(1/5)*(_TECH_Cascade_Engine!$Q6+_TECH_Dependency_Map!$B$29*_TECH_Cascade_Engine!$R6))))</f>
        <v/>
      </c>
      <c r="C7" s="115" t="str">
        <f>IF(_TECH_Cascade_Engine!$B6="","",MIN(5,_TECH_Cascade_Engine!$M6*MIN(_TECH_Dependency_Map!$B$34,1+(2/5)*(_TECH_Cascade_Engine!$Q6+_TECH_Dependency_Map!$B$29*_TECH_Cascade_Engine!$R6))))</f>
        <v/>
      </c>
      <c r="D7" s="115" t="str">
        <f>IF(_TECH_Cascade_Engine!$B6="","",MIN(5,_TECH_Cascade_Engine!$M6*MIN(_TECH_Dependency_Map!$B$34,1+(3/5)*(_TECH_Cascade_Engine!$Q6+_TECH_Dependency_Map!$B$29*_TECH_Cascade_Engine!$R6))))</f>
        <v/>
      </c>
      <c r="E7" s="115" t="str">
        <f>IF(_TECH_Cascade_Engine!$B6="","",MIN(5,_TECH_Cascade_Engine!$M6*MIN(_TECH_Dependency_Map!$B$34,1+(4/5)*(_TECH_Cascade_Engine!$Q6+_TECH_Dependency_Map!$B$29*_TECH_Cascade_Engine!$R6))))</f>
        <v/>
      </c>
      <c r="F7" s="115" t="str">
        <f>IF(_TECH_Cascade_Engine!$B6="","",MIN(5,_TECH_Cascade_Engine!$M6*MIN(_TECH_Dependency_Map!$B$34,1+(5/5)*(_TECH_Cascade_Engine!$Q6+_TECH_Dependency_Map!$B$29*_TECH_Cascade_Engine!$R6))))</f>
        <v/>
      </c>
    </row>
    <row r="8" spans="1:6">
      <c r="A8" s="118" t="str">
        <f>_TECH_Cascade_Engine!A7</f>
        <v>Governance Crisis</v>
      </c>
      <c r="B8" s="115" t="str">
        <f>IF(_TECH_Cascade_Engine!$B7="","",MIN(5,_TECH_Cascade_Engine!$M7*MIN(_TECH_Dependency_Map!$B$34,1+(1/5)*(_TECH_Cascade_Engine!$Q7+_TECH_Dependency_Map!$B$29*_TECH_Cascade_Engine!$R7))))</f>
        <v/>
      </c>
      <c r="C8" s="115" t="str">
        <f>IF(_TECH_Cascade_Engine!$B7="","",MIN(5,_TECH_Cascade_Engine!$M7*MIN(_TECH_Dependency_Map!$B$34,1+(2/5)*(_TECH_Cascade_Engine!$Q7+_TECH_Dependency_Map!$B$29*_TECH_Cascade_Engine!$R7))))</f>
        <v/>
      </c>
      <c r="D8" s="115" t="str">
        <f>IF(_TECH_Cascade_Engine!$B7="","",MIN(5,_TECH_Cascade_Engine!$M7*MIN(_TECH_Dependency_Map!$B$34,1+(3/5)*(_TECH_Cascade_Engine!$Q7+_TECH_Dependency_Map!$B$29*_TECH_Cascade_Engine!$R7))))</f>
        <v/>
      </c>
      <c r="E8" s="115" t="str">
        <f>IF(_TECH_Cascade_Engine!$B7="","",MIN(5,_TECH_Cascade_Engine!$M7*MIN(_TECH_Dependency_Map!$B$34,1+(4/5)*(_TECH_Cascade_Engine!$Q7+_TECH_Dependency_Map!$B$29*_TECH_Cascade_Engine!$R7))))</f>
        <v/>
      </c>
      <c r="F8" s="115" t="str">
        <f>IF(_TECH_Cascade_Engine!$B7="","",MIN(5,_TECH_Cascade_Engine!$M7*MIN(_TECH_Dependency_Map!$B$34,1+(5/5)*(_TECH_Cascade_Engine!$Q7+_TECH_Dependency_Map!$B$29*_TECH_Cascade_Engine!$R7))))</f>
        <v/>
      </c>
    </row>
    <row r="9" spans="1:6">
      <c r="A9" s="118" t="str">
        <f>_TECH_Cascade_Engine!A8</f>
        <v>HR Workforce</v>
      </c>
      <c r="B9" s="115" t="str">
        <f>IF(_TECH_Cascade_Engine!$B8="","",MIN(5,_TECH_Cascade_Engine!$M8*MIN(_TECH_Dependency_Map!$B$34,1+(1/5)*(_TECH_Cascade_Engine!$Q8+_TECH_Dependency_Map!$B$29*_TECH_Cascade_Engine!$R8))))</f>
        <v/>
      </c>
      <c r="C9" s="115" t="str">
        <f>IF(_TECH_Cascade_Engine!$B8="","",MIN(5,_TECH_Cascade_Engine!$M8*MIN(_TECH_Dependency_Map!$B$34,1+(2/5)*(_TECH_Cascade_Engine!$Q8+_TECH_Dependency_Map!$B$29*_TECH_Cascade_Engine!$R8))))</f>
        <v/>
      </c>
      <c r="D9" s="115" t="str">
        <f>IF(_TECH_Cascade_Engine!$B8="","",MIN(5,_TECH_Cascade_Engine!$M8*MIN(_TECH_Dependency_Map!$B$34,1+(3/5)*(_TECH_Cascade_Engine!$Q8+_TECH_Dependency_Map!$B$29*_TECH_Cascade_Engine!$R8))))</f>
        <v/>
      </c>
      <c r="E9" s="115" t="str">
        <f>IF(_TECH_Cascade_Engine!$B8="","",MIN(5,_TECH_Cascade_Engine!$M8*MIN(_TECH_Dependency_Map!$B$34,1+(4/5)*(_TECH_Cascade_Engine!$Q8+_TECH_Dependency_Map!$B$29*_TECH_Cascade_Engine!$R8))))</f>
        <v/>
      </c>
      <c r="F9" s="115" t="str">
        <f>IF(_TECH_Cascade_Engine!$B8="","",MIN(5,_TECH_Cascade_Engine!$M8*MIN(_TECH_Dependency_Map!$B$34,1+(5/5)*(_TECH_Cascade_Engine!$Q8+_TECH_Dependency_Map!$B$29*_TECH_Cascade_Engine!$R8))))</f>
        <v/>
      </c>
    </row>
    <row r="10" spans="1:6">
      <c r="A10" s="118" t="str">
        <f>_TECH_Cascade_Engine!A9</f>
        <v>Finance Procurement</v>
      </c>
      <c r="B10" s="115" t="str">
        <f>IF(_TECH_Cascade_Engine!$B9="","",MIN(5,_TECH_Cascade_Engine!$M9*MIN(_TECH_Dependency_Map!$B$34,1+(1/5)*(_TECH_Cascade_Engine!$Q9+_TECH_Dependency_Map!$B$29*_TECH_Cascade_Engine!$R9))))</f>
        <v/>
      </c>
      <c r="C10" s="115" t="str">
        <f>IF(_TECH_Cascade_Engine!$B9="","",MIN(5,_TECH_Cascade_Engine!$M9*MIN(_TECH_Dependency_Map!$B$34,1+(2/5)*(_TECH_Cascade_Engine!$Q9+_TECH_Dependency_Map!$B$29*_TECH_Cascade_Engine!$R9))))</f>
        <v/>
      </c>
      <c r="D10" s="115" t="str">
        <f>IF(_TECH_Cascade_Engine!$B9="","",MIN(5,_TECH_Cascade_Engine!$M9*MIN(_TECH_Dependency_Map!$B$34,1+(3/5)*(_TECH_Cascade_Engine!$Q9+_TECH_Dependency_Map!$B$29*_TECH_Cascade_Engine!$R9))))</f>
        <v/>
      </c>
      <c r="E10" s="115" t="str">
        <f>IF(_TECH_Cascade_Engine!$B9="","",MIN(5,_TECH_Cascade_Engine!$M9*MIN(_TECH_Dependency_Map!$B$34,1+(4/5)*(_TECH_Cascade_Engine!$Q9+_TECH_Dependency_Map!$B$29*_TECH_Cascade_Engine!$R9))))</f>
        <v/>
      </c>
      <c r="F10" s="115" t="str">
        <f>IF(_TECH_Cascade_Engine!$B9="","",MIN(5,_TECH_Cascade_Engine!$M9*MIN(_TECH_Dependency_Map!$B$34,1+(5/5)*(_TECH_Cascade_Engine!$Q9+_TECH_Dependency_Map!$B$29*_TECH_Cascade_Engine!$R9))))</f>
        <v/>
      </c>
    </row>
    <row r="11" spans="1:6">
      <c r="A11" s="118" t="str">
        <f>_TECH_Cascade_Engine!A10</f>
        <v>Legal Risk</v>
      </c>
      <c r="B11" s="115" t="str">
        <f>IF(_TECH_Cascade_Engine!$B10="","",MIN(5,_TECH_Cascade_Engine!$M10*MIN(_TECH_Dependency_Map!$B$34,1+(1/5)*(_TECH_Cascade_Engine!$Q10+_TECH_Dependency_Map!$B$29*_TECH_Cascade_Engine!$R10))))</f>
        <v/>
      </c>
      <c r="C11" s="115" t="str">
        <f>IF(_TECH_Cascade_Engine!$B10="","",MIN(5,_TECH_Cascade_Engine!$M10*MIN(_TECH_Dependency_Map!$B$34,1+(2/5)*(_TECH_Cascade_Engine!$Q10+_TECH_Dependency_Map!$B$29*_TECH_Cascade_Engine!$R10))))</f>
        <v/>
      </c>
      <c r="D11" s="115" t="str">
        <f>IF(_TECH_Cascade_Engine!$B10="","",MIN(5,_TECH_Cascade_Engine!$M10*MIN(_TECH_Dependency_Map!$B$34,1+(3/5)*(_TECH_Cascade_Engine!$Q10+_TECH_Dependency_Map!$B$29*_TECH_Cascade_Engine!$R10))))</f>
        <v/>
      </c>
      <c r="E11" s="115" t="str">
        <f>IF(_TECH_Cascade_Engine!$B10="","",MIN(5,_TECH_Cascade_Engine!$M10*MIN(_TECH_Dependency_Map!$B$34,1+(4/5)*(_TECH_Cascade_Engine!$Q10+_TECH_Dependency_Map!$B$29*_TECH_Cascade_Engine!$R10))))</f>
        <v/>
      </c>
      <c r="F11" s="115" t="str">
        <f>IF(_TECH_Cascade_Engine!$B10="","",MIN(5,_TECH_Cascade_Engine!$M10*MIN(_TECH_Dependency_Map!$B$34,1+(5/5)*(_TECH_Cascade_Engine!$Q10+_TECH_Dependency_Map!$B$29*_TECH_Cascade_Engine!$R10))))</f>
        <v/>
      </c>
    </row>
    <row r="12" spans="1:6">
      <c r="A12" s="118" t="str">
        <f>_TECH_Cascade_Engine!A11</f>
        <v>Physical Safety</v>
      </c>
      <c r="B12" s="115" t="str">
        <f>IF(_TECH_Cascade_Engine!$B11="","",MIN(5,_TECH_Cascade_Engine!$M11*MIN(_TECH_Dependency_Map!$B$34,1+(1/5)*(_TECH_Cascade_Engine!$Q11+_TECH_Dependency_Map!$B$29*_TECH_Cascade_Engine!$R11))))</f>
        <v/>
      </c>
      <c r="C12" s="115" t="str">
        <f>IF(_TECH_Cascade_Engine!$B11="","",MIN(5,_TECH_Cascade_Engine!$M11*MIN(_TECH_Dependency_Map!$B$34,1+(2/5)*(_TECH_Cascade_Engine!$Q11+_TECH_Dependency_Map!$B$29*_TECH_Cascade_Engine!$R11))))</f>
        <v/>
      </c>
      <c r="D12" s="115" t="str">
        <f>IF(_TECH_Cascade_Engine!$B11="","",MIN(5,_TECH_Cascade_Engine!$M11*MIN(_TECH_Dependency_Map!$B$34,1+(3/5)*(_TECH_Cascade_Engine!$Q11+_TECH_Dependency_Map!$B$29*_TECH_Cascade_Engine!$R11))))</f>
        <v/>
      </c>
      <c r="E12" s="115" t="str">
        <f>IF(_TECH_Cascade_Engine!$B11="","",MIN(5,_TECH_Cascade_Engine!$M11*MIN(_TECH_Dependency_Map!$B$34,1+(4/5)*(_TECH_Cascade_Engine!$Q11+_TECH_Dependency_Map!$B$29*_TECH_Cascade_Engine!$R11))))</f>
        <v/>
      </c>
      <c r="F12" s="115" t="str">
        <f>IF(_TECH_Cascade_Engine!$B11="","",MIN(5,_TECH_Cascade_Engine!$M11*MIN(_TECH_Dependency_Map!$B$34,1+(5/5)*(_TECH_Cascade_Engine!$Q11+_TECH_Dependency_Map!$B$29*_TECH_Cascade_Engine!$R11))))</f>
        <v/>
      </c>
    </row>
    <row r="13" spans="1:6">
      <c r="A13" s="118" t="str">
        <f>_TECH_Cascade_Engine!A12</f>
        <v>Delivery Ops</v>
      </c>
      <c r="B13" s="115" t="str">
        <f>IF(_TECH_Cascade_Engine!$B12="","",MIN(5,_TECH_Cascade_Engine!$M12*MIN(_TECH_Dependency_Map!$B$34,1+(1/5)*(_TECH_Cascade_Engine!$Q12+_TECH_Dependency_Map!$B$29*_TECH_Cascade_Engine!$R12))))</f>
        <v/>
      </c>
      <c r="C13" s="115" t="str">
        <f>IF(_TECH_Cascade_Engine!$B12="","",MIN(5,_TECH_Cascade_Engine!$M12*MIN(_TECH_Dependency_Map!$B$34,1+(2/5)*(_TECH_Cascade_Engine!$Q12+_TECH_Dependency_Map!$B$29*_TECH_Cascade_Engine!$R12))))</f>
        <v/>
      </c>
      <c r="D13" s="115" t="str">
        <f>IF(_TECH_Cascade_Engine!$B12="","",MIN(5,_TECH_Cascade_Engine!$M12*MIN(_TECH_Dependency_Map!$B$34,1+(3/5)*(_TECH_Cascade_Engine!$Q12+_TECH_Dependency_Map!$B$29*_TECH_Cascade_Engine!$R12))))</f>
        <v/>
      </c>
      <c r="E13" s="115" t="str">
        <f>IF(_TECH_Cascade_Engine!$B12="","",MIN(5,_TECH_Cascade_Engine!$M12*MIN(_TECH_Dependency_Map!$B$34,1+(4/5)*(_TECH_Cascade_Engine!$Q12+_TECH_Dependency_Map!$B$29*_TECH_Cascade_Engine!$R12))))</f>
        <v/>
      </c>
      <c r="F13" s="115" t="str">
        <f>IF(_TECH_Cascade_Engine!$B12="","",MIN(5,_TECH_Cascade_Engine!$M12*MIN(_TECH_Dependency_Map!$B$34,1+(5/5)*(_TECH_Cascade_Engine!$Q12+_TECH_Dependency_Map!$B$29*_TECH_Cascade_Engine!$R12))))</f>
        <v/>
      </c>
    </row>
    <row r="14" spans="1:6">
      <c r="A14" s="118" t="str">
        <f>_TECH_Cascade_Engine!A13</f>
        <v>Supply Chain</v>
      </c>
      <c r="B14" s="115" t="str">
        <f>IF(_TECH_Cascade_Engine!$B13="","",MIN(5,_TECH_Cascade_Engine!$M13*MIN(_TECH_Dependency_Map!$B$34,1+(1/5)*(_TECH_Cascade_Engine!$Q13+_TECH_Dependency_Map!$B$29*_TECH_Cascade_Engine!$R13))))</f>
        <v/>
      </c>
      <c r="C14" s="115" t="str">
        <f>IF(_TECH_Cascade_Engine!$B13="","",MIN(5,_TECH_Cascade_Engine!$M13*MIN(_TECH_Dependency_Map!$B$34,1+(2/5)*(_TECH_Cascade_Engine!$Q13+_TECH_Dependency_Map!$B$29*_TECH_Cascade_Engine!$R13))))</f>
        <v/>
      </c>
      <c r="D14" s="115" t="str">
        <f>IF(_TECH_Cascade_Engine!$B13="","",MIN(5,_TECH_Cascade_Engine!$M13*MIN(_TECH_Dependency_Map!$B$34,1+(3/5)*(_TECH_Cascade_Engine!$Q13+_TECH_Dependency_Map!$B$29*_TECH_Cascade_Engine!$R13))))</f>
        <v/>
      </c>
      <c r="E14" s="115" t="str">
        <f>IF(_TECH_Cascade_Engine!$B13="","",MIN(5,_TECH_Cascade_Engine!$M13*MIN(_TECH_Dependency_Map!$B$34,1+(4/5)*(_TECH_Cascade_Engine!$Q13+_TECH_Dependency_Map!$B$29*_TECH_Cascade_Engine!$R13))))</f>
        <v/>
      </c>
      <c r="F14" s="115" t="str">
        <f>IF(_TECH_Cascade_Engine!$B13="","",MIN(5,_TECH_Cascade_Engine!$M13*MIN(_TECH_Dependency_Map!$B$34,1+(5/5)*(_TECH_Cascade_Engine!$Q13+_TECH_Dependency_Map!$B$29*_TECH_Cascade_Engine!$R13))))</f>
        <v/>
      </c>
    </row>
    <row r="15" spans="1:6">
      <c r="A15" s="118" t="str">
        <f>_TECH_Cascade_Engine!A14</f>
        <v>Manufacturing MES</v>
      </c>
      <c r="B15" s="115" t="str">
        <f>IF(_TECH_Cascade_Engine!$B14="","",MIN(5,_TECH_Cascade_Engine!$M14*MIN(_TECH_Dependency_Map!$B$34,1+(1/5)*(_TECH_Cascade_Engine!$Q14+_TECH_Dependency_Map!$B$29*_TECH_Cascade_Engine!$R14))))</f>
        <v/>
      </c>
      <c r="C15" s="115" t="str">
        <f>IF(_TECH_Cascade_Engine!$B14="","",MIN(5,_TECH_Cascade_Engine!$M14*MIN(_TECH_Dependency_Map!$B$34,1+(2/5)*(_TECH_Cascade_Engine!$Q14+_TECH_Dependency_Map!$B$29*_TECH_Cascade_Engine!$R14))))</f>
        <v/>
      </c>
      <c r="D15" s="115" t="str">
        <f>IF(_TECH_Cascade_Engine!$B14="","",MIN(5,_TECH_Cascade_Engine!$M14*MIN(_TECH_Dependency_Map!$B$34,1+(3/5)*(_TECH_Cascade_Engine!$Q14+_TECH_Dependency_Map!$B$29*_TECH_Cascade_Engine!$R14))))</f>
        <v/>
      </c>
      <c r="E15" s="115" t="str">
        <f>IF(_TECH_Cascade_Engine!$B14="","",MIN(5,_TECH_Cascade_Engine!$M14*MIN(_TECH_Dependency_Map!$B$34,1+(4/5)*(_TECH_Cascade_Engine!$Q14+_TECH_Dependency_Map!$B$29*_TECH_Cascade_Engine!$R14))))</f>
        <v/>
      </c>
      <c r="F15" s="115" t="str">
        <f>IF(_TECH_Cascade_Engine!$B14="","",MIN(5,_TECH_Cascade_Engine!$M14*MIN(_TECH_Dependency_Map!$B$34,1+(5/5)*(_TECH_Cascade_Engine!$Q14+_TECH_Dependency_Map!$B$29*_TECH_Cascade_Engine!$R14))))</f>
        <v/>
      </c>
    </row>
    <row r="16" spans="1:6">
      <c r="A16" s="118" t="str">
        <f>_TECH_Cascade_Engine!A15</f>
        <v>Sales CRM</v>
      </c>
      <c r="B16" s="115" t="str">
        <f>IF(_TECH_Cascade_Engine!$B15="","",MIN(5,_TECH_Cascade_Engine!$M15*MIN(_TECH_Dependency_Map!$B$34,1+(1/5)*(_TECH_Cascade_Engine!$Q15+_TECH_Dependency_Map!$B$29*_TECH_Cascade_Engine!$R15))))</f>
        <v/>
      </c>
      <c r="C16" s="115" t="str">
        <f>IF(_TECH_Cascade_Engine!$B15="","",MIN(5,_TECH_Cascade_Engine!$M15*MIN(_TECH_Dependency_Map!$B$34,1+(2/5)*(_TECH_Cascade_Engine!$Q15+_TECH_Dependency_Map!$B$29*_TECH_Cascade_Engine!$R15))))</f>
        <v/>
      </c>
      <c r="D16" s="115" t="str">
        <f>IF(_TECH_Cascade_Engine!$B15="","",MIN(5,_TECH_Cascade_Engine!$M15*MIN(_TECH_Dependency_Map!$B$34,1+(3/5)*(_TECH_Cascade_Engine!$Q15+_TECH_Dependency_Map!$B$29*_TECH_Cascade_Engine!$R15))))</f>
        <v/>
      </c>
      <c r="E16" s="115" t="str">
        <f>IF(_TECH_Cascade_Engine!$B15="","",MIN(5,_TECH_Cascade_Engine!$M15*MIN(_TECH_Dependency_Map!$B$34,1+(4/5)*(_TECH_Cascade_Engine!$Q15+_TECH_Dependency_Map!$B$29*_TECH_Cascade_Engine!$R15))))</f>
        <v/>
      </c>
      <c r="F16" s="115" t="str">
        <f>IF(_TECH_Cascade_Engine!$B15="","",MIN(5,_TECH_Cascade_Engine!$M15*MIN(_TECH_Dependency_Map!$B$34,1+(5/5)*(_TECH_Cascade_Engine!$Q15+_TECH_Dependency_Map!$B$29*_TECH_Cascade_Engine!$R15))))</f>
        <v/>
      </c>
    </row>
    <row r="17" spans="1:6">
      <c r="A17" s="118" t="str">
        <f>_TECH_Cascade_Engine!A16</f>
        <v>Marketing Comms</v>
      </c>
      <c r="B17" s="115" t="str">
        <f>IF(_TECH_Cascade_Engine!$B16="","",MIN(5,_TECH_Cascade_Engine!$M16*MIN(_TECH_Dependency_Map!$B$34,1+(1/5)*(_TECH_Cascade_Engine!$Q16+_TECH_Dependency_Map!$B$29*_TECH_Cascade_Engine!$R16))))</f>
        <v/>
      </c>
      <c r="C17" s="115" t="str">
        <f>IF(_TECH_Cascade_Engine!$B16="","",MIN(5,_TECH_Cascade_Engine!$M16*MIN(_TECH_Dependency_Map!$B$34,1+(2/5)*(_TECH_Cascade_Engine!$Q16+_TECH_Dependency_Map!$B$29*_TECH_Cascade_Engine!$R16))))</f>
        <v/>
      </c>
      <c r="D17" s="115" t="str">
        <f>IF(_TECH_Cascade_Engine!$B16="","",MIN(5,_TECH_Cascade_Engine!$M16*MIN(_TECH_Dependency_Map!$B$34,1+(3/5)*(_TECH_Cascade_Engine!$Q16+_TECH_Dependency_Map!$B$29*_TECH_Cascade_Engine!$R16))))</f>
        <v/>
      </c>
      <c r="E17" s="115" t="str">
        <f>IF(_TECH_Cascade_Engine!$B16="","",MIN(5,_TECH_Cascade_Engine!$M16*MIN(_TECH_Dependency_Map!$B$34,1+(4/5)*(_TECH_Cascade_Engine!$Q16+_TECH_Dependency_Map!$B$29*_TECH_Cascade_Engine!$R16))))</f>
        <v/>
      </c>
      <c r="F17" s="115" t="str">
        <f>IF(_TECH_Cascade_Engine!$B16="","",MIN(5,_TECH_Cascade_Engine!$M16*MIN(_TECH_Dependency_Map!$B$34,1+(5/5)*(_TECH_Cascade_Engine!$Q16+_TECH_Dependency_Map!$B$29*_TECH_Cascade_Engine!$R16))))</f>
        <v/>
      </c>
    </row>
    <row r="18" spans="1:6">
      <c r="A18" s="118" t="str">
        <f>_TECH_Cascade_Engine!A17</f>
        <v>IT Cloud DR</v>
      </c>
      <c r="B18" s="115" t="str">
        <f>IF(_TECH_Cascade_Engine!$B17="","",MIN(5,_TECH_Cascade_Engine!$M17*MIN(_TECH_Dependency_Map!$B$34,1+(1/5)*(_TECH_Cascade_Engine!$Q17+_TECH_Dependency_Map!$B$29*_TECH_Cascade_Engine!$R17))))</f>
        <v/>
      </c>
      <c r="C18" s="115" t="str">
        <f>IF(_TECH_Cascade_Engine!$B17="","",MIN(5,_TECH_Cascade_Engine!$M17*MIN(_TECH_Dependency_Map!$B$34,1+(2/5)*(_TECH_Cascade_Engine!$Q17+_TECH_Dependency_Map!$B$29*_TECH_Cascade_Engine!$R17))))</f>
        <v/>
      </c>
      <c r="D18" s="115" t="str">
        <f>IF(_TECH_Cascade_Engine!$B17="","",MIN(5,_TECH_Cascade_Engine!$M17*MIN(_TECH_Dependency_Map!$B$34,1+(3/5)*(_TECH_Cascade_Engine!$Q17+_TECH_Dependency_Map!$B$29*_TECH_Cascade_Engine!$R17))))</f>
        <v/>
      </c>
      <c r="E18" s="115" t="str">
        <f>IF(_TECH_Cascade_Engine!$B17="","",MIN(5,_TECH_Cascade_Engine!$M17*MIN(_TECH_Dependency_Map!$B$34,1+(4/5)*(_TECH_Cascade_Engine!$Q17+_TECH_Dependency_Map!$B$29*_TECH_Cascade_Engine!$R17))))</f>
        <v/>
      </c>
      <c r="F18" s="115" t="str">
        <f>IF(_TECH_Cascade_Engine!$B17="","",MIN(5,_TECH_Cascade_Engine!$M17*MIN(_TECH_Dependency_Map!$B$34,1+(5/5)*(_TECH_Cascade_Engine!$Q17+_TECH_Dependency_Map!$B$29*_TECH_Cascade_Engine!$R17))))</f>
        <v/>
      </c>
    </row>
    <row r="19" spans="1:6">
      <c r="A19" s="118" t="str">
        <f>_TECH_Cascade_Engine!A18</f>
        <v>Business Systems</v>
      </c>
      <c r="B19" s="115" t="str">
        <f>IF(_TECH_Cascade_Engine!$B18="","",MIN(5,_TECH_Cascade_Engine!$M18*MIN(_TECH_Dependency_Map!$B$34,1+(1/5)*(_TECH_Cascade_Engine!$Q18+_TECH_Dependency_Map!$B$29*_TECH_Cascade_Engine!$R18))))</f>
        <v/>
      </c>
      <c r="C19" s="115" t="str">
        <f>IF(_TECH_Cascade_Engine!$B18="","",MIN(5,_TECH_Cascade_Engine!$M18*MIN(_TECH_Dependency_Map!$B$34,1+(2/5)*(_TECH_Cascade_Engine!$Q18+_TECH_Dependency_Map!$B$29*_TECH_Cascade_Engine!$R18))))</f>
        <v/>
      </c>
      <c r="D19" s="115" t="str">
        <f>IF(_TECH_Cascade_Engine!$B18="","",MIN(5,_TECH_Cascade_Engine!$M18*MIN(_TECH_Dependency_Map!$B$34,1+(3/5)*(_TECH_Cascade_Engine!$Q18+_TECH_Dependency_Map!$B$29*_TECH_Cascade_Engine!$R18))))</f>
        <v/>
      </c>
      <c r="E19" s="115" t="str">
        <f>IF(_TECH_Cascade_Engine!$B18="","",MIN(5,_TECH_Cascade_Engine!$M18*MIN(_TECH_Dependency_Map!$B$34,1+(4/5)*(_TECH_Cascade_Engine!$Q18+_TECH_Dependency_Map!$B$29*_TECH_Cascade_Engine!$R18))))</f>
        <v/>
      </c>
      <c r="F19" s="115" t="str">
        <f>IF(_TECH_Cascade_Engine!$B18="","",MIN(5,_TECH_Cascade_Engine!$M18*MIN(_TECH_Dependency_Map!$B$34,1+(5/5)*(_TECH_Cascade_Engine!$Q18+_TECH_Dependency_Map!$B$29*_TECH_Cascade_Engine!$R18))))</f>
        <v/>
      </c>
    </row>
    <row r="20" spans="1:6">
      <c r="A20" s="118" t="str">
        <f>_TECH_Cascade_Engine!A19</f>
        <v>Data BI AI</v>
      </c>
      <c r="B20" s="115" t="str">
        <f>IF(_TECH_Cascade_Engine!$B19="","",MIN(5,_TECH_Cascade_Engine!$M19*MIN(_TECH_Dependency_Map!$B$34,1+(1/5)*(_TECH_Cascade_Engine!$Q19+_TECH_Dependency_Map!$B$29*_TECH_Cascade_Engine!$R19))))</f>
        <v/>
      </c>
      <c r="C20" s="115" t="str">
        <f>IF(_TECH_Cascade_Engine!$B19="","",MIN(5,_TECH_Cascade_Engine!$M19*MIN(_TECH_Dependency_Map!$B$34,1+(2/5)*(_TECH_Cascade_Engine!$Q19+_TECH_Dependency_Map!$B$29*_TECH_Cascade_Engine!$R19))))</f>
        <v/>
      </c>
      <c r="D20" s="115" t="str">
        <f>IF(_TECH_Cascade_Engine!$B19="","",MIN(5,_TECH_Cascade_Engine!$M19*MIN(_TECH_Dependency_Map!$B$34,1+(3/5)*(_TECH_Cascade_Engine!$Q19+_TECH_Dependency_Map!$B$29*_TECH_Cascade_Engine!$R19))))</f>
        <v/>
      </c>
      <c r="E20" s="115" t="str">
        <f>IF(_TECH_Cascade_Engine!$B19="","",MIN(5,_TECH_Cascade_Engine!$M19*MIN(_TECH_Dependency_Map!$B$34,1+(4/5)*(_TECH_Cascade_Engine!$Q19+_TECH_Dependency_Map!$B$29*_TECH_Cascade_Engine!$R19))))</f>
        <v/>
      </c>
      <c r="F20" s="115" t="str">
        <f>IF(_TECH_Cascade_Engine!$B19="","",MIN(5,_TECH_Cascade_Engine!$M19*MIN(_TECH_Dependency_Map!$B$34,1+(5/5)*(_TECH_Cascade_Engine!$Q19+_TECH_Dependency_Map!$B$29*_TECH_Cascade_Engine!$R19))))</f>
        <v/>
      </c>
    </row>
    <row r="21" spans="1:6">
      <c r="A21" s="118" t="str">
        <f>_TECH_Cascade_Engine!A20</f>
        <v>Cyber Privacy</v>
      </c>
      <c r="B21" s="115" t="str">
        <f>IF(_TECH_Cascade_Engine!$B20="","",MIN(5,_TECH_Cascade_Engine!$M20*MIN(_TECH_Dependency_Map!$B$34,1+(1/5)*(_TECH_Cascade_Engine!$Q20+_TECH_Dependency_Map!$B$29*_TECH_Cascade_Engine!$R20))))</f>
        <v/>
      </c>
      <c r="C21" s="115" t="str">
        <f>IF(_TECH_Cascade_Engine!$B20="","",MIN(5,_TECH_Cascade_Engine!$M20*MIN(_TECH_Dependency_Map!$B$34,1+(2/5)*(_TECH_Cascade_Engine!$Q20+_TECH_Dependency_Map!$B$29*_TECH_Cascade_Engine!$R20))))</f>
        <v/>
      </c>
      <c r="D21" s="115" t="str">
        <f>IF(_TECH_Cascade_Engine!$B20="","",MIN(5,_TECH_Cascade_Engine!$M20*MIN(_TECH_Dependency_Map!$B$34,1+(3/5)*(_TECH_Cascade_Engine!$Q20+_TECH_Dependency_Map!$B$29*_TECH_Cascade_Engine!$R20))))</f>
        <v/>
      </c>
      <c r="E21" s="115" t="str">
        <f>IF(_TECH_Cascade_Engine!$B20="","",MIN(5,_TECH_Cascade_Engine!$M20*MIN(_TECH_Dependency_Map!$B$34,1+(4/5)*(_TECH_Cascade_Engine!$Q20+_TECH_Dependency_Map!$B$29*_TECH_Cascade_Engine!$R20))))</f>
        <v/>
      </c>
      <c r="F21" s="115" t="str">
        <f>IF(_TECH_Cascade_Engine!$B20="","",MIN(5,_TECH_Cascade_Engine!$M20*MIN(_TECH_Dependency_Map!$B$34,1+(5/5)*(_TECH_Cascade_Engine!$Q20+_TECH_Dependency_Map!$B$29*_TECH_Cascade_Engine!$R20))))</f>
        <v/>
      </c>
    </row>
    <row r="22" spans="1:6">
      <c r="A22" s="118" t="str">
        <f>_TECH_Cascade_Engine!A21</f>
        <v>Quality Portfolio</v>
      </c>
      <c r="B22" s="115" t="str">
        <f>IF(_TECH_Cascade_Engine!$B21="","",MIN(5,_TECH_Cascade_Engine!$M21*MIN(_TECH_Dependency_Map!$B$34,1+(1/5)*(_TECH_Cascade_Engine!$Q21+_TECH_Dependency_Map!$B$29*_TECH_Cascade_Engine!$R21))))</f>
        <v/>
      </c>
      <c r="C22" s="115" t="str">
        <f>IF(_TECH_Cascade_Engine!$B21="","",MIN(5,_TECH_Cascade_Engine!$M21*MIN(_TECH_Dependency_Map!$B$34,1+(2/5)*(_TECH_Cascade_Engine!$Q21+_TECH_Dependency_Map!$B$29*_TECH_Cascade_Engine!$R21))))</f>
        <v/>
      </c>
      <c r="D22" s="115" t="str">
        <f>IF(_TECH_Cascade_Engine!$B21="","",MIN(5,_TECH_Cascade_Engine!$M21*MIN(_TECH_Dependency_Map!$B$34,1+(3/5)*(_TECH_Cascade_Engine!$Q21+_TECH_Dependency_Map!$B$29*_TECH_Cascade_Engine!$R21))))</f>
        <v/>
      </c>
      <c r="E22" s="115" t="str">
        <f>IF(_TECH_Cascade_Engine!$B21="","",MIN(5,_TECH_Cascade_Engine!$M21*MIN(_TECH_Dependency_Map!$B$34,1+(4/5)*(_TECH_Cascade_Engine!$Q21+_TECH_Dependency_Map!$B$29*_TECH_Cascade_Engine!$R21))))</f>
        <v/>
      </c>
      <c r="F22" s="115" t="str">
        <f>IF(_TECH_Cascade_Engine!$B21="","",MIN(5,_TECH_Cascade_Engine!$M21*MIN(_TECH_Dependency_Map!$B$34,1+(5/5)*(_TECH_Cascade_Engine!$Q21+_TECH_Dependency_Map!$B$29*_TECH_Cascade_Engine!$R21))))</f>
        <v/>
      </c>
    </row>
    <row r="23" spans="1:6" ht="15">
      <c r="A23" s="107" t="s">
        <v>236</v>
      </c>
      <c r="B23" s="11" t="str">
        <f>IFERROR(AVERAGE(B6:B22),"")</f>
        <v/>
      </c>
      <c r="C23" s="11" t="str">
        <f>IFERROR(AVERAGE(C6:C22),"")</f>
        <v/>
      </c>
      <c r="D23" s="11" t="str">
        <f>IFERROR(AVERAGE(D6:D22),"")</f>
        <v/>
      </c>
      <c r="E23" s="11" t="str">
        <f>IFERROR(AVERAGE(E6:E22),"")</f>
        <v/>
      </c>
      <c r="F23" s="11" t="str">
        <f>IFERROR(AVERAGE(F6:F22),"")</f>
        <v/>
      </c>
    </row>
    <row r="24" spans="1:6" ht="15">
      <c r="A24" s="107" t="s">
        <v>237</v>
      </c>
      <c r="B24" s="11">
        <f>IFERROR(MAX(B6:B22),"")</f>
        <v>0</v>
      </c>
      <c r="C24" s="11">
        <f>IFERROR(MAX(C6:C22),"")</f>
        <v>0</v>
      </c>
      <c r="D24" s="11">
        <f>IFERROR(MAX(D6:D22),"")</f>
        <v>0</v>
      </c>
      <c r="E24" s="11">
        <f>IFERROR(MAX(E6:E22),"")</f>
        <v>0</v>
      </c>
      <c r="F24" s="11">
        <f>IFERROR(MAX(F6:F22),"")</f>
        <v>0</v>
      </c>
    </row>
    <row r="27" spans="1:6" ht="15">
      <c r="A27" s="107" t="s">
        <v>238</v>
      </c>
    </row>
    <row r="28" spans="1:6">
      <c r="A28" s="110" t="s">
        <v>36</v>
      </c>
      <c r="B28" s="110" t="s">
        <v>239</v>
      </c>
      <c r="C28" s="110" t="s">
        <v>240</v>
      </c>
      <c r="D28" s="110" t="s">
        <v>241</v>
      </c>
      <c r="E28" s="110" t="s">
        <v>242</v>
      </c>
      <c r="F28" s="110" t="s">
        <v>243</v>
      </c>
    </row>
    <row r="29" spans="1:6">
      <c r="A29" s="118" t="str">
        <f>_TECH_Cascade_Engine!A5</f>
        <v>Company Geography</v>
      </c>
      <c r="B29" s="11" t="str">
        <f>IF(_TECH_Cascade_Engine!$B5="","",MIN(5,_TECH_Cascade_Engine!$J5+0*_TECH_Cascade_Engine!$K5))</f>
        <v/>
      </c>
      <c r="C29" s="11" t="str">
        <f>IF(_TECH_Cascade_Engine!$B5="","",MIN(5,_TECH_Cascade_Engine!$J5+0.2*_TECH_Cascade_Engine!$K5))</f>
        <v/>
      </c>
      <c r="D29" s="11" t="str">
        <f>IF(_TECH_Cascade_Engine!$B5="","",MIN(5,_TECH_Cascade_Engine!$J5+0.35*_TECH_Cascade_Engine!$K5))</f>
        <v/>
      </c>
      <c r="E29" s="11" t="str">
        <f>IF(_TECH_Cascade_Engine!$B5="","",MIN(5,_TECH_Cascade_Engine!$J5+0.5*_TECH_Cascade_Engine!$K5))</f>
        <v/>
      </c>
      <c r="F29" s="11" t="str">
        <f>IF(_TECH_Cascade_Engine!$B5="","",MIN(5,_TECH_Cascade_Engine!$J5+0.7*_TECH_Cascade_Engine!$K5))</f>
        <v/>
      </c>
    </row>
    <row r="30" spans="1:6">
      <c r="A30" s="118" t="str">
        <f>_TECH_Cascade_Engine!A6</f>
        <v>Strategy GTM</v>
      </c>
      <c r="B30" s="11" t="str">
        <f>IF(_TECH_Cascade_Engine!$B6="","",MIN(5,_TECH_Cascade_Engine!$J6+0*_TECH_Cascade_Engine!$K6))</f>
        <v/>
      </c>
      <c r="C30" s="11" t="str">
        <f>IF(_TECH_Cascade_Engine!$B6="","",MIN(5,_TECH_Cascade_Engine!$J6+0.2*_TECH_Cascade_Engine!$K6))</f>
        <v/>
      </c>
      <c r="D30" s="11" t="str">
        <f>IF(_TECH_Cascade_Engine!$B6="","",MIN(5,_TECH_Cascade_Engine!$J6+0.35*_TECH_Cascade_Engine!$K6))</f>
        <v/>
      </c>
      <c r="E30" s="11" t="str">
        <f>IF(_TECH_Cascade_Engine!$B6="","",MIN(5,_TECH_Cascade_Engine!$J6+0.5*_TECH_Cascade_Engine!$K6))</f>
        <v/>
      </c>
      <c r="F30" s="11" t="str">
        <f>IF(_TECH_Cascade_Engine!$B6="","",MIN(5,_TECH_Cascade_Engine!$J6+0.7*_TECH_Cascade_Engine!$K6))</f>
        <v/>
      </c>
    </row>
    <row r="31" spans="1:6">
      <c r="A31" s="118" t="str">
        <f>_TECH_Cascade_Engine!A7</f>
        <v>Governance Crisis</v>
      </c>
      <c r="B31" s="11" t="str">
        <f>IF(_TECH_Cascade_Engine!$B7="","",MIN(5,_TECH_Cascade_Engine!$J7+0*_TECH_Cascade_Engine!$K7))</f>
        <v/>
      </c>
      <c r="C31" s="11" t="str">
        <f>IF(_TECH_Cascade_Engine!$B7="","",MIN(5,_TECH_Cascade_Engine!$J7+0.2*_TECH_Cascade_Engine!$K7))</f>
        <v/>
      </c>
      <c r="D31" s="11" t="str">
        <f>IF(_TECH_Cascade_Engine!$B7="","",MIN(5,_TECH_Cascade_Engine!$J7+0.35*_TECH_Cascade_Engine!$K7))</f>
        <v/>
      </c>
      <c r="E31" s="11" t="str">
        <f>IF(_TECH_Cascade_Engine!$B7="","",MIN(5,_TECH_Cascade_Engine!$J7+0.5*_TECH_Cascade_Engine!$K7))</f>
        <v/>
      </c>
      <c r="F31" s="11" t="str">
        <f>IF(_TECH_Cascade_Engine!$B7="","",MIN(5,_TECH_Cascade_Engine!$J7+0.7*_TECH_Cascade_Engine!$K7))</f>
        <v/>
      </c>
    </row>
    <row r="32" spans="1:6">
      <c r="A32" s="118" t="str">
        <f>_TECH_Cascade_Engine!A8</f>
        <v>HR Workforce</v>
      </c>
      <c r="B32" s="11" t="str">
        <f>IF(_TECH_Cascade_Engine!$B8="","",MIN(5,_TECH_Cascade_Engine!$J8+0*_TECH_Cascade_Engine!$K8))</f>
        <v/>
      </c>
      <c r="C32" s="11" t="str">
        <f>IF(_TECH_Cascade_Engine!$B8="","",MIN(5,_TECH_Cascade_Engine!$J8+0.2*_TECH_Cascade_Engine!$K8))</f>
        <v/>
      </c>
      <c r="D32" s="11" t="str">
        <f>IF(_TECH_Cascade_Engine!$B8="","",MIN(5,_TECH_Cascade_Engine!$J8+0.35*_TECH_Cascade_Engine!$K8))</f>
        <v/>
      </c>
      <c r="E32" s="11" t="str">
        <f>IF(_TECH_Cascade_Engine!$B8="","",MIN(5,_TECH_Cascade_Engine!$J8+0.5*_TECH_Cascade_Engine!$K8))</f>
        <v/>
      </c>
      <c r="F32" s="11" t="str">
        <f>IF(_TECH_Cascade_Engine!$B8="","",MIN(5,_TECH_Cascade_Engine!$J8+0.7*_TECH_Cascade_Engine!$K8))</f>
        <v/>
      </c>
    </row>
    <row r="33" spans="1:6">
      <c r="A33" s="118" t="str">
        <f>_TECH_Cascade_Engine!A9</f>
        <v>Finance Procurement</v>
      </c>
      <c r="B33" s="11" t="str">
        <f>IF(_TECH_Cascade_Engine!$B9="","",MIN(5,_TECH_Cascade_Engine!$J9+0*_TECH_Cascade_Engine!$K9))</f>
        <v/>
      </c>
      <c r="C33" s="11" t="str">
        <f>IF(_TECH_Cascade_Engine!$B9="","",MIN(5,_TECH_Cascade_Engine!$J9+0.2*_TECH_Cascade_Engine!$K9))</f>
        <v/>
      </c>
      <c r="D33" s="11" t="str">
        <f>IF(_TECH_Cascade_Engine!$B9="","",MIN(5,_TECH_Cascade_Engine!$J9+0.35*_TECH_Cascade_Engine!$K9))</f>
        <v/>
      </c>
      <c r="E33" s="11" t="str">
        <f>IF(_TECH_Cascade_Engine!$B9="","",MIN(5,_TECH_Cascade_Engine!$J9+0.5*_TECH_Cascade_Engine!$K9))</f>
        <v/>
      </c>
      <c r="F33" s="11" t="str">
        <f>IF(_TECH_Cascade_Engine!$B9="","",MIN(5,_TECH_Cascade_Engine!$J9+0.7*_TECH_Cascade_Engine!$K9))</f>
        <v/>
      </c>
    </row>
    <row r="34" spans="1:6">
      <c r="A34" s="118" t="str">
        <f>_TECH_Cascade_Engine!A10</f>
        <v>Legal Risk</v>
      </c>
      <c r="B34" s="11" t="str">
        <f>IF(_TECH_Cascade_Engine!$B10="","",MIN(5,_TECH_Cascade_Engine!$J10+0*_TECH_Cascade_Engine!$K10))</f>
        <v/>
      </c>
      <c r="C34" s="11" t="str">
        <f>IF(_TECH_Cascade_Engine!$B10="","",MIN(5,_TECH_Cascade_Engine!$J10+0.2*_TECH_Cascade_Engine!$K10))</f>
        <v/>
      </c>
      <c r="D34" s="11" t="str">
        <f>IF(_TECH_Cascade_Engine!$B10="","",MIN(5,_TECH_Cascade_Engine!$J10+0.35*_TECH_Cascade_Engine!$K10))</f>
        <v/>
      </c>
      <c r="E34" s="11" t="str">
        <f>IF(_TECH_Cascade_Engine!$B10="","",MIN(5,_TECH_Cascade_Engine!$J10+0.5*_TECH_Cascade_Engine!$K10))</f>
        <v/>
      </c>
      <c r="F34" s="11" t="str">
        <f>IF(_TECH_Cascade_Engine!$B10="","",MIN(5,_TECH_Cascade_Engine!$J10+0.7*_TECH_Cascade_Engine!$K10))</f>
        <v/>
      </c>
    </row>
    <row r="35" spans="1:6">
      <c r="A35" s="118" t="str">
        <f>_TECH_Cascade_Engine!A11</f>
        <v>Physical Safety</v>
      </c>
      <c r="B35" s="11" t="str">
        <f>IF(_TECH_Cascade_Engine!$B11="","",MIN(5,_TECH_Cascade_Engine!$J11+0*_TECH_Cascade_Engine!$K11))</f>
        <v/>
      </c>
      <c r="C35" s="11" t="str">
        <f>IF(_TECH_Cascade_Engine!$B11="","",MIN(5,_TECH_Cascade_Engine!$J11+0.2*_TECH_Cascade_Engine!$K11))</f>
        <v/>
      </c>
      <c r="D35" s="11" t="str">
        <f>IF(_TECH_Cascade_Engine!$B11="","",MIN(5,_TECH_Cascade_Engine!$J11+0.35*_TECH_Cascade_Engine!$K11))</f>
        <v/>
      </c>
      <c r="E35" s="11" t="str">
        <f>IF(_TECH_Cascade_Engine!$B11="","",MIN(5,_TECH_Cascade_Engine!$J11+0.5*_TECH_Cascade_Engine!$K11))</f>
        <v/>
      </c>
      <c r="F35" s="11" t="str">
        <f>IF(_TECH_Cascade_Engine!$B11="","",MIN(5,_TECH_Cascade_Engine!$J11+0.7*_TECH_Cascade_Engine!$K11))</f>
        <v/>
      </c>
    </row>
    <row r="36" spans="1:6">
      <c r="A36" s="118" t="str">
        <f>_TECH_Cascade_Engine!A12</f>
        <v>Delivery Ops</v>
      </c>
      <c r="B36" s="11" t="str">
        <f>IF(_TECH_Cascade_Engine!$B12="","",MIN(5,_TECH_Cascade_Engine!$J12+0*_TECH_Cascade_Engine!$K12))</f>
        <v/>
      </c>
      <c r="C36" s="11" t="str">
        <f>IF(_TECH_Cascade_Engine!$B12="","",MIN(5,_TECH_Cascade_Engine!$J12+0.2*_TECH_Cascade_Engine!$K12))</f>
        <v/>
      </c>
      <c r="D36" s="11" t="str">
        <f>IF(_TECH_Cascade_Engine!$B12="","",MIN(5,_TECH_Cascade_Engine!$J12+0.35*_TECH_Cascade_Engine!$K12))</f>
        <v/>
      </c>
      <c r="E36" s="11" t="str">
        <f>IF(_TECH_Cascade_Engine!$B12="","",MIN(5,_TECH_Cascade_Engine!$J12+0.5*_TECH_Cascade_Engine!$K12))</f>
        <v/>
      </c>
      <c r="F36" s="11" t="str">
        <f>IF(_TECH_Cascade_Engine!$B12="","",MIN(5,_TECH_Cascade_Engine!$J12+0.7*_TECH_Cascade_Engine!$K12))</f>
        <v/>
      </c>
    </row>
    <row r="37" spans="1:6">
      <c r="A37" s="118" t="str">
        <f>_TECH_Cascade_Engine!A13</f>
        <v>Supply Chain</v>
      </c>
      <c r="B37" s="11" t="str">
        <f>IF(_TECH_Cascade_Engine!$B13="","",MIN(5,_TECH_Cascade_Engine!$J13+0*_TECH_Cascade_Engine!$K13))</f>
        <v/>
      </c>
      <c r="C37" s="11" t="str">
        <f>IF(_TECH_Cascade_Engine!$B13="","",MIN(5,_TECH_Cascade_Engine!$J13+0.2*_TECH_Cascade_Engine!$K13))</f>
        <v/>
      </c>
      <c r="D37" s="11" t="str">
        <f>IF(_TECH_Cascade_Engine!$B13="","",MIN(5,_TECH_Cascade_Engine!$J13+0.35*_TECH_Cascade_Engine!$K13))</f>
        <v/>
      </c>
      <c r="E37" s="11" t="str">
        <f>IF(_TECH_Cascade_Engine!$B13="","",MIN(5,_TECH_Cascade_Engine!$J13+0.5*_TECH_Cascade_Engine!$K13))</f>
        <v/>
      </c>
      <c r="F37" s="11" t="str">
        <f>IF(_TECH_Cascade_Engine!$B13="","",MIN(5,_TECH_Cascade_Engine!$J13+0.7*_TECH_Cascade_Engine!$K13))</f>
        <v/>
      </c>
    </row>
    <row r="38" spans="1:6">
      <c r="A38" s="118" t="str">
        <f>_TECH_Cascade_Engine!A14</f>
        <v>Manufacturing MES</v>
      </c>
      <c r="B38" s="11" t="str">
        <f>IF(_TECH_Cascade_Engine!$B14="","",MIN(5,_TECH_Cascade_Engine!$J14+0*_TECH_Cascade_Engine!$K14))</f>
        <v/>
      </c>
      <c r="C38" s="11" t="str">
        <f>IF(_TECH_Cascade_Engine!$B14="","",MIN(5,_TECH_Cascade_Engine!$J14+0.2*_TECH_Cascade_Engine!$K14))</f>
        <v/>
      </c>
      <c r="D38" s="11" t="str">
        <f>IF(_TECH_Cascade_Engine!$B14="","",MIN(5,_TECH_Cascade_Engine!$J14+0.35*_TECH_Cascade_Engine!$K14))</f>
        <v/>
      </c>
      <c r="E38" s="11" t="str">
        <f>IF(_TECH_Cascade_Engine!$B14="","",MIN(5,_TECH_Cascade_Engine!$J14+0.5*_TECH_Cascade_Engine!$K14))</f>
        <v/>
      </c>
      <c r="F38" s="11" t="str">
        <f>IF(_TECH_Cascade_Engine!$B14="","",MIN(5,_TECH_Cascade_Engine!$J14+0.7*_TECH_Cascade_Engine!$K14))</f>
        <v/>
      </c>
    </row>
    <row r="39" spans="1:6">
      <c r="A39" s="118" t="str">
        <f>_TECH_Cascade_Engine!A15</f>
        <v>Sales CRM</v>
      </c>
      <c r="B39" s="11" t="str">
        <f>IF(_TECH_Cascade_Engine!$B15="","",MIN(5,_TECH_Cascade_Engine!$J15+0*_TECH_Cascade_Engine!$K15))</f>
        <v/>
      </c>
      <c r="C39" s="11" t="str">
        <f>IF(_TECH_Cascade_Engine!$B15="","",MIN(5,_TECH_Cascade_Engine!$J15+0.2*_TECH_Cascade_Engine!$K15))</f>
        <v/>
      </c>
      <c r="D39" s="11" t="str">
        <f>IF(_TECH_Cascade_Engine!$B15="","",MIN(5,_TECH_Cascade_Engine!$J15+0.35*_TECH_Cascade_Engine!$K15))</f>
        <v/>
      </c>
      <c r="E39" s="11" t="str">
        <f>IF(_TECH_Cascade_Engine!$B15="","",MIN(5,_TECH_Cascade_Engine!$J15+0.5*_TECH_Cascade_Engine!$K15))</f>
        <v/>
      </c>
      <c r="F39" s="11" t="str">
        <f>IF(_TECH_Cascade_Engine!$B15="","",MIN(5,_TECH_Cascade_Engine!$J15+0.7*_TECH_Cascade_Engine!$K15))</f>
        <v/>
      </c>
    </row>
    <row r="40" spans="1:6">
      <c r="A40" s="118" t="str">
        <f>_TECH_Cascade_Engine!A16</f>
        <v>Marketing Comms</v>
      </c>
      <c r="B40" s="11" t="str">
        <f>IF(_TECH_Cascade_Engine!$B16="","",MIN(5,_TECH_Cascade_Engine!$J16+0*_TECH_Cascade_Engine!$K16))</f>
        <v/>
      </c>
      <c r="C40" s="11" t="str">
        <f>IF(_TECH_Cascade_Engine!$B16="","",MIN(5,_TECH_Cascade_Engine!$J16+0.2*_TECH_Cascade_Engine!$K16))</f>
        <v/>
      </c>
      <c r="D40" s="11" t="str">
        <f>IF(_TECH_Cascade_Engine!$B16="","",MIN(5,_TECH_Cascade_Engine!$J16+0.35*_TECH_Cascade_Engine!$K16))</f>
        <v/>
      </c>
      <c r="E40" s="11" t="str">
        <f>IF(_TECH_Cascade_Engine!$B16="","",MIN(5,_TECH_Cascade_Engine!$J16+0.5*_TECH_Cascade_Engine!$K16))</f>
        <v/>
      </c>
      <c r="F40" s="11" t="str">
        <f>IF(_TECH_Cascade_Engine!$B16="","",MIN(5,_TECH_Cascade_Engine!$J16+0.7*_TECH_Cascade_Engine!$K16))</f>
        <v/>
      </c>
    </row>
    <row r="41" spans="1:6">
      <c r="A41" s="118" t="str">
        <f>_TECH_Cascade_Engine!A17</f>
        <v>IT Cloud DR</v>
      </c>
      <c r="B41" s="11" t="str">
        <f>IF(_TECH_Cascade_Engine!$B17="","",MIN(5,_TECH_Cascade_Engine!$J17+0*_TECH_Cascade_Engine!$K17))</f>
        <v/>
      </c>
      <c r="C41" s="11" t="str">
        <f>IF(_TECH_Cascade_Engine!$B17="","",MIN(5,_TECH_Cascade_Engine!$J17+0.2*_TECH_Cascade_Engine!$K17))</f>
        <v/>
      </c>
      <c r="D41" s="11" t="str">
        <f>IF(_TECH_Cascade_Engine!$B17="","",MIN(5,_TECH_Cascade_Engine!$J17+0.35*_TECH_Cascade_Engine!$K17))</f>
        <v/>
      </c>
      <c r="E41" s="11" t="str">
        <f>IF(_TECH_Cascade_Engine!$B17="","",MIN(5,_TECH_Cascade_Engine!$J17+0.5*_TECH_Cascade_Engine!$K17))</f>
        <v/>
      </c>
      <c r="F41" s="11" t="str">
        <f>IF(_TECH_Cascade_Engine!$B17="","",MIN(5,_TECH_Cascade_Engine!$J17+0.7*_TECH_Cascade_Engine!$K17))</f>
        <v/>
      </c>
    </row>
    <row r="42" spans="1:6">
      <c r="A42" s="118" t="str">
        <f>_TECH_Cascade_Engine!A18</f>
        <v>Business Systems</v>
      </c>
      <c r="B42" s="11" t="str">
        <f>IF(_TECH_Cascade_Engine!$B18="","",MIN(5,_TECH_Cascade_Engine!$J18+0*_TECH_Cascade_Engine!$K18))</f>
        <v/>
      </c>
      <c r="C42" s="11" t="str">
        <f>IF(_TECH_Cascade_Engine!$B18="","",MIN(5,_TECH_Cascade_Engine!$J18+0.2*_TECH_Cascade_Engine!$K18))</f>
        <v/>
      </c>
      <c r="D42" s="11" t="str">
        <f>IF(_TECH_Cascade_Engine!$B18="","",MIN(5,_TECH_Cascade_Engine!$J18+0.35*_TECH_Cascade_Engine!$K18))</f>
        <v/>
      </c>
      <c r="E42" s="11" t="str">
        <f>IF(_TECH_Cascade_Engine!$B18="","",MIN(5,_TECH_Cascade_Engine!$J18+0.5*_TECH_Cascade_Engine!$K18))</f>
        <v/>
      </c>
      <c r="F42" s="11" t="str">
        <f>IF(_TECH_Cascade_Engine!$B18="","",MIN(5,_TECH_Cascade_Engine!$J18+0.7*_TECH_Cascade_Engine!$K18))</f>
        <v/>
      </c>
    </row>
    <row r="43" spans="1:6">
      <c r="A43" s="118" t="str">
        <f>_TECH_Cascade_Engine!A19</f>
        <v>Data BI AI</v>
      </c>
      <c r="B43" s="11" t="str">
        <f>IF(_TECH_Cascade_Engine!$B19="","",MIN(5,_TECH_Cascade_Engine!$J19+0*_TECH_Cascade_Engine!$K19))</f>
        <v/>
      </c>
      <c r="C43" s="11" t="str">
        <f>IF(_TECH_Cascade_Engine!$B19="","",MIN(5,_TECH_Cascade_Engine!$J19+0.2*_TECH_Cascade_Engine!$K19))</f>
        <v/>
      </c>
      <c r="D43" s="11" t="str">
        <f>IF(_TECH_Cascade_Engine!$B19="","",MIN(5,_TECH_Cascade_Engine!$J19+0.35*_TECH_Cascade_Engine!$K19))</f>
        <v/>
      </c>
      <c r="E43" s="11" t="str">
        <f>IF(_TECH_Cascade_Engine!$B19="","",MIN(5,_TECH_Cascade_Engine!$J19+0.5*_TECH_Cascade_Engine!$K19))</f>
        <v/>
      </c>
      <c r="F43" s="11" t="str">
        <f>IF(_TECH_Cascade_Engine!$B19="","",MIN(5,_TECH_Cascade_Engine!$J19+0.7*_TECH_Cascade_Engine!$K19))</f>
        <v/>
      </c>
    </row>
    <row r="44" spans="1:6">
      <c r="A44" s="118" t="str">
        <f>_TECH_Cascade_Engine!A20</f>
        <v>Cyber Privacy</v>
      </c>
      <c r="B44" s="11" t="str">
        <f>IF(_TECH_Cascade_Engine!$B20="","",MIN(5,_TECH_Cascade_Engine!$J20+0*_TECH_Cascade_Engine!$K20))</f>
        <v/>
      </c>
      <c r="C44" s="11" t="str">
        <f>IF(_TECH_Cascade_Engine!$B20="","",MIN(5,_TECH_Cascade_Engine!$J20+0.2*_TECH_Cascade_Engine!$K20))</f>
        <v/>
      </c>
      <c r="D44" s="11" t="str">
        <f>IF(_TECH_Cascade_Engine!$B20="","",MIN(5,_TECH_Cascade_Engine!$J20+0.35*_TECH_Cascade_Engine!$K20))</f>
        <v/>
      </c>
      <c r="E44" s="11" t="str">
        <f>IF(_TECH_Cascade_Engine!$B20="","",MIN(5,_TECH_Cascade_Engine!$J20+0.5*_TECH_Cascade_Engine!$K20))</f>
        <v/>
      </c>
      <c r="F44" s="11" t="str">
        <f>IF(_TECH_Cascade_Engine!$B20="","",MIN(5,_TECH_Cascade_Engine!$J20+0.7*_TECH_Cascade_Engine!$K20))</f>
        <v/>
      </c>
    </row>
    <row r="45" spans="1:6">
      <c r="A45" s="118" t="str">
        <f>_TECH_Cascade_Engine!A21</f>
        <v>Quality Portfolio</v>
      </c>
      <c r="B45" s="11" t="str">
        <f>IF(_TECH_Cascade_Engine!$B21="","",MIN(5,_TECH_Cascade_Engine!$J21+0*_TECH_Cascade_Engine!$K21))</f>
        <v/>
      </c>
      <c r="C45" s="11" t="str">
        <f>IF(_TECH_Cascade_Engine!$B21="","",MIN(5,_TECH_Cascade_Engine!$J21+0.2*_TECH_Cascade_Engine!$K21))</f>
        <v/>
      </c>
      <c r="D45" s="11" t="str">
        <f>IF(_TECH_Cascade_Engine!$B21="","",MIN(5,_TECH_Cascade_Engine!$J21+0.35*_TECH_Cascade_Engine!$K21))</f>
        <v/>
      </c>
      <c r="E45" s="11" t="str">
        <f>IF(_TECH_Cascade_Engine!$B21="","",MIN(5,_TECH_Cascade_Engine!$J21+0.5*_TECH_Cascade_Engine!$K21))</f>
        <v/>
      </c>
      <c r="F45" s="11" t="str">
        <f>IF(_TECH_Cascade_Engine!$B21="","",MIN(5,_TECH_Cascade_Engine!$J21+0.7*_TECH_Cascade_Engine!$K21))</f>
        <v/>
      </c>
    </row>
    <row r="46" spans="1:6" ht="15">
      <c r="A46" s="107" t="s">
        <v>236</v>
      </c>
      <c r="B46" s="11" t="str">
        <f>IFERROR(AVERAGE(B29:B45),"")</f>
        <v/>
      </c>
      <c r="C46" s="11" t="str">
        <f>IFERROR(AVERAGE(C29:C45),"")</f>
        <v/>
      </c>
      <c r="D46" s="11" t="str">
        <f>IFERROR(AVERAGE(D29:D45),"")</f>
        <v/>
      </c>
      <c r="E46" s="11" t="str">
        <f>IFERROR(AVERAGE(E29:E45),"")</f>
        <v/>
      </c>
      <c r="F46" s="11" t="str">
        <f>IFERROR(AVERAGE(F29:F45),"")</f>
        <v/>
      </c>
    </row>
    <row r="47" spans="1:6" ht="15">
      <c r="A47" s="107" t="s">
        <v>237</v>
      </c>
      <c r="B47" s="11">
        <f>IFERROR(MAX(B29:B45),"")</f>
        <v>0</v>
      </c>
      <c r="C47" s="11">
        <f>IFERROR(MAX(C29:C45),"")</f>
        <v>0</v>
      </c>
      <c r="D47" s="11">
        <f>IFERROR(MAX(D29:D45),"")</f>
        <v>0</v>
      </c>
      <c r="E47" s="11">
        <f>IFERROR(MAX(E29:E45),"")</f>
        <v>0</v>
      </c>
      <c r="F47" s="11">
        <f>IFERROR(MAX(F29:F45),"")</f>
        <v>0</v>
      </c>
    </row>
    <row r="48" spans="1:6">
      <c r="A48" s="100" t="s">
        <v>244</v>
      </c>
    </row>
    <row r="51" spans="1:6" ht="15">
      <c r="A51" s="107" t="s">
        <v>245</v>
      </c>
    </row>
    <row r="52" spans="1:6">
      <c r="A52" s="110" t="s">
        <v>36</v>
      </c>
      <c r="B52" s="110" t="s">
        <v>246</v>
      </c>
      <c r="C52" s="110" t="s">
        <v>247</v>
      </c>
      <c r="D52" s="110" t="s">
        <v>248</v>
      </c>
      <c r="E52" s="110" t="s">
        <v>249</v>
      </c>
      <c r="F52" s="110" t="s">
        <v>250</v>
      </c>
    </row>
    <row r="53" spans="1:6">
      <c r="A53" s="118" t="str">
        <f>_TECH_Cascade_Engine!A5</f>
        <v>Company Geography</v>
      </c>
      <c r="B53" s="11" t="str">
        <f>IF(_TECH_Cascade_Engine!$B5="","",IF(AND(_TECH_Cascade_Engine!$E5&lt;&gt;"",_TECH_Cascade_Engine!$E5&lt;_TECH_Dependency_Map!$B$30),MIN((0.4*_TECH_Cascade_Engine!$B5+(1-0.4)*_TECH_Cascade_Engine!$C5),_TECH_Dependency_Map!$B$31),(0.4*_TECH_Cascade_Engine!$B5+(1-0.4)*_TECH_Cascade_Engine!$C5)))</f>
        <v/>
      </c>
      <c r="C53" s="11" t="str">
        <f>IF(_TECH_Cascade_Engine!$B5="","",IF(AND(_TECH_Cascade_Engine!$E5&lt;&gt;"",_TECH_Cascade_Engine!$E5&lt;_TECH_Dependency_Map!$B$30),MIN((0.55*_TECH_Cascade_Engine!$B5+(1-0.55)*_TECH_Cascade_Engine!$C5),_TECH_Dependency_Map!$B$31),(0.55*_TECH_Cascade_Engine!$B5+(1-0.55)*_TECH_Cascade_Engine!$C5)))</f>
        <v/>
      </c>
      <c r="D53" s="11" t="str">
        <f>IF(_TECH_Cascade_Engine!$B5="","",IF(AND(_TECH_Cascade_Engine!$E5&lt;&gt;"",_TECH_Cascade_Engine!$E5&lt;_TECH_Dependency_Map!$B$30),MIN((0.65*_TECH_Cascade_Engine!$B5+(1-0.65)*_TECH_Cascade_Engine!$C5),_TECH_Dependency_Map!$B$31),(0.65*_TECH_Cascade_Engine!$B5+(1-0.65)*_TECH_Cascade_Engine!$C5)))</f>
        <v/>
      </c>
      <c r="E53" s="11" t="str">
        <f>IF(_TECH_Cascade_Engine!$B5="","",IF(AND(_TECH_Cascade_Engine!$E5&lt;&gt;"",_TECH_Cascade_Engine!$E5&lt;_TECH_Dependency_Map!$B$30),MIN((0.8*_TECH_Cascade_Engine!$B5+(1-0.8)*_TECH_Cascade_Engine!$C5),_TECH_Dependency_Map!$B$31),(0.8*_TECH_Cascade_Engine!$B5+(1-0.8)*_TECH_Cascade_Engine!$C5)))</f>
        <v/>
      </c>
      <c r="F53" s="11" t="str">
        <f>IF(_TECH_Cascade_Engine!$B5="","",IF(AND(_TECH_Cascade_Engine!$E5&lt;&gt;"",_TECH_Cascade_Engine!$E5&lt;_TECH_Dependency_Map!$B$30),MIN((0.95*_TECH_Cascade_Engine!$B5+(1-0.95)*_TECH_Cascade_Engine!$C5),_TECH_Dependency_Map!$B$31),(0.95*_TECH_Cascade_Engine!$B5+(1-0.95)*_TECH_Cascade_Engine!$C5)))</f>
        <v/>
      </c>
    </row>
    <row r="54" spans="1:6">
      <c r="A54" s="118" t="str">
        <f>_TECH_Cascade_Engine!A6</f>
        <v>Strategy GTM</v>
      </c>
      <c r="B54" s="11" t="str">
        <f>IF(_TECH_Cascade_Engine!$B6="","",IF(AND(_TECH_Cascade_Engine!$E6&lt;&gt;"",_TECH_Cascade_Engine!$E6&lt;_TECH_Dependency_Map!$B$30),MIN((0.4*_TECH_Cascade_Engine!$B6+(1-0.4)*_TECH_Cascade_Engine!$C6),_TECH_Dependency_Map!$B$31),(0.4*_TECH_Cascade_Engine!$B6+(1-0.4)*_TECH_Cascade_Engine!$C6)))</f>
        <v/>
      </c>
      <c r="C54" s="11" t="str">
        <f>IF(_TECH_Cascade_Engine!$B6="","",IF(AND(_TECH_Cascade_Engine!$E6&lt;&gt;"",_TECH_Cascade_Engine!$E6&lt;_TECH_Dependency_Map!$B$30),MIN((0.55*_TECH_Cascade_Engine!$B6+(1-0.55)*_TECH_Cascade_Engine!$C6),_TECH_Dependency_Map!$B$31),(0.55*_TECH_Cascade_Engine!$B6+(1-0.55)*_TECH_Cascade_Engine!$C6)))</f>
        <v/>
      </c>
      <c r="D54" s="11" t="str">
        <f>IF(_TECH_Cascade_Engine!$B6="","",IF(AND(_TECH_Cascade_Engine!$E6&lt;&gt;"",_TECH_Cascade_Engine!$E6&lt;_TECH_Dependency_Map!$B$30),MIN((0.65*_TECH_Cascade_Engine!$B6+(1-0.65)*_TECH_Cascade_Engine!$C6),_TECH_Dependency_Map!$B$31),(0.65*_TECH_Cascade_Engine!$B6+(1-0.65)*_TECH_Cascade_Engine!$C6)))</f>
        <v/>
      </c>
      <c r="E54" s="11" t="str">
        <f>IF(_TECH_Cascade_Engine!$B6="","",IF(AND(_TECH_Cascade_Engine!$E6&lt;&gt;"",_TECH_Cascade_Engine!$E6&lt;_TECH_Dependency_Map!$B$30),MIN((0.8*_TECH_Cascade_Engine!$B6+(1-0.8)*_TECH_Cascade_Engine!$C6),_TECH_Dependency_Map!$B$31),(0.8*_TECH_Cascade_Engine!$B6+(1-0.8)*_TECH_Cascade_Engine!$C6)))</f>
        <v/>
      </c>
      <c r="F54" s="11" t="str">
        <f>IF(_TECH_Cascade_Engine!$B6="","",IF(AND(_TECH_Cascade_Engine!$E6&lt;&gt;"",_TECH_Cascade_Engine!$E6&lt;_TECH_Dependency_Map!$B$30),MIN((0.95*_TECH_Cascade_Engine!$B6+(1-0.95)*_TECH_Cascade_Engine!$C6),_TECH_Dependency_Map!$B$31),(0.95*_TECH_Cascade_Engine!$B6+(1-0.95)*_TECH_Cascade_Engine!$C6)))</f>
        <v/>
      </c>
    </row>
    <row r="55" spans="1:6">
      <c r="A55" s="118" t="str">
        <f>_TECH_Cascade_Engine!A7</f>
        <v>Governance Crisis</v>
      </c>
      <c r="B55" s="11" t="str">
        <f>IF(_TECH_Cascade_Engine!$B7="","",IF(AND(_TECH_Cascade_Engine!$E7&lt;&gt;"",_TECH_Cascade_Engine!$E7&lt;_TECH_Dependency_Map!$B$30),MIN((0.4*_TECH_Cascade_Engine!$B7+(1-0.4)*_TECH_Cascade_Engine!$C7),_TECH_Dependency_Map!$B$31),(0.4*_TECH_Cascade_Engine!$B7+(1-0.4)*_TECH_Cascade_Engine!$C7)))</f>
        <v/>
      </c>
      <c r="C55" s="11" t="str">
        <f>IF(_TECH_Cascade_Engine!$B7="","",IF(AND(_TECH_Cascade_Engine!$E7&lt;&gt;"",_TECH_Cascade_Engine!$E7&lt;_TECH_Dependency_Map!$B$30),MIN((0.55*_TECH_Cascade_Engine!$B7+(1-0.55)*_TECH_Cascade_Engine!$C7),_TECH_Dependency_Map!$B$31),(0.55*_TECH_Cascade_Engine!$B7+(1-0.55)*_TECH_Cascade_Engine!$C7)))</f>
        <v/>
      </c>
      <c r="D55" s="11" t="str">
        <f>IF(_TECH_Cascade_Engine!$B7="","",IF(AND(_TECH_Cascade_Engine!$E7&lt;&gt;"",_TECH_Cascade_Engine!$E7&lt;_TECH_Dependency_Map!$B$30),MIN((0.65*_TECH_Cascade_Engine!$B7+(1-0.65)*_TECH_Cascade_Engine!$C7),_TECH_Dependency_Map!$B$31),(0.65*_TECH_Cascade_Engine!$B7+(1-0.65)*_TECH_Cascade_Engine!$C7)))</f>
        <v/>
      </c>
      <c r="E55" s="11" t="str">
        <f>IF(_TECH_Cascade_Engine!$B7="","",IF(AND(_TECH_Cascade_Engine!$E7&lt;&gt;"",_TECH_Cascade_Engine!$E7&lt;_TECH_Dependency_Map!$B$30),MIN((0.8*_TECH_Cascade_Engine!$B7+(1-0.8)*_TECH_Cascade_Engine!$C7),_TECH_Dependency_Map!$B$31),(0.8*_TECH_Cascade_Engine!$B7+(1-0.8)*_TECH_Cascade_Engine!$C7)))</f>
        <v/>
      </c>
      <c r="F55" s="11" t="str">
        <f>IF(_TECH_Cascade_Engine!$B7="","",IF(AND(_TECH_Cascade_Engine!$E7&lt;&gt;"",_TECH_Cascade_Engine!$E7&lt;_TECH_Dependency_Map!$B$30),MIN((0.95*_TECH_Cascade_Engine!$B7+(1-0.95)*_TECH_Cascade_Engine!$C7),_TECH_Dependency_Map!$B$31),(0.95*_TECH_Cascade_Engine!$B7+(1-0.95)*_TECH_Cascade_Engine!$C7)))</f>
        <v/>
      </c>
    </row>
    <row r="56" spans="1:6">
      <c r="A56" s="118" t="str">
        <f>_TECH_Cascade_Engine!A8</f>
        <v>HR Workforce</v>
      </c>
      <c r="B56" s="11" t="str">
        <f>IF(_TECH_Cascade_Engine!$B8="","",IF(AND(_TECH_Cascade_Engine!$E8&lt;&gt;"",_TECH_Cascade_Engine!$E8&lt;_TECH_Dependency_Map!$B$30),MIN((0.4*_TECH_Cascade_Engine!$B8+(1-0.4)*_TECH_Cascade_Engine!$C8),_TECH_Dependency_Map!$B$31),(0.4*_TECH_Cascade_Engine!$B8+(1-0.4)*_TECH_Cascade_Engine!$C8)))</f>
        <v/>
      </c>
      <c r="C56" s="11" t="str">
        <f>IF(_TECH_Cascade_Engine!$B8="","",IF(AND(_TECH_Cascade_Engine!$E8&lt;&gt;"",_TECH_Cascade_Engine!$E8&lt;_TECH_Dependency_Map!$B$30),MIN((0.55*_TECH_Cascade_Engine!$B8+(1-0.55)*_TECH_Cascade_Engine!$C8),_TECH_Dependency_Map!$B$31),(0.55*_TECH_Cascade_Engine!$B8+(1-0.55)*_TECH_Cascade_Engine!$C8)))</f>
        <v/>
      </c>
      <c r="D56" s="11" t="str">
        <f>IF(_TECH_Cascade_Engine!$B8="","",IF(AND(_TECH_Cascade_Engine!$E8&lt;&gt;"",_TECH_Cascade_Engine!$E8&lt;_TECH_Dependency_Map!$B$30),MIN((0.65*_TECH_Cascade_Engine!$B8+(1-0.65)*_TECH_Cascade_Engine!$C8),_TECH_Dependency_Map!$B$31),(0.65*_TECH_Cascade_Engine!$B8+(1-0.65)*_TECH_Cascade_Engine!$C8)))</f>
        <v/>
      </c>
      <c r="E56" s="11" t="str">
        <f>IF(_TECH_Cascade_Engine!$B8="","",IF(AND(_TECH_Cascade_Engine!$E8&lt;&gt;"",_TECH_Cascade_Engine!$E8&lt;_TECH_Dependency_Map!$B$30),MIN((0.8*_TECH_Cascade_Engine!$B8+(1-0.8)*_TECH_Cascade_Engine!$C8),_TECH_Dependency_Map!$B$31),(0.8*_TECH_Cascade_Engine!$B8+(1-0.8)*_TECH_Cascade_Engine!$C8)))</f>
        <v/>
      </c>
      <c r="F56" s="11" t="str">
        <f>IF(_TECH_Cascade_Engine!$B8="","",IF(AND(_TECH_Cascade_Engine!$E8&lt;&gt;"",_TECH_Cascade_Engine!$E8&lt;_TECH_Dependency_Map!$B$30),MIN((0.95*_TECH_Cascade_Engine!$B8+(1-0.95)*_TECH_Cascade_Engine!$C8),_TECH_Dependency_Map!$B$31),(0.95*_TECH_Cascade_Engine!$B8+(1-0.95)*_TECH_Cascade_Engine!$C8)))</f>
        <v/>
      </c>
    </row>
    <row r="57" spans="1:6">
      <c r="A57" s="118" t="str">
        <f>_TECH_Cascade_Engine!A9</f>
        <v>Finance Procurement</v>
      </c>
      <c r="B57" s="11" t="str">
        <f>IF(_TECH_Cascade_Engine!$B9="","",IF(AND(_TECH_Cascade_Engine!$E9&lt;&gt;"",_TECH_Cascade_Engine!$E9&lt;_TECH_Dependency_Map!$B$30),MIN((0.4*_TECH_Cascade_Engine!$B9+(1-0.4)*_TECH_Cascade_Engine!$C9),_TECH_Dependency_Map!$B$31),(0.4*_TECH_Cascade_Engine!$B9+(1-0.4)*_TECH_Cascade_Engine!$C9)))</f>
        <v/>
      </c>
      <c r="C57" s="11" t="str">
        <f>IF(_TECH_Cascade_Engine!$B9="","",IF(AND(_TECH_Cascade_Engine!$E9&lt;&gt;"",_TECH_Cascade_Engine!$E9&lt;_TECH_Dependency_Map!$B$30),MIN((0.55*_TECH_Cascade_Engine!$B9+(1-0.55)*_TECH_Cascade_Engine!$C9),_TECH_Dependency_Map!$B$31),(0.55*_TECH_Cascade_Engine!$B9+(1-0.55)*_TECH_Cascade_Engine!$C9)))</f>
        <v/>
      </c>
      <c r="D57" s="11" t="str">
        <f>IF(_TECH_Cascade_Engine!$B9="","",IF(AND(_TECH_Cascade_Engine!$E9&lt;&gt;"",_TECH_Cascade_Engine!$E9&lt;_TECH_Dependency_Map!$B$30),MIN((0.65*_TECH_Cascade_Engine!$B9+(1-0.65)*_TECH_Cascade_Engine!$C9),_TECH_Dependency_Map!$B$31),(0.65*_TECH_Cascade_Engine!$B9+(1-0.65)*_TECH_Cascade_Engine!$C9)))</f>
        <v/>
      </c>
      <c r="E57" s="11" t="str">
        <f>IF(_TECH_Cascade_Engine!$B9="","",IF(AND(_TECH_Cascade_Engine!$E9&lt;&gt;"",_TECH_Cascade_Engine!$E9&lt;_TECH_Dependency_Map!$B$30),MIN((0.8*_TECH_Cascade_Engine!$B9+(1-0.8)*_TECH_Cascade_Engine!$C9),_TECH_Dependency_Map!$B$31),(0.8*_TECH_Cascade_Engine!$B9+(1-0.8)*_TECH_Cascade_Engine!$C9)))</f>
        <v/>
      </c>
      <c r="F57" s="11" t="str">
        <f>IF(_TECH_Cascade_Engine!$B9="","",IF(AND(_TECH_Cascade_Engine!$E9&lt;&gt;"",_TECH_Cascade_Engine!$E9&lt;_TECH_Dependency_Map!$B$30),MIN((0.95*_TECH_Cascade_Engine!$B9+(1-0.95)*_TECH_Cascade_Engine!$C9),_TECH_Dependency_Map!$B$31),(0.95*_TECH_Cascade_Engine!$B9+(1-0.95)*_TECH_Cascade_Engine!$C9)))</f>
        <v/>
      </c>
    </row>
    <row r="58" spans="1:6">
      <c r="A58" s="118" t="str">
        <f>_TECH_Cascade_Engine!A10</f>
        <v>Legal Risk</v>
      </c>
      <c r="B58" s="11" t="str">
        <f>IF(_TECH_Cascade_Engine!$B10="","",IF(AND(_TECH_Cascade_Engine!$E10&lt;&gt;"",_TECH_Cascade_Engine!$E10&lt;_TECH_Dependency_Map!$B$30),MIN((0.4*_TECH_Cascade_Engine!$B10+(1-0.4)*_TECH_Cascade_Engine!$C10),_TECH_Dependency_Map!$B$31),(0.4*_TECH_Cascade_Engine!$B10+(1-0.4)*_TECH_Cascade_Engine!$C10)))</f>
        <v/>
      </c>
      <c r="C58" s="11" t="str">
        <f>IF(_TECH_Cascade_Engine!$B10="","",IF(AND(_TECH_Cascade_Engine!$E10&lt;&gt;"",_TECH_Cascade_Engine!$E10&lt;_TECH_Dependency_Map!$B$30),MIN((0.55*_TECH_Cascade_Engine!$B10+(1-0.55)*_TECH_Cascade_Engine!$C10),_TECH_Dependency_Map!$B$31),(0.55*_TECH_Cascade_Engine!$B10+(1-0.55)*_TECH_Cascade_Engine!$C10)))</f>
        <v/>
      </c>
      <c r="D58" s="11" t="str">
        <f>IF(_TECH_Cascade_Engine!$B10="","",IF(AND(_TECH_Cascade_Engine!$E10&lt;&gt;"",_TECH_Cascade_Engine!$E10&lt;_TECH_Dependency_Map!$B$30),MIN((0.65*_TECH_Cascade_Engine!$B10+(1-0.65)*_TECH_Cascade_Engine!$C10),_TECH_Dependency_Map!$B$31),(0.65*_TECH_Cascade_Engine!$B10+(1-0.65)*_TECH_Cascade_Engine!$C10)))</f>
        <v/>
      </c>
      <c r="E58" s="11" t="str">
        <f>IF(_TECH_Cascade_Engine!$B10="","",IF(AND(_TECH_Cascade_Engine!$E10&lt;&gt;"",_TECH_Cascade_Engine!$E10&lt;_TECH_Dependency_Map!$B$30),MIN((0.8*_TECH_Cascade_Engine!$B10+(1-0.8)*_TECH_Cascade_Engine!$C10),_TECH_Dependency_Map!$B$31),(0.8*_TECH_Cascade_Engine!$B10+(1-0.8)*_TECH_Cascade_Engine!$C10)))</f>
        <v/>
      </c>
      <c r="F58" s="11" t="str">
        <f>IF(_TECH_Cascade_Engine!$B10="","",IF(AND(_TECH_Cascade_Engine!$E10&lt;&gt;"",_TECH_Cascade_Engine!$E10&lt;_TECH_Dependency_Map!$B$30),MIN((0.95*_TECH_Cascade_Engine!$B10+(1-0.95)*_TECH_Cascade_Engine!$C10),_TECH_Dependency_Map!$B$31),(0.95*_TECH_Cascade_Engine!$B10+(1-0.95)*_TECH_Cascade_Engine!$C10)))</f>
        <v/>
      </c>
    </row>
    <row r="59" spans="1:6">
      <c r="A59" s="118" t="str">
        <f>_TECH_Cascade_Engine!A11</f>
        <v>Physical Safety</v>
      </c>
      <c r="B59" s="11" t="str">
        <f>IF(_TECH_Cascade_Engine!$B11="","",IF(AND(_TECH_Cascade_Engine!$E11&lt;&gt;"",_TECH_Cascade_Engine!$E11&lt;_TECH_Dependency_Map!$B$30),MIN((0.4*_TECH_Cascade_Engine!$B11+(1-0.4)*_TECH_Cascade_Engine!$C11),_TECH_Dependency_Map!$B$31),(0.4*_TECH_Cascade_Engine!$B11+(1-0.4)*_TECH_Cascade_Engine!$C11)))</f>
        <v/>
      </c>
      <c r="C59" s="11" t="str">
        <f>IF(_TECH_Cascade_Engine!$B11="","",IF(AND(_TECH_Cascade_Engine!$E11&lt;&gt;"",_TECH_Cascade_Engine!$E11&lt;_TECH_Dependency_Map!$B$30),MIN((0.55*_TECH_Cascade_Engine!$B11+(1-0.55)*_TECH_Cascade_Engine!$C11),_TECH_Dependency_Map!$B$31),(0.55*_TECH_Cascade_Engine!$B11+(1-0.55)*_TECH_Cascade_Engine!$C11)))</f>
        <v/>
      </c>
      <c r="D59" s="11" t="str">
        <f>IF(_TECH_Cascade_Engine!$B11="","",IF(AND(_TECH_Cascade_Engine!$E11&lt;&gt;"",_TECH_Cascade_Engine!$E11&lt;_TECH_Dependency_Map!$B$30),MIN((0.65*_TECH_Cascade_Engine!$B11+(1-0.65)*_TECH_Cascade_Engine!$C11),_TECH_Dependency_Map!$B$31),(0.65*_TECH_Cascade_Engine!$B11+(1-0.65)*_TECH_Cascade_Engine!$C11)))</f>
        <v/>
      </c>
      <c r="E59" s="11" t="str">
        <f>IF(_TECH_Cascade_Engine!$B11="","",IF(AND(_TECH_Cascade_Engine!$E11&lt;&gt;"",_TECH_Cascade_Engine!$E11&lt;_TECH_Dependency_Map!$B$30),MIN((0.8*_TECH_Cascade_Engine!$B11+(1-0.8)*_TECH_Cascade_Engine!$C11),_TECH_Dependency_Map!$B$31),(0.8*_TECH_Cascade_Engine!$B11+(1-0.8)*_TECH_Cascade_Engine!$C11)))</f>
        <v/>
      </c>
      <c r="F59" s="11" t="str">
        <f>IF(_TECH_Cascade_Engine!$B11="","",IF(AND(_TECH_Cascade_Engine!$E11&lt;&gt;"",_TECH_Cascade_Engine!$E11&lt;_TECH_Dependency_Map!$B$30),MIN((0.95*_TECH_Cascade_Engine!$B11+(1-0.95)*_TECH_Cascade_Engine!$C11),_TECH_Dependency_Map!$B$31),(0.95*_TECH_Cascade_Engine!$B11+(1-0.95)*_TECH_Cascade_Engine!$C11)))</f>
        <v/>
      </c>
    </row>
    <row r="60" spans="1:6">
      <c r="A60" s="118" t="str">
        <f>_TECH_Cascade_Engine!A12</f>
        <v>Delivery Ops</v>
      </c>
      <c r="B60" s="11" t="str">
        <f>IF(_TECH_Cascade_Engine!$B12="","",IF(AND(_TECH_Cascade_Engine!$E12&lt;&gt;"",_TECH_Cascade_Engine!$E12&lt;_TECH_Dependency_Map!$B$30),MIN((0.4*_TECH_Cascade_Engine!$B12+(1-0.4)*_TECH_Cascade_Engine!$C12),_TECH_Dependency_Map!$B$31),(0.4*_TECH_Cascade_Engine!$B12+(1-0.4)*_TECH_Cascade_Engine!$C12)))</f>
        <v/>
      </c>
      <c r="C60" s="11" t="str">
        <f>IF(_TECH_Cascade_Engine!$B12="","",IF(AND(_TECH_Cascade_Engine!$E12&lt;&gt;"",_TECH_Cascade_Engine!$E12&lt;_TECH_Dependency_Map!$B$30),MIN((0.55*_TECH_Cascade_Engine!$B12+(1-0.55)*_TECH_Cascade_Engine!$C12),_TECH_Dependency_Map!$B$31),(0.55*_TECH_Cascade_Engine!$B12+(1-0.55)*_TECH_Cascade_Engine!$C12)))</f>
        <v/>
      </c>
      <c r="D60" s="11" t="str">
        <f>IF(_TECH_Cascade_Engine!$B12="","",IF(AND(_TECH_Cascade_Engine!$E12&lt;&gt;"",_TECH_Cascade_Engine!$E12&lt;_TECH_Dependency_Map!$B$30),MIN((0.65*_TECH_Cascade_Engine!$B12+(1-0.65)*_TECH_Cascade_Engine!$C12),_TECH_Dependency_Map!$B$31),(0.65*_TECH_Cascade_Engine!$B12+(1-0.65)*_TECH_Cascade_Engine!$C12)))</f>
        <v/>
      </c>
      <c r="E60" s="11" t="str">
        <f>IF(_TECH_Cascade_Engine!$B12="","",IF(AND(_TECH_Cascade_Engine!$E12&lt;&gt;"",_TECH_Cascade_Engine!$E12&lt;_TECH_Dependency_Map!$B$30),MIN((0.8*_TECH_Cascade_Engine!$B12+(1-0.8)*_TECH_Cascade_Engine!$C12),_TECH_Dependency_Map!$B$31),(0.8*_TECH_Cascade_Engine!$B12+(1-0.8)*_TECH_Cascade_Engine!$C12)))</f>
        <v/>
      </c>
      <c r="F60" s="11" t="str">
        <f>IF(_TECH_Cascade_Engine!$B12="","",IF(AND(_TECH_Cascade_Engine!$E12&lt;&gt;"",_TECH_Cascade_Engine!$E12&lt;_TECH_Dependency_Map!$B$30),MIN((0.95*_TECH_Cascade_Engine!$B12+(1-0.95)*_TECH_Cascade_Engine!$C12),_TECH_Dependency_Map!$B$31),(0.95*_TECH_Cascade_Engine!$B12+(1-0.95)*_TECH_Cascade_Engine!$C12)))</f>
        <v/>
      </c>
    </row>
    <row r="61" spans="1:6">
      <c r="A61" s="118" t="str">
        <f>_TECH_Cascade_Engine!A13</f>
        <v>Supply Chain</v>
      </c>
      <c r="B61" s="11" t="str">
        <f>IF(_TECH_Cascade_Engine!$B13="","",IF(AND(_TECH_Cascade_Engine!$E13&lt;&gt;"",_TECH_Cascade_Engine!$E13&lt;_TECH_Dependency_Map!$B$30),MIN((0.4*_TECH_Cascade_Engine!$B13+(1-0.4)*_TECH_Cascade_Engine!$C13),_TECH_Dependency_Map!$B$31),(0.4*_TECH_Cascade_Engine!$B13+(1-0.4)*_TECH_Cascade_Engine!$C13)))</f>
        <v/>
      </c>
      <c r="C61" s="11" t="str">
        <f>IF(_TECH_Cascade_Engine!$B13="","",IF(AND(_TECH_Cascade_Engine!$E13&lt;&gt;"",_TECH_Cascade_Engine!$E13&lt;_TECH_Dependency_Map!$B$30),MIN((0.55*_TECH_Cascade_Engine!$B13+(1-0.55)*_TECH_Cascade_Engine!$C13),_TECH_Dependency_Map!$B$31),(0.55*_TECH_Cascade_Engine!$B13+(1-0.55)*_TECH_Cascade_Engine!$C13)))</f>
        <v/>
      </c>
      <c r="D61" s="11" t="str">
        <f>IF(_TECH_Cascade_Engine!$B13="","",IF(AND(_TECH_Cascade_Engine!$E13&lt;&gt;"",_TECH_Cascade_Engine!$E13&lt;_TECH_Dependency_Map!$B$30),MIN((0.65*_TECH_Cascade_Engine!$B13+(1-0.65)*_TECH_Cascade_Engine!$C13),_TECH_Dependency_Map!$B$31),(0.65*_TECH_Cascade_Engine!$B13+(1-0.65)*_TECH_Cascade_Engine!$C13)))</f>
        <v/>
      </c>
      <c r="E61" s="11" t="str">
        <f>IF(_TECH_Cascade_Engine!$B13="","",IF(AND(_TECH_Cascade_Engine!$E13&lt;&gt;"",_TECH_Cascade_Engine!$E13&lt;_TECH_Dependency_Map!$B$30),MIN((0.8*_TECH_Cascade_Engine!$B13+(1-0.8)*_TECH_Cascade_Engine!$C13),_TECH_Dependency_Map!$B$31),(0.8*_TECH_Cascade_Engine!$B13+(1-0.8)*_TECH_Cascade_Engine!$C13)))</f>
        <v/>
      </c>
      <c r="F61" s="11" t="str">
        <f>IF(_TECH_Cascade_Engine!$B13="","",IF(AND(_TECH_Cascade_Engine!$E13&lt;&gt;"",_TECH_Cascade_Engine!$E13&lt;_TECH_Dependency_Map!$B$30),MIN((0.95*_TECH_Cascade_Engine!$B13+(1-0.95)*_TECH_Cascade_Engine!$C13),_TECH_Dependency_Map!$B$31),(0.95*_TECH_Cascade_Engine!$B13+(1-0.95)*_TECH_Cascade_Engine!$C13)))</f>
        <v/>
      </c>
    </row>
    <row r="62" spans="1:6">
      <c r="A62" s="118" t="str">
        <f>_TECH_Cascade_Engine!A14</f>
        <v>Manufacturing MES</v>
      </c>
      <c r="B62" s="11" t="str">
        <f>IF(_TECH_Cascade_Engine!$B14="","",IF(AND(_TECH_Cascade_Engine!$E14&lt;&gt;"",_TECH_Cascade_Engine!$E14&lt;_TECH_Dependency_Map!$B$30),MIN((0.4*_TECH_Cascade_Engine!$B14+(1-0.4)*_TECH_Cascade_Engine!$C14),_TECH_Dependency_Map!$B$31),(0.4*_TECH_Cascade_Engine!$B14+(1-0.4)*_TECH_Cascade_Engine!$C14)))</f>
        <v/>
      </c>
      <c r="C62" s="11" t="str">
        <f>IF(_TECH_Cascade_Engine!$B14="","",IF(AND(_TECH_Cascade_Engine!$E14&lt;&gt;"",_TECH_Cascade_Engine!$E14&lt;_TECH_Dependency_Map!$B$30),MIN((0.55*_TECH_Cascade_Engine!$B14+(1-0.55)*_TECH_Cascade_Engine!$C14),_TECH_Dependency_Map!$B$31),(0.55*_TECH_Cascade_Engine!$B14+(1-0.55)*_TECH_Cascade_Engine!$C14)))</f>
        <v/>
      </c>
      <c r="D62" s="11" t="str">
        <f>IF(_TECH_Cascade_Engine!$B14="","",IF(AND(_TECH_Cascade_Engine!$E14&lt;&gt;"",_TECH_Cascade_Engine!$E14&lt;_TECH_Dependency_Map!$B$30),MIN((0.65*_TECH_Cascade_Engine!$B14+(1-0.65)*_TECH_Cascade_Engine!$C14),_TECH_Dependency_Map!$B$31),(0.65*_TECH_Cascade_Engine!$B14+(1-0.65)*_TECH_Cascade_Engine!$C14)))</f>
        <v/>
      </c>
      <c r="E62" s="11" t="str">
        <f>IF(_TECH_Cascade_Engine!$B14="","",IF(AND(_TECH_Cascade_Engine!$E14&lt;&gt;"",_TECH_Cascade_Engine!$E14&lt;_TECH_Dependency_Map!$B$30),MIN((0.8*_TECH_Cascade_Engine!$B14+(1-0.8)*_TECH_Cascade_Engine!$C14),_TECH_Dependency_Map!$B$31),(0.8*_TECH_Cascade_Engine!$B14+(1-0.8)*_TECH_Cascade_Engine!$C14)))</f>
        <v/>
      </c>
      <c r="F62" s="11" t="str">
        <f>IF(_TECH_Cascade_Engine!$B14="","",IF(AND(_TECH_Cascade_Engine!$E14&lt;&gt;"",_TECH_Cascade_Engine!$E14&lt;_TECH_Dependency_Map!$B$30),MIN((0.95*_TECH_Cascade_Engine!$B14+(1-0.95)*_TECH_Cascade_Engine!$C14),_TECH_Dependency_Map!$B$31),(0.95*_TECH_Cascade_Engine!$B14+(1-0.95)*_TECH_Cascade_Engine!$C14)))</f>
        <v/>
      </c>
    </row>
    <row r="63" spans="1:6">
      <c r="A63" s="118" t="str">
        <f>_TECH_Cascade_Engine!A15</f>
        <v>Sales CRM</v>
      </c>
      <c r="B63" s="11" t="str">
        <f>IF(_TECH_Cascade_Engine!$B15="","",IF(AND(_TECH_Cascade_Engine!$E15&lt;&gt;"",_TECH_Cascade_Engine!$E15&lt;_TECH_Dependency_Map!$B$30),MIN((0.4*_TECH_Cascade_Engine!$B15+(1-0.4)*_TECH_Cascade_Engine!$C15),_TECH_Dependency_Map!$B$31),(0.4*_TECH_Cascade_Engine!$B15+(1-0.4)*_TECH_Cascade_Engine!$C15)))</f>
        <v/>
      </c>
      <c r="C63" s="11" t="str">
        <f>IF(_TECH_Cascade_Engine!$B15="","",IF(AND(_TECH_Cascade_Engine!$E15&lt;&gt;"",_TECH_Cascade_Engine!$E15&lt;_TECH_Dependency_Map!$B$30),MIN((0.55*_TECH_Cascade_Engine!$B15+(1-0.55)*_TECH_Cascade_Engine!$C15),_TECH_Dependency_Map!$B$31),(0.55*_TECH_Cascade_Engine!$B15+(1-0.55)*_TECH_Cascade_Engine!$C15)))</f>
        <v/>
      </c>
      <c r="D63" s="11" t="str">
        <f>IF(_TECH_Cascade_Engine!$B15="","",IF(AND(_TECH_Cascade_Engine!$E15&lt;&gt;"",_TECH_Cascade_Engine!$E15&lt;_TECH_Dependency_Map!$B$30),MIN((0.65*_TECH_Cascade_Engine!$B15+(1-0.65)*_TECH_Cascade_Engine!$C15),_TECH_Dependency_Map!$B$31),(0.65*_TECH_Cascade_Engine!$B15+(1-0.65)*_TECH_Cascade_Engine!$C15)))</f>
        <v/>
      </c>
      <c r="E63" s="11" t="str">
        <f>IF(_TECH_Cascade_Engine!$B15="","",IF(AND(_TECH_Cascade_Engine!$E15&lt;&gt;"",_TECH_Cascade_Engine!$E15&lt;_TECH_Dependency_Map!$B$30),MIN((0.8*_TECH_Cascade_Engine!$B15+(1-0.8)*_TECH_Cascade_Engine!$C15),_TECH_Dependency_Map!$B$31),(0.8*_TECH_Cascade_Engine!$B15+(1-0.8)*_TECH_Cascade_Engine!$C15)))</f>
        <v/>
      </c>
      <c r="F63" s="11" t="str">
        <f>IF(_TECH_Cascade_Engine!$B15="","",IF(AND(_TECH_Cascade_Engine!$E15&lt;&gt;"",_TECH_Cascade_Engine!$E15&lt;_TECH_Dependency_Map!$B$30),MIN((0.95*_TECH_Cascade_Engine!$B15+(1-0.95)*_TECH_Cascade_Engine!$C15),_TECH_Dependency_Map!$B$31),(0.95*_TECH_Cascade_Engine!$B15+(1-0.95)*_TECH_Cascade_Engine!$C15)))</f>
        <v/>
      </c>
    </row>
    <row r="64" spans="1:6">
      <c r="A64" s="118" t="str">
        <f>_TECH_Cascade_Engine!A16</f>
        <v>Marketing Comms</v>
      </c>
      <c r="B64" s="11" t="str">
        <f>IF(_TECH_Cascade_Engine!$B16="","",IF(AND(_TECH_Cascade_Engine!$E16&lt;&gt;"",_TECH_Cascade_Engine!$E16&lt;_TECH_Dependency_Map!$B$30),MIN((0.4*_TECH_Cascade_Engine!$B16+(1-0.4)*_TECH_Cascade_Engine!$C16),_TECH_Dependency_Map!$B$31),(0.4*_TECH_Cascade_Engine!$B16+(1-0.4)*_TECH_Cascade_Engine!$C16)))</f>
        <v/>
      </c>
      <c r="C64" s="11" t="str">
        <f>IF(_TECH_Cascade_Engine!$B16="","",IF(AND(_TECH_Cascade_Engine!$E16&lt;&gt;"",_TECH_Cascade_Engine!$E16&lt;_TECH_Dependency_Map!$B$30),MIN((0.55*_TECH_Cascade_Engine!$B16+(1-0.55)*_TECH_Cascade_Engine!$C16),_TECH_Dependency_Map!$B$31),(0.55*_TECH_Cascade_Engine!$B16+(1-0.55)*_TECH_Cascade_Engine!$C16)))</f>
        <v/>
      </c>
      <c r="D64" s="11" t="str">
        <f>IF(_TECH_Cascade_Engine!$B16="","",IF(AND(_TECH_Cascade_Engine!$E16&lt;&gt;"",_TECH_Cascade_Engine!$E16&lt;_TECH_Dependency_Map!$B$30),MIN((0.65*_TECH_Cascade_Engine!$B16+(1-0.65)*_TECH_Cascade_Engine!$C16),_TECH_Dependency_Map!$B$31),(0.65*_TECH_Cascade_Engine!$B16+(1-0.65)*_TECH_Cascade_Engine!$C16)))</f>
        <v/>
      </c>
      <c r="E64" s="11" t="str">
        <f>IF(_TECH_Cascade_Engine!$B16="","",IF(AND(_TECH_Cascade_Engine!$E16&lt;&gt;"",_TECH_Cascade_Engine!$E16&lt;_TECH_Dependency_Map!$B$30),MIN((0.8*_TECH_Cascade_Engine!$B16+(1-0.8)*_TECH_Cascade_Engine!$C16),_TECH_Dependency_Map!$B$31),(0.8*_TECH_Cascade_Engine!$B16+(1-0.8)*_TECH_Cascade_Engine!$C16)))</f>
        <v/>
      </c>
      <c r="F64" s="11" t="str">
        <f>IF(_TECH_Cascade_Engine!$B16="","",IF(AND(_TECH_Cascade_Engine!$E16&lt;&gt;"",_TECH_Cascade_Engine!$E16&lt;_TECH_Dependency_Map!$B$30),MIN((0.95*_TECH_Cascade_Engine!$B16+(1-0.95)*_TECH_Cascade_Engine!$C16),_TECH_Dependency_Map!$B$31),(0.95*_TECH_Cascade_Engine!$B16+(1-0.95)*_TECH_Cascade_Engine!$C16)))</f>
        <v/>
      </c>
    </row>
    <row r="65" spans="1:6">
      <c r="A65" s="118" t="str">
        <f>_TECH_Cascade_Engine!A17</f>
        <v>IT Cloud DR</v>
      </c>
      <c r="B65" s="11" t="str">
        <f>IF(_TECH_Cascade_Engine!$B17="","",IF(AND(_TECH_Cascade_Engine!$E17&lt;&gt;"",_TECH_Cascade_Engine!$E17&lt;_TECH_Dependency_Map!$B$30),MIN((0.4*_TECH_Cascade_Engine!$B17+(1-0.4)*_TECH_Cascade_Engine!$C17),_TECH_Dependency_Map!$B$31),(0.4*_TECH_Cascade_Engine!$B17+(1-0.4)*_TECH_Cascade_Engine!$C17)))</f>
        <v/>
      </c>
      <c r="C65" s="11" t="str">
        <f>IF(_TECH_Cascade_Engine!$B17="","",IF(AND(_TECH_Cascade_Engine!$E17&lt;&gt;"",_TECH_Cascade_Engine!$E17&lt;_TECH_Dependency_Map!$B$30),MIN((0.55*_TECH_Cascade_Engine!$B17+(1-0.55)*_TECH_Cascade_Engine!$C17),_TECH_Dependency_Map!$B$31),(0.55*_TECH_Cascade_Engine!$B17+(1-0.55)*_TECH_Cascade_Engine!$C17)))</f>
        <v/>
      </c>
      <c r="D65" s="11" t="str">
        <f>IF(_TECH_Cascade_Engine!$B17="","",IF(AND(_TECH_Cascade_Engine!$E17&lt;&gt;"",_TECH_Cascade_Engine!$E17&lt;_TECH_Dependency_Map!$B$30),MIN((0.65*_TECH_Cascade_Engine!$B17+(1-0.65)*_TECH_Cascade_Engine!$C17),_TECH_Dependency_Map!$B$31),(0.65*_TECH_Cascade_Engine!$B17+(1-0.65)*_TECH_Cascade_Engine!$C17)))</f>
        <v/>
      </c>
      <c r="E65" s="11" t="str">
        <f>IF(_TECH_Cascade_Engine!$B17="","",IF(AND(_TECH_Cascade_Engine!$E17&lt;&gt;"",_TECH_Cascade_Engine!$E17&lt;_TECH_Dependency_Map!$B$30),MIN((0.8*_TECH_Cascade_Engine!$B17+(1-0.8)*_TECH_Cascade_Engine!$C17),_TECH_Dependency_Map!$B$31),(0.8*_TECH_Cascade_Engine!$B17+(1-0.8)*_TECH_Cascade_Engine!$C17)))</f>
        <v/>
      </c>
      <c r="F65" s="11" t="str">
        <f>IF(_TECH_Cascade_Engine!$B17="","",IF(AND(_TECH_Cascade_Engine!$E17&lt;&gt;"",_TECH_Cascade_Engine!$E17&lt;_TECH_Dependency_Map!$B$30),MIN((0.95*_TECH_Cascade_Engine!$B17+(1-0.95)*_TECH_Cascade_Engine!$C17),_TECH_Dependency_Map!$B$31),(0.95*_TECH_Cascade_Engine!$B17+(1-0.95)*_TECH_Cascade_Engine!$C17)))</f>
        <v/>
      </c>
    </row>
    <row r="66" spans="1:6">
      <c r="A66" s="118" t="str">
        <f>_TECH_Cascade_Engine!A18</f>
        <v>Business Systems</v>
      </c>
      <c r="B66" s="11" t="str">
        <f>IF(_TECH_Cascade_Engine!$B18="","",IF(AND(_TECH_Cascade_Engine!$E18&lt;&gt;"",_TECH_Cascade_Engine!$E18&lt;_TECH_Dependency_Map!$B$30),MIN((0.4*_TECH_Cascade_Engine!$B18+(1-0.4)*_TECH_Cascade_Engine!$C18),_TECH_Dependency_Map!$B$31),(0.4*_TECH_Cascade_Engine!$B18+(1-0.4)*_TECH_Cascade_Engine!$C18)))</f>
        <v/>
      </c>
      <c r="C66" s="11" t="str">
        <f>IF(_TECH_Cascade_Engine!$B18="","",IF(AND(_TECH_Cascade_Engine!$E18&lt;&gt;"",_TECH_Cascade_Engine!$E18&lt;_TECH_Dependency_Map!$B$30),MIN((0.55*_TECH_Cascade_Engine!$B18+(1-0.55)*_TECH_Cascade_Engine!$C18),_TECH_Dependency_Map!$B$31),(0.55*_TECH_Cascade_Engine!$B18+(1-0.55)*_TECH_Cascade_Engine!$C18)))</f>
        <v/>
      </c>
      <c r="D66" s="11" t="str">
        <f>IF(_TECH_Cascade_Engine!$B18="","",IF(AND(_TECH_Cascade_Engine!$E18&lt;&gt;"",_TECH_Cascade_Engine!$E18&lt;_TECH_Dependency_Map!$B$30),MIN((0.65*_TECH_Cascade_Engine!$B18+(1-0.65)*_TECH_Cascade_Engine!$C18),_TECH_Dependency_Map!$B$31),(0.65*_TECH_Cascade_Engine!$B18+(1-0.65)*_TECH_Cascade_Engine!$C18)))</f>
        <v/>
      </c>
      <c r="E66" s="11" t="str">
        <f>IF(_TECH_Cascade_Engine!$B18="","",IF(AND(_TECH_Cascade_Engine!$E18&lt;&gt;"",_TECH_Cascade_Engine!$E18&lt;_TECH_Dependency_Map!$B$30),MIN((0.8*_TECH_Cascade_Engine!$B18+(1-0.8)*_TECH_Cascade_Engine!$C18),_TECH_Dependency_Map!$B$31),(0.8*_TECH_Cascade_Engine!$B18+(1-0.8)*_TECH_Cascade_Engine!$C18)))</f>
        <v/>
      </c>
      <c r="F66" s="11" t="str">
        <f>IF(_TECH_Cascade_Engine!$B18="","",IF(AND(_TECH_Cascade_Engine!$E18&lt;&gt;"",_TECH_Cascade_Engine!$E18&lt;_TECH_Dependency_Map!$B$30),MIN((0.95*_TECH_Cascade_Engine!$B18+(1-0.95)*_TECH_Cascade_Engine!$C18),_TECH_Dependency_Map!$B$31),(0.95*_TECH_Cascade_Engine!$B18+(1-0.95)*_TECH_Cascade_Engine!$C18)))</f>
        <v/>
      </c>
    </row>
    <row r="67" spans="1:6">
      <c r="A67" s="118" t="str">
        <f>_TECH_Cascade_Engine!A19</f>
        <v>Data BI AI</v>
      </c>
      <c r="B67" s="11" t="str">
        <f>IF(_TECH_Cascade_Engine!$B19="","",IF(AND(_TECH_Cascade_Engine!$E19&lt;&gt;"",_TECH_Cascade_Engine!$E19&lt;_TECH_Dependency_Map!$B$30),MIN((0.4*_TECH_Cascade_Engine!$B19+(1-0.4)*_TECH_Cascade_Engine!$C19),_TECH_Dependency_Map!$B$31),(0.4*_TECH_Cascade_Engine!$B19+(1-0.4)*_TECH_Cascade_Engine!$C19)))</f>
        <v/>
      </c>
      <c r="C67" s="11" t="str">
        <f>IF(_TECH_Cascade_Engine!$B19="","",IF(AND(_TECH_Cascade_Engine!$E19&lt;&gt;"",_TECH_Cascade_Engine!$E19&lt;_TECH_Dependency_Map!$B$30),MIN((0.55*_TECH_Cascade_Engine!$B19+(1-0.55)*_TECH_Cascade_Engine!$C19),_TECH_Dependency_Map!$B$31),(0.55*_TECH_Cascade_Engine!$B19+(1-0.55)*_TECH_Cascade_Engine!$C19)))</f>
        <v/>
      </c>
      <c r="D67" s="11" t="str">
        <f>IF(_TECH_Cascade_Engine!$B19="","",IF(AND(_TECH_Cascade_Engine!$E19&lt;&gt;"",_TECH_Cascade_Engine!$E19&lt;_TECH_Dependency_Map!$B$30),MIN((0.65*_TECH_Cascade_Engine!$B19+(1-0.65)*_TECH_Cascade_Engine!$C19),_TECH_Dependency_Map!$B$31),(0.65*_TECH_Cascade_Engine!$B19+(1-0.65)*_TECH_Cascade_Engine!$C19)))</f>
        <v/>
      </c>
      <c r="E67" s="11" t="str">
        <f>IF(_TECH_Cascade_Engine!$B19="","",IF(AND(_TECH_Cascade_Engine!$E19&lt;&gt;"",_TECH_Cascade_Engine!$E19&lt;_TECH_Dependency_Map!$B$30),MIN((0.8*_TECH_Cascade_Engine!$B19+(1-0.8)*_TECH_Cascade_Engine!$C19),_TECH_Dependency_Map!$B$31),(0.8*_TECH_Cascade_Engine!$B19+(1-0.8)*_TECH_Cascade_Engine!$C19)))</f>
        <v/>
      </c>
      <c r="F67" s="11" t="str">
        <f>IF(_TECH_Cascade_Engine!$B19="","",IF(AND(_TECH_Cascade_Engine!$E19&lt;&gt;"",_TECH_Cascade_Engine!$E19&lt;_TECH_Dependency_Map!$B$30),MIN((0.95*_TECH_Cascade_Engine!$B19+(1-0.95)*_TECH_Cascade_Engine!$C19),_TECH_Dependency_Map!$B$31),(0.95*_TECH_Cascade_Engine!$B19+(1-0.95)*_TECH_Cascade_Engine!$C19)))</f>
        <v/>
      </c>
    </row>
    <row r="68" spans="1:6">
      <c r="A68" s="118" t="str">
        <f>_TECH_Cascade_Engine!A20</f>
        <v>Cyber Privacy</v>
      </c>
      <c r="B68" s="11" t="str">
        <f>IF(_TECH_Cascade_Engine!$B20="","",IF(AND(_TECH_Cascade_Engine!$E20&lt;&gt;"",_TECH_Cascade_Engine!$E20&lt;_TECH_Dependency_Map!$B$30),MIN((0.4*_TECH_Cascade_Engine!$B20+(1-0.4)*_TECH_Cascade_Engine!$C20),_TECH_Dependency_Map!$B$31),(0.4*_TECH_Cascade_Engine!$B20+(1-0.4)*_TECH_Cascade_Engine!$C20)))</f>
        <v/>
      </c>
      <c r="C68" s="11" t="str">
        <f>IF(_TECH_Cascade_Engine!$B20="","",IF(AND(_TECH_Cascade_Engine!$E20&lt;&gt;"",_TECH_Cascade_Engine!$E20&lt;_TECH_Dependency_Map!$B$30),MIN((0.55*_TECH_Cascade_Engine!$B20+(1-0.55)*_TECH_Cascade_Engine!$C20),_TECH_Dependency_Map!$B$31),(0.55*_TECH_Cascade_Engine!$B20+(1-0.55)*_TECH_Cascade_Engine!$C20)))</f>
        <v/>
      </c>
      <c r="D68" s="11" t="str">
        <f>IF(_TECH_Cascade_Engine!$B20="","",IF(AND(_TECH_Cascade_Engine!$E20&lt;&gt;"",_TECH_Cascade_Engine!$E20&lt;_TECH_Dependency_Map!$B$30),MIN((0.65*_TECH_Cascade_Engine!$B20+(1-0.65)*_TECH_Cascade_Engine!$C20),_TECH_Dependency_Map!$B$31),(0.65*_TECH_Cascade_Engine!$B20+(1-0.65)*_TECH_Cascade_Engine!$C20)))</f>
        <v/>
      </c>
      <c r="E68" s="11" t="str">
        <f>IF(_TECH_Cascade_Engine!$B20="","",IF(AND(_TECH_Cascade_Engine!$E20&lt;&gt;"",_TECH_Cascade_Engine!$E20&lt;_TECH_Dependency_Map!$B$30),MIN((0.8*_TECH_Cascade_Engine!$B20+(1-0.8)*_TECH_Cascade_Engine!$C20),_TECH_Dependency_Map!$B$31),(0.8*_TECH_Cascade_Engine!$B20+(1-0.8)*_TECH_Cascade_Engine!$C20)))</f>
        <v/>
      </c>
      <c r="F68" s="11" t="str">
        <f>IF(_TECH_Cascade_Engine!$B20="","",IF(AND(_TECH_Cascade_Engine!$E20&lt;&gt;"",_TECH_Cascade_Engine!$E20&lt;_TECH_Dependency_Map!$B$30),MIN((0.95*_TECH_Cascade_Engine!$B20+(1-0.95)*_TECH_Cascade_Engine!$C20),_TECH_Dependency_Map!$B$31),(0.95*_TECH_Cascade_Engine!$B20+(1-0.95)*_TECH_Cascade_Engine!$C20)))</f>
        <v/>
      </c>
    </row>
    <row r="69" spans="1:6">
      <c r="A69" s="118" t="str">
        <f>_TECH_Cascade_Engine!A21</f>
        <v>Quality Portfolio</v>
      </c>
      <c r="B69" s="11" t="str">
        <f>IF(_TECH_Cascade_Engine!$B21="","",IF(AND(_TECH_Cascade_Engine!$E21&lt;&gt;"",_TECH_Cascade_Engine!$E21&lt;_TECH_Dependency_Map!$B$30),MIN((0.4*_TECH_Cascade_Engine!$B21+(1-0.4)*_TECH_Cascade_Engine!$C21),_TECH_Dependency_Map!$B$31),(0.4*_TECH_Cascade_Engine!$B21+(1-0.4)*_TECH_Cascade_Engine!$C21)))</f>
        <v/>
      </c>
      <c r="C69" s="11" t="str">
        <f>IF(_TECH_Cascade_Engine!$B21="","",IF(AND(_TECH_Cascade_Engine!$E21&lt;&gt;"",_TECH_Cascade_Engine!$E21&lt;_TECH_Dependency_Map!$B$30),MIN((0.55*_TECH_Cascade_Engine!$B21+(1-0.55)*_TECH_Cascade_Engine!$C21),_TECH_Dependency_Map!$B$31),(0.55*_TECH_Cascade_Engine!$B21+(1-0.55)*_TECH_Cascade_Engine!$C21)))</f>
        <v/>
      </c>
      <c r="D69" s="11" t="str">
        <f>IF(_TECH_Cascade_Engine!$B21="","",IF(AND(_TECH_Cascade_Engine!$E21&lt;&gt;"",_TECH_Cascade_Engine!$E21&lt;_TECH_Dependency_Map!$B$30),MIN((0.65*_TECH_Cascade_Engine!$B21+(1-0.65)*_TECH_Cascade_Engine!$C21),_TECH_Dependency_Map!$B$31),(0.65*_TECH_Cascade_Engine!$B21+(1-0.65)*_TECH_Cascade_Engine!$C21)))</f>
        <v/>
      </c>
      <c r="E69" s="11" t="str">
        <f>IF(_TECH_Cascade_Engine!$B21="","",IF(AND(_TECH_Cascade_Engine!$E21&lt;&gt;"",_TECH_Cascade_Engine!$E21&lt;_TECH_Dependency_Map!$B$30),MIN((0.8*_TECH_Cascade_Engine!$B21+(1-0.8)*_TECH_Cascade_Engine!$C21),_TECH_Dependency_Map!$B$31),(0.8*_TECH_Cascade_Engine!$B21+(1-0.8)*_TECH_Cascade_Engine!$C21)))</f>
        <v/>
      </c>
      <c r="F69" s="11" t="str">
        <f>IF(_TECH_Cascade_Engine!$B21="","",IF(AND(_TECH_Cascade_Engine!$E21&lt;&gt;"",_TECH_Cascade_Engine!$E21&lt;_TECH_Dependency_Map!$B$30),MIN((0.95*_TECH_Cascade_Engine!$B21+(1-0.95)*_TECH_Cascade_Engine!$C21),_TECH_Dependency_Map!$B$31),(0.95*_TECH_Cascade_Engine!$B21+(1-0.95)*_TECH_Cascade_Engine!$C21)))</f>
        <v/>
      </c>
    </row>
    <row r="70" spans="1:6" ht="15">
      <c r="A70" s="107" t="s">
        <v>251</v>
      </c>
      <c r="B70" s="11" t="str">
        <f>IFERROR(_TECH_Dependency_Map!$B$33*AVERAGE(B53:B69)+(1-_TECH_Dependency_Map!$B$33)*MIN(B53:B69),"")</f>
        <v/>
      </c>
      <c r="C70" s="11" t="str">
        <f>IFERROR(_TECH_Dependency_Map!$B$33*AVERAGE(C53:C69)+(1-_TECH_Dependency_Map!$B$33)*MIN(C53:C69),"")</f>
        <v/>
      </c>
      <c r="D70" s="11" t="str">
        <f>IFERROR(_TECH_Dependency_Map!$B$33*AVERAGE(D53:D69)+(1-_TECH_Dependency_Map!$B$33)*MIN(D53:D69),"")</f>
        <v/>
      </c>
      <c r="E70" s="11" t="str">
        <f>IFERROR(_TECH_Dependency_Map!$B$33*AVERAGE(E53:E69)+(1-_TECH_Dependency_Map!$B$33)*MIN(E53:E69),"")</f>
        <v/>
      </c>
      <c r="F70" s="11" t="str">
        <f>IFERROR(_TECH_Dependency_Map!$B$33*AVERAGE(F53:F69)+(1-_TECH_Dependency_Map!$B$33)*MIN(F53:F69),"")</f>
        <v/>
      </c>
    </row>
    <row r="71" spans="1:6">
      <c r="A71" s="100" t="s">
        <v>252</v>
      </c>
    </row>
    <row r="73" spans="1:6" ht="54.95" customHeight="1">
      <c r="A73" s="169" t="s">
        <v>253</v>
      </c>
      <c r="B73" s="158"/>
      <c r="C73" s="158"/>
      <c r="D73" s="158"/>
      <c r="E73" s="158"/>
      <c r="F73" s="158"/>
    </row>
  </sheetData>
  <mergeCells count="1">
    <mergeCell ref="A73:F73"/>
  </mergeCells>
  <conditionalFormatting sqref="B6:F24">
    <cfRule type="colorScale" priority="1">
      <colorScale>
        <cfvo type="num" val="0"/>
        <cfvo type="num" val="2.5"/>
        <cfvo type="num" val="5"/>
        <color rgb="FF63BE7B"/>
        <color rgb="FFFFEB84"/>
        <color rgb="FFF8696B"/>
      </colorScale>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6.xml><?xml version="1.0" encoding="utf-8"?>
<worksheet xmlns="http://schemas.openxmlformats.org/spreadsheetml/2006/main" xmlns:ns1="http://schemas.openxmlformats.org/markup-compatibility/2006" xmlns:ns2="http://schemas.microsoft.com/office/spreadsheetml/2014/revision" ns1:Ignorable="x14ac xr xr2 xr3" ns2:uid="{00000000-0001-0000-0500-000000000000}">
  <sheetPr>
    <tabColor rgb="FF2E75B6"/>
  </sheetPr>
  <dimension ref="A1:V96"/>
  <sheetViews>
    <sheetView workbookViewId="0"/>
  </sheetViews>
  <sheetFormatPr defaultRowHeight="14.25"/>
  <cols>
    <col min="1" max="2" width="90" customWidth="1"/>
    <col min="3" max="3" width="96" customWidth="1"/>
  </cols>
  <sheetData>
    <row r="1" spans="1:22" ht="27.95" customHeight="1">
      <c r="A1" s="160" t="s">
        <v>254</v>
      </c>
      <c r="B1" s="158"/>
      <c r="C1" s="158"/>
      <c r="D1" s="158"/>
      <c r="E1" s="158"/>
      <c r="F1" s="158"/>
      <c r="G1" s="158"/>
      <c r="H1" s="158"/>
      <c r="I1" s="158"/>
      <c r="J1" s="158"/>
      <c r="K1" s="158"/>
      <c r="L1" s="158"/>
      <c r="M1" s="158"/>
      <c r="N1" s="158"/>
      <c r="O1" s="158"/>
      <c r="P1" s="158"/>
      <c r="Q1" s="158"/>
      <c r="R1" s="158"/>
      <c r="S1" s="158"/>
      <c r="T1" s="158"/>
      <c r="U1" s="158"/>
      <c r="V1" s="158"/>
    </row>
    <row r="2" spans="1:22" ht="38.1" customHeight="1">
      <c r="A2" s="157" t="s">
        <v>255</v>
      </c>
      <c r="B2" s="158"/>
      <c r="C2" s="158"/>
      <c r="D2" s="158"/>
      <c r="E2" s="158"/>
      <c r="F2" s="158"/>
      <c r="G2" s="158"/>
      <c r="H2" s="158"/>
      <c r="I2" s="158"/>
      <c r="J2" s="158"/>
      <c r="K2" s="158"/>
      <c r="L2" s="158"/>
      <c r="M2" s="158"/>
      <c r="N2" s="158"/>
      <c r="O2" s="158"/>
      <c r="P2" s="158"/>
      <c r="Q2" s="158"/>
      <c r="R2" s="158"/>
      <c r="S2" s="158"/>
      <c r="T2" s="158"/>
      <c r="U2" s="158"/>
      <c r="V2" s="158"/>
    </row>
    <row r="4" spans="1:22" ht="15">
      <c r="A4" s="4" t="s">
        <v>256</v>
      </c>
      <c r="B4" s="4" t="s">
        <v>257</v>
      </c>
      <c r="C4" s="4" t="s">
        <v>258</v>
      </c>
    </row>
    <row r="5" spans="1:22">
      <c r="A5" s="5">
        <v>0</v>
      </c>
      <c r="B5" s="5" t="s">
        <v>259</v>
      </c>
      <c r="C5" s="5" t="s">
        <v>260</v>
      </c>
    </row>
    <row r="6" spans="1:22">
      <c r="A6" s="5">
        <v>1</v>
      </c>
      <c r="B6" s="5" t="s">
        <v>261</v>
      </c>
      <c r="C6" s="5" t="s">
        <v>262</v>
      </c>
    </row>
    <row r="7" spans="1:22">
      <c r="A7" s="5">
        <v>2</v>
      </c>
      <c r="B7" s="5" t="s">
        <v>263</v>
      </c>
      <c r="C7" s="5" t="s">
        <v>264</v>
      </c>
    </row>
    <row r="8" spans="1:22">
      <c r="A8" s="5">
        <v>3</v>
      </c>
      <c r="B8" s="5" t="s">
        <v>265</v>
      </c>
      <c r="C8" s="5" t="s">
        <v>266</v>
      </c>
    </row>
    <row r="9" spans="1:22" ht="28.5">
      <c r="A9" s="5">
        <v>4</v>
      </c>
      <c r="B9" s="5" t="s">
        <v>267</v>
      </c>
      <c r="C9" s="5" t="s">
        <v>268</v>
      </c>
    </row>
    <row r="10" spans="1:22" ht="28.5">
      <c r="A10" s="5">
        <v>5</v>
      </c>
      <c r="B10" s="5" t="s">
        <v>269</v>
      </c>
      <c r="C10" s="5" t="s">
        <v>270</v>
      </c>
    </row>
    <row r="11" spans="1:22">
      <c r="A11" s="5" t="s">
        <v>271</v>
      </c>
      <c r="B11" s="5" t="s">
        <v>272</v>
      </c>
      <c r="C11" s="5" t="s">
        <v>273</v>
      </c>
    </row>
    <row r="12" spans="1:22">
      <c r="A12" s="5"/>
      <c r="B12" s="5"/>
      <c r="C12" s="5"/>
    </row>
    <row r="13" spans="1:22">
      <c r="A13" s="5" t="s">
        <v>274</v>
      </c>
      <c r="B13" s="5" t="s">
        <v>275</v>
      </c>
      <c r="C13" s="5" t="s">
        <v>276</v>
      </c>
    </row>
    <row r="14" spans="1:22">
      <c r="A14" s="5">
        <v>1</v>
      </c>
      <c r="B14" s="5" t="s">
        <v>48</v>
      </c>
      <c r="C14" s="5" t="s">
        <v>277</v>
      </c>
    </row>
    <row r="15" spans="1:22">
      <c r="A15" s="5">
        <v>2</v>
      </c>
      <c r="B15" s="5" t="s">
        <v>278</v>
      </c>
      <c r="C15" s="5" t="s">
        <v>279</v>
      </c>
    </row>
    <row r="16" spans="1:22">
      <c r="A16" s="5">
        <v>3</v>
      </c>
      <c r="B16" s="5" t="s">
        <v>280</v>
      </c>
      <c r="C16" s="5" t="s">
        <v>281</v>
      </c>
    </row>
    <row r="17" spans="1:3">
      <c r="A17" s="5">
        <v>4</v>
      </c>
      <c r="B17" s="5" t="s">
        <v>46</v>
      </c>
      <c r="C17" s="5" t="s">
        <v>282</v>
      </c>
    </row>
    <row r="18" spans="1:3">
      <c r="A18" s="5">
        <v>5</v>
      </c>
      <c r="B18" s="5" t="s">
        <v>45</v>
      </c>
      <c r="C18" s="5" t="s">
        <v>283</v>
      </c>
    </row>
    <row r="19" spans="1:3">
      <c r="A19" s="5"/>
      <c r="B19" s="5"/>
      <c r="C19" s="5"/>
    </row>
    <row r="20" spans="1:3">
      <c r="A20" s="5" t="s">
        <v>222</v>
      </c>
      <c r="B20" s="5" t="s">
        <v>284</v>
      </c>
      <c r="C20" s="5" t="s">
        <v>53</v>
      </c>
    </row>
    <row r="21" spans="1:3">
      <c r="A21" s="5" t="s">
        <v>45</v>
      </c>
      <c r="B21" s="5" t="s">
        <v>285</v>
      </c>
      <c r="C21" s="5" t="s">
        <v>286</v>
      </c>
    </row>
    <row r="22" spans="1:3">
      <c r="A22" s="5" t="s">
        <v>46</v>
      </c>
      <c r="B22" s="5" t="s">
        <v>287</v>
      </c>
      <c r="C22" s="5" t="s">
        <v>288</v>
      </c>
    </row>
    <row r="23" spans="1:3">
      <c r="A23" s="5" t="s">
        <v>47</v>
      </c>
      <c r="B23" s="5" t="s">
        <v>289</v>
      </c>
      <c r="C23" s="5" t="s">
        <v>290</v>
      </c>
    </row>
    <row r="24" spans="1:3">
      <c r="A24" s="5" t="s">
        <v>48</v>
      </c>
      <c r="B24" s="5" t="s">
        <v>291</v>
      </c>
      <c r="C24" s="5" t="s">
        <v>292</v>
      </c>
    </row>
    <row r="25" spans="1:3">
      <c r="A25" s="5" t="s">
        <v>49</v>
      </c>
      <c r="B25" s="5" t="s">
        <v>293</v>
      </c>
      <c r="C25" s="5" t="s">
        <v>294</v>
      </c>
    </row>
    <row r="27" spans="1:3">
      <c r="A27" s="171" t="s">
        <v>295</v>
      </c>
      <c r="B27" s="158"/>
      <c r="C27" s="158"/>
    </row>
    <row r="28" spans="1:3" ht="15">
      <c r="A28" s="17" t="s">
        <v>296</v>
      </c>
      <c r="B28" s="5" t="s">
        <v>297</v>
      </c>
      <c r="C28" s="5" t="s">
        <v>298</v>
      </c>
    </row>
    <row r="29" spans="1:3" ht="15">
      <c r="A29" s="17" t="s">
        <v>299</v>
      </c>
      <c r="B29" s="5" t="s">
        <v>300</v>
      </c>
      <c r="C29" s="5" t="s">
        <v>301</v>
      </c>
    </row>
    <row r="30" spans="1:3" ht="15">
      <c r="A30" s="17" t="s">
        <v>302</v>
      </c>
      <c r="B30" s="5" t="s">
        <v>303</v>
      </c>
      <c r="C30" s="5" t="s">
        <v>304</v>
      </c>
    </row>
    <row r="31" spans="1:3" ht="15">
      <c r="A31" s="17" t="s">
        <v>305</v>
      </c>
      <c r="B31" s="5" t="s">
        <v>306</v>
      </c>
      <c r="C31" s="5" t="s">
        <v>307</v>
      </c>
    </row>
    <row r="32" spans="1:3" ht="15">
      <c r="A32" s="17" t="s">
        <v>308</v>
      </c>
      <c r="B32" s="5" t="s">
        <v>309</v>
      </c>
      <c r="C32" s="5" t="s">
        <v>310</v>
      </c>
    </row>
    <row r="33" spans="1:8" ht="15">
      <c r="A33" s="17" t="s">
        <v>311</v>
      </c>
      <c r="B33" s="5" t="s">
        <v>312</v>
      </c>
      <c r="C33" s="5" t="s">
        <v>313</v>
      </c>
    </row>
    <row r="34" spans="1:8" ht="15">
      <c r="A34" s="17" t="s">
        <v>314</v>
      </c>
      <c r="B34" s="5" t="s">
        <v>315</v>
      </c>
      <c r="C34" s="5" t="s">
        <v>316</v>
      </c>
    </row>
    <row r="36" spans="1:8" ht="15">
      <c r="A36" s="170" t="s">
        <v>317</v>
      </c>
      <c r="B36" s="158"/>
      <c r="C36" s="158"/>
    </row>
    <row r="37" spans="1:8" ht="15">
      <c r="A37" s="30" t="s">
        <v>318</v>
      </c>
      <c r="B37" s="7" t="s">
        <v>319</v>
      </c>
      <c r="C37" s="7" t="s">
        <v>320</v>
      </c>
    </row>
    <row r="38" spans="1:8" ht="28.5">
      <c r="A38" s="30" t="s">
        <v>321</v>
      </c>
      <c r="B38" s="7" t="s">
        <v>322</v>
      </c>
      <c r="C38" s="7" t="s">
        <v>323</v>
      </c>
    </row>
    <row r="39" spans="1:8" ht="15">
      <c r="A39" s="30" t="s">
        <v>324</v>
      </c>
      <c r="B39" s="7" t="s">
        <v>325</v>
      </c>
      <c r="C39" s="7" t="s">
        <v>326</v>
      </c>
    </row>
    <row r="40" spans="1:8" ht="15">
      <c r="A40" s="30" t="s">
        <v>327</v>
      </c>
      <c r="B40" s="7" t="s">
        <v>325</v>
      </c>
      <c r="C40" s="7" t="s">
        <v>328</v>
      </c>
    </row>
    <row r="41" spans="1:8" ht="15">
      <c r="A41" s="30" t="s">
        <v>329</v>
      </c>
      <c r="B41" s="7" t="s">
        <v>330</v>
      </c>
      <c r="C41" s="7" t="s">
        <v>331</v>
      </c>
    </row>
    <row r="42" spans="1:8" ht="15">
      <c r="A42" s="30" t="s">
        <v>332</v>
      </c>
      <c r="B42" s="7" t="s">
        <v>333</v>
      </c>
      <c r="C42" s="7" t="s">
        <v>334</v>
      </c>
    </row>
    <row r="43" spans="1:8" ht="15">
      <c r="A43" s="30" t="s">
        <v>335</v>
      </c>
      <c r="B43" s="7" t="s">
        <v>336</v>
      </c>
      <c r="C43" s="7" t="s">
        <v>337</v>
      </c>
    </row>
    <row r="46" spans="1:8" ht="20.25">
      <c r="A46" s="172" t="s">
        <v>338</v>
      </c>
      <c r="B46" s="158"/>
      <c r="C46" s="158"/>
      <c r="D46" s="158"/>
      <c r="E46" s="158"/>
      <c r="F46" s="158"/>
      <c r="G46" s="158"/>
      <c r="H46" s="158"/>
    </row>
    <row r="47" spans="1:8" ht="15">
      <c r="A47" s="31" t="s">
        <v>339</v>
      </c>
      <c r="B47" s="31" t="s">
        <v>340</v>
      </c>
    </row>
    <row r="48" spans="1:8">
      <c r="A48" s="32" t="s">
        <v>341</v>
      </c>
      <c r="B48" s="32" t="s">
        <v>342</v>
      </c>
    </row>
    <row r="49" spans="1:6">
      <c r="A49" s="32" t="s">
        <v>343</v>
      </c>
      <c r="B49" s="32" t="s">
        <v>344</v>
      </c>
    </row>
    <row r="50" spans="1:6" ht="24">
      <c r="A50" s="32" t="s">
        <v>345</v>
      </c>
      <c r="B50" s="32" t="s">
        <v>346</v>
      </c>
    </row>
    <row r="51" spans="1:6">
      <c r="A51" s="32" t="s">
        <v>347</v>
      </c>
      <c r="B51" s="32" t="s">
        <v>348</v>
      </c>
    </row>
    <row r="52" spans="1:6" ht="24">
      <c r="A52" s="32" t="s">
        <v>329</v>
      </c>
      <c r="B52" s="32" t="s">
        <v>349</v>
      </c>
    </row>
    <row r="53" spans="1:6">
      <c r="A53" s="32" t="s">
        <v>350</v>
      </c>
      <c r="B53" s="32" t="s">
        <v>351</v>
      </c>
    </row>
    <row r="55" spans="1:6" ht="16.5">
      <c r="A55" s="173" t="s">
        <v>352</v>
      </c>
      <c r="B55" s="158"/>
      <c r="C55" s="158"/>
      <c r="D55" s="158"/>
      <c r="E55" s="158"/>
      <c r="F55" s="158"/>
    </row>
    <row r="56" spans="1:6" ht="29.25">
      <c r="A56" s="40" t="s">
        <v>353</v>
      </c>
      <c r="B56" s="42" t="s">
        <v>354</v>
      </c>
    </row>
    <row r="57" spans="1:6" ht="29.25">
      <c r="A57" s="40" t="s">
        <v>355</v>
      </c>
      <c r="B57" s="42" t="s">
        <v>356</v>
      </c>
    </row>
    <row r="58" spans="1:6" ht="29.25">
      <c r="A58" s="40" t="s">
        <v>357</v>
      </c>
      <c r="B58" s="42" t="s">
        <v>358</v>
      </c>
    </row>
    <row r="59" spans="1:6" ht="29.25">
      <c r="A59" s="40" t="s">
        <v>359</v>
      </c>
      <c r="B59" s="42" t="s">
        <v>360</v>
      </c>
    </row>
    <row r="60" spans="1:6" ht="29.25">
      <c r="A60" s="40" t="s">
        <v>361</v>
      </c>
      <c r="B60" s="42" t="s">
        <v>362</v>
      </c>
    </row>
    <row r="61" spans="1:6" ht="29.25">
      <c r="A61" s="40" t="s">
        <v>363</v>
      </c>
      <c r="B61" s="42" t="s">
        <v>364</v>
      </c>
    </row>
    <row r="62" spans="1:6" ht="29.25">
      <c r="A62" s="40" t="s">
        <v>365</v>
      </c>
      <c r="B62" s="42" t="s">
        <v>366</v>
      </c>
    </row>
    <row r="65" spans="1:8" ht="15.75">
      <c r="A65" s="159" t="s">
        <v>367</v>
      </c>
      <c r="B65" s="158"/>
      <c r="C65" s="158"/>
      <c r="D65" s="158"/>
      <c r="E65" s="158"/>
      <c r="F65" s="158"/>
      <c r="G65" s="158"/>
      <c r="H65" s="158"/>
    </row>
    <row r="66" spans="1:8">
      <c r="A66" s="51" t="s">
        <v>339</v>
      </c>
      <c r="B66" s="51" t="s">
        <v>340</v>
      </c>
    </row>
    <row r="67" spans="1:8" ht="25.5">
      <c r="A67" s="52" t="s">
        <v>368</v>
      </c>
      <c r="B67" s="52" t="s">
        <v>369</v>
      </c>
    </row>
    <row r="68" spans="1:8">
      <c r="A68" s="52" t="s">
        <v>370</v>
      </c>
      <c r="B68" s="52" t="s">
        <v>371</v>
      </c>
    </row>
    <row r="69" spans="1:8" ht="25.5">
      <c r="A69" s="52" t="s">
        <v>372</v>
      </c>
      <c r="B69" s="52" t="s">
        <v>373</v>
      </c>
    </row>
    <row r="70" spans="1:8" ht="25.5">
      <c r="A70" s="52" t="s">
        <v>374</v>
      </c>
      <c r="B70" s="52" t="s">
        <v>375</v>
      </c>
    </row>
    <row r="71" spans="1:8" ht="25.5">
      <c r="A71" s="52" t="s">
        <v>376</v>
      </c>
      <c r="B71" s="52" t="s">
        <v>377</v>
      </c>
    </row>
    <row r="72" spans="1:8">
      <c r="A72" s="52" t="s">
        <v>378</v>
      </c>
      <c r="B72" s="52" t="s">
        <v>379</v>
      </c>
    </row>
    <row r="73" spans="1:8">
      <c r="A73" s="52" t="s">
        <v>380</v>
      </c>
      <c r="B73" s="52" t="s">
        <v>381</v>
      </c>
    </row>
    <row r="76" spans="1:8" ht="15">
      <c r="A76" s="164" t="s">
        <v>382</v>
      </c>
      <c r="B76" s="158"/>
      <c r="C76" s="158"/>
      <c r="D76" s="158"/>
      <c r="E76" s="158"/>
      <c r="F76" s="158"/>
      <c r="G76" s="158"/>
      <c r="H76" s="158"/>
    </row>
    <row r="77" spans="1:8" ht="15">
      <c r="A77" s="57" t="s">
        <v>383</v>
      </c>
      <c r="B77" s="57" t="s">
        <v>384</v>
      </c>
    </row>
    <row r="78" spans="1:8">
      <c r="A78" s="48" t="s">
        <v>155</v>
      </c>
      <c r="B78" s="48" t="s">
        <v>385</v>
      </c>
    </row>
    <row r="79" spans="1:8" ht="28.5">
      <c r="A79" s="48" t="s">
        <v>157</v>
      </c>
      <c r="B79" s="48" t="s">
        <v>386</v>
      </c>
    </row>
    <row r="80" spans="1:8" ht="28.5">
      <c r="A80" s="48" t="s">
        <v>159</v>
      </c>
      <c r="B80" s="48" t="s">
        <v>387</v>
      </c>
    </row>
    <row r="81" spans="1:8">
      <c r="A81" s="48" t="s">
        <v>161</v>
      </c>
      <c r="B81" s="48" t="s">
        <v>388</v>
      </c>
    </row>
    <row r="82" spans="1:8" ht="28.5">
      <c r="A82" s="48" t="s">
        <v>389</v>
      </c>
      <c r="B82" s="48" t="s">
        <v>390</v>
      </c>
    </row>
    <row r="85" spans="1:8" ht="15.75">
      <c r="A85" s="161" t="s">
        <v>391</v>
      </c>
      <c r="B85" s="158"/>
      <c r="C85" s="158"/>
      <c r="D85" s="158"/>
      <c r="E85" s="158"/>
      <c r="F85" s="158"/>
      <c r="G85" s="158"/>
      <c r="H85" s="158"/>
    </row>
    <row r="86" spans="1:8" ht="29.25">
      <c r="A86" s="72" t="s">
        <v>392</v>
      </c>
      <c r="B86" s="42" t="s">
        <v>393</v>
      </c>
    </row>
    <row r="87" spans="1:8" ht="29.25">
      <c r="A87" s="72" t="s">
        <v>394</v>
      </c>
      <c r="B87" s="42" t="s">
        <v>395</v>
      </c>
    </row>
    <row r="88" spans="1:8" ht="29.25">
      <c r="A88" s="72" t="s">
        <v>396</v>
      </c>
      <c r="B88" s="42" t="s">
        <v>397</v>
      </c>
    </row>
    <row r="89" spans="1:8" ht="29.25">
      <c r="A89" s="72" t="s">
        <v>398</v>
      </c>
      <c r="B89" s="42" t="s">
        <v>399</v>
      </c>
    </row>
    <row r="90" spans="1:8" ht="29.25">
      <c r="A90" s="72" t="s">
        <v>400</v>
      </c>
      <c r="B90" s="42" t="s">
        <v>401</v>
      </c>
    </row>
    <row r="91" spans="1:8" ht="29.25">
      <c r="A91" s="72" t="s">
        <v>402</v>
      </c>
      <c r="B91" s="42" t="s">
        <v>403</v>
      </c>
    </row>
    <row r="92" spans="1:8" ht="29.25">
      <c r="A92" s="72" t="s">
        <v>404</v>
      </c>
      <c r="B92" s="42" t="s">
        <v>405</v>
      </c>
    </row>
    <row r="94" spans="1:8" ht="15">
      <c r="A94" s="92" t="s">
        <v>406</v>
      </c>
    </row>
    <row r="95" spans="1:8" ht="28.5">
      <c r="A95" s="48" t="s">
        <v>407</v>
      </c>
    </row>
    <row r="96" spans="1:8" ht="28.5">
      <c r="A96" s="48" t="s">
        <v>408</v>
      </c>
    </row>
  </sheetData>
  <mergeCells count="9">
    <mergeCell ref="A2:V2"/>
    <mergeCell ref="A36:C36"/>
    <mergeCell ref="A65:H65"/>
    <mergeCell ref="A1:V1"/>
    <mergeCell ref="A85:H85"/>
    <mergeCell ref="A27:C27"/>
    <mergeCell ref="A76:H76"/>
    <mergeCell ref="A46:H46"/>
    <mergeCell ref="A55:F55"/>
  </mergeCell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7.xml><?xml version="1.0" encoding="utf-8"?>
<worksheet xmlns="http://schemas.openxmlformats.org/spreadsheetml/2006/main" xmlns:ns1="http://schemas.openxmlformats.org/markup-compatibility/2006" xmlns:ns2="http://schemas.microsoft.com/office/spreadsheetml/2014/revision" xmlns:ns4="http://schemas.microsoft.com/office/spreadsheetml/2009/9/main" xmlns:ns5="http://schemas.microsoft.com/office/excel/2006/main" xmlns:r="http://schemas.openxmlformats.org/officeDocument/2006/relationships" ns1:Ignorable="x14ac xr xr2 xr3" ns2:uid="{00000000-0001-0000-0600-000000000000}">
  <sheetPr>
    <tabColor rgb="FFED7D31"/>
  </sheetPr>
  <dimension ref="A1:H99"/>
  <sheetViews>
    <sheetView workbookViewId="0">
      <pane ySplit="4" topLeftCell="A5" activePane="bottomLeft" state="frozen"/>
      <selection pane="bottomLeft"/>
    </sheetView>
  </sheetViews>
  <sheetFormatPr defaultRowHeight="14.25"/>
  <cols>
    <col min="1" max="1" width="28" customWidth="1"/>
    <col min="2" max="2" width="35" customWidth="1"/>
    <col min="3" max="3" width="70" customWidth="1"/>
    <col min="4" max="4" width="28" customWidth="1"/>
    <col min="6" max="8" width="28" customWidth="1"/>
  </cols>
  <sheetData>
    <row r="1" spans="1:8" ht="24" customHeight="1">
      <c r="A1" s="184" t="s">
        <v>409</v>
      </c>
      <c r="B1" s="158"/>
      <c r="C1" s="158"/>
      <c r="D1" s="158"/>
      <c r="E1" s="158"/>
      <c r="F1" s="158"/>
      <c r="G1" s="158"/>
      <c r="H1" s="158"/>
    </row>
    <row r="2" spans="1:8" ht="38.1" customHeight="1">
      <c r="A2" s="183" t="s">
        <v>410</v>
      </c>
      <c r="B2" s="158"/>
      <c r="C2" s="158"/>
      <c r="D2" s="158"/>
      <c r="E2" s="158"/>
      <c r="F2" s="158"/>
      <c r="G2" s="158"/>
      <c r="H2" s="158"/>
    </row>
    <row r="4" spans="1:8" ht="30" customHeight="1">
      <c r="A4" s="50" t="s">
        <v>411</v>
      </c>
      <c r="B4" s="50" t="s">
        <v>412</v>
      </c>
      <c r="C4" s="50" t="s">
        <v>413</v>
      </c>
      <c r="D4" s="50" t="s">
        <v>414</v>
      </c>
      <c r="F4" s="57" t="s">
        <v>415</v>
      </c>
      <c r="G4" s="60"/>
      <c r="H4" s="60"/>
    </row>
    <row r="5" spans="1:8" ht="32.1" customHeight="1">
      <c r="A5" s="61" t="s">
        <v>416</v>
      </c>
      <c r="B5" s="150"/>
      <c r="C5" s="52" t="s">
        <v>417</v>
      </c>
      <c r="D5" s="52" t="s">
        <v>418</v>
      </c>
      <c r="F5" s="174" t="s">
        <v>419</v>
      </c>
      <c r="G5" s="175"/>
      <c r="H5" s="176"/>
    </row>
    <row r="6" spans="1:8" ht="32.1" customHeight="1">
      <c r="A6" s="61" t="s">
        <v>420</v>
      </c>
      <c r="B6" s="151">
        <v>46179</v>
      </c>
      <c r="C6" s="52" t="s">
        <v>421</v>
      </c>
      <c r="D6" s="52" t="s">
        <v>159</v>
      </c>
      <c r="F6" s="177"/>
      <c r="G6" s="178"/>
      <c r="H6" s="179"/>
    </row>
    <row r="7" spans="1:8" ht="32.1" customHeight="1">
      <c r="A7" s="61" t="s">
        <v>422</v>
      </c>
      <c r="B7" s="150"/>
      <c r="C7" s="52" t="s">
        <v>423</v>
      </c>
      <c r="D7" s="52" t="s">
        <v>157</v>
      </c>
      <c r="F7" s="177"/>
      <c r="G7" s="178"/>
      <c r="H7" s="179"/>
    </row>
    <row r="8" spans="1:8" ht="32.1" customHeight="1">
      <c r="A8" s="61" t="s">
        <v>424</v>
      </c>
      <c r="B8" s="150"/>
      <c r="C8" s="52" t="s">
        <v>425</v>
      </c>
      <c r="D8" s="52" t="s">
        <v>426</v>
      </c>
      <c r="F8" s="177"/>
      <c r="G8" s="178"/>
      <c r="H8" s="179"/>
    </row>
    <row r="9" spans="1:8" ht="32.1" customHeight="1">
      <c r="A9" s="61" t="s">
        <v>427</v>
      </c>
      <c r="B9" s="150" t="s">
        <v>428</v>
      </c>
      <c r="C9" s="52" t="s">
        <v>429</v>
      </c>
      <c r="D9" s="52" t="s">
        <v>430</v>
      </c>
      <c r="F9" s="180"/>
      <c r="G9" s="181"/>
      <c r="H9" s="182"/>
    </row>
    <row r="10" spans="1:8" ht="32.1" customHeight="1">
      <c r="A10" s="61" t="s">
        <v>431</v>
      </c>
      <c r="B10" s="150"/>
      <c r="C10" s="52" t="s">
        <v>432</v>
      </c>
      <c r="D10" s="52" t="s">
        <v>430</v>
      </c>
    </row>
    <row r="11" spans="1:8" ht="32.1" customHeight="1">
      <c r="A11" s="61" t="s">
        <v>433</v>
      </c>
      <c r="B11" s="150"/>
      <c r="C11" s="52" t="s">
        <v>434</v>
      </c>
      <c r="D11" s="52" t="s">
        <v>435</v>
      </c>
    </row>
    <row r="12" spans="1:8" ht="32.1" customHeight="1">
      <c r="A12" s="61" t="s">
        <v>436</v>
      </c>
      <c r="B12" s="150"/>
      <c r="C12" s="52" t="s">
        <v>437</v>
      </c>
      <c r="D12" s="52" t="s">
        <v>438</v>
      </c>
    </row>
    <row r="13" spans="1:8" ht="32.1" customHeight="1">
      <c r="A13" s="61" t="s">
        <v>439</v>
      </c>
      <c r="B13" s="150"/>
      <c r="C13" s="52" t="s">
        <v>440</v>
      </c>
      <c r="D13" s="52" t="s">
        <v>441</v>
      </c>
    </row>
    <row r="14" spans="1:8" ht="32.1" customHeight="1">
      <c r="A14" s="61" t="s">
        <v>442</v>
      </c>
      <c r="B14" s="150"/>
      <c r="C14" s="52" t="s">
        <v>443</v>
      </c>
      <c r="D14" s="52" t="s">
        <v>444</v>
      </c>
    </row>
    <row r="15" spans="1:8" ht="32.1" customHeight="1">
      <c r="A15" s="61" t="s">
        <v>445</v>
      </c>
      <c r="B15" s="150"/>
      <c r="C15" s="52" t="s">
        <v>446</v>
      </c>
      <c r="D15" s="52" t="s">
        <v>447</v>
      </c>
    </row>
    <row r="16" spans="1:8" ht="32.1" customHeight="1">
      <c r="A16" s="61" t="s">
        <v>448</v>
      </c>
      <c r="B16" s="150"/>
      <c r="C16" s="52" t="s">
        <v>449</v>
      </c>
      <c r="D16" s="52" t="s">
        <v>450</v>
      </c>
    </row>
    <row r="17" spans="1:4" ht="32.1" customHeight="1">
      <c r="A17" s="61" t="s">
        <v>451</v>
      </c>
      <c r="B17" s="150"/>
      <c r="C17" s="52" t="s">
        <v>452</v>
      </c>
      <c r="D17" s="52" t="s">
        <v>453</v>
      </c>
    </row>
    <row r="18" spans="1:4" ht="32.1" customHeight="1">
      <c r="A18" s="61" t="s">
        <v>454</v>
      </c>
      <c r="B18" s="150"/>
      <c r="C18" s="52" t="s">
        <v>455</v>
      </c>
      <c r="D18" s="52" t="s">
        <v>456</v>
      </c>
    </row>
    <row r="19" spans="1:4" ht="32.1" customHeight="1">
      <c r="A19" s="61" t="s">
        <v>457</v>
      </c>
      <c r="B19" s="150"/>
      <c r="C19" s="52" t="s">
        <v>458</v>
      </c>
      <c r="D19" s="52" t="s">
        <v>459</v>
      </c>
    </row>
    <row r="20" spans="1:4" ht="32.1" customHeight="1">
      <c r="A20" s="61" t="s">
        <v>460</v>
      </c>
      <c r="B20" s="150"/>
      <c r="C20" s="52" t="s">
        <v>461</v>
      </c>
      <c r="D20" s="52" t="s">
        <v>462</v>
      </c>
    </row>
    <row r="21" spans="1:4" ht="32.1" customHeight="1">
      <c r="A21" s="61" t="s">
        <v>463</v>
      </c>
      <c r="B21" s="150"/>
      <c r="C21" s="52" t="s">
        <v>464</v>
      </c>
      <c r="D21" s="52" t="s">
        <v>465</v>
      </c>
    </row>
    <row r="22" spans="1:4" ht="32.1" customHeight="1">
      <c r="A22" s="61" t="s">
        <v>466</v>
      </c>
      <c r="B22" s="150"/>
      <c r="C22" s="52" t="s">
        <v>467</v>
      </c>
      <c r="D22" s="52" t="s">
        <v>468</v>
      </c>
    </row>
    <row r="23" spans="1:4" ht="32.1" customHeight="1">
      <c r="A23" s="61" t="s">
        <v>469</v>
      </c>
      <c r="B23" s="150"/>
      <c r="C23" s="52" t="s">
        <v>470</v>
      </c>
      <c r="D23" s="52" t="s">
        <v>471</v>
      </c>
    </row>
    <row r="24" spans="1:4" ht="32.1" customHeight="1">
      <c r="A24" s="61" t="s">
        <v>472</v>
      </c>
      <c r="B24" s="150"/>
      <c r="C24" s="52" t="s">
        <v>473</v>
      </c>
      <c r="D24" s="52" t="s">
        <v>474</v>
      </c>
    </row>
    <row r="25" spans="1:4" ht="32.1" customHeight="1">
      <c r="A25" s="61" t="s">
        <v>475</v>
      </c>
      <c r="B25" s="150"/>
      <c r="C25" s="52" t="s">
        <v>476</v>
      </c>
      <c r="D25" s="52" t="s">
        <v>477</v>
      </c>
    </row>
    <row r="26" spans="1:4" ht="32.1" customHeight="1">
      <c r="A26" s="61" t="s">
        <v>478</v>
      </c>
      <c r="B26" s="150"/>
      <c r="C26" s="52" t="s">
        <v>479</v>
      </c>
      <c r="D26" s="52" t="s">
        <v>480</v>
      </c>
    </row>
    <row r="27" spans="1:4" ht="32.1" customHeight="1">
      <c r="A27" s="61" t="s">
        <v>481</v>
      </c>
      <c r="B27" s="150"/>
      <c r="C27" s="52" t="s">
        <v>482</v>
      </c>
      <c r="D27" s="52" t="s">
        <v>483</v>
      </c>
    </row>
    <row r="28" spans="1:4" ht="32.1" customHeight="1">
      <c r="A28" s="61" t="s">
        <v>484</v>
      </c>
      <c r="B28" s="150"/>
      <c r="C28" s="52" t="s">
        <v>485</v>
      </c>
      <c r="D28" s="52" t="s">
        <v>486</v>
      </c>
    </row>
    <row r="29" spans="1:4" ht="32.1" customHeight="1">
      <c r="A29" s="61" t="s">
        <v>487</v>
      </c>
      <c r="B29" s="62" t="str">
        <f>'Crisis Simulator'!$B$4</f>
        <v>War / security crisis</v>
      </c>
      <c r="C29" s="52" t="s">
        <v>488</v>
      </c>
      <c r="D29" s="52" t="s">
        <v>353</v>
      </c>
    </row>
    <row r="30" spans="1:4" ht="32.1" customHeight="1">
      <c r="A30" s="61" t="s">
        <v>489</v>
      </c>
      <c r="B30" s="62">
        <f>'Crisis Simulator'!$B$5</f>
        <v>3</v>
      </c>
      <c r="C30" s="52" t="s">
        <v>490</v>
      </c>
      <c r="D30" s="52" t="s">
        <v>353</v>
      </c>
    </row>
    <row r="31" spans="1:4" ht="32.1" customHeight="1">
      <c r="A31" s="61" t="s">
        <v>491</v>
      </c>
      <c r="B31" s="150">
        <v>4</v>
      </c>
      <c r="C31" s="52" t="s">
        <v>492</v>
      </c>
      <c r="D31" s="52" t="s">
        <v>493</v>
      </c>
    </row>
    <row r="32" spans="1:4" ht="32.1" customHeight="1">
      <c r="A32" s="61" t="s">
        <v>494</v>
      </c>
      <c r="B32" s="150">
        <v>4</v>
      </c>
      <c r="C32" s="52" t="s">
        <v>495</v>
      </c>
      <c r="D32" s="52" t="s">
        <v>493</v>
      </c>
    </row>
    <row r="33" spans="1:8" ht="32.1" customHeight="1">
      <c r="A33" s="61" t="s">
        <v>496</v>
      </c>
      <c r="B33" s="150">
        <v>4</v>
      </c>
      <c r="C33" s="52" t="s">
        <v>497</v>
      </c>
      <c r="D33" s="52" t="s">
        <v>493</v>
      </c>
    </row>
    <row r="34" spans="1:8" ht="32.1" customHeight="1">
      <c r="A34" s="61" t="s">
        <v>498</v>
      </c>
      <c r="B34" s="150"/>
      <c r="C34" s="52" t="s">
        <v>499</v>
      </c>
      <c r="D34" s="52" t="s">
        <v>500</v>
      </c>
    </row>
    <row r="35" spans="1:8" ht="32.1" customHeight="1">
      <c r="A35" s="61" t="s">
        <v>501</v>
      </c>
      <c r="B35" s="150"/>
      <c r="C35" s="52" t="s">
        <v>502</v>
      </c>
      <c r="D35" s="52" t="s">
        <v>503</v>
      </c>
    </row>
    <row r="36" spans="1:8" ht="32.1" customHeight="1">
      <c r="A36" s="61" t="s">
        <v>504</v>
      </c>
      <c r="B36" s="150"/>
      <c r="C36" s="52" t="s">
        <v>505</v>
      </c>
      <c r="D36" s="52" t="s">
        <v>506</v>
      </c>
    </row>
    <row r="38" spans="1:8" ht="15.75">
      <c r="A38" s="161" t="s">
        <v>507</v>
      </c>
      <c r="B38" s="158"/>
      <c r="C38" s="158"/>
      <c r="D38" s="158"/>
      <c r="E38" s="158"/>
      <c r="F38" s="158"/>
      <c r="G38" s="158"/>
      <c r="H38" s="158"/>
    </row>
    <row r="39" spans="1:8" ht="36" customHeight="1">
      <c r="A39" s="72" t="s">
        <v>508</v>
      </c>
      <c r="B39" s="73" t="str">
        <f>B9</f>
        <v>IT Services</v>
      </c>
      <c r="C39" s="42" t="s">
        <v>509</v>
      </c>
    </row>
    <row r="40" spans="1:8" ht="36" customHeight="1">
      <c r="A40" s="72" t="s">
        <v>510</v>
      </c>
      <c r="B40" s="152" t="s">
        <v>47</v>
      </c>
      <c r="C40" s="42" t="s">
        <v>511</v>
      </c>
    </row>
    <row r="41" spans="1:8" ht="36" customHeight="1">
      <c r="A41" s="72" t="s">
        <v>512</v>
      </c>
      <c r="B41" s="152" t="s">
        <v>47</v>
      </c>
      <c r="C41" s="42" t="s">
        <v>513</v>
      </c>
    </row>
    <row r="42" spans="1:8" ht="36" customHeight="1">
      <c r="A42" s="72" t="s">
        <v>514</v>
      </c>
      <c r="B42" s="73">
        <f>COUNTIF(_TECH_Industry_Templates!$A:$A,$B$9)</f>
        <v>17</v>
      </c>
      <c r="C42" s="42" t="s">
        <v>515</v>
      </c>
    </row>
    <row r="43" spans="1:8" ht="36" customHeight="1">
      <c r="A43" s="72" t="s">
        <v>516</v>
      </c>
      <c r="B43" s="73">
        <f>IFERROR(ROUND(AVERAGEIFS(_TECH_Industry_Templates!$D:$D,_TECH_Industry_Templates!$A:$A,$B$9),2),"")</f>
        <v>3.54</v>
      </c>
      <c r="C43" s="42" t="s">
        <v>517</v>
      </c>
    </row>
    <row r="44" spans="1:8" ht="36" customHeight="1">
      <c r="A44" s="72" t="s">
        <v>518</v>
      </c>
      <c r="B44" s="73">
        <f>IFERROR(ROUND(AVERAGEIFS(_TECH_Industry_Templates!$E:$E,_TECH_Industry_Templates!$A:$A,$B$9),2),"")</f>
        <v>1.05</v>
      </c>
      <c r="C44" s="42" t="s">
        <v>519</v>
      </c>
    </row>
    <row r="45" spans="1:8" ht="36" customHeight="1">
      <c r="A45" s="72" t="s">
        <v>520</v>
      </c>
      <c r="B45" s="73" t="str">
        <f>IFERROR(INDEX(_TECH_Industry_Templates!$H:$H,MATCH($B$9,_TECH_Industry_Templates!$A:$A,0)),"")</f>
        <v>CRM; HRMS; project/portfolio tools; time tracking; knowledge base; finance system; cloud collaboration; IAM; BI dashboards</v>
      </c>
      <c r="C45" s="42" t="s">
        <v>521</v>
      </c>
    </row>
    <row r="46" spans="1:8" ht="36" customHeight="1">
      <c r="A46" s="72" t="s">
        <v>522</v>
      </c>
      <c r="B46" s="73" t="str">
        <f>IFERROR(INDEX(_TECH_Industry_Templates!$I:$I,MATCH($B$9,_TECH_Industry_Templates!$A:$A,0)),"")</f>
        <v>critical role backups; secure remote work; MFA; delivery continuity; project knowledge base; customer communication path</v>
      </c>
      <c r="C46" s="42" t="s">
        <v>523</v>
      </c>
    </row>
    <row r="47" spans="1:8" ht="36" customHeight="1">
      <c r="A47" s="72" t="s">
        <v>524</v>
      </c>
      <c r="B47" s="73" t="str">
        <f>IFERROR(INDEX(_TECH_Industry_Templates!$L:$L,MATCH($B$9,_TECH_Industry_Templates!$A:$A,0)),"")</f>
        <v>Workforce Resilience Strategy; Digital Foundation Strategy; Business Continuity and Resilience Strategy</v>
      </c>
      <c r="C47" s="42" t="s">
        <v>525</v>
      </c>
    </row>
    <row r="49" spans="1:8" ht="30">
      <c r="A49" s="50" t="s">
        <v>526</v>
      </c>
      <c r="B49" s="50"/>
      <c r="C49" s="50"/>
      <c r="D49" s="50"/>
      <c r="E49" s="50"/>
      <c r="F49" s="50"/>
      <c r="G49" s="50"/>
      <c r="H49" s="50"/>
    </row>
    <row r="50" spans="1:8">
      <c r="A50" s="61" t="s">
        <v>527</v>
      </c>
      <c r="B50" s="150" t="s">
        <v>528</v>
      </c>
      <c r="C50" s="52" t="s">
        <v>529</v>
      </c>
      <c r="D50" s="52" t="s">
        <v>530</v>
      </c>
    </row>
    <row r="51" spans="1:8">
      <c r="A51" s="61" t="s">
        <v>531</v>
      </c>
      <c r="B51" s="150" t="s">
        <v>532</v>
      </c>
      <c r="C51" s="52" t="s">
        <v>533</v>
      </c>
      <c r="D51" s="52" t="s">
        <v>534</v>
      </c>
    </row>
    <row r="52" spans="1:8">
      <c r="A52" s="61" t="s">
        <v>535</v>
      </c>
      <c r="B52" s="150" t="s">
        <v>536</v>
      </c>
      <c r="C52" s="52" t="s">
        <v>537</v>
      </c>
      <c r="D52" s="52" t="s">
        <v>538</v>
      </c>
    </row>
    <row r="53" spans="1:8">
      <c r="A53" s="61" t="s">
        <v>539</v>
      </c>
      <c r="B53" s="150" t="s">
        <v>540</v>
      </c>
      <c r="C53" s="52" t="s">
        <v>541</v>
      </c>
      <c r="D53" s="52" t="s">
        <v>542</v>
      </c>
    </row>
    <row r="54" spans="1:8" ht="25.5">
      <c r="A54" s="61" t="s">
        <v>543</v>
      </c>
      <c r="B54" s="150" t="s">
        <v>544</v>
      </c>
      <c r="C54" s="52" t="s">
        <v>545</v>
      </c>
      <c r="D54" s="52" t="s">
        <v>546</v>
      </c>
    </row>
    <row r="55" spans="1:8" ht="25.5">
      <c r="A55" s="61" t="s">
        <v>547</v>
      </c>
      <c r="B55" s="150" t="s">
        <v>548</v>
      </c>
      <c r="C55" s="52" t="s">
        <v>549</v>
      </c>
      <c r="D55" s="52" t="s">
        <v>546</v>
      </c>
    </row>
    <row r="56" spans="1:8" ht="25.5">
      <c r="A56" s="61" t="s">
        <v>550</v>
      </c>
      <c r="B56" s="150" t="s">
        <v>551</v>
      </c>
      <c r="C56" s="52" t="s">
        <v>552</v>
      </c>
      <c r="D56" s="52" t="s">
        <v>553</v>
      </c>
    </row>
    <row r="57" spans="1:8" ht="25.5">
      <c r="A57" s="61" t="s">
        <v>554</v>
      </c>
      <c r="B57" s="150" t="s">
        <v>544</v>
      </c>
      <c r="C57" s="52" t="s">
        <v>555</v>
      </c>
      <c r="D57" s="52" t="s">
        <v>556</v>
      </c>
    </row>
    <row r="58" spans="1:8" ht="25.5">
      <c r="A58" s="61" t="s">
        <v>557</v>
      </c>
      <c r="B58" s="150" t="s">
        <v>548</v>
      </c>
      <c r="C58" s="52" t="s">
        <v>558</v>
      </c>
      <c r="D58" s="52" t="s">
        <v>559</v>
      </c>
    </row>
    <row r="59" spans="1:8">
      <c r="A59" s="61" t="s">
        <v>560</v>
      </c>
      <c r="B59" s="150" t="s">
        <v>561</v>
      </c>
      <c r="C59" s="52" t="s">
        <v>562</v>
      </c>
      <c r="D59" s="52" t="s">
        <v>563</v>
      </c>
    </row>
    <row r="61" spans="1:8" ht="30">
      <c r="A61" s="50" t="s">
        <v>564</v>
      </c>
      <c r="B61" s="50"/>
      <c r="C61" s="50"/>
      <c r="D61" s="50"/>
      <c r="E61" s="50"/>
      <c r="F61" s="50"/>
      <c r="G61" s="50"/>
      <c r="H61" s="50"/>
    </row>
    <row r="62" spans="1:8" ht="15">
      <c r="A62" s="50" t="s">
        <v>565</v>
      </c>
      <c r="B62" s="50" t="s">
        <v>566</v>
      </c>
      <c r="C62" s="50" t="s">
        <v>567</v>
      </c>
      <c r="D62" s="50" t="s">
        <v>568</v>
      </c>
      <c r="E62" s="50" t="s">
        <v>414</v>
      </c>
      <c r="F62" s="50"/>
      <c r="G62" s="50"/>
      <c r="H62" s="50"/>
    </row>
    <row r="63" spans="1:8" ht="63.75">
      <c r="A63" s="61" t="s">
        <v>569</v>
      </c>
      <c r="B63" s="150" t="s">
        <v>46</v>
      </c>
      <c r="C63" s="62" t="s">
        <v>570</v>
      </c>
      <c r="D63" s="62" t="s">
        <v>571</v>
      </c>
      <c r="E63" s="52" t="s">
        <v>572</v>
      </c>
    </row>
    <row r="64" spans="1:8" ht="63.75">
      <c r="A64" s="61" t="s">
        <v>573</v>
      </c>
      <c r="B64" s="150" t="s">
        <v>272</v>
      </c>
      <c r="C64" s="62" t="s">
        <v>574</v>
      </c>
      <c r="D64" s="62" t="s">
        <v>272</v>
      </c>
      <c r="E64" s="52" t="s">
        <v>572</v>
      </c>
    </row>
    <row r="65" spans="1:8" ht="63.75">
      <c r="A65" s="61" t="s">
        <v>575</v>
      </c>
      <c r="B65" s="150" t="s">
        <v>272</v>
      </c>
      <c r="C65" s="62" t="s">
        <v>574</v>
      </c>
      <c r="D65" s="62" t="s">
        <v>272</v>
      </c>
      <c r="E65" s="52" t="s">
        <v>572</v>
      </c>
    </row>
    <row r="66" spans="1:8" ht="63.75">
      <c r="A66" s="61" t="s">
        <v>576</v>
      </c>
      <c r="B66" s="150" t="s">
        <v>45</v>
      </c>
      <c r="C66" s="62" t="s">
        <v>577</v>
      </c>
      <c r="D66" s="62" t="s">
        <v>578</v>
      </c>
      <c r="E66" s="52" t="s">
        <v>572</v>
      </c>
    </row>
    <row r="67" spans="1:8" ht="63.75">
      <c r="A67" s="61" t="s">
        <v>579</v>
      </c>
      <c r="B67" s="150" t="s">
        <v>47</v>
      </c>
      <c r="C67" s="62" t="s">
        <v>580</v>
      </c>
      <c r="D67" s="62" t="s">
        <v>571</v>
      </c>
      <c r="E67" s="52" t="s">
        <v>572</v>
      </c>
    </row>
    <row r="68" spans="1:8" ht="63.75">
      <c r="A68" s="61" t="s">
        <v>581</v>
      </c>
      <c r="B68" s="150" t="s">
        <v>46</v>
      </c>
      <c r="C68" s="62" t="s">
        <v>570</v>
      </c>
      <c r="D68" s="62" t="s">
        <v>571</v>
      </c>
      <c r="E68" s="52" t="s">
        <v>572</v>
      </c>
    </row>
    <row r="69" spans="1:8" ht="63.75">
      <c r="A69" s="61" t="s">
        <v>582</v>
      </c>
      <c r="B69" s="150" t="s">
        <v>47</v>
      </c>
      <c r="C69" s="62" t="s">
        <v>580</v>
      </c>
      <c r="D69" s="62" t="s">
        <v>571</v>
      </c>
      <c r="E69" s="52" t="s">
        <v>572</v>
      </c>
    </row>
    <row r="70" spans="1:8" ht="63.75">
      <c r="A70" s="61" t="s">
        <v>583</v>
      </c>
      <c r="B70" s="150" t="s">
        <v>272</v>
      </c>
      <c r="C70" s="62" t="s">
        <v>574</v>
      </c>
      <c r="D70" s="62" t="s">
        <v>272</v>
      </c>
      <c r="E70" s="52" t="s">
        <v>572</v>
      </c>
    </row>
    <row r="72" spans="1:8" ht="15">
      <c r="A72" s="50" t="s">
        <v>584</v>
      </c>
      <c r="B72" s="50"/>
      <c r="C72" s="50"/>
      <c r="D72" s="50"/>
      <c r="E72" s="50"/>
      <c r="F72" s="50"/>
      <c r="G72" s="50"/>
      <c r="H72" s="50"/>
    </row>
    <row r="73" spans="1:8">
      <c r="A73" s="61" t="s">
        <v>585</v>
      </c>
      <c r="B73" s="150" t="s">
        <v>586</v>
      </c>
      <c r="C73" s="52" t="s">
        <v>587</v>
      </c>
      <c r="D73" s="52" t="s">
        <v>588</v>
      </c>
    </row>
    <row r="74" spans="1:8">
      <c r="A74" s="61" t="s">
        <v>589</v>
      </c>
      <c r="B74" s="150" t="s">
        <v>551</v>
      </c>
      <c r="C74" s="52" t="s">
        <v>590</v>
      </c>
      <c r="D74" s="52" t="s">
        <v>591</v>
      </c>
    </row>
    <row r="75" spans="1:8" ht="25.5">
      <c r="A75" s="61" t="s">
        <v>592</v>
      </c>
      <c r="B75" s="150" t="s">
        <v>548</v>
      </c>
      <c r="C75" s="52" t="s">
        <v>593</v>
      </c>
      <c r="D75" s="52" t="s">
        <v>594</v>
      </c>
    </row>
    <row r="76" spans="1:8" ht="25.5">
      <c r="A76" s="61" t="s">
        <v>595</v>
      </c>
      <c r="B76" s="150" t="s">
        <v>596</v>
      </c>
      <c r="C76" s="52" t="s">
        <v>597</v>
      </c>
      <c r="D76" s="52" t="s">
        <v>598</v>
      </c>
    </row>
    <row r="77" spans="1:8" ht="25.5">
      <c r="A77" s="61" t="s">
        <v>599</v>
      </c>
      <c r="B77" s="150" t="s">
        <v>600</v>
      </c>
      <c r="C77" s="52" t="s">
        <v>601</v>
      </c>
      <c r="D77" s="52" t="s">
        <v>602</v>
      </c>
    </row>
    <row r="79" spans="1:8" ht="30">
      <c r="A79" s="50" t="s">
        <v>603</v>
      </c>
      <c r="B79" s="50"/>
      <c r="C79" s="50"/>
      <c r="D79" s="50"/>
      <c r="E79" s="50"/>
      <c r="F79" s="50"/>
      <c r="G79" s="50"/>
      <c r="H79" s="50"/>
    </row>
    <row r="80" spans="1:8">
      <c r="A80" s="61" t="s">
        <v>604</v>
      </c>
      <c r="B80" s="150" t="s">
        <v>605</v>
      </c>
      <c r="C80" s="52" t="s">
        <v>606</v>
      </c>
      <c r="D80" s="52" t="s">
        <v>607</v>
      </c>
    </row>
    <row r="81" spans="1:8">
      <c r="A81" s="61" t="s">
        <v>608</v>
      </c>
      <c r="B81" s="150" t="s">
        <v>609</v>
      </c>
      <c r="C81" s="52" t="s">
        <v>606</v>
      </c>
      <c r="D81" s="52" t="s">
        <v>607</v>
      </c>
    </row>
    <row r="82" spans="1:8">
      <c r="A82" s="61" t="s">
        <v>610</v>
      </c>
      <c r="B82" s="150" t="s">
        <v>611</v>
      </c>
      <c r="C82" s="52" t="s">
        <v>606</v>
      </c>
      <c r="D82" s="52" t="s">
        <v>607</v>
      </c>
    </row>
    <row r="83" spans="1:8">
      <c r="A83" s="61" t="s">
        <v>612</v>
      </c>
      <c r="B83" s="150" t="s">
        <v>613</v>
      </c>
      <c r="C83" s="52" t="s">
        <v>606</v>
      </c>
      <c r="D83" s="52" t="s">
        <v>607</v>
      </c>
    </row>
    <row r="84" spans="1:8">
      <c r="A84" s="61" t="s">
        <v>614</v>
      </c>
      <c r="B84" s="150" t="s">
        <v>615</v>
      </c>
      <c r="C84" s="52" t="s">
        <v>606</v>
      </c>
      <c r="D84" s="52" t="s">
        <v>607</v>
      </c>
    </row>
    <row r="86" spans="1:8" ht="30">
      <c r="A86" s="50" t="s">
        <v>616</v>
      </c>
      <c r="B86" s="50"/>
      <c r="C86" s="50"/>
      <c r="D86" s="50"/>
      <c r="E86" s="50"/>
      <c r="F86" s="50"/>
      <c r="G86" s="50"/>
      <c r="H86" s="50"/>
    </row>
    <row r="87" spans="1:8">
      <c r="A87" s="61" t="s">
        <v>617</v>
      </c>
      <c r="B87" s="150" t="s">
        <v>618</v>
      </c>
      <c r="C87" s="52" t="s">
        <v>619</v>
      </c>
      <c r="D87" s="52" t="s">
        <v>620</v>
      </c>
    </row>
    <row r="88" spans="1:8">
      <c r="A88" s="61" t="s">
        <v>621</v>
      </c>
      <c r="B88" s="150" t="s">
        <v>622</v>
      </c>
      <c r="C88" s="52" t="s">
        <v>619</v>
      </c>
      <c r="D88" s="52" t="s">
        <v>620</v>
      </c>
    </row>
    <row r="89" spans="1:8">
      <c r="A89" s="61" t="s">
        <v>623</v>
      </c>
      <c r="B89" s="150" t="s">
        <v>624</v>
      </c>
      <c r="C89" s="52" t="s">
        <v>619</v>
      </c>
      <c r="D89" s="52" t="s">
        <v>620</v>
      </c>
    </row>
    <row r="90" spans="1:8">
      <c r="A90" s="61" t="s">
        <v>625</v>
      </c>
      <c r="B90" s="150" t="s">
        <v>626</v>
      </c>
      <c r="C90" s="52" t="s">
        <v>619</v>
      </c>
      <c r="D90" s="52" t="s">
        <v>620</v>
      </c>
    </row>
    <row r="91" spans="1:8">
      <c r="A91" s="61" t="s">
        <v>627</v>
      </c>
      <c r="B91" s="150" t="s">
        <v>628</v>
      </c>
      <c r="C91" s="52" t="s">
        <v>619</v>
      </c>
      <c r="D91" s="52" t="s">
        <v>620</v>
      </c>
    </row>
    <row r="93" spans="1:8" ht="15">
      <c r="A93" s="50" t="s">
        <v>629</v>
      </c>
      <c r="B93" s="50"/>
      <c r="C93" s="50"/>
      <c r="D93" s="50"/>
      <c r="E93" s="50"/>
      <c r="F93" s="50"/>
      <c r="G93" s="50"/>
      <c r="H93" s="50"/>
    </row>
    <row r="94" spans="1:8" ht="15">
      <c r="A94" s="50" t="s">
        <v>630</v>
      </c>
      <c r="B94" s="50" t="s">
        <v>631</v>
      </c>
      <c r="C94" s="50" t="s">
        <v>413</v>
      </c>
      <c r="D94" s="50" t="s">
        <v>414</v>
      </c>
      <c r="E94" s="50"/>
      <c r="F94" s="50"/>
      <c r="G94" s="50"/>
      <c r="H94" s="50"/>
    </row>
    <row r="95" spans="1:8">
      <c r="A95" s="62" t="s">
        <v>632</v>
      </c>
      <c r="B95" s="150" t="s">
        <v>633</v>
      </c>
      <c r="C95" s="52" t="s">
        <v>634</v>
      </c>
      <c r="D95" s="52" t="s">
        <v>635</v>
      </c>
    </row>
    <row r="96" spans="1:8">
      <c r="A96" s="62" t="s">
        <v>636</v>
      </c>
      <c r="B96" s="150" t="s">
        <v>637</v>
      </c>
      <c r="C96" s="52" t="s">
        <v>634</v>
      </c>
      <c r="D96" s="52" t="s">
        <v>635</v>
      </c>
    </row>
    <row r="97" spans="1:4">
      <c r="A97" s="62" t="s">
        <v>104</v>
      </c>
      <c r="B97" s="150" t="s">
        <v>638</v>
      </c>
      <c r="C97" s="52" t="s">
        <v>634</v>
      </c>
      <c r="D97" s="52" t="s">
        <v>635</v>
      </c>
    </row>
    <row r="98" spans="1:4">
      <c r="A98" s="62" t="s">
        <v>639</v>
      </c>
      <c r="B98" s="150" t="s">
        <v>633</v>
      </c>
      <c r="C98" s="52" t="s">
        <v>634</v>
      </c>
      <c r="D98" s="52" t="s">
        <v>635</v>
      </c>
    </row>
    <row r="99" spans="1:4">
      <c r="A99" s="62" t="s">
        <v>640</v>
      </c>
      <c r="B99" s="150" t="s">
        <v>641</v>
      </c>
      <c r="C99" s="52" t="s">
        <v>634</v>
      </c>
      <c r="D99" s="52" t="s">
        <v>635</v>
      </c>
    </row>
  </sheetData>
  <autoFilter ref="A4:D36" ns2:uid="{00000000-0009-0000-0000-000006000000}"/>
  <mergeCells count="4">
    <mergeCell ref="F5:H9"/>
    <mergeCell ref="A38:H38"/>
    <mergeCell ref="A2:H2"/>
    <mergeCell ref="A1:H1"/>
  </mergeCells>
  <dataValidations count="27">
    <dataValidation type="list" allowBlank="1" showErrorMessage="1" showInputMessage="1" sqref="B9" errorTitle="Invalid input" error="Please select an option from the dropdown list." promptTitle="Closed-answer input" prompt="Select the industry template.">
      <formula1>"IT Services,SaaS / Digital Product,Manufacturing,Retail / Ecommerce,Logistics / Distribution,Healthcare / Pharma,Energy / Utilities,Professional Services,Public Sector / Regulated Organization"</formula1>
    </dataValidation>
    <dataValidation type="list" allowBlank="1" showErrorMessage="1" showInputMessage="1" sqref="B13" errorTitle="Invalid input" error="Please select an option from the dropdown list." promptTitle="Closed-answer input" prompt="Select ownership type.">
      <formula1>"Private,Public,State-owned,Family-owned,PE-backed,VC-backed,NGO,Other,Unknown"</formula1>
    </dataValidation>
    <dataValidation type="list" allowBlank="1" showErrorMessage="1" showInputMessage="1" sqref="B16" errorTitle="Invalid input" error="Please select an option from the dropdown list." promptTitle="Closed-answer input" prompt="Select annual revenue size band.">
      <formula1>"No revenue / pre-revenue,&lt; $1M,$1M-$10M,$10M-$50M,$50M-$250M,$250M-$1B,&gt;$1B,Unknown"</formula1>
    </dataValidation>
    <dataValidation type="list" allowBlank="1" showErrorMessage="1" showInputMessage="1" sqref="B17" errorTitle="Invalid input" error="Please select an option from the dropdown list." promptTitle="Closed-answer input" prompt="Select operating model.">
      <formula1>"Centralized,Decentralized,Hub-and-spoke,Remote-first,Multi-site,Franchise,Hybrid,Unknown"</formula1>
    </dataValidation>
    <dataValidation type="list" allowBlank="1" showErrorMessage="1" showInputMessage="1" sqref="B18" errorTitle="Invalid input" error="Please select an option from the dropdown list." promptTitle="Closed-answer input" prompt="Select primary business / revenue model.">
      <formula1>'_TECH_Profile_Lists'!$A$2:$A$14</formula1>
    </dataValidation>
    <dataValidation type="list" allowBlank="1" showErrorMessage="1" showInputMessage="1" sqref="B22" errorTitle="Invalid input" error="Please select an option from the dropdown list." promptTitle="Closed-answer input" prompt="Select concentration band.">
      <formula1>'_TECH_Profile_Lists'!$D$2:$D$8</formula1>
    </dataValidation>
    <dataValidation type="list" allowBlank="1" showErrorMessage="1" showInputMessage="1" sqref="B25" errorTitle="Invalid input" error="Please select an option from the dropdown list." promptTitle="Closed-answer input" prompt="Select regulatory exposure level.">
      <formula1>"Low,Medium,High,Critical,Unknown"</formula1>
    </dataValidation>
    <dataValidation type="list" allowBlank="1" showErrorMessage="1" showInputMessage="1" sqref="B28" errorTitle="Invalid input" error="Please select an option from the dropdown list." promptTitle="Closed-answer input" prompt="Select cloud and infrastructure model.">
      <formula1>"On-premise,Public cloud,Private cloud,Hybrid cloud,Multi-cloud,SaaS-first,Edge / local infrastructure,Mixed / unknown"</formula1>
    </dataValidation>
    <dataValidation type="whole" allowBlank="1" showErrorMessage="1" showInputMessage="1" sqref="B31 B32 B33" errorTitle="Invalid input" error="Please select an option from the dropdown list." promptTitle="Closed-answer input" prompt="Enter a target score from 0 to 5." operator="between">
      <formula1>0</formula1>
      <formula2>5</formula2>
    </dataValidation>
    <dataValidation type="list" allowBlank="1" showErrorMessage="1" showInputMessage="1" sqref="B34" errorTitle="Invalid input" error="Please select an option from the dropdown list." promptTitle="Closed-answer input" prompt="Select assessment cadence.">
      <formula1>"Quarterly,Semi-annual,Annual,Crisis-triggered,Other,Unknown"</formula1>
    </dataValidation>
    <dataValidation type="list" allowBlank="1" showErrorMessage="1" showInputMessage="1" sqref="B40:B41" errorTitle="Invalid input" error="Please select an option from the dropdown list." promptTitle="Closed-answer input" prompt="Select default confidence level.">
      <formula1>"Low,Medium,High"</formula1>
    </dataValidation>
    <dataValidation type="list" allowBlank="1" showErrorMessage="1" showInputMessage="1" sqref="B50:B51" errorTitle="Invalid input" error="Please select an option from the dropdown list." promptTitle="Closed-answer input" prompt="Select revenue model from the list.">
      <formula1>'_TECH_Profile_Lists'!$A$2:$A$14</formula1>
    </dataValidation>
    <dataValidation type="list" allowBlank="1" showErrorMessage="1" showInputMessage="1" sqref="B52" errorTitle="Invalid input" error="Please select an option from the dropdown list." promptTitle="Closed-answer input" prompt="Select revenue recurrence profile.">
      <formula1>'_TECH_Profile_Lists'!$B$2:$B$7</formula1>
    </dataValidation>
    <dataValidation type="list" allowBlank="1" showErrorMessage="1" showInputMessage="1" sqref="B53" errorTitle="Invalid input" error="Please select an option from the dropdown list." promptTitle="Closed-answer input" prompt="Select primary sales motion.">
      <formula1>'_TECH_Profile_Lists'!$C$2:$C$11</formula1>
    </dataValidation>
    <dataValidation type="list" allowBlank="1" showErrorMessage="1" showInputMessage="1" sqref="B54:B58" errorTitle="Invalid input" error="Please select an option from the dropdown list." promptTitle="Closed-answer input" prompt="Select concentration band.">
      <formula1>'_TECH_Profile_Lists'!$D$2:$D$8</formula1>
    </dataValidation>
    <dataValidation type="list" allowBlank="1" showErrorMessage="1" showInputMessage="1" sqref="B59" errorTitle="Invalid input" error="Please select an option from the dropdown list." promptTitle="Closed-answer input" prompt="Select supplier substitutability.">
      <formula1>'_TECH_Profile_Lists'!$E$2:$E$8</formula1>
    </dataValidation>
    <dataValidation type="list" allowBlank="1" showErrorMessage="1" showInputMessage="1" sqref="B63:B70" errorTitle="Invalid input" error="Please select an option from the dropdown list." promptTitle="Closed-answer input" prompt="Select business criticality.">
      <formula1>'_TECH_Profile_Lists'!$F$2:$F$7</formula1>
    </dataValidation>
    <dataValidation type="list" allowBlank="1" showErrorMessage="1" showInputMessage="1" sqref="C63:C70" errorTitle="Invalid input" error="Please select an option from the dropdown list." promptTitle="Closed-answer input" prompt="Select disruption impact.">
      <formula1>'_TECH_Profile_Lists'!$G$2:$G$7</formula1>
    </dataValidation>
    <dataValidation type="list" allowBlank="1" showErrorMessage="1" showInputMessage="1" sqref="D63:D70" errorTitle="Invalid input" error="Please select an option from the dropdown list." promptTitle="Closed-answer input" prompt="Select continuity option.">
      <formula1>'_TECH_Profile_Lists'!$H$2:$H$8</formula1>
    </dataValidation>
    <dataValidation type="list" allowBlank="1" showErrorMessage="1" showInputMessage="1" sqref="B73" errorTitle="Invalid input" error="Please select an option from the dropdown list." promptTitle="Closed-answer input" prompt="Select workforce country footprint.">
      <formula1>'_TECH_Profile_Lists'!$I$2:$I$7</formula1>
    </dataValidation>
    <dataValidation type="list" allowBlank="1" showErrorMessage="1" showInputMessage="1" sqref="B74:B75" errorTitle="Invalid input" error="Please select an option from the dropdown list." promptTitle="Closed-answer input" prompt="Select workforce share band.">
      <formula1>'_TECH_Profile_Lists'!$J$2:$J$7</formula1>
    </dataValidation>
    <dataValidation type="list" allowBlank="1" showErrorMessage="1" showInputMessage="1" sqref="B76" errorTitle="Invalid input" error="Please select an option from the dropdown list." promptTitle="Closed-answer input" prompt="Select remote work readiness.">
      <formula1>'_TECH_Profile_Lists'!$K$2:$K$8</formula1>
    </dataValidation>
    <dataValidation type="list" allowBlank="1" showErrorMessage="1" showInputMessage="1" sqref="B77" errorTitle="Invalid input" error="Please select an option from the dropdown list." promptTitle="Closed-answer input" prompt="Select cross-border mobility support.">
      <formula1>'_TECH_Profile_Lists'!$L$2:$L$8</formula1>
    </dataValidation>
    <dataValidation type="list" allowBlank="1" showErrorMessage="1" showInputMessage="1" sqref="B80:B84" errorTitle="Invalid input" error="Please select an option from the dropdown list." promptTitle="Closed-answer input" prompt="Select critical process.">
      <formula1>'_TECH_Profile_Lists'!$M$2:$M$20</formula1>
    </dataValidation>
    <dataValidation type="list" allowBlank="1" showErrorMessage="1" showInputMessage="1" sqref="B87:B91" errorTitle="Invalid input" error="Please select an option from the dropdown list." promptTitle="Closed-answer input" prompt="Select critical product or service.">
      <formula1>'_TECH_Profile_Lists'!$N$2:$N$13</formula1>
    </dataValidation>
    <dataValidation type="list" allowBlank="1" showErrorMessage="1" showInputMessage="1" sqref="A95:A99" errorTitle="Invalid input" error="Please select an option from the dropdown list." promptTitle="Closed-answer input" prompt="Select crisis experienced by the organization.">
      <formula1>'_TECH_Profile_Lists'!$O$2:$O$16</formula1>
    </dataValidation>
    <dataValidation type="list" allowBlank="1" showErrorMessage="1" showInputMessage="1" sqref="B95:B99" errorTitle="Invalid input" error="Please select an option from the dropdown list." promptTitle="Closed-answer input" prompt="Select observed impact level.">
      <formula1>'_TECH_Profile_Lists'!$P$2:$P$7</formula1>
    </dataValidation>
  </dataValidation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legacyDrawing r:id="rId1"/>
  <extLst>
    <ext uri="{CCE6A557-97BC-4b89-ADB6-D9C93CAAB3DF}">
      <ns4:dataValidations count="19">
        <ns4:dataValidation type="list" ns2:uid="{00000000-0002-0000-0600-000005000000}">
          <ns4:formula1>
            <ns5:f>_TECH_Industry_Templates!$A$5:$A$157</ns5:f>
          </ns4:formula1>
          <ns5:sqref>B9</ns5:sqref>
        </ns4:dataValidation>
        <ns4:dataValidation type="list" allowBlank="1" ns2:uid="{00000000-0002-0000-0600-000006000000}">
          <ns4:formula1>
            <ns5:f>_TECH_Scoring_Settings!$A$5:$A$8</ns5:f>
          </ns4:formula1>
          <ns5:sqref>B40 B41</ns5:sqref>
        </ns4:dataValidation>
        <ns4:dataValidation type="list" ns2:uid="{00000000-0002-0000-0600-000007000000}">
          <ns4:formula1>
            <ns5:f>_TECH_Industry_Templates!$N$5:$N$13</ns5:f>
          </ns4:formula1>
          <ns5:sqref>B9</ns5:sqref>
        </ns4:dataValidation>
        <ns4:dataValidation type="list" allowBlank="1" showErrorMessage="1" ns2:uid="{00000000-0002-0000-0600-000008000000}">
          <ns4:formula1>
            <ns5:f>_TECH_Profile_Lists!$A$2:$A$14</ns5:f>
          </ns4:formula1>
          <ns5:sqref>B50:B51</ns5:sqref>
        </ns4:dataValidation>
        <ns4:dataValidation type="list" allowBlank="1" showErrorMessage="1" ns2:uid="{00000000-0002-0000-0600-000009000000}">
          <ns4:formula1>
            <ns5:f>_TECH_Profile_Lists!$B$2:$B$7</ns5:f>
          </ns4:formula1>
          <ns5:sqref>B52</ns5:sqref>
        </ns4:dataValidation>
        <ns4:dataValidation type="list" allowBlank="1" showErrorMessage="1" ns2:uid="{00000000-0002-0000-0600-00000A000000}">
          <ns4:formula1>
            <ns5:f>_TECH_Profile_Lists!$C$2:$C$11</ns5:f>
          </ns4:formula1>
          <ns5:sqref>B53</ns5:sqref>
        </ns4:dataValidation>
        <ns4:dataValidation type="list" allowBlank="1" showErrorMessage="1" ns2:uid="{00000000-0002-0000-0600-00000B000000}">
          <ns4:formula1>
            <ns5:f>_TECH_Profile_Lists!$D$2:$D$8</ns5:f>
          </ns4:formula1>
          <ns5:sqref>B54:B58</ns5:sqref>
        </ns4:dataValidation>
        <ns4:dataValidation type="list" allowBlank="1" showErrorMessage="1" ns2:uid="{00000000-0002-0000-0600-00000C000000}">
          <ns4:formula1>
            <ns5:f>_TECH_Profile_Lists!$E$2:$E$8</ns5:f>
          </ns4:formula1>
          <ns5:sqref>B59</ns5:sqref>
        </ns4:dataValidation>
        <ns4:dataValidation type="list" allowBlank="1" showErrorMessage="1" ns2:uid="{00000000-0002-0000-0600-00000D000000}">
          <ns4:formula1>
            <ns5:f>_TECH_Profile_Lists!$F$2:$F$7</ns5:f>
          </ns4:formula1>
          <ns5:sqref>B63:B70</ns5:sqref>
        </ns4:dataValidation>
        <ns4:dataValidation type="list" allowBlank="1" showErrorMessage="1" ns2:uid="{00000000-0002-0000-0600-00000E000000}">
          <ns4:formula1>
            <ns5:f>_TECH_Profile_Lists!$G$2:$G$7</ns5:f>
          </ns4:formula1>
          <ns5:sqref>C63:C70</ns5:sqref>
        </ns4:dataValidation>
        <ns4:dataValidation type="list" allowBlank="1" showErrorMessage="1" ns2:uid="{00000000-0002-0000-0600-00000F000000}">
          <ns4:formula1>
            <ns5:f>_TECH_Profile_Lists!$H$2:$H$8</ns5:f>
          </ns4:formula1>
          <ns5:sqref>D63:D70</ns5:sqref>
        </ns4:dataValidation>
        <ns4:dataValidation type="list" allowBlank="1" showErrorMessage="1" ns2:uid="{00000000-0002-0000-0600-000010000000}">
          <ns4:formula1>
            <ns5:f>_TECH_Profile_Lists!$I$2:$I$6</ns5:f>
          </ns4:formula1>
          <ns5:sqref>B73</ns5:sqref>
        </ns4:dataValidation>
        <ns4:dataValidation type="list" allowBlank="1" showErrorMessage="1" ns2:uid="{00000000-0002-0000-0600-000011000000}">
          <ns4:formula1>
            <ns5:f>_TECH_Profile_Lists!$J$2:$J$7</ns5:f>
          </ns4:formula1>
          <ns5:sqref>B74:B75</ns5:sqref>
        </ns4:dataValidation>
        <ns4:dataValidation type="list" allowBlank="1" showErrorMessage="1" ns2:uid="{00000000-0002-0000-0600-000012000000}">
          <ns4:formula1>
            <ns5:f>_TECH_Profile_Lists!$K$2:$K$7</ns5:f>
          </ns4:formula1>
          <ns5:sqref>B76</ns5:sqref>
        </ns4:dataValidation>
        <ns4:dataValidation type="list" allowBlank="1" showErrorMessage="1" ns2:uid="{00000000-0002-0000-0600-000013000000}">
          <ns4:formula1>
            <ns5:f>_TECH_Profile_Lists!$L$2:$L$6</ns5:f>
          </ns4:formula1>
          <ns5:sqref>B77</ns5:sqref>
        </ns4:dataValidation>
        <ns4:dataValidation type="list" allowBlank="1" showErrorMessage="1" ns2:uid="{00000000-0002-0000-0600-000014000000}">
          <ns4:formula1>
            <ns5:f>_TECH_Profile_Lists!$M$2:$M$20</ns5:f>
          </ns4:formula1>
          <ns5:sqref>B80:B84</ns5:sqref>
        </ns4:dataValidation>
        <ns4:dataValidation type="list" allowBlank="1" showErrorMessage="1" ns2:uid="{00000000-0002-0000-0600-000015000000}">
          <ns4:formula1>
            <ns5:f>_TECH_Profile_Lists!$N$2:$N$12</ns5:f>
          </ns4:formula1>
          <ns5:sqref>B87:B91</ns5:sqref>
        </ns4:dataValidation>
        <ns4:dataValidation type="list" allowBlank="1" showErrorMessage="1" ns2:uid="{00000000-0002-0000-0600-000016000000}">
          <ns4:formula1>
            <ns5:f>_TECH_Profile_Lists!$O$2:$O$15</ns5:f>
          </ns4:formula1>
          <ns5:sqref>A95:A99</ns5:sqref>
        </ns4:dataValidation>
        <ns4:dataValidation type="list" allowBlank="1" showErrorMessage="1" ns2:uid="{00000000-0002-0000-0600-000017000000}">
          <ns4:formula1>
            <ns5:f>_TECH_Profile_Lists!$P$2:$P$7</ns5:f>
          </ns4:formula1>
          <ns5:sqref>B95:B99</ns5:sqref>
        </ns4:dataValidation>
      </ns4:dataValidations>
    </ext>
  </extLst>
</worksheet>
</file>

<file path=xl/worksheets/sheet8.xml><?xml version="1.0" encoding="utf-8"?>
<worksheet xmlns="http://schemas.openxmlformats.org/spreadsheetml/2006/main" xmlns:ns1="http://schemas.openxmlformats.org/markup-compatibility/2006" xmlns:ns2="http://schemas.microsoft.com/office/spreadsheetml/2014/revision" ns1:Ignorable="x14ac xr xr2 xr3" ns2:uid="{00000000-0001-0000-0700-000000000000}">
  <sheetPr>
    <tabColor rgb="FF548235"/>
  </sheetPr>
  <dimension ref="A1:V16"/>
  <sheetViews>
    <sheetView workbookViewId="0"/>
  </sheetViews>
  <sheetFormatPr defaultRowHeight="14.25"/>
  <cols>
    <col min="1" max="1" width="28" customWidth="1"/>
    <col min="2" max="3" width="44" customWidth="1"/>
    <col min="4" max="4" width="48" customWidth="1"/>
    <col min="5" max="5" width="58" customWidth="1"/>
  </cols>
  <sheetData>
    <row r="1" spans="1:22" ht="27.95" customHeight="1">
      <c r="A1" s="160" t="s">
        <v>642</v>
      </c>
      <c r="B1" s="158"/>
      <c r="C1" s="158"/>
      <c r="D1" s="158"/>
      <c r="E1" s="158"/>
      <c r="F1" s="158"/>
      <c r="G1" s="158"/>
      <c r="H1" s="158"/>
      <c r="I1" s="158"/>
      <c r="J1" s="158"/>
      <c r="K1" s="158"/>
      <c r="L1" s="158"/>
      <c r="M1" s="158"/>
      <c r="N1" s="158"/>
      <c r="O1" s="158"/>
      <c r="P1" s="158"/>
      <c r="Q1" s="158"/>
      <c r="R1" s="158"/>
      <c r="S1" s="158"/>
      <c r="T1" s="158"/>
      <c r="U1" s="158"/>
      <c r="V1" s="158"/>
    </row>
    <row r="2" spans="1:22" ht="38.1" customHeight="1">
      <c r="A2" s="157" t="s">
        <v>643</v>
      </c>
      <c r="B2" s="158"/>
      <c r="C2" s="158"/>
      <c r="D2" s="158"/>
      <c r="E2" s="158"/>
      <c r="F2" s="158"/>
      <c r="G2" s="158"/>
      <c r="H2" s="158"/>
      <c r="I2" s="158"/>
      <c r="J2" s="158"/>
      <c r="K2" s="158"/>
      <c r="L2" s="158"/>
      <c r="M2" s="158"/>
      <c r="N2" s="158"/>
      <c r="O2" s="158"/>
      <c r="P2" s="158"/>
      <c r="Q2" s="158"/>
      <c r="R2" s="158"/>
      <c r="S2" s="158"/>
      <c r="T2" s="158"/>
      <c r="U2" s="158"/>
      <c r="V2" s="158"/>
    </row>
    <row r="4" spans="1:22" ht="15">
      <c r="A4" s="4" t="s">
        <v>644</v>
      </c>
      <c r="B4" s="4" t="s">
        <v>645</v>
      </c>
      <c r="C4" s="4" t="s">
        <v>646</v>
      </c>
      <c r="D4" s="4" t="s">
        <v>647</v>
      </c>
      <c r="E4" s="4" t="s">
        <v>648</v>
      </c>
    </row>
    <row r="5" spans="1:22" ht="28.5">
      <c r="A5" s="5" t="s">
        <v>98</v>
      </c>
      <c r="B5" s="5" t="s">
        <v>649</v>
      </c>
      <c r="C5" s="5" t="s">
        <v>650</v>
      </c>
      <c r="D5" s="5" t="s">
        <v>651</v>
      </c>
      <c r="E5" s="5" t="s">
        <v>652</v>
      </c>
    </row>
    <row r="6" spans="1:22" ht="28.5">
      <c r="A6" s="5" t="s">
        <v>101</v>
      </c>
      <c r="B6" s="5" t="s">
        <v>653</v>
      </c>
      <c r="C6" s="5" t="s">
        <v>654</v>
      </c>
      <c r="D6" s="5" t="s">
        <v>655</v>
      </c>
      <c r="E6" s="5" t="s">
        <v>656</v>
      </c>
    </row>
    <row r="7" spans="1:22" ht="28.5">
      <c r="A7" s="5" t="s">
        <v>104</v>
      </c>
      <c r="B7" s="5" t="s">
        <v>657</v>
      </c>
      <c r="C7" s="5" t="s">
        <v>658</v>
      </c>
      <c r="D7" s="5" t="s">
        <v>105</v>
      </c>
      <c r="E7" s="5" t="s">
        <v>659</v>
      </c>
    </row>
    <row r="8" spans="1:22" ht="28.5">
      <c r="A8" s="5" t="s">
        <v>107</v>
      </c>
      <c r="B8" s="5" t="s">
        <v>660</v>
      </c>
      <c r="C8" s="5" t="s">
        <v>661</v>
      </c>
      <c r="D8" s="5" t="s">
        <v>108</v>
      </c>
      <c r="E8" s="5" t="s">
        <v>662</v>
      </c>
    </row>
    <row r="9" spans="1:22" ht="28.5">
      <c r="A9" s="5" t="s">
        <v>110</v>
      </c>
      <c r="B9" s="5" t="s">
        <v>663</v>
      </c>
      <c r="C9" s="5" t="s">
        <v>664</v>
      </c>
      <c r="D9" s="5" t="s">
        <v>665</v>
      </c>
      <c r="E9" s="5" t="s">
        <v>666</v>
      </c>
    </row>
    <row r="10" spans="1:22" ht="28.5">
      <c r="A10" s="5" t="s">
        <v>113</v>
      </c>
      <c r="B10" s="5" t="s">
        <v>667</v>
      </c>
      <c r="C10" s="5" t="s">
        <v>668</v>
      </c>
      <c r="D10" s="5" t="s">
        <v>114</v>
      </c>
      <c r="E10" s="5" t="s">
        <v>669</v>
      </c>
    </row>
    <row r="11" spans="1:22" ht="28.5">
      <c r="A11" s="5" t="s">
        <v>116</v>
      </c>
      <c r="B11" s="5" t="s">
        <v>670</v>
      </c>
      <c r="C11" s="5" t="s">
        <v>671</v>
      </c>
      <c r="D11" s="5" t="s">
        <v>117</v>
      </c>
      <c r="E11" s="5" t="s">
        <v>672</v>
      </c>
    </row>
    <row r="12" spans="1:22" ht="28.5">
      <c r="A12" s="5" t="s">
        <v>119</v>
      </c>
      <c r="B12" s="5" t="s">
        <v>673</v>
      </c>
      <c r="C12" s="5" t="s">
        <v>674</v>
      </c>
      <c r="D12" s="5" t="s">
        <v>120</v>
      </c>
      <c r="E12" s="5" t="s">
        <v>675</v>
      </c>
    </row>
    <row r="13" spans="1:22" ht="28.5">
      <c r="A13" s="5" t="s">
        <v>122</v>
      </c>
      <c r="B13" s="5" t="s">
        <v>676</v>
      </c>
      <c r="C13" s="5" t="s">
        <v>677</v>
      </c>
      <c r="D13" s="5" t="s">
        <v>123</v>
      </c>
      <c r="E13" s="5" t="s">
        <v>678</v>
      </c>
    </row>
    <row r="14" spans="1:22" ht="28.5">
      <c r="A14" s="5" t="s">
        <v>125</v>
      </c>
      <c r="B14" s="5" t="s">
        <v>679</v>
      </c>
      <c r="C14" s="5" t="s">
        <v>680</v>
      </c>
      <c r="D14" s="5" t="s">
        <v>126</v>
      </c>
      <c r="E14" s="5" t="s">
        <v>681</v>
      </c>
    </row>
    <row r="15" spans="1:22" ht="28.5">
      <c r="A15" s="5" t="s">
        <v>128</v>
      </c>
      <c r="B15" s="5" t="s">
        <v>682</v>
      </c>
      <c r="C15" s="5" t="s">
        <v>683</v>
      </c>
      <c r="D15" s="5" t="s">
        <v>129</v>
      </c>
      <c r="E15" s="5" t="s">
        <v>684</v>
      </c>
    </row>
    <row r="16" spans="1:22" ht="28.5">
      <c r="A16" s="5" t="s">
        <v>131</v>
      </c>
      <c r="B16" s="5" t="s">
        <v>685</v>
      </c>
      <c r="C16" s="5" t="s">
        <v>686</v>
      </c>
      <c r="D16" s="5" t="s">
        <v>132</v>
      </c>
      <c r="E16" s="5" t="s">
        <v>687</v>
      </c>
    </row>
  </sheetData>
  <mergeCells count="2">
    <mergeCell ref="A2:V2"/>
    <mergeCell ref="A1:V1"/>
  </mergeCell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9.xml><?xml version="1.0" encoding="utf-8"?>
<worksheet xmlns="http://schemas.openxmlformats.org/spreadsheetml/2006/main" xmlns:ns1="http://schemas.openxmlformats.org/markup-compatibility/2006" xmlns:ns2="http://schemas.microsoft.com/office/spreadsheetml/2014/revision" ns1:Ignorable="x14ac xr xr2 xr3" ns2:uid="{00000000-0001-0000-0800-000000000000}">
  <sheetPr>
    <tabColor rgb="FF548235"/>
  </sheetPr>
  <dimension ref="A1:L22"/>
  <sheetViews>
    <sheetView showGridLines="0" workbookViewId="0">
      <pane ySplit="5" topLeftCell="A6" activePane="bottomLeft" state="frozen"/>
      <selection pane="bottomLeft"/>
    </sheetView>
  </sheetViews>
  <sheetFormatPr defaultRowHeight="14.25"/>
  <cols>
    <col min="1" max="1" width="24" customWidth="1"/>
    <col min="2" max="3" width="15" customWidth="1"/>
    <col min="4" max="4" width="18" customWidth="1"/>
    <col min="5" max="7" width="16" customWidth="1"/>
    <col min="8" max="8" width="40" customWidth="1"/>
    <col min="9" max="9" width="50" customWidth="1"/>
    <col min="10" max="10" width="45" customWidth="1"/>
  </cols>
  <sheetData>
    <row r="1" spans="1:12">
      <c r="A1" s="185" t="s">
        <v>688</v>
      </c>
      <c r="B1" s="158"/>
      <c r="C1" s="158"/>
      <c r="D1" s="158"/>
      <c r="E1" s="158"/>
      <c r="F1" s="158"/>
      <c r="G1" s="158"/>
      <c r="H1" s="158"/>
      <c r="I1" s="158"/>
      <c r="J1" s="158"/>
      <c r="K1" s="158"/>
      <c r="L1" s="158"/>
    </row>
    <row r="2" spans="1:12" ht="71.25">
      <c r="A2" s="7" t="s">
        <v>689</v>
      </c>
    </row>
    <row r="3" spans="1:12" ht="15">
      <c r="A3" s="75" t="s">
        <v>164</v>
      </c>
      <c r="B3" s="76" t="str">
        <f>'Company Profile'!$B$9</f>
        <v>IT Services</v>
      </c>
    </row>
    <row r="5" spans="1:12" ht="30">
      <c r="A5" s="77" t="s">
        <v>36</v>
      </c>
      <c r="B5" s="77" t="s">
        <v>690</v>
      </c>
      <c r="C5" s="77" t="s">
        <v>691</v>
      </c>
      <c r="D5" s="77" t="s">
        <v>692</v>
      </c>
      <c r="E5" s="77" t="s">
        <v>693</v>
      </c>
      <c r="F5" s="77" t="s">
        <v>694</v>
      </c>
      <c r="G5" s="77" t="s">
        <v>453</v>
      </c>
      <c r="H5" s="77" t="s">
        <v>520</v>
      </c>
      <c r="I5" s="77" t="s">
        <v>522</v>
      </c>
      <c r="J5" s="77" t="s">
        <v>695</v>
      </c>
    </row>
    <row r="6" spans="1:12">
      <c r="A6" s="74" t="s">
        <v>54</v>
      </c>
      <c r="B6" s="74">
        <f>IFERROR(SUMIFS(_TECH_Industry_Templates!$C:$C,_TECH_Industry_Templates!$A:$A,'Company Profile'!$B$9,_TECH_Industry_Templates!$B:$B,$A6),"")</f>
        <v>3</v>
      </c>
      <c r="C6" s="74">
        <f>IFERROR(SUMIFS(_TECH_Industry_Templates!$D:$D,_TECH_Industry_Templates!$A:$A,'Company Profile'!$B$9,_TECH_Industry_Templates!$B:$B,$A6),"")</f>
        <v>3.5</v>
      </c>
      <c r="D6" s="74">
        <f>IFERROR(SUMIFS(_TECH_Industry_Templates!$E:$E,_TECH_Industry_Templates!$A:$A,'Company Profile'!$B$9,_TECH_Industry_Templates!$B:$B,$A6),"")</f>
        <v>1</v>
      </c>
      <c r="E6" s="74">
        <f>IFERROR(SUMIFS(_TECH_Industry_Templates!$F:$F,_TECH_Industry_Templates!$A:$A,'Company Profile'!$B$9,_TECH_Industry_Templates!$B:$B,$A6),"")</f>
        <v>2.5</v>
      </c>
      <c r="F6" s="74">
        <f>IFERROR(SUMIFS(_TECH_Industry_Templates!$J:$J,_TECH_Industry_Templates!$A:$A,'Company Profile'!$B$9,_TECH_Industry_Templates!$B:$B,$A6),"")</f>
        <v>1</v>
      </c>
      <c r="G6" s="74" t="str">
        <f>IFERROR(INDEX(_TECH_Industry_Templates!$G:$G,MATCH(1,INDEX((_TECH_Industry_Templates!$A:$A='Company Profile'!$B$9)*(_TECH_Industry_Templates!$B:$B=$A6),0),0)),"")</f>
        <v>Low</v>
      </c>
      <c r="H6" s="74" t="str">
        <f>IFERROR(INDEX(_TECH_Industry_Templates!$H:$H,MATCH(1,INDEX((_TECH_Industry_Templates!$A:$A='Company Profile'!$B$9)*(_TECH_Industry_Templates!$B:$B=$A6),0),0)),"")</f>
        <v>CRM; HRMS; project/portfolio tools; time tracking; knowledge base; finance system; cloud collaboration; IAM; BI dashboards</v>
      </c>
      <c r="I6" s="74" t="str">
        <f>IFERROR(INDEX(_TECH_Industry_Templates!$I:$I,MATCH(1,INDEX((_TECH_Industry_Templates!$A:$A='Company Profile'!$B$9)*(_TECH_Industry_Templates!$B:$B=$A6),0),0)),"")</f>
        <v>critical role backups; secure remote work; MFA; delivery continuity; project knowledge base; customer communication path</v>
      </c>
      <c r="J6" s="74" t="str">
        <f>IFERROR(INDEX(_TECH_Industry_Templates!$L:$L,MATCH(1,INDEX((_TECH_Industry_Templates!$A:$A='Company Profile'!$B$9)*(_TECH_Industry_Templates!$B:$B=$A6),0),0)),"")</f>
        <v>Workforce Resilience Strategy; Digital Foundation Strategy; Business Continuity and Resilience Strategy</v>
      </c>
    </row>
    <row r="7" spans="1:12">
      <c r="A7" s="48" t="s">
        <v>57</v>
      </c>
      <c r="B7" s="48">
        <f>IFERROR(SUMIFS(_TECH_Industry_Templates!$C:$C,_TECH_Industry_Templates!$A:$A,'Company Profile'!$B$9,_TECH_Industry_Templates!$B:$B,$A7),"")</f>
        <v>3</v>
      </c>
      <c r="C7" s="48">
        <f>IFERROR(SUMIFS(_TECH_Industry_Templates!$D:$D,_TECH_Industry_Templates!$A:$A,'Company Profile'!$B$9,_TECH_Industry_Templates!$B:$B,$A7),"")</f>
        <v>3.5</v>
      </c>
      <c r="D7" s="48">
        <f>IFERROR(SUMIFS(_TECH_Industry_Templates!$E:$E,_TECH_Industry_Templates!$A:$A,'Company Profile'!$B$9,_TECH_Industry_Templates!$B:$B,$A7),"")</f>
        <v>1</v>
      </c>
      <c r="E7" s="48">
        <f>IFERROR(SUMIFS(_TECH_Industry_Templates!$F:$F,_TECH_Industry_Templates!$A:$A,'Company Profile'!$B$9,_TECH_Industry_Templates!$B:$B,$A7),"")</f>
        <v>2.5</v>
      </c>
      <c r="F7" s="48">
        <f>IFERROR(SUMIFS(_TECH_Industry_Templates!$J:$J,_TECH_Industry_Templates!$A:$A,'Company Profile'!$B$9,_TECH_Industry_Templates!$B:$B,$A7),"")</f>
        <v>1</v>
      </c>
      <c r="G7" s="48" t="str">
        <f>IFERROR(INDEX(_TECH_Industry_Templates!$G:$G,MATCH(1,INDEX((_TECH_Industry_Templates!$A:$A='Company Profile'!$B$9)*(_TECH_Industry_Templates!$B:$B=$A7),0),0)),"")</f>
        <v>Low</v>
      </c>
      <c r="H7" s="48" t="str">
        <f>IFERROR(INDEX(_TECH_Industry_Templates!$H:$H,MATCH(1,INDEX((_TECH_Industry_Templates!$A:$A='Company Profile'!$B$9)*(_TECH_Industry_Templates!$B:$B=$A7),0),0)),"")</f>
        <v>CRM; HRMS; project/portfolio tools; time tracking; knowledge base; finance system; cloud collaboration; IAM; BI dashboards</v>
      </c>
      <c r="I7" s="48" t="str">
        <f>IFERROR(INDEX(_TECH_Industry_Templates!$I:$I,MATCH(1,INDEX((_TECH_Industry_Templates!$A:$A='Company Profile'!$B$9)*(_TECH_Industry_Templates!$B:$B=$A7),0),0)),"")</f>
        <v>critical role backups; secure remote work; MFA; delivery continuity; project knowledge base; customer communication path</v>
      </c>
      <c r="J7" s="48" t="str">
        <f>IFERROR(INDEX(_TECH_Industry_Templates!$L:$L,MATCH(1,INDEX((_TECH_Industry_Templates!$A:$A='Company Profile'!$B$9)*(_TECH_Industry_Templates!$B:$B=$A7),0),0)),"")</f>
        <v>Workforce Resilience Strategy; Digital Foundation Strategy; Business Continuity and Resilience Strategy</v>
      </c>
    </row>
    <row r="8" spans="1:12">
      <c r="A8" s="74" t="s">
        <v>60</v>
      </c>
      <c r="B8" s="74">
        <f>IFERROR(SUMIFS(_TECH_Industry_Templates!$C:$C,_TECH_Industry_Templates!$A:$A,'Company Profile'!$B$9,_TECH_Industry_Templates!$B:$B,$A8),"")</f>
        <v>3</v>
      </c>
      <c r="C8" s="74">
        <f>IFERROR(SUMIFS(_TECH_Industry_Templates!$D:$D,_TECH_Industry_Templates!$A:$A,'Company Profile'!$B$9,_TECH_Industry_Templates!$B:$B,$A8),"")</f>
        <v>4</v>
      </c>
      <c r="D8" s="74">
        <f>IFERROR(SUMIFS(_TECH_Industry_Templates!$E:$E,_TECH_Industry_Templates!$A:$A,'Company Profile'!$B$9,_TECH_Industry_Templates!$B:$B,$A8),"")</f>
        <v>1.1499999999999999</v>
      </c>
      <c r="E8" s="74">
        <f>IFERROR(SUMIFS(_TECH_Industry_Templates!$F:$F,_TECH_Industry_Templates!$A:$A,'Company Profile'!$B$9,_TECH_Industry_Templates!$B:$B,$A8),"")</f>
        <v>3</v>
      </c>
      <c r="F8" s="74">
        <f>IFERROR(SUMIFS(_TECH_Industry_Templates!$J:$J,_TECH_Industry_Templates!$A:$A,'Company Profile'!$B$9,_TECH_Industry_Templates!$B:$B,$A8),"")</f>
        <v>1.1000000000000001</v>
      </c>
      <c r="G8" s="74" t="str">
        <f>IFERROR(INDEX(_TECH_Industry_Templates!$G:$G,MATCH(1,INDEX((_TECH_Industry_Templates!$A:$A='Company Profile'!$B$9)*(_TECH_Industry_Templates!$B:$B=$A8),0),0)),"")</f>
        <v>Medium</v>
      </c>
      <c r="H8" s="74" t="str">
        <f>IFERROR(INDEX(_TECH_Industry_Templates!$H:$H,MATCH(1,INDEX((_TECH_Industry_Templates!$A:$A='Company Profile'!$B$9)*(_TECH_Industry_Templates!$B:$B=$A8),0),0)),"")</f>
        <v>CRM; HRMS; project/portfolio tools; time tracking; knowledge base; finance system; cloud collaboration; IAM; BI dashboards</v>
      </c>
      <c r="I8" s="74" t="str">
        <f>IFERROR(INDEX(_TECH_Industry_Templates!$I:$I,MATCH(1,INDEX((_TECH_Industry_Templates!$A:$A='Company Profile'!$B$9)*(_TECH_Industry_Templates!$B:$B=$A8),0),0)),"")</f>
        <v>critical role backups; secure remote work; MFA; delivery continuity; project knowledge base; customer communication path</v>
      </c>
      <c r="J8" s="74" t="str">
        <f>IFERROR(INDEX(_TECH_Industry_Templates!$L:$L,MATCH(1,INDEX((_TECH_Industry_Templates!$A:$A='Company Profile'!$B$9)*(_TECH_Industry_Templates!$B:$B=$A8),0),0)),"")</f>
        <v>Workforce Resilience Strategy; Digital Foundation Strategy; Business Continuity and Resilience Strategy</v>
      </c>
    </row>
    <row r="9" spans="1:12">
      <c r="A9" s="48" t="s">
        <v>63</v>
      </c>
      <c r="B9" s="48">
        <f>IFERROR(SUMIFS(_TECH_Industry_Templates!$C:$C,_TECH_Industry_Templates!$A:$A,'Company Profile'!$B$9,_TECH_Industry_Templates!$B:$B,$A9),"")</f>
        <v>5</v>
      </c>
      <c r="C9" s="48">
        <f>IFERROR(SUMIFS(_TECH_Industry_Templates!$D:$D,_TECH_Industry_Templates!$A:$A,'Company Profile'!$B$9,_TECH_Industry_Templates!$B:$B,$A9),"")</f>
        <v>4</v>
      </c>
      <c r="D9" s="48">
        <f>IFERROR(SUMIFS(_TECH_Industry_Templates!$E:$E,_TECH_Industry_Templates!$A:$A,'Company Profile'!$B$9,_TECH_Industry_Templates!$B:$B,$A9),"")</f>
        <v>1.25</v>
      </c>
      <c r="E9" s="48">
        <f>IFERROR(SUMIFS(_TECH_Industry_Templates!$F:$F,_TECH_Industry_Templates!$A:$A,'Company Profile'!$B$9,_TECH_Industry_Templates!$B:$B,$A9),"")</f>
        <v>3</v>
      </c>
      <c r="F9" s="48">
        <f>IFERROR(SUMIFS(_TECH_Industry_Templates!$J:$J,_TECH_Industry_Templates!$A:$A,'Company Profile'!$B$9,_TECH_Industry_Templates!$B:$B,$A9),"")</f>
        <v>1.2</v>
      </c>
      <c r="G9" s="48" t="str">
        <f>IFERROR(INDEX(_TECH_Industry_Templates!$G:$G,MATCH(1,INDEX((_TECH_Industry_Templates!$A:$A='Company Profile'!$B$9)*(_TECH_Industry_Templates!$B:$B=$A9),0),0)),"")</f>
        <v>Medium</v>
      </c>
      <c r="H9" s="48" t="str">
        <f>IFERROR(INDEX(_TECH_Industry_Templates!$H:$H,MATCH(1,INDEX((_TECH_Industry_Templates!$A:$A='Company Profile'!$B$9)*(_TECH_Industry_Templates!$B:$B=$A9),0),0)),"")</f>
        <v>CRM; HRMS; project/portfolio tools; time tracking; knowledge base; finance system; cloud collaboration; IAM; BI dashboards</v>
      </c>
      <c r="I9" s="48" t="str">
        <f>IFERROR(INDEX(_TECH_Industry_Templates!$I:$I,MATCH(1,INDEX((_TECH_Industry_Templates!$A:$A='Company Profile'!$B$9)*(_TECH_Industry_Templates!$B:$B=$A9),0),0)),"")</f>
        <v>critical role backups; secure remote work; MFA; delivery continuity; project knowledge base; customer communication path</v>
      </c>
      <c r="J9" s="48" t="str">
        <f>IFERROR(INDEX(_TECH_Industry_Templates!$L:$L,MATCH(1,INDEX((_TECH_Industry_Templates!$A:$A='Company Profile'!$B$9)*(_TECH_Industry_Templates!$B:$B=$A9),0),0)),"")</f>
        <v>Workforce Resilience Strategy; Digital Foundation Strategy; Business Continuity and Resilience Strategy</v>
      </c>
    </row>
    <row r="10" spans="1:12">
      <c r="A10" s="74" t="s">
        <v>66</v>
      </c>
      <c r="B10" s="74">
        <f>IFERROR(SUMIFS(_TECH_Industry_Templates!$C:$C,_TECH_Industry_Templates!$A:$A,'Company Profile'!$B$9,_TECH_Industry_Templates!$B:$B,$A10),"")</f>
        <v>3</v>
      </c>
      <c r="C10" s="74">
        <f>IFERROR(SUMIFS(_TECH_Industry_Templates!$D:$D,_TECH_Industry_Templates!$A:$A,'Company Profile'!$B$9,_TECH_Industry_Templates!$B:$B,$A10),"")</f>
        <v>3.5</v>
      </c>
      <c r="D10" s="74">
        <f>IFERROR(SUMIFS(_TECH_Industry_Templates!$E:$E,_TECH_Industry_Templates!$A:$A,'Company Profile'!$B$9,_TECH_Industry_Templates!$B:$B,$A10),"")</f>
        <v>1</v>
      </c>
      <c r="E10" s="74">
        <f>IFERROR(SUMIFS(_TECH_Industry_Templates!$F:$F,_TECH_Industry_Templates!$A:$A,'Company Profile'!$B$9,_TECH_Industry_Templates!$B:$B,$A10),"")</f>
        <v>2.5</v>
      </c>
      <c r="F10" s="74">
        <f>IFERROR(SUMIFS(_TECH_Industry_Templates!$J:$J,_TECH_Industry_Templates!$A:$A,'Company Profile'!$B$9,_TECH_Industry_Templates!$B:$B,$A10),"")</f>
        <v>1</v>
      </c>
      <c r="G10" s="74" t="str">
        <f>IFERROR(INDEX(_TECH_Industry_Templates!$G:$G,MATCH(1,INDEX((_TECH_Industry_Templates!$A:$A='Company Profile'!$B$9)*(_TECH_Industry_Templates!$B:$B=$A10),0),0)),"")</f>
        <v>Low</v>
      </c>
      <c r="H10" s="74" t="str">
        <f>IFERROR(INDEX(_TECH_Industry_Templates!$H:$H,MATCH(1,INDEX((_TECH_Industry_Templates!$A:$A='Company Profile'!$B$9)*(_TECH_Industry_Templates!$B:$B=$A10),0),0)),"")</f>
        <v>CRM; HRMS; project/portfolio tools; time tracking; knowledge base; finance system; cloud collaboration; IAM; BI dashboards</v>
      </c>
      <c r="I10" s="74" t="str">
        <f>IFERROR(INDEX(_TECH_Industry_Templates!$I:$I,MATCH(1,INDEX((_TECH_Industry_Templates!$A:$A='Company Profile'!$B$9)*(_TECH_Industry_Templates!$B:$B=$A10),0),0)),"")</f>
        <v>critical role backups; secure remote work; MFA; delivery continuity; project knowledge base; customer communication path</v>
      </c>
      <c r="J10" s="74" t="str">
        <f>IFERROR(INDEX(_TECH_Industry_Templates!$L:$L,MATCH(1,INDEX((_TECH_Industry_Templates!$A:$A='Company Profile'!$B$9)*(_TECH_Industry_Templates!$B:$B=$A10),0),0)),"")</f>
        <v>Workforce Resilience Strategy; Digital Foundation Strategy; Business Continuity and Resilience Strategy</v>
      </c>
    </row>
    <row r="11" spans="1:12">
      <c r="A11" s="48" t="s">
        <v>69</v>
      </c>
      <c r="B11" s="48">
        <f>IFERROR(SUMIFS(_TECH_Industry_Templates!$C:$C,_TECH_Industry_Templates!$A:$A,'Company Profile'!$B$9,_TECH_Industry_Templates!$B:$B,$A11),"")</f>
        <v>3</v>
      </c>
      <c r="C11" s="48">
        <f>IFERROR(SUMIFS(_TECH_Industry_Templates!$D:$D,_TECH_Industry_Templates!$A:$A,'Company Profile'!$B$9,_TECH_Industry_Templates!$B:$B,$A11),"")</f>
        <v>3.5</v>
      </c>
      <c r="D11" s="48">
        <f>IFERROR(SUMIFS(_TECH_Industry_Templates!$E:$E,_TECH_Industry_Templates!$A:$A,'Company Profile'!$B$9,_TECH_Industry_Templates!$B:$B,$A11),"")</f>
        <v>1</v>
      </c>
      <c r="E11" s="48">
        <f>IFERROR(SUMIFS(_TECH_Industry_Templates!$F:$F,_TECH_Industry_Templates!$A:$A,'Company Profile'!$B$9,_TECH_Industry_Templates!$B:$B,$A11),"")</f>
        <v>2.5</v>
      </c>
      <c r="F11" s="48">
        <f>IFERROR(SUMIFS(_TECH_Industry_Templates!$J:$J,_TECH_Industry_Templates!$A:$A,'Company Profile'!$B$9,_TECH_Industry_Templates!$B:$B,$A11),"")</f>
        <v>1</v>
      </c>
      <c r="G11" s="48" t="str">
        <f>IFERROR(INDEX(_TECH_Industry_Templates!$G:$G,MATCH(1,INDEX((_TECH_Industry_Templates!$A:$A='Company Profile'!$B$9)*(_TECH_Industry_Templates!$B:$B=$A11),0),0)),"")</f>
        <v>Low</v>
      </c>
      <c r="H11" s="48" t="str">
        <f>IFERROR(INDEX(_TECH_Industry_Templates!$H:$H,MATCH(1,INDEX((_TECH_Industry_Templates!$A:$A='Company Profile'!$B$9)*(_TECH_Industry_Templates!$B:$B=$A11),0),0)),"")</f>
        <v>CRM; HRMS; project/portfolio tools; time tracking; knowledge base; finance system; cloud collaboration; IAM; BI dashboards</v>
      </c>
      <c r="I11" s="48" t="str">
        <f>IFERROR(INDEX(_TECH_Industry_Templates!$I:$I,MATCH(1,INDEX((_TECH_Industry_Templates!$A:$A='Company Profile'!$B$9)*(_TECH_Industry_Templates!$B:$B=$A11),0),0)),"")</f>
        <v>critical role backups; secure remote work; MFA; delivery continuity; project knowledge base; customer communication path</v>
      </c>
      <c r="J11" s="48" t="str">
        <f>IFERROR(INDEX(_TECH_Industry_Templates!$L:$L,MATCH(1,INDEX((_TECH_Industry_Templates!$A:$A='Company Profile'!$B$9)*(_TECH_Industry_Templates!$B:$B=$A11),0),0)),"")</f>
        <v>Workforce Resilience Strategy; Digital Foundation Strategy; Business Continuity and Resilience Strategy</v>
      </c>
    </row>
    <row r="12" spans="1:12">
      <c r="A12" s="74" t="s">
        <v>72</v>
      </c>
      <c r="B12" s="74">
        <f>IFERROR(SUMIFS(_TECH_Industry_Templates!$C:$C,_TECH_Industry_Templates!$A:$A,'Company Profile'!$B$9,_TECH_Industry_Templates!$B:$B,$A12),"")</f>
        <v>2</v>
      </c>
      <c r="C12" s="74">
        <f>IFERROR(SUMIFS(_TECH_Industry_Templates!$D:$D,_TECH_Industry_Templates!$A:$A,'Company Profile'!$B$9,_TECH_Industry_Templates!$B:$B,$A12),"")</f>
        <v>2.8</v>
      </c>
      <c r="D12" s="74">
        <f>IFERROR(SUMIFS(_TECH_Industry_Templates!$E:$E,_TECH_Industry_Templates!$A:$A,'Company Profile'!$B$9,_TECH_Industry_Templates!$B:$B,$A12),"")</f>
        <v>0.9</v>
      </c>
      <c r="E12" s="74">
        <f>IFERROR(SUMIFS(_TECH_Industry_Templates!$F:$F,_TECH_Industry_Templates!$A:$A,'Company Profile'!$B$9,_TECH_Industry_Templates!$B:$B,$A12),"")</f>
        <v>2</v>
      </c>
      <c r="F12" s="74">
        <f>IFERROR(SUMIFS(_TECH_Industry_Templates!$J:$J,_TECH_Industry_Templates!$A:$A,'Company Profile'!$B$9,_TECH_Industry_Templates!$B:$B,$A12),"")</f>
        <v>0.9</v>
      </c>
      <c r="G12" s="74" t="str">
        <f>IFERROR(INDEX(_TECH_Industry_Templates!$G:$G,MATCH(1,INDEX((_TECH_Industry_Templates!$A:$A='Company Profile'!$B$9)*(_TECH_Industry_Templates!$B:$B=$A12),0),0)),"")</f>
        <v>Low</v>
      </c>
      <c r="H12" s="74" t="str">
        <f>IFERROR(INDEX(_TECH_Industry_Templates!$H:$H,MATCH(1,INDEX((_TECH_Industry_Templates!$A:$A='Company Profile'!$B$9)*(_TECH_Industry_Templates!$B:$B=$A12),0),0)),"")</f>
        <v>CRM; HRMS; project/portfolio tools; time tracking; knowledge base; finance system; cloud collaboration; IAM; BI dashboards</v>
      </c>
      <c r="I12" s="74" t="str">
        <f>IFERROR(INDEX(_TECH_Industry_Templates!$I:$I,MATCH(1,INDEX((_TECH_Industry_Templates!$A:$A='Company Profile'!$B$9)*(_TECH_Industry_Templates!$B:$B=$A12),0),0)),"")</f>
        <v>critical role backups; secure remote work; MFA; delivery continuity; project knowledge base; customer communication path</v>
      </c>
      <c r="J12" s="74" t="str">
        <f>IFERROR(INDEX(_TECH_Industry_Templates!$L:$L,MATCH(1,INDEX((_TECH_Industry_Templates!$A:$A='Company Profile'!$B$9)*(_TECH_Industry_Templates!$B:$B=$A12),0),0)),"")</f>
        <v>Workforce Resilience Strategy; Digital Foundation Strategy; Business Continuity and Resilience Strategy</v>
      </c>
    </row>
    <row r="13" spans="1:12">
      <c r="A13" s="48" t="s">
        <v>75</v>
      </c>
      <c r="B13" s="48">
        <f>IFERROR(SUMIFS(_TECH_Industry_Templates!$C:$C,_TECH_Industry_Templates!$A:$A,'Company Profile'!$B$9,_TECH_Industry_Templates!$B:$B,$A13),"")</f>
        <v>5</v>
      </c>
      <c r="C13" s="48">
        <f>IFERROR(SUMIFS(_TECH_Industry_Templates!$D:$D,_TECH_Industry_Templates!$A:$A,'Company Profile'!$B$9,_TECH_Industry_Templates!$B:$B,$A13),"")</f>
        <v>4</v>
      </c>
      <c r="D13" s="48">
        <f>IFERROR(SUMIFS(_TECH_Industry_Templates!$E:$E,_TECH_Industry_Templates!$A:$A,'Company Profile'!$B$9,_TECH_Industry_Templates!$B:$B,$A13),"")</f>
        <v>1.25</v>
      </c>
      <c r="E13" s="48">
        <f>IFERROR(SUMIFS(_TECH_Industry_Templates!$F:$F,_TECH_Industry_Templates!$A:$A,'Company Profile'!$B$9,_TECH_Industry_Templates!$B:$B,$A13),"")</f>
        <v>3</v>
      </c>
      <c r="F13" s="48">
        <f>IFERROR(SUMIFS(_TECH_Industry_Templates!$J:$J,_TECH_Industry_Templates!$A:$A,'Company Profile'!$B$9,_TECH_Industry_Templates!$B:$B,$A13),"")</f>
        <v>1.2</v>
      </c>
      <c r="G13" s="48" t="str">
        <f>IFERROR(INDEX(_TECH_Industry_Templates!$G:$G,MATCH(1,INDEX((_TECH_Industry_Templates!$A:$A='Company Profile'!$B$9)*(_TECH_Industry_Templates!$B:$B=$A13),0),0)),"")</f>
        <v>Medium</v>
      </c>
      <c r="H13" s="48" t="str">
        <f>IFERROR(INDEX(_TECH_Industry_Templates!$H:$H,MATCH(1,INDEX((_TECH_Industry_Templates!$A:$A='Company Profile'!$B$9)*(_TECH_Industry_Templates!$B:$B=$A13),0),0)),"")</f>
        <v>CRM; HRMS; project/portfolio tools; time tracking; knowledge base; finance system; cloud collaboration; IAM; BI dashboards</v>
      </c>
      <c r="I13" s="48" t="str">
        <f>IFERROR(INDEX(_TECH_Industry_Templates!$I:$I,MATCH(1,INDEX((_TECH_Industry_Templates!$A:$A='Company Profile'!$B$9)*(_TECH_Industry_Templates!$B:$B=$A13),0),0)),"")</f>
        <v>critical role backups; secure remote work; MFA; delivery continuity; project knowledge base; customer communication path</v>
      </c>
      <c r="J13" s="48" t="str">
        <f>IFERROR(INDEX(_TECH_Industry_Templates!$L:$L,MATCH(1,INDEX((_TECH_Industry_Templates!$A:$A='Company Profile'!$B$9)*(_TECH_Industry_Templates!$B:$B=$A13),0),0)),"")</f>
        <v>Workforce Resilience Strategy; Digital Foundation Strategy; Business Continuity and Resilience Strategy</v>
      </c>
    </row>
    <row r="14" spans="1:12">
      <c r="A14" s="74" t="s">
        <v>78</v>
      </c>
      <c r="B14" s="74">
        <f>IFERROR(SUMIFS(_TECH_Industry_Templates!$C:$C,_TECH_Industry_Templates!$A:$A,'Company Profile'!$B$9,_TECH_Industry_Templates!$B:$B,$A14),"")</f>
        <v>3</v>
      </c>
      <c r="C14" s="74">
        <f>IFERROR(SUMIFS(_TECH_Industry_Templates!$D:$D,_TECH_Industry_Templates!$A:$A,'Company Profile'!$B$9,_TECH_Industry_Templates!$B:$B,$A14),"")</f>
        <v>3.5</v>
      </c>
      <c r="D14" s="74">
        <f>IFERROR(SUMIFS(_TECH_Industry_Templates!$E:$E,_TECH_Industry_Templates!$A:$A,'Company Profile'!$B$9,_TECH_Industry_Templates!$B:$B,$A14),"")</f>
        <v>1</v>
      </c>
      <c r="E14" s="74">
        <f>IFERROR(SUMIFS(_TECH_Industry_Templates!$F:$F,_TECH_Industry_Templates!$A:$A,'Company Profile'!$B$9,_TECH_Industry_Templates!$B:$B,$A14),"")</f>
        <v>2.5</v>
      </c>
      <c r="F14" s="74">
        <f>IFERROR(SUMIFS(_TECH_Industry_Templates!$J:$J,_TECH_Industry_Templates!$A:$A,'Company Profile'!$B$9,_TECH_Industry_Templates!$B:$B,$A14),"")</f>
        <v>1</v>
      </c>
      <c r="G14" s="74" t="str">
        <f>IFERROR(INDEX(_TECH_Industry_Templates!$G:$G,MATCH(1,INDEX((_TECH_Industry_Templates!$A:$A='Company Profile'!$B$9)*(_TECH_Industry_Templates!$B:$B=$A14),0),0)),"")</f>
        <v>Low</v>
      </c>
      <c r="H14" s="74" t="str">
        <f>IFERROR(INDEX(_TECH_Industry_Templates!$H:$H,MATCH(1,INDEX((_TECH_Industry_Templates!$A:$A='Company Profile'!$B$9)*(_TECH_Industry_Templates!$B:$B=$A14),0),0)),"")</f>
        <v>CRM; HRMS; project/portfolio tools; time tracking; knowledge base; finance system; cloud collaboration; IAM; BI dashboards</v>
      </c>
      <c r="I14" s="74" t="str">
        <f>IFERROR(INDEX(_TECH_Industry_Templates!$I:$I,MATCH(1,INDEX((_TECH_Industry_Templates!$A:$A='Company Profile'!$B$9)*(_TECH_Industry_Templates!$B:$B=$A14),0),0)),"")</f>
        <v>critical role backups; secure remote work; MFA; delivery continuity; project knowledge base; customer communication path</v>
      </c>
      <c r="J14" s="74" t="str">
        <f>IFERROR(INDEX(_TECH_Industry_Templates!$L:$L,MATCH(1,INDEX((_TECH_Industry_Templates!$A:$A='Company Profile'!$B$9)*(_TECH_Industry_Templates!$B:$B=$A14),0),0)),"")</f>
        <v>Workforce Resilience Strategy; Digital Foundation Strategy; Business Continuity and Resilience Strategy</v>
      </c>
    </row>
    <row r="15" spans="1:12">
      <c r="A15" s="48" t="s">
        <v>81</v>
      </c>
      <c r="B15" s="48">
        <f>IFERROR(SUMIFS(_TECH_Industry_Templates!$C:$C,_TECH_Industry_Templates!$A:$A,'Company Profile'!$B$9,_TECH_Industry_Templates!$B:$B,$A15),"")</f>
        <v>1</v>
      </c>
      <c r="C15" s="48">
        <f>IFERROR(SUMIFS(_TECH_Industry_Templates!$D:$D,_TECH_Industry_Templates!$A:$A,'Company Profile'!$B$9,_TECH_Industry_Templates!$B:$B,$A15),"")</f>
        <v>1</v>
      </c>
      <c r="D15" s="48">
        <f>IFERROR(SUMIFS(_TECH_Industry_Templates!$E:$E,_TECH_Industry_Templates!$A:$A,'Company Profile'!$B$9,_TECH_Industry_Templates!$B:$B,$A15),"")</f>
        <v>0.6</v>
      </c>
      <c r="E15" s="48">
        <f>IFERROR(SUMIFS(_TECH_Industry_Templates!$F:$F,_TECH_Industry_Templates!$A:$A,'Company Profile'!$B$9,_TECH_Industry_Templates!$B:$B,$A15),"")</f>
        <v>0</v>
      </c>
      <c r="F15" s="48">
        <f>IFERROR(SUMIFS(_TECH_Industry_Templates!$J:$J,_TECH_Industry_Templates!$A:$A,'Company Profile'!$B$9,_TECH_Industry_Templates!$B:$B,$A15),"")</f>
        <v>0.7</v>
      </c>
      <c r="G15" s="48" t="str">
        <f>IFERROR(INDEX(_TECH_Industry_Templates!$G:$G,MATCH(1,INDEX((_TECH_Industry_Templates!$A:$A='Company Profile'!$B$9)*(_TECH_Industry_Templates!$B:$B=$A15),0),0)),"")</f>
        <v>Low</v>
      </c>
      <c r="H15" s="48" t="str">
        <f>IFERROR(INDEX(_TECH_Industry_Templates!$H:$H,MATCH(1,INDEX((_TECH_Industry_Templates!$A:$A='Company Profile'!$B$9)*(_TECH_Industry_Templates!$B:$B=$A15),0),0)),"")</f>
        <v>CRM; HRMS; project/portfolio tools; time tracking; knowledge base; finance system; cloud collaboration; IAM; BI dashboards</v>
      </c>
      <c r="I15" s="48" t="str">
        <f>IFERROR(INDEX(_TECH_Industry_Templates!$I:$I,MATCH(1,INDEX((_TECH_Industry_Templates!$A:$A='Company Profile'!$B$9)*(_TECH_Industry_Templates!$B:$B=$A15),0),0)),"")</f>
        <v>critical role backups; secure remote work; MFA; delivery continuity; project knowledge base; customer communication path</v>
      </c>
      <c r="J15" s="48" t="str">
        <f>IFERROR(INDEX(_TECH_Industry_Templates!$L:$L,MATCH(1,INDEX((_TECH_Industry_Templates!$A:$A='Company Profile'!$B$9)*(_TECH_Industry_Templates!$B:$B=$A15),0),0)),"")</f>
        <v>Workforce Resilience Strategy; Digital Foundation Strategy; Business Continuity and Resilience Strategy</v>
      </c>
    </row>
    <row r="16" spans="1:12">
      <c r="A16" s="74" t="s">
        <v>84</v>
      </c>
      <c r="B16" s="74">
        <f>IFERROR(SUMIFS(_TECH_Industry_Templates!$C:$C,_TECH_Industry_Templates!$A:$A,'Company Profile'!$B$9,_TECH_Industry_Templates!$B:$B,$A16),"")</f>
        <v>4</v>
      </c>
      <c r="C16" s="74">
        <f>IFERROR(SUMIFS(_TECH_Industry_Templates!$D:$D,_TECH_Industry_Templates!$A:$A,'Company Profile'!$B$9,_TECH_Industry_Templates!$B:$B,$A16),"")</f>
        <v>3.8</v>
      </c>
      <c r="D16" s="74">
        <f>IFERROR(SUMIFS(_TECH_Industry_Templates!$E:$E,_TECH_Industry_Templates!$A:$A,'Company Profile'!$B$9,_TECH_Industry_Templates!$B:$B,$A16),"")</f>
        <v>1.1000000000000001</v>
      </c>
      <c r="E16" s="74">
        <f>IFERROR(SUMIFS(_TECH_Industry_Templates!$F:$F,_TECH_Industry_Templates!$A:$A,'Company Profile'!$B$9,_TECH_Industry_Templates!$B:$B,$A16),"")</f>
        <v>2.8</v>
      </c>
      <c r="F16" s="74">
        <f>IFERROR(SUMIFS(_TECH_Industry_Templates!$J:$J,_TECH_Industry_Templates!$A:$A,'Company Profile'!$B$9,_TECH_Industry_Templates!$B:$B,$A16),"")</f>
        <v>1.1000000000000001</v>
      </c>
      <c r="G16" s="74" t="str">
        <f>IFERROR(INDEX(_TECH_Industry_Templates!$G:$G,MATCH(1,INDEX((_TECH_Industry_Templates!$A:$A='Company Profile'!$B$9)*(_TECH_Industry_Templates!$B:$B=$A16),0),0)),"")</f>
        <v>Medium</v>
      </c>
      <c r="H16" s="74" t="str">
        <f>IFERROR(INDEX(_TECH_Industry_Templates!$H:$H,MATCH(1,INDEX((_TECH_Industry_Templates!$A:$A='Company Profile'!$B$9)*(_TECH_Industry_Templates!$B:$B=$A16),0),0)),"")</f>
        <v>CRM; HRMS; project/portfolio tools; time tracking; knowledge base; finance system; cloud collaboration; IAM; BI dashboards</v>
      </c>
      <c r="I16" s="74" t="str">
        <f>IFERROR(INDEX(_TECH_Industry_Templates!$I:$I,MATCH(1,INDEX((_TECH_Industry_Templates!$A:$A='Company Profile'!$B$9)*(_TECH_Industry_Templates!$B:$B=$A16),0),0)),"")</f>
        <v>critical role backups; secure remote work; MFA; delivery continuity; project knowledge base; customer communication path</v>
      </c>
      <c r="J16" s="74" t="str">
        <f>IFERROR(INDEX(_TECH_Industry_Templates!$L:$L,MATCH(1,INDEX((_TECH_Industry_Templates!$A:$A='Company Profile'!$B$9)*(_TECH_Industry_Templates!$B:$B=$A16),0),0)),"")</f>
        <v>Workforce Resilience Strategy; Digital Foundation Strategy; Business Continuity and Resilience Strategy</v>
      </c>
    </row>
    <row r="17" spans="1:10">
      <c r="A17" s="48" t="s">
        <v>87</v>
      </c>
      <c r="B17" s="48">
        <f>IFERROR(SUMIFS(_TECH_Industry_Templates!$C:$C,_TECH_Industry_Templates!$A:$A,'Company Profile'!$B$9,_TECH_Industry_Templates!$B:$B,$A17),"")</f>
        <v>3</v>
      </c>
      <c r="C17" s="48">
        <f>IFERROR(SUMIFS(_TECH_Industry_Templates!$D:$D,_TECH_Industry_Templates!$A:$A,'Company Profile'!$B$9,_TECH_Industry_Templates!$B:$B,$A17),"")</f>
        <v>3.5</v>
      </c>
      <c r="D17" s="48">
        <f>IFERROR(SUMIFS(_TECH_Industry_Templates!$E:$E,_TECH_Industry_Templates!$A:$A,'Company Profile'!$B$9,_TECH_Industry_Templates!$B:$B,$A17),"")</f>
        <v>1</v>
      </c>
      <c r="E17" s="48">
        <f>IFERROR(SUMIFS(_TECH_Industry_Templates!$F:$F,_TECH_Industry_Templates!$A:$A,'Company Profile'!$B$9,_TECH_Industry_Templates!$B:$B,$A17),"")</f>
        <v>2.5</v>
      </c>
      <c r="F17" s="48">
        <f>IFERROR(SUMIFS(_TECH_Industry_Templates!$J:$J,_TECH_Industry_Templates!$A:$A,'Company Profile'!$B$9,_TECH_Industry_Templates!$B:$B,$A17),"")</f>
        <v>1</v>
      </c>
      <c r="G17" s="48" t="str">
        <f>IFERROR(INDEX(_TECH_Industry_Templates!$G:$G,MATCH(1,INDEX((_TECH_Industry_Templates!$A:$A='Company Profile'!$B$9)*(_TECH_Industry_Templates!$B:$B=$A17),0),0)),"")</f>
        <v>Low</v>
      </c>
      <c r="H17" s="48" t="str">
        <f>IFERROR(INDEX(_TECH_Industry_Templates!$H:$H,MATCH(1,INDEX((_TECH_Industry_Templates!$A:$A='Company Profile'!$B$9)*(_TECH_Industry_Templates!$B:$B=$A17),0),0)),"")</f>
        <v>CRM; HRMS; project/portfolio tools; time tracking; knowledge base; finance system; cloud collaboration; IAM; BI dashboards</v>
      </c>
      <c r="I17" s="48" t="str">
        <f>IFERROR(INDEX(_TECH_Industry_Templates!$I:$I,MATCH(1,INDEX((_TECH_Industry_Templates!$A:$A='Company Profile'!$B$9)*(_TECH_Industry_Templates!$B:$B=$A17),0),0)),"")</f>
        <v>critical role backups; secure remote work; MFA; delivery continuity; project knowledge base; customer communication path</v>
      </c>
      <c r="J17" s="48" t="str">
        <f>IFERROR(INDEX(_TECH_Industry_Templates!$L:$L,MATCH(1,INDEX((_TECH_Industry_Templates!$A:$A='Company Profile'!$B$9)*(_TECH_Industry_Templates!$B:$B=$A17),0),0)),"")</f>
        <v>Workforce Resilience Strategy; Digital Foundation Strategy; Business Continuity and Resilience Strategy</v>
      </c>
    </row>
    <row r="18" spans="1:10">
      <c r="A18" s="74" t="s">
        <v>90</v>
      </c>
      <c r="B18" s="74">
        <f>IFERROR(SUMIFS(_TECH_Industry_Templates!$C:$C,_TECH_Industry_Templates!$A:$A,'Company Profile'!$B$9,_TECH_Industry_Templates!$B:$B,$A18),"")</f>
        <v>3</v>
      </c>
      <c r="C18" s="74">
        <f>IFERROR(SUMIFS(_TECH_Industry_Templates!$D:$D,_TECH_Industry_Templates!$A:$A,'Company Profile'!$B$9,_TECH_Industry_Templates!$B:$B,$A18),"")</f>
        <v>4</v>
      </c>
      <c r="D18" s="74">
        <f>IFERROR(SUMIFS(_TECH_Industry_Templates!$E:$E,_TECH_Industry_Templates!$A:$A,'Company Profile'!$B$9,_TECH_Industry_Templates!$B:$B,$A18),"")</f>
        <v>1.1499999999999999</v>
      </c>
      <c r="E18" s="74">
        <f>IFERROR(SUMIFS(_TECH_Industry_Templates!$F:$F,_TECH_Industry_Templates!$A:$A,'Company Profile'!$B$9,_TECH_Industry_Templates!$B:$B,$A18),"")</f>
        <v>3</v>
      </c>
      <c r="F18" s="74">
        <f>IFERROR(SUMIFS(_TECH_Industry_Templates!$J:$J,_TECH_Industry_Templates!$A:$A,'Company Profile'!$B$9,_TECH_Industry_Templates!$B:$B,$A18),"")</f>
        <v>1.1000000000000001</v>
      </c>
      <c r="G18" s="74" t="str">
        <f>IFERROR(INDEX(_TECH_Industry_Templates!$G:$G,MATCH(1,INDEX((_TECH_Industry_Templates!$A:$A='Company Profile'!$B$9)*(_TECH_Industry_Templates!$B:$B=$A18),0),0)),"")</f>
        <v>Medium</v>
      </c>
      <c r="H18" s="74" t="str">
        <f>IFERROR(INDEX(_TECH_Industry_Templates!$H:$H,MATCH(1,INDEX((_TECH_Industry_Templates!$A:$A='Company Profile'!$B$9)*(_TECH_Industry_Templates!$B:$B=$A18),0),0)),"")</f>
        <v>CRM; HRMS; project/portfolio tools; time tracking; knowledge base; finance system; cloud collaboration; IAM; BI dashboards</v>
      </c>
      <c r="I18" s="74" t="str">
        <f>IFERROR(INDEX(_TECH_Industry_Templates!$I:$I,MATCH(1,INDEX((_TECH_Industry_Templates!$A:$A='Company Profile'!$B$9)*(_TECH_Industry_Templates!$B:$B=$A18),0),0)),"")</f>
        <v>critical role backups; secure remote work; MFA; delivery continuity; project knowledge base; customer communication path</v>
      </c>
      <c r="J18" s="74" t="str">
        <f>IFERROR(INDEX(_TECH_Industry_Templates!$L:$L,MATCH(1,INDEX((_TECH_Industry_Templates!$A:$A='Company Profile'!$B$9)*(_TECH_Industry_Templates!$B:$B=$A18),0),0)),"")</f>
        <v>Workforce Resilience Strategy; Digital Foundation Strategy; Business Continuity and Resilience Strategy</v>
      </c>
    </row>
    <row r="19" spans="1:10">
      <c r="A19" s="48" t="s">
        <v>91</v>
      </c>
      <c r="B19" s="48">
        <f>IFERROR(SUMIFS(_TECH_Industry_Templates!$C:$C,_TECH_Industry_Templates!$A:$A,'Company Profile'!$B$9,_TECH_Industry_Templates!$B:$B,$A19),"")</f>
        <v>4</v>
      </c>
      <c r="C19" s="48">
        <f>IFERROR(SUMIFS(_TECH_Industry_Templates!$D:$D,_TECH_Industry_Templates!$A:$A,'Company Profile'!$B$9,_TECH_Industry_Templates!$B:$B,$A19),"")</f>
        <v>4</v>
      </c>
      <c r="D19" s="48">
        <f>IFERROR(SUMIFS(_TECH_Industry_Templates!$E:$E,_TECH_Industry_Templates!$A:$A,'Company Profile'!$B$9,_TECH_Industry_Templates!$B:$B,$A19),"")</f>
        <v>1.1499999999999999</v>
      </c>
      <c r="E19" s="48">
        <f>IFERROR(SUMIFS(_TECH_Industry_Templates!$F:$F,_TECH_Industry_Templates!$A:$A,'Company Profile'!$B$9,_TECH_Industry_Templates!$B:$B,$A19),"")</f>
        <v>3</v>
      </c>
      <c r="F19" s="48">
        <f>IFERROR(SUMIFS(_TECH_Industry_Templates!$J:$J,_TECH_Industry_Templates!$A:$A,'Company Profile'!$B$9,_TECH_Industry_Templates!$B:$B,$A19),"")</f>
        <v>1.1499999999999999</v>
      </c>
      <c r="G19" s="48" t="str">
        <f>IFERROR(INDEX(_TECH_Industry_Templates!$G:$G,MATCH(1,INDEX((_TECH_Industry_Templates!$A:$A='Company Profile'!$B$9)*(_TECH_Industry_Templates!$B:$B=$A19),0),0)),"")</f>
        <v>Medium</v>
      </c>
      <c r="H19" s="48" t="str">
        <f>IFERROR(INDEX(_TECH_Industry_Templates!$H:$H,MATCH(1,INDEX((_TECH_Industry_Templates!$A:$A='Company Profile'!$B$9)*(_TECH_Industry_Templates!$B:$B=$A19),0),0)),"")</f>
        <v>CRM; HRMS; project/portfolio tools; time tracking; knowledge base; finance system; cloud collaboration; IAM; BI dashboards</v>
      </c>
      <c r="I19" s="48" t="str">
        <f>IFERROR(INDEX(_TECH_Industry_Templates!$I:$I,MATCH(1,INDEX((_TECH_Industry_Templates!$A:$A='Company Profile'!$B$9)*(_TECH_Industry_Templates!$B:$B=$A19),0),0)),"")</f>
        <v>critical role backups; secure remote work; MFA; delivery continuity; project knowledge base; customer communication path</v>
      </c>
      <c r="J19" s="48" t="str">
        <f>IFERROR(INDEX(_TECH_Industry_Templates!$L:$L,MATCH(1,INDEX((_TECH_Industry_Templates!$A:$A='Company Profile'!$B$9)*(_TECH_Industry_Templates!$B:$B=$A19),0),0)),"")</f>
        <v>Workforce Resilience Strategy; Digital Foundation Strategy; Business Continuity and Resilience Strategy</v>
      </c>
    </row>
    <row r="20" spans="1:10">
      <c r="A20" s="74" t="s">
        <v>92</v>
      </c>
      <c r="B20" s="74">
        <f>IFERROR(SUMIFS(_TECH_Industry_Templates!$C:$C,_TECH_Industry_Templates!$A:$A,'Company Profile'!$B$9,_TECH_Industry_Templates!$B:$B,$A20),"")</f>
        <v>3</v>
      </c>
      <c r="C20" s="74">
        <f>IFERROR(SUMIFS(_TECH_Industry_Templates!$D:$D,_TECH_Industry_Templates!$A:$A,'Company Profile'!$B$9,_TECH_Industry_Templates!$B:$B,$A20),"")</f>
        <v>3.5</v>
      </c>
      <c r="D20" s="74">
        <f>IFERROR(SUMIFS(_TECH_Industry_Templates!$E:$E,_TECH_Industry_Templates!$A:$A,'Company Profile'!$B$9,_TECH_Industry_Templates!$B:$B,$A20),"")</f>
        <v>1</v>
      </c>
      <c r="E20" s="74">
        <f>IFERROR(SUMIFS(_TECH_Industry_Templates!$F:$F,_TECH_Industry_Templates!$A:$A,'Company Profile'!$B$9,_TECH_Industry_Templates!$B:$B,$A20),"")</f>
        <v>2.5</v>
      </c>
      <c r="F20" s="74">
        <f>IFERROR(SUMIFS(_TECH_Industry_Templates!$J:$J,_TECH_Industry_Templates!$A:$A,'Company Profile'!$B$9,_TECH_Industry_Templates!$B:$B,$A20),"")</f>
        <v>1</v>
      </c>
      <c r="G20" s="74" t="str">
        <f>IFERROR(INDEX(_TECH_Industry_Templates!$G:$G,MATCH(1,INDEX((_TECH_Industry_Templates!$A:$A='Company Profile'!$B$9)*(_TECH_Industry_Templates!$B:$B=$A20),0),0)),"")</f>
        <v>Low</v>
      </c>
      <c r="H20" s="74" t="str">
        <f>IFERROR(INDEX(_TECH_Industry_Templates!$H:$H,MATCH(1,INDEX((_TECH_Industry_Templates!$A:$A='Company Profile'!$B$9)*(_TECH_Industry_Templates!$B:$B=$A20),0),0)),"")</f>
        <v>CRM; HRMS; project/portfolio tools; time tracking; knowledge base; finance system; cloud collaboration; IAM; BI dashboards</v>
      </c>
      <c r="I20" s="74" t="str">
        <f>IFERROR(INDEX(_TECH_Industry_Templates!$I:$I,MATCH(1,INDEX((_TECH_Industry_Templates!$A:$A='Company Profile'!$B$9)*(_TECH_Industry_Templates!$B:$B=$A20),0),0)),"")</f>
        <v>critical role backups; secure remote work; MFA; delivery continuity; project knowledge base; customer communication path</v>
      </c>
      <c r="J20" s="74" t="str">
        <f>IFERROR(INDEX(_TECH_Industry_Templates!$L:$L,MATCH(1,INDEX((_TECH_Industry_Templates!$A:$A='Company Profile'!$B$9)*(_TECH_Industry_Templates!$B:$B=$A20),0),0)),"")</f>
        <v>Workforce Resilience Strategy; Digital Foundation Strategy; Business Continuity and Resilience Strategy</v>
      </c>
    </row>
    <row r="21" spans="1:10">
      <c r="A21" s="48" t="s">
        <v>93</v>
      </c>
      <c r="B21" s="48">
        <f>IFERROR(SUMIFS(_TECH_Industry_Templates!$C:$C,_TECH_Industry_Templates!$A:$A,'Company Profile'!$B$9,_TECH_Industry_Templates!$B:$B,$A21),"")</f>
        <v>3</v>
      </c>
      <c r="C21" s="48">
        <f>IFERROR(SUMIFS(_TECH_Industry_Templates!$D:$D,_TECH_Industry_Templates!$A:$A,'Company Profile'!$B$9,_TECH_Industry_Templates!$B:$B,$A21),"")</f>
        <v>4</v>
      </c>
      <c r="D21" s="48">
        <f>IFERROR(SUMIFS(_TECH_Industry_Templates!$E:$E,_TECH_Industry_Templates!$A:$A,'Company Profile'!$B$9,_TECH_Industry_Templates!$B:$B,$A21),"")</f>
        <v>1.1499999999999999</v>
      </c>
      <c r="E21" s="48">
        <f>IFERROR(SUMIFS(_TECH_Industry_Templates!$F:$F,_TECH_Industry_Templates!$A:$A,'Company Profile'!$B$9,_TECH_Industry_Templates!$B:$B,$A21),"")</f>
        <v>3</v>
      </c>
      <c r="F21" s="48">
        <f>IFERROR(SUMIFS(_TECH_Industry_Templates!$J:$J,_TECH_Industry_Templates!$A:$A,'Company Profile'!$B$9,_TECH_Industry_Templates!$B:$B,$A21),"")</f>
        <v>1.1000000000000001</v>
      </c>
      <c r="G21" s="48" t="str">
        <f>IFERROR(INDEX(_TECH_Industry_Templates!$G:$G,MATCH(1,INDEX((_TECH_Industry_Templates!$A:$A='Company Profile'!$B$9)*(_TECH_Industry_Templates!$B:$B=$A21),0),0)),"")</f>
        <v>Medium</v>
      </c>
      <c r="H21" s="48" t="str">
        <f>IFERROR(INDEX(_TECH_Industry_Templates!$H:$H,MATCH(1,INDEX((_TECH_Industry_Templates!$A:$A='Company Profile'!$B$9)*(_TECH_Industry_Templates!$B:$B=$A21),0),0)),"")</f>
        <v>CRM; HRMS; project/portfolio tools; time tracking; knowledge base; finance system; cloud collaboration; IAM; BI dashboards</v>
      </c>
      <c r="I21" s="48" t="str">
        <f>IFERROR(INDEX(_TECH_Industry_Templates!$I:$I,MATCH(1,INDEX((_TECH_Industry_Templates!$A:$A='Company Profile'!$B$9)*(_TECH_Industry_Templates!$B:$B=$A21),0),0)),"")</f>
        <v>critical role backups; secure remote work; MFA; delivery continuity; project knowledge base; customer communication path</v>
      </c>
      <c r="J21" s="48" t="str">
        <f>IFERROR(INDEX(_TECH_Industry_Templates!$L:$L,MATCH(1,INDEX((_TECH_Industry_Templates!$A:$A='Company Profile'!$B$9)*(_TECH_Industry_Templates!$B:$B=$A21),0),0)),"")</f>
        <v>Workforce Resilience Strategy; Digital Foundation Strategy; Business Continuity and Resilience Strategy</v>
      </c>
    </row>
    <row r="22" spans="1:10">
      <c r="A22" s="74" t="s">
        <v>94</v>
      </c>
      <c r="B22" s="74">
        <f>IFERROR(SUMIFS(_TECH_Industry_Templates!$C:$C,_TECH_Industry_Templates!$A:$A,'Company Profile'!$B$9,_TECH_Industry_Templates!$B:$B,$A22),"")</f>
        <v>5</v>
      </c>
      <c r="C22" s="74">
        <f>IFERROR(SUMIFS(_TECH_Industry_Templates!$D:$D,_TECH_Industry_Templates!$A:$A,'Company Profile'!$B$9,_TECH_Industry_Templates!$B:$B,$A22),"")</f>
        <v>4</v>
      </c>
      <c r="D22" s="74">
        <f>IFERROR(SUMIFS(_TECH_Industry_Templates!$E:$E,_TECH_Industry_Templates!$A:$A,'Company Profile'!$B$9,_TECH_Industry_Templates!$B:$B,$A22),"")</f>
        <v>1.2</v>
      </c>
      <c r="E22" s="74">
        <f>IFERROR(SUMIFS(_TECH_Industry_Templates!$F:$F,_TECH_Industry_Templates!$A:$A,'Company Profile'!$B$9,_TECH_Industry_Templates!$B:$B,$A22),"")</f>
        <v>3</v>
      </c>
      <c r="F22" s="74">
        <f>IFERROR(SUMIFS(_TECH_Industry_Templates!$J:$J,_TECH_Industry_Templates!$A:$A,'Company Profile'!$B$9,_TECH_Industry_Templates!$B:$B,$A22),"")</f>
        <v>1.2</v>
      </c>
      <c r="G22" s="74" t="str">
        <f>IFERROR(INDEX(_TECH_Industry_Templates!$G:$G,MATCH(1,INDEX((_TECH_Industry_Templates!$A:$A='Company Profile'!$B$9)*(_TECH_Industry_Templates!$B:$B=$A22),0),0)),"")</f>
        <v>Medium</v>
      </c>
      <c r="H22" s="74" t="str">
        <f>IFERROR(INDEX(_TECH_Industry_Templates!$H:$H,MATCH(1,INDEX((_TECH_Industry_Templates!$A:$A='Company Profile'!$B$9)*(_TECH_Industry_Templates!$B:$B=$A22),0),0)),"")</f>
        <v>CRM; HRMS; project/portfolio tools; time tracking; knowledge base; finance system; cloud collaboration; IAM; BI dashboards</v>
      </c>
      <c r="I22" s="74" t="str">
        <f>IFERROR(INDEX(_TECH_Industry_Templates!$I:$I,MATCH(1,INDEX((_TECH_Industry_Templates!$A:$A='Company Profile'!$B$9)*(_TECH_Industry_Templates!$B:$B=$A22),0),0)),"")</f>
        <v>critical role backups; secure remote work; MFA; delivery continuity; project knowledge base; customer communication path</v>
      </c>
      <c r="J22" s="74" t="str">
        <f>IFERROR(INDEX(_TECH_Industry_Templates!$L:$L,MATCH(1,INDEX((_TECH_Industry_Templates!$A:$A='Company Profile'!$B$9)*(_TECH_Industry_Templates!$B:$B=$A22),0),0)),"")</f>
        <v>Workforce Resilience Strategy; Digital Foundation Strategy; Business Continuity and Resilience Strategy</v>
      </c>
    </row>
  </sheetData>
  <mergeCells count="1">
    <mergeCell ref="A1:L1"/>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10.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900-000000000000}">
  <sheetPr>
    <tabColor rgb="FFED7D31"/>
  </sheetPr>
  <dimension ref="A1:Q26"/>
  <sheetViews>
    <sheetView showGridLines="0" workbookViewId="0">
      <pane ySplit="8" topLeftCell="A9" activePane="bottomLeft" state="frozen"/>
      <selection pane="bottomLeft"/>
    </sheetView>
  </sheetViews>
  <sheetFormatPr defaultRowHeight="14.25"/>
  <cols>
    <col min="1" max="1" width="24" customWidth="1"/>
    <col min="2" max="2" width="16" customWidth="1"/>
    <col min="3" max="3" width="12" customWidth="1"/>
    <col min="4" max="4" width="16" customWidth="1"/>
    <col min="5" max="5" width="15" customWidth="1"/>
    <col min="6" max="6" width="18" customWidth="1"/>
    <col min="7" max="7" width="14" customWidth="1"/>
    <col min="8" max="8" width="15" customWidth="1"/>
    <col min="9" max="9" width="14" customWidth="1"/>
    <col min="10" max="11" width="44" customWidth="1"/>
    <col min="12" max="12" width="10" customWidth="1"/>
    <col min="13" max="13" width="3" customWidth="1"/>
    <col min="14" max="14" width="22" customWidth="1"/>
    <col min="15" max="15" width="32" customWidth="1"/>
    <col min="16" max="17" width="16" customWidth="1"/>
  </cols>
  <sheetData>
    <row r="1" spans="1:17" ht="21.95" customHeight="1">
      <c r="A1" s="188" t="s">
        <v>353</v>
      </c>
      <c r="B1" s="158"/>
      <c r="C1" s="158"/>
      <c r="D1" s="158"/>
      <c r="E1" s="158"/>
      <c r="F1" s="158"/>
      <c r="G1" s="158"/>
      <c r="H1" s="158"/>
      <c r="I1" s="158"/>
      <c r="J1" s="158"/>
      <c r="K1" s="158"/>
      <c r="L1" s="158"/>
    </row>
    <row r="2" spans="1:17" ht="21.95" customHeight="1">
      <c r="A2" s="187" t="s">
        <v>696</v>
      </c>
      <c r="B2" s="158"/>
      <c r="C2" s="158"/>
      <c r="D2" s="158"/>
      <c r="E2" s="158"/>
      <c r="F2" s="158"/>
      <c r="G2" s="158"/>
      <c r="H2" s="158"/>
      <c r="I2" s="158"/>
      <c r="J2" s="158"/>
      <c r="K2" s="158"/>
      <c r="L2" s="158"/>
    </row>
    <row r="3" spans="1:17" ht="21.95" customHeight="1"/>
    <row r="4" spans="1:17" ht="21.95" customHeight="1">
      <c r="A4" s="43" t="s">
        <v>79</v>
      </c>
      <c r="B4" s="153" t="s">
        <v>98</v>
      </c>
      <c r="N4" s="186" t="s">
        <v>697</v>
      </c>
      <c r="O4" s="158"/>
      <c r="P4" s="158"/>
      <c r="Q4" s="158"/>
    </row>
    <row r="5" spans="1:17" ht="21.95" customHeight="1">
      <c r="A5" s="43" t="s">
        <v>698</v>
      </c>
      <c r="B5" s="153">
        <v>3</v>
      </c>
      <c r="N5" s="45" t="s">
        <v>699</v>
      </c>
      <c r="O5" s="46" t="str">
        <f>B4</f>
        <v>War / security crisis</v>
      </c>
    </row>
    <row r="6" spans="1:17" ht="21.95" customHeight="1">
      <c r="A6" s="43" t="s">
        <v>700</v>
      </c>
      <c r="B6" s="44" t="s">
        <v>701</v>
      </c>
      <c r="N6" s="45" t="s">
        <v>178</v>
      </c>
      <c r="O6" s="46">
        <f>B5</f>
        <v>3</v>
      </c>
    </row>
    <row r="7" spans="1:17" ht="21.95" customHeight="1">
      <c r="N7" s="45" t="s">
        <v>85</v>
      </c>
      <c r="O7" s="46" t="str">
        <f ca="1">IFERROR(INDEX($A$9:$A$25,MATCH(1,$L$9:$L$25,0)),"")</f>
        <v/>
      </c>
    </row>
    <row r="8" spans="1:17" ht="21.95" customHeight="1">
      <c r="A8" s="47" t="s">
        <v>36</v>
      </c>
      <c r="B8" s="47" t="s">
        <v>702</v>
      </c>
      <c r="C8" s="47" t="s">
        <v>703</v>
      </c>
      <c r="D8" s="47" t="s">
        <v>704</v>
      </c>
      <c r="E8" s="47" t="s">
        <v>705</v>
      </c>
      <c r="F8" s="47" t="s">
        <v>706</v>
      </c>
      <c r="G8" s="47" t="s">
        <v>707</v>
      </c>
      <c r="H8" s="47" t="s">
        <v>691</v>
      </c>
      <c r="I8" s="47" t="s">
        <v>708</v>
      </c>
      <c r="J8" s="47" t="s">
        <v>709</v>
      </c>
      <c r="K8" s="47" t="s">
        <v>710</v>
      </c>
      <c r="L8" s="47" t="s">
        <v>196</v>
      </c>
      <c r="N8" s="45" t="s">
        <v>711</v>
      </c>
      <c r="O8" s="46">
        <f>COUNTIF($G$9:$G$25,"Critical")+COUNTIF($G$9:$G$25,"High")</f>
        <v>17</v>
      </c>
    </row>
    <row r="9" spans="1:17" ht="21.95" customHeight="1">
      <c r="A9" s="48" t="str">
        <f>Dashboard!$A$5</f>
        <v>Company Geography</v>
      </c>
      <c r="B9" s="48">
        <f>Dashboard!$H$5</f>
        <v>0</v>
      </c>
      <c r="C9" s="48">
        <f t="shared" ref="C9:C25" si="0">IF(B9="","",ROUND(5-B9,2))</f>
        <v>5</v>
      </c>
      <c r="D9" s="48">
        <f>Dashboard!$J$5+Dashboard!$K$5</f>
        <v>0</v>
      </c>
      <c r="E9" s="48">
        <f>IFERROR(SUMIFS(_TECH_Crisis_Model!$D$5:$D$191,_TECH_Crisis_Model!$A$5:$A$191,$B$4,_TECH_Crisis_Model!$B$5:$B$191,A9),1)</f>
        <v>1.6</v>
      </c>
      <c r="F9" s="48">
        <f t="shared" ref="F9:F25" si="1">IF(B9="","",ROUND((C9*E9)+(D9*0.25*E9),2))</f>
        <v>8</v>
      </c>
      <c r="G9" s="48" t="str">
        <f t="shared" ref="G9:G25" si="2">IF(F9&gt;=5,"Critical",IF(F9&gt;=3.5,"High",IF(F9&gt;=2,"Medium","Low")))</f>
        <v>Critical</v>
      </c>
      <c r="H9" s="48">
        <f t="shared" ref="H9:H25" si="3">IF(G9="Critical",4.5,IF(G9="High",4,IF(G9="Medium",3.5,3)))</f>
        <v>4.5</v>
      </c>
      <c r="I9" s="48">
        <f t="shared" ref="I9:I25" si="4">MAX(0,ROUND(H9-B9,2))</f>
        <v>4.5</v>
      </c>
      <c r="J9" s="48" t="str">
        <f>IFERROR(INDEX(_TECH_Crisis_Model!$E$5:$E$191,MATCH($B$4&amp;"|"&amp;A9,_TECH_Crisis_Model!$I$5:$I$191,0)),"")</f>
        <v>Geographic concentration, legal entity exposure and site dependency can amplify crisis impact.</v>
      </c>
      <c r="K9" s="48" t="str">
        <f>IFERROR(INDEX(_TECH_Crisis_Model!$G$5:$G$191,MATCH($B$4&amp;"|"&amp;A9,_TECH_Crisis_Model!$I$5:$I$191,0)),"")</f>
        <v>Map entities, locations, markets, revenue exposure and alternate operating options.</v>
      </c>
      <c r="L9" s="48">
        <f ca="1">RANK.EQ(F9,$F$9:$F$25,0)+COUNTIF($F$9:F9,F9)-1</f>
      </c>
      <c r="N9" s="45" t="s">
        <v>712</v>
      </c>
      <c r="O9" s="46">
        <f>IFERROR(ROUND(AVERAGE($F$9:$F$25),2),"")</f>
        <v>6.97</v>
      </c>
    </row>
    <row r="10" spans="1:17" ht="21.95" customHeight="1">
      <c r="A10" s="48" t="str">
        <f>Dashboard!$A$6</f>
        <v>Strategy GTM</v>
      </c>
      <c r="B10" s="48">
        <f>Dashboard!$H$6</f>
        <v>0</v>
      </c>
      <c r="C10" s="48">
        <f t="shared" si="0"/>
        <v>5</v>
      </c>
      <c r="D10" s="48">
        <f>Dashboard!$J$6+Dashboard!$K$6</f>
        <v>0</v>
      </c>
      <c r="E10" s="48">
        <f>IFERROR(SUMIFS(_TECH_Crisis_Model!$D$5:$D$191,_TECH_Crisis_Model!$A$5:$A$191,$B$4,_TECH_Crisis_Model!$B$5:$B$191,A10),1)</f>
        <v>1</v>
      </c>
      <c r="F10" s="48">
        <f t="shared" si="1"/>
        <v>5</v>
      </c>
      <c r="G10" s="48" t="str">
        <f t="shared" si="2"/>
        <v>Critical</v>
      </c>
      <c r="H10" s="48">
        <f t="shared" si="3"/>
        <v>4.5</v>
      </c>
      <c r="I10" s="48">
        <f t="shared" si="4"/>
        <v>4.5</v>
      </c>
      <c r="J10" s="48" t="str">
        <f>IFERROR(INDEX(_TECH_Crisis_Model!$E$5:$E$191,MATCH($B$4&amp;"|"&amp;A10,_TECH_Crisis_Model!$I$5:$I$191,0)),"")</f>
        <v>Market positioning, ICP clarity and offer structure determine whether the company can adapt revenue during crisis.</v>
      </c>
      <c r="K10" s="48" t="str">
        <f>IFERROR(INDEX(_TECH_Crisis_Model!$G$5:$G$191,MATCH($B$4&amp;"|"&amp;A10,_TECH_Crisis_Model!$I$5:$I$191,0)),"")</f>
        <v>Stress-test ICP, offering, pricing, channels and market focus under the selected crisis.</v>
      </c>
      <c r="L10" s="48">
        <f ca="1">RANK.EQ(F10,$F$9:$F$25,0)+COUNTIF($F$9:F10,F10)-1</f>
      </c>
      <c r="N10" s="45" t="s">
        <v>88</v>
      </c>
      <c r="O10" s="46" t="str">
        <f ca="1">IFERROR('Strategy Selection'!$B$6,"")</f>
        <v/>
      </c>
    </row>
    <row r="11" spans="1:17" ht="21.95" customHeight="1">
      <c r="A11" s="48" t="str">
        <f>Dashboard!$A$7</f>
        <v>Governance Crisis</v>
      </c>
      <c r="B11" s="48">
        <f>Dashboard!$H$7</f>
        <v>0</v>
      </c>
      <c r="C11" s="48">
        <f t="shared" si="0"/>
        <v>5</v>
      </c>
      <c r="D11" s="48">
        <f>Dashboard!$J$7+Dashboard!$K$7</f>
        <v>0</v>
      </c>
      <c r="E11" s="48">
        <f>IFERROR(SUMIFS(_TECH_Crisis_Model!$D$5:$D$191,_TECH_Crisis_Model!$A$5:$A$191,$B$4,_TECH_Crisis_Model!$B$5:$B$191,A11),1)</f>
        <v>1.4</v>
      </c>
      <c r="F11" s="48">
        <f t="shared" si="1"/>
        <v>7</v>
      </c>
      <c r="G11" s="48" t="str">
        <f t="shared" si="2"/>
        <v>Critical</v>
      </c>
      <c r="H11" s="48">
        <f t="shared" si="3"/>
        <v>4.5</v>
      </c>
      <c r="I11" s="48">
        <f t="shared" si="4"/>
        <v>4.5</v>
      </c>
      <c r="J11" s="48" t="str">
        <f>IFERROR(INDEX(_TECH_Crisis_Model!$E$5:$E$191,MATCH($B$4&amp;"|"&amp;A11,_TECH_Crisis_Model!$I$5:$I$191,0)),"")</f>
        <v>Decision rights, escalation and crisis governance determine response speed under pressure.</v>
      </c>
      <c r="K11" s="48" t="str">
        <f>IFERROR(INDEX(_TECH_Crisis_Model!$G$5:$G$191,MATCH($B$4&amp;"|"&amp;A11,_TECH_Crisis_Model!$I$5:$I$191,0)),"")</f>
        <v>Define crisis roles, escalation path, decision cadence and management war room routines.</v>
      </c>
      <c r="L11" s="48">
        <f ca="1">RANK.EQ(F11,$F$9:$F$25,0)+COUNTIF($F$9:F11,F11)-1</f>
      </c>
    </row>
    <row r="12" spans="1:17" ht="21.95" customHeight="1">
      <c r="A12" s="48" t="str">
        <f>Dashboard!$A$8</f>
        <v>HR Workforce</v>
      </c>
      <c r="B12" s="48">
        <f>Dashboard!$H$8</f>
        <v>0</v>
      </c>
      <c r="C12" s="48">
        <f t="shared" si="0"/>
        <v>5</v>
      </c>
      <c r="D12" s="48">
        <f>Dashboard!$J$8+Dashboard!$K$8</f>
        <v>0</v>
      </c>
      <c r="E12" s="48">
        <f>IFERROR(SUMIFS(_TECH_Crisis_Model!$D$5:$D$191,_TECH_Crisis_Model!$A$5:$A$191,$B$4,_TECH_Crisis_Model!$B$5:$B$191,A12),1)</f>
        <v>1.8</v>
      </c>
      <c r="F12" s="48">
        <f t="shared" si="1"/>
        <v>9</v>
      </c>
      <c r="G12" s="48" t="str">
        <f t="shared" si="2"/>
        <v>Critical</v>
      </c>
      <c r="H12" s="48">
        <f t="shared" si="3"/>
        <v>4.5</v>
      </c>
      <c r="I12" s="48">
        <f t="shared" si="4"/>
        <v>4.5</v>
      </c>
      <c r="J12" s="48" t="str">
        <f>IFERROR(INDEX(_TECH_Crisis_Model!$E$5:$E$191,MATCH($B$4&amp;"|"&amp;A12,_TECH_Crisis_Model!$I$5:$I$191,0)),"")</f>
        <v>Workforce availability, critical people and knowledge continuity determine operational capacity.</v>
      </c>
      <c r="K12" s="48" t="str">
        <f>IFERROR(INDEX(_TECH_Crisis_Model!$G$5:$G$191,MATCH($B$4&amp;"|"&amp;A12,_TECH_Crisis_Model!$I$5:$I$191,0)),"")</f>
        <v>Create critical role backups, knowledge transfer, cross-training and workforce continuity plans.</v>
      </c>
      <c r="L12" s="48">
        <f ca="1">RANK.EQ(F12,$F$9:$F$25,0)+COUNTIF($F$9:F12,F12)-1</f>
      </c>
    </row>
    <row r="13" spans="1:17" ht="21.95" customHeight="1">
      <c r="A13" s="48" t="str">
        <f>Dashboard!$A$9</f>
        <v>Finance Procurement</v>
      </c>
      <c r="B13" s="48">
        <f>Dashboard!$H$9</f>
        <v>0</v>
      </c>
      <c r="C13" s="48">
        <f t="shared" si="0"/>
        <v>5</v>
      </c>
      <c r="D13" s="48">
        <f>Dashboard!$J$9+Dashboard!$K$9</f>
        <v>0</v>
      </c>
      <c r="E13" s="48">
        <f>IFERROR(SUMIFS(_TECH_Crisis_Model!$D$5:$D$191,_TECH_Crisis_Model!$A$5:$A$191,$B$4,_TECH_Crisis_Model!$B$5:$B$191,A13),1)</f>
        <v>1.3</v>
      </c>
      <c r="F13" s="48">
        <f t="shared" si="1"/>
        <v>6.5</v>
      </c>
      <c r="G13" s="48" t="str">
        <f t="shared" si="2"/>
        <v>Critical</v>
      </c>
      <c r="H13" s="48">
        <f t="shared" si="3"/>
        <v>4.5</v>
      </c>
      <c r="I13" s="48">
        <f t="shared" si="4"/>
        <v>4.5</v>
      </c>
      <c r="J13" s="48" t="str">
        <f>IFERROR(INDEX(_TECH_Crisis_Model!$E$5:$E$191,MATCH($B$4&amp;"|"&amp;A13,_TECH_Crisis_Model!$I$5:$I$191,0)),"")</f>
        <v>Cash control, supplier payments and procurement discipline determine financial survival and response options.</v>
      </c>
      <c r="K13" s="48" t="str">
        <f>IFERROR(INDEX(_TECH_Crisis_Model!$G$5:$G$191,MATCH($B$4&amp;"|"&amp;A13,_TECH_Crisis_Model!$I$5:$I$191,0)),"")</f>
        <v>Build cash stress testing, payment prioritization, supplier risk review and procurement controls.</v>
      </c>
      <c r="L13" s="48">
        <f ca="1">RANK.EQ(F13,$F$9:$F$25,0)+COUNTIF($F$9:F13,F13)-1</f>
      </c>
    </row>
    <row r="14" spans="1:17" ht="21.95" customHeight="1">
      <c r="A14" s="48" t="str">
        <f>Dashboard!$A$10</f>
        <v>Legal Risk</v>
      </c>
      <c r="B14" s="48">
        <f>Dashboard!$H$10</f>
        <v>0</v>
      </c>
      <c r="C14" s="48">
        <f t="shared" si="0"/>
        <v>5</v>
      </c>
      <c r="D14" s="48">
        <f>Dashboard!$J$10+Dashboard!$K$10</f>
        <v>0</v>
      </c>
      <c r="E14" s="48">
        <f>IFERROR(SUMIFS(_TECH_Crisis_Model!$D$5:$D$191,_TECH_Crisis_Model!$A$5:$A$191,$B$4,_TECH_Crisis_Model!$B$5:$B$191,A14),1)</f>
        <v>1.4</v>
      </c>
      <c r="F14" s="48">
        <f t="shared" si="1"/>
        <v>7</v>
      </c>
      <c r="G14" s="48" t="str">
        <f t="shared" si="2"/>
        <v>Critical</v>
      </c>
      <c r="H14" s="48">
        <f t="shared" si="3"/>
        <v>4.5</v>
      </c>
      <c r="I14" s="48">
        <f t="shared" si="4"/>
        <v>4.5</v>
      </c>
      <c r="J14" s="48" t="str">
        <f>IFERROR(INDEX(_TECH_Crisis_Model!$E$5:$E$191,MATCH($B$4&amp;"|"&amp;A14,_TECH_Crisis_Model!$I$5:$I$191,0)),"")</f>
        <v>Contracts, obligations and compliance exposure can turn operational crisis into legal or regulatory failure.</v>
      </c>
      <c r="K14" s="48" t="str">
        <f>IFERROR(INDEX(_TECH_Crisis_Model!$G$5:$G$191,MATCH($B$4&amp;"|"&amp;A14,_TECH_Crisis_Model!$I$5:$I$191,0)),"")</f>
        <v>Review critical contracts, compliance obligations, force majeure, data protection and legal continuity.</v>
      </c>
      <c r="L14" s="48">
        <f ca="1">RANK.EQ(F14,$F$9:$F$25,0)+COUNTIF($F$9:F14,F14)-1</f>
      </c>
    </row>
    <row r="15" spans="1:17" ht="21.95" customHeight="1">
      <c r="A15" s="48" t="str">
        <f>Dashboard!$A$11</f>
        <v>Physical Safety</v>
      </c>
      <c r="B15" s="48">
        <f>Dashboard!$H$11</f>
        <v>0</v>
      </c>
      <c r="C15" s="48">
        <f t="shared" si="0"/>
        <v>5</v>
      </c>
      <c r="D15" s="48">
        <f>Dashboard!$J$11+Dashboard!$K$11</f>
        <v>0</v>
      </c>
      <c r="E15" s="48">
        <f>IFERROR(SUMIFS(_TECH_Crisis_Model!$D$5:$D$191,_TECH_Crisis_Model!$A$5:$A$191,$B$4,_TECH_Crisis_Model!$B$5:$B$191,A15),1)</f>
        <v>2</v>
      </c>
      <c r="F15" s="48">
        <f t="shared" si="1"/>
        <v>10</v>
      </c>
      <c r="G15" s="48" t="str">
        <f t="shared" si="2"/>
        <v>Critical</v>
      </c>
      <c r="H15" s="48">
        <f t="shared" si="3"/>
        <v>4.5</v>
      </c>
      <c r="I15" s="48">
        <f t="shared" si="4"/>
        <v>4.5</v>
      </c>
      <c r="J15" s="48" t="str">
        <f>IFERROR(INDEX(_TECH_Crisis_Model!$E$5:$E$191,MATCH($B$4&amp;"|"&amp;A15,_TECH_Crisis_Model!$I$5:$I$191,0)),"")</f>
        <v>Employee safety, access control, evacuation and facilities resilience are direct crisis constraints.</v>
      </c>
      <c r="K15" s="48" t="str">
        <f>IFERROR(INDEX(_TECH_Crisis_Model!$G$5:$G$191,MATCH($B$4&amp;"|"&amp;A15,_TECH_Crisis_Model!$I$5:$I$191,0)),"")</f>
        <v>Implement evacuation, access control, emergency response, site security and travel-risk procedures.</v>
      </c>
      <c r="L15" s="48">
        <f ca="1">RANK.EQ(F15,$F$9:$F$25,0)+COUNTIF($F$9:F15,F15)-1</f>
      </c>
    </row>
    <row r="16" spans="1:17" ht="21.95" customHeight="1">
      <c r="A16" s="48" t="str">
        <f>Dashboard!$A$12</f>
        <v>Delivery Ops</v>
      </c>
      <c r="B16" s="48">
        <f>Dashboard!$H$12</f>
        <v>0</v>
      </c>
      <c r="C16" s="48">
        <f t="shared" si="0"/>
        <v>5</v>
      </c>
      <c r="D16" s="48">
        <f>Dashboard!$J$12+Dashboard!$K$12</f>
        <v>0</v>
      </c>
      <c r="E16" s="48">
        <f>IFERROR(SUMIFS(_TECH_Crisis_Model!$D$5:$D$191,_TECH_Crisis_Model!$A$5:$A$191,$B$4,_TECH_Crisis_Model!$B$5:$B$191,A16),1)</f>
        <v>1.7</v>
      </c>
      <c r="F16" s="48">
        <f t="shared" si="1"/>
        <v>8.5</v>
      </c>
      <c r="G16" s="48" t="str">
        <f t="shared" si="2"/>
        <v>Critical</v>
      </c>
      <c r="H16" s="48">
        <f t="shared" si="3"/>
        <v>4.5</v>
      </c>
      <c r="I16" s="48">
        <f t="shared" si="4"/>
        <v>4.5</v>
      </c>
      <c r="J16" s="48" t="str">
        <f>IFERROR(INDEX(_TECH_Crisis_Model!$E$5:$E$191,MATCH($B$4&amp;"|"&amp;A16,_TECH_Crisis_Model!$I$5:$I$191,0)),"")</f>
        <v>Delivery capacity, SLA control and operational handover determine customer continuity.</v>
      </c>
      <c r="K16" s="48" t="str">
        <f>IFERROR(INDEX(_TECH_Crisis_Model!$G$5:$G$191,MATCH($B$4&amp;"|"&amp;A16,_TECH_Crisis_Model!$I$5:$I$191,0)),"")</f>
        <v>Define alternative delivery models, capacity buffers, SLA triage and incident recovery procedures.</v>
      </c>
      <c r="L16" s="48">
        <f ca="1">RANK.EQ(F16,$F$9:$F$25,0)+COUNTIF($F$9:F16,F16)-1</f>
      </c>
    </row>
    <row r="17" spans="1:12" ht="21.95" customHeight="1">
      <c r="A17" s="48" t="str">
        <f>Dashboard!$A$13</f>
        <v>Supply Chain</v>
      </c>
      <c r="B17" s="48">
        <f>Dashboard!$H$13</f>
        <v>0</v>
      </c>
      <c r="C17" s="48">
        <f t="shared" si="0"/>
        <v>5</v>
      </c>
      <c r="D17" s="48">
        <f>Dashboard!$J$13+Dashboard!$K$13</f>
        <v>0</v>
      </c>
      <c r="E17" s="48">
        <f>IFERROR(SUMIFS(_TECH_Crisis_Model!$D$5:$D$191,_TECH_Crisis_Model!$A$5:$A$191,$B$4,_TECH_Crisis_Model!$B$5:$B$191,A17),1)</f>
        <v>1.7</v>
      </c>
      <c r="F17" s="48">
        <f t="shared" si="1"/>
        <v>8.5</v>
      </c>
      <c r="G17" s="48" t="str">
        <f t="shared" si="2"/>
        <v>Critical</v>
      </c>
      <c r="H17" s="48">
        <f t="shared" si="3"/>
        <v>4.5</v>
      </c>
      <c r="I17" s="48">
        <f t="shared" si="4"/>
        <v>4.5</v>
      </c>
      <c r="J17" s="48" t="str">
        <f>IFERROR(INDEX(_TECH_Crisis_Model!$E$5:$E$191,MATCH($B$4&amp;"|"&amp;A17,_TECH_Crisis_Model!$I$5:$I$191,0)),"")</f>
        <v>Supplier concentration, logistics and inventory visibility determine production and delivery continuity.</v>
      </c>
      <c r="K17" s="48" t="str">
        <f>IFERROR(INDEX(_TECH_Crisis_Model!$G$5:$G$191,MATCH($B$4&amp;"|"&amp;A17,_TECH_Crisis_Model!$I$5:$I$191,0)),"")</f>
        <v>Diversify suppliers, define safety stock, alternate routes, supplier monitoring and substitution rules.</v>
      </c>
      <c r="L17" s="48">
        <f ca="1">RANK.EQ(F17,$F$9:$F$25,0)+COUNTIF($F$9:F17,F17)-1</f>
      </c>
    </row>
    <row r="18" spans="1:12" ht="21.95" customHeight="1">
      <c r="A18" s="48" t="str">
        <f>Dashboard!$A$14</f>
        <v>Manufacturing MES</v>
      </c>
      <c r="B18" s="48">
        <f>Dashboard!$H$14</f>
        <v>0</v>
      </c>
      <c r="C18" s="48">
        <f t="shared" si="0"/>
        <v>5</v>
      </c>
      <c r="D18" s="48">
        <f>Dashboard!$J$14+Dashboard!$K$14</f>
        <v>0</v>
      </c>
      <c r="E18" s="48">
        <f>IFERROR(SUMIFS(_TECH_Crisis_Model!$D$5:$D$191,_TECH_Crisis_Model!$A$5:$A$191,$B$4,_TECH_Crisis_Model!$B$5:$B$191,A18),1)</f>
        <v>1.4</v>
      </c>
      <c r="F18" s="48">
        <f t="shared" si="1"/>
        <v>7</v>
      </c>
      <c r="G18" s="48" t="str">
        <f t="shared" si="2"/>
        <v>Critical</v>
      </c>
      <c r="H18" s="48">
        <f t="shared" si="3"/>
        <v>4.5</v>
      </c>
      <c r="I18" s="48">
        <f t="shared" si="4"/>
        <v>4.5</v>
      </c>
      <c r="J18" s="48" t="str">
        <f>IFERROR(INDEX(_TECH_Crisis_Model!$E$5:$E$191,MATCH($B$4&amp;"|"&amp;A18,_TECH_Crisis_Model!$I$5:$I$191,0)),"")</f>
        <v>Production assets, MES, maintenance and utilities determine manufacturing recoverability.</v>
      </c>
      <c r="K18" s="48" t="str">
        <f>IFERROR(INDEX(_TECH_Crisis_Model!$G$5:$G$191,MATCH($B$4&amp;"|"&amp;A18,_TECH_Crisis_Model!$I$5:$I$191,0)),"")</f>
        <v>Define production fallback, maintenance priorities, spare parts, MES continuity and utility backup.</v>
      </c>
      <c r="L18" s="48">
        <f ca="1">RANK.EQ(F18,$F$9:$F$25,0)+COUNTIF($F$9:F18,F18)-1</f>
      </c>
    </row>
    <row r="19" spans="1:12" ht="21.95" customHeight="1">
      <c r="A19" s="48" t="str">
        <f>Dashboard!$A$15</f>
        <v>Sales CRM</v>
      </c>
      <c r="B19" s="48">
        <f>Dashboard!$H$15</f>
        <v>0</v>
      </c>
      <c r="C19" s="48">
        <f t="shared" si="0"/>
        <v>5</v>
      </c>
      <c r="D19" s="48">
        <f>Dashboard!$J$15+Dashboard!$K$15</f>
        <v>0</v>
      </c>
      <c r="E19" s="48">
        <f>IFERROR(SUMIFS(_TECH_Crisis_Model!$D$5:$D$191,_TECH_Crisis_Model!$A$5:$A$191,$B$4,_TECH_Crisis_Model!$B$5:$B$191,A19),1)</f>
        <v>1</v>
      </c>
      <c r="F19" s="48">
        <f t="shared" si="1"/>
        <v>5</v>
      </c>
      <c r="G19" s="48" t="str">
        <f t="shared" si="2"/>
        <v>Critical</v>
      </c>
      <c r="H19" s="48">
        <f t="shared" si="3"/>
        <v>4.5</v>
      </c>
      <c r="I19" s="48">
        <f t="shared" si="4"/>
        <v>4.5</v>
      </c>
      <c r="J19" s="48" t="str">
        <f>IFERROR(INDEX(_TECH_Crisis_Model!$E$5:$E$191,MATCH($B$4&amp;"|"&amp;A19,_TECH_Crisis_Model!$I$5:$I$191,0)),"")</f>
        <v>CRM discipline, pipeline visibility and retention actions determine revenue protection.</v>
      </c>
      <c r="K19" s="48" t="str">
        <f>IFERROR(INDEX(_TECH_Crisis_Model!$G$5:$G$191,MATCH($B$4&amp;"|"&amp;A19,_TECH_Crisis_Model!$I$5:$I$191,0)),"")</f>
        <v>Improve CRM hygiene, retention playbooks, pipeline scenarios and customer segmentation.</v>
      </c>
      <c r="L19" s="48">
        <f ca="1">RANK.EQ(F19,$F$9:$F$25,0)+COUNTIF($F$9:F19,F19)-1</f>
      </c>
    </row>
    <row r="20" spans="1:12" ht="21.95" customHeight="1">
      <c r="A20" s="48" t="str">
        <f>Dashboard!$A$16</f>
        <v>Marketing Comms</v>
      </c>
      <c r="B20" s="48">
        <f>Dashboard!$H$16</f>
        <v>0</v>
      </c>
      <c r="C20" s="48">
        <f t="shared" si="0"/>
        <v>5</v>
      </c>
      <c r="D20" s="48">
        <f>Dashboard!$J$16+Dashboard!$K$16</f>
        <v>0</v>
      </c>
      <c r="E20" s="48">
        <f>IFERROR(SUMIFS(_TECH_Crisis_Model!$D$5:$D$191,_TECH_Crisis_Model!$A$5:$A$191,$B$4,_TECH_Crisis_Model!$B$5:$B$191,A20),1)</f>
        <v>1.2</v>
      </c>
      <c r="F20" s="48">
        <f t="shared" si="1"/>
        <v>6</v>
      </c>
      <c r="G20" s="48" t="str">
        <f t="shared" si="2"/>
        <v>Critical</v>
      </c>
      <c r="H20" s="48">
        <f t="shared" si="3"/>
        <v>4.5</v>
      </c>
      <c r="I20" s="48">
        <f t="shared" si="4"/>
        <v>4.5</v>
      </c>
      <c r="J20" s="48" t="str">
        <f>IFERROR(INDEX(_TECH_Crisis_Model!$E$5:$E$191,MATCH($B$4&amp;"|"&amp;A20,_TECH_Crisis_Model!$I$5:$I$191,0)),"")</f>
        <v>Customer communication and reputation control determine trust during uncertainty.</v>
      </c>
      <c r="K20" s="48" t="str">
        <f>IFERROR(INDEX(_TECH_Crisis_Model!$G$5:$G$191,MATCH($B$4&amp;"|"&amp;A20,_TECH_Crisis_Model!$I$5:$I$191,0)),"")</f>
        <v>Prepare crisis messages, customer notification templates, comms approval flow and brand monitoring.</v>
      </c>
      <c r="L20" s="48">
        <f ca="1">RANK.EQ(F20,$F$9:$F$25,0)+COUNTIF($F$9:F20,F20)-1</f>
      </c>
    </row>
    <row r="21" spans="1:12" ht="21.95" customHeight="1">
      <c r="A21" s="48" t="str">
        <f>Dashboard!$A$17</f>
        <v>IT Cloud DR</v>
      </c>
      <c r="B21" s="48">
        <f>Dashboard!$H$17</f>
        <v>0</v>
      </c>
      <c r="C21" s="48">
        <f t="shared" si="0"/>
        <v>5</v>
      </c>
      <c r="D21" s="48">
        <f>Dashboard!$J$17+Dashboard!$K$17</f>
        <v>0</v>
      </c>
      <c r="E21" s="48">
        <f>IFERROR(SUMIFS(_TECH_Crisis_Model!$D$5:$D$191,_TECH_Crisis_Model!$A$5:$A$191,$B$4,_TECH_Crisis_Model!$B$5:$B$191,A21),1)</f>
        <v>1.7</v>
      </c>
      <c r="F21" s="48">
        <f t="shared" si="1"/>
        <v>8.5</v>
      </c>
      <c r="G21" s="48" t="str">
        <f t="shared" si="2"/>
        <v>Critical</v>
      </c>
      <c r="H21" s="48">
        <f t="shared" si="3"/>
        <v>4.5</v>
      </c>
      <c r="I21" s="48">
        <f t="shared" si="4"/>
        <v>4.5</v>
      </c>
      <c r="J21" s="48" t="str">
        <f>IFERROR(INDEX(_TECH_Crisis_Model!$E$5:$E$191,MATCH($B$4&amp;"|"&amp;A21,_TECH_Crisis_Model!$I$5:$I$191,0)),"")</f>
        <v>Cloud, infrastructure, backups, RTO and RPO determine system recoverability.</v>
      </c>
      <c r="K21" s="48" t="str">
        <f>IFERROR(INDEX(_TECH_Crisis_Model!$G$5:$G$191,MATCH($B$4&amp;"|"&amp;A21,_TECH_Crisis_Model!$I$5:$I$191,0)),"")</f>
        <v>Implement tested backups, DR runbooks, failover, cloud landing zones and RTO/RPO monitoring.</v>
      </c>
      <c r="L21" s="48">
        <f ca="1">RANK.EQ(F21,$F$9:$F$25,0)+COUNTIF($F$9:F21,F21)-1</f>
      </c>
    </row>
    <row r="22" spans="1:12" ht="21.95" customHeight="1">
      <c r="A22" s="48" t="str">
        <f>Dashboard!$A$18</f>
        <v>Business Systems</v>
      </c>
      <c r="B22" s="48">
        <f>Dashboard!$H$18</f>
        <v>0</v>
      </c>
      <c r="C22" s="48">
        <f t="shared" si="0"/>
        <v>5</v>
      </c>
      <c r="D22" s="48">
        <f>Dashboard!$J$18+Dashboard!$K$18</f>
        <v>0</v>
      </c>
      <c r="E22" s="48">
        <f>IFERROR(SUMIFS(_TECH_Crisis_Model!$D$5:$D$191,_TECH_Crisis_Model!$A$5:$A$191,$B$4,_TECH_Crisis_Model!$B$5:$B$191,A22),1)</f>
        <v>1</v>
      </c>
      <c r="F22" s="48">
        <f t="shared" si="1"/>
        <v>5</v>
      </c>
      <c r="G22" s="48" t="str">
        <f t="shared" si="2"/>
        <v>Critical</v>
      </c>
      <c r="H22" s="48">
        <f t="shared" si="3"/>
        <v>4.5</v>
      </c>
      <c r="I22" s="48">
        <f t="shared" si="4"/>
        <v>4.5</v>
      </c>
      <c r="J22" s="48" t="str">
        <f>IFERROR(INDEX(_TECH_Crisis_Model!$E$5:$E$191,MATCH($B$4&amp;"|"&amp;A22,_TECH_Crisis_Model!$I$5:$I$191,0)),"")</f>
        <v>ERP, CRM, HRMS, MES and SaaS continuity determine transaction and process continuity.</v>
      </c>
      <c r="K22" s="48" t="str">
        <f>IFERROR(INDEX(_TECH_Crisis_Model!$G$5:$G$191,MATCH($B$4&amp;"|"&amp;A22,_TECH_Crisis_Model!$I$5:$I$191,0)),"")</f>
        <v>Document system dependencies, SaaS continuity, role access, data exports and manual fallback.</v>
      </c>
      <c r="L22" s="48">
        <f ca="1">RANK.EQ(F22,$F$9:$F$25,0)+COUNTIF($F$9:F22,F22)-1</f>
      </c>
    </row>
    <row r="23" spans="1:12" ht="21.95" customHeight="1">
      <c r="A23" s="48" t="str">
        <f>Dashboard!$A$19</f>
        <v>Data BI AI</v>
      </c>
      <c r="B23" s="48">
        <f>Dashboard!$H$19</f>
        <v>0</v>
      </c>
      <c r="C23" s="48">
        <f t="shared" si="0"/>
        <v>5</v>
      </c>
      <c r="D23" s="48">
        <f>Dashboard!$J$19+Dashboard!$K$19</f>
        <v>0</v>
      </c>
      <c r="E23" s="48">
        <f>IFERROR(SUMIFS(_TECH_Crisis_Model!$D$5:$D$191,_TECH_Crisis_Model!$A$5:$A$191,$B$4,_TECH_Crisis_Model!$B$5:$B$191,A23),1)</f>
        <v>1</v>
      </c>
      <c r="F23" s="48">
        <f t="shared" si="1"/>
        <v>5</v>
      </c>
      <c r="G23" s="48" t="str">
        <f t="shared" si="2"/>
        <v>Critical</v>
      </c>
      <c r="H23" s="48">
        <f t="shared" si="3"/>
        <v>4.5</v>
      </c>
      <c r="I23" s="48">
        <f t="shared" si="4"/>
        <v>4.5</v>
      </c>
      <c r="J23" s="48" t="str">
        <f>IFERROR(INDEX(_TECH_Crisis_Model!$E$5:$E$191,MATCH($B$4&amp;"|"&amp;A23,_TECH_Crisis_Model!$I$5:$I$191,0)),"")</f>
        <v>Data quality, BI and analytics determine decision visibility and forecasting under stress.</v>
      </c>
      <c r="K23" s="48" t="str">
        <f>IFERROR(INDEX(_TECH_Crisis_Model!$G$5:$G$191,MATCH($B$4&amp;"|"&amp;A23,_TECH_Crisis_Model!$I$5:$I$191,0)),"")</f>
        <v>Assign data owners, improve data quality, dashboards, forecasting and AI governance.</v>
      </c>
      <c r="L23" s="48">
        <f ca="1">RANK.EQ(F23,$F$9:$F$25,0)+COUNTIF($F$9:F23,F23)-1</f>
      </c>
    </row>
    <row r="24" spans="1:12" ht="21.95" customHeight="1">
      <c r="A24" s="48" t="str">
        <f>Dashboard!$A$20</f>
        <v>Cyber Privacy</v>
      </c>
      <c r="B24" s="48">
        <f>Dashboard!$H$20</f>
        <v>0</v>
      </c>
      <c r="C24" s="48">
        <f t="shared" si="0"/>
        <v>5</v>
      </c>
      <c r="D24" s="48">
        <f>Dashboard!$J$20+Dashboard!$K$20</f>
        <v>0</v>
      </c>
      <c r="E24" s="48">
        <f>IFERROR(SUMIFS(_TECH_Crisis_Model!$D$5:$D$191,_TECH_Crisis_Model!$A$5:$A$191,$B$4,_TECH_Crisis_Model!$B$5:$B$191,A24),1)</f>
        <v>1.5</v>
      </c>
      <c r="F24" s="48">
        <f t="shared" si="1"/>
        <v>7.5</v>
      </c>
      <c r="G24" s="48" t="str">
        <f t="shared" si="2"/>
        <v>Critical</v>
      </c>
      <c r="H24" s="48">
        <f t="shared" si="3"/>
        <v>4.5</v>
      </c>
      <c r="I24" s="48">
        <f t="shared" si="4"/>
        <v>4.5</v>
      </c>
      <c r="J24" s="48" t="str">
        <f>IFERROR(INDEX(_TECH_Crisis_Model!$E$5:$E$191,MATCH($B$4&amp;"|"&amp;A24,_TECH_Crisis_Model!$I$5:$I$191,0)),"")</f>
        <v>Cybersecurity and privacy controls determine resistance to digital disruption and regulatory exposure.</v>
      </c>
      <c r="K24" s="48" t="str">
        <f>IFERROR(INDEX(_TECH_Crisis_Model!$G$5:$G$191,MATCH($B$4&amp;"|"&amp;A24,_TECH_Crisis_Model!$I$5:$I$191,0)),"")</f>
        <v>Strengthen MFA, EDR, logging, IR playbooks, restore testing, privacy controls and awareness.</v>
      </c>
      <c r="L24" s="48">
        <f ca="1">RANK.EQ(F24,$F$9:$F$25,0)+COUNTIF($F$9:F24,F24)-1</f>
      </c>
    </row>
    <row r="25" spans="1:12" ht="21.95" customHeight="1">
      <c r="A25" s="48" t="str">
        <f>Dashboard!$A$21</f>
        <v>Quality Portfolio</v>
      </c>
      <c r="B25" s="48">
        <f>Dashboard!$H$21</f>
        <v>0</v>
      </c>
      <c r="C25" s="48">
        <f t="shared" si="0"/>
        <v>5</v>
      </c>
      <c r="D25" s="48">
        <f>Dashboard!$J$21+Dashboard!$K$21</f>
        <v>0</v>
      </c>
      <c r="E25" s="48">
        <f>IFERROR(SUMIFS(_TECH_Crisis_Model!$D$5:$D$191,_TECH_Crisis_Model!$A$5:$A$191,$B$4,_TECH_Crisis_Model!$B$5:$B$191,A25),1)</f>
        <v>1</v>
      </c>
      <c r="F25" s="48">
        <f t="shared" si="1"/>
        <v>5</v>
      </c>
      <c r="G25" s="48" t="str">
        <f t="shared" si="2"/>
        <v>Critical</v>
      </c>
      <c r="H25" s="48">
        <f t="shared" si="3"/>
        <v>4.5</v>
      </c>
      <c r="I25" s="48">
        <f t="shared" si="4"/>
        <v>4.5</v>
      </c>
      <c r="J25" s="48" t="str">
        <f>IFERROR(INDEX(_TECH_Crisis_Model!$E$5:$E$191,MATCH($B$4&amp;"|"&amp;A25,_TECH_Crisis_Model!$I$5:$I$191,0)),"")</f>
        <v>Portfolio discipline and benefits realization determine whether scarce resources are focused on the right actions.</v>
      </c>
      <c r="K25" s="48" t="str">
        <f>IFERROR(INDEX(_TECH_Crisis_Model!$G$5:$G$191,MATCH($B$4&amp;"|"&amp;A25,_TECH_Crisis_Model!$I$5:$I$191,0)),"")</f>
        <v>Prioritize crisis initiatives by value, risk reduction, dependencies and implementation waves.</v>
      </c>
      <c r="L25" s="48">
        <f ca="1">RANK.EQ(F25,$F$9:$F$25,0)+COUNTIF($F$9:F25,F25)-1</f>
      </c>
    </row>
    <row r="26" spans="1:12" ht="21.95" customHeight="1"/>
  </sheetData>
  <autoFilter ref="A8:L25" ns2:uid="{00000000-0009-0000-0000-000009000000}"/>
  <mergeCells count="3">
    <mergeCell ref="N4:Q4"/>
    <mergeCell ref="A2:L2"/>
    <mergeCell ref="A1:L1"/>
  </mergeCells>
  <conditionalFormatting sqref="F9:F25">
    <cfRule type="cellIs" dxfId="105" priority="3" operator="greaterThanOrEqual">
      <formula>5</formula>
    </cfRule>
    <cfRule type="cellIs" dxfId="104" priority="4" operator="between">
      <formula>3.5</formula>
      <formula>4.99</formula>
    </cfRule>
  </conditionalFormatting>
  <conditionalFormatting sqref="G9:G25">
    <cfRule type="cellIs" dxfId="103" priority="1" operator="equal">
      <formula>"Critical"</formula>
    </cfRule>
    <cfRule type="cellIs" dxfId="102" priority="2" operator="equal">
      <formula>"High"</formula>
    </cfRule>
  </conditionalFormatting>
  <dataValidations count="2">
    <dataValidation type="list" sqref="B4" ns2:uid="{00000000-0002-0000-0900-000000000000}">
      <formula1>"War / security crisis,Physical site loss,Cyberattack / ransomware,Cloud / SaaS outage,Supplier / logistics disruption,Energy / utilities outage,Financial liquidity crisis,Demand shock,Pandemic / health crisis,Regulatory / legal shock,Reputation crisis"</formula1>
    </dataValidation>
    <dataValidation type="list" sqref="B5" ns2:uid="{00000000-0002-0000-0900-000001000000}">
      <formula1>"1,2,3,4,5"</formula1>
    </dataValidation>
  </dataValidation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worksheet>
</file>

<file path=xl/worksheets/sheet11.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A00-000000000000}">
  <sheetPr>
    <tabColor rgb="FF548235"/>
  </sheetPr>
  <dimension ref="A1:Z30"/>
  <sheetViews>
    <sheetView showGridLines="0" workbookViewId="0">
      <pane ySplit="9" topLeftCell="A10" activePane="bottomLeft" state="frozen"/>
      <selection pane="bottomLeft"/>
    </sheetView>
  </sheetViews>
  <sheetFormatPr defaultRowHeight="14.25"/>
  <cols>
    <col min="1" max="1" width="8" customWidth="1"/>
    <col min="2" max="2" width="30" customWidth="1"/>
    <col min="3" max="3" width="12" customWidth="1"/>
    <col min="4" max="4" width="14" customWidth="1"/>
    <col min="5" max="5" width="16" customWidth="1"/>
    <col min="6" max="7" width="13" customWidth="1"/>
    <col min="8" max="8" width="15" customWidth="1"/>
    <col min="9" max="9" width="13" customWidth="1"/>
    <col min="10" max="12" width="16" customWidth="1"/>
    <col min="13" max="13" width="38" customWidth="1"/>
    <col min="14" max="15" width="52" customWidth="1"/>
    <col min="16" max="16" width="20" customWidth="1"/>
    <col min="17" max="17" width="18" customWidth="1"/>
    <col min="18" max="18" width="42" customWidth="1"/>
    <col min="19" max="19" width="15" customWidth="1"/>
    <col min="20" max="22" width="18" customWidth="1"/>
    <col min="23" max="23" width="16" customWidth="1"/>
    <col min="24" max="24" width="22" customWidth="1"/>
    <col min="25" max="25" width="18" customWidth="1"/>
    <col min="26" max="26" width="80" customWidth="1"/>
  </cols>
  <sheetData>
    <row r="1" spans="1:26" ht="21.95" customHeight="1">
      <c r="A1" s="188" t="s">
        <v>713</v>
      </c>
      <c r="B1" s="158"/>
      <c r="C1" s="158"/>
      <c r="D1" s="158"/>
      <c r="E1" s="158"/>
      <c r="F1" s="158"/>
      <c r="G1" s="158"/>
      <c r="H1" s="158"/>
      <c r="I1" s="158"/>
      <c r="J1" s="158"/>
      <c r="K1" s="158"/>
      <c r="L1" s="158"/>
      <c r="M1" s="158"/>
      <c r="N1" s="158"/>
      <c r="O1" s="158"/>
      <c r="P1" s="158"/>
      <c r="Q1" s="158"/>
      <c r="R1" s="158"/>
    </row>
    <row r="2" spans="1:26" ht="21.95" customHeight="1">
      <c r="A2" s="187" t="s">
        <v>714</v>
      </c>
      <c r="B2" s="158"/>
      <c r="C2" s="158"/>
      <c r="D2" s="158"/>
      <c r="E2" s="158"/>
      <c r="F2" s="158"/>
      <c r="G2" s="158"/>
      <c r="H2" s="158"/>
      <c r="I2" s="158"/>
      <c r="J2" s="158"/>
      <c r="K2" s="158"/>
      <c r="L2" s="158"/>
      <c r="M2" s="158"/>
      <c r="N2" s="158"/>
      <c r="O2" s="158"/>
      <c r="P2" s="158"/>
      <c r="Q2" s="158"/>
      <c r="R2" s="158"/>
    </row>
    <row r="3" spans="1:26" ht="21.95" customHeight="1"/>
    <row r="4" spans="1:26" ht="21.95" customHeight="1">
      <c r="A4" s="45" t="s">
        <v>79</v>
      </c>
      <c r="B4" s="46" t="str">
        <f>'Crisis Simulator'!$B$4</f>
        <v>War / security crisis</v>
      </c>
    </row>
    <row r="5" spans="1:26" ht="21.95" customHeight="1">
      <c r="A5" s="45" t="s">
        <v>178</v>
      </c>
      <c r="B5" s="46">
        <f>'Crisis Simulator'!$B$5</f>
        <v>3</v>
      </c>
    </row>
    <row r="6" spans="1:26" ht="21.95" customHeight="1">
      <c r="A6" s="45" t="s">
        <v>88</v>
      </c>
      <c r="B6" s="46" t="str">
        <f ca="1">IFERROR(INDEX($B$10:$B$23,MATCH(1,$A$10:$A$23,0)),"")</f>
        <v/>
      </c>
    </row>
    <row r="7" spans="1:26" ht="21.95" customHeight="1">
      <c r="A7" s="45" t="s">
        <v>715</v>
      </c>
      <c r="B7" s="46" t="str">
        <f ca="1">IFERROR(INDEX($B$10:$B$23,MATCH(2,$A$10:$A$23,0)),"")</f>
        <v/>
      </c>
    </row>
    <row r="8" spans="1:26" ht="21.95" customHeight="1">
      <c r="A8" s="45" t="s">
        <v>716</v>
      </c>
      <c r="B8" s="46" t="str">
        <f ca="1">IFERROR(INDEX($B$10:$B$23,MATCH(3,$A$10:$A$23,0)),"")</f>
        <v/>
      </c>
    </row>
    <row r="9" spans="1:26" ht="38.1" customHeight="1">
      <c r="A9" s="47" t="s">
        <v>196</v>
      </c>
      <c r="B9" s="47" t="s">
        <v>717</v>
      </c>
      <c r="C9" s="47" t="s">
        <v>718</v>
      </c>
      <c r="D9" s="47" t="s">
        <v>719</v>
      </c>
      <c r="E9" s="47" t="s">
        <v>720</v>
      </c>
      <c r="F9" s="47" t="s">
        <v>721</v>
      </c>
      <c r="G9" s="47" t="s">
        <v>722</v>
      </c>
      <c r="H9" s="47" t="s">
        <v>723</v>
      </c>
      <c r="I9" s="47" t="s">
        <v>724</v>
      </c>
      <c r="J9" s="47" t="s">
        <v>725</v>
      </c>
      <c r="K9" s="47" t="s">
        <v>726</v>
      </c>
      <c r="L9" s="47" t="s">
        <v>727</v>
      </c>
      <c r="M9" s="47" t="s">
        <v>728</v>
      </c>
      <c r="N9" s="47" t="s">
        <v>729</v>
      </c>
      <c r="O9" s="47" t="s">
        <v>730</v>
      </c>
      <c r="P9" s="47" t="s">
        <v>731</v>
      </c>
      <c r="Q9" s="47" t="s">
        <v>732</v>
      </c>
      <c r="R9" s="47" t="s">
        <v>733</v>
      </c>
      <c r="S9" s="47" t="s">
        <v>327</v>
      </c>
      <c r="T9" s="50" t="s">
        <v>734</v>
      </c>
      <c r="U9" s="50" t="s">
        <v>735</v>
      </c>
      <c r="V9" s="50" t="s">
        <v>736</v>
      </c>
      <c r="W9" s="50" t="s">
        <v>737</v>
      </c>
      <c r="X9" s="50" t="s">
        <v>738</v>
      </c>
      <c r="Y9" s="50" t="s">
        <v>739</v>
      </c>
      <c r="Z9" s="50" t="s">
        <v>740</v>
      </c>
    </row>
    <row r="10" spans="1:26" ht="21.95" customHeight="1">
      <c r="A10" s="48">
        <f ca="1">IF($X10="","",RANK.EQ($X10,$X$10:$X$23,0)+COUNTIF($X$10:X10,$X10)-1)</f>
      </c>
      <c r="B10" s="48" t="str">
        <f>_TECH_Strategy_Library!B5</f>
        <v>Digital Foundation Strategy</v>
      </c>
      <c r="C10" s="48" t="str">
        <f>_TECH_Strategy_Library!A5</f>
        <v>STR-01</v>
      </c>
      <c r="D10" s="48">
        <f>ROUND(INDEX(_TECH_Strategy_Library!$P5:$Z5,1,MATCH('Crisis Simulator'!$B$4,_TECH_Strategy_Library!$P$4:$Z$4,0))*2.5,2)</f>
        <v>2.5</v>
      </c>
      <c r="E10" s="48">
        <f>IFERROR(ROUND((_TECH_Strategy_Library!$AA$5*(5-Dashboard!$H$5)+_TECH_Strategy_Library!$AB$5*(5-Dashboard!$H$6)+_TECH_Strategy_Library!$AC$5*(5-Dashboard!$H$7)+_TECH_Strategy_Library!$AD$5*(5-Dashboard!$H$8)+_TECH_Strategy_Library!$AE$5*(5-Dashboard!$H$9)+_TECH_Strategy_Library!$AF$5*(5-Dashboard!$H$10)+_TECH_Strategy_Library!$AG$5*(5-Dashboard!$H$11)+_TECH_Strategy_Library!$AH$5*(5-Dashboard!$H$12)+_TECH_Strategy_Library!$AI$5*(5-Dashboard!$H$13)+_TECH_Strategy_Library!$AJ$5*(5-Dashboard!$H$14)+_TECH_Strategy_Library!$AK$5*(5-Dashboard!$H$15)+_TECH_Strategy_Library!$AL$5*(5-Dashboard!$H$16)+_TECH_Strategy_Library!$AM$5*(5-Dashboard!$H$17)+_TECH_Strategy_Library!$AN$5*(5-Dashboard!$H$18)+_TECH_Strategy_Library!$AO$5*(5-Dashboard!$H$19)+_TECH_Strategy_Library!$AP$5*(5-Dashboard!$H$20)+_TECH_Strategy_Library!$AQ$5*(5-Dashboard!$H$21))/(_TECH_Strategy_Library!$AA$5+_TECH_Strategy_Library!$AB$5+_TECH_Strategy_Library!$AC$5+_TECH_Strategy_Library!$AD$5+_TECH_Strategy_Library!$AE$5+_TECH_Strategy_Library!$AF$5+_TECH_Strategy_Library!$AG$5+_TECH_Strategy_Library!$AH$5+_TECH_Strategy_Library!$AI$5+_TECH_Strategy_Library!$AJ$5+_TECH_Strategy_Library!$AK$5+_TECH_Strategy_Library!$AL$5+_TECH_Strategy_Library!$AM$5+_TECH_Strategy_Library!$AN$5+_TECH_Strategy_Library!$AO$5+_TECH_Strategy_Library!$AP$5+_TECH_Strategy_Library!$AQ$5),2),0)</f>
        <v>5</v>
      </c>
      <c r="F10" s="48">
        <f>IFERROR(ROUND(MIN(5,((_TECH_Strategy_Library!$AA$5*(Dashboard!$J$5+0.7*Dashboard!$K$5)+_TECH_Strategy_Library!$AB$5*(Dashboard!$J$6+0.7*Dashboard!$K$6)+_TECH_Strategy_Library!$AC$5*(Dashboard!$J$7+0.7*Dashboard!$K$7)+_TECH_Strategy_Library!$AD$5*(Dashboard!$J$8+0.7*Dashboard!$K$8)+_TECH_Strategy_Library!$AE$5*(Dashboard!$J$9+0.7*Dashboard!$K$9)+_TECH_Strategy_Library!$AF$5*(Dashboard!$J$10+0.7*Dashboard!$K$10)+_TECH_Strategy_Library!$AG$5*(Dashboard!$J$11+0.7*Dashboard!$K$11)+_TECH_Strategy_Library!$AH$5*(Dashboard!$J$12+0.7*Dashboard!$K$12)+_TECH_Strategy_Library!$AI$5*(Dashboard!$J$13+0.7*Dashboard!$K$13)+_TECH_Strategy_Library!$AJ$5*(Dashboard!$J$14+0.7*Dashboard!$K$14)+_TECH_Strategy_Library!$AK$5*(Dashboard!$J$15+0.7*Dashboard!$K$15)+_TECH_Strategy_Library!$AL$5*(Dashboard!$J$16+0.7*Dashboard!$K$16)+_TECH_Strategy_Library!$AM$5*(Dashboard!$J$17+0.7*Dashboard!$K$17)+_TECH_Strategy_Library!$AN$5*(Dashboard!$J$18+0.7*Dashboard!$K$18)+_TECH_Strategy_Library!$AO$5*(Dashboard!$J$19+0.7*Dashboard!$K$19)+_TECH_Strategy_Library!$AP$5*(Dashboard!$J$20+0.7*Dashboard!$K$20)+_TECH_Strategy_Library!$AQ$5*(Dashboard!$J$21+0.7*Dashboard!$K$21))/(_TECH_Strategy_Library!$AA$5+_TECH_Strategy_Library!$AB$5+_TECH_Strategy_Library!$AC$5+_TECH_Strategy_Library!$AD$5+_TECH_Strategy_Library!$AE$5+_TECH_Strategy_Library!$AF$5+_TECH_Strategy_Library!$AG$5+_TECH_Strategy_Library!$AH$5+_TECH_Strategy_Library!$AI$5+_TECH_Strategy_Library!$AJ$5+_TECH_Strategy_Library!$AK$5+_TECH_Strategy_Library!$AL$5+_TECH_Strategy_Library!$AM$5+_TECH_Strategy_Library!$AN$5+_TECH_Strategy_Library!$AO$5+_TECH_Strategy_Library!$AP$5+_TECH_Strategy_Library!$AQ$5))*1.2),2),0)</f>
        <v>0</v>
      </c>
      <c r="G10" s="48">
        <f>ROUND((5-'Spider Dashboards'!$H$5)*(_TECH_Strategy_Library!K5/5),2)</f>
        <v>5</v>
      </c>
      <c r="H10" s="48">
        <f>ROUND((5-'Spider Dashboards'!$H$6)*(_TECH_Strategy_Library!L5/5),2)</f>
        <v>3</v>
      </c>
      <c r="I10" s="48">
        <f>ROUND((5-'Spider Dashboards'!$H$7)*(_TECH_Strategy_Library!M5/5),2)</f>
        <v>4</v>
      </c>
      <c r="J10" s="48">
        <f t="shared" ref="J10:J23" si="0">ROUND(20*(0.25*D10+0.25*E10+0.2*F10+0.1*G10+0.1*H10+0.1*I10),1)</f>
        <v>61.5</v>
      </c>
      <c r="K10" s="48" t="str">
        <f>IF(Dashboard!$R$7&gt;=0.8,"High",IF(Dashboard!$R$7&gt;=0.5,"Medium","Low - assessment incomplete"))</f>
        <v>Low - assessment incomplete</v>
      </c>
      <c r="L10" s="48">
        <f t="shared" ref="L10:L23" ca="1" si="1">IF(A10=1,"Primary",IF(A10&lt;=3,"Supporting",IF(J10&gt;=50,"Watchlist","Not prioritized")))</f>
      </c>
      <c r="M10" s="48" t="str">
        <f>_TECH_Strategy_Library!E5</f>
        <v>Basic tools, process ownership, reporting and control are established.</v>
      </c>
      <c r="N10" s="48" t="str">
        <f>"Crisis fit: "&amp;D10&amp;"; domain gap fit: "&amp;E10&amp;"; risk fit: "&amp;F10&amp;". Trigger domains: "&amp;_TECH_Strategy_Library!AR5</f>
        <v>Crisis fit: 2.5; domain gap fit: 5; risk fit: 0. Trigger domains: Business Systems; Data BI AI; IT Cloud DR</v>
      </c>
      <c r="O10" s="48" t="str">
        <f>_TECH_Strategy_Library!F5</f>
        <v>Process ownership, workflow tools, baseline systems, master data, reporting discipline.</v>
      </c>
      <c r="P10" s="48" t="str">
        <f>_TECH_Strategy_Library!G5</f>
        <v>COO / CIO</v>
      </c>
      <c r="Q10" s="48" t="str">
        <f>_TECH_Strategy_Library!H5</f>
        <v>0-6 months</v>
      </c>
      <c r="R10" s="48" t="str">
        <f>_TECH_Strategy_Library!I5</f>
        <v>Tool adoption; process coverage; manual work reduction; report cycle time</v>
      </c>
      <c r="S10" s="48">
        <f>_TECH_Strategy_Library!N5</f>
        <v>3</v>
      </c>
      <c r="T10" s="48">
        <f>COUNTIF(_TECH_Initiative_Library!$D$5:$D$76,$B10)</f>
        <v>3</v>
      </c>
      <c r="U10" s="48" t="str">
        <f ca="1">IFERROR(INDEX(_TECH_Initiative_Library!$AE$5:$AE$76,MATCH($B10,_TECH_Initiative_Library!$D$5:$D$76,0)),"")</f>
        <v/>
      </c>
      <c r="V10" s="48" t="str">
        <f ca="1">IFERROR(ROUND(AVERAGEIF(_TECH_Initiative_Library!$D$5:$D$76,$B10,_TECH_Initiative_Library!$AC$5:$AC$76),2),"")</f>
        <v/>
      </c>
      <c r="W10" s="48">
        <f>IFERROR(SUMIFS(_TECH_Industry_Strategy_Fit!$D:$D,_TECH_Industry_Strategy_Fit!$A:$A,'Company Profile'!$B$9,_TECH_Industry_Strategy_Fit!$B:$B,$C10),3)</f>
        <v>4.5</v>
      </c>
      <c r="X10" s="48">
        <f t="shared" ref="X10:X23" si="2">IF($J10="","",ROUND($J10*(1+($W10-3)*0.06),2))</f>
        <v>67.040000000000006</v>
      </c>
      <c r="Y10" s="48">
        <f ca="1">IF($X10="","",RANK.EQ($X10,$X$10:$X$23,0)+COUNTIF($X$10:X10,$X10)-1)</f>
      </c>
      <c r="Z10" s="48" t="str">
        <f>IFERROR(INDEX(_TECH_Industry_Strategy_Fit!$E:$E,MATCH(1,INDEX((_TECH_Industry_Strategy_Fit!$A:$A='Company Profile'!$B$9)*(_TECH_Industry_Strategy_Fit!$B:$B=$C10),0),0)),"")</f>
        <v>Digital Foundation Strategy receives a fit score of 4.5 for IT Services based on typical operating model, critical systems, crisis exposure and value-protection logic.</v>
      </c>
    </row>
    <row r="11" spans="1:26" ht="21.95" customHeight="1">
      <c r="A11" s="48">
        <f ca="1">IF($X11="","",RANK.EQ($X11,$X$10:$X$23,0)+COUNTIF($X$10:X11,$X11)-1)</f>
      </c>
      <c r="B11" s="48" t="str">
        <f>_TECH_Strategy_Library!B6</f>
        <v>Business Continuity and Resilience Strategy</v>
      </c>
      <c r="C11" s="48" t="str">
        <f>_TECH_Strategy_Library!A6</f>
        <v>STR-02</v>
      </c>
      <c r="D11" s="48">
        <f>ROUND(INDEX(_TECH_Strategy_Library!$P6:$Z6,1,MATCH('Crisis Simulator'!$B$4,_TECH_Strategy_Library!$P$4:$Z$4,0))*2.5,2)</f>
        <v>4.5</v>
      </c>
      <c r="E11" s="48">
        <f>IFERROR(ROUND((_TECH_Strategy_Library!$AA$6*(5-Dashboard!$H$5)+_TECH_Strategy_Library!$AB$6*(5-Dashboard!$H$6)+_TECH_Strategy_Library!$AC$6*(5-Dashboard!$H$7)+_TECH_Strategy_Library!$AD$6*(5-Dashboard!$H$8)+_TECH_Strategy_Library!$AE$6*(5-Dashboard!$H$9)+_TECH_Strategy_Library!$AF$6*(5-Dashboard!$H$10)+_TECH_Strategy_Library!$AG$6*(5-Dashboard!$H$11)+_TECH_Strategy_Library!$AH$6*(5-Dashboard!$H$12)+_TECH_Strategy_Library!$AI$6*(5-Dashboard!$H$13)+_TECH_Strategy_Library!$AJ$6*(5-Dashboard!$H$14)+_TECH_Strategy_Library!$AK$6*(5-Dashboard!$H$15)+_TECH_Strategy_Library!$AL$6*(5-Dashboard!$H$16)+_TECH_Strategy_Library!$AM$6*(5-Dashboard!$H$17)+_TECH_Strategy_Library!$AN$6*(5-Dashboard!$H$18)+_TECH_Strategy_Library!$AO$6*(5-Dashboard!$H$19)+_TECH_Strategy_Library!$AP$6*(5-Dashboard!$H$20)+_TECH_Strategy_Library!$AQ$6*(5-Dashboard!$H$21))/(_TECH_Strategy_Library!$AA$6+_TECH_Strategy_Library!$AB$6+_TECH_Strategy_Library!$AC$6+_TECH_Strategy_Library!$AD$6+_TECH_Strategy_Library!$AE$6+_TECH_Strategy_Library!$AF$6+_TECH_Strategy_Library!$AG$6+_TECH_Strategy_Library!$AH$6+_TECH_Strategy_Library!$AI$6+_TECH_Strategy_Library!$AJ$6+_TECH_Strategy_Library!$AK$6+_TECH_Strategy_Library!$AL$6+_TECH_Strategy_Library!$AM$6+_TECH_Strategy_Library!$AN$6+_TECH_Strategy_Library!$AO$6+_TECH_Strategy_Library!$AP$6+_TECH_Strategy_Library!$AQ$6),2),0)</f>
        <v>5</v>
      </c>
      <c r="F11" s="48">
        <f>IFERROR(ROUND(MIN(5,((_TECH_Strategy_Library!$AA$6*(Dashboard!$J$5+0.7*Dashboard!$K$5)+_TECH_Strategy_Library!$AB$6*(Dashboard!$J$6+0.7*Dashboard!$K$6)+_TECH_Strategy_Library!$AC$6*(Dashboard!$J$7+0.7*Dashboard!$K$7)+_TECH_Strategy_Library!$AD$6*(Dashboard!$J$8+0.7*Dashboard!$K$8)+_TECH_Strategy_Library!$AE$6*(Dashboard!$J$9+0.7*Dashboard!$K$9)+_TECH_Strategy_Library!$AF$6*(Dashboard!$J$10+0.7*Dashboard!$K$10)+_TECH_Strategy_Library!$AG$6*(Dashboard!$J$11+0.7*Dashboard!$K$11)+_TECH_Strategy_Library!$AH$6*(Dashboard!$J$12+0.7*Dashboard!$K$12)+_TECH_Strategy_Library!$AI$6*(Dashboard!$J$13+0.7*Dashboard!$K$13)+_TECH_Strategy_Library!$AJ$6*(Dashboard!$J$14+0.7*Dashboard!$K$14)+_TECH_Strategy_Library!$AK$6*(Dashboard!$J$15+0.7*Dashboard!$K$15)+_TECH_Strategy_Library!$AL$6*(Dashboard!$J$16+0.7*Dashboard!$K$16)+_TECH_Strategy_Library!$AM$6*(Dashboard!$J$17+0.7*Dashboard!$K$17)+_TECH_Strategy_Library!$AN$6*(Dashboard!$J$18+0.7*Dashboard!$K$18)+_TECH_Strategy_Library!$AO$6*(Dashboard!$J$19+0.7*Dashboard!$K$19)+_TECH_Strategy_Library!$AP$6*(Dashboard!$J$20+0.7*Dashboard!$K$20)+_TECH_Strategy_Library!$AQ$6*(Dashboard!$J$21+0.7*Dashboard!$K$21))/(_TECH_Strategy_Library!$AA$6+_TECH_Strategy_Library!$AB$6+_TECH_Strategy_Library!$AC$6+_TECH_Strategy_Library!$AD$6+_TECH_Strategy_Library!$AE$6+_TECH_Strategy_Library!$AF$6+_TECH_Strategy_Library!$AG$6+_TECH_Strategy_Library!$AH$6+_TECH_Strategy_Library!$AI$6+_TECH_Strategy_Library!$AJ$6+_TECH_Strategy_Library!$AK$6+_TECH_Strategy_Library!$AL$6+_TECH_Strategy_Library!$AM$6+_TECH_Strategy_Library!$AN$6+_TECH_Strategy_Library!$AO$6+_TECH_Strategy_Library!$AP$6+_TECH_Strategy_Library!$AQ$6))*1.2),2),0)</f>
        <v>0</v>
      </c>
      <c r="G11" s="48">
        <f>ROUND((5-'Spider Dashboards'!$H$5)*(_TECH_Strategy_Library!K6/5),2)</f>
        <v>2</v>
      </c>
      <c r="H11" s="48">
        <f>ROUND((5-'Spider Dashboards'!$H$6)*(_TECH_Strategy_Library!L6/5),2)</f>
        <v>5</v>
      </c>
      <c r="I11" s="48">
        <f>ROUND((5-'Spider Dashboards'!$H$7)*(_TECH_Strategy_Library!M6/5),2)</f>
        <v>4</v>
      </c>
      <c r="J11" s="48">
        <f t="shared" si="0"/>
        <v>69.5</v>
      </c>
      <c r="K11" s="48" t="str">
        <f>IF(Dashboard!$R$7&gt;=0.8,"High",IF(Dashboard!$R$7&gt;=0.5,"Medium","Low - assessment incomplete"))</f>
        <v>Low - assessment incomplete</v>
      </c>
      <c r="L11" s="48">
        <f t="shared" ca="1" si="1"/>
      </c>
      <c r="M11" s="48" t="str">
        <f>_TECH_Strategy_Library!E6</f>
        <v>Critical operations can continue or recover faster under crisis conditions.</v>
      </c>
      <c r="N11" s="48" t="str">
        <f>"Crisis fit: "&amp;D11&amp;"; domain gap fit: "&amp;E11&amp;"; risk fit: "&amp;F11&amp;". Trigger domains: "&amp;_TECH_Strategy_Library!AR6</f>
        <v>Crisis fit: 4.5; domain gap fit: 5; risk fit: 0. Trigger domains: Governance Crisis; Physical Safety; Delivery Ops; IT Cloud DR; Supply Chain; HR Workforce</v>
      </c>
      <c r="O11" s="48" t="str">
        <f>_TECH_Strategy_Library!F6</f>
        <v>BIA, BCP, crisis governance, RTO/RPO alignment, tabletop exercises, recovery playbooks.</v>
      </c>
      <c r="P11" s="48" t="str">
        <f>_TECH_Strategy_Library!G6</f>
        <v>CEO / COO / Risk Lead</v>
      </c>
      <c r="Q11" s="48" t="str">
        <f>_TECH_Strategy_Library!H6</f>
        <v>0-6 months</v>
      </c>
      <c r="R11" s="48" t="str">
        <f>_TECH_Strategy_Library!I6</f>
        <v>BIA coverage; tested recovery plans; RTO achievement; crisis exercise completion</v>
      </c>
      <c r="S11" s="48">
        <f>_TECH_Strategy_Library!N6</f>
        <v>3</v>
      </c>
      <c r="T11" s="48">
        <f>COUNTIF(_TECH_Initiative_Library!$D$5:$D$76,$B11)</f>
        <v>6</v>
      </c>
      <c r="U11" s="48" t="str">
        <f ca="1">IFERROR(INDEX(_TECH_Initiative_Library!$AE$5:$AE$76,MATCH($B11,_TECH_Initiative_Library!$D$5:$D$76,0)),"")</f>
        <v/>
      </c>
      <c r="V11" s="48" t="str">
        <f ca="1">IFERROR(ROUND(AVERAGEIF(_TECH_Initiative_Library!$D$5:$D$76,$B11,_TECH_Initiative_Library!$AC$5:$AC$76),2),"")</f>
        <v/>
      </c>
      <c r="W11" s="48">
        <f>IFERROR(SUMIFS(_TECH_Industry_Strategy_Fit!$D:$D,_TECH_Industry_Strategy_Fit!$A:$A,'Company Profile'!$B$9,_TECH_Industry_Strategy_Fit!$B:$B,$C11),3)</f>
        <v>4.5</v>
      </c>
      <c r="X11" s="48">
        <f t="shared" si="2"/>
        <v>75.760000000000005</v>
      </c>
      <c r="Y11" s="48">
        <f ca="1">IF($X11="","",RANK.EQ($X11,$X$10:$X$23,0)+COUNTIF($X$10:X11,$X11)-1)</f>
      </c>
      <c r="Z11" s="48" t="str">
        <f>IFERROR(INDEX(_TECH_Industry_Strategy_Fit!$E:$E,MATCH(1,INDEX((_TECH_Industry_Strategy_Fit!$A:$A='Company Profile'!$B$9)*(_TECH_Industry_Strategy_Fit!$B:$B=$C11),0),0)),"")</f>
        <v>Business Continuity and Resilience Strategy receives a fit score of 4.5 for IT Services based on typical operating model, critical systems, crisis exposure and value-protection logic.</v>
      </c>
    </row>
    <row r="12" spans="1:26" ht="21.95" customHeight="1">
      <c r="A12" s="48">
        <f ca="1">IF($X12="","",RANK.EQ($X12,$X$10:$X$23,0)+COUNTIF($X$10:X12,$X12)-1)</f>
      </c>
      <c r="B12" s="48" t="str">
        <f>_TECH_Strategy_Library!B7</f>
        <v>Cloud and Infrastructure Resilience Strategy</v>
      </c>
      <c r="C12" s="48" t="str">
        <f>_TECH_Strategy_Library!A7</f>
        <v>STR-03</v>
      </c>
      <c r="D12" s="48">
        <f>ROUND(INDEX(_TECH_Strategy_Library!$P7:$Z7,1,MATCH('Crisis Simulator'!$B$4,_TECH_Strategy_Library!$P$4:$Z$4,0))*2.5,2)</f>
        <v>3.75</v>
      </c>
      <c r="E12" s="48">
        <f>IFERROR(ROUND((_TECH_Strategy_Library!$AA$7*(5-Dashboard!$H$5)+_TECH_Strategy_Library!$AB$7*(5-Dashboard!$H$6)+_TECH_Strategy_Library!$AC$7*(5-Dashboard!$H$7)+_TECH_Strategy_Library!$AD$7*(5-Dashboard!$H$8)+_TECH_Strategy_Library!$AE$7*(5-Dashboard!$H$9)+_TECH_Strategy_Library!$AF$7*(5-Dashboard!$H$10)+_TECH_Strategy_Library!$AG$7*(5-Dashboard!$H$11)+_TECH_Strategy_Library!$AH$7*(5-Dashboard!$H$12)+_TECH_Strategy_Library!$AI$7*(5-Dashboard!$H$13)+_TECH_Strategy_Library!$AJ$7*(5-Dashboard!$H$14)+_TECH_Strategy_Library!$AK$7*(5-Dashboard!$H$15)+_TECH_Strategy_Library!$AL$7*(5-Dashboard!$H$16)+_TECH_Strategy_Library!$AM$7*(5-Dashboard!$H$17)+_TECH_Strategy_Library!$AN$7*(5-Dashboard!$H$18)+_TECH_Strategy_Library!$AO$7*(5-Dashboard!$H$19)+_TECH_Strategy_Library!$AP$7*(5-Dashboard!$H$20)+_TECH_Strategy_Library!$AQ$7*(5-Dashboard!$H$21))/(_TECH_Strategy_Library!$AA$7+_TECH_Strategy_Library!$AB$7+_TECH_Strategy_Library!$AC$7+_TECH_Strategy_Library!$AD$7+_TECH_Strategy_Library!$AE$7+_TECH_Strategy_Library!$AF$7+_TECH_Strategy_Library!$AG$7+_TECH_Strategy_Library!$AH$7+_TECH_Strategy_Library!$AI$7+_TECH_Strategy_Library!$AJ$7+_TECH_Strategy_Library!$AK$7+_TECH_Strategy_Library!$AL$7+_TECH_Strategy_Library!$AM$7+_TECH_Strategy_Library!$AN$7+_TECH_Strategy_Library!$AO$7+_TECH_Strategy_Library!$AP$7+_TECH_Strategy_Library!$AQ$7),2),0)</f>
        <v>5</v>
      </c>
      <c r="F12" s="48">
        <f>IFERROR(ROUND(MIN(5,((_TECH_Strategy_Library!$AA$7*(Dashboard!$J$5+0.7*Dashboard!$K$5)+_TECH_Strategy_Library!$AB$7*(Dashboard!$J$6+0.7*Dashboard!$K$6)+_TECH_Strategy_Library!$AC$7*(Dashboard!$J$7+0.7*Dashboard!$K$7)+_TECH_Strategy_Library!$AD$7*(Dashboard!$J$8+0.7*Dashboard!$K$8)+_TECH_Strategy_Library!$AE$7*(Dashboard!$J$9+0.7*Dashboard!$K$9)+_TECH_Strategy_Library!$AF$7*(Dashboard!$J$10+0.7*Dashboard!$K$10)+_TECH_Strategy_Library!$AG$7*(Dashboard!$J$11+0.7*Dashboard!$K$11)+_TECH_Strategy_Library!$AH$7*(Dashboard!$J$12+0.7*Dashboard!$K$12)+_TECH_Strategy_Library!$AI$7*(Dashboard!$J$13+0.7*Dashboard!$K$13)+_TECH_Strategy_Library!$AJ$7*(Dashboard!$J$14+0.7*Dashboard!$K$14)+_TECH_Strategy_Library!$AK$7*(Dashboard!$J$15+0.7*Dashboard!$K$15)+_TECH_Strategy_Library!$AL$7*(Dashboard!$J$16+0.7*Dashboard!$K$16)+_TECH_Strategy_Library!$AM$7*(Dashboard!$J$17+0.7*Dashboard!$K$17)+_TECH_Strategy_Library!$AN$7*(Dashboard!$J$18+0.7*Dashboard!$K$18)+_TECH_Strategy_Library!$AO$7*(Dashboard!$J$19+0.7*Dashboard!$K$19)+_TECH_Strategy_Library!$AP$7*(Dashboard!$J$20+0.7*Dashboard!$K$20)+_TECH_Strategy_Library!$AQ$7*(Dashboard!$J$21+0.7*Dashboard!$K$21))/(_TECH_Strategy_Library!$AA$7+_TECH_Strategy_Library!$AB$7+_TECH_Strategy_Library!$AC$7+_TECH_Strategy_Library!$AD$7+_TECH_Strategy_Library!$AE$7+_TECH_Strategy_Library!$AF$7+_TECH_Strategy_Library!$AG$7+_TECH_Strategy_Library!$AH$7+_TECH_Strategy_Library!$AI$7+_TECH_Strategy_Library!$AJ$7+_TECH_Strategy_Library!$AK$7+_TECH_Strategy_Library!$AL$7+_TECH_Strategy_Library!$AM$7+_TECH_Strategy_Library!$AN$7+_TECH_Strategy_Library!$AO$7+_TECH_Strategy_Library!$AP$7+_TECH_Strategy_Library!$AQ$7))*1.2),2),0)</f>
        <v>0</v>
      </c>
      <c r="G12" s="48">
        <f>ROUND((5-'Spider Dashboards'!$H$5)*(_TECH_Strategy_Library!K7/5),2)</f>
        <v>5</v>
      </c>
      <c r="H12" s="48">
        <f>ROUND((5-'Spider Dashboards'!$H$6)*(_TECH_Strategy_Library!L7/5),2)</f>
        <v>5</v>
      </c>
      <c r="I12" s="48">
        <f>ROUND((5-'Spider Dashboards'!$H$7)*(_TECH_Strategy_Library!M7/5),2)</f>
        <v>3</v>
      </c>
      <c r="J12" s="48">
        <f t="shared" si="0"/>
        <v>69.8</v>
      </c>
      <c r="K12" s="48" t="str">
        <f>IF(Dashboard!$R$7&gt;=0.8,"High",IF(Dashboard!$R$7&gt;=0.5,"Medium","Low - assessment incomplete"))</f>
        <v>Low - assessment incomplete</v>
      </c>
      <c r="L12" s="48">
        <f t="shared" ca="1" si="1"/>
      </c>
      <c r="M12" s="48" t="str">
        <f>_TECH_Strategy_Library!E7</f>
        <v>Infrastructure risk, recovery time and data loss exposure are reduced.</v>
      </c>
      <c r="N12" s="48" t="str">
        <f>"Crisis fit: "&amp;D12&amp;"; domain gap fit: "&amp;E12&amp;"; risk fit: "&amp;F12&amp;". Trigger domains: "&amp;_TECH_Strategy_Library!AR7</f>
        <v>Crisis fit: 3.75; domain gap fit: 5; risk fit: 0. Trigger domains: IT Cloud DR; Business Systems; Cyber Privacy</v>
      </c>
      <c r="O12" s="48" t="str">
        <f>_TECH_Strategy_Library!F7</f>
        <v>Cloud landing zone, backup modernization, restore tests, DR runbooks, failover, identity resilience.</v>
      </c>
      <c r="P12" s="48" t="str">
        <f>_TECH_Strategy_Library!G7</f>
        <v>CIO / CTO</v>
      </c>
      <c r="Q12" s="48" t="str">
        <f>_TECH_Strategy_Library!H7</f>
        <v>0-9 months</v>
      </c>
      <c r="R12" s="48" t="str">
        <f>_TECH_Strategy_Library!I7</f>
        <v>RTO/RPO achieved; restore test success; backup coverage; cloud resilience score</v>
      </c>
      <c r="S12" s="48">
        <f>_TECH_Strategy_Library!N7</f>
        <v>4</v>
      </c>
      <c r="T12" s="48">
        <f>COUNTIF(_TECH_Initiative_Library!$D$5:$D$76,$B12)</f>
        <v>5</v>
      </c>
      <c r="U12" s="48" t="str">
        <f ca="1">IFERROR(INDEX(_TECH_Initiative_Library!$AE$5:$AE$76,MATCH($B12,_TECH_Initiative_Library!$D$5:$D$76,0)),"")</f>
        <v/>
      </c>
      <c r="V12" s="48" t="str">
        <f ca="1">IFERROR(ROUND(AVERAGEIF(_TECH_Initiative_Library!$D$5:$D$76,$B12,_TECH_Initiative_Library!$AC$5:$AC$76),2),"")</f>
        <v/>
      </c>
      <c r="W12" s="48">
        <f>IFERROR(SUMIFS(_TECH_Industry_Strategy_Fit!$D:$D,_TECH_Industry_Strategy_Fit!$A:$A,'Company Profile'!$B$9,_TECH_Industry_Strategy_Fit!$B:$B,$C12),3)</f>
        <v>3</v>
      </c>
      <c r="X12" s="48">
        <f t="shared" si="2"/>
        <v>69.8</v>
      </c>
      <c r="Y12" s="48">
        <f ca="1">IF($X12="","",RANK.EQ($X12,$X$10:$X$23,0)+COUNTIF($X$10:X12,$X12)-1)</f>
      </c>
      <c r="Z12" s="48" t="str">
        <f>IFERROR(INDEX(_TECH_Industry_Strategy_Fit!$E:$E,MATCH(1,INDEX((_TECH_Industry_Strategy_Fit!$A:$A='Company Profile'!$B$9)*(_TECH_Industry_Strategy_Fit!$B:$B=$C12),0),0)),"")</f>
        <v>Cloud and Infrastructure Resilience Strategy receives a fit score of 3 for IT Services based on typical operating model, critical systems, crisis exposure and value-protection logic.</v>
      </c>
    </row>
    <row r="13" spans="1:26" ht="21.95" customHeight="1">
      <c r="A13" s="48">
        <f ca="1">IF($X13="","",RANK.EQ($X13,$X$10:$X$23,0)+COUNTIF($X$10:X13,$X13)-1)</f>
      </c>
      <c r="B13" s="48" t="str">
        <f>_TECH_Strategy_Library!B8</f>
        <v>Cyber Resilience Strategy</v>
      </c>
      <c r="C13" s="48" t="str">
        <f>_TECH_Strategy_Library!A8</f>
        <v>STR-04</v>
      </c>
      <c r="D13" s="48">
        <f>ROUND(INDEX(_TECH_Strategy_Library!$P8:$Z8,1,MATCH('Crisis Simulator'!$B$4,_TECH_Strategy_Library!$P$4:$Z$4,0))*2.5,2)</f>
        <v>2.5</v>
      </c>
      <c r="E13" s="48">
        <f>IFERROR(ROUND((_TECH_Strategy_Library!$AA$8*(5-Dashboard!$H$5)+_TECH_Strategy_Library!$AB$8*(5-Dashboard!$H$6)+_TECH_Strategy_Library!$AC$8*(5-Dashboard!$H$7)+_TECH_Strategy_Library!$AD$8*(5-Dashboard!$H$8)+_TECH_Strategy_Library!$AE$8*(5-Dashboard!$H$9)+_TECH_Strategy_Library!$AF$8*(5-Dashboard!$H$10)+_TECH_Strategy_Library!$AG$8*(5-Dashboard!$H$11)+_TECH_Strategy_Library!$AH$8*(5-Dashboard!$H$12)+_TECH_Strategy_Library!$AI$8*(5-Dashboard!$H$13)+_TECH_Strategy_Library!$AJ$8*(5-Dashboard!$H$14)+_TECH_Strategy_Library!$AK$8*(5-Dashboard!$H$15)+_TECH_Strategy_Library!$AL$8*(5-Dashboard!$H$16)+_TECH_Strategy_Library!$AM$8*(5-Dashboard!$H$17)+_TECH_Strategy_Library!$AN$8*(5-Dashboard!$H$18)+_TECH_Strategy_Library!$AO$8*(5-Dashboard!$H$19)+_TECH_Strategy_Library!$AP$8*(5-Dashboard!$H$20)+_TECH_Strategy_Library!$AQ$8*(5-Dashboard!$H$21))/(_TECH_Strategy_Library!$AA$8+_TECH_Strategy_Library!$AB$8+_TECH_Strategy_Library!$AC$8+_TECH_Strategy_Library!$AD$8+_TECH_Strategy_Library!$AE$8+_TECH_Strategy_Library!$AF$8+_TECH_Strategy_Library!$AG$8+_TECH_Strategy_Library!$AH$8+_TECH_Strategy_Library!$AI$8+_TECH_Strategy_Library!$AJ$8+_TECH_Strategy_Library!$AK$8+_TECH_Strategy_Library!$AL$8+_TECH_Strategy_Library!$AM$8+_TECH_Strategy_Library!$AN$8+_TECH_Strategy_Library!$AO$8+_TECH_Strategy_Library!$AP$8+_TECH_Strategy_Library!$AQ$8),2),0)</f>
        <v>5</v>
      </c>
      <c r="F13" s="48">
        <f>IFERROR(ROUND(MIN(5,((_TECH_Strategy_Library!$AA$8*(Dashboard!$J$5+0.7*Dashboard!$K$5)+_TECH_Strategy_Library!$AB$8*(Dashboard!$J$6+0.7*Dashboard!$K$6)+_TECH_Strategy_Library!$AC$8*(Dashboard!$J$7+0.7*Dashboard!$K$7)+_TECH_Strategy_Library!$AD$8*(Dashboard!$J$8+0.7*Dashboard!$K$8)+_TECH_Strategy_Library!$AE$8*(Dashboard!$J$9+0.7*Dashboard!$K$9)+_TECH_Strategy_Library!$AF$8*(Dashboard!$J$10+0.7*Dashboard!$K$10)+_TECH_Strategy_Library!$AG$8*(Dashboard!$J$11+0.7*Dashboard!$K$11)+_TECH_Strategy_Library!$AH$8*(Dashboard!$J$12+0.7*Dashboard!$K$12)+_TECH_Strategy_Library!$AI$8*(Dashboard!$J$13+0.7*Dashboard!$K$13)+_TECH_Strategy_Library!$AJ$8*(Dashboard!$J$14+0.7*Dashboard!$K$14)+_TECH_Strategy_Library!$AK$8*(Dashboard!$J$15+0.7*Dashboard!$K$15)+_TECH_Strategy_Library!$AL$8*(Dashboard!$J$16+0.7*Dashboard!$K$16)+_TECH_Strategy_Library!$AM$8*(Dashboard!$J$17+0.7*Dashboard!$K$17)+_TECH_Strategy_Library!$AN$8*(Dashboard!$J$18+0.7*Dashboard!$K$18)+_TECH_Strategy_Library!$AO$8*(Dashboard!$J$19+0.7*Dashboard!$K$19)+_TECH_Strategy_Library!$AP$8*(Dashboard!$J$20+0.7*Dashboard!$K$20)+_TECH_Strategy_Library!$AQ$8*(Dashboard!$J$21+0.7*Dashboard!$K$21))/(_TECH_Strategy_Library!$AA$8+_TECH_Strategy_Library!$AB$8+_TECH_Strategy_Library!$AC$8+_TECH_Strategy_Library!$AD$8+_TECH_Strategy_Library!$AE$8+_TECH_Strategy_Library!$AF$8+_TECH_Strategy_Library!$AG$8+_TECH_Strategy_Library!$AH$8+_TECH_Strategy_Library!$AI$8+_TECH_Strategy_Library!$AJ$8+_TECH_Strategy_Library!$AK$8+_TECH_Strategy_Library!$AL$8+_TECH_Strategy_Library!$AM$8+_TECH_Strategy_Library!$AN$8+_TECH_Strategy_Library!$AO$8+_TECH_Strategy_Library!$AP$8+_TECH_Strategy_Library!$AQ$8))*1.2),2),0)</f>
        <v>0</v>
      </c>
      <c r="G13" s="48">
        <f>ROUND((5-'Spider Dashboards'!$H$5)*(_TECH_Strategy_Library!K8/5),2)</f>
        <v>4</v>
      </c>
      <c r="H13" s="48">
        <f>ROUND((5-'Spider Dashboards'!$H$6)*(_TECH_Strategy_Library!L8/5),2)</f>
        <v>5</v>
      </c>
      <c r="I13" s="48">
        <f>ROUND((5-'Spider Dashboards'!$H$7)*(_TECH_Strategy_Library!M8/5),2)</f>
        <v>4</v>
      </c>
      <c r="J13" s="48">
        <f t="shared" si="0"/>
        <v>63.5</v>
      </c>
      <c r="K13" s="48" t="str">
        <f>IF(Dashboard!$R$7&gt;=0.8,"High",IF(Dashboard!$R$7&gt;=0.5,"Medium","Low - assessment incomplete"))</f>
        <v>Low - assessment incomplete</v>
      </c>
      <c r="L13" s="48">
        <f t="shared" ca="1" si="1"/>
      </c>
      <c r="M13" s="48" t="str">
        <f>_TECH_Strategy_Library!E8</f>
        <v>Probability and impact of cyber disruption are reduced and response speed increases.</v>
      </c>
      <c r="N13" s="48" t="str">
        <f>"Crisis fit: "&amp;D13&amp;"; domain gap fit: "&amp;E13&amp;"; risk fit: "&amp;F13&amp;". Trigger domains: "&amp;_TECH_Strategy_Library!AR8</f>
        <v>Crisis fit: 2.5; domain gap fit: 5; risk fit: 0. Trigger domains: Cyber Privacy; IT Cloud DR; Business Systems</v>
      </c>
      <c r="O13" s="48" t="str">
        <f>_TECH_Strategy_Library!F8</f>
        <v>MFA, EDR, SIEM/logging, IR playbook, ransomware tabletop, backup isolation, awareness.</v>
      </c>
      <c r="P13" s="48" t="str">
        <f>_TECH_Strategy_Library!G8</f>
        <v>CISO / CIO</v>
      </c>
      <c r="Q13" s="48" t="str">
        <f>_TECH_Strategy_Library!H8</f>
        <v>0-9 months</v>
      </c>
      <c r="R13" s="48" t="str">
        <f>_TECH_Strategy_Library!I8</f>
        <v>MFA coverage; critical vulnerabilities; MTTD/MTTR; phishing failure rate; restore success</v>
      </c>
      <c r="S13" s="48">
        <f>_TECH_Strategy_Library!N8</f>
        <v>4</v>
      </c>
      <c r="T13" s="48">
        <f>COUNTIF(_TECH_Initiative_Library!$D$5:$D$76,$B13)</f>
        <v>6</v>
      </c>
      <c r="U13" s="48" t="str">
        <f ca="1">IFERROR(INDEX(_TECH_Initiative_Library!$AE$5:$AE$76,MATCH($B13,_TECH_Initiative_Library!$D$5:$D$76,0)),"")</f>
        <v/>
      </c>
      <c r="V13" s="48" t="str">
        <f ca="1">IFERROR(ROUND(AVERAGEIF(_TECH_Initiative_Library!$D$5:$D$76,$B13,_TECH_Initiative_Library!$AC$5:$AC$76),2),"")</f>
        <v/>
      </c>
      <c r="W13" s="48">
        <f>IFERROR(SUMIFS(_TECH_Industry_Strategy_Fit!$D:$D,_TECH_Industry_Strategy_Fit!$A:$A,'Company Profile'!$B$9,_TECH_Industry_Strategy_Fit!$B:$B,$C13),3)</f>
        <v>3</v>
      </c>
      <c r="X13" s="48">
        <f t="shared" si="2"/>
        <v>63.5</v>
      </c>
      <c r="Y13" s="48">
        <f ca="1">IF($X13="","",RANK.EQ($X13,$X$10:$X$23,0)+COUNTIF($X$10:X13,$X13)-1)</f>
      </c>
      <c r="Z13" s="48" t="str">
        <f>IFERROR(INDEX(_TECH_Industry_Strategy_Fit!$E:$E,MATCH(1,INDEX((_TECH_Industry_Strategy_Fit!$A:$A='Company Profile'!$B$9)*(_TECH_Industry_Strategy_Fit!$B:$B=$C13),0),0)),"")</f>
        <v>Cyber Resilience Strategy receives a fit score of 3 for IT Services based on typical operating model, critical systems, crisis exposure and value-protection logic.</v>
      </c>
    </row>
    <row r="14" spans="1:26" ht="21.95" customHeight="1">
      <c r="A14" s="48">
        <f ca="1">IF($X14="","",RANK.EQ($X14,$X$10:$X$23,0)+COUNTIF($X$10:X14,$X14)-1)</f>
      </c>
      <c r="B14" s="48" t="str">
        <f>_TECH_Strategy_Library!B9</f>
        <v>Data Governance and AI Readiness Strategy</v>
      </c>
      <c r="C14" s="48" t="str">
        <f>_TECH_Strategy_Library!A9</f>
        <v>STR-05</v>
      </c>
      <c r="D14" s="48">
        <f>ROUND(INDEX(_TECH_Strategy_Library!$P9:$Z9,1,MATCH('Crisis Simulator'!$B$4,_TECH_Strategy_Library!$P$4:$Z$4,0))*2.5,2)</f>
        <v>2.5</v>
      </c>
      <c r="E14" s="48">
        <f>IFERROR(ROUND((_TECH_Strategy_Library!$AA$9*(5-Dashboard!$H$5)+_TECH_Strategy_Library!$AB$9*(5-Dashboard!$H$6)+_TECH_Strategy_Library!$AC$9*(5-Dashboard!$H$7)+_TECH_Strategy_Library!$AD$9*(5-Dashboard!$H$8)+_TECH_Strategy_Library!$AE$9*(5-Dashboard!$H$9)+_TECH_Strategy_Library!$AF$9*(5-Dashboard!$H$10)+_TECH_Strategy_Library!$AG$9*(5-Dashboard!$H$11)+_TECH_Strategy_Library!$AH$9*(5-Dashboard!$H$12)+_TECH_Strategy_Library!$AI$9*(5-Dashboard!$H$13)+_TECH_Strategy_Library!$AJ$9*(5-Dashboard!$H$14)+_TECH_Strategy_Library!$AK$9*(5-Dashboard!$H$15)+_TECH_Strategy_Library!$AL$9*(5-Dashboard!$H$16)+_TECH_Strategy_Library!$AM$9*(5-Dashboard!$H$17)+_TECH_Strategy_Library!$AN$9*(5-Dashboard!$H$18)+_TECH_Strategy_Library!$AO$9*(5-Dashboard!$H$19)+_TECH_Strategy_Library!$AP$9*(5-Dashboard!$H$20)+_TECH_Strategy_Library!$AQ$9*(5-Dashboard!$H$21))/(_TECH_Strategy_Library!$AA$9+_TECH_Strategy_Library!$AB$9+_TECH_Strategy_Library!$AC$9+_TECH_Strategy_Library!$AD$9+_TECH_Strategy_Library!$AE$9+_TECH_Strategy_Library!$AF$9+_TECH_Strategy_Library!$AG$9+_TECH_Strategy_Library!$AH$9+_TECH_Strategy_Library!$AI$9+_TECH_Strategy_Library!$AJ$9+_TECH_Strategy_Library!$AK$9+_TECH_Strategy_Library!$AL$9+_TECH_Strategy_Library!$AM$9+_TECH_Strategy_Library!$AN$9+_TECH_Strategy_Library!$AO$9+_TECH_Strategy_Library!$AP$9+_TECH_Strategy_Library!$AQ$9),2),0)</f>
        <v>5</v>
      </c>
      <c r="F14" s="48">
        <f>IFERROR(ROUND(MIN(5,((_TECH_Strategy_Library!$AA$9*(Dashboard!$J$5+0.7*Dashboard!$K$5)+_TECH_Strategy_Library!$AB$9*(Dashboard!$J$6+0.7*Dashboard!$K$6)+_TECH_Strategy_Library!$AC$9*(Dashboard!$J$7+0.7*Dashboard!$K$7)+_TECH_Strategy_Library!$AD$9*(Dashboard!$J$8+0.7*Dashboard!$K$8)+_TECH_Strategy_Library!$AE$9*(Dashboard!$J$9+0.7*Dashboard!$K$9)+_TECH_Strategy_Library!$AF$9*(Dashboard!$J$10+0.7*Dashboard!$K$10)+_TECH_Strategy_Library!$AG$9*(Dashboard!$J$11+0.7*Dashboard!$K$11)+_TECH_Strategy_Library!$AH$9*(Dashboard!$J$12+0.7*Dashboard!$K$12)+_TECH_Strategy_Library!$AI$9*(Dashboard!$J$13+0.7*Dashboard!$K$13)+_TECH_Strategy_Library!$AJ$9*(Dashboard!$J$14+0.7*Dashboard!$K$14)+_TECH_Strategy_Library!$AK$9*(Dashboard!$J$15+0.7*Dashboard!$K$15)+_TECH_Strategy_Library!$AL$9*(Dashboard!$J$16+0.7*Dashboard!$K$16)+_TECH_Strategy_Library!$AM$9*(Dashboard!$J$17+0.7*Dashboard!$K$17)+_TECH_Strategy_Library!$AN$9*(Dashboard!$J$18+0.7*Dashboard!$K$18)+_TECH_Strategy_Library!$AO$9*(Dashboard!$J$19+0.7*Dashboard!$K$19)+_TECH_Strategy_Library!$AP$9*(Dashboard!$J$20+0.7*Dashboard!$K$20)+_TECH_Strategy_Library!$AQ$9*(Dashboard!$J$21+0.7*Dashboard!$K$21))/(_TECH_Strategy_Library!$AA$9+_TECH_Strategy_Library!$AB$9+_TECH_Strategy_Library!$AC$9+_TECH_Strategy_Library!$AD$9+_TECH_Strategy_Library!$AE$9+_TECH_Strategy_Library!$AF$9+_TECH_Strategy_Library!$AG$9+_TECH_Strategy_Library!$AH$9+_TECH_Strategy_Library!$AI$9+_TECH_Strategy_Library!$AJ$9+_TECH_Strategy_Library!$AK$9+_TECH_Strategy_Library!$AL$9+_TECH_Strategy_Library!$AM$9+_TECH_Strategy_Library!$AN$9+_TECH_Strategy_Library!$AO$9+_TECH_Strategy_Library!$AP$9+_TECH_Strategy_Library!$AQ$9))*1.2),2),0)</f>
        <v>0</v>
      </c>
      <c r="G14" s="48">
        <f>ROUND((5-'Spider Dashboards'!$H$5)*(_TECH_Strategy_Library!K9/5),2)</f>
        <v>5</v>
      </c>
      <c r="H14" s="48">
        <f>ROUND((5-'Spider Dashboards'!$H$6)*(_TECH_Strategy_Library!L9/5),2)</f>
        <v>3</v>
      </c>
      <c r="I14" s="48">
        <f>ROUND((5-'Spider Dashboards'!$H$7)*(_TECH_Strategy_Library!M9/5),2)</f>
        <v>3</v>
      </c>
      <c r="J14" s="48">
        <f t="shared" si="0"/>
        <v>59.5</v>
      </c>
      <c r="K14" s="48" t="str">
        <f>IF(Dashboard!$R$7&gt;=0.8,"High",IF(Dashboard!$R$7&gt;=0.5,"Medium","Low - assessment incomplete"))</f>
        <v>Low - assessment incomplete</v>
      </c>
      <c r="L14" s="48">
        <f t="shared" ca="1" si="1"/>
      </c>
      <c r="M14" s="48" t="str">
        <f>_TECH_Strategy_Library!E9</f>
        <v>Reliable data foundation for analytics, forecasting, AI and executive decisions.</v>
      </c>
      <c r="N14" s="48" t="str">
        <f>"Crisis fit: "&amp;D14&amp;"; domain gap fit: "&amp;E14&amp;"; risk fit: "&amp;F14&amp;". Trigger domains: "&amp;_TECH_Strategy_Library!AR9</f>
        <v>Crisis fit: 2.5; domain gap fit: 5; risk fit: 0. Trigger domains: Data BI AI; Business Systems</v>
      </c>
      <c r="O14" s="48" t="str">
        <f>_TECH_Strategy_Library!F9</f>
        <v>Data owners, data catalog, BI standards, data quality rules, AI governance, decision dashboards.</v>
      </c>
      <c r="P14" s="48" t="str">
        <f>_TECH_Strategy_Library!G9</f>
        <v>CDO / CIO / CFO</v>
      </c>
      <c r="Q14" s="48" t="str">
        <f>_TECH_Strategy_Library!H9</f>
        <v>3-12 months</v>
      </c>
      <c r="R14" s="48" t="str">
        <f>_TECH_Strategy_Library!I9</f>
        <v>Data owner coverage; data quality score; BI adoption; forecast accuracy; AI use-case governance</v>
      </c>
      <c r="S14" s="48">
        <f>_TECH_Strategy_Library!N9</f>
        <v>4</v>
      </c>
      <c r="T14" s="48">
        <f>COUNTIF(_TECH_Initiative_Library!$D$5:$D$76,$B14)</f>
        <v>5</v>
      </c>
      <c r="U14" s="48" t="str">
        <f ca="1">IFERROR(INDEX(_TECH_Initiative_Library!$AE$5:$AE$76,MATCH($B14,_TECH_Initiative_Library!$D$5:$D$76,0)),"")</f>
        <v/>
      </c>
      <c r="V14" s="48" t="str">
        <f ca="1">IFERROR(ROUND(AVERAGEIF(_TECH_Initiative_Library!$D$5:$D$76,$B14,_TECH_Initiative_Library!$AC$5:$AC$76),2),"")</f>
        <v/>
      </c>
      <c r="W14" s="48">
        <f>IFERROR(SUMIFS(_TECH_Industry_Strategy_Fit!$D:$D,_TECH_Industry_Strategy_Fit!$A:$A,'Company Profile'!$B$9,_TECH_Industry_Strategy_Fit!$B:$B,$C14),3)</f>
        <v>3</v>
      </c>
      <c r="X14" s="48">
        <f t="shared" si="2"/>
        <v>59.5</v>
      </c>
      <c r="Y14" s="48">
        <f ca="1">IF($X14="","",RANK.EQ($X14,$X$10:$X$23,0)+COUNTIF($X$10:X14,$X14)-1)</f>
      </c>
      <c r="Z14" s="48" t="str">
        <f>IFERROR(INDEX(_TECH_Industry_Strategy_Fit!$E:$E,MATCH(1,INDEX((_TECH_Industry_Strategy_Fit!$A:$A='Company Profile'!$B$9)*(_TECH_Industry_Strategy_Fit!$B:$B=$C14),0),0)),"")</f>
        <v>Data Governance and AI Readiness Strategy receives a fit score of 3 for IT Services based on typical operating model, critical systems, crisis exposure and value-protection logic.</v>
      </c>
    </row>
    <row r="15" spans="1:26" ht="21.95" customHeight="1">
      <c r="A15" s="48">
        <f ca="1">IF($X15="","",RANK.EQ($X15,$X$10:$X$23,0)+COUNTIF($X$10:X15,$X15)-1)</f>
      </c>
      <c r="B15" s="48" t="str">
        <f>_TECH_Strategy_Library!B10</f>
        <v>Workforce Resilience Strategy</v>
      </c>
      <c r="C15" s="48" t="str">
        <f>_TECH_Strategy_Library!A10</f>
        <v>STR-06</v>
      </c>
      <c r="D15" s="48">
        <f>ROUND(INDEX(_TECH_Strategy_Library!$P10:$Z10,1,MATCH('Crisis Simulator'!$B$4,_TECH_Strategy_Library!$P$4:$Z$4,0))*2.5,2)</f>
        <v>4</v>
      </c>
      <c r="E15" s="48">
        <f>IFERROR(ROUND((_TECH_Strategy_Library!$AA$10*(5-Dashboard!$H$5)+_TECH_Strategy_Library!$AB$10*(5-Dashboard!$H$6)+_TECH_Strategy_Library!$AC$10*(5-Dashboard!$H$7)+_TECH_Strategy_Library!$AD$10*(5-Dashboard!$H$8)+_TECH_Strategy_Library!$AE$10*(5-Dashboard!$H$9)+_TECH_Strategy_Library!$AF$10*(5-Dashboard!$H$10)+_TECH_Strategy_Library!$AG$10*(5-Dashboard!$H$11)+_TECH_Strategy_Library!$AH$10*(5-Dashboard!$H$12)+_TECH_Strategy_Library!$AI$10*(5-Dashboard!$H$13)+_TECH_Strategy_Library!$AJ$10*(5-Dashboard!$H$14)+_TECH_Strategy_Library!$AK$10*(5-Dashboard!$H$15)+_TECH_Strategy_Library!$AL$10*(5-Dashboard!$H$16)+_TECH_Strategy_Library!$AM$10*(5-Dashboard!$H$17)+_TECH_Strategy_Library!$AN$10*(5-Dashboard!$H$18)+_TECH_Strategy_Library!$AO$10*(5-Dashboard!$H$19)+_TECH_Strategy_Library!$AP$10*(5-Dashboard!$H$20)+_TECH_Strategy_Library!$AQ$10*(5-Dashboard!$H$21))/(_TECH_Strategy_Library!$AA$10+_TECH_Strategy_Library!$AB$10+_TECH_Strategy_Library!$AC$10+_TECH_Strategy_Library!$AD$10+_TECH_Strategy_Library!$AE$10+_TECH_Strategy_Library!$AF$10+_TECH_Strategy_Library!$AG$10+_TECH_Strategy_Library!$AH$10+_TECH_Strategy_Library!$AI$10+_TECH_Strategy_Library!$AJ$10+_TECH_Strategy_Library!$AK$10+_TECH_Strategy_Library!$AL$10+_TECH_Strategy_Library!$AM$10+_TECH_Strategy_Library!$AN$10+_TECH_Strategy_Library!$AO$10+_TECH_Strategy_Library!$AP$10+_TECH_Strategy_Library!$AQ$10),2),0)</f>
        <v>5</v>
      </c>
      <c r="F15" s="48">
        <f>IFERROR(ROUND(MIN(5,((_TECH_Strategy_Library!$AA$10*(Dashboard!$J$5+0.7*Dashboard!$K$5)+_TECH_Strategy_Library!$AB$10*(Dashboard!$J$6+0.7*Dashboard!$K$6)+_TECH_Strategy_Library!$AC$10*(Dashboard!$J$7+0.7*Dashboard!$K$7)+_TECH_Strategy_Library!$AD$10*(Dashboard!$J$8+0.7*Dashboard!$K$8)+_TECH_Strategy_Library!$AE$10*(Dashboard!$J$9+0.7*Dashboard!$K$9)+_TECH_Strategy_Library!$AF$10*(Dashboard!$J$10+0.7*Dashboard!$K$10)+_TECH_Strategy_Library!$AG$10*(Dashboard!$J$11+0.7*Dashboard!$K$11)+_TECH_Strategy_Library!$AH$10*(Dashboard!$J$12+0.7*Dashboard!$K$12)+_TECH_Strategy_Library!$AI$10*(Dashboard!$J$13+0.7*Dashboard!$K$13)+_TECH_Strategy_Library!$AJ$10*(Dashboard!$J$14+0.7*Dashboard!$K$14)+_TECH_Strategy_Library!$AK$10*(Dashboard!$J$15+0.7*Dashboard!$K$15)+_TECH_Strategy_Library!$AL$10*(Dashboard!$J$16+0.7*Dashboard!$K$16)+_TECH_Strategy_Library!$AM$10*(Dashboard!$J$17+0.7*Dashboard!$K$17)+_TECH_Strategy_Library!$AN$10*(Dashboard!$J$18+0.7*Dashboard!$K$18)+_TECH_Strategy_Library!$AO$10*(Dashboard!$J$19+0.7*Dashboard!$K$19)+_TECH_Strategy_Library!$AP$10*(Dashboard!$J$20+0.7*Dashboard!$K$20)+_TECH_Strategy_Library!$AQ$10*(Dashboard!$J$21+0.7*Dashboard!$K$21))/(_TECH_Strategy_Library!$AA$10+_TECH_Strategy_Library!$AB$10+_TECH_Strategy_Library!$AC$10+_TECH_Strategy_Library!$AD$10+_TECH_Strategy_Library!$AE$10+_TECH_Strategy_Library!$AF$10+_TECH_Strategy_Library!$AG$10+_TECH_Strategy_Library!$AH$10+_TECH_Strategy_Library!$AI$10+_TECH_Strategy_Library!$AJ$10+_TECH_Strategy_Library!$AK$10+_TECH_Strategy_Library!$AL$10+_TECH_Strategy_Library!$AM$10+_TECH_Strategy_Library!$AN$10+_TECH_Strategy_Library!$AO$10+_TECH_Strategy_Library!$AP$10+_TECH_Strategy_Library!$AQ$10))*1.2),2),0)</f>
        <v>0</v>
      </c>
      <c r="G15" s="48">
        <f>ROUND((5-'Spider Dashboards'!$H$5)*(_TECH_Strategy_Library!K10/5),2)</f>
        <v>2</v>
      </c>
      <c r="H15" s="48">
        <f>ROUND((5-'Spider Dashboards'!$H$6)*(_TECH_Strategy_Library!L10/5),2)</f>
        <v>5</v>
      </c>
      <c r="I15" s="48">
        <f>ROUND((5-'Spider Dashboards'!$H$7)*(_TECH_Strategy_Library!M10/5),2)</f>
        <v>4</v>
      </c>
      <c r="J15" s="48">
        <f t="shared" si="0"/>
        <v>67</v>
      </c>
      <c r="K15" s="48" t="str">
        <f>IF(Dashboard!$R$7&gt;=0.8,"High",IF(Dashboard!$R$7&gt;=0.5,"Medium","Low - assessment incomplete"))</f>
        <v>Low - assessment incomplete</v>
      </c>
      <c r="L15" s="48">
        <f t="shared" ca="1" si="1"/>
      </c>
      <c r="M15" s="48" t="str">
        <f>_TECH_Strategy_Library!E10</f>
        <v>Knowledge, productivity and continuity of critical roles improve.</v>
      </c>
      <c r="N15" s="48" t="str">
        <f>"Crisis fit: "&amp;D15&amp;"; domain gap fit: "&amp;E15&amp;"; risk fit: "&amp;F15&amp;". Trigger domains: "&amp;_TECH_Strategy_Library!AR10</f>
        <v>Crisis fit: 4; domain gap fit: 5; risk fit: 0. Trigger domains: HR Workforce</v>
      </c>
      <c r="O15" s="48" t="str">
        <f>_TECH_Strategy_Library!F10</f>
        <v>Critical role matrix, succession, backup teams, knowledge base, cross-training, remote work readiness.</v>
      </c>
      <c r="P15" s="48" t="str">
        <f>_TECH_Strategy_Library!G10</f>
        <v>CHRO / COO</v>
      </c>
      <c r="Q15" s="48" t="str">
        <f>_TECH_Strategy_Library!H10</f>
        <v>0-6 months</v>
      </c>
      <c r="R15" s="48" t="str">
        <f>_TECH_Strategy_Library!I10</f>
        <v>Critical roles with backups; cross-training coverage; attrition risk; onboarding time; knowledge coverage</v>
      </c>
      <c r="S15" s="48">
        <f>_TECH_Strategy_Library!N10</f>
        <v>3</v>
      </c>
      <c r="T15" s="48">
        <f>COUNTIF(_TECH_Initiative_Library!$D$5:$D$76,$B15)</f>
        <v>4</v>
      </c>
      <c r="U15" s="48" t="str">
        <f ca="1">IFERROR(INDEX(_TECH_Initiative_Library!$AE$5:$AE$76,MATCH($B15,_TECH_Initiative_Library!$D$5:$D$76,0)),"")</f>
        <v/>
      </c>
      <c r="V15" s="48" t="str">
        <f ca="1">IFERROR(ROUND(AVERAGEIF(_TECH_Initiative_Library!$D$5:$D$76,$B15,_TECH_Initiative_Library!$AC$5:$AC$76),2),"")</f>
        <v/>
      </c>
      <c r="W15" s="48">
        <f>IFERROR(SUMIFS(_TECH_Industry_Strategy_Fit!$D:$D,_TECH_Industry_Strategy_Fit!$A:$A,'Company Profile'!$B$9,_TECH_Industry_Strategy_Fit!$B:$B,$C15),3)</f>
        <v>5</v>
      </c>
      <c r="X15" s="48">
        <f t="shared" si="2"/>
        <v>75.040000000000006</v>
      </c>
      <c r="Y15" s="48">
        <f ca="1">IF($X15="","",RANK.EQ($X15,$X$10:$X$23,0)+COUNTIF($X$10:X15,$X15)-1)</f>
      </c>
      <c r="Z15" s="48" t="str">
        <f>IFERROR(INDEX(_TECH_Industry_Strategy_Fit!$E:$E,MATCH(1,INDEX((_TECH_Industry_Strategy_Fit!$A:$A='Company Profile'!$B$9)*(_TECH_Industry_Strategy_Fit!$B:$B=$C15),0),0)),"")</f>
        <v>Workforce Resilience Strategy receives a fit score of 5 for IT Services based on typical operating model, critical systems, crisis exposure and value-protection logic.</v>
      </c>
    </row>
    <row r="16" spans="1:26" ht="21.95" customHeight="1">
      <c r="A16" s="48">
        <f ca="1">IF($X16="","",RANK.EQ($X16,$X$10:$X$23,0)+COUNTIF($X$10:X16,$X16)-1)</f>
      </c>
      <c r="B16" s="48" t="str">
        <f>_TECH_Strategy_Library!B11</f>
        <v>Operational Excellence and Automation Strategy</v>
      </c>
      <c r="C16" s="48" t="str">
        <f>_TECH_Strategy_Library!A11</f>
        <v>STR-07</v>
      </c>
      <c r="D16" s="48">
        <f>ROUND(INDEX(_TECH_Strategy_Library!$P11:$Z11,1,MATCH('Crisis Simulator'!$B$4,_TECH_Strategy_Library!$P$4:$Z$4,0))*2.5,2)</f>
        <v>2.5</v>
      </c>
      <c r="E16" s="48">
        <f>IFERROR(ROUND((_TECH_Strategy_Library!$AA$11*(5-Dashboard!$H$5)+_TECH_Strategy_Library!$AB$11*(5-Dashboard!$H$6)+_TECH_Strategy_Library!$AC$11*(5-Dashboard!$H$7)+_TECH_Strategy_Library!$AD$11*(5-Dashboard!$H$8)+_TECH_Strategy_Library!$AE$11*(5-Dashboard!$H$9)+_TECH_Strategy_Library!$AF$11*(5-Dashboard!$H$10)+_TECH_Strategy_Library!$AG$11*(5-Dashboard!$H$11)+_TECH_Strategy_Library!$AH$11*(5-Dashboard!$H$12)+_TECH_Strategy_Library!$AI$11*(5-Dashboard!$H$13)+_TECH_Strategy_Library!$AJ$11*(5-Dashboard!$H$14)+_TECH_Strategy_Library!$AK$11*(5-Dashboard!$H$15)+_TECH_Strategy_Library!$AL$11*(5-Dashboard!$H$16)+_TECH_Strategy_Library!$AM$11*(5-Dashboard!$H$17)+_TECH_Strategy_Library!$AN$11*(5-Dashboard!$H$18)+_TECH_Strategy_Library!$AO$11*(5-Dashboard!$H$19)+_TECH_Strategy_Library!$AP$11*(5-Dashboard!$H$20)+_TECH_Strategy_Library!$AQ$11*(5-Dashboard!$H$21))/(_TECH_Strategy_Library!$AA$11+_TECH_Strategy_Library!$AB$11+_TECH_Strategy_Library!$AC$11+_TECH_Strategy_Library!$AD$11+_TECH_Strategy_Library!$AE$11+_TECH_Strategy_Library!$AF$11+_TECH_Strategy_Library!$AG$11+_TECH_Strategy_Library!$AH$11+_TECH_Strategy_Library!$AI$11+_TECH_Strategy_Library!$AJ$11+_TECH_Strategy_Library!$AK$11+_TECH_Strategy_Library!$AL$11+_TECH_Strategy_Library!$AM$11+_TECH_Strategy_Library!$AN$11+_TECH_Strategy_Library!$AO$11+_TECH_Strategy_Library!$AP$11+_TECH_Strategy_Library!$AQ$11),2),0)</f>
        <v>5</v>
      </c>
      <c r="F16" s="48">
        <f>IFERROR(ROUND(MIN(5,((_TECH_Strategy_Library!$AA$11*(Dashboard!$J$5+0.7*Dashboard!$K$5)+_TECH_Strategy_Library!$AB$11*(Dashboard!$J$6+0.7*Dashboard!$K$6)+_TECH_Strategy_Library!$AC$11*(Dashboard!$J$7+0.7*Dashboard!$K$7)+_TECH_Strategy_Library!$AD$11*(Dashboard!$J$8+0.7*Dashboard!$K$8)+_TECH_Strategy_Library!$AE$11*(Dashboard!$J$9+0.7*Dashboard!$K$9)+_TECH_Strategy_Library!$AF$11*(Dashboard!$J$10+0.7*Dashboard!$K$10)+_TECH_Strategy_Library!$AG$11*(Dashboard!$J$11+0.7*Dashboard!$K$11)+_TECH_Strategy_Library!$AH$11*(Dashboard!$J$12+0.7*Dashboard!$K$12)+_TECH_Strategy_Library!$AI$11*(Dashboard!$J$13+0.7*Dashboard!$K$13)+_TECH_Strategy_Library!$AJ$11*(Dashboard!$J$14+0.7*Dashboard!$K$14)+_TECH_Strategy_Library!$AK$11*(Dashboard!$J$15+0.7*Dashboard!$K$15)+_TECH_Strategy_Library!$AL$11*(Dashboard!$J$16+0.7*Dashboard!$K$16)+_TECH_Strategy_Library!$AM$11*(Dashboard!$J$17+0.7*Dashboard!$K$17)+_TECH_Strategy_Library!$AN$11*(Dashboard!$J$18+0.7*Dashboard!$K$18)+_TECH_Strategy_Library!$AO$11*(Dashboard!$J$19+0.7*Dashboard!$K$19)+_TECH_Strategy_Library!$AP$11*(Dashboard!$J$20+0.7*Dashboard!$K$20)+_TECH_Strategy_Library!$AQ$11*(Dashboard!$J$21+0.7*Dashboard!$K$21))/(_TECH_Strategy_Library!$AA$11+_TECH_Strategy_Library!$AB$11+_TECH_Strategy_Library!$AC$11+_TECH_Strategy_Library!$AD$11+_TECH_Strategy_Library!$AE$11+_TECH_Strategy_Library!$AF$11+_TECH_Strategy_Library!$AG$11+_TECH_Strategy_Library!$AH$11+_TECH_Strategy_Library!$AI$11+_TECH_Strategy_Library!$AJ$11+_TECH_Strategy_Library!$AK$11+_TECH_Strategy_Library!$AL$11+_TECH_Strategy_Library!$AM$11+_TECH_Strategy_Library!$AN$11+_TECH_Strategy_Library!$AO$11+_TECH_Strategy_Library!$AP$11+_TECH_Strategy_Library!$AQ$11))*1.2),2),0)</f>
        <v>0</v>
      </c>
      <c r="G16" s="48">
        <f>ROUND((5-'Spider Dashboards'!$H$5)*(_TECH_Strategy_Library!K11/5),2)</f>
        <v>4</v>
      </c>
      <c r="H16" s="48">
        <f>ROUND((5-'Spider Dashboards'!$H$6)*(_TECH_Strategy_Library!L11/5),2)</f>
        <v>3</v>
      </c>
      <c r="I16" s="48">
        <f>ROUND((5-'Spider Dashboards'!$H$7)*(_TECH_Strategy_Library!M11/5),2)</f>
        <v>5</v>
      </c>
      <c r="J16" s="48">
        <f t="shared" si="0"/>
        <v>61.5</v>
      </c>
      <c r="K16" s="48" t="str">
        <f>IF(Dashboard!$R$7&gt;=0.8,"High",IF(Dashboard!$R$7&gt;=0.5,"Medium","Low - assessment incomplete"))</f>
        <v>Low - assessment incomplete</v>
      </c>
      <c r="L16" s="48">
        <f t="shared" ca="1" si="1"/>
      </c>
      <c r="M16" s="48" t="str">
        <f>_TECH_Strategy_Library!E11</f>
        <v>Cost-to-serve decreases and execution reliability improves.</v>
      </c>
      <c r="N16" s="48" t="str">
        <f>"Crisis fit: "&amp;D16&amp;"; domain gap fit: "&amp;E16&amp;"; risk fit: "&amp;F16&amp;". Trigger domains: "&amp;_TECH_Strategy_Library!AR11</f>
        <v>Crisis fit: 2.5; domain gap fit: 5; risk fit: 0. Trigger domains: Delivery Ops; Manufacturing MES; Business Systems; Quality Portfolio</v>
      </c>
      <c r="O16" s="48" t="str">
        <f>_TECH_Strategy_Library!F11</f>
        <v>Process mapping, KPI cadence, automation, workflow redesign, standard work, performance management.</v>
      </c>
      <c r="P16" s="48" t="str">
        <f>_TECH_Strategy_Library!G11</f>
        <v>COO / Transformation Lead</v>
      </c>
      <c r="Q16" s="48" t="str">
        <f>_TECH_Strategy_Library!H11</f>
        <v>3-12 months</v>
      </c>
      <c r="R16" s="48" t="str">
        <f>_TECH_Strategy_Library!I11</f>
        <v>Cycle time; automation rate; defect rate; productivity; process owner coverage</v>
      </c>
      <c r="S16" s="48">
        <f>_TECH_Strategy_Library!N11</f>
        <v>4</v>
      </c>
      <c r="T16" s="48">
        <f>COUNTIF(_TECH_Initiative_Library!$D$5:$D$76,$B16)</f>
        <v>6</v>
      </c>
      <c r="U16" s="48" t="str">
        <f ca="1">IFERROR(INDEX(_TECH_Initiative_Library!$AE$5:$AE$76,MATCH($B16,_TECH_Initiative_Library!$D$5:$D$76,0)),"")</f>
        <v/>
      </c>
      <c r="V16" s="48" t="str">
        <f ca="1">IFERROR(ROUND(AVERAGEIF(_TECH_Initiative_Library!$D$5:$D$76,$B16,_TECH_Initiative_Library!$AC$5:$AC$76),2),"")</f>
        <v/>
      </c>
      <c r="W16" s="48">
        <f>IFERROR(SUMIFS(_TECH_Industry_Strategy_Fit!$D:$D,_TECH_Industry_Strategy_Fit!$A:$A,'Company Profile'!$B$9,_TECH_Industry_Strategy_Fit!$B:$B,$C16),3)</f>
        <v>4</v>
      </c>
      <c r="X16" s="48">
        <f t="shared" si="2"/>
        <v>65.19</v>
      </c>
      <c r="Y16" s="48">
        <f ca="1">IF($X16="","",RANK.EQ($X16,$X$10:$X$23,0)+COUNTIF($X$10:X16,$X16)-1)</f>
      </c>
      <c r="Z16" s="48" t="str">
        <f>IFERROR(INDEX(_TECH_Industry_Strategy_Fit!$E:$E,MATCH(1,INDEX((_TECH_Industry_Strategy_Fit!$A:$A='Company Profile'!$B$9)*(_TECH_Industry_Strategy_Fit!$B:$B=$C16),0),0)),"")</f>
        <v>Operational Excellence and Automation Strategy receives a fit score of 4 for IT Services based on typical operating model, critical systems, crisis exposure and value-protection logic.</v>
      </c>
    </row>
    <row r="17" spans="1:26" ht="21.95" customHeight="1">
      <c r="A17" s="48">
        <f ca="1">IF($X17="","",RANK.EQ($X17,$X$10:$X$23,0)+COUNTIF($X$10:X17,$X17)-1)</f>
      </c>
      <c r="B17" s="48" t="str">
        <f>_TECH_Strategy_Library!B12</f>
        <v>Supply Chain and Delivery Resilience Strategy</v>
      </c>
      <c r="C17" s="48" t="str">
        <f>_TECH_Strategy_Library!A12</f>
        <v>STR-08</v>
      </c>
      <c r="D17" s="48">
        <f>ROUND(INDEX(_TECH_Strategy_Library!$P12:$Z12,1,MATCH('Crisis Simulator'!$B$4,_TECH_Strategy_Library!$P$4:$Z$4,0))*2.5,2)</f>
        <v>4</v>
      </c>
      <c r="E17" s="48">
        <f>IFERROR(ROUND((_TECH_Strategy_Library!$AA$12*(5-Dashboard!$H$5)+_TECH_Strategy_Library!$AB$12*(5-Dashboard!$H$6)+_TECH_Strategy_Library!$AC$12*(5-Dashboard!$H$7)+_TECH_Strategy_Library!$AD$12*(5-Dashboard!$H$8)+_TECH_Strategy_Library!$AE$12*(5-Dashboard!$H$9)+_TECH_Strategy_Library!$AF$12*(5-Dashboard!$H$10)+_TECH_Strategy_Library!$AG$12*(5-Dashboard!$H$11)+_TECH_Strategy_Library!$AH$12*(5-Dashboard!$H$12)+_TECH_Strategy_Library!$AI$12*(5-Dashboard!$H$13)+_TECH_Strategy_Library!$AJ$12*(5-Dashboard!$H$14)+_TECH_Strategy_Library!$AK$12*(5-Dashboard!$H$15)+_TECH_Strategy_Library!$AL$12*(5-Dashboard!$H$16)+_TECH_Strategy_Library!$AM$12*(5-Dashboard!$H$17)+_TECH_Strategy_Library!$AN$12*(5-Dashboard!$H$18)+_TECH_Strategy_Library!$AO$12*(5-Dashboard!$H$19)+_TECH_Strategy_Library!$AP$12*(5-Dashboard!$H$20)+_TECH_Strategy_Library!$AQ$12*(5-Dashboard!$H$21))/(_TECH_Strategy_Library!$AA$12+_TECH_Strategy_Library!$AB$12+_TECH_Strategy_Library!$AC$12+_TECH_Strategy_Library!$AD$12+_TECH_Strategy_Library!$AE$12+_TECH_Strategy_Library!$AF$12+_TECH_Strategy_Library!$AG$12+_TECH_Strategy_Library!$AH$12+_TECH_Strategy_Library!$AI$12+_TECH_Strategy_Library!$AJ$12+_TECH_Strategy_Library!$AK$12+_TECH_Strategy_Library!$AL$12+_TECH_Strategy_Library!$AM$12+_TECH_Strategy_Library!$AN$12+_TECH_Strategy_Library!$AO$12+_TECH_Strategy_Library!$AP$12+_TECH_Strategy_Library!$AQ$12),2),0)</f>
        <v>5</v>
      </c>
      <c r="F17" s="48">
        <f>IFERROR(ROUND(MIN(5,((_TECH_Strategy_Library!$AA$12*(Dashboard!$J$5+0.7*Dashboard!$K$5)+_TECH_Strategy_Library!$AB$12*(Dashboard!$J$6+0.7*Dashboard!$K$6)+_TECH_Strategy_Library!$AC$12*(Dashboard!$J$7+0.7*Dashboard!$K$7)+_TECH_Strategy_Library!$AD$12*(Dashboard!$J$8+0.7*Dashboard!$K$8)+_TECH_Strategy_Library!$AE$12*(Dashboard!$J$9+0.7*Dashboard!$K$9)+_TECH_Strategy_Library!$AF$12*(Dashboard!$J$10+0.7*Dashboard!$K$10)+_TECH_Strategy_Library!$AG$12*(Dashboard!$J$11+0.7*Dashboard!$K$11)+_TECH_Strategy_Library!$AH$12*(Dashboard!$J$12+0.7*Dashboard!$K$12)+_TECH_Strategy_Library!$AI$12*(Dashboard!$J$13+0.7*Dashboard!$K$13)+_TECH_Strategy_Library!$AJ$12*(Dashboard!$J$14+0.7*Dashboard!$K$14)+_TECH_Strategy_Library!$AK$12*(Dashboard!$J$15+0.7*Dashboard!$K$15)+_TECH_Strategy_Library!$AL$12*(Dashboard!$J$16+0.7*Dashboard!$K$16)+_TECH_Strategy_Library!$AM$12*(Dashboard!$J$17+0.7*Dashboard!$K$17)+_TECH_Strategy_Library!$AN$12*(Dashboard!$J$18+0.7*Dashboard!$K$18)+_TECH_Strategy_Library!$AO$12*(Dashboard!$J$19+0.7*Dashboard!$K$19)+_TECH_Strategy_Library!$AP$12*(Dashboard!$J$20+0.7*Dashboard!$K$20)+_TECH_Strategy_Library!$AQ$12*(Dashboard!$J$21+0.7*Dashboard!$K$21))/(_TECH_Strategy_Library!$AA$12+_TECH_Strategy_Library!$AB$12+_TECH_Strategy_Library!$AC$12+_TECH_Strategy_Library!$AD$12+_TECH_Strategy_Library!$AE$12+_TECH_Strategy_Library!$AF$12+_TECH_Strategy_Library!$AG$12+_TECH_Strategy_Library!$AH$12+_TECH_Strategy_Library!$AI$12+_TECH_Strategy_Library!$AJ$12+_TECH_Strategy_Library!$AK$12+_TECH_Strategy_Library!$AL$12+_TECH_Strategy_Library!$AM$12+_TECH_Strategy_Library!$AN$12+_TECH_Strategy_Library!$AO$12+_TECH_Strategy_Library!$AP$12+_TECH_Strategy_Library!$AQ$12))*1.2),2),0)</f>
        <v>0</v>
      </c>
      <c r="G17" s="48">
        <f>ROUND((5-'Spider Dashboards'!$H$5)*(_TECH_Strategy_Library!K12/5),2)</f>
        <v>3</v>
      </c>
      <c r="H17" s="48">
        <f>ROUND((5-'Spider Dashboards'!$H$6)*(_TECH_Strategy_Library!L12/5),2)</f>
        <v>5</v>
      </c>
      <c r="I17" s="48">
        <f>ROUND((5-'Spider Dashboards'!$H$7)*(_TECH_Strategy_Library!M12/5),2)</f>
        <v>4</v>
      </c>
      <c r="J17" s="48">
        <f t="shared" si="0"/>
        <v>69</v>
      </c>
      <c r="K17" s="48" t="str">
        <f>IF(Dashboard!$R$7&gt;=0.8,"High",IF(Dashboard!$R$7&gt;=0.5,"Medium","Low - assessment incomplete"))</f>
        <v>Low - assessment incomplete</v>
      </c>
      <c r="L17" s="48">
        <f t="shared" ca="1" si="1"/>
      </c>
      <c r="M17" s="48" t="str">
        <f>_TECH_Strategy_Library!E12</f>
        <v>Alternative suppliers, locations and delivery models are strengthened.</v>
      </c>
      <c r="N17" s="48" t="str">
        <f>"Crisis fit: "&amp;D17&amp;"; domain gap fit: "&amp;E17&amp;"; risk fit: "&amp;F17&amp;". Trigger domains: "&amp;_TECH_Strategy_Library!AR12</f>
        <v>Crisis fit: 4; domain gap fit: 5; risk fit: 0. Trigger domains: Supply Chain; Delivery Ops; Manufacturing MES</v>
      </c>
      <c r="O17" s="48" t="str">
        <f>_TECH_Strategy_Library!F12</f>
        <v>Supplier map, dual sourcing, inventory visibility, route alternatives, SLA triage, delivery fallback.</v>
      </c>
      <c r="P17" s="48" t="str">
        <f>_TECH_Strategy_Library!G12</f>
        <v>COO / Procurement Lead</v>
      </c>
      <c r="Q17" s="48" t="str">
        <f>_TECH_Strategy_Library!H12</f>
        <v>0-9 months</v>
      </c>
      <c r="R17" s="48" t="str">
        <f>_TECH_Strategy_Library!I12</f>
        <v>Critical suppliers with alternatives; OTIF; safety stock coverage; route alternatives; supplier risk score</v>
      </c>
      <c r="S17" s="48">
        <f>_TECH_Strategy_Library!N12</f>
        <v>4</v>
      </c>
      <c r="T17" s="48">
        <f>COUNTIF(_TECH_Initiative_Library!$D$5:$D$76,$B17)</f>
        <v>5</v>
      </c>
      <c r="U17" s="48" t="str">
        <f ca="1">IFERROR(INDEX(_TECH_Initiative_Library!$AE$5:$AE$76,MATCH($B17,_TECH_Initiative_Library!$D$5:$D$76,0)),"")</f>
        <v/>
      </c>
      <c r="V17" s="48" t="str">
        <f ca="1">IFERROR(ROUND(AVERAGEIF(_TECH_Initiative_Library!$D$5:$D$76,$B17,_TECH_Initiative_Library!$AC$5:$AC$76),2),"")</f>
        <v/>
      </c>
      <c r="W17" s="48">
        <f>IFERROR(SUMIFS(_TECH_Industry_Strategy_Fit!$D:$D,_TECH_Industry_Strategy_Fit!$A:$A,'Company Profile'!$B$9,_TECH_Industry_Strategy_Fit!$B:$B,$C17),3)</f>
        <v>3</v>
      </c>
      <c r="X17" s="48">
        <f t="shared" si="2"/>
        <v>69</v>
      </c>
      <c r="Y17" s="48">
        <f ca="1">IF($X17="","",RANK.EQ($X17,$X$10:$X$23,0)+COUNTIF($X$10:X17,$X17)-1)</f>
      </c>
      <c r="Z17" s="48" t="str">
        <f>IFERROR(INDEX(_TECH_Industry_Strategy_Fit!$E:$E,MATCH(1,INDEX((_TECH_Industry_Strategy_Fit!$A:$A='Company Profile'!$B$9)*(_TECH_Industry_Strategy_Fit!$B:$B=$C17),0),0)),"")</f>
        <v>Supply Chain and Delivery Resilience Strategy receives a fit score of 3 for IT Services based on typical operating model, critical systems, crisis exposure and value-protection logic.</v>
      </c>
    </row>
    <row r="18" spans="1:26" ht="21.95" customHeight="1">
      <c r="A18" s="48">
        <f ca="1">IF($X18="","",RANK.EQ($X18,$X$10:$X$23,0)+COUNTIF($X$10:X18,$X18)-1)</f>
      </c>
      <c r="B18" s="48" t="str">
        <f>_TECH_Strategy_Library!B13</f>
        <v>Manufacturing Continuity and MES Strategy</v>
      </c>
      <c r="C18" s="48" t="str">
        <f>_TECH_Strategy_Library!A13</f>
        <v>STR-09</v>
      </c>
      <c r="D18" s="48">
        <f>ROUND(INDEX(_TECH_Strategy_Library!$P13:$Z13,1,MATCH('Crisis Simulator'!$B$4,_TECH_Strategy_Library!$P$4:$Z$4,0))*2.5,2)</f>
        <v>3.25</v>
      </c>
      <c r="E18" s="48">
        <f>IFERROR(ROUND((_TECH_Strategy_Library!$AA$13*(5-Dashboard!$H$5)+_TECH_Strategy_Library!$AB$13*(5-Dashboard!$H$6)+_TECH_Strategy_Library!$AC$13*(5-Dashboard!$H$7)+_TECH_Strategy_Library!$AD$13*(5-Dashboard!$H$8)+_TECH_Strategy_Library!$AE$13*(5-Dashboard!$H$9)+_TECH_Strategy_Library!$AF$13*(5-Dashboard!$H$10)+_TECH_Strategy_Library!$AG$13*(5-Dashboard!$H$11)+_TECH_Strategy_Library!$AH$13*(5-Dashboard!$H$12)+_TECH_Strategy_Library!$AI$13*(5-Dashboard!$H$13)+_TECH_Strategy_Library!$AJ$13*(5-Dashboard!$H$14)+_TECH_Strategy_Library!$AK$13*(5-Dashboard!$H$15)+_TECH_Strategy_Library!$AL$13*(5-Dashboard!$H$16)+_TECH_Strategy_Library!$AM$13*(5-Dashboard!$H$17)+_TECH_Strategy_Library!$AN$13*(5-Dashboard!$H$18)+_TECH_Strategy_Library!$AO$13*(5-Dashboard!$H$19)+_TECH_Strategy_Library!$AP$13*(5-Dashboard!$H$20)+_TECH_Strategy_Library!$AQ$13*(5-Dashboard!$H$21))/(_TECH_Strategy_Library!$AA$13+_TECH_Strategy_Library!$AB$13+_TECH_Strategy_Library!$AC$13+_TECH_Strategy_Library!$AD$13+_TECH_Strategy_Library!$AE$13+_TECH_Strategy_Library!$AF$13+_TECH_Strategy_Library!$AG$13+_TECH_Strategy_Library!$AH$13+_TECH_Strategy_Library!$AI$13+_TECH_Strategy_Library!$AJ$13+_TECH_Strategy_Library!$AK$13+_TECH_Strategy_Library!$AL$13+_TECH_Strategy_Library!$AM$13+_TECH_Strategy_Library!$AN$13+_TECH_Strategy_Library!$AO$13+_TECH_Strategy_Library!$AP$13+_TECH_Strategy_Library!$AQ$13),2),0)</f>
        <v>5</v>
      </c>
      <c r="F18" s="48">
        <f>IFERROR(ROUND(MIN(5,((_TECH_Strategy_Library!$AA$13*(Dashboard!$J$5+0.7*Dashboard!$K$5)+_TECH_Strategy_Library!$AB$13*(Dashboard!$J$6+0.7*Dashboard!$K$6)+_TECH_Strategy_Library!$AC$13*(Dashboard!$J$7+0.7*Dashboard!$K$7)+_TECH_Strategy_Library!$AD$13*(Dashboard!$J$8+0.7*Dashboard!$K$8)+_TECH_Strategy_Library!$AE$13*(Dashboard!$J$9+0.7*Dashboard!$K$9)+_TECH_Strategy_Library!$AF$13*(Dashboard!$J$10+0.7*Dashboard!$K$10)+_TECH_Strategy_Library!$AG$13*(Dashboard!$J$11+0.7*Dashboard!$K$11)+_TECH_Strategy_Library!$AH$13*(Dashboard!$J$12+0.7*Dashboard!$K$12)+_TECH_Strategy_Library!$AI$13*(Dashboard!$J$13+0.7*Dashboard!$K$13)+_TECH_Strategy_Library!$AJ$13*(Dashboard!$J$14+0.7*Dashboard!$K$14)+_TECH_Strategy_Library!$AK$13*(Dashboard!$J$15+0.7*Dashboard!$K$15)+_TECH_Strategy_Library!$AL$13*(Dashboard!$J$16+0.7*Dashboard!$K$16)+_TECH_Strategy_Library!$AM$13*(Dashboard!$J$17+0.7*Dashboard!$K$17)+_TECH_Strategy_Library!$AN$13*(Dashboard!$J$18+0.7*Dashboard!$K$18)+_TECH_Strategy_Library!$AO$13*(Dashboard!$J$19+0.7*Dashboard!$K$19)+_TECH_Strategy_Library!$AP$13*(Dashboard!$J$20+0.7*Dashboard!$K$20)+_TECH_Strategy_Library!$AQ$13*(Dashboard!$J$21+0.7*Dashboard!$K$21))/(_TECH_Strategy_Library!$AA$13+_TECH_Strategy_Library!$AB$13+_TECH_Strategy_Library!$AC$13+_TECH_Strategy_Library!$AD$13+_TECH_Strategy_Library!$AE$13+_TECH_Strategy_Library!$AF$13+_TECH_Strategy_Library!$AG$13+_TECH_Strategy_Library!$AH$13+_TECH_Strategy_Library!$AI$13+_TECH_Strategy_Library!$AJ$13+_TECH_Strategy_Library!$AK$13+_TECH_Strategy_Library!$AL$13+_TECH_Strategy_Library!$AM$13+_TECH_Strategy_Library!$AN$13+_TECH_Strategy_Library!$AO$13+_TECH_Strategy_Library!$AP$13+_TECH_Strategy_Library!$AQ$13))*1.2),2),0)</f>
        <v>0</v>
      </c>
      <c r="G18" s="48">
        <f>ROUND((5-'Spider Dashboards'!$H$5)*(_TECH_Strategy_Library!K13/5),2)</f>
        <v>4</v>
      </c>
      <c r="H18" s="48">
        <f>ROUND((5-'Spider Dashboards'!$H$6)*(_TECH_Strategy_Library!L13/5),2)</f>
        <v>5</v>
      </c>
      <c r="I18" s="48">
        <f>ROUND((5-'Spider Dashboards'!$H$7)*(_TECH_Strategy_Library!M13/5),2)</f>
        <v>4</v>
      </c>
      <c r="J18" s="48">
        <f t="shared" si="0"/>
        <v>67.3</v>
      </c>
      <c r="K18" s="48" t="str">
        <f>IF(Dashboard!$R$7&gt;=0.8,"High",IF(Dashboard!$R$7&gt;=0.5,"Medium","Low - assessment incomplete"))</f>
        <v>Low - assessment incomplete</v>
      </c>
      <c r="L18" s="48">
        <f t="shared" ca="1" si="1"/>
      </c>
      <c r="M18" s="48" t="str">
        <f>_TECH_Strategy_Library!E13</f>
        <v>Production visibility, recoverability and operational control improve.</v>
      </c>
      <c r="N18" s="48" t="str">
        <f>"Crisis fit: "&amp;D18&amp;"; domain gap fit: "&amp;E18&amp;"; risk fit: "&amp;F18&amp;". Trigger domains: "&amp;_TECH_Strategy_Library!AR13</f>
        <v>Crisis fit: 3.25; domain gap fit: 5; risk fit: 0. Trigger domains: Manufacturing MES; Physical Safety; Supply Chain</v>
      </c>
      <c r="O18" s="48" t="str">
        <f>_TECH_Strategy_Library!F13</f>
        <v>MES continuity, OEE visibility, maintenance planning, spare parts, utility backup, production recovery sequence.</v>
      </c>
      <c r="P18" s="48" t="str">
        <f>_TECH_Strategy_Library!G13</f>
        <v>Plant Manager / COO</v>
      </c>
      <c r="Q18" s="48" t="str">
        <f>_TECH_Strategy_Library!H13</f>
        <v>3-12 months</v>
      </c>
      <c r="R18" s="48" t="str">
        <f>_TECH_Strategy_Library!I13</f>
        <v>OEE; unplanned downtime; MES availability; spare parts coverage; production recovery time</v>
      </c>
      <c r="S18" s="48">
        <f>_TECH_Strategy_Library!N13</f>
        <v>5</v>
      </c>
      <c r="T18" s="48">
        <f>COUNTIF(_TECH_Initiative_Library!$D$5:$D$76,$B18)</f>
        <v>6</v>
      </c>
      <c r="U18" s="48" t="str">
        <f ca="1">IFERROR(INDEX(_TECH_Initiative_Library!$AE$5:$AE$76,MATCH($B18,_TECH_Initiative_Library!$D$5:$D$76,0)),"")</f>
        <v/>
      </c>
      <c r="V18" s="48" t="str">
        <f ca="1">IFERROR(ROUND(AVERAGEIF(_TECH_Initiative_Library!$D$5:$D$76,$B18,_TECH_Initiative_Library!$AC$5:$AC$76),2),"")</f>
        <v/>
      </c>
      <c r="W18" s="48">
        <f>IFERROR(SUMIFS(_TECH_Industry_Strategy_Fit!$D:$D,_TECH_Industry_Strategy_Fit!$A:$A,'Company Profile'!$B$9,_TECH_Industry_Strategy_Fit!$B:$B,$C18),3)</f>
        <v>3</v>
      </c>
      <c r="X18" s="48">
        <f t="shared" si="2"/>
        <v>67.3</v>
      </c>
      <c r="Y18" s="48">
        <f ca="1">IF($X18="","",RANK.EQ($X18,$X$10:$X$23,0)+COUNTIF($X$10:X18,$X18)-1)</f>
      </c>
      <c r="Z18" s="48" t="str">
        <f>IFERROR(INDEX(_TECH_Industry_Strategy_Fit!$E:$E,MATCH(1,INDEX((_TECH_Industry_Strategy_Fit!$A:$A='Company Profile'!$B$9)*(_TECH_Industry_Strategy_Fit!$B:$B=$C18),0),0)),"")</f>
        <v>Manufacturing Continuity and MES Strategy receives a fit score of 3 for IT Services based on typical operating model, critical systems, crisis exposure and value-protection logic.</v>
      </c>
    </row>
    <row r="19" spans="1:26" ht="21.95" customHeight="1">
      <c r="A19" s="48">
        <f ca="1">IF($X19="","",RANK.EQ($X19,$X$10:$X$23,0)+COUNTIF($X$10:X19,$X19)-1)</f>
      </c>
      <c r="B19" s="48" t="str">
        <f>_TECH_Strategy_Library!B14</f>
        <v>Physical Safety and Site Resilience Strategy</v>
      </c>
      <c r="C19" s="48" t="str">
        <f>_TECH_Strategy_Library!A14</f>
        <v>STR-10</v>
      </c>
      <c r="D19" s="48">
        <f>ROUND(INDEX(_TECH_Strategy_Library!$P14:$Z14,1,MATCH('Crisis Simulator'!$B$4,_TECH_Strategy_Library!$P$4:$Z$4,0))*2.5,2)</f>
        <v>4.5</v>
      </c>
      <c r="E19" s="48">
        <f>IFERROR(ROUND((_TECH_Strategy_Library!$AA$14*(5-Dashboard!$H$5)+_TECH_Strategy_Library!$AB$14*(5-Dashboard!$H$6)+_TECH_Strategy_Library!$AC$14*(5-Dashboard!$H$7)+_TECH_Strategy_Library!$AD$14*(5-Dashboard!$H$8)+_TECH_Strategy_Library!$AE$14*(5-Dashboard!$H$9)+_TECH_Strategy_Library!$AF$14*(5-Dashboard!$H$10)+_TECH_Strategy_Library!$AG$14*(5-Dashboard!$H$11)+_TECH_Strategy_Library!$AH$14*(5-Dashboard!$H$12)+_TECH_Strategy_Library!$AI$14*(5-Dashboard!$H$13)+_TECH_Strategy_Library!$AJ$14*(5-Dashboard!$H$14)+_TECH_Strategy_Library!$AK$14*(5-Dashboard!$H$15)+_TECH_Strategy_Library!$AL$14*(5-Dashboard!$H$16)+_TECH_Strategy_Library!$AM$14*(5-Dashboard!$H$17)+_TECH_Strategy_Library!$AN$14*(5-Dashboard!$H$18)+_TECH_Strategy_Library!$AO$14*(5-Dashboard!$H$19)+_TECH_Strategy_Library!$AP$14*(5-Dashboard!$H$20)+_TECH_Strategy_Library!$AQ$14*(5-Dashboard!$H$21))/(_TECH_Strategy_Library!$AA$14+_TECH_Strategy_Library!$AB$14+_TECH_Strategy_Library!$AC$14+_TECH_Strategy_Library!$AD$14+_TECH_Strategy_Library!$AE$14+_TECH_Strategy_Library!$AF$14+_TECH_Strategy_Library!$AG$14+_TECH_Strategy_Library!$AH$14+_TECH_Strategy_Library!$AI$14+_TECH_Strategy_Library!$AJ$14+_TECH_Strategy_Library!$AK$14+_TECH_Strategy_Library!$AL$14+_TECH_Strategy_Library!$AM$14+_TECH_Strategy_Library!$AN$14+_TECH_Strategy_Library!$AO$14+_TECH_Strategy_Library!$AP$14+_TECH_Strategy_Library!$AQ$14),2),0)</f>
        <v>5</v>
      </c>
      <c r="F19" s="48">
        <f>IFERROR(ROUND(MIN(5,((_TECH_Strategy_Library!$AA$14*(Dashboard!$J$5+0.7*Dashboard!$K$5)+_TECH_Strategy_Library!$AB$14*(Dashboard!$J$6+0.7*Dashboard!$K$6)+_TECH_Strategy_Library!$AC$14*(Dashboard!$J$7+0.7*Dashboard!$K$7)+_TECH_Strategy_Library!$AD$14*(Dashboard!$J$8+0.7*Dashboard!$K$8)+_TECH_Strategy_Library!$AE$14*(Dashboard!$J$9+0.7*Dashboard!$K$9)+_TECH_Strategy_Library!$AF$14*(Dashboard!$J$10+0.7*Dashboard!$K$10)+_TECH_Strategy_Library!$AG$14*(Dashboard!$J$11+0.7*Dashboard!$K$11)+_TECH_Strategy_Library!$AH$14*(Dashboard!$J$12+0.7*Dashboard!$K$12)+_TECH_Strategy_Library!$AI$14*(Dashboard!$J$13+0.7*Dashboard!$K$13)+_TECH_Strategy_Library!$AJ$14*(Dashboard!$J$14+0.7*Dashboard!$K$14)+_TECH_Strategy_Library!$AK$14*(Dashboard!$J$15+0.7*Dashboard!$K$15)+_TECH_Strategy_Library!$AL$14*(Dashboard!$J$16+0.7*Dashboard!$K$16)+_TECH_Strategy_Library!$AM$14*(Dashboard!$J$17+0.7*Dashboard!$K$17)+_TECH_Strategy_Library!$AN$14*(Dashboard!$J$18+0.7*Dashboard!$K$18)+_TECH_Strategy_Library!$AO$14*(Dashboard!$J$19+0.7*Dashboard!$K$19)+_TECH_Strategy_Library!$AP$14*(Dashboard!$J$20+0.7*Dashboard!$K$20)+_TECH_Strategy_Library!$AQ$14*(Dashboard!$J$21+0.7*Dashboard!$K$21))/(_TECH_Strategy_Library!$AA$14+_TECH_Strategy_Library!$AB$14+_TECH_Strategy_Library!$AC$14+_TECH_Strategy_Library!$AD$14+_TECH_Strategy_Library!$AE$14+_TECH_Strategy_Library!$AF$14+_TECH_Strategy_Library!$AG$14+_TECH_Strategy_Library!$AH$14+_TECH_Strategy_Library!$AI$14+_TECH_Strategy_Library!$AJ$14+_TECH_Strategy_Library!$AK$14+_TECH_Strategy_Library!$AL$14+_TECH_Strategy_Library!$AM$14+_TECH_Strategy_Library!$AN$14+_TECH_Strategy_Library!$AO$14+_TECH_Strategy_Library!$AP$14+_TECH_Strategy_Library!$AQ$14))*1.2),2),0)</f>
        <v>0</v>
      </c>
      <c r="G19" s="48">
        <f>ROUND((5-'Spider Dashboards'!$H$5)*(_TECH_Strategy_Library!K14/5),2)</f>
        <v>2</v>
      </c>
      <c r="H19" s="48">
        <f>ROUND((5-'Spider Dashboards'!$H$6)*(_TECH_Strategy_Library!L14/5),2)</f>
        <v>5</v>
      </c>
      <c r="I19" s="48">
        <f>ROUND((5-'Spider Dashboards'!$H$7)*(_TECH_Strategy_Library!M14/5),2)</f>
        <v>4</v>
      </c>
      <c r="J19" s="48">
        <f t="shared" si="0"/>
        <v>69.5</v>
      </c>
      <c r="K19" s="48" t="str">
        <f>IF(Dashboard!$R$7&gt;=0.8,"High",IF(Dashboard!$R$7&gt;=0.5,"Medium","Low - assessment incomplete"))</f>
        <v>Low - assessment incomplete</v>
      </c>
      <c r="L19" s="48">
        <f t="shared" ca="1" si="1"/>
      </c>
      <c r="M19" s="48" t="str">
        <f>_TECH_Strategy_Library!E14</f>
        <v>People safety and site continuity are strengthened under physical disruption.</v>
      </c>
      <c r="N19" s="48" t="str">
        <f>"Crisis fit: "&amp;D19&amp;"; domain gap fit: "&amp;E19&amp;"; risk fit: "&amp;F19&amp;". Trigger domains: "&amp;_TECH_Strategy_Library!AR14</f>
        <v>Crisis fit: 4.5; domain gap fit: 5; risk fit: 0. Trigger domains: Physical Safety</v>
      </c>
      <c r="O19" s="48" t="str">
        <f>_TECH_Strategy_Library!F14</f>
        <v>Site risk assessment, evacuation, emergency roles, access control, travel risk, alternate site, security providers.</v>
      </c>
      <c r="P19" s="48" t="str">
        <f>_TECH_Strategy_Library!G14</f>
        <v>COO / HSE / Security Lead</v>
      </c>
      <c r="Q19" s="48" t="str">
        <f>_TECH_Strategy_Library!H14</f>
        <v>0-6 months</v>
      </c>
      <c r="R19" s="48" t="str">
        <f>_TECH_Strategy_Library!I14</f>
        <v>Drill completion; incident rate; access review coverage; evacuation readiness; site risk actions closed</v>
      </c>
      <c r="S19" s="48">
        <f>_TECH_Strategy_Library!N14</f>
        <v>3</v>
      </c>
      <c r="T19" s="48">
        <f>COUNTIF(_TECH_Initiative_Library!$D$5:$D$76,$B19)</f>
        <v>5</v>
      </c>
      <c r="U19" s="48" t="str">
        <f ca="1">IFERROR(INDEX(_TECH_Initiative_Library!$AE$5:$AE$76,MATCH($B19,_TECH_Initiative_Library!$D$5:$D$76,0)),"")</f>
        <v/>
      </c>
      <c r="V19" s="48" t="str">
        <f ca="1">IFERROR(ROUND(AVERAGEIF(_TECH_Initiative_Library!$D$5:$D$76,$B19,_TECH_Initiative_Library!$AC$5:$AC$76),2),"")</f>
        <v/>
      </c>
      <c r="W19" s="48">
        <f>IFERROR(SUMIFS(_TECH_Industry_Strategy_Fit!$D:$D,_TECH_Industry_Strategy_Fit!$A:$A,'Company Profile'!$B$9,_TECH_Industry_Strategy_Fit!$B:$B,$C19),3)</f>
        <v>4</v>
      </c>
      <c r="X19" s="48">
        <f t="shared" si="2"/>
        <v>73.67</v>
      </c>
      <c r="Y19" s="48">
        <f ca="1">IF($X19="","",RANK.EQ($X19,$X$10:$X$23,0)+COUNTIF($X$10:X19,$X19)-1)</f>
      </c>
      <c r="Z19" s="48" t="str">
        <f>IFERROR(INDEX(_TECH_Industry_Strategy_Fit!$E:$E,MATCH(1,INDEX((_TECH_Industry_Strategy_Fit!$A:$A='Company Profile'!$B$9)*(_TECH_Industry_Strategy_Fit!$B:$B=$C19),0),0)),"")</f>
        <v>Physical Safety and Site Resilience Strategy receives a fit score of 4 for IT Services based on typical operating model, critical systems, crisis exposure and value-protection logic.</v>
      </c>
    </row>
    <row r="20" spans="1:26" ht="21.95" customHeight="1">
      <c r="A20" s="48">
        <f ca="1">IF($X20="","",RANK.EQ($X20,$X$10:$X$23,0)+COUNTIF($X$10:X20,$X20)-1)</f>
      </c>
      <c r="B20" s="48" t="str">
        <f>_TECH_Strategy_Library!B15</f>
        <v>Sales Channel Diversification Strategy</v>
      </c>
      <c r="C20" s="48" t="str">
        <f>_TECH_Strategy_Library!A15</f>
        <v>STR-11</v>
      </c>
      <c r="D20" s="48">
        <f>ROUND(INDEX(_TECH_Strategy_Library!$P15:$Z15,1,MATCH('Crisis Simulator'!$B$4,_TECH_Strategy_Library!$P$4:$Z$4,0))*2.5,2)</f>
        <v>3</v>
      </c>
      <c r="E20" s="48">
        <f>IFERROR(ROUND((_TECH_Strategy_Library!$AA$15*(5-Dashboard!$H$5)+_TECH_Strategy_Library!$AB$15*(5-Dashboard!$H$6)+_TECH_Strategy_Library!$AC$15*(5-Dashboard!$H$7)+_TECH_Strategy_Library!$AD$15*(5-Dashboard!$H$8)+_TECH_Strategy_Library!$AE$15*(5-Dashboard!$H$9)+_TECH_Strategy_Library!$AF$15*(5-Dashboard!$H$10)+_TECH_Strategy_Library!$AG$15*(5-Dashboard!$H$11)+_TECH_Strategy_Library!$AH$15*(5-Dashboard!$H$12)+_TECH_Strategy_Library!$AI$15*(5-Dashboard!$H$13)+_TECH_Strategy_Library!$AJ$15*(5-Dashboard!$H$14)+_TECH_Strategy_Library!$AK$15*(5-Dashboard!$H$15)+_TECH_Strategy_Library!$AL$15*(5-Dashboard!$H$16)+_TECH_Strategy_Library!$AM$15*(5-Dashboard!$H$17)+_TECH_Strategy_Library!$AN$15*(5-Dashboard!$H$18)+_TECH_Strategy_Library!$AO$15*(5-Dashboard!$H$19)+_TECH_Strategy_Library!$AP$15*(5-Dashboard!$H$20)+_TECH_Strategy_Library!$AQ$15*(5-Dashboard!$H$21))/(_TECH_Strategy_Library!$AA$15+_TECH_Strategy_Library!$AB$15+_TECH_Strategy_Library!$AC$15+_TECH_Strategy_Library!$AD$15+_TECH_Strategy_Library!$AE$15+_TECH_Strategy_Library!$AF$15+_TECH_Strategy_Library!$AG$15+_TECH_Strategy_Library!$AH$15+_TECH_Strategy_Library!$AI$15+_TECH_Strategy_Library!$AJ$15+_TECH_Strategy_Library!$AK$15+_TECH_Strategy_Library!$AL$15+_TECH_Strategy_Library!$AM$15+_TECH_Strategy_Library!$AN$15+_TECH_Strategy_Library!$AO$15+_TECH_Strategy_Library!$AP$15+_TECH_Strategy_Library!$AQ$15),2),0)</f>
        <v>5</v>
      </c>
      <c r="F20" s="48">
        <f>IFERROR(ROUND(MIN(5,((_TECH_Strategy_Library!$AA$15*(Dashboard!$J$5+0.7*Dashboard!$K$5)+_TECH_Strategy_Library!$AB$15*(Dashboard!$J$6+0.7*Dashboard!$K$6)+_TECH_Strategy_Library!$AC$15*(Dashboard!$J$7+0.7*Dashboard!$K$7)+_TECH_Strategy_Library!$AD$15*(Dashboard!$J$8+0.7*Dashboard!$K$8)+_TECH_Strategy_Library!$AE$15*(Dashboard!$J$9+0.7*Dashboard!$K$9)+_TECH_Strategy_Library!$AF$15*(Dashboard!$J$10+0.7*Dashboard!$K$10)+_TECH_Strategy_Library!$AG$15*(Dashboard!$J$11+0.7*Dashboard!$K$11)+_TECH_Strategy_Library!$AH$15*(Dashboard!$J$12+0.7*Dashboard!$K$12)+_TECH_Strategy_Library!$AI$15*(Dashboard!$J$13+0.7*Dashboard!$K$13)+_TECH_Strategy_Library!$AJ$15*(Dashboard!$J$14+0.7*Dashboard!$K$14)+_TECH_Strategy_Library!$AK$15*(Dashboard!$J$15+0.7*Dashboard!$K$15)+_TECH_Strategy_Library!$AL$15*(Dashboard!$J$16+0.7*Dashboard!$K$16)+_TECH_Strategy_Library!$AM$15*(Dashboard!$J$17+0.7*Dashboard!$K$17)+_TECH_Strategy_Library!$AN$15*(Dashboard!$J$18+0.7*Dashboard!$K$18)+_TECH_Strategy_Library!$AO$15*(Dashboard!$J$19+0.7*Dashboard!$K$19)+_TECH_Strategy_Library!$AP$15*(Dashboard!$J$20+0.7*Dashboard!$K$20)+_TECH_Strategy_Library!$AQ$15*(Dashboard!$J$21+0.7*Dashboard!$K$21))/(_TECH_Strategy_Library!$AA$15+_TECH_Strategy_Library!$AB$15+_TECH_Strategy_Library!$AC$15+_TECH_Strategy_Library!$AD$15+_TECH_Strategy_Library!$AE$15+_TECH_Strategy_Library!$AF$15+_TECH_Strategy_Library!$AG$15+_TECH_Strategy_Library!$AH$15+_TECH_Strategy_Library!$AI$15+_TECH_Strategy_Library!$AJ$15+_TECH_Strategy_Library!$AK$15+_TECH_Strategy_Library!$AL$15+_TECH_Strategy_Library!$AM$15+_TECH_Strategy_Library!$AN$15+_TECH_Strategy_Library!$AO$15+_TECH_Strategy_Library!$AP$15+_TECH_Strategy_Library!$AQ$15))*1.2),2),0)</f>
        <v>0</v>
      </c>
      <c r="G20" s="48">
        <f>ROUND((5-'Spider Dashboards'!$H$5)*(_TECH_Strategy_Library!K15/5),2)</f>
        <v>4</v>
      </c>
      <c r="H20" s="48">
        <f>ROUND((5-'Spider Dashboards'!$H$6)*(_TECH_Strategy_Library!L15/5),2)</f>
        <v>4</v>
      </c>
      <c r="I20" s="48">
        <f>ROUND((5-'Spider Dashboards'!$H$7)*(_TECH_Strategy_Library!M15/5),2)</f>
        <v>3</v>
      </c>
      <c r="J20" s="48">
        <f t="shared" si="0"/>
        <v>62</v>
      </c>
      <c r="K20" s="48" t="str">
        <f>IF(Dashboard!$R$7&gt;=0.8,"High",IF(Dashboard!$R$7&gt;=0.5,"Medium","Low - assessment incomplete"))</f>
        <v>Low - assessment incomplete</v>
      </c>
      <c r="L20" s="48">
        <f t="shared" ca="1" si="1"/>
      </c>
      <c r="M20" s="48" t="str">
        <f>_TECH_Strategy_Library!E15</f>
        <v>Revenue risk is reduced through digital channels and diversified markets.</v>
      </c>
      <c r="N20" s="48" t="str">
        <f>"Crisis fit: "&amp;D20&amp;"; domain gap fit: "&amp;E20&amp;"; risk fit: "&amp;F20&amp;". Trigger domains: "&amp;_TECH_Strategy_Library!AR15</f>
        <v>Crisis fit: 3; domain gap fit: 5; risk fit: 0. Trigger domains: Strategy GTM; Sales CRM; Marketing Comms</v>
      </c>
      <c r="O20" s="48" t="str">
        <f>_TECH_Strategy_Library!F15</f>
        <v>ICP validation, channel mix, ecommerce/digital sales, partner channels, pricing, market diversification.</v>
      </c>
      <c r="P20" s="48" t="str">
        <f>_TECH_Strategy_Library!G15</f>
        <v>CRO / CMO</v>
      </c>
      <c r="Q20" s="48" t="str">
        <f>_TECH_Strategy_Library!H15</f>
        <v>3-12 months</v>
      </c>
      <c r="R20" s="48" t="str">
        <f>_TECH_Strategy_Library!I15</f>
        <v>Pipeline diversification; channel revenue mix; win rate; customer concentration; digital lead share</v>
      </c>
      <c r="S20" s="48">
        <f>_TECH_Strategy_Library!N15</f>
        <v>4</v>
      </c>
      <c r="T20" s="48">
        <f>COUNTIF(_TECH_Initiative_Library!$D$5:$D$76,$B20)</f>
        <v>3</v>
      </c>
      <c r="U20" s="48" t="str">
        <f ca="1">IFERROR(INDEX(_TECH_Initiative_Library!$AE$5:$AE$76,MATCH($B20,_TECH_Initiative_Library!$D$5:$D$76,0)),"")</f>
        <v/>
      </c>
      <c r="V20" s="48" t="str">
        <f ca="1">IFERROR(ROUND(AVERAGEIF(_TECH_Initiative_Library!$D$5:$D$76,$B20,_TECH_Initiative_Library!$AC$5:$AC$76),2),"")</f>
        <v/>
      </c>
      <c r="W20" s="48">
        <f>IFERROR(SUMIFS(_TECH_Industry_Strategy_Fit!$D:$D,_TECH_Industry_Strategy_Fit!$A:$A,'Company Profile'!$B$9,_TECH_Industry_Strategy_Fit!$B:$B,$C20),3)</f>
        <v>3</v>
      </c>
      <c r="X20" s="48">
        <f t="shared" si="2"/>
        <v>62</v>
      </c>
      <c r="Y20" s="48">
        <f ca="1">IF($X20="","",RANK.EQ($X20,$X$10:$X$23,0)+COUNTIF($X$10:X20,$X20)-1)</f>
      </c>
      <c r="Z20" s="48" t="str">
        <f>IFERROR(INDEX(_TECH_Industry_Strategy_Fit!$E:$E,MATCH(1,INDEX((_TECH_Industry_Strategy_Fit!$A:$A='Company Profile'!$B$9)*(_TECH_Industry_Strategy_Fit!$B:$B=$C20),0),0)),"")</f>
        <v>Sales Channel Diversification Strategy receives a fit score of 3 for IT Services based on typical operating model, critical systems, crisis exposure and value-protection logic.</v>
      </c>
    </row>
    <row r="21" spans="1:26" ht="21.95" customHeight="1">
      <c r="A21" s="48">
        <f ca="1">IF($X21="","",RANK.EQ($X21,$X$10:$X$23,0)+COUNTIF($X$10:X21,$X21)-1)</f>
      </c>
      <c r="B21" s="48" t="str">
        <f>_TECH_Strategy_Library!B16</f>
        <v>Customer Retention and Revenue Protection Strategy</v>
      </c>
      <c r="C21" s="48" t="str">
        <f>_TECH_Strategy_Library!A16</f>
        <v>STR-12</v>
      </c>
      <c r="D21" s="48">
        <f>ROUND(INDEX(_TECH_Strategy_Library!$P16:$Z16,1,MATCH('Crisis Simulator'!$B$4,_TECH_Strategy_Library!$P$4:$Z$4,0))*2.5,2)</f>
        <v>2.5</v>
      </c>
      <c r="E21" s="48">
        <f>IFERROR(ROUND((_TECH_Strategy_Library!$AA$16*(5-Dashboard!$H$5)+_TECH_Strategy_Library!$AB$16*(5-Dashboard!$H$6)+_TECH_Strategy_Library!$AC$16*(5-Dashboard!$H$7)+_TECH_Strategy_Library!$AD$16*(5-Dashboard!$H$8)+_TECH_Strategy_Library!$AE$16*(5-Dashboard!$H$9)+_TECH_Strategy_Library!$AF$16*(5-Dashboard!$H$10)+_TECH_Strategy_Library!$AG$16*(5-Dashboard!$H$11)+_TECH_Strategy_Library!$AH$16*(5-Dashboard!$H$12)+_TECH_Strategy_Library!$AI$16*(5-Dashboard!$H$13)+_TECH_Strategy_Library!$AJ$16*(5-Dashboard!$H$14)+_TECH_Strategy_Library!$AK$16*(5-Dashboard!$H$15)+_TECH_Strategy_Library!$AL$16*(5-Dashboard!$H$16)+_TECH_Strategy_Library!$AM$16*(5-Dashboard!$H$17)+_TECH_Strategy_Library!$AN$16*(5-Dashboard!$H$18)+_TECH_Strategy_Library!$AO$16*(5-Dashboard!$H$19)+_TECH_Strategy_Library!$AP$16*(5-Dashboard!$H$20)+_TECH_Strategy_Library!$AQ$16*(5-Dashboard!$H$21))/(_TECH_Strategy_Library!$AA$16+_TECH_Strategy_Library!$AB$16+_TECH_Strategy_Library!$AC$16+_TECH_Strategy_Library!$AD$16+_TECH_Strategy_Library!$AE$16+_TECH_Strategy_Library!$AF$16+_TECH_Strategy_Library!$AG$16+_TECH_Strategy_Library!$AH$16+_TECH_Strategy_Library!$AI$16+_TECH_Strategy_Library!$AJ$16+_TECH_Strategy_Library!$AK$16+_TECH_Strategy_Library!$AL$16+_TECH_Strategy_Library!$AM$16+_TECH_Strategy_Library!$AN$16+_TECH_Strategy_Library!$AO$16+_TECH_Strategy_Library!$AP$16+_TECH_Strategy_Library!$AQ$16),2),0)</f>
        <v>5</v>
      </c>
      <c r="F21" s="48">
        <f>IFERROR(ROUND(MIN(5,((_TECH_Strategy_Library!$AA$16*(Dashboard!$J$5+0.7*Dashboard!$K$5)+_TECH_Strategy_Library!$AB$16*(Dashboard!$J$6+0.7*Dashboard!$K$6)+_TECH_Strategy_Library!$AC$16*(Dashboard!$J$7+0.7*Dashboard!$K$7)+_TECH_Strategy_Library!$AD$16*(Dashboard!$J$8+0.7*Dashboard!$K$8)+_TECH_Strategy_Library!$AE$16*(Dashboard!$J$9+0.7*Dashboard!$K$9)+_TECH_Strategy_Library!$AF$16*(Dashboard!$J$10+0.7*Dashboard!$K$10)+_TECH_Strategy_Library!$AG$16*(Dashboard!$J$11+0.7*Dashboard!$K$11)+_TECH_Strategy_Library!$AH$16*(Dashboard!$J$12+0.7*Dashboard!$K$12)+_TECH_Strategy_Library!$AI$16*(Dashboard!$J$13+0.7*Dashboard!$K$13)+_TECH_Strategy_Library!$AJ$16*(Dashboard!$J$14+0.7*Dashboard!$K$14)+_TECH_Strategy_Library!$AK$16*(Dashboard!$J$15+0.7*Dashboard!$K$15)+_TECH_Strategy_Library!$AL$16*(Dashboard!$J$16+0.7*Dashboard!$K$16)+_TECH_Strategy_Library!$AM$16*(Dashboard!$J$17+0.7*Dashboard!$K$17)+_TECH_Strategy_Library!$AN$16*(Dashboard!$J$18+0.7*Dashboard!$K$18)+_TECH_Strategy_Library!$AO$16*(Dashboard!$J$19+0.7*Dashboard!$K$19)+_TECH_Strategy_Library!$AP$16*(Dashboard!$J$20+0.7*Dashboard!$K$20)+_TECH_Strategy_Library!$AQ$16*(Dashboard!$J$21+0.7*Dashboard!$K$21))/(_TECH_Strategy_Library!$AA$16+_TECH_Strategy_Library!$AB$16+_TECH_Strategy_Library!$AC$16+_TECH_Strategy_Library!$AD$16+_TECH_Strategy_Library!$AE$16+_TECH_Strategy_Library!$AF$16+_TECH_Strategy_Library!$AG$16+_TECH_Strategy_Library!$AH$16+_TECH_Strategy_Library!$AI$16+_TECH_Strategy_Library!$AJ$16+_TECH_Strategy_Library!$AK$16+_TECH_Strategy_Library!$AL$16+_TECH_Strategy_Library!$AM$16+_TECH_Strategy_Library!$AN$16+_TECH_Strategy_Library!$AO$16+_TECH_Strategy_Library!$AP$16+_TECH_Strategy_Library!$AQ$16))*1.2),2),0)</f>
        <v>0</v>
      </c>
      <c r="G21" s="48">
        <f>ROUND((5-'Spider Dashboards'!$H$5)*(_TECH_Strategy_Library!K16/5),2)</f>
        <v>4</v>
      </c>
      <c r="H21" s="48">
        <f>ROUND((5-'Spider Dashboards'!$H$6)*(_TECH_Strategy_Library!L16/5),2)</f>
        <v>4</v>
      </c>
      <c r="I21" s="48">
        <f>ROUND((5-'Spider Dashboards'!$H$7)*(_TECH_Strategy_Library!M16/5),2)</f>
        <v>3</v>
      </c>
      <c r="J21" s="48">
        <f t="shared" si="0"/>
        <v>59.5</v>
      </c>
      <c r="K21" s="48" t="str">
        <f>IF(Dashboard!$R$7&gt;=0.8,"High",IF(Dashboard!$R$7&gt;=0.5,"Medium","Low - assessment incomplete"))</f>
        <v>Low - assessment incomplete</v>
      </c>
      <c r="L21" s="48">
        <f t="shared" ca="1" si="1"/>
      </c>
      <c r="M21" s="48" t="str">
        <f>_TECH_Strategy_Library!E16</f>
        <v>Customer retention, revenue visibility and forecasting improve.</v>
      </c>
      <c r="N21" s="48" t="str">
        <f>"Crisis fit: "&amp;D21&amp;"; domain gap fit: "&amp;E21&amp;"; risk fit: "&amp;F21&amp;". Trigger domains: "&amp;_TECH_Strategy_Library!AR16</f>
        <v>Crisis fit: 2.5; domain gap fit: 5; risk fit: 0. Trigger domains: Sales CRM; Marketing Comms; Strategy GTM</v>
      </c>
      <c r="O21" s="48" t="str">
        <f>_TECH_Strategy_Library!F16</f>
        <v>Customer health score, churn playbooks, account coverage, retention offers, comms scripts, revenue risk dashboard.</v>
      </c>
      <c r="P21" s="48" t="str">
        <f>_TECH_Strategy_Library!G16</f>
        <v>CRO / Customer Success Lead</v>
      </c>
      <c r="Q21" s="48" t="str">
        <f>_TECH_Strategy_Library!H16</f>
        <v>0-6 months</v>
      </c>
      <c r="R21" s="48" t="str">
        <f>_TECH_Strategy_Library!I16</f>
        <v>Churn rate; retention rate; revenue at risk; account coverage; forecast accuracy</v>
      </c>
      <c r="S21" s="48">
        <f>_TECH_Strategy_Library!N16</f>
        <v>3</v>
      </c>
      <c r="T21" s="48">
        <f>COUNTIF(_TECH_Initiative_Library!$D$5:$D$76,$B21)</f>
        <v>7</v>
      </c>
      <c r="U21" s="48" t="str">
        <f ca="1">IFERROR(INDEX(_TECH_Initiative_Library!$AE$5:$AE$76,MATCH($B21,_TECH_Initiative_Library!$D$5:$D$76,0)),"")</f>
        <v/>
      </c>
      <c r="V21" s="48" t="str">
        <f ca="1">IFERROR(ROUND(AVERAGEIF(_TECH_Initiative_Library!$D$5:$D$76,$B21,_TECH_Initiative_Library!$AC$5:$AC$76),2),"")</f>
        <v/>
      </c>
      <c r="W21" s="48">
        <f>IFERROR(SUMIFS(_TECH_Industry_Strategy_Fit!$D:$D,_TECH_Industry_Strategy_Fit!$A:$A,'Company Profile'!$B$9,_TECH_Industry_Strategy_Fit!$B:$B,$C21),3)</f>
        <v>3</v>
      </c>
      <c r="X21" s="48">
        <f t="shared" si="2"/>
        <v>59.5</v>
      </c>
      <c r="Y21" s="48">
        <f ca="1">IF($X21="","",RANK.EQ($X21,$X$10:$X$23,0)+COUNTIF($X$10:X21,$X21)-1)</f>
      </c>
      <c r="Z21" s="48" t="str">
        <f>IFERROR(INDEX(_TECH_Industry_Strategy_Fit!$E:$E,MATCH(1,INDEX((_TECH_Industry_Strategy_Fit!$A:$A='Company Profile'!$B$9)*(_TECH_Industry_Strategy_Fit!$B:$B=$C21),0),0)),"")</f>
        <v>Customer Retention and Revenue Protection Strategy receives a fit score of 3 for IT Services based on typical operating model, critical systems, crisis exposure and value-protection logic.</v>
      </c>
    </row>
    <row r="22" spans="1:26" ht="21.95" customHeight="1">
      <c r="A22" s="48">
        <f ca="1">IF($X22="","",RANK.EQ($X22,$X$10:$X$23,0)+COUNTIF($X$10:X22,$X22)-1)</f>
      </c>
      <c r="B22" s="48" t="str">
        <f>_TECH_Strategy_Library!B17</f>
        <v>Compliance and Risk Control Strategy</v>
      </c>
      <c r="C22" s="48" t="str">
        <f>_TECH_Strategy_Library!A17</f>
        <v>STR-13</v>
      </c>
      <c r="D22" s="48">
        <f>ROUND(INDEX(_TECH_Strategy_Library!$P17:$Z17,1,MATCH('Crisis Simulator'!$B$4,_TECH_Strategy_Library!$P$4:$Z$4,0))*2.5,2)</f>
        <v>2.5</v>
      </c>
      <c r="E22" s="48">
        <f>IFERROR(ROUND((_TECH_Strategy_Library!$AA$17*(5-Dashboard!$H$5)+_TECH_Strategy_Library!$AB$17*(5-Dashboard!$H$6)+_TECH_Strategy_Library!$AC$17*(5-Dashboard!$H$7)+_TECH_Strategy_Library!$AD$17*(5-Dashboard!$H$8)+_TECH_Strategy_Library!$AE$17*(5-Dashboard!$H$9)+_TECH_Strategy_Library!$AF$17*(5-Dashboard!$H$10)+_TECH_Strategy_Library!$AG$17*(5-Dashboard!$H$11)+_TECH_Strategy_Library!$AH$17*(5-Dashboard!$H$12)+_TECH_Strategy_Library!$AI$17*(5-Dashboard!$H$13)+_TECH_Strategy_Library!$AJ$17*(5-Dashboard!$H$14)+_TECH_Strategy_Library!$AK$17*(5-Dashboard!$H$15)+_TECH_Strategy_Library!$AL$17*(5-Dashboard!$H$16)+_TECH_Strategy_Library!$AM$17*(5-Dashboard!$H$17)+_TECH_Strategy_Library!$AN$17*(5-Dashboard!$H$18)+_TECH_Strategy_Library!$AO$17*(5-Dashboard!$H$19)+_TECH_Strategy_Library!$AP$17*(5-Dashboard!$H$20)+_TECH_Strategy_Library!$AQ$17*(5-Dashboard!$H$21))/(_TECH_Strategy_Library!$AA$17+_TECH_Strategy_Library!$AB$17+_TECH_Strategy_Library!$AC$17+_TECH_Strategy_Library!$AD$17+_TECH_Strategy_Library!$AE$17+_TECH_Strategy_Library!$AF$17+_TECH_Strategy_Library!$AG$17+_TECH_Strategy_Library!$AH$17+_TECH_Strategy_Library!$AI$17+_TECH_Strategy_Library!$AJ$17+_TECH_Strategy_Library!$AK$17+_TECH_Strategy_Library!$AL$17+_TECH_Strategy_Library!$AM$17+_TECH_Strategy_Library!$AN$17+_TECH_Strategy_Library!$AO$17+_TECH_Strategy_Library!$AP$17+_TECH_Strategy_Library!$AQ$17),2),0)</f>
        <v>5</v>
      </c>
      <c r="F22" s="48">
        <f>IFERROR(ROUND(MIN(5,((_TECH_Strategy_Library!$AA$17*(Dashboard!$J$5+0.7*Dashboard!$K$5)+_TECH_Strategy_Library!$AB$17*(Dashboard!$J$6+0.7*Dashboard!$K$6)+_TECH_Strategy_Library!$AC$17*(Dashboard!$J$7+0.7*Dashboard!$K$7)+_TECH_Strategy_Library!$AD$17*(Dashboard!$J$8+0.7*Dashboard!$K$8)+_TECH_Strategy_Library!$AE$17*(Dashboard!$J$9+0.7*Dashboard!$K$9)+_TECH_Strategy_Library!$AF$17*(Dashboard!$J$10+0.7*Dashboard!$K$10)+_TECH_Strategy_Library!$AG$17*(Dashboard!$J$11+0.7*Dashboard!$K$11)+_TECH_Strategy_Library!$AH$17*(Dashboard!$J$12+0.7*Dashboard!$K$12)+_TECH_Strategy_Library!$AI$17*(Dashboard!$J$13+0.7*Dashboard!$K$13)+_TECH_Strategy_Library!$AJ$17*(Dashboard!$J$14+0.7*Dashboard!$K$14)+_TECH_Strategy_Library!$AK$17*(Dashboard!$J$15+0.7*Dashboard!$K$15)+_TECH_Strategy_Library!$AL$17*(Dashboard!$J$16+0.7*Dashboard!$K$16)+_TECH_Strategy_Library!$AM$17*(Dashboard!$J$17+0.7*Dashboard!$K$17)+_TECH_Strategy_Library!$AN$17*(Dashboard!$J$18+0.7*Dashboard!$K$18)+_TECH_Strategy_Library!$AO$17*(Dashboard!$J$19+0.7*Dashboard!$K$19)+_TECH_Strategy_Library!$AP$17*(Dashboard!$J$20+0.7*Dashboard!$K$20)+_TECH_Strategy_Library!$AQ$17*(Dashboard!$J$21+0.7*Dashboard!$K$21))/(_TECH_Strategy_Library!$AA$17+_TECH_Strategy_Library!$AB$17+_TECH_Strategy_Library!$AC$17+_TECH_Strategy_Library!$AD$17+_TECH_Strategy_Library!$AE$17+_TECH_Strategy_Library!$AF$17+_TECH_Strategy_Library!$AG$17+_TECH_Strategy_Library!$AH$17+_TECH_Strategy_Library!$AI$17+_TECH_Strategy_Library!$AJ$17+_TECH_Strategy_Library!$AK$17+_TECH_Strategy_Library!$AL$17+_TECH_Strategy_Library!$AM$17+_TECH_Strategy_Library!$AN$17+_TECH_Strategy_Library!$AO$17+_TECH_Strategy_Library!$AP$17+_TECH_Strategy_Library!$AQ$17))*1.2),2),0)</f>
        <v>0</v>
      </c>
      <c r="G22" s="48">
        <f>ROUND((5-'Spider Dashboards'!$H$5)*(_TECH_Strategy_Library!K17/5),2)</f>
        <v>3</v>
      </c>
      <c r="H22" s="48">
        <f>ROUND((5-'Spider Dashboards'!$H$6)*(_TECH_Strategy_Library!L17/5),2)</f>
        <v>4</v>
      </c>
      <c r="I22" s="48">
        <f>ROUND((5-'Spider Dashboards'!$H$7)*(_TECH_Strategy_Library!M17/5),2)</f>
        <v>5</v>
      </c>
      <c r="J22" s="48">
        <f t="shared" si="0"/>
        <v>61.5</v>
      </c>
      <c r="K22" s="48" t="str">
        <f>IF(Dashboard!$R$7&gt;=0.8,"High",IF(Dashboard!$R$7&gt;=0.5,"Medium","Low - assessment incomplete"))</f>
        <v>Low - assessment incomplete</v>
      </c>
      <c r="L22" s="48">
        <f t="shared" ca="1" si="1"/>
      </c>
      <c r="M22" s="48" t="str">
        <f>_TECH_Strategy_Library!E17</f>
        <v>Compliance risk is reduced and controls become auditable.</v>
      </c>
      <c r="N22" s="48" t="str">
        <f>"Crisis fit: "&amp;D22&amp;"; domain gap fit: "&amp;E22&amp;"; risk fit: "&amp;F22&amp;". Trigger domains: "&amp;_TECH_Strategy_Library!AR17</f>
        <v>Crisis fit: 2.5; domain gap fit: 5; risk fit: 0. Trigger domains: Legal Risk; Cyber Privacy; Governance Crisis</v>
      </c>
      <c r="O22" s="48" t="str">
        <f>_TECH_Strategy_Library!F17</f>
        <v>Obligation register, risk register, compliance calendar, policy automation, audit trail, contract controls.</v>
      </c>
      <c r="P22" s="48" t="str">
        <f>_TECH_Strategy_Library!G17</f>
        <v>General Counsel / Compliance Lead</v>
      </c>
      <c r="Q22" s="48" t="str">
        <f>_TECH_Strategy_Library!H17</f>
        <v>0-9 months</v>
      </c>
      <c r="R22" s="48" t="str">
        <f>_TECH_Strategy_Library!I17</f>
        <v>Obligations mapped; control tests; audit findings; policy exceptions; risk register completeness</v>
      </c>
      <c r="S22" s="48">
        <f>_TECH_Strategy_Library!N17</f>
        <v>3</v>
      </c>
      <c r="T22" s="48">
        <f>COUNTIF(_TECH_Initiative_Library!$D$5:$D$76,$B22)</f>
        <v>6</v>
      </c>
      <c r="U22" s="48" t="str">
        <f ca="1">IFERROR(INDEX(_TECH_Initiative_Library!$AE$5:$AE$76,MATCH($B22,_TECH_Initiative_Library!$D$5:$D$76,0)),"")</f>
        <v/>
      </c>
      <c r="V22" s="48" t="str">
        <f ca="1">IFERROR(ROUND(AVERAGEIF(_TECH_Initiative_Library!$D$5:$D$76,$B22,_TECH_Initiative_Library!$AC$5:$AC$76),2),"")</f>
        <v/>
      </c>
      <c r="W22" s="48">
        <f>IFERROR(SUMIFS(_TECH_Industry_Strategy_Fit!$D:$D,_TECH_Industry_Strategy_Fit!$A:$A,'Company Profile'!$B$9,_TECH_Industry_Strategy_Fit!$B:$B,$C22),3)</f>
        <v>3</v>
      </c>
      <c r="X22" s="48">
        <f t="shared" si="2"/>
        <v>61.5</v>
      </c>
      <c r="Y22" s="48">
        <f ca="1">IF($X22="","",RANK.EQ($X22,$X$10:$X$23,0)+COUNTIF($X$10:X22,$X22)-1)</f>
      </c>
      <c r="Z22" s="48" t="str">
        <f>IFERROR(INDEX(_TECH_Industry_Strategy_Fit!$E:$E,MATCH(1,INDEX((_TECH_Industry_Strategy_Fit!$A:$A='Company Profile'!$B$9)*(_TECH_Industry_Strategy_Fit!$B:$B=$C22),0),0)),"")</f>
        <v>Compliance and Risk Control Strategy receives a fit score of 3 for IT Services based on typical operating model, critical systems, crisis exposure and value-protection logic.</v>
      </c>
    </row>
    <row r="23" spans="1:26" ht="21.95" customHeight="1">
      <c r="A23" s="48">
        <f ca="1">IF($X23="","",RANK.EQ($X23,$X$10:$X$23,0)+COUNTIF($X$10:X23,$X23)-1)</f>
      </c>
      <c r="B23" s="48" t="str">
        <f>_TECH_Strategy_Library!B18</f>
        <v>Governance and Decision-Speed Strategy</v>
      </c>
      <c r="C23" s="48" t="str">
        <f>_TECH_Strategy_Library!A18</f>
        <v>STR-14</v>
      </c>
      <c r="D23" s="48">
        <f>ROUND(INDEX(_TECH_Strategy_Library!$P18:$Z18,1,MATCH('Crisis Simulator'!$B$4,_TECH_Strategy_Library!$P$4:$Z$4,0))*2.5,2)</f>
        <v>3.75</v>
      </c>
      <c r="E23" s="48">
        <f>IFERROR(ROUND((_TECH_Strategy_Library!$AA$18*(5-Dashboard!$H$5)+_TECH_Strategy_Library!$AB$18*(5-Dashboard!$H$6)+_TECH_Strategy_Library!$AC$18*(5-Dashboard!$H$7)+_TECH_Strategy_Library!$AD$18*(5-Dashboard!$H$8)+_TECH_Strategy_Library!$AE$18*(5-Dashboard!$H$9)+_TECH_Strategy_Library!$AF$18*(5-Dashboard!$H$10)+_TECH_Strategy_Library!$AG$18*(5-Dashboard!$H$11)+_TECH_Strategy_Library!$AH$18*(5-Dashboard!$H$12)+_TECH_Strategy_Library!$AI$18*(5-Dashboard!$H$13)+_TECH_Strategy_Library!$AJ$18*(5-Dashboard!$H$14)+_TECH_Strategy_Library!$AK$18*(5-Dashboard!$H$15)+_TECH_Strategy_Library!$AL$18*(5-Dashboard!$H$16)+_TECH_Strategy_Library!$AM$18*(5-Dashboard!$H$17)+_TECH_Strategy_Library!$AN$18*(5-Dashboard!$H$18)+_TECH_Strategy_Library!$AO$18*(5-Dashboard!$H$19)+_TECH_Strategy_Library!$AP$18*(5-Dashboard!$H$20)+_TECH_Strategy_Library!$AQ$18*(5-Dashboard!$H$21))/(_TECH_Strategy_Library!$AA$18+_TECH_Strategy_Library!$AB$18+_TECH_Strategy_Library!$AC$18+_TECH_Strategy_Library!$AD$18+_TECH_Strategy_Library!$AE$18+_TECH_Strategy_Library!$AF$18+_TECH_Strategy_Library!$AG$18+_TECH_Strategy_Library!$AH$18+_TECH_Strategy_Library!$AI$18+_TECH_Strategy_Library!$AJ$18+_TECH_Strategy_Library!$AK$18+_TECH_Strategy_Library!$AL$18+_TECH_Strategy_Library!$AM$18+_TECH_Strategy_Library!$AN$18+_TECH_Strategy_Library!$AO$18+_TECH_Strategy_Library!$AP$18+_TECH_Strategy_Library!$AQ$18),2),0)</f>
        <v>5</v>
      </c>
      <c r="F23" s="48">
        <f>IFERROR(ROUND(MIN(5,((_TECH_Strategy_Library!$AA$18*(Dashboard!$J$5+0.7*Dashboard!$K$5)+_TECH_Strategy_Library!$AB$18*(Dashboard!$J$6+0.7*Dashboard!$K$6)+_TECH_Strategy_Library!$AC$18*(Dashboard!$J$7+0.7*Dashboard!$K$7)+_TECH_Strategy_Library!$AD$18*(Dashboard!$J$8+0.7*Dashboard!$K$8)+_TECH_Strategy_Library!$AE$18*(Dashboard!$J$9+0.7*Dashboard!$K$9)+_TECH_Strategy_Library!$AF$18*(Dashboard!$J$10+0.7*Dashboard!$K$10)+_TECH_Strategy_Library!$AG$18*(Dashboard!$J$11+0.7*Dashboard!$K$11)+_TECH_Strategy_Library!$AH$18*(Dashboard!$J$12+0.7*Dashboard!$K$12)+_TECH_Strategy_Library!$AI$18*(Dashboard!$J$13+0.7*Dashboard!$K$13)+_TECH_Strategy_Library!$AJ$18*(Dashboard!$J$14+0.7*Dashboard!$K$14)+_TECH_Strategy_Library!$AK$18*(Dashboard!$J$15+0.7*Dashboard!$K$15)+_TECH_Strategy_Library!$AL$18*(Dashboard!$J$16+0.7*Dashboard!$K$16)+_TECH_Strategy_Library!$AM$18*(Dashboard!$J$17+0.7*Dashboard!$K$17)+_TECH_Strategy_Library!$AN$18*(Dashboard!$J$18+0.7*Dashboard!$K$18)+_TECH_Strategy_Library!$AO$18*(Dashboard!$J$19+0.7*Dashboard!$K$19)+_TECH_Strategy_Library!$AP$18*(Dashboard!$J$20+0.7*Dashboard!$K$20)+_TECH_Strategy_Library!$AQ$18*(Dashboard!$J$21+0.7*Dashboard!$K$21))/(_TECH_Strategy_Library!$AA$18+_TECH_Strategy_Library!$AB$18+_TECH_Strategy_Library!$AC$18+_TECH_Strategy_Library!$AD$18+_TECH_Strategy_Library!$AE$18+_TECH_Strategy_Library!$AF$18+_TECH_Strategy_Library!$AG$18+_TECH_Strategy_Library!$AH$18+_TECH_Strategy_Library!$AI$18+_TECH_Strategy_Library!$AJ$18+_TECH_Strategy_Library!$AK$18+_TECH_Strategy_Library!$AL$18+_TECH_Strategy_Library!$AM$18+_TECH_Strategy_Library!$AN$18+_TECH_Strategy_Library!$AO$18+_TECH_Strategy_Library!$AP$18+_TECH_Strategy_Library!$AQ$18))*1.2),2),0)</f>
        <v>0</v>
      </c>
      <c r="G23" s="48">
        <f>ROUND((5-'Spider Dashboards'!$H$5)*(_TECH_Strategy_Library!K18/5),2)</f>
        <v>2</v>
      </c>
      <c r="H23" s="48">
        <f>ROUND((5-'Spider Dashboards'!$H$6)*(_TECH_Strategy_Library!L18/5),2)</f>
        <v>4</v>
      </c>
      <c r="I23" s="48">
        <f>ROUND((5-'Spider Dashboards'!$H$7)*(_TECH_Strategy_Library!M18/5),2)</f>
        <v>5</v>
      </c>
      <c r="J23" s="48">
        <f t="shared" si="0"/>
        <v>65.8</v>
      </c>
      <c r="K23" s="48" t="str">
        <f>IF(Dashboard!$R$7&gt;=0.8,"High",IF(Dashboard!$R$7&gt;=0.5,"Medium","Low - assessment incomplete"))</f>
        <v>Low - assessment incomplete</v>
      </c>
      <c r="L23" s="48">
        <f t="shared" ca="1" si="1"/>
      </c>
      <c r="M23" s="48" t="str">
        <f>_TECH_Strategy_Library!E18</f>
        <v>Management decisions become faster, clearer and better aligned to risk and value.</v>
      </c>
      <c r="N23" s="48" t="str">
        <f>"Crisis fit: "&amp;D23&amp;"; domain gap fit: "&amp;E23&amp;"; risk fit: "&amp;F23&amp;". Trigger domains: "&amp;_TECH_Strategy_Library!AR18</f>
        <v>Crisis fit: 3.75; domain gap fit: 5; risk fit: 0. Trigger domains: Governance Crisis; Quality Portfolio</v>
      </c>
      <c r="O23" s="48" t="str">
        <f>_TECH_Strategy_Library!F18</f>
        <v>RACI, decision rights, RAPID, crisis board, portfolio steering, KPI cadence, escalation triggers.</v>
      </c>
      <c r="P23" s="48" t="str">
        <f>_TECH_Strategy_Library!G18</f>
        <v>CEO / COO</v>
      </c>
      <c r="Q23" s="48" t="str">
        <f>_TECH_Strategy_Library!H18</f>
        <v>0-3 months</v>
      </c>
      <c r="R23" s="48" t="str">
        <f>_TECH_Strategy_Library!I18</f>
        <v>Decision cycle time; owner coverage; escalation SLA; portfolio focus; action closure rate</v>
      </c>
      <c r="S23" s="48">
        <f>_TECH_Strategy_Library!N18</f>
        <v>2</v>
      </c>
      <c r="T23" s="48">
        <f>COUNTIF(_TECH_Initiative_Library!$D$5:$D$76,$B23)</f>
        <v>5</v>
      </c>
      <c r="U23" s="48" t="str">
        <f ca="1">IFERROR(INDEX(_TECH_Initiative_Library!$AE$5:$AE$76,MATCH($B23,_TECH_Initiative_Library!$D$5:$D$76,0)),"")</f>
        <v/>
      </c>
      <c r="V23" s="48" t="str">
        <f ca="1">IFERROR(ROUND(AVERAGEIF(_TECH_Initiative_Library!$D$5:$D$76,$B23,_TECH_Initiative_Library!$AC$5:$AC$76),2),"")</f>
        <v/>
      </c>
      <c r="W23" s="48">
        <f>IFERROR(SUMIFS(_TECH_Industry_Strategy_Fit!$D:$D,_TECH_Industry_Strategy_Fit!$A:$A,'Company Profile'!$B$9,_TECH_Industry_Strategy_Fit!$B:$B,$C23),3)</f>
        <v>3</v>
      </c>
      <c r="X23" s="48">
        <f t="shared" si="2"/>
        <v>65.8</v>
      </c>
      <c r="Y23" s="48">
        <f ca="1">IF($X23="","",RANK.EQ($X23,$X$10:$X$23,0)+COUNTIF($X$10:X23,$X23)-1)</f>
      </c>
      <c r="Z23" s="48" t="str">
        <f>IFERROR(INDEX(_TECH_Industry_Strategy_Fit!$E:$E,MATCH(1,INDEX((_TECH_Industry_Strategy_Fit!$A:$A='Company Profile'!$B$9)*(_TECH_Industry_Strategy_Fit!$B:$B=$C23),0),0)),"")</f>
        <v>Governance and Decision-Speed Strategy receives a fit score of 3 for IT Services based on typical operating model, critical systems, crisis exposure and value-protection logic.</v>
      </c>
    </row>
    <row r="24" spans="1:26" ht="21.95" customHeight="1"/>
    <row r="25" spans="1:26" ht="21.95" customHeight="1"/>
    <row r="26" spans="1:26" ht="21.95" customHeight="1">
      <c r="A26" s="186" t="s">
        <v>741</v>
      </c>
      <c r="B26" s="158"/>
      <c r="C26" s="158"/>
      <c r="D26" s="158"/>
      <c r="E26" s="158"/>
      <c r="F26" s="158"/>
    </row>
    <row r="27" spans="1:26" ht="21.95" customHeight="1">
      <c r="A27" s="45" t="s">
        <v>88</v>
      </c>
      <c r="B27" s="189" t="s">
        <v>742</v>
      </c>
      <c r="C27" s="166"/>
      <c r="D27" s="166"/>
      <c r="E27" s="166"/>
      <c r="F27" s="163"/>
    </row>
    <row r="28" spans="1:26" ht="21.95" customHeight="1">
      <c r="A28" s="45" t="s">
        <v>743</v>
      </c>
      <c r="B28" s="189" t="s">
        <v>744</v>
      </c>
      <c r="C28" s="166"/>
      <c r="D28" s="166"/>
      <c r="E28" s="166"/>
      <c r="F28" s="163"/>
    </row>
    <row r="29" spans="1:26" ht="21.95" customHeight="1">
      <c r="A29" s="45" t="s">
        <v>745</v>
      </c>
      <c r="B29" s="189" t="s">
        <v>746</v>
      </c>
      <c r="C29" s="166"/>
      <c r="D29" s="166"/>
      <c r="E29" s="166"/>
      <c r="F29" s="163"/>
    </row>
    <row r="30" spans="1:26" ht="21.95" customHeight="1">
      <c r="A30" s="45" t="s">
        <v>726</v>
      </c>
      <c r="B30" s="189" t="s">
        <v>747</v>
      </c>
      <c r="C30" s="166"/>
      <c r="D30" s="166"/>
      <c r="E30" s="166"/>
      <c r="F30" s="163"/>
    </row>
  </sheetData>
  <autoFilter ref="A9:S23" ns2:uid="{00000000-0009-0000-0000-00000A000000}"/>
  <mergeCells count="7">
    <mergeCell ref="B30:F30"/>
    <mergeCell ref="B29:F29"/>
    <mergeCell ref="A2:R2"/>
    <mergeCell ref="B28:F28"/>
    <mergeCell ref="A1:R1"/>
    <mergeCell ref="A26:F26"/>
    <mergeCell ref="B27:F27"/>
  </mergeCells>
  <conditionalFormatting sqref="J10:J23">
    <cfRule type="cellIs" dxfId="101" priority="1" operator="greaterThanOrEqual">
      <formula>75</formula>
    </cfRule>
    <cfRule type="cellIs" dxfId="100" priority="2" operator="between">
      <formula>50</formula>
      <formula>74.99</formula>
    </cfRule>
    <cfRule type="cellIs" dxfId="99" priority="3" operator="lessThan">
      <formula>50</formula>
    </cfRule>
  </conditionalFormatting>
  <conditionalFormatting sqref="L10:L23">
    <cfRule type="cellIs" dxfId="98" priority="4" operator="equal">
      <formula>"Primary"</formula>
    </cfRule>
    <cfRule type="cellIs" dxfId="97" priority="5" operator="equal">
      <formula>"Supporting"</formula>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drawing r:id="rId1"/>
</worksheet>
</file>

<file path=xl/worksheets/sheet12.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B00-000000000000}">
  <sheetPr>
    <tabColor rgb="FF548235"/>
  </sheetPr>
  <dimension ref="A1:V118"/>
  <sheetViews>
    <sheetView workbookViewId="0">
      <pane ySplit="9" topLeftCell="A10" activePane="bottomLeft" state="frozen"/>
      <selection pane="bottomLeft"/>
    </sheetView>
  </sheetViews>
  <sheetFormatPr defaultRowHeight="14.25"/>
  <cols>
    <col min="1" max="1" width="8" customWidth="1"/>
    <col min="2" max="2" width="12" customWidth="1"/>
    <col min="3" max="3" width="34" customWidth="1"/>
    <col min="4" max="4" width="18" customWidth="1"/>
    <col min="5" max="5" width="22" customWidth="1"/>
    <col min="6" max="6" width="28" customWidth="1"/>
    <col min="7" max="7" width="14" customWidth="1"/>
    <col min="8" max="8" width="10" customWidth="1"/>
    <col min="9" max="9" width="12" customWidth="1"/>
    <col min="10" max="10" width="13" customWidth="1"/>
    <col min="11" max="11" width="12" customWidth="1"/>
    <col min="12" max="12" width="16" customWidth="1"/>
    <col min="13" max="13" width="12" customWidth="1"/>
    <col min="14" max="14" width="20" customWidth="1"/>
    <col min="15" max="15" width="16" customWidth="1"/>
    <col min="16" max="16" width="22" customWidth="1"/>
    <col min="17" max="17" width="16" customWidth="1"/>
    <col min="18" max="18" width="24" customWidth="1"/>
    <col min="19" max="21" width="14" customWidth="1"/>
    <col min="22" max="22" width="24" customWidth="1"/>
  </cols>
  <sheetData>
    <row r="1" spans="1:17" ht="27.95" customHeight="1">
      <c r="A1" s="191" t="s">
        <v>748</v>
      </c>
      <c r="B1" s="158"/>
      <c r="C1" s="158"/>
      <c r="D1" s="158"/>
      <c r="E1" s="158"/>
      <c r="F1" s="158"/>
      <c r="G1" s="158"/>
      <c r="H1" s="158"/>
      <c r="I1" s="158"/>
      <c r="J1" s="158"/>
      <c r="K1" s="158"/>
      <c r="L1" s="158"/>
      <c r="M1" s="158"/>
      <c r="N1" s="158"/>
      <c r="O1" s="158"/>
      <c r="P1" s="158"/>
      <c r="Q1" s="158"/>
    </row>
    <row r="2" spans="1:17" ht="27.95" customHeight="1">
      <c r="A2" s="190" t="s">
        <v>749</v>
      </c>
      <c r="B2" s="158"/>
      <c r="C2" s="158"/>
      <c r="D2" s="158"/>
      <c r="E2" s="158"/>
      <c r="F2" s="158"/>
      <c r="G2" s="158"/>
      <c r="H2" s="158"/>
      <c r="I2" s="158"/>
      <c r="J2" s="158"/>
      <c r="K2" s="158"/>
      <c r="L2" s="158"/>
      <c r="M2" s="158"/>
      <c r="N2" s="158"/>
      <c r="O2" s="158"/>
      <c r="P2" s="158"/>
      <c r="Q2" s="158"/>
    </row>
    <row r="4" spans="1:17" ht="27.95" customHeight="1">
      <c r="A4" s="51" t="s">
        <v>140</v>
      </c>
      <c r="B4" s="51" t="s">
        <v>178</v>
      </c>
      <c r="C4" s="51" t="s">
        <v>88</v>
      </c>
      <c r="D4" s="51" t="s">
        <v>750</v>
      </c>
      <c r="E4" s="51" t="s">
        <v>751</v>
      </c>
      <c r="F4" s="51" t="s">
        <v>752</v>
      </c>
      <c r="G4" s="51" t="s">
        <v>146</v>
      </c>
      <c r="H4" s="51" t="s">
        <v>753</v>
      </c>
      <c r="I4" s="51" t="s">
        <v>754</v>
      </c>
      <c r="J4" s="51" t="s">
        <v>755</v>
      </c>
      <c r="K4" s="51" t="s">
        <v>756</v>
      </c>
    </row>
    <row r="5" spans="1:17" ht="15">
      <c r="A5" s="53" t="str">
        <f>'Crisis Simulator'!$B$4</f>
        <v>War / security crisis</v>
      </c>
      <c r="B5" s="53">
        <f>'Crisis Simulator'!$B$5</f>
        <v>3</v>
      </c>
      <c r="C5" s="53" t="str">
        <f ca="1">'Strategy Selection'!$B$6</f>
        <v/>
      </c>
      <c r="D5" s="53">
        <f>COUNTA(_TECH_Initiative_Library!$A$5:$A$76)</f>
        <v>72</v>
      </c>
      <c r="E5" s="53">
        <f ca="1">COUNTIFS(_TECH_Initiative_Library!$AU$5:$AU$76,"&lt;=55")</f>
        <v>0</v>
      </c>
      <c r="F5" s="53" t="str">
        <f ca="1">IFERROR(ROUND(AVERAGE(_TECH_Initiative_Library!$AT$5:$AT$76),2),"")</f>
        <v/>
      </c>
      <c r="G5" s="53" t="str">
        <f ca="1">IFERROR(MAX(_TECH_Initiative_Library!$AT$5:$AT$76),"")</f>
        <v/>
      </c>
      <c r="H5" s="54">
        <f ca="1">COUNTIF(_TECH_Initiative_Library!$AE$5:$AE$76,"0-90 days")</f>
        <v>0</v>
      </c>
      <c r="I5" s="53">
        <f ca="1">COUNTIF(_TECH_Initiative_Library!$AE$5:$AE$76,"3-6 months")</f>
        <v>0</v>
      </c>
      <c r="J5" s="53">
        <f ca="1">COUNTIF(_TECH_Initiative_Library!$AE$5:$AE$76,"6-12 months")</f>
        <v>0</v>
      </c>
      <c r="K5" s="53">
        <f ca="1">COUNTIF(_TECH_Initiative_Library!$AE$5:$AE$76,"12+ months")</f>
        <v>0</v>
      </c>
      <c r="P5" s="11"/>
      <c r="Q5" s="11"/>
    </row>
    <row r="6" spans="1:17">
      <c r="H6" s="11"/>
      <c r="P6" s="11"/>
      <c r="Q6" s="11"/>
    </row>
    <row r="7" spans="1:17">
      <c r="H7" s="11"/>
      <c r="P7" s="11"/>
      <c r="Q7" s="11"/>
    </row>
    <row r="8" spans="1:17" ht="27.95" customHeight="1">
      <c r="A8" s="159" t="s">
        <v>757</v>
      </c>
      <c r="B8" s="158"/>
      <c r="C8" s="158"/>
      <c r="D8" s="158"/>
      <c r="E8" s="158"/>
      <c r="F8" s="158"/>
      <c r="G8" s="158"/>
      <c r="H8" s="158"/>
      <c r="I8" s="158"/>
      <c r="J8" s="158"/>
      <c r="K8" s="158"/>
      <c r="L8" s="158"/>
      <c r="M8" s="158"/>
      <c r="N8" s="158"/>
      <c r="O8" s="158"/>
      <c r="P8" s="158"/>
      <c r="Q8" s="158"/>
    </row>
    <row r="9" spans="1:17" ht="27.95" customHeight="1">
      <c r="A9" s="51" t="s">
        <v>196</v>
      </c>
      <c r="B9" s="51" t="s">
        <v>758</v>
      </c>
      <c r="C9" s="51" t="s">
        <v>197</v>
      </c>
      <c r="D9" s="51" t="s">
        <v>36</v>
      </c>
      <c r="E9" s="51" t="s">
        <v>759</v>
      </c>
      <c r="F9" s="51" t="s">
        <v>717</v>
      </c>
      <c r="G9" s="51" t="s">
        <v>760</v>
      </c>
      <c r="H9" s="55" t="s">
        <v>329</v>
      </c>
      <c r="I9" s="51" t="s">
        <v>761</v>
      </c>
      <c r="J9" s="51" t="s">
        <v>762</v>
      </c>
      <c r="K9" s="51" t="s">
        <v>763</v>
      </c>
      <c r="L9" s="51" t="s">
        <v>764</v>
      </c>
      <c r="M9" s="51" t="s">
        <v>765</v>
      </c>
      <c r="N9" s="51" t="s">
        <v>766</v>
      </c>
      <c r="O9" s="51" t="s">
        <v>767</v>
      </c>
      <c r="P9" s="55" t="s">
        <v>768</v>
      </c>
      <c r="Q9" s="55" t="s">
        <v>769</v>
      </c>
    </row>
    <row r="10" spans="1:17" ht="51.95" customHeight="1">
      <c r="A10" s="52">
        <f>IFERROR(ROWS($A$10:A10),"")</f>
        <v>1</v>
      </c>
      <c r="B10" s="52" t="str">
        <f ca="1">IFERROR(INDEX(_TECH_Initiative_Library!$A$5:$A$76,MATCH(ROWS($A$10:A10),_TECH_Initiative_Library!$AU$5:$AU$76,0)),"")</f>
        <v/>
      </c>
      <c r="C10" s="52" t="str">
        <f ca="1">IFERROR(INDEX(_TECH_Initiative_Library!$F$5:$F$76,MATCH(ROWS($A$10:A10),_TECH_Initiative_Library!$AU$5:$AU$76,0)),"")</f>
        <v/>
      </c>
      <c r="D10" s="52" t="str">
        <f ca="1">IFERROR(INDEX(_TECH_Initiative_Library!$B$5:$B$76,MATCH(ROWS($A$10:A10),_TECH_Initiative_Library!$AU$5:$AU$76,0)),"")</f>
        <v/>
      </c>
      <c r="E10" s="52" t="str">
        <f ca="1">IFERROR(INDEX(_TECH_Initiative_Library!$C$5:$C$76,MATCH(ROWS($A$10:A10),_TECH_Initiative_Library!$AU$5:$AU$76,0)),"")</f>
        <v/>
      </c>
      <c r="F10" s="52" t="str">
        <f ca="1">IFERROR(INDEX(_TECH_Initiative_Library!$D$5:$D$76,MATCH(ROWS($A$10:A10),_TECH_Initiative_Library!$AU$5:$AU$76,0)),"")</f>
        <v/>
      </c>
      <c r="G10" s="52" t="str">
        <f ca="1">IFERROR(INDEX(_TECH_Initiative_Library!$AE$5:$AE$76,MATCH(ROWS($A$10:A10),_TECH_Initiative_Library!$AU$5:$AU$76,0)),"")</f>
        <v/>
      </c>
      <c r="H10" s="56" t="str">
        <f ca="1">IFERROR(INDEX(_TECH_Initiative_Library!$AT$5:$AT$76,MATCH(ROWS($A$10:A10),_TECH_Initiative_Library!$AU$5:$AU$76,0)),"")</f>
        <v/>
      </c>
      <c r="I10" s="52" t="str">
        <f ca="1">IFERROR(INDEX(_TECH_Initiative_Library!$X$5:$X$76,MATCH(ROWS($A$10:A10),_TECH_Initiative_Library!$AU$5:$AU$76,0)),"")</f>
        <v/>
      </c>
      <c r="J10" s="52" t="str">
        <f ca="1">IFERROR(INDEX(_TECH_Initiative_Library!$Y$5:$Y$76,MATCH(ROWS($A$10:A10),_TECH_Initiative_Library!$AU$5:$AU$76,0)),"")</f>
        <v/>
      </c>
      <c r="K10" s="52" t="str">
        <f ca="1">IFERROR(INDEX(_TECH_Initiative_Library!$Z$5:$Z$76,MATCH(ROWS($A$10:A10),_TECH_Initiative_Library!$AU$5:$AU$76,0)),"")</f>
        <v/>
      </c>
      <c r="L10" s="52" t="str">
        <f ca="1">IFERROR(INDEX(_TECH_Initiative_Library!$AA$5:$AA$76,MATCH(ROWS($A$10:A10),_TECH_Initiative_Library!$AU$5:$AU$76,0)),"")</f>
        <v/>
      </c>
      <c r="M10" s="52" t="str">
        <f ca="1">IFERROR(INDEX(_TECH_Initiative_Library!$AB$5:$AB$76,MATCH(ROWS($A$10:A10),_TECH_Initiative_Library!$AU$5:$AU$76,0)),"")</f>
        <v/>
      </c>
      <c r="N10" s="52" t="str">
        <f ca="1">IFERROR(INDEX(_TECH_Initiative_Library!$AF$5:$AF$76,MATCH(ROWS($A$10:A10),_TECH_Initiative_Library!$AU$5:$AU$76,0)),"")</f>
        <v/>
      </c>
      <c r="O10" s="52" t="str">
        <f ca="1">IFERROR(INDEX(_TECH_Initiative_Library!$AG$5:$AG$76,MATCH(ROWS($A$10:A10),_TECH_Initiative_Library!$AU$5:$AU$76,0)),"")</f>
        <v/>
      </c>
      <c r="P10" s="56" t="str">
        <f ca="1">IFERROR(INDEX(_TECH_Initiative_Library!$AI$5:$AI$76,MATCH(ROWS($A$10:A10),_TECH_Initiative_Library!$AU$5:$AU$76,0)),"")</f>
        <v/>
      </c>
      <c r="Q10" s="56" t="str">
        <f ca="1">IFERROR(INDEX(_TECH_Initiative_Library!$G$5:$G$76,MATCH(ROWS($A$10:A10),_TECH_Initiative_Library!$AU$5:$AU$76,0)),"")</f>
        <v/>
      </c>
    </row>
    <row r="11" spans="1:17" ht="51.95" customHeight="1">
      <c r="A11" s="52">
        <f>IFERROR(ROWS($A$10:A11),"")</f>
        <v>2</v>
      </c>
      <c r="B11" s="52" t="str">
        <f ca="1">IFERROR(INDEX(_TECH_Initiative_Library!$A$5:$A$76,MATCH(ROWS($A$10:A11),_TECH_Initiative_Library!$AU$5:$AU$76,0)),"")</f>
        <v/>
      </c>
      <c r="C11" s="52" t="str">
        <f ca="1">IFERROR(INDEX(_TECH_Initiative_Library!$F$5:$F$76,MATCH(ROWS($A$10:A11),_TECH_Initiative_Library!$AU$5:$AU$76,0)),"")</f>
        <v/>
      </c>
      <c r="D11" s="52" t="str">
        <f ca="1">IFERROR(INDEX(_TECH_Initiative_Library!$B$5:$B$76,MATCH(ROWS($A$10:A11),_TECH_Initiative_Library!$AU$5:$AU$76,0)),"")</f>
        <v/>
      </c>
      <c r="E11" s="52" t="str">
        <f ca="1">IFERROR(INDEX(_TECH_Initiative_Library!$C$5:$C$76,MATCH(ROWS($A$10:A11),_TECH_Initiative_Library!$AU$5:$AU$76,0)),"")</f>
        <v/>
      </c>
      <c r="F11" s="52" t="str">
        <f ca="1">IFERROR(INDEX(_TECH_Initiative_Library!$D$5:$D$76,MATCH(ROWS($A$10:A11),_TECH_Initiative_Library!$AU$5:$AU$76,0)),"")</f>
        <v/>
      </c>
      <c r="G11" s="52" t="str">
        <f ca="1">IFERROR(INDEX(_TECH_Initiative_Library!$AE$5:$AE$76,MATCH(ROWS($A$10:A11),_TECH_Initiative_Library!$AU$5:$AU$76,0)),"")</f>
        <v/>
      </c>
      <c r="H11" s="56" t="str">
        <f ca="1">IFERROR(INDEX(_TECH_Initiative_Library!$AT$5:$AT$76,MATCH(ROWS($A$10:A11),_TECH_Initiative_Library!$AU$5:$AU$76,0)),"")</f>
        <v/>
      </c>
      <c r="I11" s="52" t="str">
        <f ca="1">IFERROR(INDEX(_TECH_Initiative_Library!$X$5:$X$76,MATCH(ROWS($A$10:A11),_TECH_Initiative_Library!$AU$5:$AU$76,0)),"")</f>
        <v/>
      </c>
      <c r="J11" s="52" t="str">
        <f ca="1">IFERROR(INDEX(_TECH_Initiative_Library!$Y$5:$Y$76,MATCH(ROWS($A$10:A11),_TECH_Initiative_Library!$AU$5:$AU$76,0)),"")</f>
        <v/>
      </c>
      <c r="K11" s="52" t="str">
        <f ca="1">IFERROR(INDEX(_TECH_Initiative_Library!$Z$5:$Z$76,MATCH(ROWS($A$10:A11),_TECH_Initiative_Library!$AU$5:$AU$76,0)),"")</f>
        <v/>
      </c>
      <c r="L11" s="52" t="str">
        <f ca="1">IFERROR(INDEX(_TECH_Initiative_Library!$AA$5:$AA$76,MATCH(ROWS($A$10:A11),_TECH_Initiative_Library!$AU$5:$AU$76,0)),"")</f>
        <v/>
      </c>
      <c r="M11" s="52" t="str">
        <f ca="1">IFERROR(INDEX(_TECH_Initiative_Library!$AB$5:$AB$76,MATCH(ROWS($A$10:A11),_TECH_Initiative_Library!$AU$5:$AU$76,0)),"")</f>
        <v/>
      </c>
      <c r="N11" s="52" t="str">
        <f ca="1">IFERROR(INDEX(_TECH_Initiative_Library!$AF$5:$AF$76,MATCH(ROWS($A$10:A11),_TECH_Initiative_Library!$AU$5:$AU$76,0)),"")</f>
        <v/>
      </c>
      <c r="O11" s="52" t="str">
        <f ca="1">IFERROR(INDEX(_TECH_Initiative_Library!$AG$5:$AG$76,MATCH(ROWS($A$10:A11),_TECH_Initiative_Library!$AU$5:$AU$76,0)),"")</f>
        <v/>
      </c>
      <c r="P11" s="56" t="str">
        <f ca="1">IFERROR(INDEX(_TECH_Initiative_Library!$AI$5:$AI$76,MATCH(ROWS($A$10:A11),_TECH_Initiative_Library!$AU$5:$AU$76,0)),"")</f>
        <v/>
      </c>
      <c r="Q11" s="56" t="str">
        <f ca="1">IFERROR(INDEX(_TECH_Initiative_Library!$G$5:$G$76,MATCH(ROWS($A$10:A11),_TECH_Initiative_Library!$AU$5:$AU$76,0)),"")</f>
        <v/>
      </c>
    </row>
    <row r="12" spans="1:17" ht="51.95" customHeight="1">
      <c r="A12" s="52">
        <f>IFERROR(ROWS($A$10:A12),"")</f>
        <v>3</v>
      </c>
      <c r="B12" s="52" t="str">
        <f ca="1">IFERROR(INDEX(_TECH_Initiative_Library!$A$5:$A$76,MATCH(ROWS($A$10:A12),_TECH_Initiative_Library!$AU$5:$AU$76,0)),"")</f>
        <v/>
      </c>
      <c r="C12" s="52" t="str">
        <f ca="1">IFERROR(INDEX(_TECH_Initiative_Library!$F$5:$F$76,MATCH(ROWS($A$10:A12),_TECH_Initiative_Library!$AU$5:$AU$76,0)),"")</f>
        <v/>
      </c>
      <c r="D12" s="52" t="str">
        <f ca="1">IFERROR(INDEX(_TECH_Initiative_Library!$B$5:$B$76,MATCH(ROWS($A$10:A12),_TECH_Initiative_Library!$AU$5:$AU$76,0)),"")</f>
        <v/>
      </c>
      <c r="E12" s="52" t="str">
        <f ca="1">IFERROR(INDEX(_TECH_Initiative_Library!$C$5:$C$76,MATCH(ROWS($A$10:A12),_TECH_Initiative_Library!$AU$5:$AU$76,0)),"")</f>
        <v/>
      </c>
      <c r="F12" s="52" t="str">
        <f ca="1">IFERROR(INDEX(_TECH_Initiative_Library!$D$5:$D$76,MATCH(ROWS($A$10:A12),_TECH_Initiative_Library!$AU$5:$AU$76,0)),"")</f>
        <v/>
      </c>
      <c r="G12" s="52" t="str">
        <f ca="1">IFERROR(INDEX(_TECH_Initiative_Library!$AE$5:$AE$76,MATCH(ROWS($A$10:A12),_TECH_Initiative_Library!$AU$5:$AU$76,0)),"")</f>
        <v/>
      </c>
      <c r="H12" s="56" t="str">
        <f ca="1">IFERROR(INDEX(_TECH_Initiative_Library!$AT$5:$AT$76,MATCH(ROWS($A$10:A12),_TECH_Initiative_Library!$AU$5:$AU$76,0)),"")</f>
        <v/>
      </c>
      <c r="I12" s="52" t="str">
        <f ca="1">IFERROR(INDEX(_TECH_Initiative_Library!$X$5:$X$76,MATCH(ROWS($A$10:A12),_TECH_Initiative_Library!$AU$5:$AU$76,0)),"")</f>
        <v/>
      </c>
      <c r="J12" s="52" t="str">
        <f ca="1">IFERROR(INDEX(_TECH_Initiative_Library!$Y$5:$Y$76,MATCH(ROWS($A$10:A12),_TECH_Initiative_Library!$AU$5:$AU$76,0)),"")</f>
        <v/>
      </c>
      <c r="K12" s="52" t="str">
        <f ca="1">IFERROR(INDEX(_TECH_Initiative_Library!$Z$5:$Z$76,MATCH(ROWS($A$10:A12),_TECH_Initiative_Library!$AU$5:$AU$76,0)),"")</f>
        <v/>
      </c>
      <c r="L12" s="52" t="str">
        <f ca="1">IFERROR(INDEX(_TECH_Initiative_Library!$AA$5:$AA$76,MATCH(ROWS($A$10:A12),_TECH_Initiative_Library!$AU$5:$AU$76,0)),"")</f>
        <v/>
      </c>
      <c r="M12" s="52" t="str">
        <f ca="1">IFERROR(INDEX(_TECH_Initiative_Library!$AB$5:$AB$76,MATCH(ROWS($A$10:A12),_TECH_Initiative_Library!$AU$5:$AU$76,0)),"")</f>
        <v/>
      </c>
      <c r="N12" s="52" t="str">
        <f ca="1">IFERROR(INDEX(_TECH_Initiative_Library!$AF$5:$AF$76,MATCH(ROWS($A$10:A12),_TECH_Initiative_Library!$AU$5:$AU$76,0)),"")</f>
        <v/>
      </c>
      <c r="O12" s="52" t="str">
        <f ca="1">IFERROR(INDEX(_TECH_Initiative_Library!$AG$5:$AG$76,MATCH(ROWS($A$10:A12),_TECH_Initiative_Library!$AU$5:$AU$76,0)),"")</f>
        <v/>
      </c>
      <c r="P12" s="56" t="str">
        <f ca="1">IFERROR(INDEX(_TECH_Initiative_Library!$AI$5:$AI$76,MATCH(ROWS($A$10:A12),_TECH_Initiative_Library!$AU$5:$AU$76,0)),"")</f>
        <v/>
      </c>
      <c r="Q12" s="56" t="str">
        <f ca="1">IFERROR(INDEX(_TECH_Initiative_Library!$G$5:$G$76,MATCH(ROWS($A$10:A12),_TECH_Initiative_Library!$AU$5:$AU$76,0)),"")</f>
        <v/>
      </c>
    </row>
    <row r="13" spans="1:17" ht="51.95" customHeight="1">
      <c r="A13" s="52">
        <f>IFERROR(ROWS($A$10:A13),"")</f>
        <v>4</v>
      </c>
      <c r="B13" s="52" t="str">
        <f ca="1">IFERROR(INDEX(_TECH_Initiative_Library!$A$5:$A$76,MATCH(ROWS($A$10:A13),_TECH_Initiative_Library!$AU$5:$AU$76,0)),"")</f>
        <v/>
      </c>
      <c r="C13" s="52" t="str">
        <f ca="1">IFERROR(INDEX(_TECH_Initiative_Library!$F$5:$F$76,MATCH(ROWS($A$10:A13),_TECH_Initiative_Library!$AU$5:$AU$76,0)),"")</f>
        <v/>
      </c>
      <c r="D13" s="52" t="str">
        <f ca="1">IFERROR(INDEX(_TECH_Initiative_Library!$B$5:$B$76,MATCH(ROWS($A$10:A13),_TECH_Initiative_Library!$AU$5:$AU$76,0)),"")</f>
        <v/>
      </c>
      <c r="E13" s="52" t="str">
        <f ca="1">IFERROR(INDEX(_TECH_Initiative_Library!$C$5:$C$76,MATCH(ROWS($A$10:A13),_TECH_Initiative_Library!$AU$5:$AU$76,0)),"")</f>
        <v/>
      </c>
      <c r="F13" s="52" t="str">
        <f ca="1">IFERROR(INDEX(_TECH_Initiative_Library!$D$5:$D$76,MATCH(ROWS($A$10:A13),_TECH_Initiative_Library!$AU$5:$AU$76,0)),"")</f>
        <v/>
      </c>
      <c r="G13" s="52" t="str">
        <f ca="1">IFERROR(INDEX(_TECH_Initiative_Library!$AE$5:$AE$76,MATCH(ROWS($A$10:A13),_TECH_Initiative_Library!$AU$5:$AU$76,0)),"")</f>
        <v/>
      </c>
      <c r="H13" s="56" t="str">
        <f ca="1">IFERROR(INDEX(_TECH_Initiative_Library!$AT$5:$AT$76,MATCH(ROWS($A$10:A13),_TECH_Initiative_Library!$AU$5:$AU$76,0)),"")</f>
        <v/>
      </c>
      <c r="I13" s="52" t="str">
        <f ca="1">IFERROR(INDEX(_TECH_Initiative_Library!$X$5:$X$76,MATCH(ROWS($A$10:A13),_TECH_Initiative_Library!$AU$5:$AU$76,0)),"")</f>
        <v/>
      </c>
      <c r="J13" s="52" t="str">
        <f ca="1">IFERROR(INDEX(_TECH_Initiative_Library!$Y$5:$Y$76,MATCH(ROWS($A$10:A13),_TECH_Initiative_Library!$AU$5:$AU$76,0)),"")</f>
        <v/>
      </c>
      <c r="K13" s="52" t="str">
        <f ca="1">IFERROR(INDEX(_TECH_Initiative_Library!$Z$5:$Z$76,MATCH(ROWS($A$10:A13),_TECH_Initiative_Library!$AU$5:$AU$76,0)),"")</f>
        <v/>
      </c>
      <c r="L13" s="52" t="str">
        <f ca="1">IFERROR(INDEX(_TECH_Initiative_Library!$AA$5:$AA$76,MATCH(ROWS($A$10:A13),_TECH_Initiative_Library!$AU$5:$AU$76,0)),"")</f>
        <v/>
      </c>
      <c r="M13" s="52" t="str">
        <f ca="1">IFERROR(INDEX(_TECH_Initiative_Library!$AB$5:$AB$76,MATCH(ROWS($A$10:A13),_TECH_Initiative_Library!$AU$5:$AU$76,0)),"")</f>
        <v/>
      </c>
      <c r="N13" s="52" t="str">
        <f ca="1">IFERROR(INDEX(_TECH_Initiative_Library!$AF$5:$AF$76,MATCH(ROWS($A$10:A13),_TECH_Initiative_Library!$AU$5:$AU$76,0)),"")</f>
        <v/>
      </c>
      <c r="O13" s="52" t="str">
        <f ca="1">IFERROR(INDEX(_TECH_Initiative_Library!$AG$5:$AG$76,MATCH(ROWS($A$10:A13),_TECH_Initiative_Library!$AU$5:$AU$76,0)),"")</f>
        <v/>
      </c>
      <c r="P13" s="56" t="str">
        <f ca="1">IFERROR(INDEX(_TECH_Initiative_Library!$AI$5:$AI$76,MATCH(ROWS($A$10:A13),_TECH_Initiative_Library!$AU$5:$AU$76,0)),"")</f>
        <v/>
      </c>
      <c r="Q13" s="56" t="str">
        <f ca="1">IFERROR(INDEX(_TECH_Initiative_Library!$G$5:$G$76,MATCH(ROWS($A$10:A13),_TECH_Initiative_Library!$AU$5:$AU$76,0)),"")</f>
        <v/>
      </c>
    </row>
    <row r="14" spans="1:17" ht="51.95" customHeight="1">
      <c r="A14" s="52">
        <f>IFERROR(ROWS($A$10:A14),"")</f>
        <v>5</v>
      </c>
      <c r="B14" s="52" t="str">
        <f ca="1">IFERROR(INDEX(_TECH_Initiative_Library!$A$5:$A$76,MATCH(ROWS($A$10:A14),_TECH_Initiative_Library!$AU$5:$AU$76,0)),"")</f>
        <v/>
      </c>
      <c r="C14" s="52" t="str">
        <f ca="1">IFERROR(INDEX(_TECH_Initiative_Library!$F$5:$F$76,MATCH(ROWS($A$10:A14),_TECH_Initiative_Library!$AU$5:$AU$76,0)),"")</f>
        <v/>
      </c>
      <c r="D14" s="52" t="str">
        <f ca="1">IFERROR(INDEX(_TECH_Initiative_Library!$B$5:$B$76,MATCH(ROWS($A$10:A14),_TECH_Initiative_Library!$AU$5:$AU$76,0)),"")</f>
        <v/>
      </c>
      <c r="E14" s="52" t="str">
        <f ca="1">IFERROR(INDEX(_TECH_Initiative_Library!$C$5:$C$76,MATCH(ROWS($A$10:A14),_TECH_Initiative_Library!$AU$5:$AU$76,0)),"")</f>
        <v/>
      </c>
      <c r="F14" s="52" t="str">
        <f ca="1">IFERROR(INDEX(_TECH_Initiative_Library!$D$5:$D$76,MATCH(ROWS($A$10:A14),_TECH_Initiative_Library!$AU$5:$AU$76,0)),"")</f>
        <v/>
      </c>
      <c r="G14" s="52" t="str">
        <f ca="1">IFERROR(INDEX(_TECH_Initiative_Library!$AE$5:$AE$76,MATCH(ROWS($A$10:A14),_TECH_Initiative_Library!$AU$5:$AU$76,0)),"")</f>
        <v/>
      </c>
      <c r="H14" s="56" t="str">
        <f ca="1">IFERROR(INDEX(_TECH_Initiative_Library!$AT$5:$AT$76,MATCH(ROWS($A$10:A14),_TECH_Initiative_Library!$AU$5:$AU$76,0)),"")</f>
        <v/>
      </c>
      <c r="I14" s="52" t="str">
        <f ca="1">IFERROR(INDEX(_TECH_Initiative_Library!$X$5:$X$76,MATCH(ROWS($A$10:A14),_TECH_Initiative_Library!$AU$5:$AU$76,0)),"")</f>
        <v/>
      </c>
      <c r="J14" s="52" t="str">
        <f ca="1">IFERROR(INDEX(_TECH_Initiative_Library!$Y$5:$Y$76,MATCH(ROWS($A$10:A14),_TECH_Initiative_Library!$AU$5:$AU$76,0)),"")</f>
        <v/>
      </c>
      <c r="K14" s="52" t="str">
        <f ca="1">IFERROR(INDEX(_TECH_Initiative_Library!$Z$5:$Z$76,MATCH(ROWS($A$10:A14),_TECH_Initiative_Library!$AU$5:$AU$76,0)),"")</f>
        <v/>
      </c>
      <c r="L14" s="52" t="str">
        <f ca="1">IFERROR(INDEX(_TECH_Initiative_Library!$AA$5:$AA$76,MATCH(ROWS($A$10:A14),_TECH_Initiative_Library!$AU$5:$AU$76,0)),"")</f>
        <v/>
      </c>
      <c r="M14" s="52" t="str">
        <f ca="1">IFERROR(INDEX(_TECH_Initiative_Library!$AB$5:$AB$76,MATCH(ROWS($A$10:A14),_TECH_Initiative_Library!$AU$5:$AU$76,0)),"")</f>
        <v/>
      </c>
      <c r="N14" s="52" t="str">
        <f ca="1">IFERROR(INDEX(_TECH_Initiative_Library!$AF$5:$AF$76,MATCH(ROWS($A$10:A14),_TECH_Initiative_Library!$AU$5:$AU$76,0)),"")</f>
        <v/>
      </c>
      <c r="O14" s="52" t="str">
        <f ca="1">IFERROR(INDEX(_TECH_Initiative_Library!$AG$5:$AG$76,MATCH(ROWS($A$10:A14),_TECH_Initiative_Library!$AU$5:$AU$76,0)),"")</f>
        <v/>
      </c>
      <c r="P14" s="56" t="str">
        <f ca="1">IFERROR(INDEX(_TECH_Initiative_Library!$AI$5:$AI$76,MATCH(ROWS($A$10:A14),_TECH_Initiative_Library!$AU$5:$AU$76,0)),"")</f>
        <v/>
      </c>
      <c r="Q14" s="56" t="str">
        <f ca="1">IFERROR(INDEX(_TECH_Initiative_Library!$G$5:$G$76,MATCH(ROWS($A$10:A14),_TECH_Initiative_Library!$AU$5:$AU$76,0)),"")</f>
        <v/>
      </c>
    </row>
    <row r="15" spans="1:17" ht="51.95" customHeight="1">
      <c r="A15" s="52">
        <f>IFERROR(ROWS($A$10:A15),"")</f>
        <v>6</v>
      </c>
      <c r="B15" s="52" t="str">
        <f ca="1">IFERROR(INDEX(_TECH_Initiative_Library!$A$5:$A$76,MATCH(ROWS($A$10:A15),_TECH_Initiative_Library!$AU$5:$AU$76,0)),"")</f>
        <v/>
      </c>
      <c r="C15" s="52" t="str">
        <f ca="1">IFERROR(INDEX(_TECH_Initiative_Library!$F$5:$F$76,MATCH(ROWS($A$10:A15),_TECH_Initiative_Library!$AU$5:$AU$76,0)),"")</f>
        <v/>
      </c>
      <c r="D15" s="52" t="str">
        <f ca="1">IFERROR(INDEX(_TECH_Initiative_Library!$B$5:$B$76,MATCH(ROWS($A$10:A15),_TECH_Initiative_Library!$AU$5:$AU$76,0)),"")</f>
        <v/>
      </c>
      <c r="E15" s="52" t="str">
        <f ca="1">IFERROR(INDEX(_TECH_Initiative_Library!$C$5:$C$76,MATCH(ROWS($A$10:A15),_TECH_Initiative_Library!$AU$5:$AU$76,0)),"")</f>
        <v/>
      </c>
      <c r="F15" s="52" t="str">
        <f ca="1">IFERROR(INDEX(_TECH_Initiative_Library!$D$5:$D$76,MATCH(ROWS($A$10:A15),_TECH_Initiative_Library!$AU$5:$AU$76,0)),"")</f>
        <v/>
      </c>
      <c r="G15" s="52" t="str">
        <f ca="1">IFERROR(INDEX(_TECH_Initiative_Library!$AE$5:$AE$76,MATCH(ROWS($A$10:A15),_TECH_Initiative_Library!$AU$5:$AU$76,0)),"")</f>
        <v/>
      </c>
      <c r="H15" s="56" t="str">
        <f ca="1">IFERROR(INDEX(_TECH_Initiative_Library!$AT$5:$AT$76,MATCH(ROWS($A$10:A15),_TECH_Initiative_Library!$AU$5:$AU$76,0)),"")</f>
        <v/>
      </c>
      <c r="I15" s="52" t="str">
        <f ca="1">IFERROR(INDEX(_TECH_Initiative_Library!$X$5:$X$76,MATCH(ROWS($A$10:A15),_TECH_Initiative_Library!$AU$5:$AU$76,0)),"")</f>
        <v/>
      </c>
      <c r="J15" s="52" t="str">
        <f ca="1">IFERROR(INDEX(_TECH_Initiative_Library!$Y$5:$Y$76,MATCH(ROWS($A$10:A15),_TECH_Initiative_Library!$AU$5:$AU$76,0)),"")</f>
        <v/>
      </c>
      <c r="K15" s="52" t="str">
        <f ca="1">IFERROR(INDEX(_TECH_Initiative_Library!$Z$5:$Z$76,MATCH(ROWS($A$10:A15),_TECH_Initiative_Library!$AU$5:$AU$76,0)),"")</f>
        <v/>
      </c>
      <c r="L15" s="52" t="str">
        <f ca="1">IFERROR(INDEX(_TECH_Initiative_Library!$AA$5:$AA$76,MATCH(ROWS($A$10:A15),_TECH_Initiative_Library!$AU$5:$AU$76,0)),"")</f>
        <v/>
      </c>
      <c r="M15" s="52" t="str">
        <f ca="1">IFERROR(INDEX(_TECH_Initiative_Library!$AB$5:$AB$76,MATCH(ROWS($A$10:A15),_TECH_Initiative_Library!$AU$5:$AU$76,0)),"")</f>
        <v/>
      </c>
      <c r="N15" s="52" t="str">
        <f ca="1">IFERROR(INDEX(_TECH_Initiative_Library!$AF$5:$AF$76,MATCH(ROWS($A$10:A15),_TECH_Initiative_Library!$AU$5:$AU$76,0)),"")</f>
        <v/>
      </c>
      <c r="O15" s="52" t="str">
        <f ca="1">IFERROR(INDEX(_TECH_Initiative_Library!$AG$5:$AG$76,MATCH(ROWS($A$10:A15),_TECH_Initiative_Library!$AU$5:$AU$76,0)),"")</f>
        <v/>
      </c>
      <c r="P15" s="56" t="str">
        <f ca="1">IFERROR(INDEX(_TECH_Initiative_Library!$AI$5:$AI$76,MATCH(ROWS($A$10:A15),_TECH_Initiative_Library!$AU$5:$AU$76,0)),"")</f>
        <v/>
      </c>
      <c r="Q15" s="56" t="str">
        <f ca="1">IFERROR(INDEX(_TECH_Initiative_Library!$G$5:$G$76,MATCH(ROWS($A$10:A15),_TECH_Initiative_Library!$AU$5:$AU$76,0)),"")</f>
        <v/>
      </c>
    </row>
    <row r="16" spans="1:17" ht="51.95" customHeight="1">
      <c r="A16" s="52">
        <f>IFERROR(ROWS($A$10:A16),"")</f>
        <v>7</v>
      </c>
      <c r="B16" s="52" t="str">
        <f ca="1">IFERROR(INDEX(_TECH_Initiative_Library!$A$5:$A$76,MATCH(ROWS($A$10:A16),_TECH_Initiative_Library!$AU$5:$AU$76,0)),"")</f>
        <v/>
      </c>
      <c r="C16" s="52" t="str">
        <f ca="1">IFERROR(INDEX(_TECH_Initiative_Library!$F$5:$F$76,MATCH(ROWS($A$10:A16),_TECH_Initiative_Library!$AU$5:$AU$76,0)),"")</f>
        <v/>
      </c>
      <c r="D16" s="52" t="str">
        <f ca="1">IFERROR(INDEX(_TECH_Initiative_Library!$B$5:$B$76,MATCH(ROWS($A$10:A16),_TECH_Initiative_Library!$AU$5:$AU$76,0)),"")</f>
        <v/>
      </c>
      <c r="E16" s="52" t="str">
        <f ca="1">IFERROR(INDEX(_TECH_Initiative_Library!$C$5:$C$76,MATCH(ROWS($A$10:A16),_TECH_Initiative_Library!$AU$5:$AU$76,0)),"")</f>
        <v/>
      </c>
      <c r="F16" s="52" t="str">
        <f ca="1">IFERROR(INDEX(_TECH_Initiative_Library!$D$5:$D$76,MATCH(ROWS($A$10:A16),_TECH_Initiative_Library!$AU$5:$AU$76,0)),"")</f>
        <v/>
      </c>
      <c r="G16" s="52" t="str">
        <f ca="1">IFERROR(INDEX(_TECH_Initiative_Library!$AE$5:$AE$76,MATCH(ROWS($A$10:A16),_TECH_Initiative_Library!$AU$5:$AU$76,0)),"")</f>
        <v/>
      </c>
      <c r="H16" s="56" t="str">
        <f ca="1">IFERROR(INDEX(_TECH_Initiative_Library!$AT$5:$AT$76,MATCH(ROWS($A$10:A16),_TECH_Initiative_Library!$AU$5:$AU$76,0)),"")</f>
        <v/>
      </c>
      <c r="I16" s="52" t="str">
        <f ca="1">IFERROR(INDEX(_TECH_Initiative_Library!$X$5:$X$76,MATCH(ROWS($A$10:A16),_TECH_Initiative_Library!$AU$5:$AU$76,0)),"")</f>
        <v/>
      </c>
      <c r="J16" s="52" t="str">
        <f ca="1">IFERROR(INDEX(_TECH_Initiative_Library!$Y$5:$Y$76,MATCH(ROWS($A$10:A16),_TECH_Initiative_Library!$AU$5:$AU$76,0)),"")</f>
        <v/>
      </c>
      <c r="K16" s="52" t="str">
        <f ca="1">IFERROR(INDEX(_TECH_Initiative_Library!$Z$5:$Z$76,MATCH(ROWS($A$10:A16),_TECH_Initiative_Library!$AU$5:$AU$76,0)),"")</f>
        <v/>
      </c>
      <c r="L16" s="52" t="str">
        <f ca="1">IFERROR(INDEX(_TECH_Initiative_Library!$AA$5:$AA$76,MATCH(ROWS($A$10:A16),_TECH_Initiative_Library!$AU$5:$AU$76,0)),"")</f>
        <v/>
      </c>
      <c r="M16" s="52" t="str">
        <f ca="1">IFERROR(INDEX(_TECH_Initiative_Library!$AB$5:$AB$76,MATCH(ROWS($A$10:A16),_TECH_Initiative_Library!$AU$5:$AU$76,0)),"")</f>
        <v/>
      </c>
      <c r="N16" s="52" t="str">
        <f ca="1">IFERROR(INDEX(_TECH_Initiative_Library!$AF$5:$AF$76,MATCH(ROWS($A$10:A16),_TECH_Initiative_Library!$AU$5:$AU$76,0)),"")</f>
        <v/>
      </c>
      <c r="O16" s="52" t="str">
        <f ca="1">IFERROR(INDEX(_TECH_Initiative_Library!$AG$5:$AG$76,MATCH(ROWS($A$10:A16),_TECH_Initiative_Library!$AU$5:$AU$76,0)),"")</f>
        <v/>
      </c>
      <c r="P16" s="56" t="str">
        <f ca="1">IFERROR(INDEX(_TECH_Initiative_Library!$AI$5:$AI$76,MATCH(ROWS($A$10:A16),_TECH_Initiative_Library!$AU$5:$AU$76,0)),"")</f>
        <v/>
      </c>
      <c r="Q16" s="56" t="str">
        <f ca="1">IFERROR(INDEX(_TECH_Initiative_Library!$G$5:$G$76,MATCH(ROWS($A$10:A16),_TECH_Initiative_Library!$AU$5:$AU$76,0)),"")</f>
        <v/>
      </c>
    </row>
    <row r="17" spans="1:17" ht="51.95" customHeight="1">
      <c r="A17" s="52">
        <f>IFERROR(ROWS($A$10:A17),"")</f>
        <v>8</v>
      </c>
      <c r="B17" s="52" t="str">
        <f ca="1">IFERROR(INDEX(_TECH_Initiative_Library!$A$5:$A$76,MATCH(ROWS($A$10:A17),_TECH_Initiative_Library!$AU$5:$AU$76,0)),"")</f>
        <v/>
      </c>
      <c r="C17" s="52" t="str">
        <f ca="1">IFERROR(INDEX(_TECH_Initiative_Library!$F$5:$F$76,MATCH(ROWS($A$10:A17),_TECH_Initiative_Library!$AU$5:$AU$76,0)),"")</f>
        <v/>
      </c>
      <c r="D17" s="52" t="str">
        <f ca="1">IFERROR(INDEX(_TECH_Initiative_Library!$B$5:$B$76,MATCH(ROWS($A$10:A17),_TECH_Initiative_Library!$AU$5:$AU$76,0)),"")</f>
        <v/>
      </c>
      <c r="E17" s="52" t="str">
        <f ca="1">IFERROR(INDEX(_TECH_Initiative_Library!$C$5:$C$76,MATCH(ROWS($A$10:A17),_TECH_Initiative_Library!$AU$5:$AU$76,0)),"")</f>
        <v/>
      </c>
      <c r="F17" s="52" t="str">
        <f ca="1">IFERROR(INDEX(_TECH_Initiative_Library!$D$5:$D$76,MATCH(ROWS($A$10:A17),_TECH_Initiative_Library!$AU$5:$AU$76,0)),"")</f>
        <v/>
      </c>
      <c r="G17" s="52" t="str">
        <f ca="1">IFERROR(INDEX(_TECH_Initiative_Library!$AE$5:$AE$76,MATCH(ROWS($A$10:A17),_TECH_Initiative_Library!$AU$5:$AU$76,0)),"")</f>
        <v/>
      </c>
      <c r="H17" s="56" t="str">
        <f ca="1">IFERROR(INDEX(_TECH_Initiative_Library!$AT$5:$AT$76,MATCH(ROWS($A$10:A17),_TECH_Initiative_Library!$AU$5:$AU$76,0)),"")</f>
        <v/>
      </c>
      <c r="I17" s="52" t="str">
        <f ca="1">IFERROR(INDEX(_TECH_Initiative_Library!$X$5:$X$76,MATCH(ROWS($A$10:A17),_TECH_Initiative_Library!$AU$5:$AU$76,0)),"")</f>
        <v/>
      </c>
      <c r="J17" s="52" t="str">
        <f ca="1">IFERROR(INDEX(_TECH_Initiative_Library!$Y$5:$Y$76,MATCH(ROWS($A$10:A17),_TECH_Initiative_Library!$AU$5:$AU$76,0)),"")</f>
        <v/>
      </c>
      <c r="K17" s="52" t="str">
        <f ca="1">IFERROR(INDEX(_TECH_Initiative_Library!$Z$5:$Z$76,MATCH(ROWS($A$10:A17),_TECH_Initiative_Library!$AU$5:$AU$76,0)),"")</f>
        <v/>
      </c>
      <c r="L17" s="52" t="str">
        <f ca="1">IFERROR(INDEX(_TECH_Initiative_Library!$AA$5:$AA$76,MATCH(ROWS($A$10:A17),_TECH_Initiative_Library!$AU$5:$AU$76,0)),"")</f>
        <v/>
      </c>
      <c r="M17" s="52" t="str">
        <f ca="1">IFERROR(INDEX(_TECH_Initiative_Library!$AB$5:$AB$76,MATCH(ROWS($A$10:A17),_TECH_Initiative_Library!$AU$5:$AU$76,0)),"")</f>
        <v/>
      </c>
      <c r="N17" s="52" t="str">
        <f ca="1">IFERROR(INDEX(_TECH_Initiative_Library!$AF$5:$AF$76,MATCH(ROWS($A$10:A17),_TECH_Initiative_Library!$AU$5:$AU$76,0)),"")</f>
        <v/>
      </c>
      <c r="O17" s="52" t="str">
        <f ca="1">IFERROR(INDEX(_TECH_Initiative_Library!$AG$5:$AG$76,MATCH(ROWS($A$10:A17),_TECH_Initiative_Library!$AU$5:$AU$76,0)),"")</f>
        <v/>
      </c>
      <c r="P17" s="56" t="str">
        <f ca="1">IFERROR(INDEX(_TECH_Initiative_Library!$AI$5:$AI$76,MATCH(ROWS($A$10:A17),_TECH_Initiative_Library!$AU$5:$AU$76,0)),"")</f>
        <v/>
      </c>
      <c r="Q17" s="56" t="str">
        <f ca="1">IFERROR(INDEX(_TECH_Initiative_Library!$G$5:$G$76,MATCH(ROWS($A$10:A17),_TECH_Initiative_Library!$AU$5:$AU$76,0)),"")</f>
        <v/>
      </c>
    </row>
    <row r="18" spans="1:17" ht="51.95" customHeight="1">
      <c r="A18" s="52">
        <f>IFERROR(ROWS($A$10:A18),"")</f>
        <v>9</v>
      </c>
      <c r="B18" s="52" t="str">
        <f ca="1">IFERROR(INDEX(_TECH_Initiative_Library!$A$5:$A$76,MATCH(ROWS($A$10:A18),_TECH_Initiative_Library!$AU$5:$AU$76,0)),"")</f>
        <v/>
      </c>
      <c r="C18" s="52" t="str">
        <f ca="1">IFERROR(INDEX(_TECH_Initiative_Library!$F$5:$F$76,MATCH(ROWS($A$10:A18),_TECH_Initiative_Library!$AU$5:$AU$76,0)),"")</f>
        <v/>
      </c>
      <c r="D18" s="52" t="str">
        <f ca="1">IFERROR(INDEX(_TECH_Initiative_Library!$B$5:$B$76,MATCH(ROWS($A$10:A18),_TECH_Initiative_Library!$AU$5:$AU$76,0)),"")</f>
        <v/>
      </c>
      <c r="E18" s="52" t="str">
        <f ca="1">IFERROR(INDEX(_TECH_Initiative_Library!$C$5:$C$76,MATCH(ROWS($A$10:A18),_TECH_Initiative_Library!$AU$5:$AU$76,0)),"")</f>
        <v/>
      </c>
      <c r="F18" s="52" t="str">
        <f ca="1">IFERROR(INDEX(_TECH_Initiative_Library!$D$5:$D$76,MATCH(ROWS($A$10:A18),_TECH_Initiative_Library!$AU$5:$AU$76,0)),"")</f>
        <v/>
      </c>
      <c r="G18" s="52" t="str">
        <f ca="1">IFERROR(INDEX(_TECH_Initiative_Library!$AE$5:$AE$76,MATCH(ROWS($A$10:A18),_TECH_Initiative_Library!$AU$5:$AU$76,0)),"")</f>
        <v/>
      </c>
      <c r="H18" s="56" t="str">
        <f ca="1">IFERROR(INDEX(_TECH_Initiative_Library!$AT$5:$AT$76,MATCH(ROWS($A$10:A18),_TECH_Initiative_Library!$AU$5:$AU$76,0)),"")</f>
        <v/>
      </c>
      <c r="I18" s="52" t="str">
        <f ca="1">IFERROR(INDEX(_TECH_Initiative_Library!$X$5:$X$76,MATCH(ROWS($A$10:A18),_TECH_Initiative_Library!$AU$5:$AU$76,0)),"")</f>
        <v/>
      </c>
      <c r="J18" s="52" t="str">
        <f ca="1">IFERROR(INDEX(_TECH_Initiative_Library!$Y$5:$Y$76,MATCH(ROWS($A$10:A18),_TECH_Initiative_Library!$AU$5:$AU$76,0)),"")</f>
        <v/>
      </c>
      <c r="K18" s="52" t="str">
        <f ca="1">IFERROR(INDEX(_TECH_Initiative_Library!$Z$5:$Z$76,MATCH(ROWS($A$10:A18),_TECH_Initiative_Library!$AU$5:$AU$76,0)),"")</f>
        <v/>
      </c>
      <c r="L18" s="52" t="str">
        <f ca="1">IFERROR(INDEX(_TECH_Initiative_Library!$AA$5:$AA$76,MATCH(ROWS($A$10:A18),_TECH_Initiative_Library!$AU$5:$AU$76,0)),"")</f>
        <v/>
      </c>
      <c r="M18" s="52" t="str">
        <f ca="1">IFERROR(INDEX(_TECH_Initiative_Library!$AB$5:$AB$76,MATCH(ROWS($A$10:A18),_TECH_Initiative_Library!$AU$5:$AU$76,0)),"")</f>
        <v/>
      </c>
      <c r="N18" s="52" t="str">
        <f ca="1">IFERROR(INDEX(_TECH_Initiative_Library!$AF$5:$AF$76,MATCH(ROWS($A$10:A18),_TECH_Initiative_Library!$AU$5:$AU$76,0)),"")</f>
        <v/>
      </c>
      <c r="O18" s="52" t="str">
        <f ca="1">IFERROR(INDEX(_TECH_Initiative_Library!$AG$5:$AG$76,MATCH(ROWS($A$10:A18),_TECH_Initiative_Library!$AU$5:$AU$76,0)),"")</f>
        <v/>
      </c>
      <c r="P18" s="56" t="str">
        <f ca="1">IFERROR(INDEX(_TECH_Initiative_Library!$AI$5:$AI$76,MATCH(ROWS($A$10:A18),_TECH_Initiative_Library!$AU$5:$AU$76,0)),"")</f>
        <v/>
      </c>
      <c r="Q18" s="56" t="str">
        <f ca="1">IFERROR(INDEX(_TECH_Initiative_Library!$G$5:$G$76,MATCH(ROWS($A$10:A18),_TECH_Initiative_Library!$AU$5:$AU$76,0)),"")</f>
        <v/>
      </c>
    </row>
    <row r="19" spans="1:17" ht="51.95" customHeight="1">
      <c r="A19" s="52">
        <f>IFERROR(ROWS($A$10:A19),"")</f>
        <v>10</v>
      </c>
      <c r="B19" s="52" t="str">
        <f ca="1">IFERROR(INDEX(_TECH_Initiative_Library!$A$5:$A$76,MATCH(ROWS($A$10:A19),_TECH_Initiative_Library!$AU$5:$AU$76,0)),"")</f>
        <v/>
      </c>
      <c r="C19" s="52" t="str">
        <f ca="1">IFERROR(INDEX(_TECH_Initiative_Library!$F$5:$F$76,MATCH(ROWS($A$10:A19),_TECH_Initiative_Library!$AU$5:$AU$76,0)),"")</f>
        <v/>
      </c>
      <c r="D19" s="52" t="str">
        <f ca="1">IFERROR(INDEX(_TECH_Initiative_Library!$B$5:$B$76,MATCH(ROWS($A$10:A19),_TECH_Initiative_Library!$AU$5:$AU$76,0)),"")</f>
        <v/>
      </c>
      <c r="E19" s="52" t="str">
        <f ca="1">IFERROR(INDEX(_TECH_Initiative_Library!$C$5:$C$76,MATCH(ROWS($A$10:A19),_TECH_Initiative_Library!$AU$5:$AU$76,0)),"")</f>
        <v/>
      </c>
      <c r="F19" s="52" t="str">
        <f ca="1">IFERROR(INDEX(_TECH_Initiative_Library!$D$5:$D$76,MATCH(ROWS($A$10:A19),_TECH_Initiative_Library!$AU$5:$AU$76,0)),"")</f>
        <v/>
      </c>
      <c r="G19" s="52" t="str">
        <f ca="1">IFERROR(INDEX(_TECH_Initiative_Library!$AE$5:$AE$76,MATCH(ROWS($A$10:A19),_TECH_Initiative_Library!$AU$5:$AU$76,0)),"")</f>
        <v/>
      </c>
      <c r="H19" s="56" t="str">
        <f ca="1">IFERROR(INDEX(_TECH_Initiative_Library!$AT$5:$AT$76,MATCH(ROWS($A$10:A19),_TECH_Initiative_Library!$AU$5:$AU$76,0)),"")</f>
        <v/>
      </c>
      <c r="I19" s="52" t="str">
        <f ca="1">IFERROR(INDEX(_TECH_Initiative_Library!$X$5:$X$76,MATCH(ROWS($A$10:A19),_TECH_Initiative_Library!$AU$5:$AU$76,0)),"")</f>
        <v/>
      </c>
      <c r="J19" s="52" t="str">
        <f ca="1">IFERROR(INDEX(_TECH_Initiative_Library!$Y$5:$Y$76,MATCH(ROWS($A$10:A19),_TECH_Initiative_Library!$AU$5:$AU$76,0)),"")</f>
        <v/>
      </c>
      <c r="K19" s="52" t="str">
        <f ca="1">IFERROR(INDEX(_TECH_Initiative_Library!$Z$5:$Z$76,MATCH(ROWS($A$10:A19),_TECH_Initiative_Library!$AU$5:$AU$76,0)),"")</f>
        <v/>
      </c>
      <c r="L19" s="52" t="str">
        <f ca="1">IFERROR(INDEX(_TECH_Initiative_Library!$AA$5:$AA$76,MATCH(ROWS($A$10:A19),_TECH_Initiative_Library!$AU$5:$AU$76,0)),"")</f>
        <v/>
      </c>
      <c r="M19" s="52" t="str">
        <f ca="1">IFERROR(INDEX(_TECH_Initiative_Library!$AB$5:$AB$76,MATCH(ROWS($A$10:A19),_TECH_Initiative_Library!$AU$5:$AU$76,0)),"")</f>
        <v/>
      </c>
      <c r="N19" s="52" t="str">
        <f ca="1">IFERROR(INDEX(_TECH_Initiative_Library!$AF$5:$AF$76,MATCH(ROWS($A$10:A19),_TECH_Initiative_Library!$AU$5:$AU$76,0)),"")</f>
        <v/>
      </c>
      <c r="O19" s="52" t="str">
        <f ca="1">IFERROR(INDEX(_TECH_Initiative_Library!$AG$5:$AG$76,MATCH(ROWS($A$10:A19),_TECH_Initiative_Library!$AU$5:$AU$76,0)),"")</f>
        <v/>
      </c>
      <c r="P19" s="56" t="str">
        <f ca="1">IFERROR(INDEX(_TECH_Initiative_Library!$AI$5:$AI$76,MATCH(ROWS($A$10:A19),_TECH_Initiative_Library!$AU$5:$AU$76,0)),"")</f>
        <v/>
      </c>
      <c r="Q19" s="56" t="str">
        <f ca="1">IFERROR(INDEX(_TECH_Initiative_Library!$G$5:$G$76,MATCH(ROWS($A$10:A19),_TECH_Initiative_Library!$AU$5:$AU$76,0)),"")</f>
        <v/>
      </c>
    </row>
    <row r="20" spans="1:17" ht="51.95" customHeight="1">
      <c r="A20" s="52">
        <f>IFERROR(ROWS($A$10:A20),"")</f>
        <v>11</v>
      </c>
      <c r="B20" s="52" t="str">
        <f ca="1">IFERROR(INDEX(_TECH_Initiative_Library!$A$5:$A$76,MATCH(ROWS($A$10:A20),_TECH_Initiative_Library!$AU$5:$AU$76,0)),"")</f>
        <v/>
      </c>
      <c r="C20" s="52" t="str">
        <f ca="1">IFERROR(INDEX(_TECH_Initiative_Library!$F$5:$F$76,MATCH(ROWS($A$10:A20),_TECH_Initiative_Library!$AU$5:$AU$76,0)),"")</f>
        <v/>
      </c>
      <c r="D20" s="52" t="str">
        <f ca="1">IFERROR(INDEX(_TECH_Initiative_Library!$B$5:$B$76,MATCH(ROWS($A$10:A20),_TECH_Initiative_Library!$AU$5:$AU$76,0)),"")</f>
        <v/>
      </c>
      <c r="E20" s="52" t="str">
        <f ca="1">IFERROR(INDEX(_TECH_Initiative_Library!$C$5:$C$76,MATCH(ROWS($A$10:A20),_TECH_Initiative_Library!$AU$5:$AU$76,0)),"")</f>
        <v/>
      </c>
      <c r="F20" s="52" t="str">
        <f ca="1">IFERROR(INDEX(_TECH_Initiative_Library!$D$5:$D$76,MATCH(ROWS($A$10:A20),_TECH_Initiative_Library!$AU$5:$AU$76,0)),"")</f>
        <v/>
      </c>
      <c r="G20" s="52" t="str">
        <f ca="1">IFERROR(INDEX(_TECH_Initiative_Library!$AE$5:$AE$76,MATCH(ROWS($A$10:A20),_TECH_Initiative_Library!$AU$5:$AU$76,0)),"")</f>
        <v/>
      </c>
      <c r="H20" s="56" t="str">
        <f ca="1">IFERROR(INDEX(_TECH_Initiative_Library!$AT$5:$AT$76,MATCH(ROWS($A$10:A20),_TECH_Initiative_Library!$AU$5:$AU$76,0)),"")</f>
        <v/>
      </c>
      <c r="I20" s="52" t="str">
        <f ca="1">IFERROR(INDEX(_TECH_Initiative_Library!$X$5:$X$76,MATCH(ROWS($A$10:A20),_TECH_Initiative_Library!$AU$5:$AU$76,0)),"")</f>
        <v/>
      </c>
      <c r="J20" s="52" t="str">
        <f ca="1">IFERROR(INDEX(_TECH_Initiative_Library!$Y$5:$Y$76,MATCH(ROWS($A$10:A20),_TECH_Initiative_Library!$AU$5:$AU$76,0)),"")</f>
        <v/>
      </c>
      <c r="K20" s="52" t="str">
        <f ca="1">IFERROR(INDEX(_TECH_Initiative_Library!$Z$5:$Z$76,MATCH(ROWS($A$10:A20),_TECH_Initiative_Library!$AU$5:$AU$76,0)),"")</f>
        <v/>
      </c>
      <c r="L20" s="52" t="str">
        <f ca="1">IFERROR(INDEX(_TECH_Initiative_Library!$AA$5:$AA$76,MATCH(ROWS($A$10:A20),_TECH_Initiative_Library!$AU$5:$AU$76,0)),"")</f>
        <v/>
      </c>
      <c r="M20" s="52" t="str">
        <f ca="1">IFERROR(INDEX(_TECH_Initiative_Library!$AB$5:$AB$76,MATCH(ROWS($A$10:A20),_TECH_Initiative_Library!$AU$5:$AU$76,0)),"")</f>
        <v/>
      </c>
      <c r="N20" s="52" t="str">
        <f ca="1">IFERROR(INDEX(_TECH_Initiative_Library!$AF$5:$AF$76,MATCH(ROWS($A$10:A20),_TECH_Initiative_Library!$AU$5:$AU$76,0)),"")</f>
        <v/>
      </c>
      <c r="O20" s="52" t="str">
        <f ca="1">IFERROR(INDEX(_TECH_Initiative_Library!$AG$5:$AG$76,MATCH(ROWS($A$10:A20),_TECH_Initiative_Library!$AU$5:$AU$76,0)),"")</f>
        <v/>
      </c>
      <c r="P20" s="56" t="str">
        <f ca="1">IFERROR(INDEX(_TECH_Initiative_Library!$AI$5:$AI$76,MATCH(ROWS($A$10:A20),_TECH_Initiative_Library!$AU$5:$AU$76,0)),"")</f>
        <v/>
      </c>
      <c r="Q20" s="56" t="str">
        <f ca="1">IFERROR(INDEX(_TECH_Initiative_Library!$G$5:$G$76,MATCH(ROWS($A$10:A20),_TECH_Initiative_Library!$AU$5:$AU$76,0)),"")</f>
        <v/>
      </c>
    </row>
    <row r="21" spans="1:17" ht="51.95" customHeight="1">
      <c r="A21" s="52">
        <f>IFERROR(ROWS($A$10:A21),"")</f>
        <v>12</v>
      </c>
      <c r="B21" s="52" t="str">
        <f ca="1">IFERROR(INDEX(_TECH_Initiative_Library!$A$5:$A$76,MATCH(ROWS($A$10:A21),_TECH_Initiative_Library!$AU$5:$AU$76,0)),"")</f>
        <v/>
      </c>
      <c r="C21" s="52" t="str">
        <f ca="1">IFERROR(INDEX(_TECH_Initiative_Library!$F$5:$F$76,MATCH(ROWS($A$10:A21),_TECH_Initiative_Library!$AU$5:$AU$76,0)),"")</f>
        <v/>
      </c>
      <c r="D21" s="52" t="str">
        <f ca="1">IFERROR(INDEX(_TECH_Initiative_Library!$B$5:$B$76,MATCH(ROWS($A$10:A21),_TECH_Initiative_Library!$AU$5:$AU$76,0)),"")</f>
        <v/>
      </c>
      <c r="E21" s="52" t="str">
        <f ca="1">IFERROR(INDEX(_TECH_Initiative_Library!$C$5:$C$76,MATCH(ROWS($A$10:A21),_TECH_Initiative_Library!$AU$5:$AU$76,0)),"")</f>
        <v/>
      </c>
      <c r="F21" s="52" t="str">
        <f ca="1">IFERROR(INDEX(_TECH_Initiative_Library!$D$5:$D$76,MATCH(ROWS($A$10:A21),_TECH_Initiative_Library!$AU$5:$AU$76,0)),"")</f>
        <v/>
      </c>
      <c r="G21" s="52" t="str">
        <f ca="1">IFERROR(INDEX(_TECH_Initiative_Library!$AE$5:$AE$76,MATCH(ROWS($A$10:A21),_TECH_Initiative_Library!$AU$5:$AU$76,0)),"")</f>
        <v/>
      </c>
      <c r="H21" s="56" t="str">
        <f ca="1">IFERROR(INDEX(_TECH_Initiative_Library!$AT$5:$AT$76,MATCH(ROWS($A$10:A21),_TECH_Initiative_Library!$AU$5:$AU$76,0)),"")</f>
        <v/>
      </c>
      <c r="I21" s="52" t="str">
        <f ca="1">IFERROR(INDEX(_TECH_Initiative_Library!$X$5:$X$76,MATCH(ROWS($A$10:A21),_TECH_Initiative_Library!$AU$5:$AU$76,0)),"")</f>
        <v/>
      </c>
      <c r="J21" s="52" t="str">
        <f ca="1">IFERROR(INDEX(_TECH_Initiative_Library!$Y$5:$Y$76,MATCH(ROWS($A$10:A21),_TECH_Initiative_Library!$AU$5:$AU$76,0)),"")</f>
        <v/>
      </c>
      <c r="K21" s="52" t="str">
        <f ca="1">IFERROR(INDEX(_TECH_Initiative_Library!$Z$5:$Z$76,MATCH(ROWS($A$10:A21),_TECH_Initiative_Library!$AU$5:$AU$76,0)),"")</f>
        <v/>
      </c>
      <c r="L21" s="52" t="str">
        <f ca="1">IFERROR(INDEX(_TECH_Initiative_Library!$AA$5:$AA$76,MATCH(ROWS($A$10:A21),_TECH_Initiative_Library!$AU$5:$AU$76,0)),"")</f>
        <v/>
      </c>
      <c r="M21" s="52" t="str">
        <f ca="1">IFERROR(INDEX(_TECH_Initiative_Library!$AB$5:$AB$76,MATCH(ROWS($A$10:A21),_TECH_Initiative_Library!$AU$5:$AU$76,0)),"")</f>
        <v/>
      </c>
      <c r="N21" s="52" t="str">
        <f ca="1">IFERROR(INDEX(_TECH_Initiative_Library!$AF$5:$AF$76,MATCH(ROWS($A$10:A21),_TECH_Initiative_Library!$AU$5:$AU$76,0)),"")</f>
        <v/>
      </c>
      <c r="O21" s="52" t="str">
        <f ca="1">IFERROR(INDEX(_TECH_Initiative_Library!$AG$5:$AG$76,MATCH(ROWS($A$10:A21),_TECH_Initiative_Library!$AU$5:$AU$76,0)),"")</f>
        <v/>
      </c>
      <c r="P21" s="56" t="str">
        <f ca="1">IFERROR(INDEX(_TECH_Initiative_Library!$AI$5:$AI$76,MATCH(ROWS($A$10:A21),_TECH_Initiative_Library!$AU$5:$AU$76,0)),"")</f>
        <v/>
      </c>
      <c r="Q21" s="56" t="str">
        <f ca="1">IFERROR(INDEX(_TECH_Initiative_Library!$G$5:$G$76,MATCH(ROWS($A$10:A21),_TECH_Initiative_Library!$AU$5:$AU$76,0)),"")</f>
        <v/>
      </c>
    </row>
    <row r="22" spans="1:17" ht="51.95" customHeight="1">
      <c r="A22" s="52">
        <f>IFERROR(ROWS($A$10:A22),"")</f>
        <v>13</v>
      </c>
      <c r="B22" s="52" t="str">
        <f ca="1">IFERROR(INDEX(_TECH_Initiative_Library!$A$5:$A$76,MATCH(ROWS($A$10:A22),_TECH_Initiative_Library!$AU$5:$AU$76,0)),"")</f>
        <v/>
      </c>
      <c r="C22" s="52" t="str">
        <f ca="1">IFERROR(INDEX(_TECH_Initiative_Library!$F$5:$F$76,MATCH(ROWS($A$10:A22),_TECH_Initiative_Library!$AU$5:$AU$76,0)),"")</f>
        <v/>
      </c>
      <c r="D22" s="52" t="str">
        <f ca="1">IFERROR(INDEX(_TECH_Initiative_Library!$B$5:$B$76,MATCH(ROWS($A$10:A22),_TECH_Initiative_Library!$AU$5:$AU$76,0)),"")</f>
        <v/>
      </c>
      <c r="E22" s="52" t="str">
        <f ca="1">IFERROR(INDEX(_TECH_Initiative_Library!$C$5:$C$76,MATCH(ROWS($A$10:A22),_TECH_Initiative_Library!$AU$5:$AU$76,0)),"")</f>
        <v/>
      </c>
      <c r="F22" s="52" t="str">
        <f ca="1">IFERROR(INDEX(_TECH_Initiative_Library!$D$5:$D$76,MATCH(ROWS($A$10:A22),_TECH_Initiative_Library!$AU$5:$AU$76,0)),"")</f>
        <v/>
      </c>
      <c r="G22" s="52" t="str">
        <f ca="1">IFERROR(INDEX(_TECH_Initiative_Library!$AE$5:$AE$76,MATCH(ROWS($A$10:A22),_TECH_Initiative_Library!$AU$5:$AU$76,0)),"")</f>
        <v/>
      </c>
      <c r="H22" s="56" t="str">
        <f ca="1">IFERROR(INDEX(_TECH_Initiative_Library!$AT$5:$AT$76,MATCH(ROWS($A$10:A22),_TECH_Initiative_Library!$AU$5:$AU$76,0)),"")</f>
        <v/>
      </c>
      <c r="I22" s="52" t="str">
        <f ca="1">IFERROR(INDEX(_TECH_Initiative_Library!$X$5:$X$76,MATCH(ROWS($A$10:A22),_TECH_Initiative_Library!$AU$5:$AU$76,0)),"")</f>
        <v/>
      </c>
      <c r="J22" s="52" t="str">
        <f ca="1">IFERROR(INDEX(_TECH_Initiative_Library!$Y$5:$Y$76,MATCH(ROWS($A$10:A22),_TECH_Initiative_Library!$AU$5:$AU$76,0)),"")</f>
        <v/>
      </c>
      <c r="K22" s="52" t="str">
        <f ca="1">IFERROR(INDEX(_TECH_Initiative_Library!$Z$5:$Z$76,MATCH(ROWS($A$10:A22),_TECH_Initiative_Library!$AU$5:$AU$76,0)),"")</f>
        <v/>
      </c>
      <c r="L22" s="52" t="str">
        <f ca="1">IFERROR(INDEX(_TECH_Initiative_Library!$AA$5:$AA$76,MATCH(ROWS($A$10:A22),_TECH_Initiative_Library!$AU$5:$AU$76,0)),"")</f>
        <v/>
      </c>
      <c r="M22" s="52" t="str">
        <f ca="1">IFERROR(INDEX(_TECH_Initiative_Library!$AB$5:$AB$76,MATCH(ROWS($A$10:A22),_TECH_Initiative_Library!$AU$5:$AU$76,0)),"")</f>
        <v/>
      </c>
      <c r="N22" s="52" t="str">
        <f ca="1">IFERROR(INDEX(_TECH_Initiative_Library!$AF$5:$AF$76,MATCH(ROWS($A$10:A22),_TECH_Initiative_Library!$AU$5:$AU$76,0)),"")</f>
        <v/>
      </c>
      <c r="O22" s="52" t="str">
        <f ca="1">IFERROR(INDEX(_TECH_Initiative_Library!$AG$5:$AG$76,MATCH(ROWS($A$10:A22),_TECH_Initiative_Library!$AU$5:$AU$76,0)),"")</f>
        <v/>
      </c>
      <c r="P22" s="56" t="str">
        <f ca="1">IFERROR(INDEX(_TECH_Initiative_Library!$AI$5:$AI$76,MATCH(ROWS($A$10:A22),_TECH_Initiative_Library!$AU$5:$AU$76,0)),"")</f>
        <v/>
      </c>
      <c r="Q22" s="56" t="str">
        <f ca="1">IFERROR(INDEX(_TECH_Initiative_Library!$G$5:$G$76,MATCH(ROWS($A$10:A22),_TECH_Initiative_Library!$AU$5:$AU$76,0)),"")</f>
        <v/>
      </c>
    </row>
    <row r="23" spans="1:17" ht="51.95" customHeight="1">
      <c r="A23" s="52">
        <f>IFERROR(ROWS($A$10:A23),"")</f>
        <v>14</v>
      </c>
      <c r="B23" s="52" t="str">
        <f ca="1">IFERROR(INDEX(_TECH_Initiative_Library!$A$5:$A$76,MATCH(ROWS($A$10:A23),_TECH_Initiative_Library!$AU$5:$AU$76,0)),"")</f>
        <v/>
      </c>
      <c r="C23" s="52" t="str">
        <f ca="1">IFERROR(INDEX(_TECH_Initiative_Library!$F$5:$F$76,MATCH(ROWS($A$10:A23),_TECH_Initiative_Library!$AU$5:$AU$76,0)),"")</f>
        <v/>
      </c>
      <c r="D23" s="52" t="str">
        <f ca="1">IFERROR(INDEX(_TECH_Initiative_Library!$B$5:$B$76,MATCH(ROWS($A$10:A23),_TECH_Initiative_Library!$AU$5:$AU$76,0)),"")</f>
        <v/>
      </c>
      <c r="E23" s="52" t="str">
        <f ca="1">IFERROR(INDEX(_TECH_Initiative_Library!$C$5:$C$76,MATCH(ROWS($A$10:A23),_TECH_Initiative_Library!$AU$5:$AU$76,0)),"")</f>
        <v/>
      </c>
      <c r="F23" s="52" t="str">
        <f ca="1">IFERROR(INDEX(_TECH_Initiative_Library!$D$5:$D$76,MATCH(ROWS($A$10:A23),_TECH_Initiative_Library!$AU$5:$AU$76,0)),"")</f>
        <v/>
      </c>
      <c r="G23" s="52" t="str">
        <f ca="1">IFERROR(INDEX(_TECH_Initiative_Library!$AE$5:$AE$76,MATCH(ROWS($A$10:A23),_TECH_Initiative_Library!$AU$5:$AU$76,0)),"")</f>
        <v/>
      </c>
      <c r="H23" s="56" t="str">
        <f ca="1">IFERROR(INDEX(_TECH_Initiative_Library!$AT$5:$AT$76,MATCH(ROWS($A$10:A23),_TECH_Initiative_Library!$AU$5:$AU$76,0)),"")</f>
        <v/>
      </c>
      <c r="I23" s="52" t="str">
        <f ca="1">IFERROR(INDEX(_TECH_Initiative_Library!$X$5:$X$76,MATCH(ROWS($A$10:A23),_TECH_Initiative_Library!$AU$5:$AU$76,0)),"")</f>
        <v/>
      </c>
      <c r="J23" s="52" t="str">
        <f ca="1">IFERROR(INDEX(_TECH_Initiative_Library!$Y$5:$Y$76,MATCH(ROWS($A$10:A23),_TECH_Initiative_Library!$AU$5:$AU$76,0)),"")</f>
        <v/>
      </c>
      <c r="K23" s="52" t="str">
        <f ca="1">IFERROR(INDEX(_TECH_Initiative_Library!$Z$5:$Z$76,MATCH(ROWS($A$10:A23),_TECH_Initiative_Library!$AU$5:$AU$76,0)),"")</f>
        <v/>
      </c>
      <c r="L23" s="52" t="str">
        <f ca="1">IFERROR(INDEX(_TECH_Initiative_Library!$AA$5:$AA$76,MATCH(ROWS($A$10:A23),_TECH_Initiative_Library!$AU$5:$AU$76,0)),"")</f>
        <v/>
      </c>
      <c r="M23" s="52" t="str">
        <f ca="1">IFERROR(INDEX(_TECH_Initiative_Library!$AB$5:$AB$76,MATCH(ROWS($A$10:A23),_TECH_Initiative_Library!$AU$5:$AU$76,0)),"")</f>
        <v/>
      </c>
      <c r="N23" s="52" t="str">
        <f ca="1">IFERROR(INDEX(_TECH_Initiative_Library!$AF$5:$AF$76,MATCH(ROWS($A$10:A23),_TECH_Initiative_Library!$AU$5:$AU$76,0)),"")</f>
        <v/>
      </c>
      <c r="O23" s="52" t="str">
        <f ca="1">IFERROR(INDEX(_TECH_Initiative_Library!$AG$5:$AG$76,MATCH(ROWS($A$10:A23),_TECH_Initiative_Library!$AU$5:$AU$76,0)),"")</f>
        <v/>
      </c>
      <c r="P23" s="56" t="str">
        <f ca="1">IFERROR(INDEX(_TECH_Initiative_Library!$AI$5:$AI$76,MATCH(ROWS($A$10:A23),_TECH_Initiative_Library!$AU$5:$AU$76,0)),"")</f>
        <v/>
      </c>
      <c r="Q23" s="56" t="str">
        <f ca="1">IFERROR(INDEX(_TECH_Initiative_Library!$G$5:$G$76,MATCH(ROWS($A$10:A23),_TECH_Initiative_Library!$AU$5:$AU$76,0)),"")</f>
        <v/>
      </c>
    </row>
    <row r="24" spans="1:17" ht="51.95" customHeight="1">
      <c r="A24" s="52">
        <f>IFERROR(ROWS($A$10:A24),"")</f>
        <v>15</v>
      </c>
      <c r="B24" s="52" t="str">
        <f ca="1">IFERROR(INDEX(_TECH_Initiative_Library!$A$5:$A$76,MATCH(ROWS($A$10:A24),_TECH_Initiative_Library!$AU$5:$AU$76,0)),"")</f>
        <v/>
      </c>
      <c r="C24" s="52" t="str">
        <f ca="1">IFERROR(INDEX(_TECH_Initiative_Library!$F$5:$F$76,MATCH(ROWS($A$10:A24),_TECH_Initiative_Library!$AU$5:$AU$76,0)),"")</f>
        <v/>
      </c>
      <c r="D24" s="52" t="str">
        <f ca="1">IFERROR(INDEX(_TECH_Initiative_Library!$B$5:$B$76,MATCH(ROWS($A$10:A24),_TECH_Initiative_Library!$AU$5:$AU$76,0)),"")</f>
        <v/>
      </c>
      <c r="E24" s="52" t="str">
        <f ca="1">IFERROR(INDEX(_TECH_Initiative_Library!$C$5:$C$76,MATCH(ROWS($A$10:A24),_TECH_Initiative_Library!$AU$5:$AU$76,0)),"")</f>
        <v/>
      </c>
      <c r="F24" s="52" t="str">
        <f ca="1">IFERROR(INDEX(_TECH_Initiative_Library!$D$5:$D$76,MATCH(ROWS($A$10:A24),_TECH_Initiative_Library!$AU$5:$AU$76,0)),"")</f>
        <v/>
      </c>
      <c r="G24" s="52" t="str">
        <f ca="1">IFERROR(INDEX(_TECH_Initiative_Library!$AE$5:$AE$76,MATCH(ROWS($A$10:A24),_TECH_Initiative_Library!$AU$5:$AU$76,0)),"")</f>
        <v/>
      </c>
      <c r="H24" s="56" t="str">
        <f ca="1">IFERROR(INDEX(_TECH_Initiative_Library!$AT$5:$AT$76,MATCH(ROWS($A$10:A24),_TECH_Initiative_Library!$AU$5:$AU$76,0)),"")</f>
        <v/>
      </c>
      <c r="I24" s="52" t="str">
        <f ca="1">IFERROR(INDEX(_TECH_Initiative_Library!$X$5:$X$76,MATCH(ROWS($A$10:A24),_TECH_Initiative_Library!$AU$5:$AU$76,0)),"")</f>
        <v/>
      </c>
      <c r="J24" s="52" t="str">
        <f ca="1">IFERROR(INDEX(_TECH_Initiative_Library!$Y$5:$Y$76,MATCH(ROWS($A$10:A24),_TECH_Initiative_Library!$AU$5:$AU$76,0)),"")</f>
        <v/>
      </c>
      <c r="K24" s="52" t="str">
        <f ca="1">IFERROR(INDEX(_TECH_Initiative_Library!$Z$5:$Z$76,MATCH(ROWS($A$10:A24),_TECH_Initiative_Library!$AU$5:$AU$76,0)),"")</f>
        <v/>
      </c>
      <c r="L24" s="52" t="str">
        <f ca="1">IFERROR(INDEX(_TECH_Initiative_Library!$AA$5:$AA$76,MATCH(ROWS($A$10:A24),_TECH_Initiative_Library!$AU$5:$AU$76,0)),"")</f>
        <v/>
      </c>
      <c r="M24" s="52" t="str">
        <f ca="1">IFERROR(INDEX(_TECH_Initiative_Library!$AB$5:$AB$76,MATCH(ROWS($A$10:A24),_TECH_Initiative_Library!$AU$5:$AU$76,0)),"")</f>
        <v/>
      </c>
      <c r="N24" s="52" t="str">
        <f ca="1">IFERROR(INDEX(_TECH_Initiative_Library!$AF$5:$AF$76,MATCH(ROWS($A$10:A24),_TECH_Initiative_Library!$AU$5:$AU$76,0)),"")</f>
        <v/>
      </c>
      <c r="O24" s="52" t="str">
        <f ca="1">IFERROR(INDEX(_TECH_Initiative_Library!$AG$5:$AG$76,MATCH(ROWS($A$10:A24),_TECH_Initiative_Library!$AU$5:$AU$76,0)),"")</f>
        <v/>
      </c>
      <c r="P24" s="56" t="str">
        <f ca="1">IFERROR(INDEX(_TECH_Initiative_Library!$AI$5:$AI$76,MATCH(ROWS($A$10:A24),_TECH_Initiative_Library!$AU$5:$AU$76,0)),"")</f>
        <v/>
      </c>
      <c r="Q24" s="56" t="str">
        <f ca="1">IFERROR(INDEX(_TECH_Initiative_Library!$G$5:$G$76,MATCH(ROWS($A$10:A24),_TECH_Initiative_Library!$AU$5:$AU$76,0)),"")</f>
        <v/>
      </c>
    </row>
    <row r="25" spans="1:17" ht="51.95" customHeight="1">
      <c r="A25" s="52">
        <f>IFERROR(ROWS($A$10:A25),"")</f>
        <v>16</v>
      </c>
      <c r="B25" s="52" t="str">
        <f ca="1">IFERROR(INDEX(_TECH_Initiative_Library!$A$5:$A$76,MATCH(ROWS($A$10:A25),_TECH_Initiative_Library!$AU$5:$AU$76,0)),"")</f>
        <v/>
      </c>
      <c r="C25" s="52" t="str">
        <f ca="1">IFERROR(INDEX(_TECH_Initiative_Library!$F$5:$F$76,MATCH(ROWS($A$10:A25),_TECH_Initiative_Library!$AU$5:$AU$76,0)),"")</f>
        <v/>
      </c>
      <c r="D25" s="52" t="str">
        <f ca="1">IFERROR(INDEX(_TECH_Initiative_Library!$B$5:$B$76,MATCH(ROWS($A$10:A25),_TECH_Initiative_Library!$AU$5:$AU$76,0)),"")</f>
        <v/>
      </c>
      <c r="E25" s="52" t="str">
        <f ca="1">IFERROR(INDEX(_TECH_Initiative_Library!$C$5:$C$76,MATCH(ROWS($A$10:A25),_TECH_Initiative_Library!$AU$5:$AU$76,0)),"")</f>
        <v/>
      </c>
      <c r="F25" s="52" t="str">
        <f ca="1">IFERROR(INDEX(_TECH_Initiative_Library!$D$5:$D$76,MATCH(ROWS($A$10:A25),_TECH_Initiative_Library!$AU$5:$AU$76,0)),"")</f>
        <v/>
      </c>
      <c r="G25" s="52" t="str">
        <f ca="1">IFERROR(INDEX(_TECH_Initiative_Library!$AE$5:$AE$76,MATCH(ROWS($A$10:A25),_TECH_Initiative_Library!$AU$5:$AU$76,0)),"")</f>
        <v/>
      </c>
      <c r="H25" s="56" t="str">
        <f ca="1">IFERROR(INDEX(_TECH_Initiative_Library!$AT$5:$AT$76,MATCH(ROWS($A$10:A25),_TECH_Initiative_Library!$AU$5:$AU$76,0)),"")</f>
        <v/>
      </c>
      <c r="I25" s="52" t="str">
        <f ca="1">IFERROR(INDEX(_TECH_Initiative_Library!$X$5:$X$76,MATCH(ROWS($A$10:A25),_TECH_Initiative_Library!$AU$5:$AU$76,0)),"")</f>
        <v/>
      </c>
      <c r="J25" s="52" t="str">
        <f ca="1">IFERROR(INDEX(_TECH_Initiative_Library!$Y$5:$Y$76,MATCH(ROWS($A$10:A25),_TECH_Initiative_Library!$AU$5:$AU$76,0)),"")</f>
        <v/>
      </c>
      <c r="K25" s="52" t="str">
        <f ca="1">IFERROR(INDEX(_TECH_Initiative_Library!$Z$5:$Z$76,MATCH(ROWS($A$10:A25),_TECH_Initiative_Library!$AU$5:$AU$76,0)),"")</f>
        <v/>
      </c>
      <c r="L25" s="52" t="str">
        <f ca="1">IFERROR(INDEX(_TECH_Initiative_Library!$AA$5:$AA$76,MATCH(ROWS($A$10:A25),_TECH_Initiative_Library!$AU$5:$AU$76,0)),"")</f>
        <v/>
      </c>
      <c r="M25" s="52" t="str">
        <f ca="1">IFERROR(INDEX(_TECH_Initiative_Library!$AB$5:$AB$76,MATCH(ROWS($A$10:A25),_TECH_Initiative_Library!$AU$5:$AU$76,0)),"")</f>
        <v/>
      </c>
      <c r="N25" s="52" t="str">
        <f ca="1">IFERROR(INDEX(_TECH_Initiative_Library!$AF$5:$AF$76,MATCH(ROWS($A$10:A25),_TECH_Initiative_Library!$AU$5:$AU$76,0)),"")</f>
        <v/>
      </c>
      <c r="O25" s="52" t="str">
        <f ca="1">IFERROR(INDEX(_TECH_Initiative_Library!$AG$5:$AG$76,MATCH(ROWS($A$10:A25),_TECH_Initiative_Library!$AU$5:$AU$76,0)),"")</f>
        <v/>
      </c>
      <c r="P25" s="56" t="str">
        <f ca="1">IFERROR(INDEX(_TECH_Initiative_Library!$AI$5:$AI$76,MATCH(ROWS($A$10:A25),_TECH_Initiative_Library!$AU$5:$AU$76,0)),"")</f>
        <v/>
      </c>
      <c r="Q25" s="56" t="str">
        <f ca="1">IFERROR(INDEX(_TECH_Initiative_Library!$G$5:$G$76,MATCH(ROWS($A$10:A25),_TECH_Initiative_Library!$AU$5:$AU$76,0)),"")</f>
        <v/>
      </c>
    </row>
    <row r="26" spans="1:17" ht="51.95" customHeight="1">
      <c r="A26" s="52">
        <f>IFERROR(ROWS($A$10:A26),"")</f>
        <v>17</v>
      </c>
      <c r="B26" s="52" t="str">
        <f ca="1">IFERROR(INDEX(_TECH_Initiative_Library!$A$5:$A$76,MATCH(ROWS($A$10:A26),_TECH_Initiative_Library!$AU$5:$AU$76,0)),"")</f>
        <v/>
      </c>
      <c r="C26" s="52" t="str">
        <f ca="1">IFERROR(INDEX(_TECH_Initiative_Library!$F$5:$F$76,MATCH(ROWS($A$10:A26),_TECH_Initiative_Library!$AU$5:$AU$76,0)),"")</f>
        <v/>
      </c>
      <c r="D26" s="52" t="str">
        <f ca="1">IFERROR(INDEX(_TECH_Initiative_Library!$B$5:$B$76,MATCH(ROWS($A$10:A26),_TECH_Initiative_Library!$AU$5:$AU$76,0)),"")</f>
        <v/>
      </c>
      <c r="E26" s="52" t="str">
        <f ca="1">IFERROR(INDEX(_TECH_Initiative_Library!$C$5:$C$76,MATCH(ROWS($A$10:A26),_TECH_Initiative_Library!$AU$5:$AU$76,0)),"")</f>
        <v/>
      </c>
      <c r="F26" s="52" t="str">
        <f ca="1">IFERROR(INDEX(_TECH_Initiative_Library!$D$5:$D$76,MATCH(ROWS($A$10:A26),_TECH_Initiative_Library!$AU$5:$AU$76,0)),"")</f>
        <v/>
      </c>
      <c r="G26" s="52" t="str">
        <f ca="1">IFERROR(INDEX(_TECH_Initiative_Library!$AE$5:$AE$76,MATCH(ROWS($A$10:A26),_TECH_Initiative_Library!$AU$5:$AU$76,0)),"")</f>
        <v/>
      </c>
      <c r="H26" s="56" t="str">
        <f ca="1">IFERROR(INDEX(_TECH_Initiative_Library!$AT$5:$AT$76,MATCH(ROWS($A$10:A26),_TECH_Initiative_Library!$AU$5:$AU$76,0)),"")</f>
        <v/>
      </c>
      <c r="I26" s="52" t="str">
        <f ca="1">IFERROR(INDEX(_TECH_Initiative_Library!$X$5:$X$76,MATCH(ROWS($A$10:A26),_TECH_Initiative_Library!$AU$5:$AU$76,0)),"")</f>
        <v/>
      </c>
      <c r="J26" s="52" t="str">
        <f ca="1">IFERROR(INDEX(_TECH_Initiative_Library!$Y$5:$Y$76,MATCH(ROWS($A$10:A26),_TECH_Initiative_Library!$AU$5:$AU$76,0)),"")</f>
        <v/>
      </c>
      <c r="K26" s="52" t="str">
        <f ca="1">IFERROR(INDEX(_TECH_Initiative_Library!$Z$5:$Z$76,MATCH(ROWS($A$10:A26),_TECH_Initiative_Library!$AU$5:$AU$76,0)),"")</f>
        <v/>
      </c>
      <c r="L26" s="52" t="str">
        <f ca="1">IFERROR(INDEX(_TECH_Initiative_Library!$AA$5:$AA$76,MATCH(ROWS($A$10:A26),_TECH_Initiative_Library!$AU$5:$AU$76,0)),"")</f>
        <v/>
      </c>
      <c r="M26" s="52" t="str">
        <f ca="1">IFERROR(INDEX(_TECH_Initiative_Library!$AB$5:$AB$76,MATCH(ROWS($A$10:A26),_TECH_Initiative_Library!$AU$5:$AU$76,0)),"")</f>
        <v/>
      </c>
      <c r="N26" s="52" t="str">
        <f ca="1">IFERROR(INDEX(_TECH_Initiative_Library!$AF$5:$AF$76,MATCH(ROWS($A$10:A26),_TECH_Initiative_Library!$AU$5:$AU$76,0)),"")</f>
        <v/>
      </c>
      <c r="O26" s="52" t="str">
        <f ca="1">IFERROR(INDEX(_TECH_Initiative_Library!$AG$5:$AG$76,MATCH(ROWS($A$10:A26),_TECH_Initiative_Library!$AU$5:$AU$76,0)),"")</f>
        <v/>
      </c>
      <c r="P26" s="56" t="str">
        <f ca="1">IFERROR(INDEX(_TECH_Initiative_Library!$AI$5:$AI$76,MATCH(ROWS($A$10:A26),_TECH_Initiative_Library!$AU$5:$AU$76,0)),"")</f>
        <v/>
      </c>
      <c r="Q26" s="56" t="str">
        <f ca="1">IFERROR(INDEX(_TECH_Initiative_Library!$G$5:$G$76,MATCH(ROWS($A$10:A26),_TECH_Initiative_Library!$AU$5:$AU$76,0)),"")</f>
        <v/>
      </c>
    </row>
    <row r="27" spans="1:17" ht="51.95" customHeight="1">
      <c r="A27" s="52">
        <f>IFERROR(ROWS($A$10:A27),"")</f>
        <v>18</v>
      </c>
      <c r="B27" s="52" t="str">
        <f ca="1">IFERROR(INDEX(_TECH_Initiative_Library!$A$5:$A$76,MATCH(ROWS($A$10:A27),_TECH_Initiative_Library!$AU$5:$AU$76,0)),"")</f>
        <v/>
      </c>
      <c r="C27" s="52" t="str">
        <f ca="1">IFERROR(INDEX(_TECH_Initiative_Library!$F$5:$F$76,MATCH(ROWS($A$10:A27),_TECH_Initiative_Library!$AU$5:$AU$76,0)),"")</f>
        <v/>
      </c>
      <c r="D27" s="52" t="str">
        <f ca="1">IFERROR(INDEX(_TECH_Initiative_Library!$B$5:$B$76,MATCH(ROWS($A$10:A27),_TECH_Initiative_Library!$AU$5:$AU$76,0)),"")</f>
        <v/>
      </c>
      <c r="E27" s="52" t="str">
        <f ca="1">IFERROR(INDEX(_TECH_Initiative_Library!$C$5:$C$76,MATCH(ROWS($A$10:A27),_TECH_Initiative_Library!$AU$5:$AU$76,0)),"")</f>
        <v/>
      </c>
      <c r="F27" s="52" t="str">
        <f ca="1">IFERROR(INDEX(_TECH_Initiative_Library!$D$5:$D$76,MATCH(ROWS($A$10:A27),_TECH_Initiative_Library!$AU$5:$AU$76,0)),"")</f>
        <v/>
      </c>
      <c r="G27" s="52" t="str">
        <f ca="1">IFERROR(INDEX(_TECH_Initiative_Library!$AE$5:$AE$76,MATCH(ROWS($A$10:A27),_TECH_Initiative_Library!$AU$5:$AU$76,0)),"")</f>
        <v/>
      </c>
      <c r="H27" s="56" t="str">
        <f ca="1">IFERROR(INDEX(_TECH_Initiative_Library!$AT$5:$AT$76,MATCH(ROWS($A$10:A27),_TECH_Initiative_Library!$AU$5:$AU$76,0)),"")</f>
        <v/>
      </c>
      <c r="I27" s="52" t="str">
        <f ca="1">IFERROR(INDEX(_TECH_Initiative_Library!$X$5:$X$76,MATCH(ROWS($A$10:A27),_TECH_Initiative_Library!$AU$5:$AU$76,0)),"")</f>
        <v/>
      </c>
      <c r="J27" s="52" t="str">
        <f ca="1">IFERROR(INDEX(_TECH_Initiative_Library!$Y$5:$Y$76,MATCH(ROWS($A$10:A27),_TECH_Initiative_Library!$AU$5:$AU$76,0)),"")</f>
        <v/>
      </c>
      <c r="K27" s="52" t="str">
        <f ca="1">IFERROR(INDEX(_TECH_Initiative_Library!$Z$5:$Z$76,MATCH(ROWS($A$10:A27),_TECH_Initiative_Library!$AU$5:$AU$76,0)),"")</f>
        <v/>
      </c>
      <c r="L27" s="52" t="str">
        <f ca="1">IFERROR(INDEX(_TECH_Initiative_Library!$AA$5:$AA$76,MATCH(ROWS($A$10:A27),_TECH_Initiative_Library!$AU$5:$AU$76,0)),"")</f>
        <v/>
      </c>
      <c r="M27" s="52" t="str">
        <f ca="1">IFERROR(INDEX(_TECH_Initiative_Library!$AB$5:$AB$76,MATCH(ROWS($A$10:A27),_TECH_Initiative_Library!$AU$5:$AU$76,0)),"")</f>
        <v/>
      </c>
      <c r="N27" s="52" t="str">
        <f ca="1">IFERROR(INDEX(_TECH_Initiative_Library!$AF$5:$AF$76,MATCH(ROWS($A$10:A27),_TECH_Initiative_Library!$AU$5:$AU$76,0)),"")</f>
        <v/>
      </c>
      <c r="O27" s="52" t="str">
        <f ca="1">IFERROR(INDEX(_TECH_Initiative_Library!$AG$5:$AG$76,MATCH(ROWS($A$10:A27),_TECH_Initiative_Library!$AU$5:$AU$76,0)),"")</f>
        <v/>
      </c>
      <c r="P27" s="56" t="str">
        <f ca="1">IFERROR(INDEX(_TECH_Initiative_Library!$AI$5:$AI$76,MATCH(ROWS($A$10:A27),_TECH_Initiative_Library!$AU$5:$AU$76,0)),"")</f>
        <v/>
      </c>
      <c r="Q27" s="56" t="str">
        <f ca="1">IFERROR(INDEX(_TECH_Initiative_Library!$G$5:$G$76,MATCH(ROWS($A$10:A27),_TECH_Initiative_Library!$AU$5:$AU$76,0)),"")</f>
        <v/>
      </c>
    </row>
    <row r="28" spans="1:17" ht="51.95" customHeight="1">
      <c r="A28" s="52">
        <f>IFERROR(ROWS($A$10:A28),"")</f>
        <v>19</v>
      </c>
      <c r="B28" s="52" t="str">
        <f ca="1">IFERROR(INDEX(_TECH_Initiative_Library!$A$5:$A$76,MATCH(ROWS($A$10:A28),_TECH_Initiative_Library!$AU$5:$AU$76,0)),"")</f>
        <v/>
      </c>
      <c r="C28" s="52" t="str">
        <f ca="1">IFERROR(INDEX(_TECH_Initiative_Library!$F$5:$F$76,MATCH(ROWS($A$10:A28),_TECH_Initiative_Library!$AU$5:$AU$76,0)),"")</f>
        <v/>
      </c>
      <c r="D28" s="52" t="str">
        <f ca="1">IFERROR(INDEX(_TECH_Initiative_Library!$B$5:$B$76,MATCH(ROWS($A$10:A28),_TECH_Initiative_Library!$AU$5:$AU$76,0)),"")</f>
        <v/>
      </c>
      <c r="E28" s="52" t="str">
        <f ca="1">IFERROR(INDEX(_TECH_Initiative_Library!$C$5:$C$76,MATCH(ROWS($A$10:A28),_TECH_Initiative_Library!$AU$5:$AU$76,0)),"")</f>
        <v/>
      </c>
      <c r="F28" s="52" t="str">
        <f ca="1">IFERROR(INDEX(_TECH_Initiative_Library!$D$5:$D$76,MATCH(ROWS($A$10:A28),_TECH_Initiative_Library!$AU$5:$AU$76,0)),"")</f>
        <v/>
      </c>
      <c r="G28" s="52" t="str">
        <f ca="1">IFERROR(INDEX(_TECH_Initiative_Library!$AE$5:$AE$76,MATCH(ROWS($A$10:A28),_TECH_Initiative_Library!$AU$5:$AU$76,0)),"")</f>
        <v/>
      </c>
      <c r="H28" s="56" t="str">
        <f ca="1">IFERROR(INDEX(_TECH_Initiative_Library!$AT$5:$AT$76,MATCH(ROWS($A$10:A28),_TECH_Initiative_Library!$AU$5:$AU$76,0)),"")</f>
        <v/>
      </c>
      <c r="I28" s="52" t="str">
        <f ca="1">IFERROR(INDEX(_TECH_Initiative_Library!$X$5:$X$76,MATCH(ROWS($A$10:A28),_TECH_Initiative_Library!$AU$5:$AU$76,0)),"")</f>
        <v/>
      </c>
      <c r="J28" s="52" t="str">
        <f ca="1">IFERROR(INDEX(_TECH_Initiative_Library!$Y$5:$Y$76,MATCH(ROWS($A$10:A28),_TECH_Initiative_Library!$AU$5:$AU$76,0)),"")</f>
        <v/>
      </c>
      <c r="K28" s="52" t="str">
        <f ca="1">IFERROR(INDEX(_TECH_Initiative_Library!$Z$5:$Z$76,MATCH(ROWS($A$10:A28),_TECH_Initiative_Library!$AU$5:$AU$76,0)),"")</f>
        <v/>
      </c>
      <c r="L28" s="52" t="str">
        <f ca="1">IFERROR(INDEX(_TECH_Initiative_Library!$AA$5:$AA$76,MATCH(ROWS($A$10:A28),_TECH_Initiative_Library!$AU$5:$AU$76,0)),"")</f>
        <v/>
      </c>
      <c r="M28" s="52" t="str">
        <f ca="1">IFERROR(INDEX(_TECH_Initiative_Library!$AB$5:$AB$76,MATCH(ROWS($A$10:A28),_TECH_Initiative_Library!$AU$5:$AU$76,0)),"")</f>
        <v/>
      </c>
      <c r="N28" s="52" t="str">
        <f ca="1">IFERROR(INDEX(_TECH_Initiative_Library!$AF$5:$AF$76,MATCH(ROWS($A$10:A28),_TECH_Initiative_Library!$AU$5:$AU$76,0)),"")</f>
        <v/>
      </c>
      <c r="O28" s="52" t="str">
        <f ca="1">IFERROR(INDEX(_TECH_Initiative_Library!$AG$5:$AG$76,MATCH(ROWS($A$10:A28),_TECH_Initiative_Library!$AU$5:$AU$76,0)),"")</f>
        <v/>
      </c>
      <c r="P28" s="56" t="str">
        <f ca="1">IFERROR(INDEX(_TECH_Initiative_Library!$AI$5:$AI$76,MATCH(ROWS($A$10:A28),_TECH_Initiative_Library!$AU$5:$AU$76,0)),"")</f>
        <v/>
      </c>
      <c r="Q28" s="56" t="str">
        <f ca="1">IFERROR(INDEX(_TECH_Initiative_Library!$G$5:$G$76,MATCH(ROWS($A$10:A28),_TECH_Initiative_Library!$AU$5:$AU$76,0)),"")</f>
        <v/>
      </c>
    </row>
    <row r="29" spans="1:17" ht="51.95" customHeight="1">
      <c r="A29" s="52">
        <f>IFERROR(ROWS($A$10:A29),"")</f>
        <v>20</v>
      </c>
      <c r="B29" s="52" t="str">
        <f ca="1">IFERROR(INDEX(_TECH_Initiative_Library!$A$5:$A$76,MATCH(ROWS($A$10:A29),_TECH_Initiative_Library!$AU$5:$AU$76,0)),"")</f>
        <v/>
      </c>
      <c r="C29" s="52" t="str">
        <f ca="1">IFERROR(INDEX(_TECH_Initiative_Library!$F$5:$F$76,MATCH(ROWS($A$10:A29),_TECH_Initiative_Library!$AU$5:$AU$76,0)),"")</f>
        <v/>
      </c>
      <c r="D29" s="52" t="str">
        <f ca="1">IFERROR(INDEX(_TECH_Initiative_Library!$B$5:$B$76,MATCH(ROWS($A$10:A29),_TECH_Initiative_Library!$AU$5:$AU$76,0)),"")</f>
        <v/>
      </c>
      <c r="E29" s="52" t="str">
        <f ca="1">IFERROR(INDEX(_TECH_Initiative_Library!$C$5:$C$76,MATCH(ROWS($A$10:A29),_TECH_Initiative_Library!$AU$5:$AU$76,0)),"")</f>
        <v/>
      </c>
      <c r="F29" s="52" t="str">
        <f ca="1">IFERROR(INDEX(_TECH_Initiative_Library!$D$5:$D$76,MATCH(ROWS($A$10:A29),_TECH_Initiative_Library!$AU$5:$AU$76,0)),"")</f>
        <v/>
      </c>
      <c r="G29" s="52" t="str">
        <f ca="1">IFERROR(INDEX(_TECH_Initiative_Library!$AE$5:$AE$76,MATCH(ROWS($A$10:A29),_TECH_Initiative_Library!$AU$5:$AU$76,0)),"")</f>
        <v/>
      </c>
      <c r="H29" s="56" t="str">
        <f ca="1">IFERROR(INDEX(_TECH_Initiative_Library!$AT$5:$AT$76,MATCH(ROWS($A$10:A29),_TECH_Initiative_Library!$AU$5:$AU$76,0)),"")</f>
        <v/>
      </c>
      <c r="I29" s="52" t="str">
        <f ca="1">IFERROR(INDEX(_TECH_Initiative_Library!$X$5:$X$76,MATCH(ROWS($A$10:A29),_TECH_Initiative_Library!$AU$5:$AU$76,0)),"")</f>
        <v/>
      </c>
      <c r="J29" s="52" t="str">
        <f ca="1">IFERROR(INDEX(_TECH_Initiative_Library!$Y$5:$Y$76,MATCH(ROWS($A$10:A29),_TECH_Initiative_Library!$AU$5:$AU$76,0)),"")</f>
        <v/>
      </c>
      <c r="K29" s="52" t="str">
        <f ca="1">IFERROR(INDEX(_TECH_Initiative_Library!$Z$5:$Z$76,MATCH(ROWS($A$10:A29),_TECH_Initiative_Library!$AU$5:$AU$76,0)),"")</f>
        <v/>
      </c>
      <c r="L29" s="52" t="str">
        <f ca="1">IFERROR(INDEX(_TECH_Initiative_Library!$AA$5:$AA$76,MATCH(ROWS($A$10:A29),_TECH_Initiative_Library!$AU$5:$AU$76,0)),"")</f>
        <v/>
      </c>
      <c r="M29" s="52" t="str">
        <f ca="1">IFERROR(INDEX(_TECH_Initiative_Library!$AB$5:$AB$76,MATCH(ROWS($A$10:A29),_TECH_Initiative_Library!$AU$5:$AU$76,0)),"")</f>
        <v/>
      </c>
      <c r="N29" s="52" t="str">
        <f ca="1">IFERROR(INDEX(_TECH_Initiative_Library!$AF$5:$AF$76,MATCH(ROWS($A$10:A29),_TECH_Initiative_Library!$AU$5:$AU$76,0)),"")</f>
        <v/>
      </c>
      <c r="O29" s="52" t="str">
        <f ca="1">IFERROR(INDEX(_TECH_Initiative_Library!$AG$5:$AG$76,MATCH(ROWS($A$10:A29),_TECH_Initiative_Library!$AU$5:$AU$76,0)),"")</f>
        <v/>
      </c>
      <c r="P29" s="56" t="str">
        <f ca="1">IFERROR(INDEX(_TECH_Initiative_Library!$AI$5:$AI$76,MATCH(ROWS($A$10:A29),_TECH_Initiative_Library!$AU$5:$AU$76,0)),"")</f>
        <v/>
      </c>
      <c r="Q29" s="56" t="str">
        <f ca="1">IFERROR(INDEX(_TECH_Initiative_Library!$G$5:$G$76,MATCH(ROWS($A$10:A29),_TECH_Initiative_Library!$AU$5:$AU$76,0)),"")</f>
        <v/>
      </c>
    </row>
    <row r="30" spans="1:17" ht="51.95" customHeight="1">
      <c r="A30" s="52">
        <f>IFERROR(ROWS($A$10:A30),"")</f>
        <v>21</v>
      </c>
      <c r="B30" s="52" t="str">
        <f ca="1">IFERROR(INDEX(_TECH_Initiative_Library!$A$5:$A$76,MATCH(ROWS($A$10:A30),_TECH_Initiative_Library!$AU$5:$AU$76,0)),"")</f>
        <v/>
      </c>
      <c r="C30" s="52" t="str">
        <f ca="1">IFERROR(INDEX(_TECH_Initiative_Library!$F$5:$F$76,MATCH(ROWS($A$10:A30),_TECH_Initiative_Library!$AU$5:$AU$76,0)),"")</f>
        <v/>
      </c>
      <c r="D30" s="52" t="str">
        <f ca="1">IFERROR(INDEX(_TECH_Initiative_Library!$B$5:$B$76,MATCH(ROWS($A$10:A30),_TECH_Initiative_Library!$AU$5:$AU$76,0)),"")</f>
        <v/>
      </c>
      <c r="E30" s="52" t="str">
        <f ca="1">IFERROR(INDEX(_TECH_Initiative_Library!$C$5:$C$76,MATCH(ROWS($A$10:A30),_TECH_Initiative_Library!$AU$5:$AU$76,0)),"")</f>
        <v/>
      </c>
      <c r="F30" s="52" t="str">
        <f ca="1">IFERROR(INDEX(_TECH_Initiative_Library!$D$5:$D$76,MATCH(ROWS($A$10:A30),_TECH_Initiative_Library!$AU$5:$AU$76,0)),"")</f>
        <v/>
      </c>
      <c r="G30" s="52" t="str">
        <f ca="1">IFERROR(INDEX(_TECH_Initiative_Library!$AE$5:$AE$76,MATCH(ROWS($A$10:A30),_TECH_Initiative_Library!$AU$5:$AU$76,0)),"")</f>
        <v/>
      </c>
      <c r="H30" s="56" t="str">
        <f ca="1">IFERROR(INDEX(_TECH_Initiative_Library!$AT$5:$AT$76,MATCH(ROWS($A$10:A30),_TECH_Initiative_Library!$AU$5:$AU$76,0)),"")</f>
        <v/>
      </c>
      <c r="I30" s="52" t="str">
        <f ca="1">IFERROR(INDEX(_TECH_Initiative_Library!$X$5:$X$76,MATCH(ROWS($A$10:A30),_TECH_Initiative_Library!$AU$5:$AU$76,0)),"")</f>
        <v/>
      </c>
      <c r="J30" s="52" t="str">
        <f ca="1">IFERROR(INDEX(_TECH_Initiative_Library!$Y$5:$Y$76,MATCH(ROWS($A$10:A30),_TECH_Initiative_Library!$AU$5:$AU$76,0)),"")</f>
        <v/>
      </c>
      <c r="K30" s="52" t="str">
        <f ca="1">IFERROR(INDEX(_TECH_Initiative_Library!$Z$5:$Z$76,MATCH(ROWS($A$10:A30),_TECH_Initiative_Library!$AU$5:$AU$76,0)),"")</f>
        <v/>
      </c>
      <c r="L30" s="52" t="str">
        <f ca="1">IFERROR(INDEX(_TECH_Initiative_Library!$AA$5:$AA$76,MATCH(ROWS($A$10:A30),_TECH_Initiative_Library!$AU$5:$AU$76,0)),"")</f>
        <v/>
      </c>
      <c r="M30" s="52" t="str">
        <f ca="1">IFERROR(INDEX(_TECH_Initiative_Library!$AB$5:$AB$76,MATCH(ROWS($A$10:A30),_TECH_Initiative_Library!$AU$5:$AU$76,0)),"")</f>
        <v/>
      </c>
      <c r="N30" s="52" t="str">
        <f ca="1">IFERROR(INDEX(_TECH_Initiative_Library!$AF$5:$AF$76,MATCH(ROWS($A$10:A30),_TECH_Initiative_Library!$AU$5:$AU$76,0)),"")</f>
        <v/>
      </c>
      <c r="O30" s="52" t="str">
        <f ca="1">IFERROR(INDEX(_TECH_Initiative_Library!$AG$5:$AG$76,MATCH(ROWS($A$10:A30),_TECH_Initiative_Library!$AU$5:$AU$76,0)),"")</f>
        <v/>
      </c>
      <c r="P30" s="56" t="str">
        <f ca="1">IFERROR(INDEX(_TECH_Initiative_Library!$AI$5:$AI$76,MATCH(ROWS($A$10:A30),_TECH_Initiative_Library!$AU$5:$AU$76,0)),"")</f>
        <v/>
      </c>
      <c r="Q30" s="56" t="str">
        <f ca="1">IFERROR(INDEX(_TECH_Initiative_Library!$G$5:$G$76,MATCH(ROWS($A$10:A30),_TECH_Initiative_Library!$AU$5:$AU$76,0)),"")</f>
        <v/>
      </c>
    </row>
    <row r="31" spans="1:17" ht="51.95" customHeight="1">
      <c r="A31" s="52">
        <f>IFERROR(ROWS($A$10:A31),"")</f>
        <v>22</v>
      </c>
      <c r="B31" s="52" t="str">
        <f ca="1">IFERROR(INDEX(_TECH_Initiative_Library!$A$5:$A$76,MATCH(ROWS($A$10:A31),_TECH_Initiative_Library!$AU$5:$AU$76,0)),"")</f>
        <v/>
      </c>
      <c r="C31" s="52" t="str">
        <f ca="1">IFERROR(INDEX(_TECH_Initiative_Library!$F$5:$F$76,MATCH(ROWS($A$10:A31),_TECH_Initiative_Library!$AU$5:$AU$76,0)),"")</f>
        <v/>
      </c>
      <c r="D31" s="52" t="str">
        <f ca="1">IFERROR(INDEX(_TECH_Initiative_Library!$B$5:$B$76,MATCH(ROWS($A$10:A31),_TECH_Initiative_Library!$AU$5:$AU$76,0)),"")</f>
        <v/>
      </c>
      <c r="E31" s="52" t="str">
        <f ca="1">IFERROR(INDEX(_TECH_Initiative_Library!$C$5:$C$76,MATCH(ROWS($A$10:A31),_TECH_Initiative_Library!$AU$5:$AU$76,0)),"")</f>
        <v/>
      </c>
      <c r="F31" s="52" t="str">
        <f ca="1">IFERROR(INDEX(_TECH_Initiative_Library!$D$5:$D$76,MATCH(ROWS($A$10:A31),_TECH_Initiative_Library!$AU$5:$AU$76,0)),"")</f>
        <v/>
      </c>
      <c r="G31" s="52" t="str">
        <f ca="1">IFERROR(INDEX(_TECH_Initiative_Library!$AE$5:$AE$76,MATCH(ROWS($A$10:A31),_TECH_Initiative_Library!$AU$5:$AU$76,0)),"")</f>
        <v/>
      </c>
      <c r="H31" s="56" t="str">
        <f ca="1">IFERROR(INDEX(_TECH_Initiative_Library!$AT$5:$AT$76,MATCH(ROWS($A$10:A31),_TECH_Initiative_Library!$AU$5:$AU$76,0)),"")</f>
        <v/>
      </c>
      <c r="I31" s="52" t="str">
        <f ca="1">IFERROR(INDEX(_TECH_Initiative_Library!$X$5:$X$76,MATCH(ROWS($A$10:A31),_TECH_Initiative_Library!$AU$5:$AU$76,0)),"")</f>
        <v/>
      </c>
      <c r="J31" s="52" t="str">
        <f ca="1">IFERROR(INDEX(_TECH_Initiative_Library!$Y$5:$Y$76,MATCH(ROWS($A$10:A31),_TECH_Initiative_Library!$AU$5:$AU$76,0)),"")</f>
        <v/>
      </c>
      <c r="K31" s="52" t="str">
        <f ca="1">IFERROR(INDEX(_TECH_Initiative_Library!$Z$5:$Z$76,MATCH(ROWS($A$10:A31),_TECH_Initiative_Library!$AU$5:$AU$76,0)),"")</f>
        <v/>
      </c>
      <c r="L31" s="52" t="str">
        <f ca="1">IFERROR(INDEX(_TECH_Initiative_Library!$AA$5:$AA$76,MATCH(ROWS($A$10:A31),_TECH_Initiative_Library!$AU$5:$AU$76,0)),"")</f>
        <v/>
      </c>
      <c r="M31" s="52" t="str">
        <f ca="1">IFERROR(INDEX(_TECH_Initiative_Library!$AB$5:$AB$76,MATCH(ROWS($A$10:A31),_TECH_Initiative_Library!$AU$5:$AU$76,0)),"")</f>
        <v/>
      </c>
      <c r="N31" s="52" t="str">
        <f ca="1">IFERROR(INDEX(_TECH_Initiative_Library!$AF$5:$AF$76,MATCH(ROWS($A$10:A31),_TECH_Initiative_Library!$AU$5:$AU$76,0)),"")</f>
        <v/>
      </c>
      <c r="O31" s="52" t="str">
        <f ca="1">IFERROR(INDEX(_TECH_Initiative_Library!$AG$5:$AG$76,MATCH(ROWS($A$10:A31),_TECH_Initiative_Library!$AU$5:$AU$76,0)),"")</f>
        <v/>
      </c>
      <c r="P31" s="56" t="str">
        <f ca="1">IFERROR(INDEX(_TECH_Initiative_Library!$AI$5:$AI$76,MATCH(ROWS($A$10:A31),_TECH_Initiative_Library!$AU$5:$AU$76,0)),"")</f>
        <v/>
      </c>
      <c r="Q31" s="56" t="str">
        <f ca="1">IFERROR(INDEX(_TECH_Initiative_Library!$G$5:$G$76,MATCH(ROWS($A$10:A31),_TECH_Initiative_Library!$AU$5:$AU$76,0)),"")</f>
        <v/>
      </c>
    </row>
    <row r="32" spans="1:17" ht="51.95" customHeight="1">
      <c r="A32" s="52">
        <f>IFERROR(ROWS($A$10:A32),"")</f>
        <v>23</v>
      </c>
      <c r="B32" s="52" t="str">
        <f ca="1">IFERROR(INDEX(_TECH_Initiative_Library!$A$5:$A$76,MATCH(ROWS($A$10:A32),_TECH_Initiative_Library!$AU$5:$AU$76,0)),"")</f>
        <v/>
      </c>
      <c r="C32" s="52" t="str">
        <f ca="1">IFERROR(INDEX(_TECH_Initiative_Library!$F$5:$F$76,MATCH(ROWS($A$10:A32),_TECH_Initiative_Library!$AU$5:$AU$76,0)),"")</f>
        <v/>
      </c>
      <c r="D32" s="52" t="str">
        <f ca="1">IFERROR(INDEX(_TECH_Initiative_Library!$B$5:$B$76,MATCH(ROWS($A$10:A32),_TECH_Initiative_Library!$AU$5:$AU$76,0)),"")</f>
        <v/>
      </c>
      <c r="E32" s="52" t="str">
        <f ca="1">IFERROR(INDEX(_TECH_Initiative_Library!$C$5:$C$76,MATCH(ROWS($A$10:A32),_TECH_Initiative_Library!$AU$5:$AU$76,0)),"")</f>
        <v/>
      </c>
      <c r="F32" s="52" t="str">
        <f ca="1">IFERROR(INDEX(_TECH_Initiative_Library!$D$5:$D$76,MATCH(ROWS($A$10:A32),_TECH_Initiative_Library!$AU$5:$AU$76,0)),"")</f>
        <v/>
      </c>
      <c r="G32" s="52" t="str">
        <f ca="1">IFERROR(INDEX(_TECH_Initiative_Library!$AE$5:$AE$76,MATCH(ROWS($A$10:A32),_TECH_Initiative_Library!$AU$5:$AU$76,0)),"")</f>
        <v/>
      </c>
      <c r="H32" s="56" t="str">
        <f ca="1">IFERROR(INDEX(_TECH_Initiative_Library!$AT$5:$AT$76,MATCH(ROWS($A$10:A32),_TECH_Initiative_Library!$AU$5:$AU$76,0)),"")</f>
        <v/>
      </c>
      <c r="I32" s="52" t="str">
        <f ca="1">IFERROR(INDEX(_TECH_Initiative_Library!$X$5:$X$76,MATCH(ROWS($A$10:A32),_TECH_Initiative_Library!$AU$5:$AU$76,0)),"")</f>
        <v/>
      </c>
      <c r="J32" s="52" t="str">
        <f ca="1">IFERROR(INDEX(_TECH_Initiative_Library!$Y$5:$Y$76,MATCH(ROWS($A$10:A32),_TECH_Initiative_Library!$AU$5:$AU$76,0)),"")</f>
        <v/>
      </c>
      <c r="K32" s="52" t="str">
        <f ca="1">IFERROR(INDEX(_TECH_Initiative_Library!$Z$5:$Z$76,MATCH(ROWS($A$10:A32),_TECH_Initiative_Library!$AU$5:$AU$76,0)),"")</f>
        <v/>
      </c>
      <c r="L32" s="52" t="str">
        <f ca="1">IFERROR(INDEX(_TECH_Initiative_Library!$AA$5:$AA$76,MATCH(ROWS($A$10:A32),_TECH_Initiative_Library!$AU$5:$AU$76,0)),"")</f>
        <v/>
      </c>
      <c r="M32" s="52" t="str">
        <f ca="1">IFERROR(INDEX(_TECH_Initiative_Library!$AB$5:$AB$76,MATCH(ROWS($A$10:A32),_TECH_Initiative_Library!$AU$5:$AU$76,0)),"")</f>
        <v/>
      </c>
      <c r="N32" s="52" t="str">
        <f ca="1">IFERROR(INDEX(_TECH_Initiative_Library!$AF$5:$AF$76,MATCH(ROWS($A$10:A32),_TECH_Initiative_Library!$AU$5:$AU$76,0)),"")</f>
        <v/>
      </c>
      <c r="O32" s="52" t="str">
        <f ca="1">IFERROR(INDEX(_TECH_Initiative_Library!$AG$5:$AG$76,MATCH(ROWS($A$10:A32),_TECH_Initiative_Library!$AU$5:$AU$76,0)),"")</f>
        <v/>
      </c>
      <c r="P32" s="56" t="str">
        <f ca="1">IFERROR(INDEX(_TECH_Initiative_Library!$AI$5:$AI$76,MATCH(ROWS($A$10:A32),_TECH_Initiative_Library!$AU$5:$AU$76,0)),"")</f>
        <v/>
      </c>
      <c r="Q32" s="56" t="str">
        <f ca="1">IFERROR(INDEX(_TECH_Initiative_Library!$G$5:$G$76,MATCH(ROWS($A$10:A32),_TECH_Initiative_Library!$AU$5:$AU$76,0)),"")</f>
        <v/>
      </c>
    </row>
    <row r="33" spans="1:22" ht="51.95" customHeight="1">
      <c r="A33" s="52">
        <f>IFERROR(ROWS($A$10:A33),"")</f>
        <v>24</v>
      </c>
      <c r="B33" s="52" t="str">
        <f ca="1">IFERROR(INDEX(_TECH_Initiative_Library!$A$5:$A$76,MATCH(ROWS($A$10:A33),_TECH_Initiative_Library!$AU$5:$AU$76,0)),"")</f>
        <v/>
      </c>
      <c r="C33" s="52" t="str">
        <f ca="1">IFERROR(INDEX(_TECH_Initiative_Library!$F$5:$F$76,MATCH(ROWS($A$10:A33),_TECH_Initiative_Library!$AU$5:$AU$76,0)),"")</f>
        <v/>
      </c>
      <c r="D33" s="52" t="str">
        <f ca="1">IFERROR(INDEX(_TECH_Initiative_Library!$B$5:$B$76,MATCH(ROWS($A$10:A33),_TECH_Initiative_Library!$AU$5:$AU$76,0)),"")</f>
        <v/>
      </c>
      <c r="E33" s="52" t="str">
        <f ca="1">IFERROR(INDEX(_TECH_Initiative_Library!$C$5:$C$76,MATCH(ROWS($A$10:A33),_TECH_Initiative_Library!$AU$5:$AU$76,0)),"")</f>
        <v/>
      </c>
      <c r="F33" s="52" t="str">
        <f ca="1">IFERROR(INDEX(_TECH_Initiative_Library!$D$5:$D$76,MATCH(ROWS($A$10:A33),_TECH_Initiative_Library!$AU$5:$AU$76,0)),"")</f>
        <v/>
      </c>
      <c r="G33" s="52" t="str">
        <f ca="1">IFERROR(INDEX(_TECH_Initiative_Library!$AE$5:$AE$76,MATCH(ROWS($A$10:A33),_TECH_Initiative_Library!$AU$5:$AU$76,0)),"")</f>
        <v/>
      </c>
      <c r="H33" s="56" t="str">
        <f ca="1">IFERROR(INDEX(_TECH_Initiative_Library!$AT$5:$AT$76,MATCH(ROWS($A$10:A33),_TECH_Initiative_Library!$AU$5:$AU$76,0)),"")</f>
        <v/>
      </c>
      <c r="I33" s="52" t="str">
        <f ca="1">IFERROR(INDEX(_TECH_Initiative_Library!$X$5:$X$76,MATCH(ROWS($A$10:A33),_TECH_Initiative_Library!$AU$5:$AU$76,0)),"")</f>
        <v/>
      </c>
      <c r="J33" s="52" t="str">
        <f ca="1">IFERROR(INDEX(_TECH_Initiative_Library!$Y$5:$Y$76,MATCH(ROWS($A$10:A33),_TECH_Initiative_Library!$AU$5:$AU$76,0)),"")</f>
        <v/>
      </c>
      <c r="K33" s="52" t="str">
        <f ca="1">IFERROR(INDEX(_TECH_Initiative_Library!$Z$5:$Z$76,MATCH(ROWS($A$10:A33),_TECH_Initiative_Library!$AU$5:$AU$76,0)),"")</f>
        <v/>
      </c>
      <c r="L33" s="52" t="str">
        <f ca="1">IFERROR(INDEX(_TECH_Initiative_Library!$AA$5:$AA$76,MATCH(ROWS($A$10:A33),_TECH_Initiative_Library!$AU$5:$AU$76,0)),"")</f>
        <v/>
      </c>
      <c r="M33" s="52" t="str">
        <f ca="1">IFERROR(INDEX(_TECH_Initiative_Library!$AB$5:$AB$76,MATCH(ROWS($A$10:A33),_TECH_Initiative_Library!$AU$5:$AU$76,0)),"")</f>
        <v/>
      </c>
      <c r="N33" s="52" t="str">
        <f ca="1">IFERROR(INDEX(_TECH_Initiative_Library!$AF$5:$AF$76,MATCH(ROWS($A$10:A33),_TECH_Initiative_Library!$AU$5:$AU$76,0)),"")</f>
        <v/>
      </c>
      <c r="O33" s="52" t="str">
        <f ca="1">IFERROR(INDEX(_TECH_Initiative_Library!$AG$5:$AG$76,MATCH(ROWS($A$10:A33),_TECH_Initiative_Library!$AU$5:$AU$76,0)),"")</f>
        <v/>
      </c>
      <c r="P33" s="56" t="str">
        <f ca="1">IFERROR(INDEX(_TECH_Initiative_Library!$AI$5:$AI$76,MATCH(ROWS($A$10:A33),_TECH_Initiative_Library!$AU$5:$AU$76,0)),"")</f>
        <v/>
      </c>
      <c r="Q33" s="56" t="str">
        <f ca="1">IFERROR(INDEX(_TECH_Initiative_Library!$G$5:$G$76,MATCH(ROWS($A$10:A33),_TECH_Initiative_Library!$AU$5:$AU$76,0)),"")</f>
        <v/>
      </c>
    </row>
    <row r="34" spans="1:22" ht="51.95" customHeight="1">
      <c r="A34" s="52">
        <f>IFERROR(ROWS($A$10:A34),"")</f>
        <v>25</v>
      </c>
      <c r="B34" s="52" t="str">
        <f ca="1">IFERROR(INDEX(_TECH_Initiative_Library!$A$5:$A$76,MATCH(ROWS($A$10:A34),_TECH_Initiative_Library!$AU$5:$AU$76,0)),"")</f>
        <v/>
      </c>
      <c r="C34" s="52" t="str">
        <f ca="1">IFERROR(INDEX(_TECH_Initiative_Library!$F$5:$F$76,MATCH(ROWS($A$10:A34),_TECH_Initiative_Library!$AU$5:$AU$76,0)),"")</f>
        <v/>
      </c>
      <c r="D34" s="52" t="str">
        <f ca="1">IFERROR(INDEX(_TECH_Initiative_Library!$B$5:$B$76,MATCH(ROWS($A$10:A34),_TECH_Initiative_Library!$AU$5:$AU$76,0)),"")</f>
        <v/>
      </c>
      <c r="E34" s="52" t="str">
        <f ca="1">IFERROR(INDEX(_TECH_Initiative_Library!$C$5:$C$76,MATCH(ROWS($A$10:A34),_TECH_Initiative_Library!$AU$5:$AU$76,0)),"")</f>
        <v/>
      </c>
      <c r="F34" s="52" t="str">
        <f ca="1">IFERROR(INDEX(_TECH_Initiative_Library!$D$5:$D$76,MATCH(ROWS($A$10:A34),_TECH_Initiative_Library!$AU$5:$AU$76,0)),"")</f>
        <v/>
      </c>
      <c r="G34" s="52" t="str">
        <f ca="1">IFERROR(INDEX(_TECH_Initiative_Library!$AE$5:$AE$76,MATCH(ROWS($A$10:A34),_TECH_Initiative_Library!$AU$5:$AU$76,0)),"")</f>
        <v/>
      </c>
      <c r="H34" s="56" t="str">
        <f ca="1">IFERROR(INDEX(_TECH_Initiative_Library!$AT$5:$AT$76,MATCH(ROWS($A$10:A34),_TECH_Initiative_Library!$AU$5:$AU$76,0)),"")</f>
        <v/>
      </c>
      <c r="I34" s="52" t="str">
        <f ca="1">IFERROR(INDEX(_TECH_Initiative_Library!$X$5:$X$76,MATCH(ROWS($A$10:A34),_TECH_Initiative_Library!$AU$5:$AU$76,0)),"")</f>
        <v/>
      </c>
      <c r="J34" s="52" t="str">
        <f ca="1">IFERROR(INDEX(_TECH_Initiative_Library!$Y$5:$Y$76,MATCH(ROWS($A$10:A34),_TECH_Initiative_Library!$AU$5:$AU$76,0)),"")</f>
        <v/>
      </c>
      <c r="K34" s="52" t="str">
        <f ca="1">IFERROR(INDEX(_TECH_Initiative_Library!$Z$5:$Z$76,MATCH(ROWS($A$10:A34),_TECH_Initiative_Library!$AU$5:$AU$76,0)),"")</f>
        <v/>
      </c>
      <c r="L34" s="52" t="str">
        <f ca="1">IFERROR(INDEX(_TECH_Initiative_Library!$AA$5:$AA$76,MATCH(ROWS($A$10:A34),_TECH_Initiative_Library!$AU$5:$AU$76,0)),"")</f>
        <v/>
      </c>
      <c r="M34" s="52" t="str">
        <f ca="1">IFERROR(INDEX(_TECH_Initiative_Library!$AB$5:$AB$76,MATCH(ROWS($A$10:A34),_TECH_Initiative_Library!$AU$5:$AU$76,0)),"")</f>
        <v/>
      </c>
      <c r="N34" s="52" t="str">
        <f ca="1">IFERROR(INDEX(_TECH_Initiative_Library!$AF$5:$AF$76,MATCH(ROWS($A$10:A34),_TECH_Initiative_Library!$AU$5:$AU$76,0)),"")</f>
        <v/>
      </c>
      <c r="O34" s="52" t="str">
        <f ca="1">IFERROR(INDEX(_TECH_Initiative_Library!$AG$5:$AG$76,MATCH(ROWS($A$10:A34),_TECH_Initiative_Library!$AU$5:$AU$76,0)),"")</f>
        <v/>
      </c>
      <c r="P34" s="56" t="str">
        <f ca="1">IFERROR(INDEX(_TECH_Initiative_Library!$AI$5:$AI$76,MATCH(ROWS($A$10:A34),_TECH_Initiative_Library!$AU$5:$AU$76,0)),"")</f>
        <v/>
      </c>
      <c r="Q34" s="56" t="str">
        <f ca="1">IFERROR(INDEX(_TECH_Initiative_Library!$G$5:$G$76,MATCH(ROWS($A$10:A34),_TECH_Initiative_Library!$AU$5:$AU$76,0)),"")</f>
        <v/>
      </c>
    </row>
    <row r="35" spans="1:22">
      <c r="H35" s="11"/>
      <c r="P35" s="11"/>
      <c r="Q35" s="11"/>
    </row>
    <row r="36" spans="1:22">
      <c r="H36" s="11"/>
      <c r="P36" s="11"/>
      <c r="Q36" s="11"/>
    </row>
    <row r="37" spans="1:22" ht="27.95" customHeight="1">
      <c r="A37" s="159" t="s">
        <v>770</v>
      </c>
      <c r="B37" s="158"/>
      <c r="C37" s="158"/>
      <c r="D37" s="158"/>
      <c r="E37" s="158"/>
      <c r="F37" s="158"/>
      <c r="H37" s="11"/>
      <c r="P37" s="11"/>
      <c r="Q37" s="11"/>
    </row>
    <row r="38" spans="1:22" ht="27.95" customHeight="1">
      <c r="A38" s="51" t="s">
        <v>760</v>
      </c>
      <c r="B38" s="51" t="s">
        <v>771</v>
      </c>
      <c r="C38" s="51" t="s">
        <v>752</v>
      </c>
      <c r="D38" s="51" t="s">
        <v>772</v>
      </c>
      <c r="H38" s="11"/>
      <c r="P38" s="11"/>
      <c r="Q38" s="11"/>
    </row>
    <row r="39" spans="1:22" ht="51">
      <c r="A39" s="52" t="s">
        <v>753</v>
      </c>
      <c r="B39" s="52">
        <f ca="1">COUNTIF(_TECH_Initiative_Library!$AE$5:$AE$76,"0-90 days")</f>
        <v>0</v>
      </c>
      <c r="C39" s="52" t="str">
        <f ca="1">IFERROR(ROUND(AVERAGEIF(_TECH_Initiative_Library!$AE$5:$AE$76,"0-90 days",_TECH_Initiative_Library!$AT$5:$AT$76),2),"")</f>
        <v/>
      </c>
      <c r="D39" s="52" t="s">
        <v>773</v>
      </c>
      <c r="H39" s="11"/>
      <c r="P39" s="11"/>
      <c r="Q39" s="11"/>
    </row>
    <row r="40" spans="1:22" ht="25.5">
      <c r="A40" s="52" t="s">
        <v>754</v>
      </c>
      <c r="B40" s="52">
        <f ca="1">COUNTIF(_TECH_Initiative_Library!$AE$5:$AE$76,"3-6 months")</f>
        <v>0</v>
      </c>
      <c r="C40" s="52" t="str">
        <f ca="1">IFERROR(ROUND(AVERAGEIF(_TECH_Initiative_Library!$AE$5:$AE$76,"3-6 months",_TECH_Initiative_Library!$AT$5:$AT$76),2),"")</f>
        <v/>
      </c>
      <c r="D40" s="52" t="s">
        <v>774</v>
      </c>
      <c r="H40" s="11"/>
      <c r="P40" s="11"/>
      <c r="Q40" s="11"/>
    </row>
    <row r="41" spans="1:22" ht="38.25">
      <c r="A41" s="52" t="s">
        <v>755</v>
      </c>
      <c r="B41" s="52">
        <f ca="1">COUNTIF(_TECH_Initiative_Library!$AE$5:$AE$76,"6-12 months")</f>
        <v>0</v>
      </c>
      <c r="C41" s="52" t="str">
        <f ca="1">IFERROR(ROUND(AVERAGEIF(_TECH_Initiative_Library!$AE$5:$AE$76,"6-12 months",_TECH_Initiative_Library!$AT$5:$AT$76),2),"")</f>
        <v/>
      </c>
      <c r="D41" s="52" t="s">
        <v>775</v>
      </c>
      <c r="H41" s="11"/>
      <c r="P41" s="11"/>
      <c r="Q41" s="11"/>
    </row>
    <row r="42" spans="1:22" ht="38.25">
      <c r="A42" s="52" t="s">
        <v>756</v>
      </c>
      <c r="B42" s="52">
        <f ca="1">COUNTIF(_TECH_Initiative_Library!$AE$5:$AE$76,"12+ months")</f>
        <v>0</v>
      </c>
      <c r="C42" s="52" t="str">
        <f ca="1">IFERROR(ROUND(AVERAGEIF(_TECH_Initiative_Library!$AE$5:$AE$76,"12+ months",_TECH_Initiative_Library!$AT$5:$AT$76),2),"")</f>
        <v/>
      </c>
      <c r="D42" s="52" t="s">
        <v>776</v>
      </c>
      <c r="H42" s="11"/>
      <c r="P42" s="11"/>
      <c r="Q42" s="11"/>
    </row>
    <row r="43" spans="1:22">
      <c r="H43" s="11"/>
      <c r="P43" s="11"/>
      <c r="Q43" s="11"/>
    </row>
    <row r="44" spans="1:22">
      <c r="H44" s="11"/>
      <c r="P44" s="11"/>
      <c r="Q44" s="11"/>
    </row>
    <row r="45" spans="1:22" ht="27.95" customHeight="1">
      <c r="A45" s="159" t="s">
        <v>777</v>
      </c>
      <c r="B45" s="158"/>
      <c r="C45" s="158"/>
      <c r="D45" s="158"/>
      <c r="E45" s="158"/>
      <c r="F45" s="158"/>
      <c r="G45" s="158"/>
      <c r="H45" s="158"/>
      <c r="I45" s="158"/>
      <c r="J45" s="158"/>
      <c r="K45" s="158"/>
      <c r="L45" s="158"/>
      <c r="M45" s="158"/>
      <c r="N45" s="158"/>
      <c r="O45" s="158"/>
      <c r="P45" s="158"/>
      <c r="Q45" s="158"/>
      <c r="R45" s="158"/>
      <c r="S45" s="158"/>
      <c r="T45" s="158"/>
      <c r="U45" s="158"/>
      <c r="V45" s="158"/>
    </row>
    <row r="46" spans="1:22" ht="27.95" customHeight="1">
      <c r="A46" s="51" t="s">
        <v>196</v>
      </c>
      <c r="B46" s="51" t="s">
        <v>758</v>
      </c>
      <c r="C46" s="51" t="s">
        <v>197</v>
      </c>
      <c r="D46" s="51" t="s">
        <v>36</v>
      </c>
      <c r="E46" s="51" t="s">
        <v>759</v>
      </c>
      <c r="F46" s="51" t="s">
        <v>717</v>
      </c>
      <c r="G46" s="51" t="s">
        <v>760</v>
      </c>
      <c r="H46" s="55" t="s">
        <v>329</v>
      </c>
      <c r="I46" s="51" t="s">
        <v>761</v>
      </c>
      <c r="J46" s="51" t="s">
        <v>762</v>
      </c>
      <c r="K46" s="51" t="s">
        <v>763</v>
      </c>
      <c r="L46" s="51" t="s">
        <v>764</v>
      </c>
      <c r="M46" s="51" t="s">
        <v>765</v>
      </c>
      <c r="N46" s="51" t="s">
        <v>778</v>
      </c>
      <c r="O46" s="51" t="s">
        <v>180</v>
      </c>
      <c r="P46" s="55" t="s">
        <v>779</v>
      </c>
      <c r="Q46" s="55" t="s">
        <v>705</v>
      </c>
      <c r="R46" s="51" t="s">
        <v>766</v>
      </c>
      <c r="S46" s="51" t="s">
        <v>767</v>
      </c>
      <c r="T46" s="51" t="s">
        <v>780</v>
      </c>
      <c r="U46" s="51" t="s">
        <v>781</v>
      </c>
      <c r="V46" s="51" t="s">
        <v>782</v>
      </c>
    </row>
    <row r="47" spans="1:22" ht="33.950000000000003" customHeight="1">
      <c r="A47" s="52">
        <f ca="1">_TECH_Initiative_Library!AD5</f>
      </c>
      <c r="B47" s="52" t="str">
        <f>_TECH_Initiative_Library!A5</f>
        <v>INI-001</v>
      </c>
      <c r="C47" s="52" t="str">
        <f>_TECH_Initiative_Library!F5</f>
        <v>Create company context, entity and operating model register</v>
      </c>
      <c r="D47" s="52" t="str">
        <f>_TECH_Initiative_Library!B5</f>
        <v>Company Geography</v>
      </c>
      <c r="E47" s="52" t="str">
        <f>_TECH_Initiative_Library!C5</f>
        <v>Company profile</v>
      </c>
      <c r="F47" s="52" t="str">
        <f>_TECH_Initiative_Library!D5</f>
        <v>Business Continuity and Resilience Strategy</v>
      </c>
      <c r="G47" s="52">
        <f ca="1">_TECH_Initiative_Library!AE5</f>
      </c>
      <c r="H47" s="56">
        <f ca="1">_TECH_Initiative_Library!AC5</f>
      </c>
      <c r="I47" s="52">
        <f ca="1">_TECH_Initiative_Library!X5</f>
      </c>
      <c r="J47" s="52">
        <f ca="1">_TECH_Initiative_Library!Y5</f>
        <v>3</v>
      </c>
      <c r="K47" s="52">
        <f ca="1">_TECH_Initiative_Library!Z5</f>
      </c>
      <c r="L47" s="52">
        <f>_TECH_Initiative_Library!AA5</f>
        <v>4</v>
      </c>
      <c r="M47" s="52">
        <f>_TECH_Initiative_Library!AB5</f>
        <v>2</v>
      </c>
      <c r="N47" s="52">
        <f>_TECH_Initiative_Library!L5</f>
        <v>0</v>
      </c>
      <c r="O47" s="52">
        <f>_TECH_Initiative_Library!M5</f>
        <v>0</v>
      </c>
      <c r="P47" s="56" t="str">
        <f ca="1">_TECH_Initiative_Library!N5</f>
        <v/>
      </c>
      <c r="Q47" s="56">
        <f>_TECH_Initiative_Library!R5</f>
        <v>1.6</v>
      </c>
      <c r="R47" s="52" t="str">
        <f>_TECH_Initiative_Library!AF5</f>
        <v>CEO / COO / Risk Lead</v>
      </c>
      <c r="S47" s="52" t="str">
        <f>_TECH_Initiative_Library!AG5</f>
        <v>4-8 weeks</v>
      </c>
      <c r="T47" s="52" t="str">
        <f>_TECH_Initiative_Library!AP5</f>
        <v>Low-Medium</v>
      </c>
      <c r="U47" s="52" t="s">
        <v>783</v>
      </c>
      <c r="V47" s="52"/>
    </row>
    <row r="48" spans="1:22" ht="33.950000000000003" customHeight="1">
      <c r="A48" s="52">
        <f ca="1">_TECH_Initiative_Library!AD6</f>
      </c>
      <c r="B48" s="52" t="str">
        <f>_TECH_Initiative_Library!A6</f>
        <v>INI-002</v>
      </c>
      <c r="C48" s="52" t="str">
        <f>_TECH_Initiative_Library!F6</f>
        <v>Build geographic exposure and site continuity model</v>
      </c>
      <c r="D48" s="52" t="str">
        <f>_TECH_Initiative_Library!B6</f>
        <v>Company Geography</v>
      </c>
      <c r="E48" s="52" t="str">
        <f>_TECH_Initiative_Library!C6</f>
        <v>Geographical distribution</v>
      </c>
      <c r="F48" s="52" t="str">
        <f>_TECH_Initiative_Library!D6</f>
        <v>Business Continuity and Resilience Strategy</v>
      </c>
      <c r="G48" s="52">
        <f ca="1">_TECH_Initiative_Library!AE6</f>
      </c>
      <c r="H48" s="56">
        <f ca="1">_TECH_Initiative_Library!AC6</f>
      </c>
      <c r="I48" s="52">
        <f ca="1">_TECH_Initiative_Library!X6</f>
      </c>
      <c r="J48" s="52">
        <f ca="1">_TECH_Initiative_Library!Y6</f>
        <v>3</v>
      </c>
      <c r="K48" s="52">
        <f ca="1">_TECH_Initiative_Library!Z6</f>
      </c>
      <c r="L48" s="52">
        <f>_TECH_Initiative_Library!AA6</f>
        <v>4</v>
      </c>
      <c r="M48" s="52">
        <f>_TECH_Initiative_Library!AB6</f>
        <v>2</v>
      </c>
      <c r="N48" s="52">
        <f>_TECH_Initiative_Library!L6</f>
        <v>0</v>
      </c>
      <c r="O48" s="52">
        <f>_TECH_Initiative_Library!M6</f>
        <v>0</v>
      </c>
      <c r="P48" s="56" t="str">
        <f ca="1">_TECH_Initiative_Library!N6</f>
        <v/>
      </c>
      <c r="Q48" s="56">
        <f>_TECH_Initiative_Library!R6</f>
        <v>1.6</v>
      </c>
      <c r="R48" s="52" t="str">
        <f>_TECH_Initiative_Library!AF6</f>
        <v>CEO / COO / Risk Lead</v>
      </c>
      <c r="S48" s="52" t="str">
        <f>_TECH_Initiative_Library!AG6</f>
        <v>4-8 weeks</v>
      </c>
      <c r="T48" s="52" t="str">
        <f>_TECH_Initiative_Library!AP6</f>
        <v>Low-Medium</v>
      </c>
      <c r="U48" s="52" t="s">
        <v>783</v>
      </c>
      <c r="V48" s="52"/>
    </row>
    <row r="49" spans="1:22" ht="33.950000000000003" customHeight="1">
      <c r="A49" s="52">
        <f ca="1">_TECH_Initiative_Library!AD7</f>
      </c>
      <c r="B49" s="52" t="str">
        <f>_TECH_Initiative_Library!A7</f>
        <v>INI-003</v>
      </c>
      <c r="C49" s="52" t="str">
        <f>_TECH_Initiative_Library!F7</f>
        <v>Map critical business dependencies and external exposures</v>
      </c>
      <c r="D49" s="52" t="str">
        <f>_TECH_Initiative_Library!B7</f>
        <v>Company Geography</v>
      </c>
      <c r="E49" s="52" t="str">
        <f>_TECH_Initiative_Library!C7</f>
        <v>Context and dependencies</v>
      </c>
      <c r="F49" s="52" t="str">
        <f>_TECH_Initiative_Library!D7</f>
        <v>Business Continuity and Resilience Strategy</v>
      </c>
      <c r="G49" s="52">
        <f ca="1">_TECH_Initiative_Library!AE7</f>
      </c>
      <c r="H49" s="56">
        <f ca="1">_TECH_Initiative_Library!AC7</f>
      </c>
      <c r="I49" s="52">
        <f ca="1">_TECH_Initiative_Library!X7</f>
      </c>
      <c r="J49" s="52">
        <f ca="1">_TECH_Initiative_Library!Y7</f>
        <v>3</v>
      </c>
      <c r="K49" s="52">
        <f ca="1">_TECH_Initiative_Library!Z7</f>
      </c>
      <c r="L49" s="52">
        <f>_TECH_Initiative_Library!AA7</f>
        <v>4</v>
      </c>
      <c r="M49" s="52">
        <f>_TECH_Initiative_Library!AB7</f>
        <v>2</v>
      </c>
      <c r="N49" s="52">
        <f>_TECH_Initiative_Library!L7</f>
        <v>0</v>
      </c>
      <c r="O49" s="52">
        <f>_TECH_Initiative_Library!M7</f>
        <v>0</v>
      </c>
      <c r="P49" s="56" t="str">
        <f ca="1">_TECH_Initiative_Library!N7</f>
        <v/>
      </c>
      <c r="Q49" s="56">
        <f>_TECH_Initiative_Library!R7</f>
        <v>1.6</v>
      </c>
      <c r="R49" s="52" t="str">
        <f>_TECH_Initiative_Library!AF7</f>
        <v>CEO / COO / Risk Lead</v>
      </c>
      <c r="S49" s="52" t="str">
        <f>_TECH_Initiative_Library!AG7</f>
        <v>4-8 weeks</v>
      </c>
      <c r="T49" s="52" t="str">
        <f>_TECH_Initiative_Library!AP7</f>
        <v>Low-Medium</v>
      </c>
      <c r="U49" s="52" t="s">
        <v>783</v>
      </c>
      <c r="V49" s="52"/>
    </row>
    <row r="50" spans="1:22" ht="33.950000000000003" customHeight="1">
      <c r="A50" s="52">
        <f ca="1">_TECH_Initiative_Library!AD8</f>
      </c>
      <c r="B50" s="52" t="str">
        <f>_TECH_Initiative_Library!A8</f>
        <v>INI-004</v>
      </c>
      <c r="C50" s="52" t="str">
        <f>_TECH_Initiative_Library!F8</f>
        <v>Stress-test corporate strategy and decision assumptions</v>
      </c>
      <c r="D50" s="52" t="str">
        <f>_TECH_Initiative_Library!B8</f>
        <v>Strategy GTM</v>
      </c>
      <c r="E50" s="52" t="str">
        <f>_TECH_Initiative_Library!C8</f>
        <v>Corporate strategy</v>
      </c>
      <c r="F50" s="52" t="str">
        <f>_TECH_Initiative_Library!D8</f>
        <v>Governance and Decision-Speed Strategy</v>
      </c>
      <c r="G50" s="52">
        <f ca="1">_TECH_Initiative_Library!AE8</f>
      </c>
      <c r="H50" s="56">
        <f ca="1">_TECH_Initiative_Library!AC8</f>
      </c>
      <c r="I50" s="52">
        <f ca="1">_TECH_Initiative_Library!X8</f>
      </c>
      <c r="J50" s="52">
        <f ca="1">_TECH_Initiative_Library!Y8</f>
        <v>2</v>
      </c>
      <c r="K50" s="52">
        <f ca="1">_TECH_Initiative_Library!Z8</f>
      </c>
      <c r="L50" s="52">
        <f>_TECH_Initiative_Library!AA8</f>
        <v>4</v>
      </c>
      <c r="M50" s="52">
        <f>_TECH_Initiative_Library!AB8</f>
        <v>3</v>
      </c>
      <c r="N50" s="52">
        <f>_TECH_Initiative_Library!L8</f>
        <v>0</v>
      </c>
      <c r="O50" s="52">
        <f>_TECH_Initiative_Library!M8</f>
        <v>0</v>
      </c>
      <c r="P50" s="56" t="str">
        <f ca="1">_TECH_Initiative_Library!N8</f>
        <v/>
      </c>
      <c r="Q50" s="56">
        <f>_TECH_Initiative_Library!R8</f>
        <v>1</v>
      </c>
      <c r="R50" s="52" t="str">
        <f>_TECH_Initiative_Library!AF8</f>
        <v>CEO / CRO / Head of Strategy</v>
      </c>
      <c r="S50" s="52" t="str">
        <f>_TECH_Initiative_Library!AG8</f>
        <v>2-3 months</v>
      </c>
      <c r="T50" s="52" t="str">
        <f>_TECH_Initiative_Library!AP8</f>
        <v>Medium</v>
      </c>
      <c r="U50" s="52" t="s">
        <v>783</v>
      </c>
      <c r="V50" s="52"/>
    </row>
    <row r="51" spans="1:22" ht="33.950000000000003" customHeight="1">
      <c r="A51" s="52">
        <f ca="1">_TECH_Initiative_Library!AD9</f>
      </c>
      <c r="B51" s="52" t="str">
        <f>_TECH_Initiative_Library!A9</f>
        <v>INI-005</v>
      </c>
      <c r="C51" s="52" t="str">
        <f>_TECH_Initiative_Library!F9</f>
        <v>Define crisis-adjusted ICP, market segments and demand exposure</v>
      </c>
      <c r="D51" s="52" t="str">
        <f>_TECH_Initiative_Library!B9</f>
        <v>Strategy GTM</v>
      </c>
      <c r="E51" s="52" t="str">
        <f>_TECH_Initiative_Library!C9</f>
        <v>Market and ICP</v>
      </c>
      <c r="F51" s="52" t="str">
        <f>_TECH_Initiative_Library!D9</f>
        <v>Sales Channel Diversification Strategy</v>
      </c>
      <c r="G51" s="52">
        <f ca="1">_TECH_Initiative_Library!AE9</f>
      </c>
      <c r="H51" s="56">
        <f ca="1">_TECH_Initiative_Library!AC9</f>
      </c>
      <c r="I51" s="52">
        <f ca="1">_TECH_Initiative_Library!X9</f>
      </c>
      <c r="J51" s="52">
        <f ca="1">_TECH_Initiative_Library!Y9</f>
        <v>2</v>
      </c>
      <c r="K51" s="52">
        <f ca="1">_TECH_Initiative_Library!Z9</f>
      </c>
      <c r="L51" s="52">
        <f>_TECH_Initiative_Library!AA9</f>
        <v>4</v>
      </c>
      <c r="M51" s="52">
        <f>_TECH_Initiative_Library!AB9</f>
        <v>3</v>
      </c>
      <c r="N51" s="52">
        <f>_TECH_Initiative_Library!L9</f>
        <v>0</v>
      </c>
      <c r="O51" s="52">
        <f>_TECH_Initiative_Library!M9</f>
        <v>0</v>
      </c>
      <c r="P51" s="56" t="str">
        <f ca="1">_TECH_Initiative_Library!N9</f>
        <v/>
      </c>
      <c r="Q51" s="56">
        <f>_TECH_Initiative_Library!R9</f>
        <v>1</v>
      </c>
      <c r="R51" s="52" t="str">
        <f>_TECH_Initiative_Library!AF9</f>
        <v>CEO / CRO / Head of Strategy</v>
      </c>
      <c r="S51" s="52" t="str">
        <f>_TECH_Initiative_Library!AG9</f>
        <v>2-3 months</v>
      </c>
      <c r="T51" s="52" t="str">
        <f>_TECH_Initiative_Library!AP9</f>
        <v>Medium</v>
      </c>
      <c r="U51" s="52" t="s">
        <v>783</v>
      </c>
      <c r="V51" s="52"/>
    </row>
    <row r="52" spans="1:22" ht="33.950000000000003" customHeight="1">
      <c r="A52" s="52">
        <f ca="1">_TECH_Initiative_Library!AD10</f>
      </c>
      <c r="B52" s="52" t="str">
        <f>_TECH_Initiative_Library!A10</f>
        <v>INI-006</v>
      </c>
      <c r="C52" s="52" t="str">
        <f>_TECH_Initiative_Library!F10</f>
        <v>Standardize offering architecture and crisis-proof value proposition</v>
      </c>
      <c r="D52" s="52" t="str">
        <f>_TECH_Initiative_Library!B10</f>
        <v>Strategy GTM</v>
      </c>
      <c r="E52" s="52" t="str">
        <f>_TECH_Initiative_Library!C10</f>
        <v>Offering and positioning</v>
      </c>
      <c r="F52" s="52" t="str">
        <f>_TECH_Initiative_Library!D10</f>
        <v>Sales Channel Diversification Strategy</v>
      </c>
      <c r="G52" s="52">
        <f ca="1">_TECH_Initiative_Library!AE10</f>
      </c>
      <c r="H52" s="56">
        <f ca="1">_TECH_Initiative_Library!AC10</f>
      </c>
      <c r="I52" s="52">
        <f ca="1">_TECH_Initiative_Library!X10</f>
      </c>
      <c r="J52" s="52">
        <f ca="1">_TECH_Initiative_Library!Y10</f>
        <v>2</v>
      </c>
      <c r="K52" s="52">
        <f ca="1">_TECH_Initiative_Library!Z10</f>
      </c>
      <c r="L52" s="52">
        <f>_TECH_Initiative_Library!AA10</f>
        <v>4</v>
      </c>
      <c r="M52" s="52">
        <f>_TECH_Initiative_Library!AB10</f>
        <v>3</v>
      </c>
      <c r="N52" s="52">
        <f>_TECH_Initiative_Library!L10</f>
        <v>0</v>
      </c>
      <c r="O52" s="52">
        <f>_TECH_Initiative_Library!M10</f>
        <v>0</v>
      </c>
      <c r="P52" s="56" t="str">
        <f ca="1">_TECH_Initiative_Library!N10</f>
        <v/>
      </c>
      <c r="Q52" s="56">
        <f>_TECH_Initiative_Library!R10</f>
        <v>1</v>
      </c>
      <c r="R52" s="52" t="str">
        <f>_TECH_Initiative_Library!AF10</f>
        <v>CEO / CRO / Head of Strategy</v>
      </c>
      <c r="S52" s="52" t="str">
        <f>_TECH_Initiative_Library!AG10</f>
        <v>2-3 months</v>
      </c>
      <c r="T52" s="52" t="str">
        <f>_TECH_Initiative_Library!AP10</f>
        <v>Medium</v>
      </c>
      <c r="U52" s="52" t="s">
        <v>783</v>
      </c>
      <c r="V52" s="52"/>
    </row>
    <row r="53" spans="1:22" ht="33.950000000000003" customHeight="1">
      <c r="A53" s="52">
        <f ca="1">_TECH_Initiative_Library!AD11</f>
      </c>
      <c r="B53" s="52" t="str">
        <f>_TECH_Initiative_Library!A11</f>
        <v>INI-007</v>
      </c>
      <c r="C53" s="52" t="str">
        <f>_TECH_Initiative_Library!F11</f>
        <v>Build resilient GTM execution cadence and channel plan</v>
      </c>
      <c r="D53" s="52" t="str">
        <f>_TECH_Initiative_Library!B11</f>
        <v>Strategy GTM</v>
      </c>
      <c r="E53" s="52" t="str">
        <f>_TECH_Initiative_Library!C11</f>
        <v>GTM execution</v>
      </c>
      <c r="F53" s="52" t="str">
        <f>_TECH_Initiative_Library!D11</f>
        <v>Sales Channel Diversification Strategy</v>
      </c>
      <c r="G53" s="52">
        <f ca="1">_TECH_Initiative_Library!AE11</f>
      </c>
      <c r="H53" s="56">
        <f ca="1">_TECH_Initiative_Library!AC11</f>
      </c>
      <c r="I53" s="52">
        <f ca="1">_TECH_Initiative_Library!X11</f>
      </c>
      <c r="J53" s="52">
        <f ca="1">_TECH_Initiative_Library!Y11</f>
        <v>2</v>
      </c>
      <c r="K53" s="52">
        <f ca="1">_TECH_Initiative_Library!Z11</f>
      </c>
      <c r="L53" s="52">
        <f>_TECH_Initiative_Library!AA11</f>
        <v>4</v>
      </c>
      <c r="M53" s="52">
        <f>_TECH_Initiative_Library!AB11</f>
        <v>3</v>
      </c>
      <c r="N53" s="52">
        <f>_TECH_Initiative_Library!L11</f>
        <v>0</v>
      </c>
      <c r="O53" s="52">
        <f>_TECH_Initiative_Library!M11</f>
        <v>0</v>
      </c>
      <c r="P53" s="56" t="str">
        <f ca="1">_TECH_Initiative_Library!N11</f>
        <v/>
      </c>
      <c r="Q53" s="56">
        <f>_TECH_Initiative_Library!R11</f>
        <v>1</v>
      </c>
      <c r="R53" s="52" t="str">
        <f>_TECH_Initiative_Library!AF11</f>
        <v>CEO / CRO / Head of Strategy</v>
      </c>
      <c r="S53" s="52" t="str">
        <f>_TECH_Initiative_Library!AG11</f>
        <v>2-3 months</v>
      </c>
      <c r="T53" s="52" t="str">
        <f>_TECH_Initiative_Library!AP11</f>
        <v>Medium</v>
      </c>
      <c r="U53" s="52" t="s">
        <v>783</v>
      </c>
      <c r="V53" s="52"/>
    </row>
    <row r="54" spans="1:22" ht="33.950000000000003" customHeight="1">
      <c r="A54" s="52">
        <f ca="1">_TECH_Initiative_Library!AD12</f>
      </c>
      <c r="B54" s="52" t="str">
        <f>_TECH_Initiative_Library!A12</f>
        <v>INI-008</v>
      </c>
      <c r="C54" s="52" t="str">
        <f>_TECH_Initiative_Library!F12</f>
        <v>Implement crisis governance, roles and escalation model</v>
      </c>
      <c r="D54" s="52" t="str">
        <f>_TECH_Initiative_Library!B12</f>
        <v>Governance Crisis</v>
      </c>
      <c r="E54" s="52" t="str">
        <f>_TECH_Initiative_Library!C12</f>
        <v>Crisis governance</v>
      </c>
      <c r="F54" s="52" t="str">
        <f>_TECH_Initiative_Library!D12</f>
        <v>Governance and Decision-Speed Strategy</v>
      </c>
      <c r="G54" s="52">
        <f ca="1">_TECH_Initiative_Library!AE12</f>
      </c>
      <c r="H54" s="56">
        <f ca="1">_TECH_Initiative_Library!AC12</f>
      </c>
      <c r="I54" s="52">
        <f ca="1">_TECH_Initiative_Library!X12</f>
      </c>
      <c r="J54" s="52">
        <f ca="1">_TECH_Initiative_Library!Y12</f>
        <v>2</v>
      </c>
      <c r="K54" s="52">
        <f ca="1">_TECH_Initiative_Library!Z12</f>
      </c>
      <c r="L54" s="52">
        <f>_TECH_Initiative_Library!AA12</f>
        <v>4</v>
      </c>
      <c r="M54" s="52">
        <f>_TECH_Initiative_Library!AB12</f>
        <v>2</v>
      </c>
      <c r="N54" s="52">
        <f>_TECH_Initiative_Library!L12</f>
        <v>0</v>
      </c>
      <c r="O54" s="52">
        <f>_TECH_Initiative_Library!M12</f>
        <v>0</v>
      </c>
      <c r="P54" s="56" t="str">
        <f ca="1">_TECH_Initiative_Library!N12</f>
        <v/>
      </c>
      <c r="Q54" s="56">
        <f>_TECH_Initiative_Library!R12</f>
        <v>1.4</v>
      </c>
      <c r="R54" s="52" t="str">
        <f>_TECH_Initiative_Library!AF12</f>
        <v>CEO / COO / Risk Lead</v>
      </c>
      <c r="S54" s="52" t="str">
        <f>_TECH_Initiative_Library!AG12</f>
        <v>4-8 weeks</v>
      </c>
      <c r="T54" s="52" t="str">
        <f>_TECH_Initiative_Library!AP12</f>
        <v>Low-Medium</v>
      </c>
      <c r="U54" s="52" t="s">
        <v>783</v>
      </c>
      <c r="V54" s="52"/>
    </row>
    <row r="55" spans="1:22" ht="33.950000000000003" customHeight="1">
      <c r="A55" s="52">
        <f ca="1">_TECH_Initiative_Library!AD13</f>
      </c>
      <c r="B55" s="52" t="str">
        <f>_TECH_Initiative_Library!A13</f>
        <v>INI-009</v>
      </c>
      <c r="C55" s="52" t="str">
        <f>_TECH_Initiative_Library!F13</f>
        <v>Build integrated risk, continuity and resilience control cycle</v>
      </c>
      <c r="D55" s="52" t="str">
        <f>_TECH_Initiative_Library!B13</f>
        <v>Governance Crisis</v>
      </c>
      <c r="E55" s="52" t="str">
        <f>_TECH_Initiative_Library!C13</f>
        <v>Risk and continuity</v>
      </c>
      <c r="F55" s="52" t="str">
        <f>_TECH_Initiative_Library!D13</f>
        <v>Governance and Decision-Speed Strategy</v>
      </c>
      <c r="G55" s="52">
        <f ca="1">_TECH_Initiative_Library!AE13</f>
      </c>
      <c r="H55" s="56">
        <f ca="1">_TECH_Initiative_Library!AC13</f>
      </c>
      <c r="I55" s="52">
        <f ca="1">_TECH_Initiative_Library!X13</f>
      </c>
      <c r="J55" s="52">
        <f ca="1">_TECH_Initiative_Library!Y13</f>
        <v>2</v>
      </c>
      <c r="K55" s="52">
        <f ca="1">_TECH_Initiative_Library!Z13</f>
      </c>
      <c r="L55" s="52">
        <f>_TECH_Initiative_Library!AA13</f>
        <v>4</v>
      </c>
      <c r="M55" s="52">
        <f>_TECH_Initiative_Library!AB13</f>
        <v>2</v>
      </c>
      <c r="N55" s="52">
        <f>_TECH_Initiative_Library!L13</f>
        <v>0</v>
      </c>
      <c r="O55" s="52">
        <f>_TECH_Initiative_Library!M13</f>
        <v>0</v>
      </c>
      <c r="P55" s="56" t="str">
        <f ca="1">_TECH_Initiative_Library!N13</f>
        <v/>
      </c>
      <c r="Q55" s="56">
        <f>_TECH_Initiative_Library!R13</f>
        <v>1.4</v>
      </c>
      <c r="R55" s="52" t="str">
        <f>_TECH_Initiative_Library!AF13</f>
        <v>CEO / COO / Risk Lead</v>
      </c>
      <c r="S55" s="52" t="str">
        <f>_TECH_Initiative_Library!AG13</f>
        <v>4-8 weeks</v>
      </c>
      <c r="T55" s="52" t="str">
        <f>_TECH_Initiative_Library!AP13</f>
        <v>Low-Medium</v>
      </c>
      <c r="U55" s="52" t="s">
        <v>783</v>
      </c>
      <c r="V55" s="52"/>
    </row>
    <row r="56" spans="1:22" ht="33.950000000000003" customHeight="1">
      <c r="A56" s="52">
        <f ca="1">_TECH_Initiative_Library!AD14</f>
      </c>
      <c r="B56" s="52" t="str">
        <f>_TECH_Initiative_Library!A14</f>
        <v>INI-010</v>
      </c>
      <c r="C56" s="52" t="str">
        <f>_TECH_Initiative_Library!F14</f>
        <v>Implement incident command, escalation and after-action review</v>
      </c>
      <c r="D56" s="52" t="str">
        <f>_TECH_Initiative_Library!B14</f>
        <v>Governance Crisis</v>
      </c>
      <c r="E56" s="52" t="str">
        <f>_TECH_Initiative_Library!C14</f>
        <v>Incident management</v>
      </c>
      <c r="F56" s="52" t="str">
        <f>_TECH_Initiative_Library!D14</f>
        <v>Governance and Decision-Speed Strategy</v>
      </c>
      <c r="G56" s="52">
        <f ca="1">_TECH_Initiative_Library!AE14</f>
      </c>
      <c r="H56" s="56">
        <f ca="1">_TECH_Initiative_Library!AC14</f>
      </c>
      <c r="I56" s="52">
        <f ca="1">_TECH_Initiative_Library!X14</f>
      </c>
      <c r="J56" s="52">
        <f ca="1">_TECH_Initiative_Library!Y14</f>
        <v>2</v>
      </c>
      <c r="K56" s="52">
        <f ca="1">_TECH_Initiative_Library!Z14</f>
      </c>
      <c r="L56" s="52">
        <f>_TECH_Initiative_Library!AA14</f>
        <v>4</v>
      </c>
      <c r="M56" s="52">
        <f>_TECH_Initiative_Library!AB14</f>
        <v>2</v>
      </c>
      <c r="N56" s="52">
        <f>_TECH_Initiative_Library!L14</f>
        <v>0</v>
      </c>
      <c r="O56" s="52">
        <f>_TECH_Initiative_Library!M14</f>
        <v>0</v>
      </c>
      <c r="P56" s="56" t="str">
        <f ca="1">_TECH_Initiative_Library!N14</f>
        <v/>
      </c>
      <c r="Q56" s="56">
        <f>_TECH_Initiative_Library!R14</f>
        <v>1.4</v>
      </c>
      <c r="R56" s="52" t="str">
        <f>_TECH_Initiative_Library!AF14</f>
        <v>CEO / COO / Risk Lead</v>
      </c>
      <c r="S56" s="52" t="str">
        <f>_TECH_Initiative_Library!AG14</f>
        <v>4-8 weeks</v>
      </c>
      <c r="T56" s="52" t="str">
        <f>_TECH_Initiative_Library!AP14</f>
        <v>Low-Medium</v>
      </c>
      <c r="U56" s="52" t="s">
        <v>783</v>
      </c>
      <c r="V56" s="52"/>
    </row>
    <row r="57" spans="1:22" ht="33.950000000000003" customHeight="1">
      <c r="A57" s="52">
        <f ca="1">_TECH_Initiative_Library!AD15</f>
      </c>
      <c r="B57" s="52" t="str">
        <f>_TECH_Initiative_Library!A15</f>
        <v>INI-011</v>
      </c>
      <c r="C57" s="52" t="str">
        <f>_TECH_Initiative_Library!F15</f>
        <v>Create workforce visibility, critical-role and location dashboard</v>
      </c>
      <c r="D57" s="52" t="str">
        <f>_TECH_Initiative_Library!B15</f>
        <v>HR Workforce</v>
      </c>
      <c r="E57" s="52" t="str">
        <f>_TECH_Initiative_Library!C15</f>
        <v>Workforce visibility</v>
      </c>
      <c r="F57" s="52" t="str">
        <f>_TECH_Initiative_Library!D15</f>
        <v>Workforce Resilience Strategy</v>
      </c>
      <c r="G57" s="52">
        <f ca="1">_TECH_Initiative_Library!AE15</f>
      </c>
      <c r="H57" s="56">
        <f ca="1">_TECH_Initiative_Library!AC15</f>
      </c>
      <c r="I57" s="52">
        <f ca="1">_TECH_Initiative_Library!X15</f>
      </c>
      <c r="J57" s="52">
        <f ca="1">_TECH_Initiative_Library!Y15</f>
        <v>3</v>
      </c>
      <c r="K57" s="52">
        <f ca="1">_TECH_Initiative_Library!Z15</f>
      </c>
      <c r="L57" s="52">
        <f>_TECH_Initiative_Library!AA15</f>
        <v>4</v>
      </c>
      <c r="M57" s="52">
        <f>_TECH_Initiative_Library!AB15</f>
        <v>3</v>
      </c>
      <c r="N57" s="52">
        <f>_TECH_Initiative_Library!L15</f>
        <v>0</v>
      </c>
      <c r="O57" s="52">
        <f>_TECH_Initiative_Library!M15</f>
        <v>0</v>
      </c>
      <c r="P57" s="56" t="str">
        <f ca="1">_TECH_Initiative_Library!N15</f>
        <v/>
      </c>
      <c r="Q57" s="56">
        <f>_TECH_Initiative_Library!R15</f>
        <v>1.8</v>
      </c>
      <c r="R57" s="52" t="str">
        <f>_TECH_Initiative_Library!AF15</f>
        <v>CHRO / HR Director</v>
      </c>
      <c r="S57" s="52" t="str">
        <f>_TECH_Initiative_Library!AG15</f>
        <v>2-3 months</v>
      </c>
      <c r="T57" s="52" t="str">
        <f>_TECH_Initiative_Library!AP15</f>
        <v>Medium</v>
      </c>
      <c r="U57" s="52" t="s">
        <v>783</v>
      </c>
      <c r="V57" s="52"/>
    </row>
    <row r="58" spans="1:22" ht="33.950000000000003" customHeight="1">
      <c r="A58" s="52">
        <f ca="1">_TECH_Initiative_Library!AD16</f>
      </c>
      <c r="B58" s="52" t="str">
        <f>_TECH_Initiative_Library!A16</f>
        <v>INI-012</v>
      </c>
      <c r="C58" s="52" t="str">
        <f>_TECH_Initiative_Library!F16</f>
        <v>Build recruitment, retention and succession resilience plan</v>
      </c>
      <c r="D58" s="52" t="str">
        <f>_TECH_Initiative_Library!B16</f>
        <v>HR Workforce</v>
      </c>
      <c r="E58" s="52" t="str">
        <f>_TECH_Initiative_Library!C16</f>
        <v>Recruitment and retention</v>
      </c>
      <c r="F58" s="52" t="str">
        <f>_TECH_Initiative_Library!D16</f>
        <v>Workforce Resilience Strategy</v>
      </c>
      <c r="G58" s="52">
        <f ca="1">_TECH_Initiative_Library!AE16</f>
      </c>
      <c r="H58" s="56">
        <f ca="1">_TECH_Initiative_Library!AC16</f>
      </c>
      <c r="I58" s="52">
        <f ca="1">_TECH_Initiative_Library!X16</f>
      </c>
      <c r="J58" s="52">
        <f ca="1">_TECH_Initiative_Library!Y16</f>
        <v>3</v>
      </c>
      <c r="K58" s="52">
        <f ca="1">_TECH_Initiative_Library!Z16</f>
      </c>
      <c r="L58" s="52">
        <f>_TECH_Initiative_Library!AA16</f>
        <v>4</v>
      </c>
      <c r="M58" s="52">
        <f>_TECH_Initiative_Library!AB16</f>
        <v>3</v>
      </c>
      <c r="N58" s="52">
        <f>_TECH_Initiative_Library!L16</f>
        <v>0</v>
      </c>
      <c r="O58" s="52">
        <f>_TECH_Initiative_Library!M16</f>
        <v>0</v>
      </c>
      <c r="P58" s="56" t="str">
        <f ca="1">_TECH_Initiative_Library!N16</f>
        <v/>
      </c>
      <c r="Q58" s="56">
        <f>_TECH_Initiative_Library!R16</f>
        <v>1.8</v>
      </c>
      <c r="R58" s="52" t="str">
        <f>_TECH_Initiative_Library!AF16</f>
        <v>CHRO / HR Director</v>
      </c>
      <c r="S58" s="52" t="str">
        <f>_TECH_Initiative_Library!AG16</f>
        <v>2-3 months</v>
      </c>
      <c r="T58" s="52" t="str">
        <f>_TECH_Initiative_Library!AP16</f>
        <v>Medium</v>
      </c>
      <c r="U58" s="52" t="s">
        <v>783</v>
      </c>
      <c r="V58" s="52"/>
    </row>
    <row r="59" spans="1:22" ht="33.950000000000003" customHeight="1">
      <c r="A59" s="52">
        <f ca="1">_TECH_Initiative_Library!AD17</f>
      </c>
      <c r="B59" s="52" t="str">
        <f>_TECH_Initiative_Library!A17</f>
        <v>INI-013</v>
      </c>
      <c r="C59" s="52" t="str">
        <f>_TECH_Initiative_Library!F17</f>
        <v>Implement workforce continuity, wellbeing and availability playbook</v>
      </c>
      <c r="D59" s="52" t="str">
        <f>_TECH_Initiative_Library!B17</f>
        <v>HR Workforce</v>
      </c>
      <c r="E59" s="52" t="str">
        <f>_TECH_Initiative_Library!C17</f>
        <v>Continuity and wellbeing</v>
      </c>
      <c r="F59" s="52" t="str">
        <f>_TECH_Initiative_Library!D17</f>
        <v>Workforce Resilience Strategy</v>
      </c>
      <c r="G59" s="52">
        <f ca="1">_TECH_Initiative_Library!AE17</f>
      </c>
      <c r="H59" s="56">
        <f ca="1">_TECH_Initiative_Library!AC17</f>
      </c>
      <c r="I59" s="52">
        <f ca="1">_TECH_Initiative_Library!X17</f>
      </c>
      <c r="J59" s="52">
        <f ca="1">_TECH_Initiative_Library!Y17</f>
        <v>3</v>
      </c>
      <c r="K59" s="52">
        <f ca="1">_TECH_Initiative_Library!Z17</f>
      </c>
      <c r="L59" s="52">
        <f>_TECH_Initiative_Library!AA17</f>
        <v>4</v>
      </c>
      <c r="M59" s="52">
        <f>_TECH_Initiative_Library!AB17</f>
        <v>3</v>
      </c>
      <c r="N59" s="52">
        <f>_TECH_Initiative_Library!L17</f>
        <v>0</v>
      </c>
      <c r="O59" s="52">
        <f>_TECH_Initiative_Library!M17</f>
        <v>0</v>
      </c>
      <c r="P59" s="56" t="str">
        <f ca="1">_TECH_Initiative_Library!N17</f>
        <v/>
      </c>
      <c r="Q59" s="56">
        <f>_TECH_Initiative_Library!R17</f>
        <v>1.8</v>
      </c>
      <c r="R59" s="52" t="str">
        <f>_TECH_Initiative_Library!AF17</f>
        <v>CHRO / HR Director</v>
      </c>
      <c r="S59" s="52" t="str">
        <f>_TECH_Initiative_Library!AG17</f>
        <v>2-3 months</v>
      </c>
      <c r="T59" s="52" t="str">
        <f>_TECH_Initiative_Library!AP17</f>
        <v>Medium</v>
      </c>
      <c r="U59" s="52" t="s">
        <v>783</v>
      </c>
      <c r="V59" s="52"/>
    </row>
    <row r="60" spans="1:22" ht="33.950000000000003" customHeight="1">
      <c r="A60" s="52">
        <f ca="1">_TECH_Initiative_Library!AD18</f>
      </c>
      <c r="B60" s="52" t="str">
        <f>_TECH_Initiative_Library!A18</f>
        <v>INI-014</v>
      </c>
      <c r="C60" s="52" t="str">
        <f>_TECH_Initiative_Library!F18</f>
        <v>Stabilize HRMS, workforce data and HR compliance controls</v>
      </c>
      <c r="D60" s="52" t="str">
        <f>_TECH_Initiative_Library!B18</f>
        <v>HR Workforce</v>
      </c>
      <c r="E60" s="52" t="str">
        <f>_TECH_Initiative_Library!C18</f>
        <v>HR systems and compliance</v>
      </c>
      <c r="F60" s="52" t="str">
        <f>_TECH_Initiative_Library!D18</f>
        <v>Workforce Resilience Strategy</v>
      </c>
      <c r="G60" s="52">
        <f ca="1">_TECH_Initiative_Library!AE18</f>
      </c>
      <c r="H60" s="56">
        <f ca="1">_TECH_Initiative_Library!AC18</f>
      </c>
      <c r="I60" s="52">
        <f ca="1">_TECH_Initiative_Library!X18</f>
      </c>
      <c r="J60" s="52">
        <f ca="1">_TECH_Initiative_Library!Y18</f>
        <v>3</v>
      </c>
      <c r="K60" s="52">
        <f ca="1">_TECH_Initiative_Library!Z18</f>
      </c>
      <c r="L60" s="52">
        <f>_TECH_Initiative_Library!AA18</f>
        <v>4</v>
      </c>
      <c r="M60" s="52">
        <f>_TECH_Initiative_Library!AB18</f>
        <v>3</v>
      </c>
      <c r="N60" s="52">
        <f>_TECH_Initiative_Library!L18</f>
        <v>0</v>
      </c>
      <c r="O60" s="52">
        <f>_TECH_Initiative_Library!M18</f>
        <v>0</v>
      </c>
      <c r="P60" s="56" t="str">
        <f ca="1">_TECH_Initiative_Library!N18</f>
        <v/>
      </c>
      <c r="Q60" s="56">
        <f>_TECH_Initiative_Library!R18</f>
        <v>1.8</v>
      </c>
      <c r="R60" s="52" t="str">
        <f>_TECH_Initiative_Library!AF18</f>
        <v>CHRO / HR Director</v>
      </c>
      <c r="S60" s="52" t="str">
        <f>_TECH_Initiative_Library!AG18</f>
        <v>2-3 months</v>
      </c>
      <c r="T60" s="52" t="str">
        <f>_TECH_Initiative_Library!AP18</f>
        <v>Medium</v>
      </c>
      <c r="U60" s="52" t="s">
        <v>783</v>
      </c>
      <c r="V60" s="52"/>
    </row>
    <row r="61" spans="1:22" ht="33.950000000000003" customHeight="1">
      <c r="A61" s="52">
        <f ca="1">_TECH_Initiative_Library!AD19</f>
      </c>
      <c r="B61" s="52" t="str">
        <f>_TECH_Initiative_Library!A19</f>
        <v>INI-015</v>
      </c>
      <c r="C61" s="52" t="str">
        <f>_TECH_Initiative_Library!F19</f>
        <v>Implement cash-flow resilience and financial scenario planning</v>
      </c>
      <c r="D61" s="52" t="str">
        <f>_TECH_Initiative_Library!B19</f>
        <v>Finance Procurement</v>
      </c>
      <c r="E61" s="52" t="str">
        <f>_TECH_Initiative_Library!C19</f>
        <v>Financial resilience</v>
      </c>
      <c r="F61" s="52" t="str">
        <f>_TECH_Initiative_Library!D19</f>
        <v>Business Continuity and Resilience Strategy</v>
      </c>
      <c r="G61" s="52">
        <f ca="1">_TECH_Initiative_Library!AE19</f>
      </c>
      <c r="H61" s="56">
        <f ca="1">_TECH_Initiative_Library!AC19</f>
      </c>
      <c r="I61" s="52">
        <f ca="1">_TECH_Initiative_Library!X19</f>
      </c>
      <c r="J61" s="52">
        <f ca="1">_TECH_Initiative_Library!Y19</f>
        <v>2</v>
      </c>
      <c r="K61" s="52">
        <f ca="1">_TECH_Initiative_Library!Z19</f>
      </c>
      <c r="L61" s="52">
        <f>_TECH_Initiative_Library!AA19</f>
        <v>4</v>
      </c>
      <c r="M61" s="52">
        <f>_TECH_Initiative_Library!AB19</f>
        <v>3</v>
      </c>
      <c r="N61" s="52">
        <f>_TECH_Initiative_Library!L19</f>
        <v>0</v>
      </c>
      <c r="O61" s="52">
        <f>_TECH_Initiative_Library!M19</f>
        <v>0</v>
      </c>
      <c r="P61" s="56" t="str">
        <f ca="1">_TECH_Initiative_Library!N19</f>
        <v/>
      </c>
      <c r="Q61" s="56">
        <f>_TECH_Initiative_Library!R19</f>
        <v>1.3</v>
      </c>
      <c r="R61" s="52" t="str">
        <f>_TECH_Initiative_Library!AF19</f>
        <v>CFO / Procurement Lead</v>
      </c>
      <c r="S61" s="52" t="str">
        <f>_TECH_Initiative_Library!AG19</f>
        <v>2-3 months</v>
      </c>
      <c r="T61" s="52" t="str">
        <f>_TECH_Initiative_Library!AP19</f>
        <v>Medium</v>
      </c>
      <c r="U61" s="52" t="s">
        <v>783</v>
      </c>
      <c r="V61" s="52"/>
    </row>
    <row r="62" spans="1:22" ht="33.950000000000003" customHeight="1">
      <c r="A62" s="52">
        <f ca="1">_TECH_Initiative_Library!AD20</f>
      </c>
      <c r="B62" s="52" t="str">
        <f>_TECH_Initiative_Library!A20</f>
        <v>INI-016</v>
      </c>
      <c r="C62" s="52" t="str">
        <f>_TECH_Initiative_Library!F20</f>
        <v>Strengthen financial controls, approvals and accounting continuity</v>
      </c>
      <c r="D62" s="52" t="str">
        <f>_TECH_Initiative_Library!B20</f>
        <v>Finance Procurement</v>
      </c>
      <c r="E62" s="52" t="str">
        <f>_TECH_Initiative_Library!C20</f>
        <v>Controls and accounting</v>
      </c>
      <c r="F62" s="52" t="str">
        <f>_TECH_Initiative_Library!D20</f>
        <v>Compliance and Risk Control Strategy</v>
      </c>
      <c r="G62" s="52">
        <f ca="1">_TECH_Initiative_Library!AE20</f>
      </c>
      <c r="H62" s="56">
        <f ca="1">_TECH_Initiative_Library!AC20</f>
      </c>
      <c r="I62" s="52">
        <f ca="1">_TECH_Initiative_Library!X20</f>
      </c>
      <c r="J62" s="52">
        <f ca="1">_TECH_Initiative_Library!Y20</f>
        <v>2</v>
      </c>
      <c r="K62" s="52">
        <f ca="1">_TECH_Initiative_Library!Z20</f>
      </c>
      <c r="L62" s="52">
        <f>_TECH_Initiative_Library!AA20</f>
        <v>4</v>
      </c>
      <c r="M62" s="52">
        <f>_TECH_Initiative_Library!AB20</f>
        <v>3</v>
      </c>
      <c r="N62" s="52">
        <f>_TECH_Initiative_Library!L20</f>
        <v>0</v>
      </c>
      <c r="O62" s="52">
        <f>_TECH_Initiative_Library!M20</f>
        <v>0</v>
      </c>
      <c r="P62" s="56" t="str">
        <f ca="1">_TECH_Initiative_Library!N20</f>
        <v/>
      </c>
      <c r="Q62" s="56">
        <f>_TECH_Initiative_Library!R20</f>
        <v>1.3</v>
      </c>
      <c r="R62" s="52" t="str">
        <f>_TECH_Initiative_Library!AF20</f>
        <v>CFO / Procurement Lead</v>
      </c>
      <c r="S62" s="52" t="str">
        <f>_TECH_Initiative_Library!AG20</f>
        <v>2-3 months</v>
      </c>
      <c r="T62" s="52" t="str">
        <f>_TECH_Initiative_Library!AP20</f>
        <v>Medium</v>
      </c>
      <c r="U62" s="52" t="s">
        <v>783</v>
      </c>
      <c r="V62" s="52"/>
    </row>
    <row r="63" spans="1:22" ht="33.950000000000003" customHeight="1">
      <c r="A63" s="52">
        <f ca="1">_TECH_Initiative_Library!AD21</f>
      </c>
      <c r="B63" s="52" t="str">
        <f>_TECH_Initiative_Library!A21</f>
        <v>INI-017</v>
      </c>
      <c r="C63" s="52" t="str">
        <f>_TECH_Initiative_Library!F21</f>
        <v>Build resilient procurement governance and supplier risk controls</v>
      </c>
      <c r="D63" s="52" t="str">
        <f>_TECH_Initiative_Library!B21</f>
        <v>Finance Procurement</v>
      </c>
      <c r="E63" s="52" t="str">
        <f>_TECH_Initiative_Library!C21</f>
        <v>Procurement and suppliers</v>
      </c>
      <c r="F63" s="52" t="str">
        <f>_TECH_Initiative_Library!D21</f>
        <v>Supply Chain and Delivery Resilience Strategy</v>
      </c>
      <c r="G63" s="52">
        <f ca="1">_TECH_Initiative_Library!AE21</f>
      </c>
      <c r="H63" s="56">
        <f ca="1">_TECH_Initiative_Library!AC21</f>
      </c>
      <c r="I63" s="52">
        <f ca="1">_TECH_Initiative_Library!X21</f>
      </c>
      <c r="J63" s="52">
        <f ca="1">_TECH_Initiative_Library!Y21</f>
        <v>2</v>
      </c>
      <c r="K63" s="52">
        <f ca="1">_TECH_Initiative_Library!Z21</f>
      </c>
      <c r="L63" s="52">
        <f>_TECH_Initiative_Library!AA21</f>
        <v>4</v>
      </c>
      <c r="M63" s="52">
        <f>_TECH_Initiative_Library!AB21</f>
        <v>3</v>
      </c>
      <c r="N63" s="52">
        <f>_TECH_Initiative_Library!L21</f>
        <v>0</v>
      </c>
      <c r="O63" s="52">
        <f>_TECH_Initiative_Library!M21</f>
        <v>0</v>
      </c>
      <c r="P63" s="56" t="str">
        <f ca="1">_TECH_Initiative_Library!N21</f>
        <v/>
      </c>
      <c r="Q63" s="56">
        <f>_TECH_Initiative_Library!R21</f>
        <v>1.3</v>
      </c>
      <c r="R63" s="52" t="str">
        <f>_TECH_Initiative_Library!AF21</f>
        <v>CFO / Procurement Lead</v>
      </c>
      <c r="S63" s="52" t="str">
        <f>_TECH_Initiative_Library!AG21</f>
        <v>2-3 months</v>
      </c>
      <c r="T63" s="52" t="str">
        <f>_TECH_Initiative_Library!AP21</f>
        <v>Medium</v>
      </c>
      <c r="U63" s="52" t="s">
        <v>783</v>
      </c>
      <c r="V63" s="52"/>
    </row>
    <row r="64" spans="1:22" ht="33.950000000000003" customHeight="1">
      <c r="A64" s="52">
        <f ca="1">_TECH_Initiative_Library!AD22</f>
      </c>
      <c r="B64" s="52" t="str">
        <f>_TECH_Initiative_Library!A22</f>
        <v>INI-018</v>
      </c>
      <c r="C64" s="52" t="str">
        <f>_TECH_Initiative_Library!F22</f>
        <v>Optimize working capital and liquidity early-warning controls</v>
      </c>
      <c r="D64" s="52" t="str">
        <f>_TECH_Initiative_Library!B22</f>
        <v>Finance Procurement</v>
      </c>
      <c r="E64" s="52" t="str">
        <f>_TECH_Initiative_Library!C22</f>
        <v>Working capital</v>
      </c>
      <c r="F64" s="52" t="str">
        <f>_TECH_Initiative_Library!D22</f>
        <v>Business Continuity and Resilience Strategy</v>
      </c>
      <c r="G64" s="52">
        <f ca="1">_TECH_Initiative_Library!AE22</f>
      </c>
      <c r="H64" s="56">
        <f ca="1">_TECH_Initiative_Library!AC22</f>
      </c>
      <c r="I64" s="52">
        <f ca="1">_TECH_Initiative_Library!X22</f>
      </c>
      <c r="J64" s="52">
        <f ca="1">_TECH_Initiative_Library!Y22</f>
        <v>2</v>
      </c>
      <c r="K64" s="52">
        <f ca="1">_TECH_Initiative_Library!Z22</f>
      </c>
      <c r="L64" s="52">
        <f>_TECH_Initiative_Library!AA22</f>
        <v>4</v>
      </c>
      <c r="M64" s="52">
        <f>_TECH_Initiative_Library!AB22</f>
        <v>3</v>
      </c>
      <c r="N64" s="52">
        <f>_TECH_Initiative_Library!L22</f>
        <v>0</v>
      </c>
      <c r="O64" s="52">
        <f>_TECH_Initiative_Library!M22</f>
        <v>0</v>
      </c>
      <c r="P64" s="56" t="str">
        <f ca="1">_TECH_Initiative_Library!N22</f>
        <v/>
      </c>
      <c r="Q64" s="56">
        <f>_TECH_Initiative_Library!R22</f>
        <v>1.3</v>
      </c>
      <c r="R64" s="52" t="str">
        <f>_TECH_Initiative_Library!AF22</f>
        <v>CFO / Procurement Lead</v>
      </c>
      <c r="S64" s="52" t="str">
        <f>_TECH_Initiative_Library!AG22</f>
        <v>2-3 months</v>
      </c>
      <c r="T64" s="52" t="str">
        <f>_TECH_Initiative_Library!AP22</f>
        <v>Medium</v>
      </c>
      <c r="U64" s="52" t="s">
        <v>783</v>
      </c>
      <c r="V64" s="52"/>
    </row>
    <row r="65" spans="1:22" ht="33.950000000000003" customHeight="1">
      <c r="A65" s="52">
        <f ca="1">_TECH_Initiative_Library!AD23</f>
      </c>
      <c r="B65" s="52" t="str">
        <f>_TECH_Initiative_Library!A23</f>
        <v>INI-019</v>
      </c>
      <c r="C65" s="52" t="str">
        <f>_TECH_Initiative_Library!F23</f>
        <v>Implement compliance obligation monitoring and crisis legal controls</v>
      </c>
      <c r="D65" s="52" t="str">
        <f>_TECH_Initiative_Library!B23</f>
        <v>Legal Risk</v>
      </c>
      <c r="E65" s="52" t="str">
        <f>_TECH_Initiative_Library!C23</f>
        <v>Compliance</v>
      </c>
      <c r="F65" s="52" t="str">
        <f>_TECH_Initiative_Library!D23</f>
        <v>Compliance and Risk Control Strategy</v>
      </c>
      <c r="G65" s="52">
        <f ca="1">_TECH_Initiative_Library!AE23</f>
      </c>
      <c r="H65" s="56">
        <f ca="1">_TECH_Initiative_Library!AC23</f>
      </c>
      <c r="I65" s="52">
        <f ca="1">_TECH_Initiative_Library!X23</f>
      </c>
      <c r="J65" s="52">
        <f ca="1">_TECH_Initiative_Library!Y23</f>
        <v>2</v>
      </c>
      <c r="K65" s="52">
        <f ca="1">_TECH_Initiative_Library!Z23</f>
      </c>
      <c r="L65" s="52">
        <f>_TECH_Initiative_Library!AA23</f>
        <v>4</v>
      </c>
      <c r="M65" s="52">
        <f>_TECH_Initiative_Library!AB23</f>
        <v>2</v>
      </c>
      <c r="N65" s="52">
        <f>_TECH_Initiative_Library!L23</f>
        <v>0</v>
      </c>
      <c r="O65" s="52">
        <f>_TECH_Initiative_Library!M23</f>
        <v>0</v>
      </c>
      <c r="P65" s="56" t="str">
        <f ca="1">_TECH_Initiative_Library!N23</f>
        <v/>
      </c>
      <c r="Q65" s="56">
        <f>_TECH_Initiative_Library!R23</f>
        <v>1.4</v>
      </c>
      <c r="R65" s="52" t="str">
        <f>_TECH_Initiative_Library!AF23</f>
        <v>General Counsel / Compliance Lead</v>
      </c>
      <c r="S65" s="52" t="str">
        <f>_TECH_Initiative_Library!AG23</f>
        <v>4-8 weeks</v>
      </c>
      <c r="T65" s="52" t="str">
        <f>_TECH_Initiative_Library!AP23</f>
        <v>Low-Medium</v>
      </c>
      <c r="U65" s="52" t="s">
        <v>783</v>
      </c>
      <c r="V65" s="52"/>
    </row>
    <row r="66" spans="1:22" ht="33.950000000000003" customHeight="1">
      <c r="A66" s="52">
        <f ca="1">_TECH_Initiative_Library!AD24</f>
      </c>
      <c r="B66" s="52" t="str">
        <f>_TECH_Initiative_Library!A24</f>
        <v>INI-020</v>
      </c>
      <c r="C66" s="52" t="str">
        <f>_TECH_Initiative_Library!F24</f>
        <v>Build contract register, obligations and force-majeure response model</v>
      </c>
      <c r="D66" s="52" t="str">
        <f>_TECH_Initiative_Library!B24</f>
        <v>Legal Risk</v>
      </c>
      <c r="E66" s="52" t="str">
        <f>_TECH_Initiative_Library!C24</f>
        <v>Contracts</v>
      </c>
      <c r="F66" s="52" t="str">
        <f>_TECH_Initiative_Library!D24</f>
        <v>Compliance and Risk Control Strategy</v>
      </c>
      <c r="G66" s="52">
        <f ca="1">_TECH_Initiative_Library!AE24</f>
      </c>
      <c r="H66" s="56">
        <f ca="1">_TECH_Initiative_Library!AC24</f>
      </c>
      <c r="I66" s="52">
        <f ca="1">_TECH_Initiative_Library!X24</f>
      </c>
      <c r="J66" s="52">
        <f ca="1">_TECH_Initiative_Library!Y24</f>
        <v>2</v>
      </c>
      <c r="K66" s="52">
        <f ca="1">_TECH_Initiative_Library!Z24</f>
      </c>
      <c r="L66" s="52">
        <f>_TECH_Initiative_Library!AA24</f>
        <v>4</v>
      </c>
      <c r="M66" s="52">
        <f>_TECH_Initiative_Library!AB24</f>
        <v>2</v>
      </c>
      <c r="N66" s="52">
        <f>_TECH_Initiative_Library!L24</f>
        <v>0</v>
      </c>
      <c r="O66" s="52">
        <f>_TECH_Initiative_Library!M24</f>
        <v>0</v>
      </c>
      <c r="P66" s="56" t="str">
        <f ca="1">_TECH_Initiative_Library!N24</f>
        <v/>
      </c>
      <c r="Q66" s="56">
        <f>_TECH_Initiative_Library!R24</f>
        <v>1.4</v>
      </c>
      <c r="R66" s="52" t="str">
        <f>_TECH_Initiative_Library!AF24</f>
        <v>General Counsel / Compliance Lead</v>
      </c>
      <c r="S66" s="52" t="str">
        <f>_TECH_Initiative_Library!AG24</f>
        <v>4-8 weeks</v>
      </c>
      <c r="T66" s="52" t="str">
        <f>_TECH_Initiative_Library!AP24</f>
        <v>Low-Medium</v>
      </c>
      <c r="U66" s="52" t="s">
        <v>783</v>
      </c>
      <c r="V66" s="52"/>
    </row>
    <row r="67" spans="1:22" ht="33.950000000000003" customHeight="1">
      <c r="A67" s="52">
        <f ca="1">_TECH_Initiative_Library!AD25</f>
      </c>
      <c r="B67" s="52" t="str">
        <f>_TECH_Initiative_Library!A25</f>
        <v>INI-021</v>
      </c>
      <c r="C67" s="52" t="str">
        <f>_TECH_Initiative_Library!F25</f>
        <v>Strengthen data, IP and confidentiality legal safeguards</v>
      </c>
      <c r="D67" s="52" t="str">
        <f>_TECH_Initiative_Library!B25</f>
        <v>Legal Risk</v>
      </c>
      <c r="E67" s="52" t="str">
        <f>_TECH_Initiative_Library!C25</f>
        <v>Data and IP</v>
      </c>
      <c r="F67" s="52" t="str">
        <f>_TECH_Initiative_Library!D25</f>
        <v>Compliance and Risk Control Strategy</v>
      </c>
      <c r="G67" s="52">
        <f ca="1">_TECH_Initiative_Library!AE25</f>
      </c>
      <c r="H67" s="56">
        <f ca="1">_TECH_Initiative_Library!AC25</f>
      </c>
      <c r="I67" s="52">
        <f ca="1">_TECH_Initiative_Library!X25</f>
      </c>
      <c r="J67" s="52">
        <f ca="1">_TECH_Initiative_Library!Y25</f>
        <v>2</v>
      </c>
      <c r="K67" s="52">
        <f ca="1">_TECH_Initiative_Library!Z25</f>
      </c>
      <c r="L67" s="52">
        <f>_TECH_Initiative_Library!AA25</f>
        <v>4</v>
      </c>
      <c r="M67" s="52">
        <f>_TECH_Initiative_Library!AB25</f>
        <v>2</v>
      </c>
      <c r="N67" s="52">
        <f>_TECH_Initiative_Library!L25</f>
        <v>0</v>
      </c>
      <c r="O67" s="52">
        <f>_TECH_Initiative_Library!M25</f>
        <v>0</v>
      </c>
      <c r="P67" s="56" t="str">
        <f ca="1">_TECH_Initiative_Library!N25</f>
        <v/>
      </c>
      <c r="Q67" s="56">
        <f>_TECH_Initiative_Library!R25</f>
        <v>1.4</v>
      </c>
      <c r="R67" s="52" t="str">
        <f>_TECH_Initiative_Library!AF25</f>
        <v>General Counsel / Compliance Lead</v>
      </c>
      <c r="S67" s="52" t="str">
        <f>_TECH_Initiative_Library!AG25</f>
        <v>4-8 weeks</v>
      </c>
      <c r="T67" s="52" t="str">
        <f>_TECH_Initiative_Library!AP25</f>
        <v>Low-Medium</v>
      </c>
      <c r="U67" s="52" t="s">
        <v>783</v>
      </c>
      <c r="V67" s="52"/>
    </row>
    <row r="68" spans="1:22" ht="33.950000000000003" customHeight="1">
      <c r="A68" s="52">
        <f ca="1">_TECH_Initiative_Library!AD26</f>
      </c>
      <c r="B68" s="52" t="str">
        <f>_TECH_Initiative_Library!A26</f>
        <v>INI-022</v>
      </c>
      <c r="C68" s="52" t="str">
        <f>_TECH_Initiative_Library!F26</f>
        <v>Prepare employment-law continuity and workforce-location compliance</v>
      </c>
      <c r="D68" s="52" t="str">
        <f>_TECH_Initiative_Library!B26</f>
        <v>Legal Risk</v>
      </c>
      <c r="E68" s="52" t="str">
        <f>_TECH_Initiative_Library!C26</f>
        <v>Employment law</v>
      </c>
      <c r="F68" s="52" t="str">
        <f>_TECH_Initiative_Library!D26</f>
        <v>Compliance and Risk Control Strategy</v>
      </c>
      <c r="G68" s="52">
        <f ca="1">_TECH_Initiative_Library!AE26</f>
      </c>
      <c r="H68" s="56">
        <f ca="1">_TECH_Initiative_Library!AC26</f>
      </c>
      <c r="I68" s="52">
        <f ca="1">_TECH_Initiative_Library!X26</f>
      </c>
      <c r="J68" s="52">
        <f ca="1">_TECH_Initiative_Library!Y26</f>
        <v>2</v>
      </c>
      <c r="K68" s="52">
        <f ca="1">_TECH_Initiative_Library!Z26</f>
      </c>
      <c r="L68" s="52">
        <f>_TECH_Initiative_Library!AA26</f>
        <v>4</v>
      </c>
      <c r="M68" s="52">
        <f>_TECH_Initiative_Library!AB26</f>
        <v>2</v>
      </c>
      <c r="N68" s="52">
        <f>_TECH_Initiative_Library!L26</f>
        <v>0</v>
      </c>
      <c r="O68" s="52">
        <f>_TECH_Initiative_Library!M26</f>
        <v>0</v>
      </c>
      <c r="P68" s="56" t="str">
        <f ca="1">_TECH_Initiative_Library!N26</f>
        <v/>
      </c>
      <c r="Q68" s="56">
        <f>_TECH_Initiative_Library!R26</f>
        <v>1.4</v>
      </c>
      <c r="R68" s="52" t="str">
        <f>_TECH_Initiative_Library!AF26</f>
        <v>General Counsel / Compliance Lead</v>
      </c>
      <c r="S68" s="52" t="str">
        <f>_TECH_Initiative_Library!AG26</f>
        <v>4-8 weeks</v>
      </c>
      <c r="T68" s="52" t="str">
        <f>_TECH_Initiative_Library!AP26</f>
        <v>Low-Medium</v>
      </c>
      <c r="U68" s="52" t="s">
        <v>783</v>
      </c>
      <c r="V68" s="52"/>
    </row>
    <row r="69" spans="1:22" ht="33.950000000000003" customHeight="1">
      <c r="A69" s="52">
        <f ca="1">_TECH_Initiative_Library!AD27</f>
      </c>
      <c r="B69" s="52" t="str">
        <f>_TECH_Initiative_Library!A27</f>
        <v>INI-023</v>
      </c>
      <c r="C69" s="52" t="str">
        <f>_TECH_Initiative_Library!F27</f>
        <v>Implement occupational health and safety governance system</v>
      </c>
      <c r="D69" s="52" t="str">
        <f>_TECH_Initiative_Library!B27</f>
        <v>Physical Safety</v>
      </c>
      <c r="E69" s="52" t="str">
        <f>_TECH_Initiative_Library!C27</f>
        <v>OH&amp;S governance</v>
      </c>
      <c r="F69" s="52" t="str">
        <f>_TECH_Initiative_Library!D27</f>
        <v>Physical Safety and Site Resilience Strategy</v>
      </c>
      <c r="G69" s="52">
        <f ca="1">_TECH_Initiative_Library!AE27</f>
      </c>
      <c r="H69" s="56">
        <f ca="1">_TECH_Initiative_Library!AC27</f>
      </c>
      <c r="I69" s="52">
        <f ca="1">_TECH_Initiative_Library!X27</f>
      </c>
      <c r="J69" s="52">
        <f ca="1">_TECH_Initiative_Library!Y27</f>
        <v>3</v>
      </c>
      <c r="K69" s="52">
        <f ca="1">_TECH_Initiative_Library!Z27</f>
      </c>
      <c r="L69" s="52">
        <f>_TECH_Initiative_Library!AA27</f>
        <v>4</v>
      </c>
      <c r="M69" s="52">
        <f>_TECH_Initiative_Library!AB27</f>
        <v>3</v>
      </c>
      <c r="N69" s="52">
        <f>_TECH_Initiative_Library!L27</f>
        <v>0</v>
      </c>
      <c r="O69" s="52">
        <f>_TECH_Initiative_Library!M27</f>
        <v>0</v>
      </c>
      <c r="P69" s="56" t="str">
        <f ca="1">_TECH_Initiative_Library!N27</f>
        <v/>
      </c>
      <c r="Q69" s="56">
        <f>_TECH_Initiative_Library!R27</f>
        <v>2</v>
      </c>
      <c r="R69" s="52" t="str">
        <f>_TECH_Initiative_Library!AF27</f>
        <v>COO / HSE / Security Lead</v>
      </c>
      <c r="S69" s="52" t="str">
        <f>_TECH_Initiative_Library!AG27</f>
        <v>2-3 months</v>
      </c>
      <c r="T69" s="52" t="str">
        <f>_TECH_Initiative_Library!AP27</f>
        <v>Medium</v>
      </c>
      <c r="U69" s="52" t="s">
        <v>783</v>
      </c>
      <c r="V69" s="52"/>
    </row>
    <row r="70" spans="1:22" ht="33.950000000000003" customHeight="1">
      <c r="A70" s="52">
        <f ca="1">_TECH_Initiative_Library!AD28</f>
      </c>
      <c r="B70" s="52" t="str">
        <f>_TECH_Initiative_Library!A28</f>
        <v>INI-024</v>
      </c>
      <c r="C70" s="52" t="str">
        <f>_TECH_Initiative_Library!F28</f>
        <v>Secure facilities, physical access and site protection controls</v>
      </c>
      <c r="D70" s="52" t="str">
        <f>_TECH_Initiative_Library!B28</f>
        <v>Physical Safety</v>
      </c>
      <c r="E70" s="52" t="str">
        <f>_TECH_Initiative_Library!C28</f>
        <v>Facilities and access</v>
      </c>
      <c r="F70" s="52" t="str">
        <f>_TECH_Initiative_Library!D28</f>
        <v>Physical Safety and Site Resilience Strategy</v>
      </c>
      <c r="G70" s="52">
        <f ca="1">_TECH_Initiative_Library!AE28</f>
      </c>
      <c r="H70" s="56">
        <f ca="1">_TECH_Initiative_Library!AC28</f>
      </c>
      <c r="I70" s="52">
        <f ca="1">_TECH_Initiative_Library!X28</f>
      </c>
      <c r="J70" s="52">
        <f ca="1">_TECH_Initiative_Library!Y28</f>
        <v>3</v>
      </c>
      <c r="K70" s="52">
        <f ca="1">_TECH_Initiative_Library!Z28</f>
      </c>
      <c r="L70" s="52">
        <f>_TECH_Initiative_Library!AA28</f>
        <v>4</v>
      </c>
      <c r="M70" s="52">
        <f>_TECH_Initiative_Library!AB28</f>
        <v>3</v>
      </c>
      <c r="N70" s="52">
        <f>_TECH_Initiative_Library!L28</f>
        <v>0</v>
      </c>
      <c r="O70" s="52">
        <f>_TECH_Initiative_Library!M28</f>
        <v>0</v>
      </c>
      <c r="P70" s="56" t="str">
        <f ca="1">_TECH_Initiative_Library!N28</f>
        <v/>
      </c>
      <c r="Q70" s="56">
        <f>_TECH_Initiative_Library!R28</f>
        <v>2</v>
      </c>
      <c r="R70" s="52" t="str">
        <f>_TECH_Initiative_Library!AF28</f>
        <v>COO / HSE / Security Lead</v>
      </c>
      <c r="S70" s="52" t="str">
        <f>_TECH_Initiative_Library!AG28</f>
        <v>2-3 months</v>
      </c>
      <c r="T70" s="52" t="str">
        <f>_TECH_Initiative_Library!AP28</f>
        <v>Medium</v>
      </c>
      <c r="U70" s="52" t="s">
        <v>783</v>
      </c>
      <c r="V70" s="52"/>
    </row>
    <row r="71" spans="1:22" ht="33.950000000000003" customHeight="1">
      <c r="A71" s="52">
        <f ca="1">_TECH_Initiative_Library!AD29</f>
      </c>
      <c r="B71" s="52" t="str">
        <f>_TECH_Initiative_Library!A29</f>
        <v>INI-025</v>
      </c>
      <c r="C71" s="52" t="str">
        <f>_TECH_Initiative_Library!F29</f>
        <v>Build emergency response, evacuation and shelter procedures</v>
      </c>
      <c r="D71" s="52" t="str">
        <f>_TECH_Initiative_Library!B29</f>
        <v>Physical Safety</v>
      </c>
      <c r="E71" s="52" t="str">
        <f>_TECH_Initiative_Library!C29</f>
        <v>Emergency response</v>
      </c>
      <c r="F71" s="52" t="str">
        <f>_TECH_Initiative_Library!D29</f>
        <v>Physical Safety and Site Resilience Strategy</v>
      </c>
      <c r="G71" s="52">
        <f ca="1">_TECH_Initiative_Library!AE29</f>
      </c>
      <c r="H71" s="56">
        <f ca="1">_TECH_Initiative_Library!AC29</f>
      </c>
      <c r="I71" s="52">
        <f ca="1">_TECH_Initiative_Library!X29</f>
      </c>
      <c r="J71" s="52">
        <f ca="1">_TECH_Initiative_Library!Y29</f>
        <v>3</v>
      </c>
      <c r="K71" s="52">
        <f ca="1">_TECH_Initiative_Library!Z29</f>
      </c>
      <c r="L71" s="52">
        <f>_TECH_Initiative_Library!AA29</f>
        <v>4</v>
      </c>
      <c r="M71" s="52">
        <f>_TECH_Initiative_Library!AB29</f>
        <v>3</v>
      </c>
      <c r="N71" s="52">
        <f>_TECH_Initiative_Library!L29</f>
        <v>0</v>
      </c>
      <c r="O71" s="52">
        <f>_TECH_Initiative_Library!M29</f>
        <v>0</v>
      </c>
      <c r="P71" s="56" t="str">
        <f ca="1">_TECH_Initiative_Library!N29</f>
        <v/>
      </c>
      <c r="Q71" s="56">
        <f>_TECH_Initiative_Library!R29</f>
        <v>2</v>
      </c>
      <c r="R71" s="52" t="str">
        <f>_TECH_Initiative_Library!AF29</f>
        <v>COO / HSE / Security Lead</v>
      </c>
      <c r="S71" s="52" t="str">
        <f>_TECH_Initiative_Library!AG29</f>
        <v>2-3 months</v>
      </c>
      <c r="T71" s="52" t="str">
        <f>_TECH_Initiative_Library!AP29</f>
        <v>Medium</v>
      </c>
      <c r="U71" s="52" t="s">
        <v>783</v>
      </c>
      <c r="V71" s="52"/>
    </row>
    <row r="72" spans="1:22" ht="33.950000000000003" customHeight="1">
      <c r="A72" s="52">
        <f ca="1">_TECH_Initiative_Library!AD30</f>
      </c>
      <c r="B72" s="52" t="str">
        <f>_TECH_Initiative_Library!A30</f>
        <v>INI-026</v>
      </c>
      <c r="C72" s="52" t="str">
        <f>_TECH_Initiative_Library!F30</f>
        <v>Implement physical security and travel risk management</v>
      </c>
      <c r="D72" s="52" t="str">
        <f>_TECH_Initiative_Library!B30</f>
        <v>Physical Safety</v>
      </c>
      <c r="E72" s="52" t="str">
        <f>_TECH_Initiative_Library!C30</f>
        <v>Security and travel</v>
      </c>
      <c r="F72" s="52" t="str">
        <f>_TECH_Initiative_Library!D30</f>
        <v>Physical Safety and Site Resilience Strategy</v>
      </c>
      <c r="G72" s="52">
        <f ca="1">_TECH_Initiative_Library!AE30</f>
      </c>
      <c r="H72" s="56">
        <f ca="1">_TECH_Initiative_Library!AC30</f>
      </c>
      <c r="I72" s="52">
        <f ca="1">_TECH_Initiative_Library!X30</f>
      </c>
      <c r="J72" s="52">
        <f ca="1">_TECH_Initiative_Library!Y30</f>
        <v>3</v>
      </c>
      <c r="K72" s="52">
        <f ca="1">_TECH_Initiative_Library!Z30</f>
      </c>
      <c r="L72" s="52">
        <f>_TECH_Initiative_Library!AA30</f>
        <v>4</v>
      </c>
      <c r="M72" s="52">
        <f>_TECH_Initiative_Library!AB30</f>
        <v>3</v>
      </c>
      <c r="N72" s="52">
        <f>_TECH_Initiative_Library!L30</f>
        <v>0</v>
      </c>
      <c r="O72" s="52">
        <f>_TECH_Initiative_Library!M30</f>
        <v>0</v>
      </c>
      <c r="P72" s="56" t="str">
        <f ca="1">_TECH_Initiative_Library!N30</f>
        <v/>
      </c>
      <c r="Q72" s="56">
        <f>_TECH_Initiative_Library!R30</f>
        <v>2</v>
      </c>
      <c r="R72" s="52" t="str">
        <f>_TECH_Initiative_Library!AF30</f>
        <v>COO / HSE / Security Lead</v>
      </c>
      <c r="S72" s="52" t="str">
        <f>_TECH_Initiative_Library!AG30</f>
        <v>2-3 months</v>
      </c>
      <c r="T72" s="52" t="str">
        <f>_TECH_Initiative_Library!AP30</f>
        <v>Medium</v>
      </c>
      <c r="U72" s="52" t="s">
        <v>783</v>
      </c>
      <c r="V72" s="52"/>
    </row>
    <row r="73" spans="1:22" ht="33.950000000000003" customHeight="1">
      <c r="A73" s="52">
        <f ca="1">_TECH_Initiative_Library!AD31</f>
      </c>
      <c r="B73" s="52" t="str">
        <f>_TECH_Initiative_Library!A31</f>
        <v>INI-027</v>
      </c>
      <c r="C73" s="52" t="str">
        <f>_TECH_Initiative_Library!F31</f>
        <v>Build utilities backup and facility resilience plan</v>
      </c>
      <c r="D73" s="52" t="str">
        <f>_TECH_Initiative_Library!B31</f>
        <v>Physical Safety</v>
      </c>
      <c r="E73" s="52" t="str">
        <f>_TECH_Initiative_Library!C31</f>
        <v>Utilities and resilience</v>
      </c>
      <c r="F73" s="52" t="str">
        <f>_TECH_Initiative_Library!D31</f>
        <v>Physical Safety and Site Resilience Strategy</v>
      </c>
      <c r="G73" s="52">
        <f ca="1">_TECH_Initiative_Library!AE31</f>
      </c>
      <c r="H73" s="56">
        <f ca="1">_TECH_Initiative_Library!AC31</f>
      </c>
      <c r="I73" s="52">
        <f ca="1">_TECH_Initiative_Library!X31</f>
      </c>
      <c r="J73" s="52">
        <f ca="1">_TECH_Initiative_Library!Y31</f>
        <v>3</v>
      </c>
      <c r="K73" s="52">
        <f ca="1">_TECH_Initiative_Library!Z31</f>
      </c>
      <c r="L73" s="52">
        <f>_TECH_Initiative_Library!AA31</f>
        <v>4</v>
      </c>
      <c r="M73" s="52">
        <f>_TECH_Initiative_Library!AB31</f>
        <v>3</v>
      </c>
      <c r="N73" s="52">
        <f>_TECH_Initiative_Library!L31</f>
        <v>0</v>
      </c>
      <c r="O73" s="52">
        <f>_TECH_Initiative_Library!M31</f>
        <v>0</v>
      </c>
      <c r="P73" s="56" t="str">
        <f ca="1">_TECH_Initiative_Library!N31</f>
        <v/>
      </c>
      <c r="Q73" s="56">
        <f>_TECH_Initiative_Library!R31</f>
        <v>2</v>
      </c>
      <c r="R73" s="52" t="str">
        <f>_TECH_Initiative_Library!AF31</f>
        <v>COO / HSE / Security Lead</v>
      </c>
      <c r="S73" s="52" t="str">
        <f>_TECH_Initiative_Library!AG31</f>
        <v>2-3 months</v>
      </c>
      <c r="T73" s="52" t="str">
        <f>_TECH_Initiative_Library!AP31</f>
        <v>Medium</v>
      </c>
      <c r="U73" s="52" t="s">
        <v>783</v>
      </c>
      <c r="V73" s="52"/>
    </row>
    <row r="74" spans="1:22" ht="33.950000000000003" customHeight="1">
      <c r="A74" s="52">
        <f ca="1">_TECH_Initiative_Library!AD32</f>
      </c>
      <c r="B74" s="52" t="str">
        <f>_TECH_Initiative_Library!A32</f>
        <v>INI-028</v>
      </c>
      <c r="C74" s="52" t="str">
        <f>_TECH_Initiative_Library!F32</f>
        <v>Standardize delivery governance, ownership and escalation</v>
      </c>
      <c r="D74" s="52" t="str">
        <f>_TECH_Initiative_Library!B32</f>
        <v>Delivery Ops</v>
      </c>
      <c r="E74" s="52" t="str">
        <f>_TECH_Initiative_Library!C32</f>
        <v>Delivery governance</v>
      </c>
      <c r="F74" s="52" t="str">
        <f>_TECH_Initiative_Library!D32</f>
        <v>Operational Excellence and Automation Strategy</v>
      </c>
      <c r="G74" s="52">
        <f ca="1">_TECH_Initiative_Library!AE32</f>
      </c>
      <c r="H74" s="56">
        <f ca="1">_TECH_Initiative_Library!AC32</f>
      </c>
      <c r="I74" s="52">
        <f ca="1">_TECH_Initiative_Library!X32</f>
      </c>
      <c r="J74" s="52">
        <f ca="1">_TECH_Initiative_Library!Y32</f>
        <v>3</v>
      </c>
      <c r="K74" s="52">
        <f ca="1">_TECH_Initiative_Library!Z32</f>
      </c>
      <c r="L74" s="52">
        <f>_TECH_Initiative_Library!AA32</f>
        <v>5</v>
      </c>
      <c r="M74" s="52">
        <f>_TECH_Initiative_Library!AB32</f>
        <v>3</v>
      </c>
      <c r="N74" s="52">
        <f>_TECH_Initiative_Library!L32</f>
        <v>0</v>
      </c>
      <c r="O74" s="52">
        <f>_TECH_Initiative_Library!M32</f>
        <v>0</v>
      </c>
      <c r="P74" s="56" t="str">
        <f ca="1">_TECH_Initiative_Library!N32</f>
        <v/>
      </c>
      <c r="Q74" s="56">
        <f>_TECH_Initiative_Library!R32</f>
        <v>1.7</v>
      </c>
      <c r="R74" s="52" t="str">
        <f>_TECH_Initiative_Library!AF32</f>
        <v>COO / Delivery Director</v>
      </c>
      <c r="S74" s="52" t="str">
        <f>_TECH_Initiative_Library!AG32</f>
        <v>2-3 months</v>
      </c>
      <c r="T74" s="52" t="str">
        <f>_TECH_Initiative_Library!AP32</f>
        <v>Medium</v>
      </c>
      <c r="U74" s="52" t="s">
        <v>783</v>
      </c>
      <c r="V74" s="52"/>
    </row>
    <row r="75" spans="1:22" ht="33.950000000000003" customHeight="1">
      <c r="A75" s="52">
        <f ca="1">_TECH_Initiative_Library!AD33</f>
      </c>
      <c r="B75" s="52" t="str">
        <f>_TECH_Initiative_Library!A33</f>
        <v>INI-029</v>
      </c>
      <c r="C75" s="52" t="str">
        <f>_TECH_Initiative_Library!F33</f>
        <v>Build capacity resilience and delivery continuity model</v>
      </c>
      <c r="D75" s="52" t="str">
        <f>_TECH_Initiative_Library!B33</f>
        <v>Delivery Ops</v>
      </c>
      <c r="E75" s="52" t="str">
        <f>_TECH_Initiative_Library!C33</f>
        <v>Capacity and continuity</v>
      </c>
      <c r="F75" s="52" t="str">
        <f>_TECH_Initiative_Library!D33</f>
        <v>Operational Excellence and Automation Strategy</v>
      </c>
      <c r="G75" s="52">
        <f ca="1">_TECH_Initiative_Library!AE33</f>
      </c>
      <c r="H75" s="56">
        <f ca="1">_TECH_Initiative_Library!AC33</f>
      </c>
      <c r="I75" s="52">
        <f ca="1">_TECH_Initiative_Library!X33</f>
      </c>
      <c r="J75" s="52">
        <f ca="1">_TECH_Initiative_Library!Y33</f>
        <v>3</v>
      </c>
      <c r="K75" s="52">
        <f ca="1">_TECH_Initiative_Library!Z33</f>
      </c>
      <c r="L75" s="52">
        <f>_TECH_Initiative_Library!AA33</f>
        <v>5</v>
      </c>
      <c r="M75" s="52">
        <f>_TECH_Initiative_Library!AB33</f>
        <v>3</v>
      </c>
      <c r="N75" s="52">
        <f>_TECH_Initiative_Library!L33</f>
        <v>0</v>
      </c>
      <c r="O75" s="52">
        <f>_TECH_Initiative_Library!M33</f>
        <v>0</v>
      </c>
      <c r="P75" s="56" t="str">
        <f ca="1">_TECH_Initiative_Library!N33</f>
        <v/>
      </c>
      <c r="Q75" s="56">
        <f>_TECH_Initiative_Library!R33</f>
        <v>1.7</v>
      </c>
      <c r="R75" s="52" t="str">
        <f>_TECH_Initiative_Library!AF33</f>
        <v>COO / Delivery Director</v>
      </c>
      <c r="S75" s="52" t="str">
        <f>_TECH_Initiative_Library!AG33</f>
        <v>2-3 months</v>
      </c>
      <c r="T75" s="52" t="str">
        <f>_TECH_Initiative_Library!AP33</f>
        <v>Medium</v>
      </c>
      <c r="U75" s="52" t="s">
        <v>783</v>
      </c>
      <c r="V75" s="52"/>
    </row>
    <row r="76" spans="1:22" ht="33.950000000000003" customHeight="1">
      <c r="A76" s="52">
        <f ca="1">_TECH_Initiative_Library!AD34</f>
      </c>
      <c r="B76" s="52" t="str">
        <f>_TECH_Initiative_Library!A34</f>
        <v>INI-030</v>
      </c>
      <c r="C76" s="52" t="str">
        <f>_TECH_Initiative_Library!F34</f>
        <v>Strengthen process control, SOPs and operational quality gates</v>
      </c>
      <c r="D76" s="52" t="str">
        <f>_TECH_Initiative_Library!B34</f>
        <v>Delivery Ops</v>
      </c>
      <c r="E76" s="52" t="str">
        <f>_TECH_Initiative_Library!C34</f>
        <v>Process control</v>
      </c>
      <c r="F76" s="52" t="str">
        <f>_TECH_Initiative_Library!D34</f>
        <v>Operational Excellence and Automation Strategy</v>
      </c>
      <c r="G76" s="52">
        <f ca="1">_TECH_Initiative_Library!AE34</f>
      </c>
      <c r="H76" s="56">
        <f ca="1">_TECH_Initiative_Library!AC34</f>
      </c>
      <c r="I76" s="52">
        <f ca="1">_TECH_Initiative_Library!X34</f>
      </c>
      <c r="J76" s="52">
        <f ca="1">_TECH_Initiative_Library!Y34</f>
        <v>3</v>
      </c>
      <c r="K76" s="52">
        <f ca="1">_TECH_Initiative_Library!Z34</f>
      </c>
      <c r="L76" s="52">
        <f>_TECH_Initiative_Library!AA34</f>
        <v>5</v>
      </c>
      <c r="M76" s="52">
        <f>_TECH_Initiative_Library!AB34</f>
        <v>3</v>
      </c>
      <c r="N76" s="52">
        <f>_TECH_Initiative_Library!L34</f>
        <v>0</v>
      </c>
      <c r="O76" s="52">
        <f>_TECH_Initiative_Library!M34</f>
        <v>0</v>
      </c>
      <c r="P76" s="56" t="str">
        <f ca="1">_TECH_Initiative_Library!N34</f>
        <v/>
      </c>
      <c r="Q76" s="56">
        <f>_TECH_Initiative_Library!R34</f>
        <v>1.7</v>
      </c>
      <c r="R76" s="52" t="str">
        <f>_TECH_Initiative_Library!AF34</f>
        <v>COO / Delivery Director</v>
      </c>
      <c r="S76" s="52" t="str">
        <f>_TECH_Initiative_Library!AG34</f>
        <v>2-3 months</v>
      </c>
      <c r="T76" s="52" t="str">
        <f>_TECH_Initiative_Library!AP34</f>
        <v>Medium</v>
      </c>
      <c r="U76" s="52" t="s">
        <v>783</v>
      </c>
      <c r="V76" s="52"/>
    </row>
    <row r="77" spans="1:22" ht="33.950000000000003" customHeight="1">
      <c r="A77" s="52">
        <f ca="1">_TECH_Initiative_Library!AD35</f>
      </c>
      <c r="B77" s="52" t="str">
        <f>_TECH_Initiative_Library!A35</f>
        <v>INI-031</v>
      </c>
      <c r="C77" s="52" t="str">
        <f>_TECH_Initiative_Library!F35</f>
        <v>Implement operational visibility dashboards and early warning</v>
      </c>
      <c r="D77" s="52" t="str">
        <f>_TECH_Initiative_Library!B35</f>
        <v>Delivery Ops</v>
      </c>
      <c r="E77" s="52" t="str">
        <f>_TECH_Initiative_Library!C35</f>
        <v>Operational visibility</v>
      </c>
      <c r="F77" s="52" t="str">
        <f>_TECH_Initiative_Library!D35</f>
        <v>Operational Excellence and Automation Strategy</v>
      </c>
      <c r="G77" s="52">
        <f ca="1">_TECH_Initiative_Library!AE35</f>
      </c>
      <c r="H77" s="56">
        <f ca="1">_TECH_Initiative_Library!AC35</f>
      </c>
      <c r="I77" s="52">
        <f ca="1">_TECH_Initiative_Library!X35</f>
      </c>
      <c r="J77" s="52">
        <f ca="1">_TECH_Initiative_Library!Y35</f>
        <v>3</v>
      </c>
      <c r="K77" s="52">
        <f ca="1">_TECH_Initiative_Library!Z35</f>
      </c>
      <c r="L77" s="52">
        <f>_TECH_Initiative_Library!AA35</f>
        <v>5</v>
      </c>
      <c r="M77" s="52">
        <f>_TECH_Initiative_Library!AB35</f>
        <v>3</v>
      </c>
      <c r="N77" s="52">
        <f>_TECH_Initiative_Library!L35</f>
        <v>0</v>
      </c>
      <c r="O77" s="52">
        <f>_TECH_Initiative_Library!M35</f>
        <v>0</v>
      </c>
      <c r="P77" s="56" t="str">
        <f ca="1">_TECH_Initiative_Library!N35</f>
        <v/>
      </c>
      <c r="Q77" s="56">
        <f>_TECH_Initiative_Library!R35</f>
        <v>1.7</v>
      </c>
      <c r="R77" s="52" t="str">
        <f>_TECH_Initiative_Library!AF35</f>
        <v>COO / Delivery Director</v>
      </c>
      <c r="S77" s="52" t="str">
        <f>_TECH_Initiative_Library!AG35</f>
        <v>2-3 months</v>
      </c>
      <c r="T77" s="52" t="str">
        <f>_TECH_Initiative_Library!AP35</f>
        <v>Medium</v>
      </c>
      <c r="U77" s="52" t="s">
        <v>783</v>
      </c>
      <c r="V77" s="52"/>
    </row>
    <row r="78" spans="1:22" ht="33.950000000000003" customHeight="1">
      <c r="A78" s="52">
        <f ca="1">_TECH_Initiative_Library!AD36</f>
      </c>
      <c r="B78" s="52" t="str">
        <f>_TECH_Initiative_Library!A36</f>
        <v>INI-032</v>
      </c>
      <c r="C78" s="52" t="str">
        <f>_TECH_Initiative_Library!F36</f>
        <v>Redesign supply chain for resilience and alternative sourcing</v>
      </c>
      <c r="D78" s="52" t="str">
        <f>_TECH_Initiative_Library!B36</f>
        <v>Supply Chain</v>
      </c>
      <c r="E78" s="52" t="str">
        <f>_TECH_Initiative_Library!C36</f>
        <v>Supply chain design</v>
      </c>
      <c r="F78" s="52" t="str">
        <f>_TECH_Initiative_Library!D36</f>
        <v>Supply Chain and Delivery Resilience Strategy</v>
      </c>
      <c r="G78" s="52">
        <f ca="1">_TECH_Initiative_Library!AE36</f>
      </c>
      <c r="H78" s="56">
        <f ca="1">_TECH_Initiative_Library!AC36</f>
      </c>
      <c r="I78" s="52">
        <f ca="1">_TECH_Initiative_Library!X36</f>
      </c>
      <c r="J78" s="52">
        <f ca="1">_TECH_Initiative_Library!Y36</f>
        <v>3</v>
      </c>
      <c r="K78" s="52">
        <f ca="1">_TECH_Initiative_Library!Z36</f>
      </c>
      <c r="L78" s="52">
        <f>_TECH_Initiative_Library!AA36</f>
        <v>4</v>
      </c>
      <c r="M78" s="52">
        <f>_TECH_Initiative_Library!AB36</f>
        <v>3</v>
      </c>
      <c r="N78" s="52">
        <f>_TECH_Initiative_Library!L36</f>
        <v>0</v>
      </c>
      <c r="O78" s="52">
        <f>_TECH_Initiative_Library!M36</f>
        <v>0</v>
      </c>
      <c r="P78" s="56" t="str">
        <f ca="1">_TECH_Initiative_Library!N36</f>
        <v/>
      </c>
      <c r="Q78" s="56">
        <f>_TECH_Initiative_Library!R36</f>
        <v>1.7</v>
      </c>
      <c r="R78" s="52" t="str">
        <f>_TECH_Initiative_Library!AF36</f>
        <v>COO / Supply Chain Lead</v>
      </c>
      <c r="S78" s="52" t="str">
        <f>_TECH_Initiative_Library!AG36</f>
        <v>2-3 months</v>
      </c>
      <c r="T78" s="52" t="str">
        <f>_TECH_Initiative_Library!AP36</f>
        <v>Medium</v>
      </c>
      <c r="U78" s="52" t="s">
        <v>783</v>
      </c>
      <c r="V78" s="52"/>
    </row>
    <row r="79" spans="1:22" ht="33.950000000000003" customHeight="1">
      <c r="A79" s="52">
        <f ca="1">_TECH_Initiative_Library!AD37</f>
      </c>
      <c r="B79" s="52" t="str">
        <f>_TECH_Initiative_Library!A37</f>
        <v>INI-033</v>
      </c>
      <c r="C79" s="52" t="str">
        <f>_TECH_Initiative_Library!F37</f>
        <v>Build logistics continuity and transport fallback options</v>
      </c>
      <c r="D79" s="52" t="str">
        <f>_TECH_Initiative_Library!B37</f>
        <v>Supply Chain</v>
      </c>
      <c r="E79" s="52" t="str">
        <f>_TECH_Initiative_Library!C37</f>
        <v>Logistics</v>
      </c>
      <c r="F79" s="52" t="str">
        <f>_TECH_Initiative_Library!D37</f>
        <v>Supply Chain and Delivery Resilience Strategy</v>
      </c>
      <c r="G79" s="52">
        <f ca="1">_TECH_Initiative_Library!AE37</f>
      </c>
      <c r="H79" s="56">
        <f ca="1">_TECH_Initiative_Library!AC37</f>
      </c>
      <c r="I79" s="52">
        <f ca="1">_TECH_Initiative_Library!X37</f>
      </c>
      <c r="J79" s="52">
        <f ca="1">_TECH_Initiative_Library!Y37</f>
        <v>3</v>
      </c>
      <c r="K79" s="52">
        <f ca="1">_TECH_Initiative_Library!Z37</f>
      </c>
      <c r="L79" s="52">
        <f>_TECH_Initiative_Library!AA37</f>
        <v>4</v>
      </c>
      <c r="M79" s="52">
        <f>_TECH_Initiative_Library!AB37</f>
        <v>3</v>
      </c>
      <c r="N79" s="52">
        <f>_TECH_Initiative_Library!L37</f>
        <v>0</v>
      </c>
      <c r="O79" s="52">
        <f>_TECH_Initiative_Library!M37</f>
        <v>0</v>
      </c>
      <c r="P79" s="56" t="str">
        <f ca="1">_TECH_Initiative_Library!N37</f>
        <v/>
      </c>
      <c r="Q79" s="56">
        <f>_TECH_Initiative_Library!R37</f>
        <v>1.7</v>
      </c>
      <c r="R79" s="52" t="str">
        <f>_TECH_Initiative_Library!AF37</f>
        <v>COO / Supply Chain Lead</v>
      </c>
      <c r="S79" s="52" t="str">
        <f>_TECH_Initiative_Library!AG37</f>
        <v>2-3 months</v>
      </c>
      <c r="T79" s="52" t="str">
        <f>_TECH_Initiative_Library!AP37</f>
        <v>Medium</v>
      </c>
      <c r="U79" s="52" t="s">
        <v>783</v>
      </c>
      <c r="V79" s="52"/>
    </row>
    <row r="80" spans="1:22" ht="33.950000000000003" customHeight="1">
      <c r="A80" s="52">
        <f ca="1">_TECH_Initiative_Library!AD38</f>
      </c>
      <c r="B80" s="52" t="str">
        <f>_TECH_Initiative_Library!A38</f>
        <v>INI-034</v>
      </c>
      <c r="C80" s="52" t="str">
        <f>_TECH_Initiative_Library!F38</f>
        <v>Implement inventory visibility and demand/supply planning</v>
      </c>
      <c r="D80" s="52" t="str">
        <f>_TECH_Initiative_Library!B38</f>
        <v>Supply Chain</v>
      </c>
      <c r="E80" s="52" t="str">
        <f>_TECH_Initiative_Library!C38</f>
        <v>Inventory and planning</v>
      </c>
      <c r="F80" s="52" t="str">
        <f>_TECH_Initiative_Library!D38</f>
        <v>Supply Chain and Delivery Resilience Strategy</v>
      </c>
      <c r="G80" s="52">
        <f ca="1">_TECH_Initiative_Library!AE38</f>
      </c>
      <c r="H80" s="56">
        <f ca="1">_TECH_Initiative_Library!AC38</f>
      </c>
      <c r="I80" s="52">
        <f ca="1">_TECH_Initiative_Library!X38</f>
      </c>
      <c r="J80" s="52">
        <f ca="1">_TECH_Initiative_Library!Y38</f>
        <v>3</v>
      </c>
      <c r="K80" s="52">
        <f ca="1">_TECH_Initiative_Library!Z38</f>
      </c>
      <c r="L80" s="52">
        <f>_TECH_Initiative_Library!AA38</f>
        <v>4</v>
      </c>
      <c r="M80" s="52">
        <f>_TECH_Initiative_Library!AB38</f>
        <v>3</v>
      </c>
      <c r="N80" s="52">
        <f>_TECH_Initiative_Library!L38</f>
        <v>0</v>
      </c>
      <c r="O80" s="52">
        <f>_TECH_Initiative_Library!M38</f>
        <v>0</v>
      </c>
      <c r="P80" s="56" t="str">
        <f ca="1">_TECH_Initiative_Library!N38</f>
        <v/>
      </c>
      <c r="Q80" s="56">
        <f>_TECH_Initiative_Library!R38</f>
        <v>1.7</v>
      </c>
      <c r="R80" s="52" t="str">
        <f>_TECH_Initiative_Library!AF38</f>
        <v>COO / Supply Chain Lead</v>
      </c>
      <c r="S80" s="52" t="str">
        <f>_TECH_Initiative_Library!AG38</f>
        <v>2-3 months</v>
      </c>
      <c r="T80" s="52" t="str">
        <f>_TECH_Initiative_Library!AP38</f>
        <v>Medium</v>
      </c>
      <c r="U80" s="52" t="s">
        <v>783</v>
      </c>
      <c r="V80" s="52"/>
    </row>
    <row r="81" spans="1:22" ht="33.950000000000003" customHeight="1">
      <c r="A81" s="52">
        <f ca="1">_TECH_Initiative_Library!AD39</f>
      </c>
      <c r="B81" s="52" t="str">
        <f>_TECH_Initiative_Library!A39</f>
        <v>INI-035</v>
      </c>
      <c r="C81" s="52" t="str">
        <f>_TECH_Initiative_Library!F39</f>
        <v>Implement supply-chain technology, risk monitoring and supplier data</v>
      </c>
      <c r="D81" s="52" t="str">
        <f>_TECH_Initiative_Library!B39</f>
        <v>Supply Chain</v>
      </c>
      <c r="E81" s="52" t="str">
        <f>_TECH_Initiative_Library!C39</f>
        <v>Technology and risk</v>
      </c>
      <c r="F81" s="52" t="str">
        <f>_TECH_Initiative_Library!D39</f>
        <v>Supply Chain and Delivery Resilience Strategy</v>
      </c>
      <c r="G81" s="52">
        <f ca="1">_TECH_Initiative_Library!AE39</f>
      </c>
      <c r="H81" s="56">
        <f ca="1">_TECH_Initiative_Library!AC39</f>
      </c>
      <c r="I81" s="52">
        <f ca="1">_TECH_Initiative_Library!X39</f>
      </c>
      <c r="J81" s="52">
        <f ca="1">_TECH_Initiative_Library!Y39</f>
        <v>3</v>
      </c>
      <c r="K81" s="52">
        <f ca="1">_TECH_Initiative_Library!Z39</f>
      </c>
      <c r="L81" s="52">
        <f>_TECH_Initiative_Library!AA39</f>
        <v>4</v>
      </c>
      <c r="M81" s="52">
        <f>_TECH_Initiative_Library!AB39</f>
        <v>3</v>
      </c>
      <c r="N81" s="52">
        <f>_TECH_Initiative_Library!L39</f>
        <v>0</v>
      </c>
      <c r="O81" s="52">
        <f>_TECH_Initiative_Library!M39</f>
        <v>0</v>
      </c>
      <c r="P81" s="56" t="str">
        <f ca="1">_TECH_Initiative_Library!N39</f>
        <v/>
      </c>
      <c r="Q81" s="56">
        <f>_TECH_Initiative_Library!R39</f>
        <v>1.7</v>
      </c>
      <c r="R81" s="52" t="str">
        <f>_TECH_Initiative_Library!AF39</f>
        <v>COO / Supply Chain Lead</v>
      </c>
      <c r="S81" s="52" t="str">
        <f>_TECH_Initiative_Library!AG39</f>
        <v>2-3 months</v>
      </c>
      <c r="T81" s="52" t="str">
        <f>_TECH_Initiative_Library!AP39</f>
        <v>Medium</v>
      </c>
      <c r="U81" s="52" t="s">
        <v>783</v>
      </c>
      <c r="V81" s="52"/>
    </row>
    <row r="82" spans="1:22" ht="33.950000000000003" customHeight="1">
      <c r="A82" s="52">
        <f ca="1">_TECH_Initiative_Library!AD40</f>
      </c>
      <c r="B82" s="52" t="str">
        <f>_TECH_Initiative_Library!A40</f>
        <v>INI-036</v>
      </c>
      <c r="C82" s="52" t="str">
        <f>_TECH_Initiative_Library!F40</f>
        <v>Assess production footprint and build alternate production options</v>
      </c>
      <c r="D82" s="52" t="str">
        <f>_TECH_Initiative_Library!B40</f>
        <v>Manufacturing MES</v>
      </c>
      <c r="E82" s="52" t="str">
        <f>_TECH_Initiative_Library!C40</f>
        <v>Production footprint</v>
      </c>
      <c r="F82" s="52" t="str">
        <f>_TECH_Initiative_Library!D40</f>
        <v>Manufacturing Continuity and MES Strategy</v>
      </c>
      <c r="G82" s="52">
        <f ca="1">_TECH_Initiative_Library!AE40</f>
      </c>
      <c r="H82" s="56">
        <f ca="1">_TECH_Initiative_Library!AC40</f>
      </c>
      <c r="I82" s="52">
        <f ca="1">_TECH_Initiative_Library!X40</f>
      </c>
      <c r="J82" s="52">
        <f ca="1">_TECH_Initiative_Library!Y40</f>
        <v>2</v>
      </c>
      <c r="K82" s="52">
        <f ca="1">_TECH_Initiative_Library!Z40</f>
      </c>
      <c r="L82" s="52">
        <f>_TECH_Initiative_Library!AA40</f>
        <v>5</v>
      </c>
      <c r="M82" s="52">
        <f>_TECH_Initiative_Library!AB40</f>
        <v>4</v>
      </c>
      <c r="N82" s="52">
        <f>_TECH_Initiative_Library!L40</f>
        <v>0</v>
      </c>
      <c r="O82" s="52">
        <f>_TECH_Initiative_Library!M40</f>
        <v>0</v>
      </c>
      <c r="P82" s="56" t="str">
        <f ca="1">_TECH_Initiative_Library!N40</f>
        <v/>
      </c>
      <c r="Q82" s="56">
        <f>_TECH_Initiative_Library!R40</f>
        <v>1.4</v>
      </c>
      <c r="R82" s="52" t="str">
        <f>_TECH_Initiative_Library!AF40</f>
        <v>COO / Plant Manager / MES Lead</v>
      </c>
      <c r="S82" s="52" t="str">
        <f>_TECH_Initiative_Library!AG40</f>
        <v>3-6 months</v>
      </c>
      <c r="T82" s="52" t="str">
        <f>_TECH_Initiative_Library!AP40</f>
        <v>Medium-High</v>
      </c>
      <c r="U82" s="52" t="s">
        <v>783</v>
      </c>
      <c r="V82" s="52"/>
    </row>
    <row r="83" spans="1:22" ht="33.950000000000003" customHeight="1">
      <c r="A83" s="52">
        <f ca="1">_TECH_Initiative_Library!AD41</f>
      </c>
      <c r="B83" s="52" t="str">
        <f>_TECH_Initiative_Library!A41</f>
        <v>INI-037</v>
      </c>
      <c r="C83" s="52" t="str">
        <f>_TECH_Initiative_Library!F41</f>
        <v>Implement MES and shop-floor digital control foundation</v>
      </c>
      <c r="D83" s="52" t="str">
        <f>_TECH_Initiative_Library!B41</f>
        <v>Manufacturing MES</v>
      </c>
      <c r="E83" s="52" t="str">
        <f>_TECH_Initiative_Library!C41</f>
        <v>MES and shop floor</v>
      </c>
      <c r="F83" s="52" t="str">
        <f>_TECH_Initiative_Library!D41</f>
        <v>Manufacturing Continuity and MES Strategy</v>
      </c>
      <c r="G83" s="52">
        <f ca="1">_TECH_Initiative_Library!AE41</f>
      </c>
      <c r="H83" s="56">
        <f ca="1">_TECH_Initiative_Library!AC41</f>
      </c>
      <c r="I83" s="52">
        <f ca="1">_TECH_Initiative_Library!X41</f>
      </c>
      <c r="J83" s="52">
        <f ca="1">_TECH_Initiative_Library!Y41</f>
        <v>2</v>
      </c>
      <c r="K83" s="52">
        <f ca="1">_TECH_Initiative_Library!Z41</f>
      </c>
      <c r="L83" s="52">
        <f>_TECH_Initiative_Library!AA41</f>
        <v>5</v>
      </c>
      <c r="M83" s="52">
        <f>_TECH_Initiative_Library!AB41</f>
        <v>4</v>
      </c>
      <c r="N83" s="52">
        <f>_TECH_Initiative_Library!L41</f>
        <v>0</v>
      </c>
      <c r="O83" s="52">
        <f>_TECH_Initiative_Library!M41</f>
        <v>0</v>
      </c>
      <c r="P83" s="56" t="str">
        <f ca="1">_TECH_Initiative_Library!N41</f>
        <v/>
      </c>
      <c r="Q83" s="56">
        <f>_TECH_Initiative_Library!R41</f>
        <v>1.4</v>
      </c>
      <c r="R83" s="52" t="str">
        <f>_TECH_Initiative_Library!AF41</f>
        <v>COO / Plant Manager / MES Lead</v>
      </c>
      <c r="S83" s="52" t="str">
        <f>_TECH_Initiative_Library!AG41</f>
        <v>3-6 months</v>
      </c>
      <c r="T83" s="52" t="str">
        <f>_TECH_Initiative_Library!AP41</f>
        <v>Medium-High</v>
      </c>
      <c r="U83" s="52" t="s">
        <v>783</v>
      </c>
      <c r="V83" s="52"/>
    </row>
    <row r="84" spans="1:22" ht="33.950000000000003" customHeight="1">
      <c r="A84" s="52">
        <f ca="1">_TECH_Initiative_Library!AD42</f>
      </c>
      <c r="B84" s="52" t="str">
        <f>_TECH_Initiative_Library!A42</f>
        <v>INI-038</v>
      </c>
      <c r="C84" s="52" t="str">
        <f>_TECH_Initiative_Library!F42</f>
        <v>Build maintenance, spare-parts and asset resilience program</v>
      </c>
      <c r="D84" s="52" t="str">
        <f>_TECH_Initiative_Library!B42</f>
        <v>Manufacturing MES</v>
      </c>
      <c r="E84" s="52" t="str">
        <f>_TECH_Initiative_Library!C42</f>
        <v>Maintenance and assets</v>
      </c>
      <c r="F84" s="52" t="str">
        <f>_TECH_Initiative_Library!D42</f>
        <v>Manufacturing Continuity and MES Strategy</v>
      </c>
      <c r="G84" s="52">
        <f ca="1">_TECH_Initiative_Library!AE42</f>
      </c>
      <c r="H84" s="56">
        <f ca="1">_TECH_Initiative_Library!AC42</f>
      </c>
      <c r="I84" s="52">
        <f ca="1">_TECH_Initiative_Library!X42</f>
      </c>
      <c r="J84" s="52">
        <f ca="1">_TECH_Initiative_Library!Y42</f>
        <v>2</v>
      </c>
      <c r="K84" s="52">
        <f ca="1">_TECH_Initiative_Library!Z42</f>
      </c>
      <c r="L84" s="52">
        <f>_TECH_Initiative_Library!AA42</f>
        <v>5</v>
      </c>
      <c r="M84" s="52">
        <f>_TECH_Initiative_Library!AB42</f>
        <v>4</v>
      </c>
      <c r="N84" s="52">
        <f>_TECH_Initiative_Library!L42</f>
        <v>0</v>
      </c>
      <c r="O84" s="52">
        <f>_TECH_Initiative_Library!M42</f>
        <v>0</v>
      </c>
      <c r="P84" s="56" t="str">
        <f ca="1">_TECH_Initiative_Library!N42</f>
        <v/>
      </c>
      <c r="Q84" s="56">
        <f>_TECH_Initiative_Library!R42</f>
        <v>1.4</v>
      </c>
      <c r="R84" s="52" t="str">
        <f>_TECH_Initiative_Library!AF42</f>
        <v>COO / Plant Manager / MES Lead</v>
      </c>
      <c r="S84" s="52" t="str">
        <f>_TECH_Initiative_Library!AG42</f>
        <v>3-6 months</v>
      </c>
      <c r="T84" s="52" t="str">
        <f>_TECH_Initiative_Library!AP42</f>
        <v>Medium-High</v>
      </c>
      <c r="U84" s="52" t="s">
        <v>783</v>
      </c>
      <c r="V84" s="52"/>
    </row>
    <row r="85" spans="1:22" ht="33.950000000000003" customHeight="1">
      <c r="A85" s="52">
        <f ca="1">_TECH_Initiative_Library!AD43</f>
      </c>
      <c r="B85" s="52" t="str">
        <f>_TECH_Initiative_Library!A43</f>
        <v>INI-039</v>
      </c>
      <c r="C85" s="52" t="str">
        <f>_TECH_Initiative_Library!F43</f>
        <v>Strengthen manufacturing quality, safety and release controls</v>
      </c>
      <c r="D85" s="52" t="str">
        <f>_TECH_Initiative_Library!B43</f>
        <v>Manufacturing MES</v>
      </c>
      <c r="E85" s="52" t="str">
        <f>_TECH_Initiative_Library!C43</f>
        <v>Quality and safety</v>
      </c>
      <c r="F85" s="52" t="str">
        <f>_TECH_Initiative_Library!D43</f>
        <v>Manufacturing Continuity and MES Strategy</v>
      </c>
      <c r="G85" s="52">
        <f ca="1">_TECH_Initiative_Library!AE43</f>
      </c>
      <c r="H85" s="56">
        <f ca="1">_TECH_Initiative_Library!AC43</f>
      </c>
      <c r="I85" s="52">
        <f ca="1">_TECH_Initiative_Library!X43</f>
      </c>
      <c r="J85" s="52">
        <f ca="1">_TECH_Initiative_Library!Y43</f>
        <v>2</v>
      </c>
      <c r="K85" s="52">
        <f ca="1">_TECH_Initiative_Library!Z43</f>
      </c>
      <c r="L85" s="52">
        <f>_TECH_Initiative_Library!AA43</f>
        <v>5</v>
      </c>
      <c r="M85" s="52">
        <f>_TECH_Initiative_Library!AB43</f>
        <v>4</v>
      </c>
      <c r="N85" s="52">
        <f>_TECH_Initiative_Library!L43</f>
        <v>0</v>
      </c>
      <c r="O85" s="52">
        <f>_TECH_Initiative_Library!M43</f>
        <v>0</v>
      </c>
      <c r="P85" s="56" t="str">
        <f ca="1">_TECH_Initiative_Library!N43</f>
        <v/>
      </c>
      <c r="Q85" s="56">
        <f>_TECH_Initiative_Library!R43</f>
        <v>1.4</v>
      </c>
      <c r="R85" s="52" t="str">
        <f>_TECH_Initiative_Library!AF43</f>
        <v>COO / Plant Manager / MES Lead</v>
      </c>
      <c r="S85" s="52" t="str">
        <f>_TECH_Initiative_Library!AG43</f>
        <v>3-6 months</v>
      </c>
      <c r="T85" s="52" t="str">
        <f>_TECH_Initiative_Library!AP43</f>
        <v>Medium-High</v>
      </c>
      <c r="U85" s="52" t="s">
        <v>783</v>
      </c>
      <c r="V85" s="52"/>
    </row>
    <row r="86" spans="1:22" ht="33.950000000000003" customHeight="1">
      <c r="A86" s="52">
        <f ca="1">_TECH_Initiative_Library!AD44</f>
      </c>
      <c r="B86" s="52" t="str">
        <f>_TECH_Initiative_Library!A44</f>
        <v>INI-040</v>
      </c>
      <c r="C86" s="52" t="str">
        <f>_TECH_Initiative_Library!F44</f>
        <v>Implement OT security and industrial network resilience controls</v>
      </c>
      <c r="D86" s="52" t="str">
        <f>_TECH_Initiative_Library!B44</f>
        <v>Manufacturing MES</v>
      </c>
      <c r="E86" s="52" t="str">
        <f>_TECH_Initiative_Library!C44</f>
        <v>OT security</v>
      </c>
      <c r="F86" s="52" t="str">
        <f>_TECH_Initiative_Library!D44</f>
        <v>Manufacturing Continuity and MES Strategy</v>
      </c>
      <c r="G86" s="52">
        <f ca="1">_TECH_Initiative_Library!AE44</f>
      </c>
      <c r="H86" s="56">
        <f ca="1">_TECH_Initiative_Library!AC44</f>
      </c>
      <c r="I86" s="52">
        <f ca="1">_TECH_Initiative_Library!X44</f>
      </c>
      <c r="J86" s="52">
        <f ca="1">_TECH_Initiative_Library!Y44</f>
        <v>2</v>
      </c>
      <c r="K86" s="52">
        <f ca="1">_TECH_Initiative_Library!Z44</f>
      </c>
      <c r="L86" s="52">
        <f>_TECH_Initiative_Library!AA44</f>
        <v>5</v>
      </c>
      <c r="M86" s="52">
        <f>_TECH_Initiative_Library!AB44</f>
        <v>4</v>
      </c>
      <c r="N86" s="52">
        <f>_TECH_Initiative_Library!L44</f>
        <v>0</v>
      </c>
      <c r="O86" s="52">
        <f>_TECH_Initiative_Library!M44</f>
        <v>0</v>
      </c>
      <c r="P86" s="56" t="str">
        <f ca="1">_TECH_Initiative_Library!N44</f>
        <v/>
      </c>
      <c r="Q86" s="56">
        <f>_TECH_Initiative_Library!R44</f>
        <v>1.4</v>
      </c>
      <c r="R86" s="52" t="str">
        <f>_TECH_Initiative_Library!AF44</f>
        <v>COO / Plant Manager / MES Lead</v>
      </c>
      <c r="S86" s="52" t="str">
        <f>_TECH_Initiative_Library!AG44</f>
        <v>3-6 months</v>
      </c>
      <c r="T86" s="52" t="str">
        <f>_TECH_Initiative_Library!AP44</f>
        <v>Medium-High</v>
      </c>
      <c r="U86" s="52" t="s">
        <v>783</v>
      </c>
      <c r="V86" s="52"/>
    </row>
    <row r="87" spans="1:22" ht="33.950000000000003" customHeight="1">
      <c r="A87" s="52">
        <f ca="1">_TECH_Initiative_Library!AD45</f>
      </c>
      <c r="B87" s="52" t="str">
        <f>_TECH_Initiative_Library!A45</f>
        <v>INI-041</v>
      </c>
      <c r="C87" s="52" t="str">
        <f>_TECH_Initiative_Library!F45</f>
        <v>Stabilize CRM data model, ownership and adoption</v>
      </c>
      <c r="D87" s="52" t="str">
        <f>_TECH_Initiative_Library!B45</f>
        <v>Sales CRM</v>
      </c>
      <c r="E87" s="52" t="str">
        <f>_TECH_Initiative_Library!C45</f>
        <v>CRM foundation</v>
      </c>
      <c r="F87" s="52" t="str">
        <f>_TECH_Initiative_Library!D45</f>
        <v>Customer Retention and Revenue Protection Strategy</v>
      </c>
      <c r="G87" s="52">
        <f ca="1">_TECH_Initiative_Library!AE45</f>
      </c>
      <c r="H87" s="56">
        <f ca="1">_TECH_Initiative_Library!AC45</f>
      </c>
      <c r="I87" s="52">
        <f ca="1">_TECH_Initiative_Library!X45</f>
      </c>
      <c r="J87" s="52">
        <f ca="1">_TECH_Initiative_Library!Y45</f>
        <v>2</v>
      </c>
      <c r="K87" s="52">
        <f ca="1">_TECH_Initiative_Library!Z45</f>
      </c>
      <c r="L87" s="52">
        <f>_TECH_Initiative_Library!AA45</f>
        <v>4</v>
      </c>
      <c r="M87" s="52">
        <f>_TECH_Initiative_Library!AB45</f>
        <v>3</v>
      </c>
      <c r="N87" s="52">
        <f>_TECH_Initiative_Library!L45</f>
        <v>0</v>
      </c>
      <c r="O87" s="52">
        <f>_TECH_Initiative_Library!M45</f>
        <v>0</v>
      </c>
      <c r="P87" s="56" t="str">
        <f ca="1">_TECH_Initiative_Library!N45</f>
        <v/>
      </c>
      <c r="Q87" s="56">
        <f>_TECH_Initiative_Library!R45</f>
        <v>1</v>
      </c>
      <c r="R87" s="52" t="str">
        <f>_TECH_Initiative_Library!AF45</f>
        <v>CRO / Head of Sales</v>
      </c>
      <c r="S87" s="52" t="str">
        <f>_TECH_Initiative_Library!AG45</f>
        <v>2-3 months</v>
      </c>
      <c r="T87" s="52" t="str">
        <f>_TECH_Initiative_Library!AP45</f>
        <v>Medium</v>
      </c>
      <c r="U87" s="52" t="s">
        <v>783</v>
      </c>
      <c r="V87" s="52"/>
    </row>
    <row r="88" spans="1:22" ht="33.950000000000003" customHeight="1">
      <c r="A88" s="52">
        <f ca="1">_TECH_Initiative_Library!AD46</f>
      </c>
      <c r="B88" s="52" t="str">
        <f>_TECH_Initiative_Library!A46</f>
        <v>INI-042</v>
      </c>
      <c r="C88" s="52" t="str">
        <f>_TECH_Initiative_Library!F46</f>
        <v>Build pipeline visibility, forecast discipline and revenue scenarios</v>
      </c>
      <c r="D88" s="52" t="str">
        <f>_TECH_Initiative_Library!B46</f>
        <v>Sales CRM</v>
      </c>
      <c r="E88" s="52" t="str">
        <f>_TECH_Initiative_Library!C46</f>
        <v>Pipeline and forecast</v>
      </c>
      <c r="F88" s="52" t="str">
        <f>_TECH_Initiative_Library!D46</f>
        <v>Customer Retention and Revenue Protection Strategy</v>
      </c>
      <c r="G88" s="52">
        <f ca="1">_TECH_Initiative_Library!AE46</f>
      </c>
      <c r="H88" s="56">
        <f ca="1">_TECH_Initiative_Library!AC46</f>
      </c>
      <c r="I88" s="52">
        <f ca="1">_TECH_Initiative_Library!X46</f>
      </c>
      <c r="J88" s="52">
        <f ca="1">_TECH_Initiative_Library!Y46</f>
        <v>2</v>
      </c>
      <c r="K88" s="52">
        <f ca="1">_TECH_Initiative_Library!Z46</f>
      </c>
      <c r="L88" s="52">
        <f>_TECH_Initiative_Library!AA46</f>
        <v>4</v>
      </c>
      <c r="M88" s="52">
        <f>_TECH_Initiative_Library!AB46</f>
        <v>3</v>
      </c>
      <c r="N88" s="52">
        <f>_TECH_Initiative_Library!L46</f>
        <v>0</v>
      </c>
      <c r="O88" s="52">
        <f>_TECH_Initiative_Library!M46</f>
        <v>0</v>
      </c>
      <c r="P88" s="56" t="str">
        <f ca="1">_TECH_Initiative_Library!N46</f>
        <v/>
      </c>
      <c r="Q88" s="56">
        <f>_TECH_Initiative_Library!R46</f>
        <v>1</v>
      </c>
      <c r="R88" s="52" t="str">
        <f>_TECH_Initiative_Library!AF46</f>
        <v>CRO / Head of Sales</v>
      </c>
      <c r="S88" s="52" t="str">
        <f>_TECH_Initiative_Library!AG46</f>
        <v>2-3 months</v>
      </c>
      <c r="T88" s="52" t="str">
        <f>_TECH_Initiative_Library!AP46</f>
        <v>Medium</v>
      </c>
      <c r="U88" s="52" t="s">
        <v>783</v>
      </c>
      <c r="V88" s="52"/>
    </row>
    <row r="89" spans="1:22" ht="33.950000000000003" customHeight="1">
      <c r="A89" s="52">
        <f ca="1">_TECH_Initiative_Library!AD47</f>
      </c>
      <c r="B89" s="52" t="str">
        <f>_TECH_Initiative_Library!A47</f>
        <v>INI-043</v>
      </c>
      <c r="C89" s="52" t="str">
        <f>_TECH_Initiative_Library!F47</f>
        <v>Implement customer continuity and key-account protection program</v>
      </c>
      <c r="D89" s="52" t="str">
        <f>_TECH_Initiative_Library!B47</f>
        <v>Sales CRM</v>
      </c>
      <c r="E89" s="52" t="str">
        <f>_TECH_Initiative_Library!C47</f>
        <v>Customer continuity</v>
      </c>
      <c r="F89" s="52" t="str">
        <f>_TECH_Initiative_Library!D47</f>
        <v>Customer Retention and Revenue Protection Strategy</v>
      </c>
      <c r="G89" s="52">
        <f ca="1">_TECH_Initiative_Library!AE47</f>
      </c>
      <c r="H89" s="56">
        <f ca="1">_TECH_Initiative_Library!AC47</f>
      </c>
      <c r="I89" s="52">
        <f ca="1">_TECH_Initiative_Library!X47</f>
      </c>
      <c r="J89" s="52">
        <f ca="1">_TECH_Initiative_Library!Y47</f>
        <v>2</v>
      </c>
      <c r="K89" s="52">
        <f ca="1">_TECH_Initiative_Library!Z47</f>
      </c>
      <c r="L89" s="52">
        <f>_TECH_Initiative_Library!AA47</f>
        <v>4</v>
      </c>
      <c r="M89" s="52">
        <f>_TECH_Initiative_Library!AB47</f>
        <v>3</v>
      </c>
      <c r="N89" s="52">
        <f>_TECH_Initiative_Library!L47</f>
        <v>0</v>
      </c>
      <c r="O89" s="52">
        <f>_TECH_Initiative_Library!M47</f>
        <v>0</v>
      </c>
      <c r="P89" s="56" t="str">
        <f ca="1">_TECH_Initiative_Library!N47</f>
        <v/>
      </c>
      <c r="Q89" s="56">
        <f>_TECH_Initiative_Library!R47</f>
        <v>1</v>
      </c>
      <c r="R89" s="52" t="str">
        <f>_TECH_Initiative_Library!AF47</f>
        <v>CRO / Head of Sales</v>
      </c>
      <c r="S89" s="52" t="str">
        <f>_TECH_Initiative_Library!AG47</f>
        <v>2-3 months</v>
      </c>
      <c r="T89" s="52" t="str">
        <f>_TECH_Initiative_Library!AP47</f>
        <v>Medium</v>
      </c>
      <c r="U89" s="52" t="s">
        <v>783</v>
      </c>
      <c r="V89" s="52"/>
    </row>
    <row r="90" spans="1:22" ht="33.950000000000003" customHeight="1">
      <c r="A90" s="52">
        <f ca="1">_TECH_Initiative_Library!AD48</f>
      </c>
      <c r="B90" s="52" t="str">
        <f>_TECH_Initiative_Library!A48</f>
        <v>INI-044</v>
      </c>
      <c r="C90" s="52" t="str">
        <f>_TECH_Initiative_Library!F48</f>
        <v>Strengthen pricing, discounting and revenue-control governance</v>
      </c>
      <c r="D90" s="52" t="str">
        <f>_TECH_Initiative_Library!B48</f>
        <v>Sales CRM</v>
      </c>
      <c r="E90" s="52" t="str">
        <f>_TECH_Initiative_Library!C48</f>
        <v>Revenue controls</v>
      </c>
      <c r="F90" s="52" t="str">
        <f>_TECH_Initiative_Library!D48</f>
        <v>Customer Retention and Revenue Protection Strategy</v>
      </c>
      <c r="G90" s="52">
        <f ca="1">_TECH_Initiative_Library!AE48</f>
      </c>
      <c r="H90" s="56">
        <f ca="1">_TECH_Initiative_Library!AC48</f>
      </c>
      <c r="I90" s="52">
        <f ca="1">_TECH_Initiative_Library!X48</f>
      </c>
      <c r="J90" s="52">
        <f ca="1">_TECH_Initiative_Library!Y48</f>
        <v>2</v>
      </c>
      <c r="K90" s="52">
        <f ca="1">_TECH_Initiative_Library!Z48</f>
      </c>
      <c r="L90" s="52">
        <f>_TECH_Initiative_Library!AA48</f>
        <v>4</v>
      </c>
      <c r="M90" s="52">
        <f>_TECH_Initiative_Library!AB48</f>
        <v>3</v>
      </c>
      <c r="N90" s="52">
        <f>_TECH_Initiative_Library!L48</f>
        <v>0</v>
      </c>
      <c r="O90" s="52">
        <f>_TECH_Initiative_Library!M48</f>
        <v>0</v>
      </c>
      <c r="P90" s="56" t="str">
        <f ca="1">_TECH_Initiative_Library!N48</f>
        <v/>
      </c>
      <c r="Q90" s="56">
        <f>_TECH_Initiative_Library!R48</f>
        <v>1</v>
      </c>
      <c r="R90" s="52" t="str">
        <f>_TECH_Initiative_Library!AF48</f>
        <v>CRO / Head of Sales</v>
      </c>
      <c r="S90" s="52" t="str">
        <f>_TECH_Initiative_Library!AG48</f>
        <v>2-3 months</v>
      </c>
      <c r="T90" s="52" t="str">
        <f>_TECH_Initiative_Library!AP48</f>
        <v>Medium</v>
      </c>
      <c r="U90" s="52" t="s">
        <v>783</v>
      </c>
      <c r="V90" s="52"/>
    </row>
    <row r="91" spans="1:22" ht="33.950000000000003" customHeight="1">
      <c r="A91" s="52">
        <f ca="1">_TECH_Initiative_Library!AD49</f>
      </c>
      <c r="B91" s="52" t="str">
        <f>_TECH_Initiative_Library!A49</f>
        <v>INI-045</v>
      </c>
      <c r="C91" s="52" t="str">
        <f>_TECH_Initiative_Library!F49</f>
        <v>Build resilient brand presence and digital demand generation</v>
      </c>
      <c r="D91" s="52" t="str">
        <f>_TECH_Initiative_Library!B49</f>
        <v>Marketing Comms</v>
      </c>
      <c r="E91" s="52" t="str">
        <f>_TECH_Initiative_Library!C49</f>
        <v>Brand and market presence</v>
      </c>
      <c r="F91" s="52" t="str">
        <f>_TECH_Initiative_Library!D49</f>
        <v>Customer Retention and Revenue Protection Strategy</v>
      </c>
      <c r="G91" s="52">
        <f ca="1">_TECH_Initiative_Library!AE49</f>
      </c>
      <c r="H91" s="56">
        <f ca="1">_TECH_Initiative_Library!AC49</f>
      </c>
      <c r="I91" s="52">
        <f ca="1">_TECH_Initiative_Library!X49</f>
      </c>
      <c r="J91" s="52">
        <f ca="1">_TECH_Initiative_Library!Y49</f>
        <v>2</v>
      </c>
      <c r="K91" s="52">
        <f ca="1">_TECH_Initiative_Library!Z49</f>
      </c>
      <c r="L91" s="52">
        <f>_TECH_Initiative_Library!AA49</f>
        <v>4</v>
      </c>
      <c r="M91" s="52">
        <f>_TECH_Initiative_Library!AB49</f>
        <v>3</v>
      </c>
      <c r="N91" s="52">
        <f>_TECH_Initiative_Library!L49</f>
        <v>0</v>
      </c>
      <c r="O91" s="52">
        <f>_TECH_Initiative_Library!M49</f>
        <v>0</v>
      </c>
      <c r="P91" s="56" t="str">
        <f ca="1">_TECH_Initiative_Library!N49</f>
        <v/>
      </c>
      <c r="Q91" s="56">
        <f>_TECH_Initiative_Library!R49</f>
        <v>1.2</v>
      </c>
      <c r="R91" s="52" t="str">
        <f>_TECH_Initiative_Library!AF49</f>
        <v>CMO / Communications Lead</v>
      </c>
      <c r="S91" s="52" t="str">
        <f>_TECH_Initiative_Library!AG49</f>
        <v>2-3 months</v>
      </c>
      <c r="T91" s="52" t="str">
        <f>_TECH_Initiative_Library!AP49</f>
        <v>Medium</v>
      </c>
      <c r="U91" s="52" t="s">
        <v>783</v>
      </c>
      <c r="V91" s="52"/>
    </row>
    <row r="92" spans="1:22" ht="33.950000000000003" customHeight="1">
      <c r="A92" s="52">
        <f ca="1">_TECH_Initiative_Library!AD50</f>
      </c>
      <c r="B92" s="52" t="str">
        <f>_TECH_Initiative_Library!A50</f>
        <v>INI-046</v>
      </c>
      <c r="C92" s="52" t="str">
        <f>_TECH_Initiative_Library!F50</f>
        <v>Prepare crisis communication playbooks and customer notification flows</v>
      </c>
      <c r="D92" s="52" t="str">
        <f>_TECH_Initiative_Library!B50</f>
        <v>Marketing Comms</v>
      </c>
      <c r="E92" s="52" t="str">
        <f>_TECH_Initiative_Library!C50</f>
        <v>Crisis communication</v>
      </c>
      <c r="F92" s="52" t="str">
        <f>_TECH_Initiative_Library!D50</f>
        <v>Business Continuity and Resilience Strategy</v>
      </c>
      <c r="G92" s="52">
        <f ca="1">_TECH_Initiative_Library!AE50</f>
      </c>
      <c r="H92" s="56">
        <f ca="1">_TECH_Initiative_Library!AC50</f>
      </c>
      <c r="I92" s="52">
        <f ca="1">_TECH_Initiative_Library!X50</f>
      </c>
      <c r="J92" s="52">
        <f ca="1">_TECH_Initiative_Library!Y50</f>
        <v>2</v>
      </c>
      <c r="K92" s="52">
        <f ca="1">_TECH_Initiative_Library!Z50</f>
      </c>
      <c r="L92" s="52">
        <f>_TECH_Initiative_Library!AA50</f>
        <v>4</v>
      </c>
      <c r="M92" s="52">
        <f>_TECH_Initiative_Library!AB50</f>
        <v>3</v>
      </c>
      <c r="N92" s="52">
        <f>_TECH_Initiative_Library!L50</f>
        <v>0</v>
      </c>
      <c r="O92" s="52">
        <f>_TECH_Initiative_Library!M50</f>
        <v>0</v>
      </c>
      <c r="P92" s="56" t="str">
        <f ca="1">_TECH_Initiative_Library!N50</f>
        <v/>
      </c>
      <c r="Q92" s="56">
        <f>_TECH_Initiative_Library!R50</f>
        <v>1.2</v>
      </c>
      <c r="R92" s="52" t="str">
        <f>_TECH_Initiative_Library!AF50</f>
        <v>CMO / Communications Lead</v>
      </c>
      <c r="S92" s="52" t="str">
        <f>_TECH_Initiative_Library!AG50</f>
        <v>2-3 months</v>
      </c>
      <c r="T92" s="52" t="str">
        <f>_TECH_Initiative_Library!AP50</f>
        <v>Medium</v>
      </c>
      <c r="U92" s="52" t="s">
        <v>783</v>
      </c>
      <c r="V92" s="52"/>
    </row>
    <row r="93" spans="1:22" ht="33.950000000000003" customHeight="1">
      <c r="A93" s="52">
        <f ca="1">_TECH_Initiative_Library!AD51</f>
      </c>
      <c r="B93" s="52" t="str">
        <f>_TECH_Initiative_Library!A51</f>
        <v>INI-047</v>
      </c>
      <c r="C93" s="52" t="str">
        <f>_TECH_Initiative_Library!F51</f>
        <v>Standardize marketing operations, content and analytics cadence</v>
      </c>
      <c r="D93" s="52" t="str">
        <f>_TECH_Initiative_Library!B51</f>
        <v>Marketing Comms</v>
      </c>
      <c r="E93" s="52" t="str">
        <f>_TECH_Initiative_Library!C51</f>
        <v>Marketing operations</v>
      </c>
      <c r="F93" s="52" t="str">
        <f>_TECH_Initiative_Library!D51</f>
        <v>Customer Retention and Revenue Protection Strategy</v>
      </c>
      <c r="G93" s="52">
        <f ca="1">_TECH_Initiative_Library!AE51</f>
      </c>
      <c r="H93" s="56">
        <f ca="1">_TECH_Initiative_Library!AC51</f>
      </c>
      <c r="I93" s="52">
        <f ca="1">_TECH_Initiative_Library!X51</f>
      </c>
      <c r="J93" s="52">
        <f ca="1">_TECH_Initiative_Library!Y51</f>
        <v>2</v>
      </c>
      <c r="K93" s="52">
        <f ca="1">_TECH_Initiative_Library!Z51</f>
      </c>
      <c r="L93" s="52">
        <f>_TECH_Initiative_Library!AA51</f>
        <v>4</v>
      </c>
      <c r="M93" s="52">
        <f>_TECH_Initiative_Library!AB51</f>
        <v>3</v>
      </c>
      <c r="N93" s="52">
        <f>_TECH_Initiative_Library!L51</f>
        <v>0</v>
      </c>
      <c r="O93" s="52">
        <f>_TECH_Initiative_Library!M51</f>
        <v>0</v>
      </c>
      <c r="P93" s="56" t="str">
        <f ca="1">_TECH_Initiative_Library!N51</f>
        <v/>
      </c>
      <c r="Q93" s="56">
        <f>_TECH_Initiative_Library!R51</f>
        <v>1.2</v>
      </c>
      <c r="R93" s="52" t="str">
        <f>_TECH_Initiative_Library!AF51</f>
        <v>CMO / Communications Lead</v>
      </c>
      <c r="S93" s="52" t="str">
        <f>_TECH_Initiative_Library!AG51</f>
        <v>2-3 months</v>
      </c>
      <c r="T93" s="52" t="str">
        <f>_TECH_Initiative_Library!AP51</f>
        <v>Medium</v>
      </c>
      <c r="U93" s="52" t="s">
        <v>783</v>
      </c>
      <c r="V93" s="52"/>
    </row>
    <row r="94" spans="1:22" ht="33.950000000000003" customHeight="1">
      <c r="A94" s="52">
        <f ca="1">_TECH_Initiative_Library!AD52</f>
      </c>
      <c r="B94" s="52" t="str">
        <f>_TECH_Initiative_Library!A52</f>
        <v>INI-048</v>
      </c>
      <c r="C94" s="52" t="str">
        <f>_TECH_Initiative_Library!F52</f>
        <v>Create IT asset, application and architecture criticality map</v>
      </c>
      <c r="D94" s="52" t="str">
        <f>_TECH_Initiative_Library!B52</f>
        <v>IT Cloud DR</v>
      </c>
      <c r="E94" s="52" t="str">
        <f>_TECH_Initiative_Library!C52</f>
        <v>IT inventory and architecture</v>
      </c>
      <c r="F94" s="52" t="str">
        <f>_TECH_Initiative_Library!D52</f>
        <v>Cloud and Infrastructure Resilience Strategy</v>
      </c>
      <c r="G94" s="52">
        <f ca="1">_TECH_Initiative_Library!AE52</f>
      </c>
      <c r="H94" s="56">
        <f ca="1">_TECH_Initiative_Library!AC52</f>
      </c>
      <c r="I94" s="52">
        <f ca="1">_TECH_Initiative_Library!X52</f>
      </c>
      <c r="J94" s="52">
        <f ca="1">_TECH_Initiative_Library!Y52</f>
        <v>3</v>
      </c>
      <c r="K94" s="52">
        <f ca="1">_TECH_Initiative_Library!Z52</f>
      </c>
      <c r="L94" s="52">
        <f>_TECH_Initiative_Library!AA52</f>
        <v>4</v>
      </c>
      <c r="M94" s="52">
        <f>_TECH_Initiative_Library!AB52</f>
        <v>4</v>
      </c>
      <c r="N94" s="52">
        <f>_TECH_Initiative_Library!L52</f>
        <v>0</v>
      </c>
      <c r="O94" s="52">
        <f>_TECH_Initiative_Library!M52</f>
        <v>0</v>
      </c>
      <c r="P94" s="56" t="str">
        <f ca="1">_TECH_Initiative_Library!N52</f>
        <v/>
      </c>
      <c r="Q94" s="56">
        <f>_TECH_Initiative_Library!R52</f>
        <v>1.7</v>
      </c>
      <c r="R94" s="52" t="str">
        <f>_TECH_Initiative_Library!AF52</f>
        <v>CIO / CTO / Infrastructure Lead</v>
      </c>
      <c r="S94" s="52" t="str">
        <f>_TECH_Initiative_Library!AG52</f>
        <v>3-6 months</v>
      </c>
      <c r="T94" s="52" t="str">
        <f>_TECH_Initiative_Library!AP52</f>
        <v>Medium-High</v>
      </c>
      <c r="U94" s="52" t="s">
        <v>783</v>
      </c>
      <c r="V94" s="52"/>
    </row>
    <row r="95" spans="1:22" ht="33.950000000000003" customHeight="1">
      <c r="A95" s="52">
        <f ca="1">_TECH_Initiative_Library!AD53</f>
      </c>
      <c r="B95" s="52" t="str">
        <f>_TECH_Initiative_Library!A53</f>
        <v>INI-049</v>
      </c>
      <c r="C95" s="52" t="str">
        <f>_TECH_Initiative_Library!F53</f>
        <v>Optimize cloud usage, landing zones and infrastructure resilience</v>
      </c>
      <c r="D95" s="52" t="str">
        <f>_TECH_Initiative_Library!B53</f>
        <v>IT Cloud DR</v>
      </c>
      <c r="E95" s="52" t="str">
        <f>_TECH_Initiative_Library!C53</f>
        <v>Cloud usage</v>
      </c>
      <c r="F95" s="52" t="str">
        <f>_TECH_Initiative_Library!D53</f>
        <v>Cloud and Infrastructure Resilience Strategy</v>
      </c>
      <c r="G95" s="52">
        <f ca="1">_TECH_Initiative_Library!AE53</f>
      </c>
      <c r="H95" s="56">
        <f ca="1">_TECH_Initiative_Library!AC53</f>
      </c>
      <c r="I95" s="52">
        <f ca="1">_TECH_Initiative_Library!X53</f>
      </c>
      <c r="J95" s="52">
        <f ca="1">_TECH_Initiative_Library!Y53</f>
        <v>3</v>
      </c>
      <c r="K95" s="52">
        <f ca="1">_TECH_Initiative_Library!Z53</f>
      </c>
      <c r="L95" s="52">
        <f>_TECH_Initiative_Library!AA53</f>
        <v>4</v>
      </c>
      <c r="M95" s="52">
        <f>_TECH_Initiative_Library!AB53</f>
        <v>4</v>
      </c>
      <c r="N95" s="52">
        <f>_TECH_Initiative_Library!L53</f>
        <v>0</v>
      </c>
      <c r="O95" s="52">
        <f>_TECH_Initiative_Library!M53</f>
        <v>0</v>
      </c>
      <c r="P95" s="56" t="str">
        <f ca="1">_TECH_Initiative_Library!N53</f>
        <v/>
      </c>
      <c r="Q95" s="56">
        <f>_TECH_Initiative_Library!R53</f>
        <v>1.7</v>
      </c>
      <c r="R95" s="52" t="str">
        <f>_TECH_Initiative_Library!AF53</f>
        <v>CIO / CTO / Infrastructure Lead</v>
      </c>
      <c r="S95" s="52" t="str">
        <f>_TECH_Initiative_Library!AG53</f>
        <v>3-6 months</v>
      </c>
      <c r="T95" s="52" t="str">
        <f>_TECH_Initiative_Library!AP53</f>
        <v>Medium-High</v>
      </c>
      <c r="U95" s="52" t="s">
        <v>783</v>
      </c>
      <c r="V95" s="52"/>
    </row>
    <row r="96" spans="1:22" ht="33.950000000000003" customHeight="1">
      <c r="A96" s="52">
        <f ca="1">_TECH_Initiative_Library!AD54</f>
      </c>
      <c r="B96" s="52" t="str">
        <f>_TECH_Initiative_Library!A54</f>
        <v>INI-050</v>
      </c>
      <c r="C96" s="52" t="str">
        <f>_TECH_Initiative_Library!F54</f>
        <v>Implement disaster recovery, backup testing and RTO/RPO controls</v>
      </c>
      <c r="D96" s="52" t="str">
        <f>_TECH_Initiative_Library!B54</f>
        <v>IT Cloud DR</v>
      </c>
      <c r="E96" s="52" t="str">
        <f>_TECH_Initiative_Library!C54</f>
        <v>Resilience and DR</v>
      </c>
      <c r="F96" s="52" t="str">
        <f>_TECH_Initiative_Library!D54</f>
        <v>Cloud and Infrastructure Resilience Strategy</v>
      </c>
      <c r="G96" s="52">
        <f ca="1">_TECH_Initiative_Library!AE54</f>
      </c>
      <c r="H96" s="56">
        <f ca="1">_TECH_Initiative_Library!AC54</f>
      </c>
      <c r="I96" s="52">
        <f ca="1">_TECH_Initiative_Library!X54</f>
      </c>
      <c r="J96" s="52">
        <f ca="1">_TECH_Initiative_Library!Y54</f>
        <v>3</v>
      </c>
      <c r="K96" s="52">
        <f ca="1">_TECH_Initiative_Library!Z54</f>
      </c>
      <c r="L96" s="52">
        <f>_TECH_Initiative_Library!AA54</f>
        <v>4</v>
      </c>
      <c r="M96" s="52">
        <f>_TECH_Initiative_Library!AB54</f>
        <v>4</v>
      </c>
      <c r="N96" s="52">
        <f>_TECH_Initiative_Library!L54</f>
        <v>0</v>
      </c>
      <c r="O96" s="52">
        <f>_TECH_Initiative_Library!M54</f>
        <v>0</v>
      </c>
      <c r="P96" s="56" t="str">
        <f ca="1">_TECH_Initiative_Library!N54</f>
        <v/>
      </c>
      <c r="Q96" s="56">
        <f>_TECH_Initiative_Library!R54</f>
        <v>1.7</v>
      </c>
      <c r="R96" s="52" t="str">
        <f>_TECH_Initiative_Library!AF54</f>
        <v>CIO / CTO / Infrastructure Lead</v>
      </c>
      <c r="S96" s="52" t="str">
        <f>_TECH_Initiative_Library!AG54</f>
        <v>3-6 months</v>
      </c>
      <c r="T96" s="52" t="str">
        <f>_TECH_Initiative_Library!AP54</f>
        <v>Medium-High</v>
      </c>
      <c r="U96" s="52" t="s">
        <v>783</v>
      </c>
      <c r="V96" s="52"/>
    </row>
    <row r="97" spans="1:22" ht="33.950000000000003" customHeight="1">
      <c r="A97" s="52">
        <f ca="1">_TECH_Initiative_Library!AD55</f>
      </c>
      <c r="B97" s="52" t="str">
        <f>_TECH_Initiative_Library!A55</f>
        <v>INI-051</v>
      </c>
      <c r="C97" s="52" t="str">
        <f>_TECH_Initiative_Library!F55</f>
        <v>Strengthen IT operations, monitoring, incident and change management</v>
      </c>
      <c r="D97" s="52" t="str">
        <f>_TECH_Initiative_Library!B55</f>
        <v>IT Cloud DR</v>
      </c>
      <c r="E97" s="52" t="str">
        <f>_TECH_Initiative_Library!C55</f>
        <v>Operations</v>
      </c>
      <c r="F97" s="52" t="str">
        <f>_TECH_Initiative_Library!D55</f>
        <v>Cloud and Infrastructure Resilience Strategy</v>
      </c>
      <c r="G97" s="52">
        <f ca="1">_TECH_Initiative_Library!AE55</f>
      </c>
      <c r="H97" s="56">
        <f ca="1">_TECH_Initiative_Library!AC55</f>
      </c>
      <c r="I97" s="52">
        <f ca="1">_TECH_Initiative_Library!X55</f>
      </c>
      <c r="J97" s="52">
        <f ca="1">_TECH_Initiative_Library!Y55</f>
        <v>3</v>
      </c>
      <c r="K97" s="52">
        <f ca="1">_TECH_Initiative_Library!Z55</f>
      </c>
      <c r="L97" s="52">
        <f>_TECH_Initiative_Library!AA55</f>
        <v>4</v>
      </c>
      <c r="M97" s="52">
        <f>_TECH_Initiative_Library!AB55</f>
        <v>4</v>
      </c>
      <c r="N97" s="52">
        <f>_TECH_Initiative_Library!L55</f>
        <v>0</v>
      </c>
      <c r="O97" s="52">
        <f>_TECH_Initiative_Library!M55</f>
        <v>0</v>
      </c>
      <c r="P97" s="56" t="str">
        <f ca="1">_TECH_Initiative_Library!N55</f>
        <v/>
      </c>
      <c r="Q97" s="56">
        <f>_TECH_Initiative_Library!R55</f>
        <v>1.7</v>
      </c>
      <c r="R97" s="52" t="str">
        <f>_TECH_Initiative_Library!AF55</f>
        <v>CIO / CTO / Infrastructure Lead</v>
      </c>
      <c r="S97" s="52" t="str">
        <f>_TECH_Initiative_Library!AG55</f>
        <v>3-6 months</v>
      </c>
      <c r="T97" s="52" t="str">
        <f>_TECH_Initiative_Library!AP55</f>
        <v>Medium-High</v>
      </c>
      <c r="U97" s="52" t="s">
        <v>783</v>
      </c>
      <c r="V97" s="52"/>
    </row>
    <row r="98" spans="1:22" ht="33.950000000000003" customHeight="1">
      <c r="A98" s="52">
        <f ca="1">_TECH_Initiative_Library!AD56</f>
      </c>
      <c r="B98" s="52" t="str">
        <f>_TECH_Initiative_Library!A56</f>
        <v>INI-052</v>
      </c>
      <c r="C98" s="52" t="str">
        <f>_TECH_Initiative_Library!F56</f>
        <v>Stabilize SaaS ownership, integrations and vendor continuity</v>
      </c>
      <c r="D98" s="52" t="str">
        <f>_TECH_Initiative_Library!B56</f>
        <v>IT Cloud DR</v>
      </c>
      <c r="E98" s="52" t="str">
        <f>_TECH_Initiative_Library!C56</f>
        <v>SaaS and integrations</v>
      </c>
      <c r="F98" s="52" t="str">
        <f>_TECH_Initiative_Library!D56</f>
        <v>Cloud and Infrastructure Resilience Strategy</v>
      </c>
      <c r="G98" s="52">
        <f ca="1">_TECH_Initiative_Library!AE56</f>
      </c>
      <c r="H98" s="56">
        <f ca="1">_TECH_Initiative_Library!AC56</f>
      </c>
      <c r="I98" s="52">
        <f ca="1">_TECH_Initiative_Library!X56</f>
      </c>
      <c r="J98" s="52">
        <f ca="1">_TECH_Initiative_Library!Y56</f>
        <v>3</v>
      </c>
      <c r="K98" s="52">
        <f ca="1">_TECH_Initiative_Library!Z56</f>
      </c>
      <c r="L98" s="52">
        <f>_TECH_Initiative_Library!AA56</f>
        <v>4</v>
      </c>
      <c r="M98" s="52">
        <f>_TECH_Initiative_Library!AB56</f>
        <v>4</v>
      </c>
      <c r="N98" s="52">
        <f>_TECH_Initiative_Library!L56</f>
        <v>0</v>
      </c>
      <c r="O98" s="52">
        <f>_TECH_Initiative_Library!M56</f>
        <v>0</v>
      </c>
      <c r="P98" s="56" t="str">
        <f ca="1">_TECH_Initiative_Library!N56</f>
        <v/>
      </c>
      <c r="Q98" s="56">
        <f>_TECH_Initiative_Library!R56</f>
        <v>1.7</v>
      </c>
      <c r="R98" s="52" t="str">
        <f>_TECH_Initiative_Library!AF56</f>
        <v>CIO / CTO / Infrastructure Lead</v>
      </c>
      <c r="S98" s="52" t="str">
        <f>_TECH_Initiative_Library!AG56</f>
        <v>3-6 months</v>
      </c>
      <c r="T98" s="52" t="str">
        <f>_TECH_Initiative_Library!AP56</f>
        <v>Medium-High</v>
      </c>
      <c r="U98" s="52" t="s">
        <v>783</v>
      </c>
      <c r="V98" s="52"/>
    </row>
    <row r="99" spans="1:22" ht="33.950000000000003" customHeight="1">
      <c r="A99" s="52">
        <f ca="1">_TECH_Initiative_Library!AD57</f>
      </c>
      <c r="B99" s="52" t="str">
        <f>_TECH_Initiative_Library!A57</f>
        <v>INI-053</v>
      </c>
      <c r="C99" s="52" t="str">
        <f>_TECH_Initiative_Library!F57</f>
        <v>Stabilize ERP process ownership, master data and continuity controls</v>
      </c>
      <c r="D99" s="52" t="str">
        <f>_TECH_Initiative_Library!B57</f>
        <v>Business Systems</v>
      </c>
      <c r="E99" s="52" t="str">
        <f>_TECH_Initiative_Library!C57</f>
        <v>ERP</v>
      </c>
      <c r="F99" s="52" t="str">
        <f>_TECH_Initiative_Library!D57</f>
        <v>Digital Foundation Strategy</v>
      </c>
      <c r="G99" s="52">
        <f ca="1">_TECH_Initiative_Library!AE57</f>
      </c>
      <c r="H99" s="56">
        <f ca="1">_TECH_Initiative_Library!AC57</f>
      </c>
      <c r="I99" s="52">
        <f ca="1">_TECH_Initiative_Library!X57</f>
      </c>
      <c r="J99" s="52">
        <f ca="1">_TECH_Initiative_Library!Y57</f>
        <v>2</v>
      </c>
      <c r="K99" s="52">
        <f ca="1">_TECH_Initiative_Library!Z57</f>
      </c>
      <c r="L99" s="52">
        <f>_TECH_Initiative_Library!AA57</f>
        <v>5</v>
      </c>
      <c r="M99" s="52">
        <f>_TECH_Initiative_Library!AB57</f>
        <v>4</v>
      </c>
      <c r="N99" s="52">
        <f>_TECH_Initiative_Library!L57</f>
        <v>0</v>
      </c>
      <c r="O99" s="52">
        <f>_TECH_Initiative_Library!M57</f>
        <v>0</v>
      </c>
      <c r="P99" s="56" t="str">
        <f ca="1">_TECH_Initiative_Library!N57</f>
        <v/>
      </c>
      <c r="Q99" s="56">
        <f>_TECH_Initiative_Library!R57</f>
        <v>1</v>
      </c>
      <c r="R99" s="52" t="str">
        <f>_TECH_Initiative_Library!AF57</f>
        <v>CIO / Business Applications Lead</v>
      </c>
      <c r="S99" s="52" t="str">
        <f>_TECH_Initiative_Library!AG57</f>
        <v>3-6 months</v>
      </c>
      <c r="T99" s="52" t="str">
        <f>_TECH_Initiative_Library!AP57</f>
        <v>Medium-High</v>
      </c>
      <c r="U99" s="52" t="s">
        <v>783</v>
      </c>
      <c r="V99" s="52"/>
    </row>
    <row r="100" spans="1:22" ht="33.950000000000003" customHeight="1">
      <c r="A100" s="52">
        <f ca="1">_TECH_Initiative_Library!AD58</f>
      </c>
      <c r="B100" s="52" t="str">
        <f>_TECH_Initiative_Library!A58</f>
        <v>INI-054</v>
      </c>
      <c r="C100" s="52" t="str">
        <f>_TECH_Initiative_Library!F58</f>
        <v>Integrate CRM, commerce and customer-service systems</v>
      </c>
      <c r="D100" s="52" t="str">
        <f>_TECH_Initiative_Library!B58</f>
        <v>Business Systems</v>
      </c>
      <c r="E100" s="52" t="str">
        <f>_TECH_Initiative_Library!C58</f>
        <v>CRM and commerce</v>
      </c>
      <c r="F100" s="52" t="str">
        <f>_TECH_Initiative_Library!D58</f>
        <v>Customer Retention and Revenue Protection Strategy</v>
      </c>
      <c r="G100" s="52">
        <f ca="1">_TECH_Initiative_Library!AE58</f>
      </c>
      <c r="H100" s="56">
        <f ca="1">_TECH_Initiative_Library!AC58</f>
      </c>
      <c r="I100" s="52">
        <f ca="1">_TECH_Initiative_Library!X58</f>
      </c>
      <c r="J100" s="52">
        <f ca="1">_TECH_Initiative_Library!Y58</f>
        <v>2</v>
      </c>
      <c r="K100" s="52">
        <f ca="1">_TECH_Initiative_Library!Z58</f>
      </c>
      <c r="L100" s="52">
        <f>_TECH_Initiative_Library!AA58</f>
        <v>4</v>
      </c>
      <c r="M100" s="52">
        <f>_TECH_Initiative_Library!AB58</f>
        <v>4</v>
      </c>
      <c r="N100" s="52">
        <f>_TECH_Initiative_Library!L58</f>
        <v>0</v>
      </c>
      <c r="O100" s="52">
        <f>_TECH_Initiative_Library!M58</f>
        <v>0</v>
      </c>
      <c r="P100" s="56" t="str">
        <f ca="1">_TECH_Initiative_Library!N58</f>
        <v/>
      </c>
      <c r="Q100" s="56">
        <f>_TECH_Initiative_Library!R58</f>
        <v>1</v>
      </c>
      <c r="R100" s="52" t="str">
        <f>_TECH_Initiative_Library!AF58</f>
        <v>CIO / Business Applications Lead</v>
      </c>
      <c r="S100" s="52" t="str">
        <f>_TECH_Initiative_Library!AG58</f>
        <v>3-6 months</v>
      </c>
      <c r="T100" s="52" t="str">
        <f>_TECH_Initiative_Library!AP58</f>
        <v>Medium-High</v>
      </c>
      <c r="U100" s="52" t="s">
        <v>783</v>
      </c>
      <c r="V100" s="52"/>
    </row>
    <row r="101" spans="1:22" ht="33.950000000000003" customHeight="1">
      <c r="A101" s="52">
        <f ca="1">_TECH_Initiative_Library!AD59</f>
      </c>
      <c r="B101" s="52" t="str">
        <f>_TECH_Initiative_Library!A59</f>
        <v>INI-055</v>
      </c>
      <c r="C101" s="52" t="str">
        <f>_TECH_Initiative_Library!F59</f>
        <v>Integrate MES, WMS and TMS into operational continuity model</v>
      </c>
      <c r="D101" s="52" t="str">
        <f>_TECH_Initiative_Library!B59</f>
        <v>Business Systems</v>
      </c>
      <c r="E101" s="52" t="str">
        <f>_TECH_Initiative_Library!C59</f>
        <v>MES WMS TMS</v>
      </c>
      <c r="F101" s="52" t="str">
        <f>_TECH_Initiative_Library!D59</f>
        <v>Manufacturing Continuity and MES Strategy</v>
      </c>
      <c r="G101" s="52">
        <f ca="1">_TECH_Initiative_Library!AE59</f>
      </c>
      <c r="H101" s="56">
        <f ca="1">_TECH_Initiative_Library!AC59</f>
      </c>
      <c r="I101" s="52">
        <f ca="1">_TECH_Initiative_Library!X59</f>
      </c>
      <c r="J101" s="52">
        <f ca="1">_TECH_Initiative_Library!Y59</f>
        <v>2</v>
      </c>
      <c r="K101" s="52">
        <f ca="1">_TECH_Initiative_Library!Z59</f>
      </c>
      <c r="L101" s="52">
        <f>_TECH_Initiative_Library!AA59</f>
        <v>5</v>
      </c>
      <c r="M101" s="52">
        <f>_TECH_Initiative_Library!AB59</f>
        <v>4</v>
      </c>
      <c r="N101" s="52">
        <f>_TECH_Initiative_Library!L59</f>
        <v>0</v>
      </c>
      <c r="O101" s="52">
        <f>_TECH_Initiative_Library!M59</f>
        <v>0</v>
      </c>
      <c r="P101" s="56" t="str">
        <f ca="1">_TECH_Initiative_Library!N59</f>
        <v/>
      </c>
      <c r="Q101" s="56">
        <f>_TECH_Initiative_Library!R59</f>
        <v>1</v>
      </c>
      <c r="R101" s="52" t="str">
        <f>_TECH_Initiative_Library!AF59</f>
        <v>CIO / Business Applications Lead</v>
      </c>
      <c r="S101" s="52" t="str">
        <f>_TECH_Initiative_Library!AG59</f>
        <v>3-6 months</v>
      </c>
      <c r="T101" s="52" t="str">
        <f>_TECH_Initiative_Library!AP59</f>
        <v>Medium-High</v>
      </c>
      <c r="U101" s="52" t="s">
        <v>783</v>
      </c>
      <c r="V101" s="52"/>
    </row>
    <row r="102" spans="1:22" ht="33.950000000000003" customHeight="1">
      <c r="A102" s="52">
        <f ca="1">_TECH_Initiative_Library!AD60</f>
      </c>
      <c r="B102" s="52" t="str">
        <f>_TECH_Initiative_Library!A60</f>
        <v>INI-056</v>
      </c>
      <c r="C102" s="52" t="str">
        <f>_TECH_Initiative_Library!F60</f>
        <v>Stabilize HRMS, finance systems and core administrative workflows</v>
      </c>
      <c r="D102" s="52" t="str">
        <f>_TECH_Initiative_Library!B60</f>
        <v>Business Systems</v>
      </c>
      <c r="E102" s="52" t="str">
        <f>_TECH_Initiative_Library!C60</f>
        <v>HRMS and finance systems</v>
      </c>
      <c r="F102" s="52" t="str">
        <f>_TECH_Initiative_Library!D60</f>
        <v>Digital Foundation Strategy</v>
      </c>
      <c r="G102" s="52">
        <f ca="1">_TECH_Initiative_Library!AE60</f>
      </c>
      <c r="H102" s="56">
        <f ca="1">_TECH_Initiative_Library!AC60</f>
      </c>
      <c r="I102" s="52">
        <f ca="1">_TECH_Initiative_Library!X60</f>
      </c>
      <c r="J102" s="52">
        <f ca="1">_TECH_Initiative_Library!Y60</f>
        <v>2</v>
      </c>
      <c r="K102" s="52">
        <f ca="1">_TECH_Initiative_Library!Z60</f>
      </c>
      <c r="L102" s="52">
        <f>_TECH_Initiative_Library!AA60</f>
        <v>5</v>
      </c>
      <c r="M102" s="52">
        <f>_TECH_Initiative_Library!AB60</f>
        <v>4</v>
      </c>
      <c r="N102" s="52">
        <f>_TECH_Initiative_Library!L60</f>
        <v>0</v>
      </c>
      <c r="O102" s="52">
        <f>_TECH_Initiative_Library!M60</f>
        <v>0</v>
      </c>
      <c r="P102" s="56" t="str">
        <f ca="1">_TECH_Initiative_Library!N60</f>
        <v/>
      </c>
      <c r="Q102" s="56">
        <f>_TECH_Initiative_Library!R60</f>
        <v>1</v>
      </c>
      <c r="R102" s="52" t="str">
        <f>_TECH_Initiative_Library!AF60</f>
        <v>CIO / Business Applications Lead</v>
      </c>
      <c r="S102" s="52" t="str">
        <f>_TECH_Initiative_Library!AG60</f>
        <v>3-6 months</v>
      </c>
      <c r="T102" s="52" t="str">
        <f>_TECH_Initiative_Library!AP60</f>
        <v>Medium-High</v>
      </c>
      <c r="U102" s="52" t="s">
        <v>783</v>
      </c>
      <c r="V102" s="52"/>
    </row>
    <row r="103" spans="1:22" ht="33.950000000000003" customHeight="1">
      <c r="A103" s="52">
        <f ca="1">_TECH_Initiative_Library!AD61</f>
      </c>
      <c r="B103" s="52" t="str">
        <f>_TECH_Initiative_Library!A61</f>
        <v>INI-057</v>
      </c>
      <c r="C103" s="52" t="str">
        <f>_TECH_Initiative_Library!F61</f>
        <v>Implement business-system governance and lifecycle control</v>
      </c>
      <c r="D103" s="52" t="str">
        <f>_TECH_Initiative_Library!B61</f>
        <v>Business Systems</v>
      </c>
      <c r="E103" s="52" t="str">
        <f>_TECH_Initiative_Library!C61</f>
        <v>Governance and lifecycle</v>
      </c>
      <c r="F103" s="52" t="str">
        <f>_TECH_Initiative_Library!D61</f>
        <v>Digital Foundation Strategy</v>
      </c>
      <c r="G103" s="52">
        <f ca="1">_TECH_Initiative_Library!AE61</f>
      </c>
      <c r="H103" s="56">
        <f ca="1">_TECH_Initiative_Library!AC61</f>
      </c>
      <c r="I103" s="52">
        <f ca="1">_TECH_Initiative_Library!X61</f>
      </c>
      <c r="J103" s="52">
        <f ca="1">_TECH_Initiative_Library!Y61</f>
        <v>2</v>
      </c>
      <c r="K103" s="52">
        <f ca="1">_TECH_Initiative_Library!Z61</f>
      </c>
      <c r="L103" s="52">
        <f>_TECH_Initiative_Library!AA61</f>
        <v>5</v>
      </c>
      <c r="M103" s="52">
        <f>_TECH_Initiative_Library!AB61</f>
        <v>4</v>
      </c>
      <c r="N103" s="52">
        <f>_TECH_Initiative_Library!L61</f>
        <v>0</v>
      </c>
      <c r="O103" s="52">
        <f>_TECH_Initiative_Library!M61</f>
        <v>0</v>
      </c>
      <c r="P103" s="56" t="str">
        <f ca="1">_TECH_Initiative_Library!N61</f>
        <v/>
      </c>
      <c r="Q103" s="56">
        <f>_TECH_Initiative_Library!R61</f>
        <v>1</v>
      </c>
      <c r="R103" s="52" t="str">
        <f>_TECH_Initiative_Library!AF61</f>
        <v>CIO / Business Applications Lead</v>
      </c>
      <c r="S103" s="52" t="str">
        <f>_TECH_Initiative_Library!AG61</f>
        <v>3-6 months</v>
      </c>
      <c r="T103" s="52" t="str">
        <f>_TECH_Initiative_Library!AP61</f>
        <v>Medium-High</v>
      </c>
      <c r="U103" s="52" t="s">
        <v>783</v>
      </c>
      <c r="V103" s="52"/>
    </row>
    <row r="104" spans="1:22" ht="33.950000000000003" customHeight="1">
      <c r="A104" s="52">
        <f ca="1">_TECH_Initiative_Library!AD62</f>
      </c>
      <c r="B104" s="52" t="str">
        <f>_TECH_Initiative_Library!A62</f>
        <v>INI-058</v>
      </c>
      <c r="C104" s="52" t="str">
        <f>_TECH_Initiative_Library!F62</f>
        <v>Implement data ownership, quality and governance framework</v>
      </c>
      <c r="D104" s="52" t="str">
        <f>_TECH_Initiative_Library!B62</f>
        <v>Data BI AI</v>
      </c>
      <c r="E104" s="52" t="str">
        <f>_TECH_Initiative_Library!C62</f>
        <v>Data governance</v>
      </c>
      <c r="F104" s="52" t="str">
        <f>_TECH_Initiative_Library!D62</f>
        <v>Data Governance and AI Readiness Strategy</v>
      </c>
      <c r="G104" s="52">
        <f ca="1">_TECH_Initiative_Library!AE62</f>
      </c>
      <c r="H104" s="56">
        <f ca="1">_TECH_Initiative_Library!AC62</f>
      </c>
      <c r="I104" s="52">
        <f ca="1">_TECH_Initiative_Library!X62</f>
      </c>
      <c r="J104" s="52">
        <f ca="1">_TECH_Initiative_Library!Y62</f>
        <v>2</v>
      </c>
      <c r="K104" s="52">
        <f ca="1">_TECH_Initiative_Library!Z62</f>
      </c>
      <c r="L104" s="52">
        <f>_TECH_Initiative_Library!AA62</f>
        <v>5</v>
      </c>
      <c r="M104" s="52">
        <f>_TECH_Initiative_Library!AB62</f>
        <v>4</v>
      </c>
      <c r="N104" s="52">
        <f>_TECH_Initiative_Library!L62</f>
        <v>0</v>
      </c>
      <c r="O104" s="52">
        <f>_TECH_Initiative_Library!M62</f>
        <v>0</v>
      </c>
      <c r="P104" s="56" t="str">
        <f ca="1">_TECH_Initiative_Library!N62</f>
        <v/>
      </c>
      <c r="Q104" s="56">
        <f>_TECH_Initiative_Library!R62</f>
        <v>1</v>
      </c>
      <c r="R104" s="52" t="str">
        <f>_TECH_Initiative_Library!AF62</f>
        <v>CDO / Head of Data</v>
      </c>
      <c r="S104" s="52" t="str">
        <f>_TECH_Initiative_Library!AG62</f>
        <v>3-6 months</v>
      </c>
      <c r="T104" s="52" t="str">
        <f>_TECH_Initiative_Library!AP62</f>
        <v>Medium-High</v>
      </c>
      <c r="U104" s="52" t="s">
        <v>783</v>
      </c>
      <c r="V104" s="52"/>
    </row>
    <row r="105" spans="1:22" ht="33.950000000000003" customHeight="1">
      <c r="A105" s="52">
        <f ca="1">_TECH_Initiative_Library!AD63</f>
      </c>
      <c r="B105" s="52" t="str">
        <f>_TECH_Initiative_Library!A63</f>
        <v>INI-059</v>
      </c>
      <c r="C105" s="52" t="str">
        <f>_TECH_Initiative_Library!F63</f>
        <v>Build resilient data architecture, integration and storage foundation</v>
      </c>
      <c r="D105" s="52" t="str">
        <f>_TECH_Initiative_Library!B63</f>
        <v>Data BI AI</v>
      </c>
      <c r="E105" s="52" t="str">
        <f>_TECH_Initiative_Library!C63</f>
        <v>Data architecture</v>
      </c>
      <c r="F105" s="52" t="str">
        <f>_TECH_Initiative_Library!D63</f>
        <v>Data Governance and AI Readiness Strategy</v>
      </c>
      <c r="G105" s="52">
        <f ca="1">_TECH_Initiative_Library!AE63</f>
      </c>
      <c r="H105" s="56">
        <f ca="1">_TECH_Initiative_Library!AC63</f>
      </c>
      <c r="I105" s="52">
        <f ca="1">_TECH_Initiative_Library!X63</f>
      </c>
      <c r="J105" s="52">
        <f ca="1">_TECH_Initiative_Library!Y63</f>
        <v>2</v>
      </c>
      <c r="K105" s="52">
        <f ca="1">_TECH_Initiative_Library!Z63</f>
      </c>
      <c r="L105" s="52">
        <f>_TECH_Initiative_Library!AA63</f>
        <v>5</v>
      </c>
      <c r="M105" s="52">
        <f>_TECH_Initiative_Library!AB63</f>
        <v>4</v>
      </c>
      <c r="N105" s="52">
        <f>_TECH_Initiative_Library!L63</f>
        <v>0</v>
      </c>
      <c r="O105" s="52">
        <f>_TECH_Initiative_Library!M63</f>
        <v>0</v>
      </c>
      <c r="P105" s="56" t="str">
        <f ca="1">_TECH_Initiative_Library!N63</f>
        <v/>
      </c>
      <c r="Q105" s="56">
        <f>_TECH_Initiative_Library!R63</f>
        <v>1</v>
      </c>
      <c r="R105" s="52" t="str">
        <f>_TECH_Initiative_Library!AF63</f>
        <v>CDO / Head of Data</v>
      </c>
      <c r="S105" s="52" t="str">
        <f>_TECH_Initiative_Library!AG63</f>
        <v>3-6 months</v>
      </c>
      <c r="T105" s="52" t="str">
        <f>_TECH_Initiative_Library!AP63</f>
        <v>Medium-High</v>
      </c>
      <c r="U105" s="52" t="s">
        <v>783</v>
      </c>
      <c r="V105" s="52"/>
    </row>
    <row r="106" spans="1:22" ht="33.950000000000003" customHeight="1">
      <c r="A106" s="52">
        <f ca="1">_TECH_Initiative_Library!AD64</f>
      </c>
      <c r="B106" s="52" t="str">
        <f>_TECH_Initiative_Library!A64</f>
        <v>INI-060</v>
      </c>
      <c r="C106" s="52" t="str">
        <f>_TECH_Initiative_Library!F64</f>
        <v>Create BI analytics layer for crisis and operational decisions</v>
      </c>
      <c r="D106" s="52" t="str">
        <f>_TECH_Initiative_Library!B64</f>
        <v>Data BI AI</v>
      </c>
      <c r="E106" s="52" t="str">
        <f>_TECH_Initiative_Library!C64</f>
        <v>BI and analytics</v>
      </c>
      <c r="F106" s="52" t="str">
        <f>_TECH_Initiative_Library!D64</f>
        <v>Data Governance and AI Readiness Strategy</v>
      </c>
      <c r="G106" s="52">
        <f ca="1">_TECH_Initiative_Library!AE64</f>
      </c>
      <c r="H106" s="56">
        <f ca="1">_TECH_Initiative_Library!AC64</f>
      </c>
      <c r="I106" s="52">
        <f ca="1">_TECH_Initiative_Library!X64</f>
      </c>
      <c r="J106" s="52">
        <f ca="1">_TECH_Initiative_Library!Y64</f>
        <v>2</v>
      </c>
      <c r="K106" s="52">
        <f ca="1">_TECH_Initiative_Library!Z64</f>
      </c>
      <c r="L106" s="52">
        <f>_TECH_Initiative_Library!AA64</f>
        <v>5</v>
      </c>
      <c r="M106" s="52">
        <f>_TECH_Initiative_Library!AB64</f>
        <v>4</v>
      </c>
      <c r="N106" s="52">
        <f>_TECH_Initiative_Library!L64</f>
        <v>0</v>
      </c>
      <c r="O106" s="52">
        <f>_TECH_Initiative_Library!M64</f>
        <v>0</v>
      </c>
      <c r="P106" s="56" t="str">
        <f ca="1">_TECH_Initiative_Library!N64</f>
        <v/>
      </c>
      <c r="Q106" s="56">
        <f>_TECH_Initiative_Library!R64</f>
        <v>1</v>
      </c>
      <c r="R106" s="52" t="str">
        <f>_TECH_Initiative_Library!AF64</f>
        <v>CDO / Head of Data</v>
      </c>
      <c r="S106" s="52" t="str">
        <f>_TECH_Initiative_Library!AG64</f>
        <v>3-6 months</v>
      </c>
      <c r="T106" s="52" t="str">
        <f>_TECH_Initiative_Library!AP64</f>
        <v>Medium-High</v>
      </c>
      <c r="U106" s="52" t="s">
        <v>783</v>
      </c>
      <c r="V106" s="52"/>
    </row>
    <row r="107" spans="1:22" ht="33.950000000000003" customHeight="1">
      <c r="A107" s="52">
        <f ca="1">_TECH_Initiative_Library!AD65</f>
      </c>
      <c r="B107" s="52" t="str">
        <f>_TECH_Initiative_Library!A65</f>
        <v>INI-061</v>
      </c>
      <c r="C107" s="52" t="str">
        <f>_TECH_Initiative_Library!F65</f>
        <v>Build forecasting and scenario analytics capability</v>
      </c>
      <c r="D107" s="52" t="str">
        <f>_TECH_Initiative_Library!B65</f>
        <v>Data BI AI</v>
      </c>
      <c r="E107" s="52" t="str">
        <f>_TECH_Initiative_Library!C65</f>
        <v>Forecasting and scenarios</v>
      </c>
      <c r="F107" s="52" t="str">
        <f>_TECH_Initiative_Library!D65</f>
        <v>Data Governance and AI Readiness Strategy</v>
      </c>
      <c r="G107" s="52">
        <f ca="1">_TECH_Initiative_Library!AE65</f>
      </c>
      <c r="H107" s="56">
        <f ca="1">_TECH_Initiative_Library!AC65</f>
      </c>
      <c r="I107" s="52">
        <f ca="1">_TECH_Initiative_Library!X65</f>
      </c>
      <c r="J107" s="52">
        <f ca="1">_TECH_Initiative_Library!Y65</f>
        <v>2</v>
      </c>
      <c r="K107" s="52">
        <f ca="1">_TECH_Initiative_Library!Z65</f>
      </c>
      <c r="L107" s="52">
        <f>_TECH_Initiative_Library!AA65</f>
        <v>5</v>
      </c>
      <c r="M107" s="52">
        <f>_TECH_Initiative_Library!AB65</f>
        <v>4</v>
      </c>
      <c r="N107" s="52">
        <f>_TECH_Initiative_Library!L65</f>
        <v>0</v>
      </c>
      <c r="O107" s="52">
        <f>_TECH_Initiative_Library!M65</f>
        <v>0</v>
      </c>
      <c r="P107" s="56" t="str">
        <f ca="1">_TECH_Initiative_Library!N65</f>
        <v/>
      </c>
      <c r="Q107" s="56">
        <f>_TECH_Initiative_Library!R65</f>
        <v>1</v>
      </c>
      <c r="R107" s="52" t="str">
        <f>_TECH_Initiative_Library!AF65</f>
        <v>CDO / Head of Data</v>
      </c>
      <c r="S107" s="52" t="str">
        <f>_TECH_Initiative_Library!AG65</f>
        <v>3-6 months</v>
      </c>
      <c r="T107" s="52" t="str">
        <f>_TECH_Initiative_Library!AP65</f>
        <v>Medium-High</v>
      </c>
      <c r="U107" s="52" t="s">
        <v>783</v>
      </c>
      <c r="V107" s="52"/>
    </row>
    <row r="108" spans="1:22" ht="33.950000000000003" customHeight="1">
      <c r="A108" s="52">
        <f ca="1">_TECH_Initiative_Library!AD66</f>
      </c>
      <c r="B108" s="52" t="str">
        <f>_TECH_Initiative_Library!A66</f>
        <v>INI-062</v>
      </c>
      <c r="C108" s="52" t="str">
        <f>_TECH_Initiative_Library!F66</f>
        <v>Implement AI readiness, governance and use-case portfolio</v>
      </c>
      <c r="D108" s="52" t="str">
        <f>_TECH_Initiative_Library!B66</f>
        <v>Data BI AI</v>
      </c>
      <c r="E108" s="52" t="str">
        <f>_TECH_Initiative_Library!C66</f>
        <v>AI readiness</v>
      </c>
      <c r="F108" s="52" t="str">
        <f>_TECH_Initiative_Library!D66</f>
        <v>Data Governance and AI Readiness Strategy</v>
      </c>
      <c r="G108" s="52">
        <f ca="1">_TECH_Initiative_Library!AE66</f>
      </c>
      <c r="H108" s="56">
        <f ca="1">_TECH_Initiative_Library!AC66</f>
      </c>
      <c r="I108" s="52">
        <f ca="1">_TECH_Initiative_Library!X66</f>
      </c>
      <c r="J108" s="52">
        <f ca="1">_TECH_Initiative_Library!Y66</f>
        <v>2</v>
      </c>
      <c r="K108" s="52">
        <f ca="1">_TECH_Initiative_Library!Z66</f>
      </c>
      <c r="L108" s="52">
        <f>_TECH_Initiative_Library!AA66</f>
        <v>5</v>
      </c>
      <c r="M108" s="52">
        <f>_TECH_Initiative_Library!AB66</f>
        <v>4</v>
      </c>
      <c r="N108" s="52">
        <f>_TECH_Initiative_Library!L66</f>
        <v>0</v>
      </c>
      <c r="O108" s="52">
        <f>_TECH_Initiative_Library!M66</f>
        <v>0</v>
      </c>
      <c r="P108" s="56" t="str">
        <f ca="1">_TECH_Initiative_Library!N66</f>
        <v/>
      </c>
      <c r="Q108" s="56">
        <f>_TECH_Initiative_Library!R66</f>
        <v>1</v>
      </c>
      <c r="R108" s="52" t="str">
        <f>_TECH_Initiative_Library!AF66</f>
        <v>CDO / Head of Data</v>
      </c>
      <c r="S108" s="52" t="str">
        <f>_TECH_Initiative_Library!AG66</f>
        <v>3-6 months</v>
      </c>
      <c r="T108" s="52" t="str">
        <f>_TECH_Initiative_Library!AP66</f>
        <v>Medium-High</v>
      </c>
      <c r="U108" s="52" t="s">
        <v>783</v>
      </c>
      <c r="V108" s="52"/>
    </row>
    <row r="109" spans="1:22" ht="33.950000000000003" customHeight="1">
      <c r="A109" s="52">
        <f ca="1">_TECH_Initiative_Library!AD67</f>
      </c>
      <c r="B109" s="52" t="str">
        <f>_TECH_Initiative_Library!A67</f>
        <v>INI-063</v>
      </c>
      <c r="C109" s="52" t="str">
        <f>_TECH_Initiative_Library!F67</f>
        <v>Implement security governance and risk-management operating model</v>
      </c>
      <c r="D109" s="52" t="str">
        <f>_TECH_Initiative_Library!B67</f>
        <v>Cyber Privacy</v>
      </c>
      <c r="E109" s="52" t="str">
        <f>_TECH_Initiative_Library!C67</f>
        <v>Security governance</v>
      </c>
      <c r="F109" s="52" t="str">
        <f>_TECH_Initiative_Library!D67</f>
        <v>Cyber Resilience Strategy</v>
      </c>
      <c r="G109" s="52">
        <f ca="1">_TECH_Initiative_Library!AE67</f>
      </c>
      <c r="H109" s="56">
        <f ca="1">_TECH_Initiative_Library!AC67</f>
      </c>
      <c r="I109" s="52">
        <f ca="1">_TECH_Initiative_Library!X67</f>
      </c>
      <c r="J109" s="52">
        <f ca="1">_TECH_Initiative_Library!Y67</f>
        <v>3</v>
      </c>
      <c r="K109" s="52">
        <f ca="1">_TECH_Initiative_Library!Z67</f>
      </c>
      <c r="L109" s="52">
        <f>_TECH_Initiative_Library!AA67</f>
        <v>4</v>
      </c>
      <c r="M109" s="52">
        <f>_TECH_Initiative_Library!AB67</f>
        <v>4</v>
      </c>
      <c r="N109" s="52">
        <f>_TECH_Initiative_Library!L67</f>
        <v>0</v>
      </c>
      <c r="O109" s="52">
        <f>_TECH_Initiative_Library!M67</f>
        <v>0</v>
      </c>
      <c r="P109" s="56" t="str">
        <f ca="1">_TECH_Initiative_Library!N67</f>
        <v/>
      </c>
      <c r="Q109" s="56">
        <f>_TECH_Initiative_Library!R67</f>
        <v>1.5</v>
      </c>
      <c r="R109" s="52" t="str">
        <f>_TECH_Initiative_Library!AF67</f>
        <v>CISO / DPO</v>
      </c>
      <c r="S109" s="52" t="str">
        <f>_TECH_Initiative_Library!AG67</f>
        <v>3-6 months</v>
      </c>
      <c r="T109" s="52" t="str">
        <f>_TECH_Initiative_Library!AP67</f>
        <v>Medium-High</v>
      </c>
      <c r="U109" s="52" t="s">
        <v>783</v>
      </c>
      <c r="V109" s="52"/>
    </row>
    <row r="110" spans="1:22" ht="33.950000000000003" customHeight="1">
      <c r="A110" s="52">
        <f ca="1">_TECH_Initiative_Library!AD68</f>
      </c>
      <c r="B110" s="52" t="str">
        <f>_TECH_Initiative_Library!A68</f>
        <v>INI-064</v>
      </c>
      <c r="C110" s="52" t="str">
        <f>_TECH_Initiative_Library!F68</f>
        <v>Strengthen IAM, MFA, privileged access and joiner/mover/leaver controls</v>
      </c>
      <c r="D110" s="52" t="str">
        <f>_TECH_Initiative_Library!B68</f>
        <v>Cyber Privacy</v>
      </c>
      <c r="E110" s="52" t="str">
        <f>_TECH_Initiative_Library!C68</f>
        <v>Identity and access</v>
      </c>
      <c r="F110" s="52" t="str">
        <f>_TECH_Initiative_Library!D68</f>
        <v>Cyber Resilience Strategy</v>
      </c>
      <c r="G110" s="52">
        <f ca="1">_TECH_Initiative_Library!AE68</f>
      </c>
      <c r="H110" s="56">
        <f ca="1">_TECH_Initiative_Library!AC68</f>
      </c>
      <c r="I110" s="52">
        <f ca="1">_TECH_Initiative_Library!X68</f>
      </c>
      <c r="J110" s="52">
        <f ca="1">_TECH_Initiative_Library!Y68</f>
        <v>3</v>
      </c>
      <c r="K110" s="52">
        <f ca="1">_TECH_Initiative_Library!Z68</f>
      </c>
      <c r="L110" s="52">
        <f>_TECH_Initiative_Library!AA68</f>
        <v>4</v>
      </c>
      <c r="M110" s="52">
        <f>_TECH_Initiative_Library!AB68</f>
        <v>4</v>
      </c>
      <c r="N110" s="52">
        <f>_TECH_Initiative_Library!L68</f>
        <v>0</v>
      </c>
      <c r="O110" s="52">
        <f>_TECH_Initiative_Library!M68</f>
        <v>0</v>
      </c>
      <c r="P110" s="56" t="str">
        <f ca="1">_TECH_Initiative_Library!N68</f>
        <v/>
      </c>
      <c r="Q110" s="56">
        <f>_TECH_Initiative_Library!R68</f>
        <v>1.5</v>
      </c>
      <c r="R110" s="52" t="str">
        <f>_TECH_Initiative_Library!AF68</f>
        <v>CISO / DPO</v>
      </c>
      <c r="S110" s="52" t="str">
        <f>_TECH_Initiative_Library!AG68</f>
        <v>3-6 months</v>
      </c>
      <c r="T110" s="52" t="str">
        <f>_TECH_Initiative_Library!AP68</f>
        <v>Medium-High</v>
      </c>
      <c r="U110" s="52" t="s">
        <v>783</v>
      </c>
      <c r="V110" s="52"/>
    </row>
    <row r="111" spans="1:22" ht="33.950000000000003" customHeight="1">
      <c r="A111" s="52">
        <f ca="1">_TECH_Initiative_Library!AD69</f>
      </c>
      <c r="B111" s="52" t="str">
        <f>_TECH_Initiative_Library!A69</f>
        <v>INI-065</v>
      </c>
      <c r="C111" s="52" t="str">
        <f>_TECH_Initiative_Library!F69</f>
        <v>Improve endpoint, network, backup and vulnerability protection</v>
      </c>
      <c r="D111" s="52" t="str">
        <f>_TECH_Initiative_Library!B69</f>
        <v>Cyber Privacy</v>
      </c>
      <c r="E111" s="52" t="str">
        <f>_TECH_Initiative_Library!C69</f>
        <v>Protection</v>
      </c>
      <c r="F111" s="52" t="str">
        <f>_TECH_Initiative_Library!D69</f>
        <v>Cyber Resilience Strategy</v>
      </c>
      <c r="G111" s="52">
        <f ca="1">_TECH_Initiative_Library!AE69</f>
      </c>
      <c r="H111" s="56">
        <f ca="1">_TECH_Initiative_Library!AC69</f>
      </c>
      <c r="I111" s="52">
        <f ca="1">_TECH_Initiative_Library!X69</f>
      </c>
      <c r="J111" s="52">
        <f ca="1">_TECH_Initiative_Library!Y69</f>
        <v>3</v>
      </c>
      <c r="K111" s="52">
        <f ca="1">_TECH_Initiative_Library!Z69</f>
      </c>
      <c r="L111" s="52">
        <f>_TECH_Initiative_Library!AA69</f>
        <v>4</v>
      </c>
      <c r="M111" s="52">
        <f>_TECH_Initiative_Library!AB69</f>
        <v>4</v>
      </c>
      <c r="N111" s="52">
        <f>_TECH_Initiative_Library!L69</f>
        <v>0</v>
      </c>
      <c r="O111" s="52">
        <f>_TECH_Initiative_Library!M69</f>
        <v>0</v>
      </c>
      <c r="P111" s="56" t="str">
        <f ca="1">_TECH_Initiative_Library!N69</f>
        <v/>
      </c>
      <c r="Q111" s="56">
        <f>_TECH_Initiative_Library!R69</f>
        <v>1.5</v>
      </c>
      <c r="R111" s="52" t="str">
        <f>_TECH_Initiative_Library!AF69</f>
        <v>CISO / DPO</v>
      </c>
      <c r="S111" s="52" t="str">
        <f>_TECH_Initiative_Library!AG69</f>
        <v>3-6 months</v>
      </c>
      <c r="T111" s="52" t="str">
        <f>_TECH_Initiative_Library!AP69</f>
        <v>Medium-High</v>
      </c>
      <c r="U111" s="52" t="s">
        <v>783</v>
      </c>
      <c r="V111" s="52"/>
    </row>
    <row r="112" spans="1:22" ht="33.950000000000003" customHeight="1">
      <c r="A112" s="52">
        <f ca="1">_TECH_Initiative_Library!AD70</f>
      </c>
      <c r="B112" s="52" t="str">
        <f>_TECH_Initiative_Library!A70</f>
        <v>INI-066</v>
      </c>
      <c r="C112" s="52" t="str">
        <f>_TECH_Initiative_Library!F70</f>
        <v>Implement detection, response, logging and security incident exercises</v>
      </c>
      <c r="D112" s="52" t="str">
        <f>_TECH_Initiative_Library!B70</f>
        <v>Cyber Privacy</v>
      </c>
      <c r="E112" s="52" t="str">
        <f>_TECH_Initiative_Library!C70</f>
        <v>Detection and response</v>
      </c>
      <c r="F112" s="52" t="str">
        <f>_TECH_Initiative_Library!D70</f>
        <v>Cyber Resilience Strategy</v>
      </c>
      <c r="G112" s="52">
        <f ca="1">_TECH_Initiative_Library!AE70</f>
      </c>
      <c r="H112" s="56">
        <f ca="1">_TECH_Initiative_Library!AC70</f>
      </c>
      <c r="I112" s="52">
        <f ca="1">_TECH_Initiative_Library!X70</f>
      </c>
      <c r="J112" s="52">
        <f ca="1">_TECH_Initiative_Library!Y70</f>
        <v>3</v>
      </c>
      <c r="K112" s="52">
        <f ca="1">_TECH_Initiative_Library!Z70</f>
      </c>
      <c r="L112" s="52">
        <f>_TECH_Initiative_Library!AA70</f>
        <v>4</v>
      </c>
      <c r="M112" s="52">
        <f>_TECH_Initiative_Library!AB70</f>
        <v>4</v>
      </c>
      <c r="N112" s="52">
        <f>_TECH_Initiative_Library!L70</f>
        <v>0</v>
      </c>
      <c r="O112" s="52">
        <f>_TECH_Initiative_Library!M70</f>
        <v>0</v>
      </c>
      <c r="P112" s="56" t="str">
        <f ca="1">_TECH_Initiative_Library!N70</f>
        <v/>
      </c>
      <c r="Q112" s="56">
        <f>_TECH_Initiative_Library!R70</f>
        <v>1.5</v>
      </c>
      <c r="R112" s="52" t="str">
        <f>_TECH_Initiative_Library!AF70</f>
        <v>CISO / DPO</v>
      </c>
      <c r="S112" s="52" t="str">
        <f>_TECH_Initiative_Library!AG70</f>
        <v>3-6 months</v>
      </c>
      <c r="T112" s="52" t="str">
        <f>_TECH_Initiative_Library!AP70</f>
        <v>Medium-High</v>
      </c>
      <c r="U112" s="52" t="s">
        <v>783</v>
      </c>
      <c r="V112" s="52"/>
    </row>
    <row r="113" spans="1:22" ht="33.950000000000003" customHeight="1">
      <c r="A113" s="52">
        <f ca="1">_TECH_Initiative_Library!AD71</f>
      </c>
      <c r="B113" s="52" t="str">
        <f>_TECH_Initiative_Library!A71</f>
        <v>INI-067</v>
      </c>
      <c r="C113" s="52" t="str">
        <f>_TECH_Initiative_Library!F71</f>
        <v>Strengthen application, API and OT security controls</v>
      </c>
      <c r="D113" s="52" t="str">
        <f>_TECH_Initiative_Library!B71</f>
        <v>Cyber Privacy</v>
      </c>
      <c r="E113" s="52" t="str">
        <f>_TECH_Initiative_Library!C71</f>
        <v>Application and OT security</v>
      </c>
      <c r="F113" s="52" t="str">
        <f>_TECH_Initiative_Library!D71</f>
        <v>Cyber Resilience Strategy</v>
      </c>
      <c r="G113" s="52">
        <f ca="1">_TECH_Initiative_Library!AE71</f>
      </c>
      <c r="H113" s="56">
        <f ca="1">_TECH_Initiative_Library!AC71</f>
      </c>
      <c r="I113" s="52">
        <f ca="1">_TECH_Initiative_Library!X71</f>
      </c>
      <c r="J113" s="52">
        <f ca="1">_TECH_Initiative_Library!Y71</f>
        <v>3</v>
      </c>
      <c r="K113" s="52">
        <f ca="1">_TECH_Initiative_Library!Z71</f>
      </c>
      <c r="L113" s="52">
        <f>_TECH_Initiative_Library!AA71</f>
        <v>4</v>
      </c>
      <c r="M113" s="52">
        <f>_TECH_Initiative_Library!AB71</f>
        <v>4</v>
      </c>
      <c r="N113" s="52">
        <f>_TECH_Initiative_Library!L71</f>
        <v>0</v>
      </c>
      <c r="O113" s="52">
        <f>_TECH_Initiative_Library!M71</f>
        <v>0</v>
      </c>
      <c r="P113" s="56" t="str">
        <f ca="1">_TECH_Initiative_Library!N71</f>
        <v/>
      </c>
      <c r="Q113" s="56">
        <f>_TECH_Initiative_Library!R71</f>
        <v>1.5</v>
      </c>
      <c r="R113" s="52" t="str">
        <f>_TECH_Initiative_Library!AF71</f>
        <v>CISO / DPO</v>
      </c>
      <c r="S113" s="52" t="str">
        <f>_TECH_Initiative_Library!AG71</f>
        <v>3-6 months</v>
      </c>
      <c r="T113" s="52" t="str">
        <f>_TECH_Initiative_Library!AP71</f>
        <v>Medium-High</v>
      </c>
      <c r="U113" s="52" t="s">
        <v>783</v>
      </c>
      <c r="V113" s="52"/>
    </row>
    <row r="114" spans="1:22" ht="33.950000000000003" customHeight="1">
      <c r="A114" s="52">
        <f ca="1">_TECH_Initiative_Library!AD72</f>
      </c>
      <c r="B114" s="52" t="str">
        <f>_TECH_Initiative_Library!A72</f>
        <v>INI-068</v>
      </c>
      <c r="C114" s="52" t="str">
        <f>_TECH_Initiative_Library!F72</f>
        <v>Implement privacy governance, DPIA and personal-data controls</v>
      </c>
      <c r="D114" s="52" t="str">
        <f>_TECH_Initiative_Library!B72</f>
        <v>Cyber Privacy</v>
      </c>
      <c r="E114" s="52" t="str">
        <f>_TECH_Initiative_Library!C72</f>
        <v>Privacy</v>
      </c>
      <c r="F114" s="52" t="str">
        <f>_TECH_Initiative_Library!D72</f>
        <v>Cyber Resilience Strategy</v>
      </c>
      <c r="G114" s="52">
        <f ca="1">_TECH_Initiative_Library!AE72</f>
      </c>
      <c r="H114" s="56">
        <f ca="1">_TECH_Initiative_Library!AC72</f>
      </c>
      <c r="I114" s="52">
        <f ca="1">_TECH_Initiative_Library!X72</f>
      </c>
      <c r="J114" s="52">
        <f ca="1">_TECH_Initiative_Library!Y72</f>
        <v>3</v>
      </c>
      <c r="K114" s="52">
        <f ca="1">_TECH_Initiative_Library!Z72</f>
      </c>
      <c r="L114" s="52">
        <f>_TECH_Initiative_Library!AA72</f>
        <v>4</v>
      </c>
      <c r="M114" s="52">
        <f>_TECH_Initiative_Library!AB72</f>
        <v>4</v>
      </c>
      <c r="N114" s="52">
        <f>_TECH_Initiative_Library!L72</f>
        <v>0</v>
      </c>
      <c r="O114" s="52">
        <f>_TECH_Initiative_Library!M72</f>
        <v>0</v>
      </c>
      <c r="P114" s="56" t="str">
        <f ca="1">_TECH_Initiative_Library!N72</f>
        <v/>
      </c>
      <c r="Q114" s="56">
        <f>_TECH_Initiative_Library!R72</f>
        <v>1.5</v>
      </c>
      <c r="R114" s="52" t="str">
        <f>_TECH_Initiative_Library!AF72</f>
        <v>CISO / DPO</v>
      </c>
      <c r="S114" s="52" t="str">
        <f>_TECH_Initiative_Library!AG72</f>
        <v>3-6 months</v>
      </c>
      <c r="T114" s="52" t="str">
        <f>_TECH_Initiative_Library!AP72</f>
        <v>Medium-High</v>
      </c>
      <c r="U114" s="52" t="s">
        <v>783</v>
      </c>
      <c r="V114" s="52"/>
    </row>
    <row r="115" spans="1:22" ht="33.950000000000003" customHeight="1">
      <c r="A115" s="52">
        <f ca="1">_TECH_Initiative_Library!AD73</f>
      </c>
      <c r="B115" s="52" t="str">
        <f>_TECH_Initiative_Library!A73</f>
        <v>INI-069</v>
      </c>
      <c r="C115" s="52" t="str">
        <f>_TECH_Initiative_Library!F73</f>
        <v>Build process ownership, SOP and continuous-improvement model</v>
      </c>
      <c r="D115" s="52" t="str">
        <f>_TECH_Initiative_Library!B73</f>
        <v>Quality Portfolio</v>
      </c>
      <c r="E115" s="52" t="str">
        <f>_TECH_Initiative_Library!C73</f>
        <v>Process management</v>
      </c>
      <c r="F115" s="52" t="str">
        <f>_TECH_Initiative_Library!D73</f>
        <v>Operational Excellence and Automation Strategy</v>
      </c>
      <c r="G115" s="52">
        <f ca="1">_TECH_Initiative_Library!AE73</f>
      </c>
      <c r="H115" s="56">
        <f ca="1">_TECH_Initiative_Library!AC73</f>
      </c>
      <c r="I115" s="52">
        <f ca="1">_TECH_Initiative_Library!X73</f>
      </c>
      <c r="J115" s="52">
        <f ca="1">_TECH_Initiative_Library!Y73</f>
        <v>2</v>
      </c>
      <c r="K115" s="52">
        <f ca="1">_TECH_Initiative_Library!Z73</f>
      </c>
      <c r="L115" s="52">
        <f>_TECH_Initiative_Library!AA73</f>
        <v>5</v>
      </c>
      <c r="M115" s="52">
        <f>_TECH_Initiative_Library!AB73</f>
        <v>2</v>
      </c>
      <c r="N115" s="52">
        <f>_TECH_Initiative_Library!L73</f>
        <v>0</v>
      </c>
      <c r="O115" s="52">
        <f>_TECH_Initiative_Library!M73</f>
        <v>0</v>
      </c>
      <c r="P115" s="56" t="str">
        <f ca="1">_TECH_Initiative_Library!N73</f>
        <v/>
      </c>
      <c r="Q115" s="56">
        <f>_TECH_Initiative_Library!R73</f>
        <v>1</v>
      </c>
      <c r="R115" s="52" t="str">
        <f>_TECH_Initiative_Library!AF73</f>
        <v>COO / Transformation Lead</v>
      </c>
      <c r="S115" s="52" t="str">
        <f>_TECH_Initiative_Library!AG73</f>
        <v>4-8 weeks</v>
      </c>
      <c r="T115" s="52" t="str">
        <f>_TECH_Initiative_Library!AP73</f>
        <v>Low-Medium</v>
      </c>
      <c r="U115" s="52" t="s">
        <v>783</v>
      </c>
      <c r="V115" s="52"/>
    </row>
    <row r="116" spans="1:22" ht="33.950000000000003" customHeight="1">
      <c r="A116" s="52">
        <f ca="1">_TECH_Initiative_Library!AD74</f>
      </c>
      <c r="B116" s="52" t="str">
        <f>_TECH_Initiative_Library!A74</f>
        <v>INI-070</v>
      </c>
      <c r="C116" s="52" t="str">
        <f>_TECH_Initiative_Library!F74</f>
        <v>Strengthen quality management and audit readiness</v>
      </c>
      <c r="D116" s="52" t="str">
        <f>_TECH_Initiative_Library!B74</f>
        <v>Quality Portfolio</v>
      </c>
      <c r="E116" s="52" t="str">
        <f>_TECH_Initiative_Library!C74</f>
        <v>Quality management</v>
      </c>
      <c r="F116" s="52" t="str">
        <f>_TECH_Initiative_Library!D74</f>
        <v>Operational Excellence and Automation Strategy</v>
      </c>
      <c r="G116" s="52">
        <f ca="1">_TECH_Initiative_Library!AE74</f>
      </c>
      <c r="H116" s="56">
        <f ca="1">_TECH_Initiative_Library!AC74</f>
      </c>
      <c r="I116" s="52">
        <f ca="1">_TECH_Initiative_Library!X74</f>
      </c>
      <c r="J116" s="52">
        <f ca="1">_TECH_Initiative_Library!Y74</f>
        <v>2</v>
      </c>
      <c r="K116" s="52">
        <f ca="1">_TECH_Initiative_Library!Z74</f>
      </c>
      <c r="L116" s="52">
        <f>_TECH_Initiative_Library!AA74</f>
        <v>5</v>
      </c>
      <c r="M116" s="52">
        <f>_TECH_Initiative_Library!AB74</f>
        <v>2</v>
      </c>
      <c r="N116" s="52">
        <f>_TECH_Initiative_Library!L74</f>
        <v>0</v>
      </c>
      <c r="O116" s="52">
        <f>_TECH_Initiative_Library!M74</f>
        <v>0</v>
      </c>
      <c r="P116" s="56" t="str">
        <f ca="1">_TECH_Initiative_Library!N74</f>
        <v/>
      </c>
      <c r="Q116" s="56">
        <f>_TECH_Initiative_Library!R74</f>
        <v>1</v>
      </c>
      <c r="R116" s="52" t="str">
        <f>_TECH_Initiative_Library!AF74</f>
        <v>COO / Transformation Lead</v>
      </c>
      <c r="S116" s="52" t="str">
        <f>_TECH_Initiative_Library!AG74</f>
        <v>4-8 weeks</v>
      </c>
      <c r="T116" s="52" t="str">
        <f>_TECH_Initiative_Library!AP74</f>
        <v>Low-Medium</v>
      </c>
      <c r="U116" s="52" t="s">
        <v>783</v>
      </c>
      <c r="V116" s="52"/>
    </row>
    <row r="117" spans="1:22" ht="33.950000000000003" customHeight="1">
      <c r="A117" s="52">
        <f ca="1">_TECH_Initiative_Library!AD75</f>
      </c>
      <c r="B117" s="52" t="str">
        <f>_TECH_Initiative_Library!A75</f>
        <v>INI-071</v>
      </c>
      <c r="C117" s="52" t="str">
        <f>_TECH_Initiative_Library!F75</f>
        <v>Implement portfolio governance, prioritization and change control</v>
      </c>
      <c r="D117" s="52" t="str">
        <f>_TECH_Initiative_Library!B75</f>
        <v>Quality Portfolio</v>
      </c>
      <c r="E117" s="52" t="str">
        <f>_TECH_Initiative_Library!C75</f>
        <v>Portfolio and change</v>
      </c>
      <c r="F117" s="52" t="str">
        <f>_TECH_Initiative_Library!D75</f>
        <v>Governance and Decision-Speed Strategy</v>
      </c>
      <c r="G117" s="52">
        <f ca="1">_TECH_Initiative_Library!AE75</f>
      </c>
      <c r="H117" s="56">
        <f ca="1">_TECH_Initiative_Library!AC75</f>
      </c>
      <c r="I117" s="52">
        <f ca="1">_TECH_Initiative_Library!X75</f>
      </c>
      <c r="J117" s="52">
        <f ca="1">_TECH_Initiative_Library!Y75</f>
        <v>2</v>
      </c>
      <c r="K117" s="52">
        <f ca="1">_TECH_Initiative_Library!Z75</f>
      </c>
      <c r="L117" s="52">
        <f>_TECH_Initiative_Library!AA75</f>
        <v>4</v>
      </c>
      <c r="M117" s="52">
        <f>_TECH_Initiative_Library!AB75</f>
        <v>2</v>
      </c>
      <c r="N117" s="52">
        <f>_TECH_Initiative_Library!L75</f>
        <v>0</v>
      </c>
      <c r="O117" s="52">
        <f>_TECH_Initiative_Library!M75</f>
        <v>0</v>
      </c>
      <c r="P117" s="56" t="str">
        <f ca="1">_TECH_Initiative_Library!N75</f>
        <v/>
      </c>
      <c r="Q117" s="56">
        <f>_TECH_Initiative_Library!R75</f>
        <v>1</v>
      </c>
      <c r="R117" s="52" t="str">
        <f>_TECH_Initiative_Library!AF75</f>
        <v>COO / Transformation Lead</v>
      </c>
      <c r="S117" s="52" t="str">
        <f>_TECH_Initiative_Library!AG75</f>
        <v>4-8 weeks</v>
      </c>
      <c r="T117" s="52" t="str">
        <f>_TECH_Initiative_Library!AP75</f>
        <v>Low-Medium</v>
      </c>
      <c r="U117" s="52" t="s">
        <v>783</v>
      </c>
      <c r="V117" s="52"/>
    </row>
    <row r="118" spans="1:22" ht="33.950000000000003" customHeight="1">
      <c r="A118" s="52">
        <f ca="1">_TECH_Initiative_Library!AD76</f>
      </c>
      <c r="B118" s="52" t="str">
        <f>_TECH_Initiative_Library!A76</f>
        <v>INI-072</v>
      </c>
      <c r="C118" s="52" t="str">
        <f>_TECH_Initiative_Library!F76</f>
        <v>Integrate management system, KPIs and continual improvement cycle</v>
      </c>
      <c r="D118" s="52" t="str">
        <f>_TECH_Initiative_Library!B76</f>
        <v>Quality Portfolio</v>
      </c>
      <c r="E118" s="52" t="str">
        <f>_TECH_Initiative_Library!C76</f>
        <v>Management system</v>
      </c>
      <c r="F118" s="52" t="str">
        <f>_TECH_Initiative_Library!D76</f>
        <v>Compliance and Risk Control Strategy</v>
      </c>
      <c r="G118" s="52">
        <f ca="1">_TECH_Initiative_Library!AE76</f>
      </c>
      <c r="H118" s="56">
        <f ca="1">_TECH_Initiative_Library!AC76</f>
      </c>
      <c r="I118" s="52">
        <f ca="1">_TECH_Initiative_Library!X76</f>
      </c>
      <c r="J118" s="52">
        <f ca="1">_TECH_Initiative_Library!Y76</f>
        <v>2</v>
      </c>
      <c r="K118" s="52">
        <f ca="1">_TECH_Initiative_Library!Z76</f>
      </c>
      <c r="L118" s="52">
        <f>_TECH_Initiative_Library!AA76</f>
        <v>4</v>
      </c>
      <c r="M118" s="52">
        <f>_TECH_Initiative_Library!AB76</f>
        <v>2</v>
      </c>
      <c r="N118" s="52">
        <f>_TECH_Initiative_Library!L76</f>
        <v>0</v>
      </c>
      <c r="O118" s="52">
        <f>_TECH_Initiative_Library!M76</f>
        <v>0</v>
      </c>
      <c r="P118" s="56" t="str">
        <f ca="1">_TECH_Initiative_Library!N76</f>
        <v/>
      </c>
      <c r="Q118" s="56">
        <f>_TECH_Initiative_Library!R76</f>
        <v>1</v>
      </c>
      <c r="R118" s="52" t="str">
        <f>_TECH_Initiative_Library!AF76</f>
        <v>COO / Transformation Lead</v>
      </c>
      <c r="S118" s="52" t="str">
        <f>_TECH_Initiative_Library!AG76</f>
        <v>4-8 weeks</v>
      </c>
      <c r="T118" s="52" t="str">
        <f>_TECH_Initiative_Library!AP76</f>
        <v>Low-Medium</v>
      </c>
      <c r="U118" s="52" t="s">
        <v>783</v>
      </c>
      <c r="V118" s="52"/>
    </row>
  </sheetData>
  <mergeCells count="5">
    <mergeCell ref="A8:Q8"/>
    <mergeCell ref="A45:V45"/>
    <mergeCell ref="A37:F37"/>
    <mergeCell ref="A2:Q2"/>
    <mergeCell ref="A1:Q1"/>
  </mergeCells>
  <conditionalFormatting sqref="H47:H118">
    <cfRule type="colorScale" priority="1">
      <colorScale>
        <cfvo type="min"/>
        <cfvo type="percentile" val="50"/>
        <cfvo type="max"/>
        <color rgb="FFFCE4D6"/>
        <color rgb="FFFFF2CC"/>
        <color rgb="FFE2F0D9"/>
      </colorScale>
    </cfRule>
  </conditionalFormatting>
  <dataValidations count="1">
    <dataValidation type="list" allowBlank="1" sqref="U47:U118" ns2:uid="{00000000-0002-0000-0B00-000000000000}">
      <formula1>"Not started,In progress,Blocked,Done,Deferred"</formula1>
    </dataValidation>
  </dataValidation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drawing r:id="rId1"/>
  <tableParts count="1">
    <tablePart r:id="rId2"/>
  </tableParts>
</worksheet>
</file>

<file path=xl/worksheets/sheet13.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C00-000000000000}">
  <sheetPr>
    <tabColor rgb="FF548235"/>
  </sheetPr>
  <dimension ref="A1:Q22"/>
  <sheetViews>
    <sheetView showGridLines="0" workbookViewId="0">
      <pane ySplit="5" topLeftCell="A6" activePane="bottomLeft" state="frozen"/>
      <selection pane="bottomLeft"/>
    </sheetView>
  </sheetViews>
  <sheetFormatPr defaultRowHeight="14.25"/>
  <cols>
    <col min="1" max="1" width="24" customWidth="1"/>
    <col min="2" max="2" width="18" customWidth="1"/>
    <col min="3" max="3" width="24" customWidth="1"/>
    <col min="4" max="4" width="18" customWidth="1"/>
    <col min="5" max="5" width="16" customWidth="1"/>
    <col min="6" max="6" width="14" customWidth="1"/>
    <col min="7" max="8" width="18" customWidth="1"/>
    <col min="9" max="9" width="16" customWidth="1"/>
    <col min="10" max="10" width="22" customWidth="1"/>
    <col min="11" max="11" width="16" customWidth="1"/>
    <col min="12" max="12" width="34" customWidth="1"/>
    <col min="13" max="13" width="30" customWidth="1"/>
    <col min="14" max="14" width="16" customWidth="1"/>
    <col min="16" max="16" width="34" customWidth="1"/>
    <col min="17" max="17" width="30" customWidth="1"/>
  </cols>
  <sheetData>
    <row r="1" spans="1:17">
      <c r="A1" s="185" t="s">
        <v>784</v>
      </c>
      <c r="B1" s="158"/>
      <c r="C1" s="158"/>
      <c r="D1" s="158"/>
      <c r="E1" s="158"/>
      <c r="F1" s="158"/>
      <c r="G1" s="158"/>
      <c r="H1" s="158"/>
      <c r="I1" s="158"/>
      <c r="J1" s="158"/>
      <c r="K1" s="158"/>
      <c r="L1" s="158"/>
      <c r="M1" s="158"/>
      <c r="N1" s="158"/>
    </row>
    <row r="2" spans="1:17" ht="156.75">
      <c r="A2" s="7" t="s">
        <v>785</v>
      </c>
    </row>
    <row r="3" spans="1:17" ht="15">
      <c r="A3" s="78" t="s">
        <v>164</v>
      </c>
      <c r="B3" s="63" t="str">
        <f>'Company Profile'!$B$9</f>
        <v>IT Services</v>
      </c>
      <c r="L3" s="78" t="s">
        <v>164</v>
      </c>
      <c r="M3" s="63" t="str">
        <f>'Company Profile'!$B$9</f>
        <v>IT Services</v>
      </c>
      <c r="P3" s="78" t="s">
        <v>164</v>
      </c>
      <c r="Q3" s="63" t="str">
        <f>'Company Profile'!$B$9</f>
        <v>IT Services</v>
      </c>
    </row>
    <row r="4" spans="1:17" ht="30">
      <c r="A4" s="78" t="s">
        <v>168</v>
      </c>
      <c r="B4" s="63">
        <f>IFERROR(ROUND(SUMPRODUCT($C$6:$C$22,$F$6:$F$22)/SUM($F$6:$F$22),2),"")</f>
        <v>0</v>
      </c>
      <c r="L4" s="78" t="s">
        <v>168</v>
      </c>
      <c r="M4" s="63" t="str">
        <f>IFERROR(ROUND(SUMPRODUCT($C$6:$C$22,$F$6:$F$22)/SUMPRODUCT(--($C$6:$C$22&lt;&gt;""),$F$6:$F$22),2),"")</f>
        <v/>
      </c>
      <c r="P4" s="78" t="s">
        <v>168</v>
      </c>
      <c r="Q4" s="63" t="str">
        <f>IFERROR(ROUND(SUMPRODUCT($C$6:$C$22,$F$6:$F$22)/SUMPRODUCT(--($C$6:$C$22&lt;&gt;""),$F$6:$F$22),2),"")</f>
        <v/>
      </c>
    </row>
    <row r="5" spans="1:17" ht="30">
      <c r="A5" s="77" t="s">
        <v>36</v>
      </c>
      <c r="B5" s="77" t="s">
        <v>786</v>
      </c>
      <c r="C5" s="77" t="s">
        <v>787</v>
      </c>
      <c r="D5" s="77" t="s">
        <v>788</v>
      </c>
      <c r="E5" s="77" t="s">
        <v>708</v>
      </c>
      <c r="F5" s="77" t="s">
        <v>690</v>
      </c>
      <c r="G5" s="77" t="s">
        <v>692</v>
      </c>
      <c r="H5" s="77" t="s">
        <v>693</v>
      </c>
      <c r="I5" s="77" t="s">
        <v>167</v>
      </c>
      <c r="J5" s="77" t="s">
        <v>789</v>
      </c>
      <c r="K5" s="77" t="s">
        <v>790</v>
      </c>
      <c r="L5" s="50" t="s">
        <v>791</v>
      </c>
      <c r="M5" s="50" t="s">
        <v>792</v>
      </c>
      <c r="N5" s="50" t="s">
        <v>704</v>
      </c>
      <c r="P5" s="78" t="s">
        <v>169</v>
      </c>
      <c r="Q5" s="63" t="str">
        <f>IFERROR(ROUND(AVERAGEIF($E$6:$E$22,"&gt;=0"),2),"")</f>
        <v/>
      </c>
    </row>
    <row r="6" spans="1:17" ht="15">
      <c r="A6" s="79" t="s">
        <v>54</v>
      </c>
      <c r="B6" s="74" t="str">
        <f>IFERROR(IF(INDEX(Dashboard!$C$5:$C$21,MATCH($A6,Dashboard!$A$5:$A$21,0))=0,"",INDEX(Dashboard!$H$5:$H$21,MATCH($A6,Dashboard!$A$5:$A$21,0))),"")</f>
        <v/>
      </c>
      <c r="C6" s="74" t="str">
        <f>IFERROR(ROUND(AVERAGE('Company Geography'!$AL$5:$AL$24),2),"")</f>
        <v/>
      </c>
      <c r="D6" s="74">
        <f>IFERROR(SUMIFS(_TECH_Industry_Templates!$D:$D,_TECH_Industry_Templates!$A:$A,'Company Profile'!$B$9,_TECH_Industry_Templates!$B:$B,$A6),"")</f>
        <v>3.5</v>
      </c>
      <c r="E6" s="74" t="str">
        <f t="shared" ref="E6:E22" si="0">IF(OR($D6="",AND($B6="",$C6="")),"",MAX(0,ROUND($D6-IF($C6="",$B6,$C6),2)))</f>
        <v/>
      </c>
      <c r="F6" s="74">
        <f>IFERROR(SUMIFS(_TECH_Industry_Templates!$C:$C,_TECH_Industry_Templates!$A:$A,'Company Profile'!$B$9,_TECH_Industry_Templates!$B:$B,$A6),1)</f>
        <v>3</v>
      </c>
      <c r="G6" s="74">
        <f>IFERROR(SUMIFS(_TECH_Industry_Templates!$E:$E,_TECH_Industry_Templates!$A:$A,'Company Profile'!$B$9,_TECH_Industry_Templates!$B:$B,$A6),1)</f>
        <v>1</v>
      </c>
      <c r="H6" s="74">
        <f>IFERROR(SUMIFS(_TECH_Industry_Templates!$F:$F,_TECH_Industry_Templates!$A:$A,'Company Profile'!$B$9,_TECH_Industry_Templates!$B:$B,$A6),0)</f>
        <v>2.5</v>
      </c>
      <c r="I6" s="74" t="str">
        <f t="shared" ref="I6:I22" si="1">IF(AND($B6="",$C6=""),"",IF(IF($C6="",$B6,$C6)&lt;$H6,"Breach","OK"))</f>
        <v/>
      </c>
      <c r="J6" s="74" t="str">
        <f t="shared" ref="J6:J22" si="2">IF(OR($C6="",$F6=""),"",ROUND($C6/5*$F6,2))</f>
        <v/>
      </c>
      <c r="K6" s="74" t="str">
        <f t="shared" ref="K6:K22" si="3">IF($E6="","",ROUND($E6*$G6*$F6,2))</f>
        <v/>
      </c>
      <c r="L6" s="79" t="str">
        <f>IFERROR(ROUND(AVERAGE('Company Geography'!$AJ$5:$AJ$24),2),"")</f>
        <v/>
      </c>
      <c r="M6" s="63" t="str">
        <f>IFERROR(ROUND(AVERAGE('Company Geography'!$AK$5:$AK$24),2),"")</f>
        <v/>
      </c>
      <c r="N6" s="74">
        <f>IFERROR(INDEX(Dashboard!$J$5:$J$21,MATCH($A6,Dashboard!$A$5:$A$21,0))+INDEX(Dashboard!$K$5:$K$21,MATCH($A6,Dashboard!$A$5:$A$21,0)),"")</f>
        <v>0</v>
      </c>
      <c r="P6" s="78" t="s">
        <v>170</v>
      </c>
      <c r="Q6" s="63">
        <f>COUNTIF($I$6:$I$22,"Breach")</f>
        <v>0</v>
      </c>
    </row>
    <row r="7" spans="1:17">
      <c r="A7" s="48" t="s">
        <v>57</v>
      </c>
      <c r="B7" s="48" t="str">
        <f>IFERROR(IF(INDEX(Dashboard!$C$5:$C$21,MATCH($A7,Dashboard!$A$5:$A$21,0))=0,"",INDEX(Dashboard!$H$5:$H$21,MATCH($A7,Dashboard!$A$5:$A$21,0))),"")</f>
        <v/>
      </c>
      <c r="C7" s="48" t="str">
        <f>IFERROR(ROUND(AVERAGE('Strategy GTM'!$AL$5:$AL$28),2),"")</f>
        <v/>
      </c>
      <c r="D7" s="48">
        <f>IFERROR(SUMIFS(_TECH_Industry_Templates!$D:$D,_TECH_Industry_Templates!$A:$A,'Company Profile'!$B$9,_TECH_Industry_Templates!$B:$B,$A7),"")</f>
        <v>3.5</v>
      </c>
      <c r="E7" s="48" t="str">
        <f t="shared" si="0"/>
        <v/>
      </c>
      <c r="F7" s="48">
        <f>IFERROR(SUMIFS(_TECH_Industry_Templates!$C:$C,_TECH_Industry_Templates!$A:$A,'Company Profile'!$B$9,_TECH_Industry_Templates!$B:$B,$A7),1)</f>
        <v>3</v>
      </c>
      <c r="G7" s="48">
        <f>IFERROR(SUMIFS(_TECH_Industry_Templates!$E:$E,_TECH_Industry_Templates!$A:$A,'Company Profile'!$B$9,_TECH_Industry_Templates!$B:$B,$A7),1)</f>
        <v>1</v>
      </c>
      <c r="H7" s="48">
        <f>IFERROR(SUMIFS(_TECH_Industry_Templates!$F:$F,_TECH_Industry_Templates!$A:$A,'Company Profile'!$B$9,_TECH_Industry_Templates!$B:$B,$A7),0)</f>
        <v>2.5</v>
      </c>
      <c r="I7" s="48" t="str">
        <f t="shared" si="1"/>
        <v/>
      </c>
      <c r="J7" s="48" t="str">
        <f t="shared" si="2"/>
        <v/>
      </c>
      <c r="K7" s="48" t="str">
        <f t="shared" si="3"/>
        <v/>
      </c>
      <c r="L7" s="48" t="str">
        <f>IFERROR(ROUND(AVERAGE('Strategy GTM'!$AJ$5:$AJ$28),2),"")</f>
        <v/>
      </c>
      <c r="M7" s="48" t="str">
        <f>IFERROR(ROUND(AVERAGE('Strategy GTM'!$AK$5:$AK$28),2),"")</f>
        <v/>
      </c>
      <c r="N7" s="48">
        <f>IFERROR(INDEX(Dashboard!$J$5:$J$21,MATCH($A7,Dashboard!$A$5:$A$21,0))+INDEX(Dashboard!$K$5:$K$21,MATCH($A7,Dashboard!$A$5:$A$21,0)),"")</f>
        <v>0</v>
      </c>
    </row>
    <row r="8" spans="1:17">
      <c r="A8" s="74" t="s">
        <v>60</v>
      </c>
      <c r="B8" s="74" t="str">
        <f>IFERROR(IF(INDEX(Dashboard!$C$5:$C$21,MATCH($A8,Dashboard!$A$5:$A$21,0))=0,"",INDEX(Dashboard!$H$5:$H$21,MATCH($A8,Dashboard!$A$5:$A$21,0))),"")</f>
        <v/>
      </c>
      <c r="C8" s="74" t="str">
        <f>IFERROR(ROUND(AVERAGE('Governance Crisis'!$AL$5:$AL$23),2),"")</f>
        <v/>
      </c>
      <c r="D8" s="74">
        <f>IFERROR(SUMIFS(_TECH_Industry_Templates!$D:$D,_TECH_Industry_Templates!$A:$A,'Company Profile'!$B$9,_TECH_Industry_Templates!$B:$B,$A8),"")</f>
        <v>4</v>
      </c>
      <c r="E8" s="74" t="str">
        <f t="shared" si="0"/>
        <v/>
      </c>
      <c r="F8" s="74">
        <f>IFERROR(SUMIFS(_TECH_Industry_Templates!$C:$C,_TECH_Industry_Templates!$A:$A,'Company Profile'!$B$9,_TECH_Industry_Templates!$B:$B,$A8),1)</f>
        <v>3</v>
      </c>
      <c r="G8" s="74">
        <f>IFERROR(SUMIFS(_TECH_Industry_Templates!$E:$E,_TECH_Industry_Templates!$A:$A,'Company Profile'!$B$9,_TECH_Industry_Templates!$B:$B,$A8),1)</f>
        <v>1.1499999999999999</v>
      </c>
      <c r="H8" s="74">
        <f>IFERROR(SUMIFS(_TECH_Industry_Templates!$F:$F,_TECH_Industry_Templates!$A:$A,'Company Profile'!$B$9,_TECH_Industry_Templates!$B:$B,$A8),0)</f>
        <v>3</v>
      </c>
      <c r="I8" s="74" t="str">
        <f t="shared" si="1"/>
        <v/>
      </c>
      <c r="J8" s="74" t="str">
        <f t="shared" si="2"/>
        <v/>
      </c>
      <c r="K8" s="74" t="str">
        <f t="shared" si="3"/>
        <v/>
      </c>
      <c r="L8" s="74" t="str">
        <f>IFERROR(ROUND(AVERAGE('Governance Crisis'!$AJ$5:$AJ$23),2),"")</f>
        <v/>
      </c>
      <c r="M8" s="74" t="str">
        <f>IFERROR(ROUND(AVERAGE('Governance Crisis'!$AK$5:$AK$23),2),"")</f>
        <v/>
      </c>
      <c r="N8" s="74">
        <f>IFERROR(INDEX(Dashboard!$J$5:$J$21,MATCH($A8,Dashboard!$A$5:$A$21,0))+INDEX(Dashboard!$K$5:$K$21,MATCH($A8,Dashboard!$A$5:$A$21,0)),"")</f>
        <v>0</v>
      </c>
    </row>
    <row r="9" spans="1:17">
      <c r="A9" s="48" t="s">
        <v>63</v>
      </c>
      <c r="B9" s="48" t="str">
        <f>IFERROR(IF(INDEX(Dashboard!$C$5:$C$21,MATCH($A9,Dashboard!$A$5:$A$21,0))=0,"",INDEX(Dashboard!$H$5:$H$21,MATCH($A9,Dashboard!$A$5:$A$21,0))),"")</f>
        <v/>
      </c>
      <c r="C9" s="48" t="str">
        <f>IFERROR(ROUND(AVERAGE('HR Workforce'!$AL$5:$AL$28),2),"")</f>
        <v/>
      </c>
      <c r="D9" s="48">
        <f>IFERROR(SUMIFS(_TECH_Industry_Templates!$D:$D,_TECH_Industry_Templates!$A:$A,'Company Profile'!$B$9,_TECH_Industry_Templates!$B:$B,$A9),"")</f>
        <v>4</v>
      </c>
      <c r="E9" s="48" t="str">
        <f t="shared" si="0"/>
        <v/>
      </c>
      <c r="F9" s="48">
        <f>IFERROR(SUMIFS(_TECH_Industry_Templates!$C:$C,_TECH_Industry_Templates!$A:$A,'Company Profile'!$B$9,_TECH_Industry_Templates!$B:$B,$A9),1)</f>
        <v>5</v>
      </c>
      <c r="G9" s="48">
        <f>IFERROR(SUMIFS(_TECH_Industry_Templates!$E:$E,_TECH_Industry_Templates!$A:$A,'Company Profile'!$B$9,_TECH_Industry_Templates!$B:$B,$A9),1)</f>
        <v>1.25</v>
      </c>
      <c r="H9" s="48">
        <f>IFERROR(SUMIFS(_TECH_Industry_Templates!$F:$F,_TECH_Industry_Templates!$A:$A,'Company Profile'!$B$9,_TECH_Industry_Templates!$B:$B,$A9),0)</f>
        <v>3</v>
      </c>
      <c r="I9" s="48" t="str">
        <f t="shared" si="1"/>
        <v/>
      </c>
      <c r="J9" s="48" t="str">
        <f t="shared" si="2"/>
        <v/>
      </c>
      <c r="K9" s="48" t="str">
        <f t="shared" si="3"/>
        <v/>
      </c>
      <c r="L9" s="48" t="str">
        <f>IFERROR(ROUND(AVERAGE('HR Workforce'!$AJ$5:$AJ$28),2),"")</f>
        <v/>
      </c>
      <c r="M9" s="48" t="str">
        <f>IFERROR(ROUND(AVERAGE('HR Workforce'!$AK$5:$AK$28),2),"")</f>
        <v/>
      </c>
      <c r="N9" s="48">
        <f>IFERROR(INDEX(Dashboard!$J$5:$J$21,MATCH($A9,Dashboard!$A$5:$A$21,0))+INDEX(Dashboard!$K$5:$K$21,MATCH($A9,Dashboard!$A$5:$A$21,0)),"")</f>
        <v>0</v>
      </c>
    </row>
    <row r="10" spans="1:17">
      <c r="A10" s="74" t="s">
        <v>66</v>
      </c>
      <c r="B10" s="74" t="str">
        <f>IFERROR(IF(INDEX(Dashboard!$C$5:$C$21,MATCH($A10,Dashboard!$A$5:$A$21,0))=0,"",INDEX(Dashboard!$H$5:$H$21,MATCH($A10,Dashboard!$A$5:$A$21,0))),"")</f>
        <v/>
      </c>
      <c r="C10" s="74" t="str">
        <f>IFERROR(ROUND(AVERAGE('Finance Procurement'!$AL$5:$AL$28),2),"")</f>
        <v/>
      </c>
      <c r="D10" s="74">
        <f>IFERROR(SUMIFS(_TECH_Industry_Templates!$D:$D,_TECH_Industry_Templates!$A:$A,'Company Profile'!$B$9,_TECH_Industry_Templates!$B:$B,$A10),"")</f>
        <v>3.5</v>
      </c>
      <c r="E10" s="74" t="str">
        <f t="shared" si="0"/>
        <v/>
      </c>
      <c r="F10" s="74">
        <f>IFERROR(SUMIFS(_TECH_Industry_Templates!$C:$C,_TECH_Industry_Templates!$A:$A,'Company Profile'!$B$9,_TECH_Industry_Templates!$B:$B,$A10),1)</f>
        <v>3</v>
      </c>
      <c r="G10" s="74">
        <f>IFERROR(SUMIFS(_TECH_Industry_Templates!$E:$E,_TECH_Industry_Templates!$A:$A,'Company Profile'!$B$9,_TECH_Industry_Templates!$B:$B,$A10),1)</f>
        <v>1</v>
      </c>
      <c r="H10" s="74">
        <f>IFERROR(SUMIFS(_TECH_Industry_Templates!$F:$F,_TECH_Industry_Templates!$A:$A,'Company Profile'!$B$9,_TECH_Industry_Templates!$B:$B,$A10),0)</f>
        <v>2.5</v>
      </c>
      <c r="I10" s="74" t="str">
        <f t="shared" si="1"/>
        <v/>
      </c>
      <c r="J10" s="74" t="str">
        <f t="shared" si="2"/>
        <v/>
      </c>
      <c r="K10" s="74" t="str">
        <f t="shared" si="3"/>
        <v/>
      </c>
      <c r="L10" s="74" t="str">
        <f>IFERROR(ROUND(AVERAGE('Finance Procurement'!$AJ$5:$AJ$28),2),"")</f>
        <v/>
      </c>
      <c r="M10" s="74" t="str">
        <f>IFERROR(ROUND(AVERAGE('Finance Procurement'!$AK$5:$AK$28),2),"")</f>
        <v/>
      </c>
      <c r="N10" s="74">
        <f>IFERROR(INDEX(Dashboard!$J$5:$J$21,MATCH($A10,Dashboard!$A$5:$A$21,0))+INDEX(Dashboard!$K$5:$K$21,MATCH($A10,Dashboard!$A$5:$A$21,0)),"")</f>
        <v>0</v>
      </c>
    </row>
    <row r="11" spans="1:17">
      <c r="A11" s="48" t="s">
        <v>69</v>
      </c>
      <c r="B11" s="48" t="str">
        <f>IFERROR(IF(INDEX(Dashboard!$C$5:$C$21,MATCH($A11,Dashboard!$A$5:$A$21,0))=0,"",INDEX(Dashboard!$H$5:$H$21,MATCH($A11,Dashboard!$A$5:$A$21,0))),"")</f>
        <v/>
      </c>
      <c r="C11" s="48" t="str">
        <f>IFERROR(ROUND(AVERAGE('Legal Risk'!$AL$5:$AL$24),2),"")</f>
        <v/>
      </c>
      <c r="D11" s="48">
        <f>IFERROR(SUMIFS(_TECH_Industry_Templates!$D:$D,_TECH_Industry_Templates!$A:$A,'Company Profile'!$B$9,_TECH_Industry_Templates!$B:$B,$A11),"")</f>
        <v>3.5</v>
      </c>
      <c r="E11" s="48" t="str">
        <f t="shared" si="0"/>
        <v/>
      </c>
      <c r="F11" s="48">
        <f>IFERROR(SUMIFS(_TECH_Industry_Templates!$C:$C,_TECH_Industry_Templates!$A:$A,'Company Profile'!$B$9,_TECH_Industry_Templates!$B:$B,$A11),1)</f>
        <v>3</v>
      </c>
      <c r="G11" s="48">
        <f>IFERROR(SUMIFS(_TECH_Industry_Templates!$E:$E,_TECH_Industry_Templates!$A:$A,'Company Profile'!$B$9,_TECH_Industry_Templates!$B:$B,$A11),1)</f>
        <v>1</v>
      </c>
      <c r="H11" s="48">
        <f>IFERROR(SUMIFS(_TECH_Industry_Templates!$F:$F,_TECH_Industry_Templates!$A:$A,'Company Profile'!$B$9,_TECH_Industry_Templates!$B:$B,$A11),0)</f>
        <v>2.5</v>
      </c>
      <c r="I11" s="48" t="str">
        <f t="shared" si="1"/>
        <v/>
      </c>
      <c r="J11" s="48" t="str">
        <f t="shared" si="2"/>
        <v/>
      </c>
      <c r="K11" s="48" t="str">
        <f t="shared" si="3"/>
        <v/>
      </c>
      <c r="L11" s="48" t="str">
        <f>IFERROR(ROUND(AVERAGE('Legal Risk'!$AJ$5:$AJ$24),2),"")</f>
        <v/>
      </c>
      <c r="M11" s="48" t="str">
        <f>IFERROR(ROUND(AVERAGE('Legal Risk'!$AK$5:$AK$24),2),"")</f>
        <v/>
      </c>
      <c r="N11" s="48">
        <f>IFERROR(INDEX(Dashboard!$J$5:$J$21,MATCH($A11,Dashboard!$A$5:$A$21,0))+INDEX(Dashboard!$K$5:$K$21,MATCH($A11,Dashboard!$A$5:$A$21,0)),"")</f>
        <v>0</v>
      </c>
    </row>
    <row r="12" spans="1:17">
      <c r="A12" s="74" t="s">
        <v>72</v>
      </c>
      <c r="B12" s="74" t="str">
        <f>IFERROR(IF(INDEX(Dashboard!$C$5:$C$21,MATCH($A12,Dashboard!$A$5:$A$21,0))=0,"",INDEX(Dashboard!$H$5:$H$21,MATCH($A12,Dashboard!$A$5:$A$21,0))),"")</f>
        <v/>
      </c>
      <c r="C12" s="74" t="str">
        <f>IFERROR(ROUND(AVERAGE('Physical Safety'!$AL$5:$AL$32),2),"")</f>
        <v/>
      </c>
      <c r="D12" s="74">
        <f>IFERROR(SUMIFS(_TECH_Industry_Templates!$D:$D,_TECH_Industry_Templates!$A:$A,'Company Profile'!$B$9,_TECH_Industry_Templates!$B:$B,$A12),"")</f>
        <v>2.8</v>
      </c>
      <c r="E12" s="74" t="str">
        <f t="shared" si="0"/>
        <v/>
      </c>
      <c r="F12" s="74">
        <f>IFERROR(SUMIFS(_TECH_Industry_Templates!$C:$C,_TECH_Industry_Templates!$A:$A,'Company Profile'!$B$9,_TECH_Industry_Templates!$B:$B,$A12),1)</f>
        <v>2</v>
      </c>
      <c r="G12" s="74">
        <f>IFERROR(SUMIFS(_TECH_Industry_Templates!$E:$E,_TECH_Industry_Templates!$A:$A,'Company Profile'!$B$9,_TECH_Industry_Templates!$B:$B,$A12),1)</f>
        <v>0.9</v>
      </c>
      <c r="H12" s="74">
        <f>IFERROR(SUMIFS(_TECH_Industry_Templates!$F:$F,_TECH_Industry_Templates!$A:$A,'Company Profile'!$B$9,_TECH_Industry_Templates!$B:$B,$A12),0)</f>
        <v>2</v>
      </c>
      <c r="I12" s="74" t="str">
        <f t="shared" si="1"/>
        <v/>
      </c>
      <c r="J12" s="74" t="str">
        <f t="shared" si="2"/>
        <v/>
      </c>
      <c r="K12" s="74" t="str">
        <f t="shared" si="3"/>
        <v/>
      </c>
      <c r="L12" s="74" t="str">
        <f>IFERROR(ROUND(AVERAGE('Physical Safety'!$AJ$5:$AJ$32),2),"")</f>
        <v/>
      </c>
      <c r="M12" s="74" t="str">
        <f>IFERROR(ROUND(AVERAGE('Physical Safety'!$AK$5:$AK$32),2),"")</f>
        <v/>
      </c>
      <c r="N12" s="74">
        <f>IFERROR(INDEX(Dashboard!$J$5:$J$21,MATCH($A12,Dashboard!$A$5:$A$21,0))+INDEX(Dashboard!$K$5:$K$21,MATCH($A12,Dashboard!$A$5:$A$21,0)),"")</f>
        <v>0</v>
      </c>
    </row>
    <row r="13" spans="1:17">
      <c r="A13" s="48" t="s">
        <v>75</v>
      </c>
      <c r="B13" s="48" t="str">
        <f>IFERROR(IF(INDEX(Dashboard!$C$5:$C$21,MATCH($A13,Dashboard!$A$5:$A$21,0))=0,"",INDEX(Dashboard!$H$5:$H$21,MATCH($A13,Dashboard!$A$5:$A$21,0))),"")</f>
        <v/>
      </c>
      <c r="C13" s="48" t="str">
        <f>IFERROR(ROUND(AVERAGE('Delivery Ops'!$AL$5:$AL$28),2),"")</f>
        <v/>
      </c>
      <c r="D13" s="48">
        <f>IFERROR(SUMIFS(_TECH_Industry_Templates!$D:$D,_TECH_Industry_Templates!$A:$A,'Company Profile'!$B$9,_TECH_Industry_Templates!$B:$B,$A13),"")</f>
        <v>4</v>
      </c>
      <c r="E13" s="48" t="str">
        <f t="shared" si="0"/>
        <v/>
      </c>
      <c r="F13" s="48">
        <f>IFERROR(SUMIFS(_TECH_Industry_Templates!$C:$C,_TECH_Industry_Templates!$A:$A,'Company Profile'!$B$9,_TECH_Industry_Templates!$B:$B,$A13),1)</f>
        <v>5</v>
      </c>
      <c r="G13" s="48">
        <f>IFERROR(SUMIFS(_TECH_Industry_Templates!$E:$E,_TECH_Industry_Templates!$A:$A,'Company Profile'!$B$9,_TECH_Industry_Templates!$B:$B,$A13),1)</f>
        <v>1.25</v>
      </c>
      <c r="H13" s="48">
        <f>IFERROR(SUMIFS(_TECH_Industry_Templates!$F:$F,_TECH_Industry_Templates!$A:$A,'Company Profile'!$B$9,_TECH_Industry_Templates!$B:$B,$A13),0)</f>
        <v>3</v>
      </c>
      <c r="I13" s="48" t="str">
        <f t="shared" si="1"/>
        <v/>
      </c>
      <c r="J13" s="48" t="str">
        <f t="shared" si="2"/>
        <v/>
      </c>
      <c r="K13" s="48" t="str">
        <f t="shared" si="3"/>
        <v/>
      </c>
      <c r="L13" s="48" t="str">
        <f>IFERROR(ROUND(AVERAGE('Delivery Ops'!$AJ$5:$AJ$28),2),"")</f>
        <v/>
      </c>
      <c r="M13" s="48" t="str">
        <f>IFERROR(ROUND(AVERAGE('Delivery Ops'!$AK$5:$AK$28),2),"")</f>
        <v/>
      </c>
      <c r="N13" s="48">
        <f>IFERROR(INDEX(Dashboard!$J$5:$J$21,MATCH($A13,Dashboard!$A$5:$A$21,0))+INDEX(Dashboard!$K$5:$K$21,MATCH($A13,Dashboard!$A$5:$A$21,0)),"")</f>
        <v>0</v>
      </c>
    </row>
    <row r="14" spans="1:17">
      <c r="A14" s="74" t="s">
        <v>78</v>
      </c>
      <c r="B14" s="74" t="str">
        <f>IFERROR(IF(INDEX(Dashboard!$C$5:$C$21,MATCH($A14,Dashboard!$A$5:$A$21,0))=0,"",INDEX(Dashboard!$H$5:$H$21,MATCH($A14,Dashboard!$A$5:$A$21,0))),"")</f>
        <v/>
      </c>
      <c r="C14" s="74" t="str">
        <f>IFERROR(ROUND(AVERAGE('Supply Chain'!$AL$5:$AL$29),2),"")</f>
        <v/>
      </c>
      <c r="D14" s="74">
        <f>IFERROR(SUMIFS(_TECH_Industry_Templates!$D:$D,_TECH_Industry_Templates!$A:$A,'Company Profile'!$B$9,_TECH_Industry_Templates!$B:$B,$A14),"")</f>
        <v>3.5</v>
      </c>
      <c r="E14" s="74" t="str">
        <f t="shared" si="0"/>
        <v/>
      </c>
      <c r="F14" s="74">
        <f>IFERROR(SUMIFS(_TECH_Industry_Templates!$C:$C,_TECH_Industry_Templates!$A:$A,'Company Profile'!$B$9,_TECH_Industry_Templates!$B:$B,$A14),1)</f>
        <v>3</v>
      </c>
      <c r="G14" s="74">
        <f>IFERROR(SUMIFS(_TECH_Industry_Templates!$E:$E,_TECH_Industry_Templates!$A:$A,'Company Profile'!$B$9,_TECH_Industry_Templates!$B:$B,$A14),1)</f>
        <v>1</v>
      </c>
      <c r="H14" s="74">
        <f>IFERROR(SUMIFS(_TECH_Industry_Templates!$F:$F,_TECH_Industry_Templates!$A:$A,'Company Profile'!$B$9,_TECH_Industry_Templates!$B:$B,$A14),0)</f>
        <v>2.5</v>
      </c>
      <c r="I14" s="74" t="str">
        <f t="shared" si="1"/>
        <v/>
      </c>
      <c r="J14" s="74" t="str">
        <f t="shared" si="2"/>
        <v/>
      </c>
      <c r="K14" s="74" t="str">
        <f t="shared" si="3"/>
        <v/>
      </c>
      <c r="L14" s="74" t="str">
        <f>IFERROR(ROUND(AVERAGE('Supply Chain'!$AJ$5:$AJ$29),2),"")</f>
        <v/>
      </c>
      <c r="M14" s="74" t="str">
        <f>IFERROR(ROUND(AVERAGE('Supply Chain'!$AK$5:$AK$29),2),"")</f>
        <v/>
      </c>
      <c r="N14" s="74">
        <f>IFERROR(INDEX(Dashboard!$J$5:$J$21,MATCH($A14,Dashboard!$A$5:$A$21,0))+INDEX(Dashboard!$K$5:$K$21,MATCH($A14,Dashboard!$A$5:$A$21,0)),"")</f>
        <v>0</v>
      </c>
    </row>
    <row r="15" spans="1:17">
      <c r="A15" s="48" t="s">
        <v>81</v>
      </c>
      <c r="B15" s="48" t="str">
        <f>IFERROR(IF(INDEX(Dashboard!$C$5:$C$21,MATCH($A15,Dashboard!$A$5:$A$21,0))=0,"",INDEX(Dashboard!$H$5:$H$21,MATCH($A15,Dashboard!$A$5:$A$21,0))),"")</f>
        <v/>
      </c>
      <c r="C15" s="48" t="str">
        <f>IFERROR(ROUND(AVERAGE('Manufacturing MES'!$AL$5:$AL$32),2),"")</f>
        <v/>
      </c>
      <c r="D15" s="48">
        <f>IFERROR(SUMIFS(_TECH_Industry_Templates!$D:$D,_TECH_Industry_Templates!$A:$A,'Company Profile'!$B$9,_TECH_Industry_Templates!$B:$B,$A15),"")</f>
        <v>1</v>
      </c>
      <c r="E15" s="48" t="str">
        <f t="shared" si="0"/>
        <v/>
      </c>
      <c r="F15" s="48">
        <f>IFERROR(SUMIFS(_TECH_Industry_Templates!$C:$C,_TECH_Industry_Templates!$A:$A,'Company Profile'!$B$9,_TECH_Industry_Templates!$B:$B,$A15),1)</f>
        <v>1</v>
      </c>
      <c r="G15" s="48">
        <f>IFERROR(SUMIFS(_TECH_Industry_Templates!$E:$E,_TECH_Industry_Templates!$A:$A,'Company Profile'!$B$9,_TECH_Industry_Templates!$B:$B,$A15),1)</f>
        <v>0.6</v>
      </c>
      <c r="H15" s="48">
        <f>IFERROR(SUMIFS(_TECH_Industry_Templates!$F:$F,_TECH_Industry_Templates!$A:$A,'Company Profile'!$B$9,_TECH_Industry_Templates!$B:$B,$A15),0)</f>
        <v>0</v>
      </c>
      <c r="I15" s="48" t="str">
        <f t="shared" si="1"/>
        <v/>
      </c>
      <c r="J15" s="48" t="str">
        <f t="shared" si="2"/>
        <v/>
      </c>
      <c r="K15" s="48" t="str">
        <f t="shared" si="3"/>
        <v/>
      </c>
      <c r="L15" s="48" t="str">
        <f>IFERROR(ROUND(AVERAGE('Manufacturing MES'!$AJ$5:$AJ$32),2),"")</f>
        <v/>
      </c>
      <c r="M15" s="48" t="str">
        <f>IFERROR(ROUND(AVERAGE('Manufacturing MES'!$AK$5:$AK$32),2),"")</f>
        <v/>
      </c>
      <c r="N15" s="48">
        <f>IFERROR(INDEX(Dashboard!$J$5:$J$21,MATCH($A15,Dashboard!$A$5:$A$21,0))+INDEX(Dashboard!$K$5:$K$21,MATCH($A15,Dashboard!$A$5:$A$21,0)),"")</f>
        <v>0</v>
      </c>
    </row>
    <row r="16" spans="1:17">
      <c r="A16" s="74" t="s">
        <v>84</v>
      </c>
      <c r="B16" s="74" t="str">
        <f>IFERROR(IF(INDEX(Dashboard!$C$5:$C$21,MATCH($A16,Dashboard!$A$5:$A$21,0))=0,"",INDEX(Dashboard!$H$5:$H$21,MATCH($A16,Dashboard!$A$5:$A$21,0))),"")</f>
        <v/>
      </c>
      <c r="C16" s="74" t="str">
        <f>IFERROR(ROUND(AVERAGE('Sales CRM'!$AL$5:$AL$25),2),"")</f>
        <v/>
      </c>
      <c r="D16" s="74">
        <f>IFERROR(SUMIFS(_TECH_Industry_Templates!$D:$D,_TECH_Industry_Templates!$A:$A,'Company Profile'!$B$9,_TECH_Industry_Templates!$B:$B,$A16),"")</f>
        <v>3.8</v>
      </c>
      <c r="E16" s="74" t="str">
        <f t="shared" si="0"/>
        <v/>
      </c>
      <c r="F16" s="74">
        <f>IFERROR(SUMIFS(_TECH_Industry_Templates!$C:$C,_TECH_Industry_Templates!$A:$A,'Company Profile'!$B$9,_TECH_Industry_Templates!$B:$B,$A16),1)</f>
        <v>4</v>
      </c>
      <c r="G16" s="74">
        <f>IFERROR(SUMIFS(_TECH_Industry_Templates!$E:$E,_TECH_Industry_Templates!$A:$A,'Company Profile'!$B$9,_TECH_Industry_Templates!$B:$B,$A16),1)</f>
        <v>1.1000000000000001</v>
      </c>
      <c r="H16" s="74">
        <f>IFERROR(SUMIFS(_TECH_Industry_Templates!$F:$F,_TECH_Industry_Templates!$A:$A,'Company Profile'!$B$9,_TECH_Industry_Templates!$B:$B,$A16),0)</f>
        <v>2.8</v>
      </c>
      <c r="I16" s="74" t="str">
        <f t="shared" si="1"/>
        <v/>
      </c>
      <c r="J16" s="74" t="str">
        <f t="shared" si="2"/>
        <v/>
      </c>
      <c r="K16" s="74" t="str">
        <f t="shared" si="3"/>
        <v/>
      </c>
      <c r="L16" s="74" t="str">
        <f>IFERROR(ROUND(AVERAGE('Sales CRM'!$AJ$5:$AJ$25),2),"")</f>
        <v/>
      </c>
      <c r="M16" s="74" t="str">
        <f>IFERROR(ROUND(AVERAGE('Sales CRM'!$AK$5:$AK$25),2),"")</f>
        <v/>
      </c>
      <c r="N16" s="74">
        <f>IFERROR(INDEX(Dashboard!$J$5:$J$21,MATCH($A16,Dashboard!$A$5:$A$21,0))+INDEX(Dashboard!$K$5:$K$21,MATCH($A16,Dashboard!$A$5:$A$21,0)),"")</f>
        <v>0</v>
      </c>
    </row>
    <row r="17" spans="1:14">
      <c r="A17" s="48" t="s">
        <v>87</v>
      </c>
      <c r="B17" s="48" t="str">
        <f>IFERROR(IF(INDEX(Dashboard!$C$5:$C$21,MATCH($A17,Dashboard!$A$5:$A$21,0))=0,"",INDEX(Dashboard!$H$5:$H$21,MATCH($A17,Dashboard!$A$5:$A$21,0))),"")</f>
        <v/>
      </c>
      <c r="C17" s="48" t="str">
        <f>IFERROR(ROUND(AVERAGE('Marketing Comms'!$AL$5:$AL$21),2),"")</f>
        <v/>
      </c>
      <c r="D17" s="48">
        <f>IFERROR(SUMIFS(_TECH_Industry_Templates!$D:$D,_TECH_Industry_Templates!$A:$A,'Company Profile'!$B$9,_TECH_Industry_Templates!$B:$B,$A17),"")</f>
        <v>3.5</v>
      </c>
      <c r="E17" s="48" t="str">
        <f t="shared" si="0"/>
        <v/>
      </c>
      <c r="F17" s="48">
        <f>IFERROR(SUMIFS(_TECH_Industry_Templates!$C:$C,_TECH_Industry_Templates!$A:$A,'Company Profile'!$B$9,_TECH_Industry_Templates!$B:$B,$A17),1)</f>
        <v>3</v>
      </c>
      <c r="G17" s="48">
        <f>IFERROR(SUMIFS(_TECH_Industry_Templates!$E:$E,_TECH_Industry_Templates!$A:$A,'Company Profile'!$B$9,_TECH_Industry_Templates!$B:$B,$A17),1)</f>
        <v>1</v>
      </c>
      <c r="H17" s="48">
        <f>IFERROR(SUMIFS(_TECH_Industry_Templates!$F:$F,_TECH_Industry_Templates!$A:$A,'Company Profile'!$B$9,_TECH_Industry_Templates!$B:$B,$A17),0)</f>
        <v>2.5</v>
      </c>
      <c r="I17" s="48" t="str">
        <f t="shared" si="1"/>
        <v/>
      </c>
      <c r="J17" s="48" t="str">
        <f t="shared" si="2"/>
        <v/>
      </c>
      <c r="K17" s="48" t="str">
        <f t="shared" si="3"/>
        <v/>
      </c>
      <c r="L17" s="48" t="str">
        <f>IFERROR(ROUND(AVERAGE('Marketing Comms'!$AJ$5:$AJ$21),2),"")</f>
        <v/>
      </c>
      <c r="M17" s="48" t="str">
        <f>IFERROR(ROUND(AVERAGE('Marketing Comms'!$AK$5:$AK$21),2),"")</f>
        <v/>
      </c>
      <c r="N17" s="48">
        <f>IFERROR(INDEX(Dashboard!$J$5:$J$21,MATCH($A17,Dashboard!$A$5:$A$21,0))+INDEX(Dashboard!$K$5:$K$21,MATCH($A17,Dashboard!$A$5:$A$21,0)),"")</f>
        <v>0</v>
      </c>
    </row>
    <row r="18" spans="1:14">
      <c r="A18" s="74" t="s">
        <v>90</v>
      </c>
      <c r="B18" s="74" t="str">
        <f>IFERROR(IF(INDEX(Dashboard!$C$5:$C$21,MATCH($A18,Dashboard!$A$5:$A$21,0))=0,"",INDEX(Dashboard!$H$5:$H$21,MATCH($A18,Dashboard!$A$5:$A$21,0))),"")</f>
        <v/>
      </c>
      <c r="C18" s="74" t="str">
        <f>IFERROR(ROUND(AVERAGE('IT Cloud DR'!$AL$5:$AL$33),2),"")</f>
        <v/>
      </c>
      <c r="D18" s="74">
        <f>IFERROR(SUMIFS(_TECH_Industry_Templates!$D:$D,_TECH_Industry_Templates!$A:$A,'Company Profile'!$B$9,_TECH_Industry_Templates!$B:$B,$A18),"")</f>
        <v>4</v>
      </c>
      <c r="E18" s="74" t="str">
        <f t="shared" si="0"/>
        <v/>
      </c>
      <c r="F18" s="74">
        <f>IFERROR(SUMIFS(_TECH_Industry_Templates!$C:$C,_TECH_Industry_Templates!$A:$A,'Company Profile'!$B$9,_TECH_Industry_Templates!$B:$B,$A18),1)</f>
        <v>3</v>
      </c>
      <c r="G18" s="74">
        <f>IFERROR(SUMIFS(_TECH_Industry_Templates!$E:$E,_TECH_Industry_Templates!$A:$A,'Company Profile'!$B$9,_TECH_Industry_Templates!$B:$B,$A18),1)</f>
        <v>1.1499999999999999</v>
      </c>
      <c r="H18" s="74">
        <f>IFERROR(SUMIFS(_TECH_Industry_Templates!$F:$F,_TECH_Industry_Templates!$A:$A,'Company Profile'!$B$9,_TECH_Industry_Templates!$B:$B,$A18),0)</f>
        <v>3</v>
      </c>
      <c r="I18" s="74" t="str">
        <f t="shared" si="1"/>
        <v/>
      </c>
      <c r="J18" s="74" t="str">
        <f t="shared" si="2"/>
        <v/>
      </c>
      <c r="K18" s="74" t="str">
        <f t="shared" si="3"/>
        <v/>
      </c>
      <c r="L18" s="74" t="str">
        <f>IFERROR(ROUND(AVERAGE('IT Cloud DR'!$AJ$5:$AJ$33),2),"")</f>
        <v/>
      </c>
      <c r="M18" s="74" t="str">
        <f>IFERROR(ROUND(AVERAGE('IT Cloud DR'!$AK$5:$AK$33),2),"")</f>
        <v/>
      </c>
      <c r="N18" s="74">
        <f>IFERROR(INDEX(Dashboard!$J$5:$J$21,MATCH($A18,Dashboard!$A$5:$A$21,0))+INDEX(Dashboard!$K$5:$K$21,MATCH($A18,Dashboard!$A$5:$A$21,0)),"")</f>
        <v>0</v>
      </c>
    </row>
    <row r="19" spans="1:14">
      <c r="A19" s="48" t="s">
        <v>91</v>
      </c>
      <c r="B19" s="48" t="str">
        <f>IFERROR(IF(INDEX(Dashboard!$C$5:$C$21,MATCH($A19,Dashboard!$A$5:$A$21,0))=0,"",INDEX(Dashboard!$H$5:$H$21,MATCH($A19,Dashboard!$A$5:$A$21,0))),"")</f>
        <v/>
      </c>
      <c r="C19" s="48" t="str">
        <f>IFERROR(ROUND(AVERAGE('Business Systems'!$AL$5:$AL$27),2),"")</f>
        <v/>
      </c>
      <c r="D19" s="48">
        <f>IFERROR(SUMIFS(_TECH_Industry_Templates!$D:$D,_TECH_Industry_Templates!$A:$A,'Company Profile'!$B$9,_TECH_Industry_Templates!$B:$B,$A19),"")</f>
        <v>4</v>
      </c>
      <c r="E19" s="48" t="str">
        <f t="shared" si="0"/>
        <v/>
      </c>
      <c r="F19" s="48">
        <f>IFERROR(SUMIFS(_TECH_Industry_Templates!$C:$C,_TECH_Industry_Templates!$A:$A,'Company Profile'!$B$9,_TECH_Industry_Templates!$B:$B,$A19),1)</f>
        <v>4</v>
      </c>
      <c r="G19" s="48">
        <f>IFERROR(SUMIFS(_TECH_Industry_Templates!$E:$E,_TECH_Industry_Templates!$A:$A,'Company Profile'!$B$9,_TECH_Industry_Templates!$B:$B,$A19),1)</f>
        <v>1.1499999999999999</v>
      </c>
      <c r="H19" s="48">
        <f>IFERROR(SUMIFS(_TECH_Industry_Templates!$F:$F,_TECH_Industry_Templates!$A:$A,'Company Profile'!$B$9,_TECH_Industry_Templates!$B:$B,$A19),0)</f>
        <v>3</v>
      </c>
      <c r="I19" s="48" t="str">
        <f t="shared" si="1"/>
        <v/>
      </c>
      <c r="J19" s="48" t="str">
        <f t="shared" si="2"/>
        <v/>
      </c>
      <c r="K19" s="48" t="str">
        <f t="shared" si="3"/>
        <v/>
      </c>
      <c r="L19" s="48" t="str">
        <f>IFERROR(ROUND(AVERAGE('Business Systems'!$AJ$5:$AJ$27),2),"")</f>
        <v/>
      </c>
      <c r="M19" s="48" t="str">
        <f>IFERROR(ROUND(AVERAGE('Business Systems'!$AK$5:$AK$27),2),"")</f>
        <v/>
      </c>
      <c r="N19" s="48">
        <f>IFERROR(INDEX(Dashboard!$J$5:$J$21,MATCH($A19,Dashboard!$A$5:$A$21,0))+INDEX(Dashboard!$K$5:$K$21,MATCH($A19,Dashboard!$A$5:$A$21,0)),"")</f>
        <v>0</v>
      </c>
    </row>
    <row r="20" spans="1:14">
      <c r="A20" s="74" t="s">
        <v>92</v>
      </c>
      <c r="B20" s="74" t="str">
        <f>IFERROR(IF(INDEX(Dashboard!$C$5:$C$21,MATCH($A20,Dashboard!$A$5:$A$21,0))=0,"",INDEX(Dashboard!$H$5:$H$21,MATCH($A20,Dashboard!$A$5:$A$21,0))),"")</f>
        <v/>
      </c>
      <c r="C20" s="74" t="str">
        <f>IFERROR(ROUND(AVERAGE('Data BI AI'!$AL$5:$AL$31),2),"")</f>
        <v/>
      </c>
      <c r="D20" s="74">
        <f>IFERROR(SUMIFS(_TECH_Industry_Templates!$D:$D,_TECH_Industry_Templates!$A:$A,'Company Profile'!$B$9,_TECH_Industry_Templates!$B:$B,$A20),"")</f>
        <v>3.5</v>
      </c>
      <c r="E20" s="74" t="str">
        <f t="shared" si="0"/>
        <v/>
      </c>
      <c r="F20" s="74">
        <f>IFERROR(SUMIFS(_TECH_Industry_Templates!$C:$C,_TECH_Industry_Templates!$A:$A,'Company Profile'!$B$9,_TECH_Industry_Templates!$B:$B,$A20),1)</f>
        <v>3</v>
      </c>
      <c r="G20" s="74">
        <f>IFERROR(SUMIFS(_TECH_Industry_Templates!$E:$E,_TECH_Industry_Templates!$A:$A,'Company Profile'!$B$9,_TECH_Industry_Templates!$B:$B,$A20),1)</f>
        <v>1</v>
      </c>
      <c r="H20" s="74">
        <f>IFERROR(SUMIFS(_TECH_Industry_Templates!$F:$F,_TECH_Industry_Templates!$A:$A,'Company Profile'!$B$9,_TECH_Industry_Templates!$B:$B,$A20),0)</f>
        <v>2.5</v>
      </c>
      <c r="I20" s="74" t="str">
        <f t="shared" si="1"/>
        <v/>
      </c>
      <c r="J20" s="74" t="str">
        <f t="shared" si="2"/>
        <v/>
      </c>
      <c r="K20" s="74" t="str">
        <f t="shared" si="3"/>
        <v/>
      </c>
      <c r="L20" s="74" t="str">
        <f>IFERROR(ROUND(AVERAGE('Data BI AI'!$AJ$5:$AJ$31),2),"")</f>
        <v/>
      </c>
      <c r="M20" s="74" t="str">
        <f>IFERROR(ROUND(AVERAGE('Data BI AI'!$AK$5:$AK$31),2),"")</f>
        <v/>
      </c>
      <c r="N20" s="74">
        <f>IFERROR(INDEX(Dashboard!$J$5:$J$21,MATCH($A20,Dashboard!$A$5:$A$21,0))+INDEX(Dashboard!$K$5:$K$21,MATCH($A20,Dashboard!$A$5:$A$21,0)),"")</f>
        <v>0</v>
      </c>
    </row>
    <row r="21" spans="1:14">
      <c r="A21" s="48" t="s">
        <v>93</v>
      </c>
      <c r="B21" s="48" t="str">
        <f>IFERROR(IF(INDEX(Dashboard!$C$5:$C$21,MATCH($A21,Dashboard!$A$5:$A$21,0))=0,"",INDEX(Dashboard!$H$5:$H$21,MATCH($A21,Dashboard!$A$5:$A$21,0))),"")</f>
        <v/>
      </c>
      <c r="C21" s="48" t="str">
        <f>IFERROR(ROUND(AVERAGE('Cyber Privacy'!$AL$5:$AL$38),2),"")</f>
        <v/>
      </c>
      <c r="D21" s="48">
        <f>IFERROR(SUMIFS(_TECH_Industry_Templates!$D:$D,_TECH_Industry_Templates!$A:$A,'Company Profile'!$B$9,_TECH_Industry_Templates!$B:$B,$A21),"")</f>
        <v>4</v>
      </c>
      <c r="E21" s="48" t="str">
        <f t="shared" si="0"/>
        <v/>
      </c>
      <c r="F21" s="48">
        <f>IFERROR(SUMIFS(_TECH_Industry_Templates!$C:$C,_TECH_Industry_Templates!$A:$A,'Company Profile'!$B$9,_TECH_Industry_Templates!$B:$B,$A21),1)</f>
        <v>3</v>
      </c>
      <c r="G21" s="48">
        <f>IFERROR(SUMIFS(_TECH_Industry_Templates!$E:$E,_TECH_Industry_Templates!$A:$A,'Company Profile'!$B$9,_TECH_Industry_Templates!$B:$B,$A21),1)</f>
        <v>1.1499999999999999</v>
      </c>
      <c r="H21" s="48">
        <f>IFERROR(SUMIFS(_TECH_Industry_Templates!$F:$F,_TECH_Industry_Templates!$A:$A,'Company Profile'!$B$9,_TECH_Industry_Templates!$B:$B,$A21),0)</f>
        <v>3</v>
      </c>
      <c r="I21" s="48" t="str">
        <f t="shared" si="1"/>
        <v/>
      </c>
      <c r="J21" s="48" t="str">
        <f t="shared" si="2"/>
        <v/>
      </c>
      <c r="K21" s="48" t="str">
        <f t="shared" si="3"/>
        <v/>
      </c>
      <c r="L21" s="48" t="str">
        <f>IFERROR(ROUND(AVERAGE('Cyber Privacy'!$AJ$5:$AJ$38),2),"")</f>
        <v/>
      </c>
      <c r="M21" s="48" t="str">
        <f>IFERROR(ROUND(AVERAGE('Cyber Privacy'!$AK$5:$AK$38),2),"")</f>
        <v/>
      </c>
      <c r="N21" s="48">
        <f>IFERROR(INDEX(Dashboard!$J$5:$J$21,MATCH($A21,Dashboard!$A$5:$A$21,0))+INDEX(Dashboard!$K$5:$K$21,MATCH($A21,Dashboard!$A$5:$A$21,0)),"")</f>
        <v>0</v>
      </c>
    </row>
    <row r="22" spans="1:14">
      <c r="A22" s="74" t="s">
        <v>94</v>
      </c>
      <c r="B22" s="74" t="str">
        <f>IFERROR(IF(INDEX(Dashboard!$C$5:$C$21,MATCH($A22,Dashboard!$A$5:$A$21,0))=0,"",INDEX(Dashboard!$H$5:$H$21,MATCH($A22,Dashboard!$A$5:$A$21,0))),"")</f>
        <v/>
      </c>
      <c r="C22" s="74" t="str">
        <f>IFERROR(ROUND(AVERAGE('Quality Portfolio'!$AL$5:$AL$24),2),"")</f>
        <v/>
      </c>
      <c r="D22" s="74">
        <f>IFERROR(SUMIFS(_TECH_Industry_Templates!$D:$D,_TECH_Industry_Templates!$A:$A,'Company Profile'!$B$9,_TECH_Industry_Templates!$B:$B,$A22),"")</f>
        <v>4</v>
      </c>
      <c r="E22" s="74" t="str">
        <f t="shared" si="0"/>
        <v/>
      </c>
      <c r="F22" s="74">
        <f>IFERROR(SUMIFS(_TECH_Industry_Templates!$C:$C,_TECH_Industry_Templates!$A:$A,'Company Profile'!$B$9,_TECH_Industry_Templates!$B:$B,$A22),1)</f>
        <v>5</v>
      </c>
      <c r="G22" s="74">
        <f>IFERROR(SUMIFS(_TECH_Industry_Templates!$E:$E,_TECH_Industry_Templates!$A:$A,'Company Profile'!$B$9,_TECH_Industry_Templates!$B:$B,$A22),1)</f>
        <v>1.2</v>
      </c>
      <c r="H22" s="74">
        <f>IFERROR(SUMIFS(_TECH_Industry_Templates!$F:$F,_TECH_Industry_Templates!$A:$A,'Company Profile'!$B$9,_TECH_Industry_Templates!$B:$B,$A22),0)</f>
        <v>3</v>
      </c>
      <c r="I22" s="74" t="str">
        <f t="shared" si="1"/>
        <v/>
      </c>
      <c r="J22" s="74" t="str">
        <f t="shared" si="2"/>
        <v/>
      </c>
      <c r="K22" s="74" t="str">
        <f t="shared" si="3"/>
        <v/>
      </c>
      <c r="L22" s="74" t="str">
        <f>IFERROR(ROUND(AVERAGE('Quality Portfolio'!$AJ$5:$AJ$24),2),"")</f>
        <v/>
      </c>
      <c r="M22" s="74" t="str">
        <f>IFERROR(ROUND(AVERAGE('Quality Portfolio'!$AK$5:$AK$24),2),"")</f>
        <v/>
      </c>
      <c r="N22" s="74">
        <f>IFERROR(INDEX(Dashboard!$J$5:$J$21,MATCH($A22,Dashboard!$A$5:$A$21,0))+INDEX(Dashboard!$K$5:$K$21,MATCH($A22,Dashboard!$A$5:$A$21,0)),"")</f>
        <v>0</v>
      </c>
    </row>
  </sheetData>
  <mergeCells count="1">
    <mergeCell ref="A1:N1"/>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drawing r:id="rId1"/>
</worksheet>
</file>

<file path=xl/worksheets/sheet1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D00-000000000000}">
  <sheetPr>
    <tabColor rgb="FF548235"/>
  </sheetPr>
  <dimension ref="A1:P41"/>
  <sheetViews>
    <sheetView workbookViewId="0"/>
  </sheetViews>
  <sheetFormatPr defaultRowHeight="14.25"/>
  <cols>
    <col min="1" max="1" width="20" customWidth="1"/>
    <col min="12" max="15" width="13" hidden="1" customWidth="1"/>
  </cols>
  <sheetData>
    <row r="1" spans="1:16" ht="18">
      <c r="A1" s="99" t="s">
        <v>793</v>
      </c>
    </row>
    <row r="2" spans="1:16">
      <c r="A2" s="100" t="s">
        <v>794</v>
      </c>
    </row>
    <row r="4" spans="1:16" ht="15">
      <c r="O4" s="107" t="s">
        <v>795</v>
      </c>
    </row>
    <row r="5" spans="1:16">
      <c r="O5" t="s">
        <v>796</v>
      </c>
      <c r="P5" s="147">
        <v>0.5</v>
      </c>
    </row>
    <row r="6" spans="1:16">
      <c r="O6" t="s">
        <v>797</v>
      </c>
      <c r="P6" s="147">
        <v>0.45</v>
      </c>
    </row>
    <row r="7" spans="1:16">
      <c r="O7" t="s">
        <v>798</v>
      </c>
      <c r="P7" s="147">
        <v>0.7</v>
      </c>
    </row>
    <row r="9" spans="1:16" ht="38.25">
      <c r="A9" s="110" t="s">
        <v>36</v>
      </c>
      <c r="B9" s="110" t="s">
        <v>799</v>
      </c>
      <c r="C9" s="110" t="s">
        <v>800</v>
      </c>
      <c r="D9" s="110" t="s">
        <v>801</v>
      </c>
      <c r="E9" s="110" t="s">
        <v>802</v>
      </c>
      <c r="F9" s="110" t="s">
        <v>803</v>
      </c>
      <c r="G9" s="110" t="s">
        <v>708</v>
      </c>
      <c r="H9" s="110" t="s">
        <v>804</v>
      </c>
      <c r="I9" s="110" t="s">
        <v>805</v>
      </c>
      <c r="J9" s="110" t="s">
        <v>806</v>
      </c>
      <c r="K9" s="110" t="s">
        <v>807</v>
      </c>
      <c r="L9" s="110" t="s">
        <v>808</v>
      </c>
      <c r="M9" s="110" t="s">
        <v>809</v>
      </c>
    </row>
    <row r="10" spans="1:16" ht="15">
      <c r="A10" s="118" t="str">
        <f>Dashboard!$A$5</f>
        <v>Company Geography</v>
      </c>
      <c r="B10" s="11" t="str">
        <f>IF(SUMPRODUCT(('Company Geography'!$H$5:$H$24&lt;&gt;"")*('Company Geography'!$H$5:$H$24&lt;&gt;"N/A")*'Company Geography'!$G$5:$G$24)=0,"",Dashboard!$H$5)</f>
        <v/>
      </c>
      <c r="C10" s="11" t="str">
        <f>IF(SUMPRODUCT(('Company Geography'!$H$5:$H$24&lt;&gt;"")*('Company Geography'!$H$5:$H$24&lt;&gt;"N/A")*'Company Geography'!$G$5:$G$24)=0,"",ROUND(SUMPRODUCT(('Company Geography'!$H$5:$H$24&lt;&gt;"")*('Company Geography'!$H$5:$H$24&lt;&gt;"N/A")*'Company Geography'!$G$5:$G$24*'Company Geography'!$AS$5:$AS$24)/SUMPRODUCT(('Company Geography'!$H$5:$H$24&lt;&gt;"")*('Company Geography'!$H$5:$H$24&lt;&gt;"N/A")*'Company Geography'!$G$5:$G$24),2))</f>
        <v/>
      </c>
      <c r="D10" t="str">
        <f>IF(SUMPRODUCT(('Company Geography'!$H$5:$H$24&lt;&gt;"")*('Company Geography'!$H$5:$H$24&lt;&gt;"N/A")*'Company Geography'!$G$5:$G$24)=0,"",ROUND(SUMPRODUCT(('Company Geography'!$H$5:$H$24&lt;&gt;"")*('Company Geography'!$H$5:$H$24&lt;&gt;"N/A")*'Company Geography'!$G$5:$G$24*'Company Geography'!$AT$5:$AT$24)/SUMPRODUCT(('Company Geography'!$H$5:$H$24&lt;&gt;"")*('Company Geography'!$H$5:$H$24&lt;&gt;"N/A")*'Company Geography'!$G$5:$G$24)*100,0))</f>
        <v/>
      </c>
      <c r="E10" s="128" t="str">
        <f t="shared" ref="E10:E26" si="0">IF($B10="","",IF(AND($B10&gt;=4,$D10&lt;=80),"Validate",""))</f>
        <v/>
      </c>
      <c r="F10" s="11">
        <f>IFERROR(SUMIFS(_TECH_Industry_Templates!$D:$D,_TECH_Industry_Templates!$A:$A,'Company Profile'!$B$9,_TECH_Industry_Templates!$B:$B,$A10),"")</f>
        <v>3.5</v>
      </c>
      <c r="G10" s="11" t="str">
        <f t="shared" ref="G10:G26" si="1">IF(OR($C10="",$F10=""),"",MAX(0,ROUND($F10-$C10,2)))</f>
        <v/>
      </c>
      <c r="H10" s="11">
        <f>IFERROR(SUMIFS(_TECH_Industry_Templates!$E:$E,_TECH_Industry_Templates!$A:$A,'Company Profile'!$B$9,_TECH_Industry_Templates!$B:$B,$A10),1)</f>
        <v>1</v>
      </c>
      <c r="I10" s="123">
        <f>IFERROR(INDEX('AHP Domain Weights'!$H:$H,MATCH($A10,'AHP Domain Weights'!$A:$A,0)),0)</f>
        <v>4.9255714285714278E-2</v>
      </c>
      <c r="J10" s="11" t="str">
        <f t="shared" ref="J10:J26" si="2">IF($G10="","",ROUND($G10*$H10*$I10*100,2))</f>
        <v/>
      </c>
      <c r="K10" t="str">
        <f t="shared" ref="K10:K26" si="3">IF($C10="","",IF($C10&lt;$F10,"BREACH","OK"))</f>
        <v/>
      </c>
      <c r="L10" s="11">
        <f t="shared" ref="L10:L26" si="4">IF($C10="",0,$C10/5)</f>
        <v>0</v>
      </c>
      <c r="M10">
        <f t="shared" ref="M10:M26" si="5">IF($C10="",0,1)</f>
        <v>0</v>
      </c>
      <c r="N10">
        <f t="shared" ref="N10:N26" si="6">IF($G10="",0,$G10)</f>
        <v>0</v>
      </c>
      <c r="O10">
        <f t="shared" ref="O10:O26" si="7">IF($D10="",0,$D10)</f>
        <v>0</v>
      </c>
    </row>
    <row r="11" spans="1:16" ht="15">
      <c r="A11" s="118" t="str">
        <f>Dashboard!$A$6</f>
        <v>Strategy GTM</v>
      </c>
      <c r="B11" s="11" t="str">
        <f>IF(SUMPRODUCT(('Strategy GTM'!$H$5:$H$28&lt;&gt;"")*('Strategy GTM'!$H$5:$H$28&lt;&gt;"N/A")*'Strategy GTM'!$G$5:$G$28)=0,"",Dashboard!$H$6)</f>
        <v/>
      </c>
      <c r="C11" s="11" t="str">
        <f>IF(SUMPRODUCT(('Strategy GTM'!$H$5:$H$28&lt;&gt;"")*('Strategy GTM'!$H$5:$H$28&lt;&gt;"N/A")*'Strategy GTM'!$G$5:$G$28)=0,"",ROUND(SUMPRODUCT(('Strategy GTM'!$H$5:$H$28&lt;&gt;"")*('Strategy GTM'!$H$5:$H$28&lt;&gt;"N/A")*'Strategy GTM'!$G$5:$G$28*'Strategy GTM'!$AS$5:$AS$28)/SUMPRODUCT(('Strategy GTM'!$H$5:$H$28&lt;&gt;"")*('Strategy GTM'!$H$5:$H$28&lt;&gt;"N/A")*'Strategy GTM'!$G$5:$G$28),2))</f>
        <v/>
      </c>
      <c r="D11" t="str">
        <f>IF(SUMPRODUCT(('Strategy GTM'!$H$5:$H$28&lt;&gt;"")*('Strategy GTM'!$H$5:$H$28&lt;&gt;"N/A")*'Strategy GTM'!$G$5:$G$28)=0,"",ROUND(SUMPRODUCT(('Strategy GTM'!$H$5:$H$28&lt;&gt;"")*('Strategy GTM'!$H$5:$H$28&lt;&gt;"N/A")*'Strategy GTM'!$G$5:$G$28*'Strategy GTM'!$AT$5:$AT$28)/SUMPRODUCT(('Strategy GTM'!$H$5:$H$28&lt;&gt;"")*('Strategy GTM'!$H$5:$H$28&lt;&gt;"N/A")*'Strategy GTM'!$G$5:$G$28)*100,0))</f>
        <v/>
      </c>
      <c r="E11" s="128" t="str">
        <f t="shared" si="0"/>
        <v/>
      </c>
      <c r="F11" s="11">
        <f>IFERROR(SUMIFS(_TECH_Industry_Templates!$D:$D,_TECH_Industry_Templates!$A:$A,'Company Profile'!$B$9,_TECH_Industry_Templates!$B:$B,$A11),"")</f>
        <v>3.5</v>
      </c>
      <c r="G11" s="11" t="str">
        <f t="shared" si="1"/>
        <v/>
      </c>
      <c r="H11" s="11">
        <f>IFERROR(SUMIFS(_TECH_Industry_Templates!$E:$E,_TECH_Industry_Templates!$A:$A,'Company Profile'!$B$9,_TECH_Industry_Templates!$B:$B,$A11),1)</f>
        <v>1</v>
      </c>
      <c r="I11" s="123">
        <f>IFERROR(INDEX('AHP Domain Weights'!$H:$H,MATCH($A11,'AHP Domain Weights'!$A:$A,0)),0)</f>
        <v>4.4800714285714284E-2</v>
      </c>
      <c r="J11" s="11" t="str">
        <f t="shared" si="2"/>
        <v/>
      </c>
      <c r="K11" t="str">
        <f t="shared" si="3"/>
        <v/>
      </c>
      <c r="L11" s="11">
        <f t="shared" si="4"/>
        <v>0</v>
      </c>
      <c r="M11">
        <f t="shared" si="5"/>
        <v>0</v>
      </c>
      <c r="N11">
        <f t="shared" si="6"/>
        <v>0</v>
      </c>
      <c r="O11">
        <f t="shared" si="7"/>
        <v>0</v>
      </c>
    </row>
    <row r="12" spans="1:16" ht="15">
      <c r="A12" s="118" t="str">
        <f>Dashboard!$A$7</f>
        <v>Governance Crisis</v>
      </c>
      <c r="B12" s="11" t="str">
        <f>IF(SUMPRODUCT(('Governance Crisis'!$H$5:$H$23&lt;&gt;"")*('Governance Crisis'!$H$5:$H$23&lt;&gt;"N/A")*'Governance Crisis'!$G$5:$G$23)=0,"",Dashboard!$H$7)</f>
        <v/>
      </c>
      <c r="C12" s="11" t="str">
        <f>IF(SUMPRODUCT(('Governance Crisis'!$H$5:$H$23&lt;&gt;"")*('Governance Crisis'!$H$5:$H$23&lt;&gt;"N/A")*'Governance Crisis'!$G$5:$G$23)=0,"",ROUND(SUMPRODUCT(('Governance Crisis'!$H$5:$H$23&lt;&gt;"")*('Governance Crisis'!$H$5:$H$23&lt;&gt;"N/A")*'Governance Crisis'!$G$5:$G$23*'Governance Crisis'!$AS$5:$AS$23)/SUMPRODUCT(('Governance Crisis'!$H$5:$H$23&lt;&gt;"")*('Governance Crisis'!$H$5:$H$23&lt;&gt;"N/A")*'Governance Crisis'!$G$5:$G$23),2))</f>
        <v/>
      </c>
      <c r="D12" t="str">
        <f>IF(SUMPRODUCT(('Governance Crisis'!$H$5:$H$23&lt;&gt;"")*('Governance Crisis'!$H$5:$H$23&lt;&gt;"N/A")*'Governance Crisis'!$G$5:$G$23)=0,"",ROUND(SUMPRODUCT(('Governance Crisis'!$H$5:$H$23&lt;&gt;"")*('Governance Crisis'!$H$5:$H$23&lt;&gt;"N/A")*'Governance Crisis'!$G$5:$G$23*'Governance Crisis'!$AT$5:$AT$23)/SUMPRODUCT(('Governance Crisis'!$H$5:$H$23&lt;&gt;"")*('Governance Crisis'!$H$5:$H$23&lt;&gt;"N/A")*'Governance Crisis'!$G$5:$G$23)*100,0))</f>
        <v/>
      </c>
      <c r="E12" s="128" t="str">
        <f t="shared" si="0"/>
        <v/>
      </c>
      <c r="F12" s="11">
        <f>IFERROR(SUMIFS(_TECH_Industry_Templates!$D:$D,_TECH_Industry_Templates!$A:$A,'Company Profile'!$B$9,_TECH_Industry_Templates!$B:$B,$A12),"")</f>
        <v>4</v>
      </c>
      <c r="G12" s="11" t="str">
        <f t="shared" si="1"/>
        <v/>
      </c>
      <c r="H12" s="11">
        <f>IFERROR(SUMIFS(_TECH_Industry_Templates!$E:$E,_TECH_Industry_Templates!$A:$A,'Company Profile'!$B$9,_TECH_Industry_Templates!$B:$B,$A12),1)</f>
        <v>1.1499999999999999</v>
      </c>
      <c r="I12" s="123">
        <f>IFERROR(INDEX('AHP Domain Weights'!$H:$H,MATCH($A12,'AHP Domain Weights'!$A:$A,0)),0)</f>
        <v>4.8617532467532462E-2</v>
      </c>
      <c r="J12" s="11" t="str">
        <f t="shared" si="2"/>
        <v/>
      </c>
      <c r="K12" t="str">
        <f t="shared" si="3"/>
        <v/>
      </c>
      <c r="L12" s="11">
        <f t="shared" si="4"/>
        <v>0</v>
      </c>
      <c r="M12">
        <f t="shared" si="5"/>
        <v>0</v>
      </c>
      <c r="N12">
        <f t="shared" si="6"/>
        <v>0</v>
      </c>
      <c r="O12">
        <f t="shared" si="7"/>
        <v>0</v>
      </c>
    </row>
    <row r="13" spans="1:16" ht="15">
      <c r="A13" s="118" t="str">
        <f>Dashboard!$A$8</f>
        <v>HR Workforce</v>
      </c>
      <c r="B13" s="11" t="str">
        <f>IF(SUMPRODUCT(('HR Workforce'!$H$5:$H$28&lt;&gt;"")*('HR Workforce'!$H$5:$H$28&lt;&gt;"N/A")*'HR Workforce'!$G$5:$G$28)=0,"",Dashboard!$H$8)</f>
        <v/>
      </c>
      <c r="C13" s="11" t="str">
        <f>IF(SUMPRODUCT(('HR Workforce'!$H$5:$H$28&lt;&gt;"")*('HR Workforce'!$H$5:$H$28&lt;&gt;"N/A")*'HR Workforce'!$G$5:$G$28)=0,"",ROUND(SUMPRODUCT(('HR Workforce'!$H$5:$H$28&lt;&gt;"")*('HR Workforce'!$H$5:$H$28&lt;&gt;"N/A")*'HR Workforce'!$G$5:$G$28*'HR Workforce'!$AS$5:$AS$28)/SUMPRODUCT(('HR Workforce'!$H$5:$H$28&lt;&gt;"")*('HR Workforce'!$H$5:$H$28&lt;&gt;"N/A")*'HR Workforce'!$G$5:$G$28),2))</f>
        <v/>
      </c>
      <c r="D13" t="str">
        <f>IF(SUMPRODUCT(('HR Workforce'!$H$5:$H$28&lt;&gt;"")*('HR Workforce'!$H$5:$H$28&lt;&gt;"N/A")*'HR Workforce'!$G$5:$G$28)=0,"",ROUND(SUMPRODUCT(('HR Workforce'!$H$5:$H$28&lt;&gt;"")*('HR Workforce'!$H$5:$H$28&lt;&gt;"N/A")*'HR Workforce'!$G$5:$G$28*'HR Workforce'!$AT$5:$AT$28)/SUMPRODUCT(('HR Workforce'!$H$5:$H$28&lt;&gt;"")*('HR Workforce'!$H$5:$H$28&lt;&gt;"N/A")*'HR Workforce'!$G$5:$G$28)*100,0))</f>
        <v/>
      </c>
      <c r="E13" s="128" t="str">
        <f t="shared" si="0"/>
        <v/>
      </c>
      <c r="F13" s="11">
        <f>IFERROR(SUMIFS(_TECH_Industry_Templates!$D:$D,_TECH_Industry_Templates!$A:$A,'Company Profile'!$B$9,_TECH_Industry_Templates!$B:$B,$A13),"")</f>
        <v>4</v>
      </c>
      <c r="G13" s="11" t="str">
        <f t="shared" si="1"/>
        <v/>
      </c>
      <c r="H13" s="11">
        <f>IFERROR(SUMIFS(_TECH_Industry_Templates!$E:$E,_TECH_Industry_Templates!$A:$A,'Company Profile'!$B$9,_TECH_Industry_Templates!$B:$B,$A13),1)</f>
        <v>1.25</v>
      </c>
      <c r="I13" s="123">
        <f>IFERROR(INDEX('AHP Domain Weights'!$H:$H,MATCH($A13,'AHP Domain Weights'!$A:$A,0)),0)</f>
        <v>8.2092857142857134E-2</v>
      </c>
      <c r="J13" s="11" t="str">
        <f t="shared" si="2"/>
        <v/>
      </c>
      <c r="K13" t="str">
        <f t="shared" si="3"/>
        <v/>
      </c>
      <c r="L13" s="11">
        <f t="shared" si="4"/>
        <v>0</v>
      </c>
      <c r="M13">
        <f t="shared" si="5"/>
        <v>0</v>
      </c>
      <c r="N13">
        <f t="shared" si="6"/>
        <v>0</v>
      </c>
      <c r="O13">
        <f t="shared" si="7"/>
        <v>0</v>
      </c>
    </row>
    <row r="14" spans="1:16" ht="15">
      <c r="A14" s="118" t="str">
        <f>Dashboard!$A$9</f>
        <v>Finance Procurement</v>
      </c>
      <c r="B14" s="11" t="str">
        <f>IF(SUMPRODUCT(('Finance Procurement'!$H$5:$H$28&lt;&gt;"")*('Finance Procurement'!$H$5:$H$28&lt;&gt;"N/A")*'Finance Procurement'!$G$5:$G$28)=0,"",Dashboard!$H$9)</f>
        <v/>
      </c>
      <c r="C14" s="11" t="str">
        <f>IF(SUMPRODUCT(('Finance Procurement'!$H$5:$H$28&lt;&gt;"")*('Finance Procurement'!$H$5:$H$28&lt;&gt;"N/A")*'Finance Procurement'!$G$5:$G$28)=0,"",ROUND(SUMPRODUCT(('Finance Procurement'!$H$5:$H$28&lt;&gt;"")*('Finance Procurement'!$H$5:$H$28&lt;&gt;"N/A")*'Finance Procurement'!$G$5:$G$28*'Finance Procurement'!$AS$5:$AS$28)/SUMPRODUCT(('Finance Procurement'!$H$5:$H$28&lt;&gt;"")*('Finance Procurement'!$H$5:$H$28&lt;&gt;"N/A")*'Finance Procurement'!$G$5:$G$28),2))</f>
        <v/>
      </c>
      <c r="D14" t="str">
        <f>IF(SUMPRODUCT(('Finance Procurement'!$H$5:$H$28&lt;&gt;"")*('Finance Procurement'!$H$5:$H$28&lt;&gt;"N/A")*'Finance Procurement'!$G$5:$G$28)=0,"",ROUND(SUMPRODUCT(('Finance Procurement'!$H$5:$H$28&lt;&gt;"")*('Finance Procurement'!$H$5:$H$28&lt;&gt;"N/A")*'Finance Procurement'!$G$5:$G$28*'Finance Procurement'!$AT$5:$AT$28)/SUMPRODUCT(('Finance Procurement'!$H$5:$H$28&lt;&gt;"")*('Finance Procurement'!$H$5:$H$28&lt;&gt;"N/A")*'Finance Procurement'!$G$5:$G$28)*100,0))</f>
        <v/>
      </c>
      <c r="E14" s="128" t="str">
        <f t="shared" si="0"/>
        <v/>
      </c>
      <c r="F14" s="11">
        <f>IFERROR(SUMIFS(_TECH_Industry_Templates!$D:$D,_TECH_Industry_Templates!$A:$A,'Company Profile'!$B$9,_TECH_Industry_Templates!$B:$B,$A14),"")</f>
        <v>3.5</v>
      </c>
      <c r="G14" s="11" t="str">
        <f t="shared" si="1"/>
        <v/>
      </c>
      <c r="H14" s="11">
        <f>IFERROR(SUMIFS(_TECH_Industry_Templates!$E:$E,_TECH_Industry_Templates!$A:$A,'Company Profile'!$B$9,_TECH_Industry_Templates!$B:$B,$A14),1)</f>
        <v>1</v>
      </c>
      <c r="I14" s="123">
        <f>IFERROR(INDEX('AHP Domain Weights'!$H:$H,MATCH($A14,'AHP Domain Weights'!$A:$A,0)),0)</f>
        <v>7.678571428571429E-2</v>
      </c>
      <c r="J14" s="11" t="str">
        <f t="shared" si="2"/>
        <v/>
      </c>
      <c r="K14" t="str">
        <f t="shared" si="3"/>
        <v/>
      </c>
      <c r="L14" s="11">
        <f t="shared" si="4"/>
        <v>0</v>
      </c>
      <c r="M14">
        <f t="shared" si="5"/>
        <v>0</v>
      </c>
      <c r="N14">
        <f t="shared" si="6"/>
        <v>0</v>
      </c>
      <c r="O14">
        <f t="shared" si="7"/>
        <v>0</v>
      </c>
    </row>
    <row r="15" spans="1:16" ht="15">
      <c r="A15" s="118" t="str">
        <f>Dashboard!$A$10</f>
        <v>Legal Risk</v>
      </c>
      <c r="B15" s="11" t="str">
        <f>IF(SUMPRODUCT(('Legal Risk'!$H$5:$H$24&lt;&gt;"")*('Legal Risk'!$H$5:$H$24&lt;&gt;"N/A")*'Legal Risk'!$G$5:$G$24)=0,"",Dashboard!$H$10)</f>
        <v/>
      </c>
      <c r="C15" s="11" t="str">
        <f>IF(SUMPRODUCT(('Legal Risk'!$H$5:$H$24&lt;&gt;"")*('Legal Risk'!$H$5:$H$24&lt;&gt;"N/A")*'Legal Risk'!$G$5:$G$24)=0,"",ROUND(SUMPRODUCT(('Legal Risk'!$H$5:$H$24&lt;&gt;"")*('Legal Risk'!$H$5:$H$24&lt;&gt;"N/A")*'Legal Risk'!$G$5:$G$24*'Legal Risk'!$AS$5:$AS$24)/SUMPRODUCT(('Legal Risk'!$H$5:$H$24&lt;&gt;"")*('Legal Risk'!$H$5:$H$24&lt;&gt;"N/A")*'Legal Risk'!$G$5:$G$24),2))</f>
        <v/>
      </c>
      <c r="D15" t="str">
        <f>IF(SUMPRODUCT(('Legal Risk'!$H$5:$H$24&lt;&gt;"")*('Legal Risk'!$H$5:$H$24&lt;&gt;"N/A")*'Legal Risk'!$G$5:$G$24)=0,"",ROUND(SUMPRODUCT(('Legal Risk'!$H$5:$H$24&lt;&gt;"")*('Legal Risk'!$H$5:$H$24&lt;&gt;"N/A")*'Legal Risk'!$G$5:$G$24*'Legal Risk'!$AT$5:$AT$24)/SUMPRODUCT(('Legal Risk'!$H$5:$H$24&lt;&gt;"")*('Legal Risk'!$H$5:$H$24&lt;&gt;"N/A")*'Legal Risk'!$G$5:$G$24)*100,0))</f>
        <v/>
      </c>
      <c r="E15" s="128" t="str">
        <f t="shared" si="0"/>
        <v/>
      </c>
      <c r="F15" s="11">
        <f>IFERROR(SUMIFS(_TECH_Industry_Templates!$D:$D,_TECH_Industry_Templates!$A:$A,'Company Profile'!$B$9,_TECH_Industry_Templates!$B:$B,$A15),"")</f>
        <v>3.5</v>
      </c>
      <c r="G15" s="11" t="str">
        <f t="shared" si="1"/>
        <v/>
      </c>
      <c r="H15" s="11">
        <f>IFERROR(SUMIFS(_TECH_Industry_Templates!$E:$E,_TECH_Industry_Templates!$A:$A,'Company Profile'!$B$9,_TECH_Industry_Templates!$B:$B,$A15),1)</f>
        <v>1</v>
      </c>
      <c r="I15" s="123">
        <f>IFERROR(INDEX('AHP Domain Weights'!$H:$H,MATCH($A15,'AHP Domain Weights'!$A:$A,0)),0)</f>
        <v>4.8617532467532462E-2</v>
      </c>
      <c r="J15" s="11" t="str">
        <f t="shared" si="2"/>
        <v/>
      </c>
      <c r="K15" t="str">
        <f t="shared" si="3"/>
        <v/>
      </c>
      <c r="L15" s="11">
        <f t="shared" si="4"/>
        <v>0</v>
      </c>
      <c r="M15">
        <f t="shared" si="5"/>
        <v>0</v>
      </c>
      <c r="N15">
        <f t="shared" si="6"/>
        <v>0</v>
      </c>
      <c r="O15">
        <f t="shared" si="7"/>
        <v>0</v>
      </c>
    </row>
    <row r="16" spans="1:16" ht="15">
      <c r="A16" s="118" t="str">
        <f>Dashboard!$A$11</f>
        <v>Physical Safety</v>
      </c>
      <c r="B16" s="11" t="str">
        <f>IF(SUMPRODUCT(('Physical Safety'!$H$5:$H$32&lt;&gt;"")*('Physical Safety'!$H$5:$H$32&lt;&gt;"N/A")*'Physical Safety'!$G$5:$G$32)=0,"",Dashboard!$H$11)</f>
        <v/>
      </c>
      <c r="C16" s="11" t="str">
        <f>IF(SUMPRODUCT(('Physical Safety'!$H$5:$H$32&lt;&gt;"")*('Physical Safety'!$H$5:$H$32&lt;&gt;"N/A")*'Physical Safety'!$G$5:$G$32)=0,"",ROUND(SUMPRODUCT(('Physical Safety'!$H$5:$H$32&lt;&gt;"")*('Physical Safety'!$H$5:$H$32&lt;&gt;"N/A")*'Physical Safety'!$G$5:$G$32*'Physical Safety'!$AS$5:$AS$32)/SUMPRODUCT(('Physical Safety'!$H$5:$H$32&lt;&gt;"")*('Physical Safety'!$H$5:$H$32&lt;&gt;"N/A")*'Physical Safety'!$G$5:$G$32),2))</f>
        <v/>
      </c>
      <c r="D16" t="str">
        <f>IF(SUMPRODUCT(('Physical Safety'!$H$5:$H$32&lt;&gt;"")*('Physical Safety'!$H$5:$H$32&lt;&gt;"N/A")*'Physical Safety'!$G$5:$G$32)=0,"",ROUND(SUMPRODUCT(('Physical Safety'!$H$5:$H$32&lt;&gt;"")*('Physical Safety'!$H$5:$H$32&lt;&gt;"N/A")*'Physical Safety'!$G$5:$G$32*'Physical Safety'!$AT$5:$AT$32)/SUMPRODUCT(('Physical Safety'!$H$5:$H$32&lt;&gt;"")*('Physical Safety'!$H$5:$H$32&lt;&gt;"N/A")*'Physical Safety'!$G$5:$G$32)*100,0))</f>
        <v/>
      </c>
      <c r="E16" s="128" t="str">
        <f t="shared" si="0"/>
        <v/>
      </c>
      <c r="F16" s="11">
        <f>IFERROR(SUMIFS(_TECH_Industry_Templates!$D:$D,_TECH_Industry_Templates!$A:$A,'Company Profile'!$B$9,_TECH_Industry_Templates!$B:$B,$A16),"")</f>
        <v>2.8</v>
      </c>
      <c r="G16" s="11" t="str">
        <f t="shared" si="1"/>
        <v/>
      </c>
      <c r="H16" s="11">
        <f>IFERROR(SUMIFS(_TECH_Industry_Templates!$E:$E,_TECH_Industry_Templates!$A:$A,'Company Profile'!$B$9,_TECH_Industry_Templates!$B:$B,$A16),1)</f>
        <v>0.9</v>
      </c>
      <c r="I16" s="123">
        <f>IFERROR(INDEX('AHP Domain Weights'!$H:$H,MATCH($A16,'AHP Domain Weights'!$A:$A,0)),0)</f>
        <v>3.2837142857142856E-2</v>
      </c>
      <c r="J16" s="11" t="str">
        <f t="shared" si="2"/>
        <v/>
      </c>
      <c r="K16" t="str">
        <f t="shared" si="3"/>
        <v/>
      </c>
      <c r="L16" s="11">
        <f t="shared" si="4"/>
        <v>0</v>
      </c>
      <c r="M16">
        <f t="shared" si="5"/>
        <v>0</v>
      </c>
      <c r="N16">
        <f t="shared" si="6"/>
        <v>0</v>
      </c>
      <c r="O16">
        <f t="shared" si="7"/>
        <v>0</v>
      </c>
    </row>
    <row r="17" spans="1:15" ht="15">
      <c r="A17" s="118" t="str">
        <f>Dashboard!$A$12</f>
        <v>Delivery Ops</v>
      </c>
      <c r="B17" s="11" t="str">
        <f>IF(SUMPRODUCT(('Delivery Ops'!$H$5:$H$28&lt;&gt;"")*('Delivery Ops'!$H$5:$H$28&lt;&gt;"N/A")*'Delivery Ops'!$G$5:$G$28)=0,"",Dashboard!$H$12)</f>
        <v/>
      </c>
      <c r="C17" s="11" t="str">
        <f>IF(SUMPRODUCT(('Delivery Ops'!$H$5:$H$28&lt;&gt;"")*('Delivery Ops'!$H$5:$H$28&lt;&gt;"N/A")*'Delivery Ops'!$G$5:$G$28)=0,"",ROUND(SUMPRODUCT(('Delivery Ops'!$H$5:$H$28&lt;&gt;"")*('Delivery Ops'!$H$5:$H$28&lt;&gt;"N/A")*'Delivery Ops'!$G$5:$G$28*'Delivery Ops'!$AS$5:$AS$28)/SUMPRODUCT(('Delivery Ops'!$H$5:$H$28&lt;&gt;"")*('Delivery Ops'!$H$5:$H$28&lt;&gt;"N/A")*'Delivery Ops'!$G$5:$G$28),2))</f>
        <v/>
      </c>
      <c r="D17" t="str">
        <f>IF(SUMPRODUCT(('Delivery Ops'!$H$5:$H$28&lt;&gt;"")*('Delivery Ops'!$H$5:$H$28&lt;&gt;"N/A")*'Delivery Ops'!$G$5:$G$28)=0,"",ROUND(SUMPRODUCT(('Delivery Ops'!$H$5:$H$28&lt;&gt;"")*('Delivery Ops'!$H$5:$H$28&lt;&gt;"N/A")*'Delivery Ops'!$G$5:$G$28*'Delivery Ops'!$AT$5:$AT$28)/SUMPRODUCT(('Delivery Ops'!$H$5:$H$28&lt;&gt;"")*('Delivery Ops'!$H$5:$H$28&lt;&gt;"N/A")*'Delivery Ops'!$G$5:$G$28)*100,0))</f>
        <v/>
      </c>
      <c r="E17" s="128" t="str">
        <f t="shared" si="0"/>
        <v/>
      </c>
      <c r="F17" s="11">
        <f>IFERROR(SUMIFS(_TECH_Industry_Templates!$D:$D,_TECH_Industry_Templates!$A:$A,'Company Profile'!$B$9,_TECH_Industry_Templates!$B:$B,$A17),"")</f>
        <v>4</v>
      </c>
      <c r="G17" s="11" t="str">
        <f t="shared" si="1"/>
        <v/>
      </c>
      <c r="H17" s="11">
        <f>IFERROR(SUMIFS(_TECH_Industry_Templates!$E:$E,_TECH_Industry_Templates!$A:$A,'Company Profile'!$B$9,_TECH_Industry_Templates!$B:$B,$A17),1)</f>
        <v>1.25</v>
      </c>
      <c r="I17" s="123">
        <f>IFERROR(INDEX('AHP Domain Weights'!$H:$H,MATCH($A17,'AHP Domain Weights'!$A:$A,0)),0)</f>
        <v>0.10569841269841271</v>
      </c>
      <c r="J17" s="11" t="str">
        <f t="shared" si="2"/>
        <v/>
      </c>
      <c r="K17" t="str">
        <f t="shared" si="3"/>
        <v/>
      </c>
      <c r="L17" s="11">
        <f t="shared" si="4"/>
        <v>0</v>
      </c>
      <c r="M17">
        <f t="shared" si="5"/>
        <v>0</v>
      </c>
      <c r="N17">
        <f t="shared" si="6"/>
        <v>0</v>
      </c>
      <c r="O17">
        <f t="shared" si="7"/>
        <v>0</v>
      </c>
    </row>
    <row r="18" spans="1:15" ht="15">
      <c r="A18" s="118" t="str">
        <f>Dashboard!$A$13</f>
        <v>Supply Chain</v>
      </c>
      <c r="B18" s="11" t="str">
        <f>IF(SUMPRODUCT(('Supply Chain'!$H$5:$H$29&lt;&gt;"")*('Supply Chain'!$H$5:$H$29&lt;&gt;"N/A")*'Supply Chain'!$G$5:$G$29)=0,"",Dashboard!$H$13)</f>
        <v/>
      </c>
      <c r="C18" s="11" t="str">
        <f>IF(SUMPRODUCT(('Supply Chain'!$H$5:$H$29&lt;&gt;"")*('Supply Chain'!$H$5:$H$29&lt;&gt;"N/A")*'Supply Chain'!$G$5:$G$29)=0,"",ROUND(SUMPRODUCT(('Supply Chain'!$H$5:$H$29&lt;&gt;"")*('Supply Chain'!$H$5:$H$29&lt;&gt;"N/A")*'Supply Chain'!$G$5:$G$29*'Supply Chain'!$AS$5:$AS$29)/SUMPRODUCT(('Supply Chain'!$H$5:$H$29&lt;&gt;"")*('Supply Chain'!$H$5:$H$29&lt;&gt;"N/A")*'Supply Chain'!$G$5:$G$29),2))</f>
        <v/>
      </c>
      <c r="D18" t="str">
        <f>IF(SUMPRODUCT(('Supply Chain'!$H$5:$H$29&lt;&gt;"")*('Supply Chain'!$H$5:$H$29&lt;&gt;"N/A")*'Supply Chain'!$G$5:$G$29)=0,"",ROUND(SUMPRODUCT(('Supply Chain'!$H$5:$H$29&lt;&gt;"")*('Supply Chain'!$H$5:$H$29&lt;&gt;"N/A")*'Supply Chain'!$G$5:$G$29*'Supply Chain'!$AT$5:$AT$29)/SUMPRODUCT(('Supply Chain'!$H$5:$H$29&lt;&gt;"")*('Supply Chain'!$H$5:$H$29&lt;&gt;"N/A")*'Supply Chain'!$G$5:$G$29)*100,0))</f>
        <v/>
      </c>
      <c r="E18" s="128" t="str">
        <f t="shared" si="0"/>
        <v/>
      </c>
      <c r="F18" s="11">
        <f>IFERROR(SUMIFS(_TECH_Industry_Templates!$D:$D,_TECH_Industry_Templates!$A:$A,'Company Profile'!$B$9,_TECH_Industry_Templates!$B:$B,$A18),"")</f>
        <v>3.5</v>
      </c>
      <c r="G18" s="11" t="str">
        <f t="shared" si="1"/>
        <v/>
      </c>
      <c r="H18" s="11">
        <f>IFERROR(SUMIFS(_TECH_Industry_Templates!$E:$E,_TECH_Industry_Templates!$A:$A,'Company Profile'!$B$9,_TECH_Industry_Templates!$B:$B,$A18),1)</f>
        <v>1</v>
      </c>
      <c r="I18" s="123">
        <f>IFERROR(INDEX('AHP Domain Weights'!$H:$H,MATCH($A18,'AHP Domain Weights'!$A:$A,0)),0)</f>
        <v>6.3419047619047611E-2</v>
      </c>
      <c r="J18" s="11" t="str">
        <f t="shared" si="2"/>
        <v/>
      </c>
      <c r="K18" t="str">
        <f t="shared" si="3"/>
        <v/>
      </c>
      <c r="L18" s="11">
        <f t="shared" si="4"/>
        <v>0</v>
      </c>
      <c r="M18">
        <f t="shared" si="5"/>
        <v>0</v>
      </c>
      <c r="N18">
        <f t="shared" si="6"/>
        <v>0</v>
      </c>
      <c r="O18">
        <f t="shared" si="7"/>
        <v>0</v>
      </c>
    </row>
    <row r="19" spans="1:15" ht="15">
      <c r="A19" s="118" t="str">
        <f>Dashboard!$A$14</f>
        <v>Manufacturing MES</v>
      </c>
      <c r="B19" s="11" t="str">
        <f>IF(SUMPRODUCT(('Manufacturing MES'!$H$5:$H$32&lt;&gt;"")*('Manufacturing MES'!$H$5:$H$32&lt;&gt;"N/A")*'Manufacturing MES'!$G$5:$G$32)=0,"",Dashboard!$H$14)</f>
        <v/>
      </c>
      <c r="C19" s="11" t="str">
        <f>IF(SUMPRODUCT(('Manufacturing MES'!$H$5:$H$32&lt;&gt;"")*('Manufacturing MES'!$H$5:$H$32&lt;&gt;"N/A")*'Manufacturing MES'!$G$5:$G$32)=0,"",ROUND(SUMPRODUCT(('Manufacturing MES'!$H$5:$H$32&lt;&gt;"")*('Manufacturing MES'!$H$5:$H$32&lt;&gt;"N/A")*'Manufacturing MES'!$G$5:$G$32*'Manufacturing MES'!$AS$5:$AS$32)/SUMPRODUCT(('Manufacturing MES'!$H$5:$H$32&lt;&gt;"")*('Manufacturing MES'!$H$5:$H$32&lt;&gt;"N/A")*'Manufacturing MES'!$G$5:$G$32),2))</f>
        <v/>
      </c>
      <c r="D19" t="str">
        <f>IF(SUMPRODUCT(('Manufacturing MES'!$H$5:$H$32&lt;&gt;"")*('Manufacturing MES'!$H$5:$H$32&lt;&gt;"N/A")*'Manufacturing MES'!$G$5:$G$32)=0,"",ROUND(SUMPRODUCT(('Manufacturing MES'!$H$5:$H$32&lt;&gt;"")*('Manufacturing MES'!$H$5:$H$32&lt;&gt;"N/A")*'Manufacturing MES'!$G$5:$G$32*'Manufacturing MES'!$AT$5:$AT$32)/SUMPRODUCT(('Manufacturing MES'!$H$5:$H$32&lt;&gt;"")*('Manufacturing MES'!$H$5:$H$32&lt;&gt;"N/A")*'Manufacturing MES'!$G$5:$G$32)*100,0))</f>
        <v/>
      </c>
      <c r="E19" s="128" t="str">
        <f t="shared" si="0"/>
        <v/>
      </c>
      <c r="F19" s="11">
        <f>IFERROR(SUMIFS(_TECH_Industry_Templates!$D:$D,_TECH_Industry_Templates!$A:$A,'Company Profile'!$B$9,_TECH_Industry_Templates!$B:$B,$A19),"")</f>
        <v>1</v>
      </c>
      <c r="G19" s="11" t="str">
        <f t="shared" si="1"/>
        <v/>
      </c>
      <c r="H19" s="11">
        <f>IFERROR(SUMIFS(_TECH_Industry_Templates!$E:$E,_TECH_Industry_Templates!$A:$A,'Company Profile'!$B$9,_TECH_Industry_Templates!$B:$B,$A19),1)</f>
        <v>0.6</v>
      </c>
      <c r="I19" s="123">
        <f>IFERROR(INDEX('AHP Domain Weights'!$H:$H,MATCH($A19,'AHP Domain Weights'!$A:$A,0)),0)</f>
        <v>2.1139682539682538E-2</v>
      </c>
      <c r="J19" s="11" t="str">
        <f t="shared" si="2"/>
        <v/>
      </c>
      <c r="K19" t="str">
        <f t="shared" si="3"/>
        <v/>
      </c>
      <c r="L19" s="11">
        <f t="shared" si="4"/>
        <v>0</v>
      </c>
      <c r="M19">
        <f t="shared" si="5"/>
        <v>0</v>
      </c>
      <c r="N19">
        <f t="shared" si="6"/>
        <v>0</v>
      </c>
      <c r="O19">
        <f t="shared" si="7"/>
        <v>0</v>
      </c>
    </row>
    <row r="20" spans="1:15" ht="15">
      <c r="A20" s="118" t="str">
        <f>Dashboard!$A$15</f>
        <v>Sales CRM</v>
      </c>
      <c r="B20" s="11" t="str">
        <f>IF(SUMPRODUCT(('Sales CRM'!$H$5:$H$25&lt;&gt;"")*('Sales CRM'!$H$5:$H$25&lt;&gt;"N/A")*'Sales CRM'!$G$5:$G$25)=0,"",Dashboard!$H$15)</f>
        <v/>
      </c>
      <c r="C20" s="11" t="str">
        <f>IF(SUMPRODUCT(('Sales CRM'!$H$5:$H$25&lt;&gt;"")*('Sales CRM'!$H$5:$H$25&lt;&gt;"N/A")*'Sales CRM'!$G$5:$G$25)=0,"",ROUND(SUMPRODUCT(('Sales CRM'!$H$5:$H$25&lt;&gt;"")*('Sales CRM'!$H$5:$H$25&lt;&gt;"N/A")*'Sales CRM'!$G$5:$G$25*'Sales CRM'!$AS$5:$AS$25)/SUMPRODUCT(('Sales CRM'!$H$5:$H$25&lt;&gt;"")*('Sales CRM'!$H$5:$H$25&lt;&gt;"N/A")*'Sales CRM'!$G$5:$G$25),2))</f>
        <v/>
      </c>
      <c r="D20" t="str">
        <f>IF(SUMPRODUCT(('Sales CRM'!$H$5:$H$25&lt;&gt;"")*('Sales CRM'!$H$5:$H$25&lt;&gt;"N/A")*'Sales CRM'!$G$5:$G$25)=0,"",ROUND(SUMPRODUCT(('Sales CRM'!$H$5:$H$25&lt;&gt;"")*('Sales CRM'!$H$5:$H$25&lt;&gt;"N/A")*'Sales CRM'!$G$5:$G$25*'Sales CRM'!$AT$5:$AT$25)/SUMPRODUCT(('Sales CRM'!$H$5:$H$25&lt;&gt;"")*('Sales CRM'!$H$5:$H$25&lt;&gt;"N/A")*'Sales CRM'!$G$5:$G$25)*100,0))</f>
        <v/>
      </c>
      <c r="E20" s="128" t="str">
        <f t="shared" si="0"/>
        <v/>
      </c>
      <c r="F20" s="11">
        <f>IFERROR(SUMIFS(_TECH_Industry_Templates!$D:$D,_TECH_Industry_Templates!$A:$A,'Company Profile'!$B$9,_TECH_Industry_Templates!$B:$B,$A20),"")</f>
        <v>3.8</v>
      </c>
      <c r="G20" s="11" t="str">
        <f t="shared" si="1"/>
        <v/>
      </c>
      <c r="H20" s="11">
        <f>IFERROR(SUMIFS(_TECH_Industry_Templates!$E:$E,_TECH_Industry_Templates!$A:$A,'Company Profile'!$B$9,_TECH_Industry_Templates!$B:$B,$A20),1)</f>
        <v>1.1000000000000001</v>
      </c>
      <c r="I20" s="123">
        <f>IFERROR(INDEX('AHP Domain Weights'!$H:$H,MATCH($A20,'AHP Domain Weights'!$A:$A,0)),0)</f>
        <v>5.9734285714285712E-2</v>
      </c>
      <c r="J20" s="11" t="str">
        <f t="shared" si="2"/>
        <v/>
      </c>
      <c r="K20" t="str">
        <f t="shared" si="3"/>
        <v/>
      </c>
      <c r="L20" s="11">
        <f t="shared" si="4"/>
        <v>0</v>
      </c>
      <c r="M20">
        <f t="shared" si="5"/>
        <v>0</v>
      </c>
      <c r="N20">
        <f t="shared" si="6"/>
        <v>0</v>
      </c>
      <c r="O20">
        <f t="shared" si="7"/>
        <v>0</v>
      </c>
    </row>
    <row r="21" spans="1:15" ht="15">
      <c r="A21" s="118" t="str">
        <f>Dashboard!$A$16</f>
        <v>Marketing Comms</v>
      </c>
      <c r="B21" s="11" t="str">
        <f>IF(SUMPRODUCT(('Marketing Comms'!$H$5:$H$21&lt;&gt;"")*('Marketing Comms'!$H$5:$H$21&lt;&gt;"N/A")*'Marketing Comms'!$G$5:$G$21)=0,"",Dashboard!$H$16)</f>
        <v/>
      </c>
      <c r="C21" s="11" t="str">
        <f>IF(SUMPRODUCT(('Marketing Comms'!$H$5:$H$21&lt;&gt;"")*('Marketing Comms'!$H$5:$H$21&lt;&gt;"N/A")*'Marketing Comms'!$G$5:$G$21)=0,"",ROUND(SUMPRODUCT(('Marketing Comms'!$H$5:$H$21&lt;&gt;"")*('Marketing Comms'!$H$5:$H$21&lt;&gt;"N/A")*'Marketing Comms'!$G$5:$G$21*'Marketing Comms'!$AS$5:$AS$21)/SUMPRODUCT(('Marketing Comms'!$H$5:$H$21&lt;&gt;"")*('Marketing Comms'!$H$5:$H$21&lt;&gt;"N/A")*'Marketing Comms'!$G$5:$G$21),2))</f>
        <v/>
      </c>
      <c r="D21" t="str">
        <f>IF(SUMPRODUCT(('Marketing Comms'!$H$5:$H$21&lt;&gt;"")*('Marketing Comms'!$H$5:$H$21&lt;&gt;"N/A")*'Marketing Comms'!$G$5:$G$21)=0,"",ROUND(SUMPRODUCT(('Marketing Comms'!$H$5:$H$21&lt;&gt;"")*('Marketing Comms'!$H$5:$H$21&lt;&gt;"N/A")*'Marketing Comms'!$G$5:$G$21*'Marketing Comms'!$AT$5:$AT$21)/SUMPRODUCT(('Marketing Comms'!$H$5:$H$21&lt;&gt;"")*('Marketing Comms'!$H$5:$H$21&lt;&gt;"N/A")*'Marketing Comms'!$G$5:$G$21)*100,0))</f>
        <v/>
      </c>
      <c r="E21" s="128" t="str">
        <f t="shared" si="0"/>
        <v/>
      </c>
      <c r="F21" s="11">
        <f>IFERROR(SUMIFS(_TECH_Industry_Templates!$D:$D,_TECH_Industry_Templates!$A:$A,'Company Profile'!$B$9,_TECH_Industry_Templates!$B:$B,$A21),"")</f>
        <v>3.5</v>
      </c>
      <c r="G21" s="11" t="str">
        <f t="shared" si="1"/>
        <v/>
      </c>
      <c r="H21" s="11">
        <f>IFERROR(SUMIFS(_TECH_Industry_Templates!$E:$E,_TECH_Industry_Templates!$A:$A,'Company Profile'!$B$9,_TECH_Industry_Templates!$B:$B,$A21),1)</f>
        <v>1</v>
      </c>
      <c r="I21" s="123">
        <f>IFERROR(INDEX('AHP Domain Weights'!$H:$H,MATCH($A21,'AHP Domain Weights'!$A:$A,0)),0)</f>
        <v>4.4800714285714284E-2</v>
      </c>
      <c r="J21" s="11" t="str">
        <f t="shared" si="2"/>
        <v/>
      </c>
      <c r="K21" t="str">
        <f t="shared" si="3"/>
        <v/>
      </c>
      <c r="L21" s="11">
        <f t="shared" si="4"/>
        <v>0</v>
      </c>
      <c r="M21">
        <f t="shared" si="5"/>
        <v>0</v>
      </c>
      <c r="N21">
        <f t="shared" si="6"/>
        <v>0</v>
      </c>
      <c r="O21">
        <f t="shared" si="7"/>
        <v>0</v>
      </c>
    </row>
    <row r="22" spans="1:15" ht="15">
      <c r="A22" s="118" t="str">
        <f>Dashboard!$A$17</f>
        <v>IT Cloud DR</v>
      </c>
      <c r="B22" s="11" t="str">
        <f>IF(SUMPRODUCT(('IT Cloud DR'!$H$5:$H$33&lt;&gt;"")*('IT Cloud DR'!$H$5:$H$33&lt;&gt;"N/A")*'IT Cloud DR'!$G$5:$G$33)=0,"",Dashboard!$H$17)</f>
        <v/>
      </c>
      <c r="C22" s="11" t="str">
        <f>IF(SUMPRODUCT(('IT Cloud DR'!$H$5:$H$33&lt;&gt;"")*('IT Cloud DR'!$H$5:$H$33&lt;&gt;"N/A")*'IT Cloud DR'!$G$5:$G$33)=0,"",ROUND(SUMPRODUCT(('IT Cloud DR'!$H$5:$H$33&lt;&gt;"")*('IT Cloud DR'!$H$5:$H$33&lt;&gt;"N/A")*'IT Cloud DR'!$G$5:$G$33*'IT Cloud DR'!$AS$5:$AS$33)/SUMPRODUCT(('IT Cloud DR'!$H$5:$H$33&lt;&gt;"")*('IT Cloud DR'!$H$5:$H$33&lt;&gt;"N/A")*'IT Cloud DR'!$G$5:$G$33),2))</f>
        <v/>
      </c>
      <c r="D22" t="str">
        <f>IF(SUMPRODUCT(('IT Cloud DR'!$H$5:$H$33&lt;&gt;"")*('IT Cloud DR'!$H$5:$H$33&lt;&gt;"N/A")*'IT Cloud DR'!$G$5:$G$33)=0,"",ROUND(SUMPRODUCT(('IT Cloud DR'!$H$5:$H$33&lt;&gt;"")*('IT Cloud DR'!$H$5:$H$33&lt;&gt;"N/A")*'IT Cloud DR'!$G$5:$G$33*'IT Cloud DR'!$AT$5:$AT$33)/SUMPRODUCT(('IT Cloud DR'!$H$5:$H$33&lt;&gt;"")*('IT Cloud DR'!$H$5:$H$33&lt;&gt;"N/A")*'IT Cloud DR'!$G$5:$G$33)*100,0))</f>
        <v/>
      </c>
      <c r="E22" s="128" t="str">
        <f t="shared" si="0"/>
        <v/>
      </c>
      <c r="F22" s="11">
        <f>IFERROR(SUMIFS(_TECH_Industry_Templates!$D:$D,_TECH_Industry_Templates!$A:$A,'Company Profile'!$B$9,_TECH_Industry_Templates!$B:$B,$A22),"")</f>
        <v>4</v>
      </c>
      <c r="G22" s="11" t="str">
        <f t="shared" si="1"/>
        <v/>
      </c>
      <c r="H22" s="11">
        <f>IFERROR(SUMIFS(_TECH_Industry_Templates!$E:$E,_TECH_Industry_Templates!$A:$A,'Company Profile'!$B$9,_TECH_Industry_Templates!$B:$B,$A22),1)</f>
        <v>1.1499999999999999</v>
      </c>
      <c r="I22" s="123">
        <f>IFERROR(INDEX('AHP Domain Weights'!$H:$H,MATCH($A22,'AHP Domain Weights'!$A:$A,0)),0)</f>
        <v>5.5654945054945053E-2</v>
      </c>
      <c r="J22" s="11" t="str">
        <f t="shared" si="2"/>
        <v/>
      </c>
      <c r="K22" t="str">
        <f t="shared" si="3"/>
        <v/>
      </c>
      <c r="L22" s="11">
        <f t="shared" si="4"/>
        <v>0</v>
      </c>
      <c r="M22">
        <f t="shared" si="5"/>
        <v>0</v>
      </c>
      <c r="N22">
        <f t="shared" si="6"/>
        <v>0</v>
      </c>
      <c r="O22">
        <f t="shared" si="7"/>
        <v>0</v>
      </c>
    </row>
    <row r="23" spans="1:15" ht="15">
      <c r="A23" s="118" t="str">
        <f>Dashboard!$A$18</f>
        <v>Business Systems</v>
      </c>
      <c r="B23" s="11" t="str">
        <f>IF(SUMPRODUCT(('Business Systems'!$H$5:$H$27&lt;&gt;"")*('Business Systems'!$H$5:$H$27&lt;&gt;"N/A")*'Business Systems'!$G$5:$G$27)=0,"",Dashboard!$H$18)</f>
        <v/>
      </c>
      <c r="C23" s="11" t="str">
        <f>IF(SUMPRODUCT(('Business Systems'!$H$5:$H$27&lt;&gt;"")*('Business Systems'!$H$5:$H$27&lt;&gt;"N/A")*'Business Systems'!$G$5:$G$27)=0,"",ROUND(SUMPRODUCT(('Business Systems'!$H$5:$H$27&lt;&gt;"")*('Business Systems'!$H$5:$H$27&lt;&gt;"N/A")*'Business Systems'!$G$5:$G$27*'Business Systems'!$AS$5:$AS$27)/SUMPRODUCT(('Business Systems'!$H$5:$H$27&lt;&gt;"")*('Business Systems'!$H$5:$H$27&lt;&gt;"N/A")*'Business Systems'!$G$5:$G$27),2))</f>
        <v/>
      </c>
      <c r="D23" t="str">
        <f>IF(SUMPRODUCT(('Business Systems'!$H$5:$H$27&lt;&gt;"")*('Business Systems'!$H$5:$H$27&lt;&gt;"N/A")*'Business Systems'!$G$5:$G$27)=0,"",ROUND(SUMPRODUCT(('Business Systems'!$H$5:$H$27&lt;&gt;"")*('Business Systems'!$H$5:$H$27&lt;&gt;"N/A")*'Business Systems'!$G$5:$G$27*'Business Systems'!$AT$5:$AT$27)/SUMPRODUCT(('Business Systems'!$H$5:$H$27&lt;&gt;"")*('Business Systems'!$H$5:$H$27&lt;&gt;"N/A")*'Business Systems'!$G$5:$G$27)*100,0))</f>
        <v/>
      </c>
      <c r="E23" s="128" t="str">
        <f t="shared" si="0"/>
        <v/>
      </c>
      <c r="F23" s="11">
        <f>IFERROR(SUMIFS(_TECH_Industry_Templates!$D:$D,_TECH_Industry_Templates!$A:$A,'Company Profile'!$B$9,_TECH_Industry_Templates!$B:$B,$A23),"")</f>
        <v>4</v>
      </c>
      <c r="G23" s="11" t="str">
        <f t="shared" si="1"/>
        <v/>
      </c>
      <c r="H23" s="11">
        <f>IFERROR(SUMIFS(_TECH_Industry_Templates!$E:$E,_TECH_Industry_Templates!$A:$A,'Company Profile'!$B$9,_TECH_Industry_Templates!$B:$B,$A23),1)</f>
        <v>1.1499999999999999</v>
      </c>
      <c r="I23" s="123">
        <f>IFERROR(INDEX('AHP Domain Weights'!$H:$H,MATCH($A23,'AHP Domain Weights'!$A:$A,0)),0)</f>
        <v>7.4206593406593413E-2</v>
      </c>
      <c r="J23" s="11" t="str">
        <f t="shared" si="2"/>
        <v/>
      </c>
      <c r="K23" t="str">
        <f t="shared" si="3"/>
        <v/>
      </c>
      <c r="L23" s="11">
        <f t="shared" si="4"/>
        <v>0</v>
      </c>
      <c r="M23">
        <f t="shared" si="5"/>
        <v>0</v>
      </c>
      <c r="N23">
        <f t="shared" si="6"/>
        <v>0</v>
      </c>
      <c r="O23">
        <f t="shared" si="7"/>
        <v>0</v>
      </c>
    </row>
    <row r="24" spans="1:15" ht="15">
      <c r="A24" s="118" t="str">
        <f>Dashboard!$A$19</f>
        <v>Data BI AI</v>
      </c>
      <c r="B24" s="11" t="str">
        <f>IF(SUMPRODUCT(('Data BI AI'!$H$5:$H$31&lt;&gt;"")*('Data BI AI'!$H$5:$H$31&lt;&gt;"N/A")*'Data BI AI'!$G$5:$G$31)=0,"",Dashboard!$H$19)</f>
        <v/>
      </c>
      <c r="C24" s="11" t="str">
        <f>IF(SUMPRODUCT(('Data BI AI'!$H$5:$H$31&lt;&gt;"")*('Data BI AI'!$H$5:$H$31&lt;&gt;"N/A")*'Data BI AI'!$G$5:$G$31)=0,"",ROUND(SUMPRODUCT(('Data BI AI'!$H$5:$H$31&lt;&gt;"")*('Data BI AI'!$H$5:$H$31&lt;&gt;"N/A")*'Data BI AI'!$G$5:$G$31*'Data BI AI'!$AS$5:$AS$31)/SUMPRODUCT(('Data BI AI'!$H$5:$H$31&lt;&gt;"")*('Data BI AI'!$H$5:$H$31&lt;&gt;"N/A")*'Data BI AI'!$G$5:$G$31),2))</f>
        <v/>
      </c>
      <c r="D24" t="str">
        <f>IF(SUMPRODUCT(('Data BI AI'!$H$5:$H$31&lt;&gt;"")*('Data BI AI'!$H$5:$H$31&lt;&gt;"N/A")*'Data BI AI'!$G$5:$G$31)=0,"",ROUND(SUMPRODUCT(('Data BI AI'!$H$5:$H$31&lt;&gt;"")*('Data BI AI'!$H$5:$H$31&lt;&gt;"N/A")*'Data BI AI'!$G$5:$G$31*'Data BI AI'!$AT$5:$AT$31)/SUMPRODUCT(('Data BI AI'!$H$5:$H$31&lt;&gt;"")*('Data BI AI'!$H$5:$H$31&lt;&gt;"N/A")*'Data BI AI'!$G$5:$G$31)*100,0))</f>
        <v/>
      </c>
      <c r="E24" s="128" t="str">
        <f t="shared" si="0"/>
        <v/>
      </c>
      <c r="F24" s="11">
        <f>IFERROR(SUMIFS(_TECH_Industry_Templates!$D:$D,_TECH_Industry_Templates!$A:$A,'Company Profile'!$B$9,_TECH_Industry_Templates!$B:$B,$A24),"")</f>
        <v>3.5</v>
      </c>
      <c r="G24" s="11" t="str">
        <f t="shared" si="1"/>
        <v/>
      </c>
      <c r="H24" s="11">
        <f>IFERROR(SUMIFS(_TECH_Industry_Templates!$E:$E,_TECH_Industry_Templates!$A:$A,'Company Profile'!$B$9,_TECH_Industry_Templates!$B:$B,$A24),1)</f>
        <v>1</v>
      </c>
      <c r="I24" s="123">
        <f>IFERROR(INDEX('AHP Domain Weights'!$H:$H,MATCH($A24,'AHP Domain Weights'!$A:$A,0)),0)</f>
        <v>5.5654945054945053E-2</v>
      </c>
      <c r="J24" s="11" t="str">
        <f t="shared" si="2"/>
        <v/>
      </c>
      <c r="K24" t="str">
        <f t="shared" si="3"/>
        <v/>
      </c>
      <c r="L24" s="11">
        <f t="shared" si="4"/>
        <v>0</v>
      </c>
      <c r="M24">
        <f t="shared" si="5"/>
        <v>0</v>
      </c>
      <c r="N24">
        <f t="shared" si="6"/>
        <v>0</v>
      </c>
      <c r="O24">
        <f t="shared" si="7"/>
        <v>0</v>
      </c>
    </row>
    <row r="25" spans="1:15" ht="15">
      <c r="A25" s="118" t="str">
        <f>Dashboard!$A$20</f>
        <v>Cyber Privacy</v>
      </c>
      <c r="B25" s="11" t="str">
        <f>IF(SUMPRODUCT(('Cyber Privacy'!$H$5:$H$38&lt;&gt;"")*('Cyber Privacy'!$H$5:$H$38&lt;&gt;"N/A")*'Cyber Privacy'!$G$5:$G$38)=0,"",Dashboard!$H$20)</f>
        <v/>
      </c>
      <c r="C25" s="11" t="str">
        <f>IF(SUMPRODUCT(('Cyber Privacy'!$H$5:$H$38&lt;&gt;"")*('Cyber Privacy'!$H$5:$H$38&lt;&gt;"N/A")*'Cyber Privacy'!$G$5:$G$38)=0,"",ROUND(SUMPRODUCT(('Cyber Privacy'!$H$5:$H$38&lt;&gt;"")*('Cyber Privacy'!$H$5:$H$38&lt;&gt;"N/A")*'Cyber Privacy'!$G$5:$G$38*'Cyber Privacy'!$AS$5:$AS$38)/SUMPRODUCT(('Cyber Privacy'!$H$5:$H$38&lt;&gt;"")*('Cyber Privacy'!$H$5:$H$38&lt;&gt;"N/A")*'Cyber Privacy'!$G$5:$G$38),2))</f>
        <v/>
      </c>
      <c r="D25" t="str">
        <f>IF(SUMPRODUCT(('Cyber Privacy'!$H$5:$H$38&lt;&gt;"")*('Cyber Privacy'!$H$5:$H$38&lt;&gt;"N/A")*'Cyber Privacy'!$G$5:$G$38)=0,"",ROUND(SUMPRODUCT(('Cyber Privacy'!$H$5:$H$38&lt;&gt;"")*('Cyber Privacy'!$H$5:$H$38&lt;&gt;"N/A")*'Cyber Privacy'!$G$5:$G$38*'Cyber Privacy'!$AT$5:$AT$38)/SUMPRODUCT(('Cyber Privacy'!$H$5:$H$38&lt;&gt;"")*('Cyber Privacy'!$H$5:$H$38&lt;&gt;"N/A")*'Cyber Privacy'!$G$5:$G$38)*100,0))</f>
        <v/>
      </c>
      <c r="E25" s="128" t="str">
        <f t="shared" si="0"/>
        <v/>
      </c>
      <c r="F25" s="11">
        <f>IFERROR(SUMIFS(_TECH_Industry_Templates!$D:$D,_TECH_Industry_Templates!$A:$A,'Company Profile'!$B$9,_TECH_Industry_Templates!$B:$B,$A25),"")</f>
        <v>4</v>
      </c>
      <c r="G25" s="11" t="str">
        <f t="shared" si="1"/>
        <v/>
      </c>
      <c r="H25" s="11">
        <f>IFERROR(SUMIFS(_TECH_Industry_Templates!$E:$E,_TECH_Industry_Templates!$A:$A,'Company Profile'!$B$9,_TECH_Industry_Templates!$B:$B,$A25),1)</f>
        <v>1.1499999999999999</v>
      </c>
      <c r="I25" s="123">
        <f>IFERROR(INDEX('AHP Domain Weights'!$H:$H,MATCH($A25,'AHP Domain Weights'!$A:$A,0)),0)</f>
        <v>5.5654945054945053E-2</v>
      </c>
      <c r="J25" s="11" t="str">
        <f t="shared" si="2"/>
        <v/>
      </c>
      <c r="K25" t="str">
        <f t="shared" si="3"/>
        <v/>
      </c>
      <c r="L25" s="11">
        <f t="shared" si="4"/>
        <v>0</v>
      </c>
      <c r="M25">
        <f t="shared" si="5"/>
        <v>0</v>
      </c>
      <c r="N25">
        <f t="shared" si="6"/>
        <v>0</v>
      </c>
      <c r="O25">
        <f t="shared" si="7"/>
        <v>0</v>
      </c>
    </row>
    <row r="26" spans="1:15" ht="15">
      <c r="A26" s="118" t="str">
        <f>Dashboard!$A$21</f>
        <v>Quality Portfolio</v>
      </c>
      <c r="B26" s="11" t="str">
        <f>IF(SUMPRODUCT(('Quality Portfolio'!$H$5:$H$24&lt;&gt;"")*('Quality Portfolio'!$H$5:$H$24&lt;&gt;"N/A")*'Quality Portfolio'!$G$5:$G$24)=0,"",Dashboard!$H$21)</f>
        <v/>
      </c>
      <c r="C26" s="11" t="str">
        <f>IF(SUMPRODUCT(('Quality Portfolio'!$H$5:$H$24&lt;&gt;"")*('Quality Portfolio'!$H$5:$H$24&lt;&gt;"N/A")*'Quality Portfolio'!$G$5:$G$24)=0,"",ROUND(SUMPRODUCT(('Quality Portfolio'!$H$5:$H$24&lt;&gt;"")*('Quality Portfolio'!$H$5:$H$24&lt;&gt;"N/A")*'Quality Portfolio'!$G$5:$G$24*'Quality Portfolio'!$AS$5:$AS$24)/SUMPRODUCT(('Quality Portfolio'!$H$5:$H$24&lt;&gt;"")*('Quality Portfolio'!$H$5:$H$24&lt;&gt;"N/A")*'Quality Portfolio'!$G$5:$G$24),2))</f>
        <v/>
      </c>
      <c r="D26" t="str">
        <f>IF(SUMPRODUCT(('Quality Portfolio'!$H$5:$H$24&lt;&gt;"")*('Quality Portfolio'!$H$5:$H$24&lt;&gt;"N/A")*'Quality Portfolio'!$G$5:$G$24)=0,"",ROUND(SUMPRODUCT(('Quality Portfolio'!$H$5:$H$24&lt;&gt;"")*('Quality Portfolio'!$H$5:$H$24&lt;&gt;"N/A")*'Quality Portfolio'!$G$5:$G$24*'Quality Portfolio'!$AT$5:$AT$24)/SUMPRODUCT(('Quality Portfolio'!$H$5:$H$24&lt;&gt;"")*('Quality Portfolio'!$H$5:$H$24&lt;&gt;"N/A")*'Quality Portfolio'!$G$5:$G$24)*100,0))</f>
        <v/>
      </c>
      <c r="E26" s="128" t="str">
        <f t="shared" si="0"/>
        <v/>
      </c>
      <c r="F26" s="11">
        <f>IFERROR(SUMIFS(_TECH_Industry_Templates!$D:$D,_TECH_Industry_Templates!$A:$A,'Company Profile'!$B$9,_TECH_Industry_Templates!$B:$B,$A26),"")</f>
        <v>4</v>
      </c>
      <c r="G26" s="11" t="str">
        <f t="shared" si="1"/>
        <v/>
      </c>
      <c r="H26" s="11">
        <f>IFERROR(SUMIFS(_TECH_Industry_Templates!$E:$E,_TECH_Industry_Templates!$A:$A,'Company Profile'!$B$9,_TECH_Industry_Templates!$B:$B,$A26),1)</f>
        <v>1.2</v>
      </c>
      <c r="I26" s="123">
        <f>IFERROR(INDEX('AHP Domain Weights'!$H:$H,MATCH($A26,'AHP Domain Weights'!$A:$A,0)),0)</f>
        <v>8.1029220779220784E-2</v>
      </c>
      <c r="J26" s="11" t="str">
        <f t="shared" si="2"/>
        <v/>
      </c>
      <c r="K26" t="str">
        <f t="shared" si="3"/>
        <v/>
      </c>
      <c r="L26" s="11">
        <f t="shared" si="4"/>
        <v>0</v>
      </c>
      <c r="M26">
        <f t="shared" si="5"/>
        <v>0</v>
      </c>
      <c r="N26">
        <f t="shared" si="6"/>
        <v>0</v>
      </c>
      <c r="O26">
        <f t="shared" si="7"/>
        <v>0</v>
      </c>
    </row>
    <row r="28" spans="1:15" ht="15">
      <c r="A28" s="129" t="s">
        <v>810</v>
      </c>
    </row>
    <row r="29" spans="1:15" ht="15">
      <c r="A29" s="107" t="s">
        <v>811</v>
      </c>
      <c r="B29" s="130" t="str">
        <f>IFERROR(ROUND(SUMPRODUCT($M$10:$M$26*$I$10:$I$26*$L$10:$L$26)/SUMPRODUCT($M$10:$M$26*$I$10:$I$26),3),"")</f>
        <v/>
      </c>
    </row>
    <row r="30" spans="1:15" ht="15">
      <c r="A30" s="107" t="s">
        <v>812</v>
      </c>
      <c r="B30" s="131" t="str">
        <f>IFERROR(ROUND(SUMPRODUCT($M$10:$M$26*$I$10:$I$26*$L$10:$L$26)/SUMPRODUCT($M$10:$M$26*$I$10:$I$26)*5,2),"")</f>
        <v/>
      </c>
    </row>
    <row r="31" spans="1:15" ht="15">
      <c r="A31" s="107" t="s">
        <v>813</v>
      </c>
      <c r="B31" s="130" t="str">
        <f>IFERROR(ROUND(EXP(SUMPRODUCT($M$10:$M$26*$I$10:$I$26*LN(IF($L$10:$L$26&lt;=0,0.0001,$L$10:$L$26)))/SUMPRODUCT($M$10:$M$26*$I$10:$I$26)),3),"")</f>
        <v/>
      </c>
    </row>
    <row r="32" spans="1:15" ht="15">
      <c r="A32" s="107" t="s">
        <v>814</v>
      </c>
      <c r="B32" s="131" t="str">
        <f>IFERROR(ROUND(EXP(SUMPRODUCT($M$10:$M$26*$I$10:$I$26*LN(IF($L$10:$L$26&lt;=0,0.0001,$L$10:$L$26)))/SUMPRODUCT($M$10:$M$26*$I$10:$I$26))*5,2),"")</f>
        <v/>
      </c>
    </row>
    <row r="33" spans="1:2" ht="15">
      <c r="A33" s="107" t="s">
        <v>815</v>
      </c>
      <c r="B33" s="130" t="str">
        <f>IFERROR(ROUND(SQRT(SUMPRODUCT($M$10:$M$26*($L$10:$L$26-(SUMPRODUCT($M$10:$M$26*$L$10:$L$26)/SUM($M$10:$M$26)))^2)/SUM($M$10:$M$26))/(SUMPRODUCT($M$10:$M$26*$L$10:$L$26)/SUM($M$10:$M$26)),3),"")</f>
        <v/>
      </c>
    </row>
    <row r="34" spans="1:2" ht="15">
      <c r="A34" s="107" t="s">
        <v>816</v>
      </c>
      <c r="B34" s="130" t="str">
        <f>IFERROR(ROUND(SUMPRODUCT($M$10:$M$26*$I$10:$I$26*$L$10:$L$26)/SUMPRODUCT($M$10:$M$26*$I$10:$I$26)*(1-$P$5*SQRT(SUMPRODUCT($M$10:$M$26*($L$10:$L$26-(SUMPRODUCT($M$10:$M$26*$L$10:$L$26)/SUM($M$10:$M$26)))^2)/SUM($M$10:$M$26))/(SUMPRODUCT($M$10:$M$26*$L$10:$L$26)/SUM($M$10:$M$26))),3),"")</f>
        <v/>
      </c>
    </row>
    <row r="35" spans="1:2" ht="15">
      <c r="A35" s="107" t="s">
        <v>817</v>
      </c>
      <c r="B35" s="131" t="str">
        <f>IFERROR(ROUND(SUMPRODUCT($M$10:$M$26*$I$10:$I$26*$L$10:$L$26)/SUMPRODUCT($M$10:$M$26*$I$10:$I$26)*(1-$P$5*SQRT(SUMPRODUCT($M$10:$M$26*($L$10:$L$26-(SUMPRODUCT($M$10:$M$26*$L$10:$L$26)/SUM($M$10:$M$26)))^2)/SUM($M$10:$M$26))/(SUMPRODUCT($M$10:$M$26*$L$10:$L$26)/SUM($M$10:$M$26)))*5,2),"")</f>
        <v/>
      </c>
    </row>
    <row r="36" spans="1:2" ht="15">
      <c r="A36" s="107" t="s">
        <v>818</v>
      </c>
      <c r="B36" s="132" t="str">
        <f>IFERROR(IF(SUMPRODUCT($M$10:$M$26*$I$10:$I$26*$L$10:$L$26)/SUMPRODUCT($M$10:$M$26*$I$10:$I$26)&lt;$P$6,"Low",IF(SUMPRODUCT($M$10:$M$26*$I$10:$I$26*$L$10:$L$26)/SUMPRODUCT($M$10:$M$26*$I$10:$I$26)&lt;$P$7,"Medium","High")),"")</f>
        <v/>
      </c>
    </row>
    <row r="37" spans="1:2" ht="15">
      <c r="A37" s="107" t="s">
        <v>819</v>
      </c>
      <c r="B37" s="132" t="str">
        <f>IFERROR(ROUND(SUMPRODUCT($M$10:$M$26*$I$10:$I$26*$O$10:$O$26)/SUMPRODUCT($M$10:$M$26*$I$10:$I$26),0),"")</f>
        <v/>
      </c>
    </row>
    <row r="38" spans="1:2" ht="15">
      <c r="A38" s="107" t="s">
        <v>820</v>
      </c>
      <c r="B38" s="132">
        <f>COUNTIF($K$10:$K$26,"BREACH")</f>
        <v>0</v>
      </c>
    </row>
    <row r="39" spans="1:2" ht="15">
      <c r="A39" s="107" t="s">
        <v>821</v>
      </c>
      <c r="B39" s="132">
        <f>COUNTIF($E$10:$E$26,"Validate")</f>
        <v>0</v>
      </c>
    </row>
    <row r="40" spans="1:2" ht="15">
      <c r="A40" s="107" t="s">
        <v>822</v>
      </c>
      <c r="B40" s="131" t="str">
        <f>IFERROR(ROUND(SUMPRODUCT($M$10:$M$26*$I$10:$I$26*$N$10:$N$26)/SUMPRODUCT($M$10:$M$26*$I$10:$I$26),2),"")</f>
        <v/>
      </c>
    </row>
    <row r="41" spans="1:2" ht="15">
      <c r="A41" s="107" t="s">
        <v>823</v>
      </c>
      <c r="B41" s="132" t="str">
        <f>IFERROR(INDEX($A$10:$A$26,MATCH(MAX($J$10:$J$26),$J$10:$J$26,0)),"")</f>
        <v/>
      </c>
    </row>
  </sheetData>
  <conditionalFormatting sqref="C10:C26">
    <cfRule type="colorScale" priority="1">
      <colorScale>
        <cfvo type="num" val="0"/>
        <cfvo type="num" val="2.5"/>
        <cfvo type="num" val="5"/>
        <color rgb="FFF8696B"/>
        <color rgb="FFFFEB84"/>
        <color rgb="FF63BE7B"/>
      </colorScale>
    </cfRule>
  </conditionalFormatting>
  <conditionalFormatting sqref="J10:J26">
    <cfRule type="colorScale" priority="2">
      <colorScale>
        <cfvo type="num" val="0"/>
        <cfvo type="num" val="50"/>
        <cfvo type="num" val="150"/>
        <color rgb="FF63BE7B"/>
        <color rgb="FFFFEB84"/>
        <color rgb="FFF8696B"/>
      </colorScale>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legacyDrawing r:id="rId1"/>
</worksheet>
</file>

<file path=xl/worksheets/sheet15.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E00-000000000000}">
  <sheetPr>
    <tabColor rgb="FFBF8F00"/>
  </sheetPr>
  <dimension ref="A1:L38"/>
  <sheetViews>
    <sheetView workbookViewId="0"/>
  </sheetViews>
  <sheetFormatPr defaultRowHeight="14.25"/>
  <cols>
    <col min="1" max="1" width="20" customWidth="1"/>
  </cols>
  <sheetData>
    <row r="1" spans="1:12" ht="18">
      <c r="A1" s="99" t="s">
        <v>824</v>
      </c>
    </row>
    <row r="2" spans="1:12">
      <c r="A2" s="100" t="s">
        <v>825</v>
      </c>
    </row>
    <row r="4" spans="1:12" ht="38.25">
      <c r="A4" s="110" t="s">
        <v>826</v>
      </c>
      <c r="B4" s="110" t="s">
        <v>827</v>
      </c>
      <c r="C4" s="110" t="s">
        <v>828</v>
      </c>
      <c r="D4" s="110" t="s">
        <v>829</v>
      </c>
      <c r="E4" s="110" t="s">
        <v>830</v>
      </c>
      <c r="F4" s="110" t="s">
        <v>831</v>
      </c>
      <c r="G4" s="110" t="s">
        <v>832</v>
      </c>
      <c r="H4" s="110" t="s">
        <v>833</v>
      </c>
      <c r="I4" s="110" t="s">
        <v>834</v>
      </c>
      <c r="K4" t="s">
        <v>835</v>
      </c>
      <c r="L4" t="s">
        <v>836</v>
      </c>
    </row>
    <row r="5" spans="1:12">
      <c r="A5" s="101" t="s">
        <v>827</v>
      </c>
      <c r="B5" s="105">
        <v>1</v>
      </c>
      <c r="C5" s="154">
        <v>0.64</v>
      </c>
      <c r="D5" s="154">
        <v>0.73</v>
      </c>
      <c r="E5" s="154">
        <v>1.07</v>
      </c>
      <c r="F5" s="154">
        <v>1.33</v>
      </c>
      <c r="G5" s="154">
        <v>1.6</v>
      </c>
      <c r="H5" s="122">
        <f t="shared" ref="H5:H10" si="0">GEOMEAN(B5:G5)</f>
        <v>1.0103605312058781</v>
      </c>
      <c r="I5" s="123">
        <f t="shared" ref="I5:I10" si="1">ROUND(H5/SUM($H$5:$H$10),4)</f>
        <v>0.16009999999999999</v>
      </c>
      <c r="K5" s="123">
        <f t="shared" ref="K5:K10" si="2">B5*$I$5+C5*$I$6+D5*$I$7+E5*$I$8+F5*$I$9+G5*$I$10</f>
        <v>0.96070100000000003</v>
      </c>
      <c r="L5" s="122">
        <f t="shared" ref="L5:L10" si="3">K5/I5</f>
        <v>6.0006308557151788</v>
      </c>
    </row>
    <row r="6" spans="1:12">
      <c r="A6" s="101" t="s">
        <v>828</v>
      </c>
      <c r="B6" s="105">
        <f>1/C5</f>
        <v>1.5625</v>
      </c>
      <c r="C6" s="105">
        <v>1</v>
      </c>
      <c r="D6" s="154">
        <v>1.1399999999999999</v>
      </c>
      <c r="E6" s="154">
        <v>1.67</v>
      </c>
      <c r="F6" s="154">
        <v>2.08</v>
      </c>
      <c r="G6" s="154">
        <v>2.5</v>
      </c>
      <c r="H6" s="122">
        <f t="shared" si="0"/>
        <v>1.5784861731780782</v>
      </c>
      <c r="I6" s="123">
        <f t="shared" si="1"/>
        <v>0.25019999999999998</v>
      </c>
      <c r="K6" s="123">
        <f t="shared" si="2"/>
        <v>1.5009022499999998</v>
      </c>
      <c r="L6" s="122">
        <f t="shared" si="3"/>
        <v>5.9988099520383686</v>
      </c>
    </row>
    <row r="7" spans="1:12">
      <c r="A7" s="101" t="s">
        <v>829</v>
      </c>
      <c r="B7" s="105">
        <f>1/D5</f>
        <v>1.3698630136986301</v>
      </c>
      <c r="C7" s="105">
        <f>1/D6</f>
        <v>0.87719298245614041</v>
      </c>
      <c r="D7" s="105">
        <v>1</v>
      </c>
      <c r="E7" s="154">
        <v>1.47</v>
      </c>
      <c r="F7" s="154">
        <v>1.83</v>
      </c>
      <c r="G7" s="154">
        <v>2.2000000000000002</v>
      </c>
      <c r="H7" s="122">
        <f t="shared" si="0"/>
        <v>1.3867363476803942</v>
      </c>
      <c r="I7" s="123">
        <f t="shared" si="1"/>
        <v>0.2198</v>
      </c>
      <c r="K7" s="123">
        <f t="shared" si="2"/>
        <v>1.3185777527036771</v>
      </c>
      <c r="L7" s="122">
        <f t="shared" si="3"/>
        <v>5.998988865803808</v>
      </c>
    </row>
    <row r="8" spans="1:12">
      <c r="A8" s="101" t="s">
        <v>830</v>
      </c>
      <c r="B8" s="105">
        <f>1/E5</f>
        <v>0.93457943925233644</v>
      </c>
      <c r="C8" s="105">
        <f>1/E6</f>
        <v>0.5988023952095809</v>
      </c>
      <c r="D8" s="105">
        <f>1/E7</f>
        <v>0.68027210884353739</v>
      </c>
      <c r="E8" s="105">
        <v>1</v>
      </c>
      <c r="F8" s="154">
        <v>1.25</v>
      </c>
      <c r="G8" s="154">
        <v>1.5</v>
      </c>
      <c r="H8" s="122">
        <f t="shared" si="0"/>
        <v>0.94536012819673509</v>
      </c>
      <c r="I8" s="123">
        <f t="shared" si="1"/>
        <v>0.14979999999999999</v>
      </c>
      <c r="K8" s="123">
        <f t="shared" si="2"/>
        <v>0.89889533702954572</v>
      </c>
      <c r="L8" s="122">
        <f t="shared" si="3"/>
        <v>6.0006364287686633</v>
      </c>
    </row>
    <row r="9" spans="1:12">
      <c r="A9" s="101" t="s">
        <v>831</v>
      </c>
      <c r="B9" s="105">
        <f>1/F5</f>
        <v>0.75187969924812026</v>
      </c>
      <c r="C9" s="105">
        <f>1/F6</f>
        <v>0.48076923076923073</v>
      </c>
      <c r="D9" s="105">
        <f>1/F7</f>
        <v>0.54644808743169393</v>
      </c>
      <c r="E9" s="105">
        <f>1/F8</f>
        <v>0.8</v>
      </c>
      <c r="F9" s="105">
        <v>1</v>
      </c>
      <c r="G9" s="154">
        <v>1.2</v>
      </c>
      <c r="H9" s="122">
        <f t="shared" si="0"/>
        <v>0.75796798309958346</v>
      </c>
      <c r="I9" s="123">
        <f t="shared" si="1"/>
        <v>0.1201</v>
      </c>
      <c r="K9" s="123">
        <f t="shared" si="2"/>
        <v>0.72071369100557192</v>
      </c>
      <c r="L9" s="122">
        <f t="shared" si="3"/>
        <v>6.0009466361829471</v>
      </c>
    </row>
    <row r="10" spans="1:12">
      <c r="A10" s="101" t="s">
        <v>832</v>
      </c>
      <c r="B10" s="105">
        <f>1/G5</f>
        <v>0.625</v>
      </c>
      <c r="C10" s="105">
        <f>1/G6</f>
        <v>0.4</v>
      </c>
      <c r="D10" s="105">
        <f>1/G7</f>
        <v>0.45454545454545453</v>
      </c>
      <c r="E10" s="105">
        <f>1/G8</f>
        <v>0.66666666666666663</v>
      </c>
      <c r="F10" s="105">
        <f>1/G9</f>
        <v>0.83333333333333337</v>
      </c>
      <c r="G10" s="105">
        <v>1</v>
      </c>
      <c r="H10" s="122">
        <f t="shared" si="0"/>
        <v>0.63101662835836059</v>
      </c>
      <c r="I10" s="123">
        <f t="shared" si="1"/>
        <v>0.1</v>
      </c>
      <c r="K10" s="123">
        <f t="shared" si="2"/>
        <v>0.60000159090909089</v>
      </c>
      <c r="L10" s="122">
        <f t="shared" si="3"/>
        <v>6.0000159090909087</v>
      </c>
    </row>
    <row r="12" spans="1:12" ht="15">
      <c r="A12" s="107" t="s">
        <v>837</v>
      </c>
      <c r="B12" t="s">
        <v>838</v>
      </c>
      <c r="C12" s="122">
        <f>AVERAGE(L5:L10)</f>
        <v>6.0000047745999794</v>
      </c>
    </row>
    <row r="13" spans="1:12">
      <c r="B13" t="s">
        <v>839</v>
      </c>
      <c r="C13" s="122">
        <f>(C12-6)/(6-1)</f>
        <v>9.5491999587693508E-7</v>
      </c>
    </row>
    <row r="14" spans="1:12">
      <c r="B14" t="s">
        <v>840</v>
      </c>
      <c r="C14">
        <f>ROUND(C13/1.24,3)</f>
        <v>0</v>
      </c>
    </row>
    <row r="15" spans="1:12" ht="15">
      <c r="B15" t="s">
        <v>781</v>
      </c>
      <c r="C15" s="107" t="str">
        <f>IF(C14&lt;=0.1,"Consistent","REVIEW judgments")</f>
        <v>Consistent</v>
      </c>
    </row>
    <row r="17" spans="1:8">
      <c r="A17" t="s">
        <v>841</v>
      </c>
      <c r="B17" s="147">
        <v>0.5</v>
      </c>
      <c r="C17" s="100" t="s">
        <v>842</v>
      </c>
    </row>
    <row r="19" spans="1:8" ht="15">
      <c r="A19" s="107" t="s">
        <v>843</v>
      </c>
    </row>
    <row r="20" spans="1:8" ht="38.25">
      <c r="A20" s="110" t="s">
        <v>36</v>
      </c>
      <c r="B20" s="110" t="s">
        <v>844</v>
      </c>
      <c r="C20" s="110" t="s">
        <v>845</v>
      </c>
      <c r="D20" s="110" t="s">
        <v>846</v>
      </c>
      <c r="E20" s="110" t="s">
        <v>847</v>
      </c>
      <c r="F20" s="110" t="s">
        <v>848</v>
      </c>
      <c r="G20" s="110" t="s">
        <v>849</v>
      </c>
      <c r="H20" s="110" t="s">
        <v>805</v>
      </c>
    </row>
    <row r="21" spans="1:8">
      <c r="A21" s="124" t="s">
        <v>54</v>
      </c>
      <c r="B21" s="125" t="s">
        <v>830</v>
      </c>
      <c r="C21" s="126">
        <f>'AHP Domain Weights'!$I$8</f>
        <v>0.14979999999999999</v>
      </c>
      <c r="D21" s="115">
        <f>IFERROR(SUMIFS(_TECH_Industry_Templates!$C:$C,_TECH_Industry_Templates!$A:$A,'Company Profile'!$B$9,_TECH_Industry_Templates!$B:$B,$A21),1)</f>
        <v>3</v>
      </c>
      <c r="E21" s="127">
        <f t="shared" ref="E21:E37" si="4">IFERROR($D21/SUMIFS($D$21:$D$37,$B$21:$B$37,$B21),0)</f>
        <v>0.3</v>
      </c>
      <c r="F21" s="126">
        <f t="shared" ref="F21:F37" si="5">$C21*$E21</f>
        <v>4.4939999999999994E-2</v>
      </c>
      <c r="G21" s="126">
        <f t="shared" ref="G21:G37" si="6">IFERROR($D21/SUM($D$21:$D$37),0)</f>
        <v>5.3571428571428568E-2</v>
      </c>
      <c r="H21" s="126">
        <f>IFERROR(('AHP Domain Weights'!$B$17*$F21+(1-'AHP Domain Weights'!$B$17)*$G21)/SUMPRODUCT('AHP Domain Weights'!$B$17*$F$21:$F$37+(1-'AHP Domain Weights'!$B$17)*$G$21:$G$37),0)</f>
        <v>4.9255714285714278E-2</v>
      </c>
    </row>
    <row r="22" spans="1:8">
      <c r="A22" s="124" t="s">
        <v>57</v>
      </c>
      <c r="B22" s="125" t="s">
        <v>831</v>
      </c>
      <c r="C22" s="126">
        <f>'AHP Domain Weights'!$I$9</f>
        <v>0.1201</v>
      </c>
      <c r="D22" s="115">
        <f>IFERROR(SUMIFS(_TECH_Industry_Templates!$C:$C,_TECH_Industry_Templates!$A:$A,'Company Profile'!$B$9,_TECH_Industry_Templates!$B:$B,$A22),1)</f>
        <v>3</v>
      </c>
      <c r="E22" s="127">
        <f t="shared" si="4"/>
        <v>0.3</v>
      </c>
      <c r="F22" s="126">
        <f t="shared" si="5"/>
        <v>3.603E-2</v>
      </c>
      <c r="G22" s="126">
        <f t="shared" si="6"/>
        <v>5.3571428571428568E-2</v>
      </c>
      <c r="H22" s="126">
        <f>IFERROR(('AHP Domain Weights'!$B$17*$F22+(1-'AHP Domain Weights'!$B$17)*$G22)/SUMPRODUCT('AHP Domain Weights'!$B$17*$F$21:$F$37+(1-'AHP Domain Weights'!$B$17)*$G$21:$G$37),0)</f>
        <v>4.4800714285714284E-2</v>
      </c>
    </row>
    <row r="23" spans="1:8">
      <c r="A23" s="124" t="s">
        <v>60</v>
      </c>
      <c r="B23" s="125" t="s">
        <v>827</v>
      </c>
      <c r="C23" s="126">
        <f>'AHP Domain Weights'!$I$5</f>
        <v>0.16009999999999999</v>
      </c>
      <c r="D23" s="115">
        <f>IFERROR(SUMIFS(_TECH_Industry_Templates!$C:$C,_TECH_Industry_Templates!$A:$A,'Company Profile'!$B$9,_TECH_Industry_Templates!$B:$B,$A23),1)</f>
        <v>3</v>
      </c>
      <c r="E23" s="127">
        <f t="shared" si="4"/>
        <v>0.27272727272727271</v>
      </c>
      <c r="F23" s="126">
        <f t="shared" si="5"/>
        <v>4.3663636363636356E-2</v>
      </c>
      <c r="G23" s="126">
        <f t="shared" si="6"/>
        <v>5.3571428571428568E-2</v>
      </c>
      <c r="H23" s="126">
        <f>IFERROR(('AHP Domain Weights'!$B$17*$F23+(1-'AHP Domain Weights'!$B$17)*$G23)/SUMPRODUCT('AHP Domain Weights'!$B$17*$F$21:$F$37+(1-'AHP Domain Weights'!$B$17)*$G$21:$G$37),0)</f>
        <v>4.8617532467532462E-2</v>
      </c>
    </row>
    <row r="24" spans="1:8">
      <c r="A24" s="124" t="s">
        <v>63</v>
      </c>
      <c r="B24" s="125" t="s">
        <v>830</v>
      </c>
      <c r="C24" s="126">
        <f>'AHP Domain Weights'!$I$8</f>
        <v>0.14979999999999999</v>
      </c>
      <c r="D24" s="115">
        <f>IFERROR(SUMIFS(_TECH_Industry_Templates!$C:$C,_TECH_Industry_Templates!$A:$A,'Company Profile'!$B$9,_TECH_Industry_Templates!$B:$B,$A24),1)</f>
        <v>5</v>
      </c>
      <c r="E24" s="127">
        <f t="shared" si="4"/>
        <v>0.5</v>
      </c>
      <c r="F24" s="126">
        <f t="shared" si="5"/>
        <v>7.4899999999999994E-2</v>
      </c>
      <c r="G24" s="126">
        <f t="shared" si="6"/>
        <v>8.9285714285714288E-2</v>
      </c>
      <c r="H24" s="126">
        <f>IFERROR(('AHP Domain Weights'!$B$17*$F24+(1-'AHP Domain Weights'!$B$17)*$G24)/SUMPRODUCT('AHP Domain Weights'!$B$17*$F$21:$F$37+(1-'AHP Domain Weights'!$B$17)*$G$21:$G$37),0)</f>
        <v>8.2092857142857134E-2</v>
      </c>
    </row>
    <row r="25" spans="1:8">
      <c r="A25" s="124" t="s">
        <v>66</v>
      </c>
      <c r="B25" s="125" t="s">
        <v>832</v>
      </c>
      <c r="C25" s="126">
        <f>'AHP Domain Weights'!$I$10</f>
        <v>0.1</v>
      </c>
      <c r="D25" s="115">
        <f>IFERROR(SUMIFS(_TECH_Industry_Templates!$C:$C,_TECH_Industry_Templates!$A:$A,'Company Profile'!$B$9,_TECH_Industry_Templates!$B:$B,$A25),1)</f>
        <v>3</v>
      </c>
      <c r="E25" s="127">
        <f t="shared" si="4"/>
        <v>1</v>
      </c>
      <c r="F25" s="126">
        <f t="shared" si="5"/>
        <v>0.1</v>
      </c>
      <c r="G25" s="126">
        <f t="shared" si="6"/>
        <v>5.3571428571428568E-2</v>
      </c>
      <c r="H25" s="126">
        <f>IFERROR(('AHP Domain Weights'!$B$17*$F25+(1-'AHP Domain Weights'!$B$17)*$G25)/SUMPRODUCT('AHP Domain Weights'!$B$17*$F$21:$F$37+(1-'AHP Domain Weights'!$B$17)*$G$21:$G$37),0)</f>
        <v>7.678571428571429E-2</v>
      </c>
    </row>
    <row r="26" spans="1:8">
      <c r="A26" s="124" t="s">
        <v>69</v>
      </c>
      <c r="B26" s="125" t="s">
        <v>827</v>
      </c>
      <c r="C26" s="126">
        <f>'AHP Domain Weights'!$I$5</f>
        <v>0.16009999999999999</v>
      </c>
      <c r="D26" s="115">
        <f>IFERROR(SUMIFS(_TECH_Industry_Templates!$C:$C,_TECH_Industry_Templates!$A:$A,'Company Profile'!$B$9,_TECH_Industry_Templates!$B:$B,$A26),1)</f>
        <v>3</v>
      </c>
      <c r="E26" s="127">
        <f t="shared" si="4"/>
        <v>0.27272727272727271</v>
      </c>
      <c r="F26" s="126">
        <f t="shared" si="5"/>
        <v>4.3663636363636356E-2</v>
      </c>
      <c r="G26" s="126">
        <f t="shared" si="6"/>
        <v>5.3571428571428568E-2</v>
      </c>
      <c r="H26" s="126">
        <f>IFERROR(('AHP Domain Weights'!$B$17*$F26+(1-'AHP Domain Weights'!$B$17)*$G26)/SUMPRODUCT('AHP Domain Weights'!$B$17*$F$21:$F$37+(1-'AHP Domain Weights'!$B$17)*$G$21:$G$37),0)</f>
        <v>4.8617532467532462E-2</v>
      </c>
    </row>
    <row r="27" spans="1:8">
      <c r="A27" s="124" t="s">
        <v>72</v>
      </c>
      <c r="B27" s="125" t="s">
        <v>830</v>
      </c>
      <c r="C27" s="126">
        <f>'AHP Domain Weights'!$I$8</f>
        <v>0.14979999999999999</v>
      </c>
      <c r="D27" s="115">
        <f>IFERROR(SUMIFS(_TECH_Industry_Templates!$C:$C,_TECH_Industry_Templates!$A:$A,'Company Profile'!$B$9,_TECH_Industry_Templates!$B:$B,$A27),1)</f>
        <v>2</v>
      </c>
      <c r="E27" s="127">
        <f t="shared" si="4"/>
        <v>0.2</v>
      </c>
      <c r="F27" s="126">
        <f t="shared" si="5"/>
        <v>2.9960000000000001E-2</v>
      </c>
      <c r="G27" s="126">
        <f t="shared" si="6"/>
        <v>3.5714285714285712E-2</v>
      </c>
      <c r="H27" s="126">
        <f>IFERROR(('AHP Domain Weights'!$B$17*$F27+(1-'AHP Domain Weights'!$B$17)*$G27)/SUMPRODUCT('AHP Domain Weights'!$B$17*$F$21:$F$37+(1-'AHP Domain Weights'!$B$17)*$G$21:$G$37),0)</f>
        <v>3.2837142857142856E-2</v>
      </c>
    </row>
    <row r="28" spans="1:8">
      <c r="A28" s="124" t="s">
        <v>75</v>
      </c>
      <c r="B28" s="125" t="s">
        <v>829</v>
      </c>
      <c r="C28" s="126">
        <f>'AHP Domain Weights'!$I$7</f>
        <v>0.2198</v>
      </c>
      <c r="D28" s="115">
        <f>IFERROR(SUMIFS(_TECH_Industry_Templates!$C:$C,_TECH_Industry_Templates!$A:$A,'Company Profile'!$B$9,_TECH_Industry_Templates!$B:$B,$A28),1)</f>
        <v>5</v>
      </c>
      <c r="E28" s="127">
        <f t="shared" si="4"/>
        <v>0.55555555555555558</v>
      </c>
      <c r="F28" s="126">
        <f t="shared" si="5"/>
        <v>0.12211111111111111</v>
      </c>
      <c r="G28" s="126">
        <f t="shared" si="6"/>
        <v>8.9285714285714288E-2</v>
      </c>
      <c r="H28" s="126">
        <f>IFERROR(('AHP Domain Weights'!$B$17*$F28+(1-'AHP Domain Weights'!$B$17)*$G28)/SUMPRODUCT('AHP Domain Weights'!$B$17*$F$21:$F$37+(1-'AHP Domain Weights'!$B$17)*$G$21:$G$37),0)</f>
        <v>0.10569841269841271</v>
      </c>
    </row>
    <row r="29" spans="1:8">
      <c r="A29" s="124" t="s">
        <v>78</v>
      </c>
      <c r="B29" s="125" t="s">
        <v>829</v>
      </c>
      <c r="C29" s="126">
        <f>'AHP Domain Weights'!$I$7</f>
        <v>0.2198</v>
      </c>
      <c r="D29" s="115">
        <f>IFERROR(SUMIFS(_TECH_Industry_Templates!$C:$C,_TECH_Industry_Templates!$A:$A,'Company Profile'!$B$9,_TECH_Industry_Templates!$B:$B,$A29),1)</f>
        <v>3</v>
      </c>
      <c r="E29" s="127">
        <f t="shared" si="4"/>
        <v>0.33333333333333331</v>
      </c>
      <c r="F29" s="126">
        <f t="shared" si="5"/>
        <v>7.3266666666666661E-2</v>
      </c>
      <c r="G29" s="126">
        <f t="shared" si="6"/>
        <v>5.3571428571428568E-2</v>
      </c>
      <c r="H29" s="126">
        <f>IFERROR(('AHP Domain Weights'!$B$17*$F29+(1-'AHP Domain Weights'!$B$17)*$G29)/SUMPRODUCT('AHP Domain Weights'!$B$17*$F$21:$F$37+(1-'AHP Domain Weights'!$B$17)*$G$21:$G$37),0)</f>
        <v>6.3419047619047611E-2</v>
      </c>
    </row>
    <row r="30" spans="1:8">
      <c r="A30" s="124" t="s">
        <v>81</v>
      </c>
      <c r="B30" s="125" t="s">
        <v>829</v>
      </c>
      <c r="C30" s="126">
        <f>'AHP Domain Weights'!$I$7</f>
        <v>0.2198</v>
      </c>
      <c r="D30" s="115">
        <f>IFERROR(SUMIFS(_TECH_Industry_Templates!$C:$C,_TECH_Industry_Templates!$A:$A,'Company Profile'!$B$9,_TECH_Industry_Templates!$B:$B,$A30),1)</f>
        <v>1</v>
      </c>
      <c r="E30" s="127">
        <f t="shared" si="4"/>
        <v>0.1111111111111111</v>
      </c>
      <c r="F30" s="126">
        <f t="shared" si="5"/>
        <v>2.442222222222222E-2</v>
      </c>
      <c r="G30" s="126">
        <f t="shared" si="6"/>
        <v>1.7857142857142856E-2</v>
      </c>
      <c r="H30" s="126">
        <f>IFERROR(('AHP Domain Weights'!$B$17*$F30+(1-'AHP Domain Weights'!$B$17)*$G30)/SUMPRODUCT('AHP Domain Weights'!$B$17*$F$21:$F$37+(1-'AHP Domain Weights'!$B$17)*$G$21:$G$37),0)</f>
        <v>2.1139682539682538E-2</v>
      </c>
    </row>
    <row r="31" spans="1:8">
      <c r="A31" s="124" t="s">
        <v>84</v>
      </c>
      <c r="B31" s="125" t="s">
        <v>831</v>
      </c>
      <c r="C31" s="126">
        <f>'AHP Domain Weights'!$I$9</f>
        <v>0.1201</v>
      </c>
      <c r="D31" s="115">
        <f>IFERROR(SUMIFS(_TECH_Industry_Templates!$C:$C,_TECH_Industry_Templates!$A:$A,'Company Profile'!$B$9,_TECH_Industry_Templates!$B:$B,$A31),1)</f>
        <v>4</v>
      </c>
      <c r="E31" s="127">
        <f t="shared" si="4"/>
        <v>0.4</v>
      </c>
      <c r="F31" s="126">
        <f t="shared" si="5"/>
        <v>4.8039999999999999E-2</v>
      </c>
      <c r="G31" s="126">
        <f t="shared" si="6"/>
        <v>7.1428571428571425E-2</v>
      </c>
      <c r="H31" s="126">
        <f>IFERROR(('AHP Domain Weights'!$B$17*$F31+(1-'AHP Domain Weights'!$B$17)*$G31)/SUMPRODUCT('AHP Domain Weights'!$B$17*$F$21:$F$37+(1-'AHP Domain Weights'!$B$17)*$G$21:$G$37),0)</f>
        <v>5.9734285714285712E-2</v>
      </c>
    </row>
    <row r="32" spans="1:8">
      <c r="A32" s="124" t="s">
        <v>87</v>
      </c>
      <c r="B32" s="125" t="s">
        <v>831</v>
      </c>
      <c r="C32" s="126">
        <f>'AHP Domain Weights'!$I$9</f>
        <v>0.1201</v>
      </c>
      <c r="D32" s="115">
        <f>IFERROR(SUMIFS(_TECH_Industry_Templates!$C:$C,_TECH_Industry_Templates!$A:$A,'Company Profile'!$B$9,_TECH_Industry_Templates!$B:$B,$A32),1)</f>
        <v>3</v>
      </c>
      <c r="E32" s="127">
        <f t="shared" si="4"/>
        <v>0.3</v>
      </c>
      <c r="F32" s="126">
        <f t="shared" si="5"/>
        <v>3.603E-2</v>
      </c>
      <c r="G32" s="126">
        <f t="shared" si="6"/>
        <v>5.3571428571428568E-2</v>
      </c>
      <c r="H32" s="126">
        <f>IFERROR(('AHP Domain Weights'!$B$17*$F32+(1-'AHP Domain Weights'!$B$17)*$G32)/SUMPRODUCT('AHP Domain Weights'!$B$17*$F$21:$F$37+(1-'AHP Domain Weights'!$B$17)*$G$21:$G$37),0)</f>
        <v>4.4800714285714284E-2</v>
      </c>
    </row>
    <row r="33" spans="1:8">
      <c r="A33" s="124" t="s">
        <v>90</v>
      </c>
      <c r="B33" s="125" t="s">
        <v>828</v>
      </c>
      <c r="C33" s="126">
        <f>'AHP Domain Weights'!$I$6</f>
        <v>0.25019999999999998</v>
      </c>
      <c r="D33" s="115">
        <f>IFERROR(SUMIFS(_TECH_Industry_Templates!$C:$C,_TECH_Industry_Templates!$A:$A,'Company Profile'!$B$9,_TECH_Industry_Templates!$B:$B,$A33),1)</f>
        <v>3</v>
      </c>
      <c r="E33" s="127">
        <f t="shared" si="4"/>
        <v>0.23076923076923078</v>
      </c>
      <c r="F33" s="126">
        <f t="shared" si="5"/>
        <v>5.7738461538461537E-2</v>
      </c>
      <c r="G33" s="126">
        <f t="shared" si="6"/>
        <v>5.3571428571428568E-2</v>
      </c>
      <c r="H33" s="126">
        <f>IFERROR(('AHP Domain Weights'!$B$17*$F33+(1-'AHP Domain Weights'!$B$17)*$G33)/SUMPRODUCT('AHP Domain Weights'!$B$17*$F$21:$F$37+(1-'AHP Domain Weights'!$B$17)*$G$21:$G$37),0)</f>
        <v>5.5654945054945053E-2</v>
      </c>
    </row>
    <row r="34" spans="1:8">
      <c r="A34" s="124" t="s">
        <v>91</v>
      </c>
      <c r="B34" s="125" t="s">
        <v>828</v>
      </c>
      <c r="C34" s="126">
        <f>'AHP Domain Weights'!$I$6</f>
        <v>0.25019999999999998</v>
      </c>
      <c r="D34" s="115">
        <f>IFERROR(SUMIFS(_TECH_Industry_Templates!$C:$C,_TECH_Industry_Templates!$A:$A,'Company Profile'!$B$9,_TECH_Industry_Templates!$B:$B,$A34),1)</f>
        <v>4</v>
      </c>
      <c r="E34" s="127">
        <f t="shared" si="4"/>
        <v>0.30769230769230771</v>
      </c>
      <c r="F34" s="126">
        <f t="shared" si="5"/>
        <v>7.6984615384615387E-2</v>
      </c>
      <c r="G34" s="126">
        <f t="shared" si="6"/>
        <v>7.1428571428571425E-2</v>
      </c>
      <c r="H34" s="126">
        <f>IFERROR(('AHP Domain Weights'!$B$17*$F34+(1-'AHP Domain Weights'!$B$17)*$G34)/SUMPRODUCT('AHP Domain Weights'!$B$17*$F$21:$F$37+(1-'AHP Domain Weights'!$B$17)*$G$21:$G$37),0)</f>
        <v>7.4206593406593413E-2</v>
      </c>
    </row>
    <row r="35" spans="1:8">
      <c r="A35" s="124" t="s">
        <v>92</v>
      </c>
      <c r="B35" s="125" t="s">
        <v>828</v>
      </c>
      <c r="C35" s="126">
        <f>'AHP Domain Weights'!$I$6</f>
        <v>0.25019999999999998</v>
      </c>
      <c r="D35" s="115">
        <f>IFERROR(SUMIFS(_TECH_Industry_Templates!$C:$C,_TECH_Industry_Templates!$A:$A,'Company Profile'!$B$9,_TECH_Industry_Templates!$B:$B,$A35),1)</f>
        <v>3</v>
      </c>
      <c r="E35" s="127">
        <f t="shared" si="4"/>
        <v>0.23076923076923078</v>
      </c>
      <c r="F35" s="126">
        <f t="shared" si="5"/>
        <v>5.7738461538461537E-2</v>
      </c>
      <c r="G35" s="126">
        <f t="shared" si="6"/>
        <v>5.3571428571428568E-2</v>
      </c>
      <c r="H35" s="126">
        <f>IFERROR(('AHP Domain Weights'!$B$17*$F35+(1-'AHP Domain Weights'!$B$17)*$G35)/SUMPRODUCT('AHP Domain Weights'!$B$17*$F$21:$F$37+(1-'AHP Domain Weights'!$B$17)*$G$21:$G$37),0)</f>
        <v>5.5654945054945053E-2</v>
      </c>
    </row>
    <row r="36" spans="1:8">
      <c r="A36" s="124" t="s">
        <v>93</v>
      </c>
      <c r="B36" s="125" t="s">
        <v>828</v>
      </c>
      <c r="C36" s="126">
        <f>'AHP Domain Weights'!$I$6</f>
        <v>0.25019999999999998</v>
      </c>
      <c r="D36" s="115">
        <f>IFERROR(SUMIFS(_TECH_Industry_Templates!$C:$C,_TECH_Industry_Templates!$A:$A,'Company Profile'!$B$9,_TECH_Industry_Templates!$B:$B,$A36),1)</f>
        <v>3</v>
      </c>
      <c r="E36" s="127">
        <f t="shared" si="4"/>
        <v>0.23076923076923078</v>
      </c>
      <c r="F36" s="126">
        <f t="shared" si="5"/>
        <v>5.7738461538461537E-2</v>
      </c>
      <c r="G36" s="126">
        <f t="shared" si="6"/>
        <v>5.3571428571428568E-2</v>
      </c>
      <c r="H36" s="126">
        <f>IFERROR(('AHP Domain Weights'!$B$17*$F36+(1-'AHP Domain Weights'!$B$17)*$G36)/SUMPRODUCT('AHP Domain Weights'!$B$17*$F$21:$F$37+(1-'AHP Domain Weights'!$B$17)*$G$21:$G$37),0)</f>
        <v>5.5654945054945053E-2</v>
      </c>
    </row>
    <row r="37" spans="1:8">
      <c r="A37" s="124" t="s">
        <v>94</v>
      </c>
      <c r="B37" s="125" t="s">
        <v>827</v>
      </c>
      <c r="C37" s="126">
        <f>'AHP Domain Weights'!$I$5</f>
        <v>0.16009999999999999</v>
      </c>
      <c r="D37" s="115">
        <f>IFERROR(SUMIFS(_TECH_Industry_Templates!$C:$C,_TECH_Industry_Templates!$A:$A,'Company Profile'!$B$9,_TECH_Industry_Templates!$B:$B,$A37),1)</f>
        <v>5</v>
      </c>
      <c r="E37" s="127">
        <f t="shared" si="4"/>
        <v>0.45454545454545453</v>
      </c>
      <c r="F37" s="126">
        <f t="shared" si="5"/>
        <v>7.2772727272727267E-2</v>
      </c>
      <c r="G37" s="126">
        <f t="shared" si="6"/>
        <v>8.9285714285714288E-2</v>
      </c>
      <c r="H37" s="126">
        <f>IFERROR(('AHP Domain Weights'!$B$17*$F37+(1-'AHP Domain Weights'!$B$17)*$G37)/SUMPRODUCT('AHP Domain Weights'!$B$17*$F$21:$F$37+(1-'AHP Domain Weights'!$B$17)*$G$21:$G$37),0)</f>
        <v>8.1029220779220784E-2</v>
      </c>
    </row>
    <row r="38" spans="1:8">
      <c r="G38" t="s">
        <v>850</v>
      </c>
      <c r="H38" s="123">
        <f>SUM(H21:H37)</f>
        <v>1</v>
      </c>
    </row>
  </sheetData>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legacyDrawing r:id="rId1"/>
</worksheet>
</file>

<file path=xl/worksheets/sheet1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F00-000000000000}">
  <sheetPr>
    <tabColor rgb="FF548235"/>
  </sheetPr>
  <dimension ref="A1:AC99"/>
  <sheetViews>
    <sheetView workbookViewId="0"/>
  </sheetViews>
  <sheetFormatPr defaultRowHeight="14.25"/>
  <cols>
    <col min="1" max="1" width="9" customWidth="1"/>
    <col min="2" max="2" width="26" customWidth="1"/>
    <col min="27" max="29" width="13" hidden="1" customWidth="1"/>
  </cols>
  <sheetData>
    <row r="1" spans="1:29" ht="18">
      <c r="A1" s="99" t="s">
        <v>851</v>
      </c>
    </row>
    <row r="2" spans="1:29">
      <c r="A2" s="100" t="s">
        <v>852</v>
      </c>
    </row>
    <row r="4" spans="1:29" ht="15">
      <c r="A4" s="107" t="s">
        <v>853</v>
      </c>
      <c r="J4" t="s">
        <v>854</v>
      </c>
      <c r="K4" s="147">
        <v>0.12</v>
      </c>
    </row>
    <row r="5" spans="1:29">
      <c r="A5" t="s">
        <v>855</v>
      </c>
      <c r="B5" t="s">
        <v>856</v>
      </c>
      <c r="C5" t="s">
        <v>857</v>
      </c>
      <c r="D5" t="s">
        <v>858</v>
      </c>
      <c r="E5" t="s">
        <v>859</v>
      </c>
      <c r="F5" t="s">
        <v>860</v>
      </c>
      <c r="G5" t="s">
        <v>861</v>
      </c>
      <c r="J5" t="s">
        <v>862</v>
      </c>
      <c r="K5" s="147">
        <v>3</v>
      </c>
    </row>
    <row r="6" spans="1:29">
      <c r="A6" s="155">
        <v>0.25</v>
      </c>
      <c r="B6" s="155">
        <v>0.2</v>
      </c>
      <c r="C6" s="155">
        <v>0.12</v>
      </c>
      <c r="D6" s="155">
        <v>0.1</v>
      </c>
      <c r="E6" s="155">
        <v>0.13</v>
      </c>
      <c r="F6" s="155">
        <v>0.1</v>
      </c>
      <c r="G6" s="155">
        <v>0.1</v>
      </c>
      <c r="J6" t="s">
        <v>863</v>
      </c>
      <c r="K6" s="147">
        <v>250</v>
      </c>
    </row>
    <row r="8" spans="1:29" ht="25.5">
      <c r="A8" s="110" t="s">
        <v>864</v>
      </c>
      <c r="B8" s="110" t="s">
        <v>197</v>
      </c>
      <c r="C8" s="110" t="s">
        <v>36</v>
      </c>
      <c r="D8" s="110" t="s">
        <v>865</v>
      </c>
      <c r="E8" s="110" t="s">
        <v>866</v>
      </c>
      <c r="F8" s="110" t="s">
        <v>867</v>
      </c>
      <c r="G8" s="110" t="s">
        <v>868</v>
      </c>
      <c r="H8" s="110" t="s">
        <v>869</v>
      </c>
      <c r="I8" s="110" t="s">
        <v>870</v>
      </c>
      <c r="J8" s="110" t="s">
        <v>871</v>
      </c>
      <c r="K8" s="110" t="s">
        <v>872</v>
      </c>
      <c r="L8" s="110" t="s">
        <v>873</v>
      </c>
      <c r="M8" s="110" t="s">
        <v>874</v>
      </c>
      <c r="N8" s="110" t="s">
        <v>875</v>
      </c>
      <c r="O8" s="110" t="s">
        <v>876</v>
      </c>
      <c r="P8" s="110" t="s">
        <v>877</v>
      </c>
      <c r="Q8" s="110" t="s">
        <v>878</v>
      </c>
      <c r="R8" s="110" t="s">
        <v>879</v>
      </c>
      <c r="S8" s="110" t="s">
        <v>880</v>
      </c>
      <c r="T8" s="110" t="s">
        <v>881</v>
      </c>
      <c r="U8" s="110" t="s">
        <v>882</v>
      </c>
      <c r="V8" s="110" t="s">
        <v>883</v>
      </c>
      <c r="W8" s="110" t="s">
        <v>884</v>
      </c>
      <c r="X8" s="110" t="s">
        <v>885</v>
      </c>
      <c r="Y8" s="110" t="s">
        <v>886</v>
      </c>
      <c r="Z8" s="110" t="s">
        <v>887</v>
      </c>
    </row>
    <row r="9" spans="1:29">
      <c r="A9" s="133" t="str">
        <f>IF(IFERROR(_TECH_Initiative_Library!A5,"")="","",_TECH_Initiative_Library!A5)</f>
        <v>INI-001</v>
      </c>
      <c r="B9" s="133" t="str">
        <f>IF(IFERROR(_TECH_Initiative_Library!A5,"")="","",_TECH_Initiative_Library!F5)</f>
        <v>Create company context, entity and operating model register</v>
      </c>
      <c r="C9" s="133" t="str">
        <f>IF(IFERROR(_TECH_Initiative_Library!A5,"")="","",_TECH_Initiative_Library!B5)</f>
        <v>Company Geography</v>
      </c>
      <c r="D9">
        <f ca="1">IF(IFERROR(_TECH_Initiative_Library!A5,"")="","",N(IFERROR(_TECH_Initiative_Library!X5,0)))</f>
        <v>0</v>
      </c>
      <c r="E9">
        <f>IF(IFERROR(_TECH_Initiative_Library!A5,"")="","",N(IFERROR(_TECH_Initiative_Library!U5,0)))</f>
        <v>2</v>
      </c>
      <c r="F9">
        <f ca="1">IF(IFERROR(_TECH_Initiative_Library!A5,"")="","",N(IFERROR(_TECH_Initiative_Library!Y5,0)))</f>
        <v>3</v>
      </c>
      <c r="G9">
        <f>IF(IFERROR(_TECH_Initiative_Library!A5,"")="","",N(IFERROR(_TECH_Initiative_Library!AA5,0)))</f>
        <v>4</v>
      </c>
      <c r="H9">
        <f>IF(IFERROR(_TECH_Initiative_Library!A5,"")="","",N(IFERROR(_TECH_Initiative_Library!V5,0)))</f>
        <v>5</v>
      </c>
      <c r="I9">
        <f>IF(IFERROR(_TECH_Initiative_Library!A5,"")="","",IF(N(IFERROR(_TECH_Initiative_Library!AB5,0))=0,"",6-N(IFERROR(_TECH_Initiative_Library!AB5,0))))</f>
        <v>4</v>
      </c>
      <c r="J9">
        <f>IF(IFERROR(_TECH_Initiative_Library!A5,"")="","",IF(N(IFERROR(_TECH_Initiative_Library!AB5,0))=0,"",6-N(IFERROR(_TECH_Initiative_Library!AB5,0))))</f>
        <v>4</v>
      </c>
      <c r="K9" s="134">
        <f ca="1">IF(IFERROR(_TECH_Initiative_Library!A5,"")="","",ROUND(($A$6*N(D9)+$B$6*N(E9)+$C$6*N(F9)+$D$6*N(G9)+$E$6*N(H9)+$F$6*N(I9)+$G$6*N(J9))/5*100,1))</f>
        <v>52.2</v>
      </c>
      <c r="L9" s="156"/>
      <c r="M9" s="156"/>
      <c r="N9" s="156"/>
      <c r="O9" s="134" t="str">
        <f>IF(IFERROR(_TECH_Initiative_Library!A5,"")="","",IF(AND(L9&lt;&gt;"",N9&lt;&gt;"",M9&lt;&gt;""),(L9+4*M9+N9)/6,IF(M9&lt;&gt;"",M9,"")))</f>
        <v/>
      </c>
      <c r="P9" s="134" t="str">
        <f t="shared" ref="P9:P40" si="0">IF(OR(L9="",N9=""),"",ABS(L9-N9)/6)</f>
        <v/>
      </c>
      <c r="Q9" s="156"/>
      <c r="R9" s="156"/>
      <c r="S9" s="156"/>
      <c r="T9" t="str">
        <f>IF(IFERROR(_TECH_Initiative_Library!A5,"")="","",IF(AND(Q9&lt;&gt;"",S9&lt;&gt;"",R9&lt;&gt;""),(Q9+4*R9+S9)/6,IF(R9&lt;&gt;"",R9,"")))</f>
        <v/>
      </c>
      <c r="U9" s="134" t="str">
        <f t="shared" ref="U9:U40" si="1">IF(OR(O9="",T9=""),"",T9-O9)</f>
        <v/>
      </c>
      <c r="V9" t="str">
        <f t="shared" ref="V9:V40" si="2">IF(OR(O9="",O9=0,T9=""),"",ROUND((T9-O9)/O9*100,0))</f>
        <v/>
      </c>
      <c r="W9" t="str">
        <f t="shared" ref="W9:W40" si="3">IF(OR(O9="",T9="",T9=0),"",ROUND(O9/(T9/12),1))</f>
        <v/>
      </c>
      <c r="X9" s="134" t="str">
        <f t="shared" ref="X9:X40" si="4">IF(OR(O9="",T9=""),"",ROUND(T9*(1-(1+$K$4)^-$K$5)/$K$4-O9,1))</f>
        <v/>
      </c>
      <c r="Y9">
        <f t="shared" ref="Y9:Y40" ca="1" si="5">IF($A9="","",SUMPRODUCT(($AC$9:$AC$80&gt;$AC9)*($A$9:$A$80&lt;&gt;""))+1)</f>
        <v>18</v>
      </c>
      <c r="Z9" s="13" t="str">
        <f t="shared" ref="Z9:Z40" si="6">IF($A9="","",IF(SUM($AA$9:$AA$80)=0,"set €",IF(SUMPRODUCT(($Y$9:$Y$80&lt;=$Y9)*$AA$9:$AA$80)&lt;=$K$6,"Yes","No")))</f>
        <v>set €</v>
      </c>
      <c r="AA9">
        <f t="shared" ref="AA9:AA40" si="7">IF($A9="",0,IF($O9="",0,$O9))</f>
        <v>0</v>
      </c>
      <c r="AB9">
        <f t="shared" ref="AB9:AB40" si="8">IF($A9="",0,IF($X9="",0,$X9))</f>
        <v>0</v>
      </c>
      <c r="AC9">
        <f t="shared" ref="AC9:AC40" ca="1" si="9">IF($A9="",0,IF($K9="",0,$K9))</f>
        <v>52.2</v>
      </c>
    </row>
    <row r="10" spans="1:29">
      <c r="A10" s="133" t="str">
        <f>IF(IFERROR(_TECH_Initiative_Library!A6,"")="","",_TECH_Initiative_Library!A6)</f>
        <v>INI-002</v>
      </c>
      <c r="B10" s="133" t="str">
        <f>IF(IFERROR(_TECH_Initiative_Library!A6,"")="","",_TECH_Initiative_Library!F6)</f>
        <v>Build geographic exposure and site continuity model</v>
      </c>
      <c r="C10" s="133" t="str">
        <f>IF(IFERROR(_TECH_Initiative_Library!A6,"")="","",_TECH_Initiative_Library!B6)</f>
        <v>Company Geography</v>
      </c>
      <c r="D10">
        <f ca="1">IF(IFERROR(_TECH_Initiative_Library!A6,"")="","",N(IFERROR(_TECH_Initiative_Library!X6,0)))</f>
        <v>0</v>
      </c>
      <c r="E10">
        <f>IF(IFERROR(_TECH_Initiative_Library!A6,"")="","",N(IFERROR(_TECH_Initiative_Library!U6,0)))</f>
        <v>2</v>
      </c>
      <c r="F10">
        <f ca="1">IF(IFERROR(_TECH_Initiative_Library!A6,"")="","",N(IFERROR(_TECH_Initiative_Library!Y6,0)))</f>
        <v>3</v>
      </c>
      <c r="G10">
        <f>IF(IFERROR(_TECH_Initiative_Library!A6,"")="","",N(IFERROR(_TECH_Initiative_Library!AA6,0)))</f>
        <v>4</v>
      </c>
      <c r="H10">
        <f>IF(IFERROR(_TECH_Initiative_Library!A6,"")="","",N(IFERROR(_TECH_Initiative_Library!V6,0)))</f>
        <v>5</v>
      </c>
      <c r="I10">
        <f>IF(IFERROR(_TECH_Initiative_Library!A6,"")="","",IF(N(IFERROR(_TECH_Initiative_Library!AB6,0))=0,"",6-N(IFERROR(_TECH_Initiative_Library!AB6,0))))</f>
        <v>4</v>
      </c>
      <c r="J10">
        <f>IF(IFERROR(_TECH_Initiative_Library!A6,"")="","",IF(N(IFERROR(_TECH_Initiative_Library!AB6,0))=0,"",6-N(IFERROR(_TECH_Initiative_Library!AB6,0))))</f>
        <v>4</v>
      </c>
      <c r="K10" s="134">
        <f ca="1">IF(IFERROR(_TECH_Initiative_Library!A6,"")="","",ROUND(($A$6*N(D10)+$B$6*N(E10)+$C$6*N(F10)+$D$6*N(G10)+$E$6*N(H10)+$F$6*N(I10)+$G$6*N(J10))/5*100,1))</f>
        <v>52.2</v>
      </c>
      <c r="L10" s="156"/>
      <c r="M10" s="156"/>
      <c r="N10" s="156"/>
      <c r="O10" s="134" t="str">
        <f>IF(IFERROR(_TECH_Initiative_Library!A6,"")="","",IF(AND(L10&lt;&gt;"",N10&lt;&gt;"",M10&lt;&gt;""),(L10+4*M10+N10)/6,IF(M10&lt;&gt;"",M10,"")))</f>
        <v/>
      </c>
      <c r="P10" s="134" t="str">
        <f t="shared" si="0"/>
        <v/>
      </c>
      <c r="Q10" s="156"/>
      <c r="R10" s="156"/>
      <c r="S10" s="156"/>
      <c r="T10" t="str">
        <f>IF(IFERROR(_TECH_Initiative_Library!A6,"")="","",IF(AND(Q10&lt;&gt;"",S10&lt;&gt;"",R10&lt;&gt;""),(Q10+4*R10+S10)/6,IF(R10&lt;&gt;"",R10,"")))</f>
        <v/>
      </c>
      <c r="U10" s="134" t="str">
        <f t="shared" si="1"/>
        <v/>
      </c>
      <c r="V10" t="str">
        <f t="shared" si="2"/>
        <v/>
      </c>
      <c r="W10" t="str">
        <f t="shared" si="3"/>
        <v/>
      </c>
      <c r="X10" s="134" t="str">
        <f t="shared" si="4"/>
        <v/>
      </c>
      <c r="Y10">
        <f t="shared" ca="1" si="5"/>
        <v>18</v>
      </c>
      <c r="Z10" s="13" t="str">
        <f t="shared" si="6"/>
        <v>set €</v>
      </c>
      <c r="AA10">
        <f t="shared" si="7"/>
        <v>0</v>
      </c>
      <c r="AB10">
        <f t="shared" si="8"/>
        <v>0</v>
      </c>
      <c r="AC10">
        <f t="shared" ca="1" si="9"/>
        <v>52.2</v>
      </c>
    </row>
    <row r="11" spans="1:29">
      <c r="A11" s="133" t="str">
        <f>IF(IFERROR(_TECH_Initiative_Library!A7,"")="","",_TECH_Initiative_Library!A7)</f>
        <v>INI-003</v>
      </c>
      <c r="B11" s="133" t="str">
        <f>IF(IFERROR(_TECH_Initiative_Library!A7,"")="","",_TECH_Initiative_Library!F7)</f>
        <v>Map critical business dependencies and external exposures</v>
      </c>
      <c r="C11" s="133" t="str">
        <f>IF(IFERROR(_TECH_Initiative_Library!A7,"")="","",_TECH_Initiative_Library!B7)</f>
        <v>Company Geography</v>
      </c>
      <c r="D11">
        <f ca="1">IF(IFERROR(_TECH_Initiative_Library!A7,"")="","",N(IFERROR(_TECH_Initiative_Library!X7,0)))</f>
        <v>0</v>
      </c>
      <c r="E11">
        <f>IF(IFERROR(_TECH_Initiative_Library!A7,"")="","",N(IFERROR(_TECH_Initiative_Library!U7,0)))</f>
        <v>2</v>
      </c>
      <c r="F11">
        <f ca="1">IF(IFERROR(_TECH_Initiative_Library!A7,"")="","",N(IFERROR(_TECH_Initiative_Library!Y7,0)))</f>
        <v>3</v>
      </c>
      <c r="G11">
        <f>IF(IFERROR(_TECH_Initiative_Library!A7,"")="","",N(IFERROR(_TECH_Initiative_Library!AA7,0)))</f>
        <v>4</v>
      </c>
      <c r="H11">
        <f>IF(IFERROR(_TECH_Initiative_Library!A7,"")="","",N(IFERROR(_TECH_Initiative_Library!V7,0)))</f>
        <v>5</v>
      </c>
      <c r="I11">
        <f>IF(IFERROR(_TECH_Initiative_Library!A7,"")="","",IF(N(IFERROR(_TECH_Initiative_Library!AB7,0))=0,"",6-N(IFERROR(_TECH_Initiative_Library!AB7,0))))</f>
        <v>4</v>
      </c>
      <c r="J11">
        <f>IF(IFERROR(_TECH_Initiative_Library!A7,"")="","",IF(N(IFERROR(_TECH_Initiative_Library!AB7,0))=0,"",6-N(IFERROR(_TECH_Initiative_Library!AB7,0))))</f>
        <v>4</v>
      </c>
      <c r="K11" s="134">
        <f ca="1">IF(IFERROR(_TECH_Initiative_Library!A7,"")="","",ROUND(($A$6*N(D11)+$B$6*N(E11)+$C$6*N(F11)+$D$6*N(G11)+$E$6*N(H11)+$F$6*N(I11)+$G$6*N(J11))/5*100,1))</f>
        <v>52.2</v>
      </c>
      <c r="L11" s="156"/>
      <c r="M11" s="156"/>
      <c r="N11" s="156"/>
      <c r="O11" s="134" t="str">
        <f>IF(IFERROR(_TECH_Initiative_Library!A7,"")="","",IF(AND(L11&lt;&gt;"",N11&lt;&gt;"",M11&lt;&gt;""),(L11+4*M11+N11)/6,IF(M11&lt;&gt;"",M11,"")))</f>
        <v/>
      </c>
      <c r="P11" s="134" t="str">
        <f t="shared" si="0"/>
        <v/>
      </c>
      <c r="Q11" s="156"/>
      <c r="R11" s="156"/>
      <c r="S11" s="156"/>
      <c r="T11" t="str">
        <f>IF(IFERROR(_TECH_Initiative_Library!A7,"")="","",IF(AND(Q11&lt;&gt;"",S11&lt;&gt;"",R11&lt;&gt;""),(Q11+4*R11+S11)/6,IF(R11&lt;&gt;"",R11,"")))</f>
        <v/>
      </c>
      <c r="U11" s="134" t="str">
        <f t="shared" si="1"/>
        <v/>
      </c>
      <c r="V11" t="str">
        <f t="shared" si="2"/>
        <v/>
      </c>
      <c r="W11" t="str">
        <f t="shared" si="3"/>
        <v/>
      </c>
      <c r="X11" s="134" t="str">
        <f t="shared" si="4"/>
        <v/>
      </c>
      <c r="Y11">
        <f t="shared" ca="1" si="5"/>
        <v>18</v>
      </c>
      <c r="Z11" s="13" t="str">
        <f t="shared" si="6"/>
        <v>set €</v>
      </c>
      <c r="AA11">
        <f t="shared" si="7"/>
        <v>0</v>
      </c>
      <c r="AB11">
        <f t="shared" si="8"/>
        <v>0</v>
      </c>
      <c r="AC11">
        <f t="shared" ca="1" si="9"/>
        <v>52.2</v>
      </c>
    </row>
    <row r="12" spans="1:29">
      <c r="A12" s="133" t="str">
        <f>IF(IFERROR(_TECH_Initiative_Library!A8,"")="","",_TECH_Initiative_Library!A8)</f>
        <v>INI-004</v>
      </c>
      <c r="B12" s="133" t="str">
        <f>IF(IFERROR(_TECH_Initiative_Library!A8,"")="","",_TECH_Initiative_Library!F8)</f>
        <v>Stress-test corporate strategy and decision assumptions</v>
      </c>
      <c r="C12" s="133" t="str">
        <f>IF(IFERROR(_TECH_Initiative_Library!A8,"")="","",_TECH_Initiative_Library!B8)</f>
        <v>Strategy GTM</v>
      </c>
      <c r="D12">
        <f ca="1">IF(IFERROR(_TECH_Initiative_Library!A8,"")="","",N(IFERROR(_TECH_Initiative_Library!X8,0)))</f>
        <v>0</v>
      </c>
      <c r="E12">
        <f>IF(IFERROR(_TECH_Initiative_Library!A8,"")="","",N(IFERROR(_TECH_Initiative_Library!U8,0)))</f>
        <v>2</v>
      </c>
      <c r="F12">
        <f ca="1">IF(IFERROR(_TECH_Initiative_Library!A8,"")="","",N(IFERROR(_TECH_Initiative_Library!Y8,0)))</f>
        <v>2</v>
      </c>
      <c r="G12">
        <f>IF(IFERROR(_TECH_Initiative_Library!A8,"")="","",N(IFERROR(_TECH_Initiative_Library!AA8,0)))</f>
        <v>4</v>
      </c>
      <c r="H12">
        <f>IF(IFERROR(_TECH_Initiative_Library!A8,"")="","",N(IFERROR(_TECH_Initiative_Library!V8,0)))</f>
        <v>4</v>
      </c>
      <c r="I12">
        <f>IF(IFERROR(_TECH_Initiative_Library!A8,"")="","",IF(N(IFERROR(_TECH_Initiative_Library!AB8,0))=0,"",6-N(IFERROR(_TECH_Initiative_Library!AB8,0))))</f>
        <v>3</v>
      </c>
      <c r="J12">
        <f>IF(IFERROR(_TECH_Initiative_Library!A8,"")="","",IF(N(IFERROR(_TECH_Initiative_Library!AB8,0))=0,"",6-N(IFERROR(_TECH_Initiative_Library!AB8,0))))</f>
        <v>3</v>
      </c>
      <c r="K12" s="134">
        <f ca="1">IF(IFERROR(_TECH_Initiative_Library!A8,"")="","",ROUND(($A$6*N(D12)+$B$6*N(E12)+$C$6*N(F12)+$D$6*N(G12)+$E$6*N(H12)+$F$6*N(I12)+$G$6*N(J12))/5*100,1))</f>
        <v>43.2</v>
      </c>
      <c r="L12" s="156"/>
      <c r="M12" s="156"/>
      <c r="N12" s="156"/>
      <c r="O12" s="134" t="str">
        <f>IF(IFERROR(_TECH_Initiative_Library!A8,"")="","",IF(AND(L12&lt;&gt;"",N12&lt;&gt;"",M12&lt;&gt;""),(L12+4*M12+N12)/6,IF(M12&lt;&gt;"",M12,"")))</f>
        <v/>
      </c>
      <c r="P12" s="134" t="str">
        <f t="shared" si="0"/>
        <v/>
      </c>
      <c r="Q12" s="156"/>
      <c r="R12" s="156"/>
      <c r="S12" s="156"/>
      <c r="T12" t="str">
        <f>IF(IFERROR(_TECH_Initiative_Library!A8,"")="","",IF(AND(Q12&lt;&gt;"",S12&lt;&gt;"",R12&lt;&gt;""),(Q12+4*R12+S12)/6,IF(R12&lt;&gt;"",R12,"")))</f>
        <v/>
      </c>
      <c r="U12" s="134" t="str">
        <f t="shared" si="1"/>
        <v/>
      </c>
      <c r="V12" t="str">
        <f t="shared" si="2"/>
        <v/>
      </c>
      <c r="W12" t="str">
        <f t="shared" si="3"/>
        <v/>
      </c>
      <c r="X12" s="134" t="str">
        <f t="shared" si="4"/>
        <v/>
      </c>
      <c r="Y12">
        <f t="shared" ca="1" si="5"/>
        <v>71</v>
      </c>
      <c r="Z12" s="13" t="str">
        <f t="shared" si="6"/>
        <v>set €</v>
      </c>
      <c r="AA12">
        <f t="shared" si="7"/>
        <v>0</v>
      </c>
      <c r="AB12">
        <f t="shared" si="8"/>
        <v>0</v>
      </c>
      <c r="AC12">
        <f t="shared" ca="1" si="9"/>
        <v>43.2</v>
      </c>
    </row>
    <row r="13" spans="1:29">
      <c r="A13" s="133" t="str">
        <f>IF(IFERROR(_TECH_Initiative_Library!A9,"")="","",_TECH_Initiative_Library!A9)</f>
        <v>INI-005</v>
      </c>
      <c r="B13" s="133" t="str">
        <f>IF(IFERROR(_TECH_Initiative_Library!A9,"")="","",_TECH_Initiative_Library!F9)</f>
        <v>Define crisis-adjusted ICP, market segments and demand exposure</v>
      </c>
      <c r="C13" s="133" t="str">
        <f>IF(IFERROR(_TECH_Initiative_Library!A9,"")="","",_TECH_Initiative_Library!B9)</f>
        <v>Strategy GTM</v>
      </c>
      <c r="D13">
        <f ca="1">IF(IFERROR(_TECH_Initiative_Library!A9,"")="","",N(IFERROR(_TECH_Initiative_Library!X9,0)))</f>
        <v>0</v>
      </c>
      <c r="E13">
        <f>IF(IFERROR(_TECH_Initiative_Library!A9,"")="","",N(IFERROR(_TECH_Initiative_Library!U9,0)))</f>
        <v>4</v>
      </c>
      <c r="F13">
        <f ca="1">IF(IFERROR(_TECH_Initiative_Library!A9,"")="","",N(IFERROR(_TECH_Initiative_Library!Y9,0)))</f>
        <v>2</v>
      </c>
      <c r="G13">
        <f>IF(IFERROR(_TECH_Initiative_Library!A9,"")="","",N(IFERROR(_TECH_Initiative_Library!AA9,0)))</f>
        <v>4</v>
      </c>
      <c r="H13">
        <f>IF(IFERROR(_TECH_Initiative_Library!A9,"")="","",N(IFERROR(_TECH_Initiative_Library!V9,0)))</f>
        <v>4</v>
      </c>
      <c r="I13">
        <f>IF(IFERROR(_TECH_Initiative_Library!A9,"")="","",IF(N(IFERROR(_TECH_Initiative_Library!AB9,0))=0,"",6-N(IFERROR(_TECH_Initiative_Library!AB9,0))))</f>
        <v>3</v>
      </c>
      <c r="J13">
        <f>IF(IFERROR(_TECH_Initiative_Library!A9,"")="","",IF(N(IFERROR(_TECH_Initiative_Library!AB9,0))=0,"",6-N(IFERROR(_TECH_Initiative_Library!AB9,0))))</f>
        <v>3</v>
      </c>
      <c r="K13" s="134">
        <f ca="1">IF(IFERROR(_TECH_Initiative_Library!A9,"")="","",ROUND(($A$6*N(D13)+$B$6*N(E13)+$C$6*N(F13)+$D$6*N(G13)+$E$6*N(H13)+$F$6*N(I13)+$G$6*N(J13))/5*100,1))</f>
        <v>51.2</v>
      </c>
      <c r="L13" s="156"/>
      <c r="M13" s="156"/>
      <c r="N13" s="156"/>
      <c r="O13" s="134" t="str">
        <f>IF(IFERROR(_TECH_Initiative_Library!A9,"")="","",IF(AND(L13&lt;&gt;"",N13&lt;&gt;"",M13&lt;&gt;""),(L13+4*M13+N13)/6,IF(M13&lt;&gt;"",M13,"")))</f>
        <v/>
      </c>
      <c r="P13" s="134" t="str">
        <f t="shared" si="0"/>
        <v/>
      </c>
      <c r="Q13" s="156"/>
      <c r="R13" s="156"/>
      <c r="S13" s="156"/>
      <c r="T13" t="str">
        <f>IF(IFERROR(_TECH_Initiative_Library!A9,"")="","",IF(AND(Q13&lt;&gt;"",S13&lt;&gt;"",R13&lt;&gt;""),(Q13+4*R13+S13)/6,IF(R13&lt;&gt;"",R13,"")))</f>
        <v/>
      </c>
      <c r="U13" s="134" t="str">
        <f t="shared" si="1"/>
        <v/>
      </c>
      <c r="V13" t="str">
        <f t="shared" si="2"/>
        <v/>
      </c>
      <c r="W13" t="str">
        <f t="shared" si="3"/>
        <v/>
      </c>
      <c r="X13" s="134" t="str">
        <f t="shared" si="4"/>
        <v/>
      </c>
      <c r="Y13">
        <f t="shared" ca="1" si="5"/>
        <v>35</v>
      </c>
      <c r="Z13" s="13" t="str">
        <f t="shared" si="6"/>
        <v>set €</v>
      </c>
      <c r="AA13">
        <f t="shared" si="7"/>
        <v>0</v>
      </c>
      <c r="AB13">
        <f t="shared" si="8"/>
        <v>0</v>
      </c>
      <c r="AC13">
        <f t="shared" ca="1" si="9"/>
        <v>51.2</v>
      </c>
    </row>
    <row r="14" spans="1:29">
      <c r="A14" s="133" t="str">
        <f>IF(IFERROR(_TECH_Initiative_Library!A10,"")="","",_TECH_Initiative_Library!A10)</f>
        <v>INI-006</v>
      </c>
      <c r="B14" s="133" t="str">
        <f>IF(IFERROR(_TECH_Initiative_Library!A10,"")="","",_TECH_Initiative_Library!F10)</f>
        <v>Standardize offering architecture and crisis-proof value proposition</v>
      </c>
      <c r="C14" s="133" t="str">
        <f>IF(IFERROR(_TECH_Initiative_Library!A10,"")="","",_TECH_Initiative_Library!B10)</f>
        <v>Strategy GTM</v>
      </c>
      <c r="D14">
        <f ca="1">IF(IFERROR(_TECH_Initiative_Library!A10,"")="","",N(IFERROR(_TECH_Initiative_Library!X10,0)))</f>
        <v>0</v>
      </c>
      <c r="E14">
        <f>IF(IFERROR(_TECH_Initiative_Library!A10,"")="","",N(IFERROR(_TECH_Initiative_Library!U10,0)))</f>
        <v>4</v>
      </c>
      <c r="F14">
        <f ca="1">IF(IFERROR(_TECH_Initiative_Library!A10,"")="","",N(IFERROR(_TECH_Initiative_Library!Y10,0)))</f>
        <v>2</v>
      </c>
      <c r="G14">
        <f>IF(IFERROR(_TECH_Initiative_Library!A10,"")="","",N(IFERROR(_TECH_Initiative_Library!AA10,0)))</f>
        <v>4</v>
      </c>
      <c r="H14">
        <f>IF(IFERROR(_TECH_Initiative_Library!A10,"")="","",N(IFERROR(_TECH_Initiative_Library!V10,0)))</f>
        <v>4</v>
      </c>
      <c r="I14">
        <f>IF(IFERROR(_TECH_Initiative_Library!A10,"")="","",IF(N(IFERROR(_TECH_Initiative_Library!AB10,0))=0,"",6-N(IFERROR(_TECH_Initiative_Library!AB10,0))))</f>
        <v>3</v>
      </c>
      <c r="J14">
        <f>IF(IFERROR(_TECH_Initiative_Library!A10,"")="","",IF(N(IFERROR(_TECH_Initiative_Library!AB10,0))=0,"",6-N(IFERROR(_TECH_Initiative_Library!AB10,0))))</f>
        <v>3</v>
      </c>
      <c r="K14" s="134">
        <f ca="1">IF(IFERROR(_TECH_Initiative_Library!A10,"")="","",ROUND(($A$6*N(D14)+$B$6*N(E14)+$C$6*N(F14)+$D$6*N(G14)+$E$6*N(H14)+$F$6*N(I14)+$G$6*N(J14))/5*100,1))</f>
        <v>51.2</v>
      </c>
      <c r="L14" s="156"/>
      <c r="M14" s="156"/>
      <c r="N14" s="156"/>
      <c r="O14" s="134" t="str">
        <f>IF(IFERROR(_TECH_Initiative_Library!A10,"")="","",IF(AND(L14&lt;&gt;"",N14&lt;&gt;"",M14&lt;&gt;""),(L14+4*M14+N14)/6,IF(M14&lt;&gt;"",M14,"")))</f>
        <v/>
      </c>
      <c r="P14" s="134" t="str">
        <f t="shared" si="0"/>
        <v/>
      </c>
      <c r="Q14" s="156"/>
      <c r="R14" s="156"/>
      <c r="S14" s="156"/>
      <c r="T14" t="str">
        <f>IF(IFERROR(_TECH_Initiative_Library!A10,"")="","",IF(AND(Q14&lt;&gt;"",S14&lt;&gt;"",R14&lt;&gt;""),(Q14+4*R14+S14)/6,IF(R14&lt;&gt;"",R14,"")))</f>
        <v/>
      </c>
      <c r="U14" s="134" t="str">
        <f t="shared" si="1"/>
        <v/>
      </c>
      <c r="V14" t="str">
        <f t="shared" si="2"/>
        <v/>
      </c>
      <c r="W14" t="str">
        <f t="shared" si="3"/>
        <v/>
      </c>
      <c r="X14" s="134" t="str">
        <f t="shared" si="4"/>
        <v/>
      </c>
      <c r="Y14">
        <f t="shared" ca="1" si="5"/>
        <v>35</v>
      </c>
      <c r="Z14" s="13" t="str">
        <f t="shared" si="6"/>
        <v>set €</v>
      </c>
      <c r="AA14">
        <f t="shared" si="7"/>
        <v>0</v>
      </c>
      <c r="AB14">
        <f t="shared" si="8"/>
        <v>0</v>
      </c>
      <c r="AC14">
        <f t="shared" ca="1" si="9"/>
        <v>51.2</v>
      </c>
    </row>
    <row r="15" spans="1:29">
      <c r="A15" s="133" t="str">
        <f>IF(IFERROR(_TECH_Initiative_Library!A11,"")="","",_TECH_Initiative_Library!A11)</f>
        <v>INI-007</v>
      </c>
      <c r="B15" s="133" t="str">
        <f>IF(IFERROR(_TECH_Initiative_Library!A11,"")="","",_TECH_Initiative_Library!F11)</f>
        <v>Build resilient GTM execution cadence and channel plan</v>
      </c>
      <c r="C15" s="133" t="str">
        <f>IF(IFERROR(_TECH_Initiative_Library!A11,"")="","",_TECH_Initiative_Library!B11)</f>
        <v>Strategy GTM</v>
      </c>
      <c r="D15">
        <f ca="1">IF(IFERROR(_TECH_Initiative_Library!A11,"")="","",N(IFERROR(_TECH_Initiative_Library!X11,0)))</f>
        <v>0</v>
      </c>
      <c r="E15">
        <f>IF(IFERROR(_TECH_Initiative_Library!A11,"")="","",N(IFERROR(_TECH_Initiative_Library!U11,0)))</f>
        <v>4</v>
      </c>
      <c r="F15">
        <f ca="1">IF(IFERROR(_TECH_Initiative_Library!A11,"")="","",N(IFERROR(_TECH_Initiative_Library!Y11,0)))</f>
        <v>2</v>
      </c>
      <c r="G15">
        <f>IF(IFERROR(_TECH_Initiative_Library!A11,"")="","",N(IFERROR(_TECH_Initiative_Library!AA11,0)))</f>
        <v>4</v>
      </c>
      <c r="H15">
        <f>IF(IFERROR(_TECH_Initiative_Library!A11,"")="","",N(IFERROR(_TECH_Initiative_Library!V11,0)))</f>
        <v>4</v>
      </c>
      <c r="I15">
        <f>IF(IFERROR(_TECH_Initiative_Library!A11,"")="","",IF(N(IFERROR(_TECH_Initiative_Library!AB11,0))=0,"",6-N(IFERROR(_TECH_Initiative_Library!AB11,0))))</f>
        <v>3</v>
      </c>
      <c r="J15">
        <f>IF(IFERROR(_TECH_Initiative_Library!A11,"")="","",IF(N(IFERROR(_TECH_Initiative_Library!AB11,0))=0,"",6-N(IFERROR(_TECH_Initiative_Library!AB11,0))))</f>
        <v>3</v>
      </c>
      <c r="K15" s="134">
        <f ca="1">IF(IFERROR(_TECH_Initiative_Library!A11,"")="","",ROUND(($A$6*N(D15)+$B$6*N(E15)+$C$6*N(F15)+$D$6*N(G15)+$E$6*N(H15)+$F$6*N(I15)+$G$6*N(J15))/5*100,1))</f>
        <v>51.2</v>
      </c>
      <c r="L15" s="156"/>
      <c r="M15" s="156"/>
      <c r="N15" s="156"/>
      <c r="O15" s="134" t="str">
        <f>IF(IFERROR(_TECH_Initiative_Library!A11,"")="","",IF(AND(L15&lt;&gt;"",N15&lt;&gt;"",M15&lt;&gt;""),(L15+4*M15+N15)/6,IF(M15&lt;&gt;"",M15,"")))</f>
        <v/>
      </c>
      <c r="P15" s="134" t="str">
        <f t="shared" si="0"/>
        <v/>
      </c>
      <c r="Q15" s="156"/>
      <c r="R15" s="156"/>
      <c r="S15" s="156"/>
      <c r="T15" t="str">
        <f>IF(IFERROR(_TECH_Initiative_Library!A11,"")="","",IF(AND(Q15&lt;&gt;"",S15&lt;&gt;"",R15&lt;&gt;""),(Q15+4*R15+S15)/6,IF(R15&lt;&gt;"",R15,"")))</f>
        <v/>
      </c>
      <c r="U15" s="134" t="str">
        <f t="shared" si="1"/>
        <v/>
      </c>
      <c r="V15" t="str">
        <f t="shared" si="2"/>
        <v/>
      </c>
      <c r="W15" t="str">
        <f t="shared" si="3"/>
        <v/>
      </c>
      <c r="X15" s="134" t="str">
        <f t="shared" si="4"/>
        <v/>
      </c>
      <c r="Y15">
        <f t="shared" ca="1" si="5"/>
        <v>35</v>
      </c>
      <c r="Z15" s="13" t="str">
        <f t="shared" si="6"/>
        <v>set €</v>
      </c>
      <c r="AA15">
        <f t="shared" si="7"/>
        <v>0</v>
      </c>
      <c r="AB15">
        <f t="shared" si="8"/>
        <v>0</v>
      </c>
      <c r="AC15">
        <f t="shared" ca="1" si="9"/>
        <v>51.2</v>
      </c>
    </row>
    <row r="16" spans="1:29">
      <c r="A16" s="133" t="str">
        <f>IF(IFERROR(_TECH_Initiative_Library!A12,"")="","",_TECH_Initiative_Library!A12)</f>
        <v>INI-008</v>
      </c>
      <c r="B16" s="133" t="str">
        <f>IF(IFERROR(_TECH_Initiative_Library!A12,"")="","",_TECH_Initiative_Library!F12)</f>
        <v>Implement crisis governance, roles and escalation model</v>
      </c>
      <c r="C16" s="133" t="str">
        <f>IF(IFERROR(_TECH_Initiative_Library!A12,"")="","",_TECH_Initiative_Library!B12)</f>
        <v>Governance Crisis</v>
      </c>
      <c r="D16">
        <f ca="1">IF(IFERROR(_TECH_Initiative_Library!A12,"")="","",N(IFERROR(_TECH_Initiative_Library!X12,0)))</f>
        <v>0</v>
      </c>
      <c r="E16">
        <f>IF(IFERROR(_TECH_Initiative_Library!A12,"")="","",N(IFERROR(_TECH_Initiative_Library!U12,0)))</f>
        <v>2</v>
      </c>
      <c r="F16">
        <f ca="1">IF(IFERROR(_TECH_Initiative_Library!A12,"")="","",N(IFERROR(_TECH_Initiative_Library!Y12,0)))</f>
        <v>2</v>
      </c>
      <c r="G16">
        <f>IF(IFERROR(_TECH_Initiative_Library!A12,"")="","",N(IFERROR(_TECH_Initiative_Library!AA12,0)))</f>
        <v>4</v>
      </c>
      <c r="H16">
        <f>IF(IFERROR(_TECH_Initiative_Library!A12,"")="","",N(IFERROR(_TECH_Initiative_Library!V12,0)))</f>
        <v>4</v>
      </c>
      <c r="I16">
        <f>IF(IFERROR(_TECH_Initiative_Library!A12,"")="","",IF(N(IFERROR(_TECH_Initiative_Library!AB12,0))=0,"",6-N(IFERROR(_TECH_Initiative_Library!AB12,0))))</f>
        <v>4</v>
      </c>
      <c r="J16">
        <f>IF(IFERROR(_TECH_Initiative_Library!A12,"")="","",IF(N(IFERROR(_TECH_Initiative_Library!AB12,0))=0,"",6-N(IFERROR(_TECH_Initiative_Library!AB12,0))))</f>
        <v>4</v>
      </c>
      <c r="K16" s="134">
        <f ca="1">IF(IFERROR(_TECH_Initiative_Library!A12,"")="","",ROUND(($A$6*N(D16)+$B$6*N(E16)+$C$6*N(F16)+$D$6*N(G16)+$E$6*N(H16)+$F$6*N(I16)+$G$6*N(J16))/5*100,1))</f>
        <v>47.2</v>
      </c>
      <c r="L16" s="156"/>
      <c r="M16" s="156"/>
      <c r="N16" s="156"/>
      <c r="O16" s="134" t="str">
        <f>IF(IFERROR(_TECH_Initiative_Library!A12,"")="","",IF(AND(L16&lt;&gt;"",N16&lt;&gt;"",M16&lt;&gt;""),(L16+4*M16+N16)/6,IF(M16&lt;&gt;"",M16,"")))</f>
        <v/>
      </c>
      <c r="P16" s="134" t="str">
        <f t="shared" si="0"/>
        <v/>
      </c>
      <c r="Q16" s="156"/>
      <c r="R16" s="156"/>
      <c r="S16" s="156"/>
      <c r="T16" t="str">
        <f>IF(IFERROR(_TECH_Initiative_Library!A12,"")="","",IF(AND(Q16&lt;&gt;"",S16&lt;&gt;"",R16&lt;&gt;""),(Q16+4*R16+S16)/6,IF(R16&lt;&gt;"",R16,"")))</f>
        <v/>
      </c>
      <c r="U16" s="134" t="str">
        <f t="shared" si="1"/>
        <v/>
      </c>
      <c r="V16" t="str">
        <f t="shared" si="2"/>
        <v/>
      </c>
      <c r="W16" t="str">
        <f t="shared" si="3"/>
        <v/>
      </c>
      <c r="X16" s="134" t="str">
        <f t="shared" si="4"/>
        <v/>
      </c>
      <c r="Y16">
        <f t="shared" ca="1" si="5"/>
        <v>58</v>
      </c>
      <c r="Z16" s="13" t="str">
        <f t="shared" si="6"/>
        <v>set €</v>
      </c>
      <c r="AA16">
        <f t="shared" si="7"/>
        <v>0</v>
      </c>
      <c r="AB16">
        <f t="shared" si="8"/>
        <v>0</v>
      </c>
      <c r="AC16">
        <f t="shared" ca="1" si="9"/>
        <v>47.2</v>
      </c>
    </row>
    <row r="17" spans="1:29">
      <c r="A17" s="133" t="str">
        <f>IF(IFERROR(_TECH_Initiative_Library!A13,"")="","",_TECH_Initiative_Library!A13)</f>
        <v>INI-009</v>
      </c>
      <c r="B17" s="133" t="str">
        <f>IF(IFERROR(_TECH_Initiative_Library!A13,"")="","",_TECH_Initiative_Library!F13)</f>
        <v>Build integrated risk, continuity and resilience control cycle</v>
      </c>
      <c r="C17" s="133" t="str">
        <f>IF(IFERROR(_TECH_Initiative_Library!A13,"")="","",_TECH_Initiative_Library!B13)</f>
        <v>Governance Crisis</v>
      </c>
      <c r="D17">
        <f ca="1">IF(IFERROR(_TECH_Initiative_Library!A13,"")="","",N(IFERROR(_TECH_Initiative_Library!X13,0)))</f>
        <v>0</v>
      </c>
      <c r="E17">
        <f>IF(IFERROR(_TECH_Initiative_Library!A13,"")="","",N(IFERROR(_TECH_Initiative_Library!U13,0)))</f>
        <v>2</v>
      </c>
      <c r="F17">
        <f ca="1">IF(IFERROR(_TECH_Initiative_Library!A13,"")="","",N(IFERROR(_TECH_Initiative_Library!Y13,0)))</f>
        <v>2</v>
      </c>
      <c r="G17">
        <f>IF(IFERROR(_TECH_Initiative_Library!A13,"")="","",N(IFERROR(_TECH_Initiative_Library!AA13,0)))</f>
        <v>4</v>
      </c>
      <c r="H17">
        <f>IF(IFERROR(_TECH_Initiative_Library!A13,"")="","",N(IFERROR(_TECH_Initiative_Library!V13,0)))</f>
        <v>4</v>
      </c>
      <c r="I17">
        <f>IF(IFERROR(_TECH_Initiative_Library!A13,"")="","",IF(N(IFERROR(_TECH_Initiative_Library!AB13,0))=0,"",6-N(IFERROR(_TECH_Initiative_Library!AB13,0))))</f>
        <v>4</v>
      </c>
      <c r="J17">
        <f>IF(IFERROR(_TECH_Initiative_Library!A13,"")="","",IF(N(IFERROR(_TECH_Initiative_Library!AB13,0))=0,"",6-N(IFERROR(_TECH_Initiative_Library!AB13,0))))</f>
        <v>4</v>
      </c>
      <c r="K17" s="134">
        <f ca="1">IF(IFERROR(_TECH_Initiative_Library!A13,"")="","",ROUND(($A$6*N(D17)+$B$6*N(E17)+$C$6*N(F17)+$D$6*N(G17)+$E$6*N(H17)+$F$6*N(I17)+$G$6*N(J17))/5*100,1))</f>
        <v>47.2</v>
      </c>
      <c r="L17" s="156"/>
      <c r="M17" s="156"/>
      <c r="N17" s="156"/>
      <c r="O17" s="134" t="str">
        <f>IF(IFERROR(_TECH_Initiative_Library!A13,"")="","",IF(AND(L17&lt;&gt;"",N17&lt;&gt;"",M17&lt;&gt;""),(L17+4*M17+N17)/6,IF(M17&lt;&gt;"",M17,"")))</f>
        <v/>
      </c>
      <c r="P17" s="134" t="str">
        <f t="shared" si="0"/>
        <v/>
      </c>
      <c r="Q17" s="156"/>
      <c r="R17" s="156"/>
      <c r="S17" s="156"/>
      <c r="T17" t="str">
        <f>IF(IFERROR(_TECH_Initiative_Library!A13,"")="","",IF(AND(Q17&lt;&gt;"",S17&lt;&gt;"",R17&lt;&gt;""),(Q17+4*R17+S17)/6,IF(R17&lt;&gt;"",R17,"")))</f>
        <v/>
      </c>
      <c r="U17" s="134" t="str">
        <f t="shared" si="1"/>
        <v/>
      </c>
      <c r="V17" t="str">
        <f t="shared" si="2"/>
        <v/>
      </c>
      <c r="W17" t="str">
        <f t="shared" si="3"/>
        <v/>
      </c>
      <c r="X17" s="134" t="str">
        <f t="shared" si="4"/>
        <v/>
      </c>
      <c r="Y17">
        <f t="shared" ca="1" si="5"/>
        <v>58</v>
      </c>
      <c r="Z17" s="13" t="str">
        <f t="shared" si="6"/>
        <v>set €</v>
      </c>
      <c r="AA17">
        <f t="shared" si="7"/>
        <v>0</v>
      </c>
      <c r="AB17">
        <f t="shared" si="8"/>
        <v>0</v>
      </c>
      <c r="AC17">
        <f t="shared" ca="1" si="9"/>
        <v>47.2</v>
      </c>
    </row>
    <row r="18" spans="1:29">
      <c r="A18" s="133" t="str">
        <f>IF(IFERROR(_TECH_Initiative_Library!A14,"")="","",_TECH_Initiative_Library!A14)</f>
        <v>INI-010</v>
      </c>
      <c r="B18" s="133" t="str">
        <f>IF(IFERROR(_TECH_Initiative_Library!A14,"")="","",_TECH_Initiative_Library!F14)</f>
        <v>Implement incident command, escalation and after-action review</v>
      </c>
      <c r="C18" s="133" t="str">
        <f>IF(IFERROR(_TECH_Initiative_Library!A14,"")="","",_TECH_Initiative_Library!B14)</f>
        <v>Governance Crisis</v>
      </c>
      <c r="D18">
        <f ca="1">IF(IFERROR(_TECH_Initiative_Library!A14,"")="","",N(IFERROR(_TECH_Initiative_Library!X14,0)))</f>
        <v>0</v>
      </c>
      <c r="E18">
        <f>IF(IFERROR(_TECH_Initiative_Library!A14,"")="","",N(IFERROR(_TECH_Initiative_Library!U14,0)))</f>
        <v>2</v>
      </c>
      <c r="F18">
        <f ca="1">IF(IFERROR(_TECH_Initiative_Library!A14,"")="","",N(IFERROR(_TECH_Initiative_Library!Y14,0)))</f>
        <v>2</v>
      </c>
      <c r="G18">
        <f>IF(IFERROR(_TECH_Initiative_Library!A14,"")="","",N(IFERROR(_TECH_Initiative_Library!AA14,0)))</f>
        <v>4</v>
      </c>
      <c r="H18">
        <f>IF(IFERROR(_TECH_Initiative_Library!A14,"")="","",N(IFERROR(_TECH_Initiative_Library!V14,0)))</f>
        <v>4</v>
      </c>
      <c r="I18">
        <f>IF(IFERROR(_TECH_Initiative_Library!A14,"")="","",IF(N(IFERROR(_TECH_Initiative_Library!AB14,0))=0,"",6-N(IFERROR(_TECH_Initiative_Library!AB14,0))))</f>
        <v>4</v>
      </c>
      <c r="J18">
        <f>IF(IFERROR(_TECH_Initiative_Library!A14,"")="","",IF(N(IFERROR(_TECH_Initiative_Library!AB14,0))=0,"",6-N(IFERROR(_TECH_Initiative_Library!AB14,0))))</f>
        <v>4</v>
      </c>
      <c r="K18" s="134">
        <f ca="1">IF(IFERROR(_TECH_Initiative_Library!A14,"")="","",ROUND(($A$6*N(D18)+$B$6*N(E18)+$C$6*N(F18)+$D$6*N(G18)+$E$6*N(H18)+$F$6*N(I18)+$G$6*N(J18))/5*100,1))</f>
        <v>47.2</v>
      </c>
      <c r="L18" s="156"/>
      <c r="M18" s="156"/>
      <c r="N18" s="156"/>
      <c r="O18" s="134" t="str">
        <f>IF(IFERROR(_TECH_Initiative_Library!A14,"")="","",IF(AND(L18&lt;&gt;"",N18&lt;&gt;"",M18&lt;&gt;""),(L18+4*M18+N18)/6,IF(M18&lt;&gt;"",M18,"")))</f>
        <v/>
      </c>
      <c r="P18" s="134" t="str">
        <f t="shared" si="0"/>
        <v/>
      </c>
      <c r="Q18" s="156"/>
      <c r="R18" s="156"/>
      <c r="S18" s="156"/>
      <c r="T18" t="str">
        <f>IF(IFERROR(_TECH_Initiative_Library!A14,"")="","",IF(AND(Q18&lt;&gt;"",S18&lt;&gt;"",R18&lt;&gt;""),(Q18+4*R18+S18)/6,IF(R18&lt;&gt;"",R18,"")))</f>
        <v/>
      </c>
      <c r="U18" s="134" t="str">
        <f t="shared" si="1"/>
        <v/>
      </c>
      <c r="V18" t="str">
        <f t="shared" si="2"/>
        <v/>
      </c>
      <c r="W18" t="str">
        <f t="shared" si="3"/>
        <v/>
      </c>
      <c r="X18" s="134" t="str">
        <f t="shared" si="4"/>
        <v/>
      </c>
      <c r="Y18">
        <f t="shared" ca="1" si="5"/>
        <v>58</v>
      </c>
      <c r="Z18" s="13" t="str">
        <f t="shared" si="6"/>
        <v>set €</v>
      </c>
      <c r="AA18">
        <f t="shared" si="7"/>
        <v>0</v>
      </c>
      <c r="AB18">
        <f t="shared" si="8"/>
        <v>0</v>
      </c>
      <c r="AC18">
        <f t="shared" ca="1" si="9"/>
        <v>47.2</v>
      </c>
    </row>
    <row r="19" spans="1:29">
      <c r="A19" s="133" t="str">
        <f>IF(IFERROR(_TECH_Initiative_Library!A15,"")="","",_TECH_Initiative_Library!A15)</f>
        <v>INI-011</v>
      </c>
      <c r="B19" s="133" t="str">
        <f>IF(IFERROR(_TECH_Initiative_Library!A15,"")="","",_TECH_Initiative_Library!F15)</f>
        <v>Create workforce visibility, critical-role and location dashboard</v>
      </c>
      <c r="C19" s="133" t="str">
        <f>IF(IFERROR(_TECH_Initiative_Library!A15,"")="","",_TECH_Initiative_Library!B15)</f>
        <v>HR Workforce</v>
      </c>
      <c r="D19">
        <f ca="1">IF(IFERROR(_TECH_Initiative_Library!A15,"")="","",N(IFERROR(_TECH_Initiative_Library!X15,0)))</f>
        <v>0</v>
      </c>
      <c r="E19">
        <f>IF(IFERROR(_TECH_Initiative_Library!A15,"")="","",N(IFERROR(_TECH_Initiative_Library!U15,0)))</f>
        <v>3</v>
      </c>
      <c r="F19">
        <f ca="1">IF(IFERROR(_TECH_Initiative_Library!A15,"")="","",N(IFERROR(_TECH_Initiative_Library!Y15,0)))</f>
        <v>3</v>
      </c>
      <c r="G19">
        <f>IF(IFERROR(_TECH_Initiative_Library!A15,"")="","",N(IFERROR(_TECH_Initiative_Library!AA15,0)))</f>
        <v>4</v>
      </c>
      <c r="H19">
        <f>IF(IFERROR(_TECH_Initiative_Library!A15,"")="","",N(IFERROR(_TECH_Initiative_Library!V15,0)))</f>
        <v>5</v>
      </c>
      <c r="I19">
        <f>IF(IFERROR(_TECH_Initiative_Library!A15,"")="","",IF(N(IFERROR(_TECH_Initiative_Library!AB15,0))=0,"",6-N(IFERROR(_TECH_Initiative_Library!AB15,0))))</f>
        <v>3</v>
      </c>
      <c r="J19">
        <f>IF(IFERROR(_TECH_Initiative_Library!A15,"")="","",IF(N(IFERROR(_TECH_Initiative_Library!AB15,0))=0,"",6-N(IFERROR(_TECH_Initiative_Library!AB15,0))))</f>
        <v>3</v>
      </c>
      <c r="K19" s="134">
        <f ca="1">IF(IFERROR(_TECH_Initiative_Library!A15,"")="","",ROUND(($A$6*N(D19)+$B$6*N(E19)+$C$6*N(F19)+$D$6*N(G19)+$E$6*N(H19)+$F$6*N(I19)+$G$6*N(J19))/5*100,1))</f>
        <v>52.2</v>
      </c>
      <c r="L19" s="156"/>
      <c r="M19" s="156"/>
      <c r="N19" s="156"/>
      <c r="O19" s="134" t="str">
        <f>IF(IFERROR(_TECH_Initiative_Library!A15,"")="","",IF(AND(L19&lt;&gt;"",N19&lt;&gt;"",M19&lt;&gt;""),(L19+4*M19+N19)/6,IF(M19&lt;&gt;"",M19,"")))</f>
        <v/>
      </c>
      <c r="P19" s="134" t="str">
        <f t="shared" si="0"/>
        <v/>
      </c>
      <c r="Q19" s="156"/>
      <c r="R19" s="156"/>
      <c r="S19" s="156"/>
      <c r="T19" t="str">
        <f>IF(IFERROR(_TECH_Initiative_Library!A15,"")="","",IF(AND(Q19&lt;&gt;"",S19&lt;&gt;"",R19&lt;&gt;""),(Q19+4*R19+S19)/6,IF(R19&lt;&gt;"",R19,"")))</f>
        <v/>
      </c>
      <c r="U19" s="134" t="str">
        <f t="shared" si="1"/>
        <v/>
      </c>
      <c r="V19" t="str">
        <f t="shared" si="2"/>
        <v/>
      </c>
      <c r="W19" t="str">
        <f t="shared" si="3"/>
        <v/>
      </c>
      <c r="X19" s="134" t="str">
        <f t="shared" si="4"/>
        <v/>
      </c>
      <c r="Y19">
        <f t="shared" ca="1" si="5"/>
        <v>18</v>
      </c>
      <c r="Z19" s="13" t="str">
        <f t="shared" si="6"/>
        <v>set €</v>
      </c>
      <c r="AA19">
        <f t="shared" si="7"/>
        <v>0</v>
      </c>
      <c r="AB19">
        <f t="shared" si="8"/>
        <v>0</v>
      </c>
      <c r="AC19">
        <f t="shared" ca="1" si="9"/>
        <v>52.2</v>
      </c>
    </row>
    <row r="20" spans="1:29">
      <c r="A20" s="133" t="str">
        <f>IF(IFERROR(_TECH_Initiative_Library!A16,"")="","",_TECH_Initiative_Library!A16)</f>
        <v>INI-012</v>
      </c>
      <c r="B20" s="133" t="str">
        <f>IF(IFERROR(_TECH_Initiative_Library!A16,"")="","",_TECH_Initiative_Library!F16)</f>
        <v>Build recruitment, retention and succession resilience plan</v>
      </c>
      <c r="C20" s="133" t="str">
        <f>IF(IFERROR(_TECH_Initiative_Library!A16,"")="","",_TECH_Initiative_Library!B16)</f>
        <v>HR Workforce</v>
      </c>
      <c r="D20">
        <f ca="1">IF(IFERROR(_TECH_Initiative_Library!A16,"")="","",N(IFERROR(_TECH_Initiative_Library!X16,0)))</f>
        <v>0</v>
      </c>
      <c r="E20">
        <f>IF(IFERROR(_TECH_Initiative_Library!A16,"")="","",N(IFERROR(_TECH_Initiative_Library!U16,0)))</f>
        <v>3</v>
      </c>
      <c r="F20">
        <f ca="1">IF(IFERROR(_TECH_Initiative_Library!A16,"")="","",N(IFERROR(_TECH_Initiative_Library!Y16,0)))</f>
        <v>3</v>
      </c>
      <c r="G20">
        <f>IF(IFERROR(_TECH_Initiative_Library!A16,"")="","",N(IFERROR(_TECH_Initiative_Library!AA16,0)))</f>
        <v>4</v>
      </c>
      <c r="H20">
        <f>IF(IFERROR(_TECH_Initiative_Library!A16,"")="","",N(IFERROR(_TECH_Initiative_Library!V16,0)))</f>
        <v>5</v>
      </c>
      <c r="I20">
        <f>IF(IFERROR(_TECH_Initiative_Library!A16,"")="","",IF(N(IFERROR(_TECH_Initiative_Library!AB16,0))=0,"",6-N(IFERROR(_TECH_Initiative_Library!AB16,0))))</f>
        <v>3</v>
      </c>
      <c r="J20">
        <f>IF(IFERROR(_TECH_Initiative_Library!A16,"")="","",IF(N(IFERROR(_TECH_Initiative_Library!AB16,0))=0,"",6-N(IFERROR(_TECH_Initiative_Library!AB16,0))))</f>
        <v>3</v>
      </c>
      <c r="K20" s="134">
        <f ca="1">IF(IFERROR(_TECH_Initiative_Library!A16,"")="","",ROUND(($A$6*N(D20)+$B$6*N(E20)+$C$6*N(F20)+$D$6*N(G20)+$E$6*N(H20)+$F$6*N(I20)+$G$6*N(J20))/5*100,1))</f>
        <v>52.2</v>
      </c>
      <c r="L20" s="156"/>
      <c r="M20" s="156"/>
      <c r="N20" s="156"/>
      <c r="O20" s="134" t="str">
        <f>IF(IFERROR(_TECH_Initiative_Library!A16,"")="","",IF(AND(L20&lt;&gt;"",N20&lt;&gt;"",M20&lt;&gt;""),(L20+4*M20+N20)/6,IF(M20&lt;&gt;"",M20,"")))</f>
        <v/>
      </c>
      <c r="P20" s="134" t="str">
        <f t="shared" si="0"/>
        <v/>
      </c>
      <c r="Q20" s="156"/>
      <c r="R20" s="156"/>
      <c r="S20" s="156"/>
      <c r="T20" t="str">
        <f>IF(IFERROR(_TECH_Initiative_Library!A16,"")="","",IF(AND(Q20&lt;&gt;"",S20&lt;&gt;"",R20&lt;&gt;""),(Q20+4*R20+S20)/6,IF(R20&lt;&gt;"",R20,"")))</f>
        <v/>
      </c>
      <c r="U20" s="134" t="str">
        <f t="shared" si="1"/>
        <v/>
      </c>
      <c r="V20" t="str">
        <f t="shared" si="2"/>
        <v/>
      </c>
      <c r="W20" t="str">
        <f t="shared" si="3"/>
        <v/>
      </c>
      <c r="X20" s="134" t="str">
        <f t="shared" si="4"/>
        <v/>
      </c>
      <c r="Y20">
        <f t="shared" ca="1" si="5"/>
        <v>18</v>
      </c>
      <c r="Z20" s="13" t="str">
        <f t="shared" si="6"/>
        <v>set €</v>
      </c>
      <c r="AA20">
        <f t="shared" si="7"/>
        <v>0</v>
      </c>
      <c r="AB20">
        <f t="shared" si="8"/>
        <v>0</v>
      </c>
      <c r="AC20">
        <f t="shared" ca="1" si="9"/>
        <v>52.2</v>
      </c>
    </row>
    <row r="21" spans="1:29">
      <c r="A21" s="133" t="str">
        <f>IF(IFERROR(_TECH_Initiative_Library!A17,"")="","",_TECH_Initiative_Library!A17)</f>
        <v>INI-013</v>
      </c>
      <c r="B21" s="133" t="str">
        <f>IF(IFERROR(_TECH_Initiative_Library!A17,"")="","",_TECH_Initiative_Library!F17)</f>
        <v>Implement workforce continuity, wellbeing and availability playbook</v>
      </c>
      <c r="C21" s="133" t="str">
        <f>IF(IFERROR(_TECH_Initiative_Library!A17,"")="","",_TECH_Initiative_Library!B17)</f>
        <v>HR Workforce</v>
      </c>
      <c r="D21">
        <f ca="1">IF(IFERROR(_TECH_Initiative_Library!A17,"")="","",N(IFERROR(_TECH_Initiative_Library!X17,0)))</f>
        <v>0</v>
      </c>
      <c r="E21">
        <f>IF(IFERROR(_TECH_Initiative_Library!A17,"")="","",N(IFERROR(_TECH_Initiative_Library!U17,0)))</f>
        <v>3</v>
      </c>
      <c r="F21">
        <f ca="1">IF(IFERROR(_TECH_Initiative_Library!A17,"")="","",N(IFERROR(_TECH_Initiative_Library!Y17,0)))</f>
        <v>3</v>
      </c>
      <c r="G21">
        <f>IF(IFERROR(_TECH_Initiative_Library!A17,"")="","",N(IFERROR(_TECH_Initiative_Library!AA17,0)))</f>
        <v>4</v>
      </c>
      <c r="H21">
        <f>IF(IFERROR(_TECH_Initiative_Library!A17,"")="","",N(IFERROR(_TECH_Initiative_Library!V17,0)))</f>
        <v>5</v>
      </c>
      <c r="I21">
        <f>IF(IFERROR(_TECH_Initiative_Library!A17,"")="","",IF(N(IFERROR(_TECH_Initiative_Library!AB17,0))=0,"",6-N(IFERROR(_TECH_Initiative_Library!AB17,0))))</f>
        <v>3</v>
      </c>
      <c r="J21">
        <f>IF(IFERROR(_TECH_Initiative_Library!A17,"")="","",IF(N(IFERROR(_TECH_Initiative_Library!AB17,0))=0,"",6-N(IFERROR(_TECH_Initiative_Library!AB17,0))))</f>
        <v>3</v>
      </c>
      <c r="K21" s="134">
        <f ca="1">IF(IFERROR(_TECH_Initiative_Library!A17,"")="","",ROUND(($A$6*N(D21)+$B$6*N(E21)+$C$6*N(F21)+$D$6*N(G21)+$E$6*N(H21)+$F$6*N(I21)+$G$6*N(J21))/5*100,1))</f>
        <v>52.2</v>
      </c>
      <c r="L21" s="156"/>
      <c r="M21" s="156"/>
      <c r="N21" s="156"/>
      <c r="O21" s="134" t="str">
        <f>IF(IFERROR(_TECH_Initiative_Library!A17,"")="","",IF(AND(L21&lt;&gt;"",N21&lt;&gt;"",M21&lt;&gt;""),(L21+4*M21+N21)/6,IF(M21&lt;&gt;"",M21,"")))</f>
        <v/>
      </c>
      <c r="P21" s="134" t="str">
        <f t="shared" si="0"/>
        <v/>
      </c>
      <c r="Q21" s="156"/>
      <c r="R21" s="156"/>
      <c r="S21" s="156"/>
      <c r="T21" t="str">
        <f>IF(IFERROR(_TECH_Initiative_Library!A17,"")="","",IF(AND(Q21&lt;&gt;"",S21&lt;&gt;"",R21&lt;&gt;""),(Q21+4*R21+S21)/6,IF(R21&lt;&gt;"",R21,"")))</f>
        <v/>
      </c>
      <c r="U21" s="134" t="str">
        <f t="shared" si="1"/>
        <v/>
      </c>
      <c r="V21" t="str">
        <f t="shared" si="2"/>
        <v/>
      </c>
      <c r="W21" t="str">
        <f t="shared" si="3"/>
        <v/>
      </c>
      <c r="X21" s="134" t="str">
        <f t="shared" si="4"/>
        <v/>
      </c>
      <c r="Y21">
        <f t="shared" ca="1" si="5"/>
        <v>18</v>
      </c>
      <c r="Z21" s="13" t="str">
        <f t="shared" si="6"/>
        <v>set €</v>
      </c>
      <c r="AA21">
        <f t="shared" si="7"/>
        <v>0</v>
      </c>
      <c r="AB21">
        <f t="shared" si="8"/>
        <v>0</v>
      </c>
      <c r="AC21">
        <f t="shared" ca="1" si="9"/>
        <v>52.2</v>
      </c>
    </row>
    <row r="22" spans="1:29">
      <c r="A22" s="133" t="str">
        <f>IF(IFERROR(_TECH_Initiative_Library!A18,"")="","",_TECH_Initiative_Library!A18)</f>
        <v>INI-014</v>
      </c>
      <c r="B22" s="133" t="str">
        <f>IF(IFERROR(_TECH_Initiative_Library!A18,"")="","",_TECH_Initiative_Library!F18)</f>
        <v>Stabilize HRMS, workforce data and HR compliance controls</v>
      </c>
      <c r="C22" s="133" t="str">
        <f>IF(IFERROR(_TECH_Initiative_Library!A18,"")="","",_TECH_Initiative_Library!B18)</f>
        <v>HR Workforce</v>
      </c>
      <c r="D22">
        <f ca="1">IF(IFERROR(_TECH_Initiative_Library!A18,"")="","",N(IFERROR(_TECH_Initiative_Library!X18,0)))</f>
        <v>0</v>
      </c>
      <c r="E22">
        <f>IF(IFERROR(_TECH_Initiative_Library!A18,"")="","",N(IFERROR(_TECH_Initiative_Library!U18,0)))</f>
        <v>3</v>
      </c>
      <c r="F22">
        <f ca="1">IF(IFERROR(_TECH_Initiative_Library!A18,"")="","",N(IFERROR(_TECH_Initiative_Library!Y18,0)))</f>
        <v>3</v>
      </c>
      <c r="G22">
        <f>IF(IFERROR(_TECH_Initiative_Library!A18,"")="","",N(IFERROR(_TECH_Initiative_Library!AA18,0)))</f>
        <v>4</v>
      </c>
      <c r="H22">
        <f>IF(IFERROR(_TECH_Initiative_Library!A18,"")="","",N(IFERROR(_TECH_Initiative_Library!V18,0)))</f>
        <v>5</v>
      </c>
      <c r="I22">
        <f>IF(IFERROR(_TECH_Initiative_Library!A18,"")="","",IF(N(IFERROR(_TECH_Initiative_Library!AB18,0))=0,"",6-N(IFERROR(_TECH_Initiative_Library!AB18,0))))</f>
        <v>3</v>
      </c>
      <c r="J22">
        <f>IF(IFERROR(_TECH_Initiative_Library!A18,"")="","",IF(N(IFERROR(_TECH_Initiative_Library!AB18,0))=0,"",6-N(IFERROR(_TECH_Initiative_Library!AB18,0))))</f>
        <v>3</v>
      </c>
      <c r="K22" s="134">
        <f ca="1">IF(IFERROR(_TECH_Initiative_Library!A18,"")="","",ROUND(($A$6*N(D22)+$B$6*N(E22)+$C$6*N(F22)+$D$6*N(G22)+$E$6*N(H22)+$F$6*N(I22)+$G$6*N(J22))/5*100,1))</f>
        <v>52.2</v>
      </c>
      <c r="L22" s="156"/>
      <c r="M22" s="156"/>
      <c r="N22" s="156"/>
      <c r="O22" s="134" t="str">
        <f>IF(IFERROR(_TECH_Initiative_Library!A18,"")="","",IF(AND(L22&lt;&gt;"",N22&lt;&gt;"",M22&lt;&gt;""),(L22+4*M22+N22)/6,IF(M22&lt;&gt;"",M22,"")))</f>
        <v/>
      </c>
      <c r="P22" s="134" t="str">
        <f t="shared" si="0"/>
        <v/>
      </c>
      <c r="Q22" s="156"/>
      <c r="R22" s="156"/>
      <c r="S22" s="156"/>
      <c r="T22" t="str">
        <f>IF(IFERROR(_TECH_Initiative_Library!A18,"")="","",IF(AND(Q22&lt;&gt;"",S22&lt;&gt;"",R22&lt;&gt;""),(Q22+4*R22+S22)/6,IF(R22&lt;&gt;"",R22,"")))</f>
        <v/>
      </c>
      <c r="U22" s="134" t="str">
        <f t="shared" si="1"/>
        <v/>
      </c>
      <c r="V22" t="str">
        <f t="shared" si="2"/>
        <v/>
      </c>
      <c r="W22" t="str">
        <f t="shared" si="3"/>
        <v/>
      </c>
      <c r="X22" s="134" t="str">
        <f t="shared" si="4"/>
        <v/>
      </c>
      <c r="Y22">
        <f t="shared" ca="1" si="5"/>
        <v>18</v>
      </c>
      <c r="Z22" s="13" t="str">
        <f t="shared" si="6"/>
        <v>set €</v>
      </c>
      <c r="AA22">
        <f t="shared" si="7"/>
        <v>0</v>
      </c>
      <c r="AB22">
        <f t="shared" si="8"/>
        <v>0</v>
      </c>
      <c r="AC22">
        <f t="shared" ca="1" si="9"/>
        <v>52.2</v>
      </c>
    </row>
    <row r="23" spans="1:29">
      <c r="A23" s="133" t="str">
        <f>IF(IFERROR(_TECH_Initiative_Library!A19,"")="","",_TECH_Initiative_Library!A19)</f>
        <v>INI-015</v>
      </c>
      <c r="B23" s="133" t="str">
        <f>IF(IFERROR(_TECH_Initiative_Library!A19,"")="","",_TECH_Initiative_Library!F19)</f>
        <v>Implement cash-flow resilience and financial scenario planning</v>
      </c>
      <c r="C23" s="133" t="str">
        <f>IF(IFERROR(_TECH_Initiative_Library!A19,"")="","",_TECH_Initiative_Library!B19)</f>
        <v>Finance Procurement</v>
      </c>
      <c r="D23">
        <f ca="1">IF(IFERROR(_TECH_Initiative_Library!A19,"")="","",N(IFERROR(_TECH_Initiative_Library!X19,0)))</f>
        <v>0</v>
      </c>
      <c r="E23">
        <f>IF(IFERROR(_TECH_Initiative_Library!A19,"")="","",N(IFERROR(_TECH_Initiative_Library!U19,0)))</f>
        <v>2</v>
      </c>
      <c r="F23">
        <f ca="1">IF(IFERROR(_TECH_Initiative_Library!A19,"")="","",N(IFERROR(_TECH_Initiative_Library!Y19,0)))</f>
        <v>2</v>
      </c>
      <c r="G23">
        <f>IF(IFERROR(_TECH_Initiative_Library!A19,"")="","",N(IFERROR(_TECH_Initiative_Library!AA19,0)))</f>
        <v>4</v>
      </c>
      <c r="H23">
        <f>IF(IFERROR(_TECH_Initiative_Library!A19,"")="","",N(IFERROR(_TECH_Initiative_Library!V19,0)))</f>
        <v>5</v>
      </c>
      <c r="I23">
        <f>IF(IFERROR(_TECH_Initiative_Library!A19,"")="","",IF(N(IFERROR(_TECH_Initiative_Library!AB19,0))=0,"",6-N(IFERROR(_TECH_Initiative_Library!AB19,0))))</f>
        <v>3</v>
      </c>
      <c r="J23">
        <f>IF(IFERROR(_TECH_Initiative_Library!A19,"")="","",IF(N(IFERROR(_TECH_Initiative_Library!AB19,0))=0,"",6-N(IFERROR(_TECH_Initiative_Library!AB19,0))))</f>
        <v>3</v>
      </c>
      <c r="K23" s="134">
        <f ca="1">IF(IFERROR(_TECH_Initiative_Library!A19,"")="","",ROUND(($A$6*N(D23)+$B$6*N(E23)+$C$6*N(F23)+$D$6*N(G23)+$E$6*N(H23)+$F$6*N(I23)+$G$6*N(J23))/5*100,1))</f>
        <v>45.8</v>
      </c>
      <c r="L23" s="156"/>
      <c r="M23" s="156"/>
      <c r="N23" s="156"/>
      <c r="O23" s="134" t="str">
        <f>IF(IFERROR(_TECH_Initiative_Library!A19,"")="","",IF(AND(L23&lt;&gt;"",N23&lt;&gt;"",M23&lt;&gt;""),(L23+4*M23+N23)/6,IF(M23&lt;&gt;"",M23,"")))</f>
        <v/>
      </c>
      <c r="P23" s="134" t="str">
        <f t="shared" si="0"/>
        <v/>
      </c>
      <c r="Q23" s="156"/>
      <c r="R23" s="156"/>
      <c r="S23" s="156"/>
      <c r="T23" t="str">
        <f>IF(IFERROR(_TECH_Initiative_Library!A19,"")="","",IF(AND(Q23&lt;&gt;"",S23&lt;&gt;"",R23&lt;&gt;""),(Q23+4*R23+S23)/6,IF(R23&lt;&gt;"",R23,"")))</f>
        <v/>
      </c>
      <c r="U23" s="134" t="str">
        <f t="shared" si="1"/>
        <v/>
      </c>
      <c r="V23" t="str">
        <f t="shared" si="2"/>
        <v/>
      </c>
      <c r="W23" t="str">
        <f t="shared" si="3"/>
        <v/>
      </c>
      <c r="X23" s="134" t="str">
        <f t="shared" si="4"/>
        <v/>
      </c>
      <c r="Y23">
        <f t="shared" ca="1" si="5"/>
        <v>68</v>
      </c>
      <c r="Z23" s="13" t="str">
        <f t="shared" si="6"/>
        <v>set €</v>
      </c>
      <c r="AA23">
        <f t="shared" si="7"/>
        <v>0</v>
      </c>
      <c r="AB23">
        <f t="shared" si="8"/>
        <v>0</v>
      </c>
      <c r="AC23">
        <f t="shared" ca="1" si="9"/>
        <v>45.8</v>
      </c>
    </row>
    <row r="24" spans="1:29">
      <c r="A24" s="133" t="str">
        <f>IF(IFERROR(_TECH_Initiative_Library!A20,"")="","",_TECH_Initiative_Library!A20)</f>
        <v>INI-016</v>
      </c>
      <c r="B24" s="133" t="str">
        <f>IF(IFERROR(_TECH_Initiative_Library!A20,"")="","",_TECH_Initiative_Library!F20)</f>
        <v>Strengthen financial controls, approvals and accounting continuity</v>
      </c>
      <c r="C24" s="133" t="str">
        <f>IF(IFERROR(_TECH_Initiative_Library!A20,"")="","",_TECH_Initiative_Library!B20)</f>
        <v>Finance Procurement</v>
      </c>
      <c r="D24">
        <f ca="1">IF(IFERROR(_TECH_Initiative_Library!A20,"")="","",N(IFERROR(_TECH_Initiative_Library!X20,0)))</f>
        <v>0</v>
      </c>
      <c r="E24">
        <f>IF(IFERROR(_TECH_Initiative_Library!A20,"")="","",N(IFERROR(_TECH_Initiative_Library!U20,0)))</f>
        <v>2</v>
      </c>
      <c r="F24">
        <f ca="1">IF(IFERROR(_TECH_Initiative_Library!A20,"")="","",N(IFERROR(_TECH_Initiative_Library!Y20,0)))</f>
        <v>2</v>
      </c>
      <c r="G24">
        <f>IF(IFERROR(_TECH_Initiative_Library!A20,"")="","",N(IFERROR(_TECH_Initiative_Library!AA20,0)))</f>
        <v>4</v>
      </c>
      <c r="H24">
        <f>IF(IFERROR(_TECH_Initiative_Library!A20,"")="","",N(IFERROR(_TECH_Initiative_Library!V20,0)))</f>
        <v>4</v>
      </c>
      <c r="I24">
        <f>IF(IFERROR(_TECH_Initiative_Library!A20,"")="","",IF(N(IFERROR(_TECH_Initiative_Library!AB20,0))=0,"",6-N(IFERROR(_TECH_Initiative_Library!AB20,0))))</f>
        <v>3</v>
      </c>
      <c r="J24">
        <f>IF(IFERROR(_TECH_Initiative_Library!A20,"")="","",IF(N(IFERROR(_TECH_Initiative_Library!AB20,0))=0,"",6-N(IFERROR(_TECH_Initiative_Library!AB20,0))))</f>
        <v>3</v>
      </c>
      <c r="K24" s="134">
        <f ca="1">IF(IFERROR(_TECH_Initiative_Library!A20,"")="","",ROUND(($A$6*N(D24)+$B$6*N(E24)+$C$6*N(F24)+$D$6*N(G24)+$E$6*N(H24)+$F$6*N(I24)+$G$6*N(J24))/5*100,1))</f>
        <v>43.2</v>
      </c>
      <c r="L24" s="156"/>
      <c r="M24" s="156"/>
      <c r="N24" s="156"/>
      <c r="O24" s="134" t="str">
        <f>IF(IFERROR(_TECH_Initiative_Library!A20,"")="","",IF(AND(L24&lt;&gt;"",N24&lt;&gt;"",M24&lt;&gt;""),(L24+4*M24+N24)/6,IF(M24&lt;&gt;"",M24,"")))</f>
        <v/>
      </c>
      <c r="P24" s="134" t="str">
        <f t="shared" si="0"/>
        <v/>
      </c>
      <c r="Q24" s="156"/>
      <c r="R24" s="156"/>
      <c r="S24" s="156"/>
      <c r="T24" t="str">
        <f>IF(IFERROR(_TECH_Initiative_Library!A20,"")="","",IF(AND(Q24&lt;&gt;"",S24&lt;&gt;"",R24&lt;&gt;""),(Q24+4*R24+S24)/6,IF(R24&lt;&gt;"",R24,"")))</f>
        <v/>
      </c>
      <c r="U24" s="134" t="str">
        <f t="shared" si="1"/>
        <v/>
      </c>
      <c r="V24" t="str">
        <f t="shared" si="2"/>
        <v/>
      </c>
      <c r="W24" t="str">
        <f t="shared" si="3"/>
        <v/>
      </c>
      <c r="X24" s="134" t="str">
        <f t="shared" si="4"/>
        <v/>
      </c>
      <c r="Y24">
        <f t="shared" ca="1" si="5"/>
        <v>71</v>
      </c>
      <c r="Z24" s="13" t="str">
        <f t="shared" si="6"/>
        <v>set €</v>
      </c>
      <c r="AA24">
        <f t="shared" si="7"/>
        <v>0</v>
      </c>
      <c r="AB24">
        <f t="shared" si="8"/>
        <v>0</v>
      </c>
      <c r="AC24">
        <f t="shared" ca="1" si="9"/>
        <v>43.2</v>
      </c>
    </row>
    <row r="25" spans="1:29">
      <c r="A25" s="133" t="str">
        <f>IF(IFERROR(_TECH_Initiative_Library!A21,"")="","",_TECH_Initiative_Library!A21)</f>
        <v>INI-017</v>
      </c>
      <c r="B25" s="133" t="str">
        <f>IF(IFERROR(_TECH_Initiative_Library!A21,"")="","",_TECH_Initiative_Library!F21)</f>
        <v>Build resilient procurement governance and supplier risk controls</v>
      </c>
      <c r="C25" s="133" t="str">
        <f>IF(IFERROR(_TECH_Initiative_Library!A21,"")="","",_TECH_Initiative_Library!B21)</f>
        <v>Finance Procurement</v>
      </c>
      <c r="D25">
        <f ca="1">IF(IFERROR(_TECH_Initiative_Library!A21,"")="","",N(IFERROR(_TECH_Initiative_Library!X21,0)))</f>
        <v>0</v>
      </c>
      <c r="E25">
        <f>IF(IFERROR(_TECH_Initiative_Library!A21,"")="","",N(IFERROR(_TECH_Initiative_Library!U21,0)))</f>
        <v>3</v>
      </c>
      <c r="F25">
        <f ca="1">IF(IFERROR(_TECH_Initiative_Library!A21,"")="","",N(IFERROR(_TECH_Initiative_Library!Y21,0)))</f>
        <v>2</v>
      </c>
      <c r="G25">
        <f>IF(IFERROR(_TECH_Initiative_Library!A21,"")="","",N(IFERROR(_TECH_Initiative_Library!AA21,0)))</f>
        <v>4</v>
      </c>
      <c r="H25">
        <f>IF(IFERROR(_TECH_Initiative_Library!A21,"")="","",N(IFERROR(_TECH_Initiative_Library!V21,0)))</f>
        <v>5</v>
      </c>
      <c r="I25">
        <f>IF(IFERROR(_TECH_Initiative_Library!A21,"")="","",IF(N(IFERROR(_TECH_Initiative_Library!AB21,0))=0,"",6-N(IFERROR(_TECH_Initiative_Library!AB21,0))))</f>
        <v>3</v>
      </c>
      <c r="J25">
        <f>IF(IFERROR(_TECH_Initiative_Library!A21,"")="","",IF(N(IFERROR(_TECH_Initiative_Library!AB21,0))=0,"",6-N(IFERROR(_TECH_Initiative_Library!AB21,0))))</f>
        <v>3</v>
      </c>
      <c r="K25" s="134">
        <f ca="1">IF(IFERROR(_TECH_Initiative_Library!A21,"")="","",ROUND(($A$6*N(D25)+$B$6*N(E25)+$C$6*N(F25)+$D$6*N(G25)+$E$6*N(H25)+$F$6*N(I25)+$G$6*N(J25))/5*100,1))</f>
        <v>49.8</v>
      </c>
      <c r="L25" s="156"/>
      <c r="M25" s="156"/>
      <c r="N25" s="156"/>
      <c r="O25" s="134" t="str">
        <f>IF(IFERROR(_TECH_Initiative_Library!A21,"")="","",IF(AND(L25&lt;&gt;"",N25&lt;&gt;"",M25&lt;&gt;""),(L25+4*M25+N25)/6,IF(M25&lt;&gt;"",M25,"")))</f>
        <v/>
      </c>
      <c r="P25" s="134" t="str">
        <f t="shared" si="0"/>
        <v/>
      </c>
      <c r="Q25" s="156"/>
      <c r="R25" s="156"/>
      <c r="S25" s="156"/>
      <c r="T25" t="str">
        <f>IF(IFERROR(_TECH_Initiative_Library!A21,"")="","",IF(AND(Q25&lt;&gt;"",S25&lt;&gt;"",R25&lt;&gt;""),(Q25+4*R25+S25)/6,IF(R25&lt;&gt;"",R25,"")))</f>
        <v/>
      </c>
      <c r="U25" s="134" t="str">
        <f t="shared" si="1"/>
        <v/>
      </c>
      <c r="V25" t="str">
        <f t="shared" si="2"/>
        <v/>
      </c>
      <c r="W25" t="str">
        <f t="shared" si="3"/>
        <v/>
      </c>
      <c r="X25" s="134" t="str">
        <f t="shared" si="4"/>
        <v/>
      </c>
      <c r="Y25">
        <f t="shared" ca="1" si="5"/>
        <v>52</v>
      </c>
      <c r="Z25" s="13" t="str">
        <f t="shared" si="6"/>
        <v>set €</v>
      </c>
      <c r="AA25">
        <f t="shared" si="7"/>
        <v>0</v>
      </c>
      <c r="AB25">
        <f t="shared" si="8"/>
        <v>0</v>
      </c>
      <c r="AC25">
        <f t="shared" ca="1" si="9"/>
        <v>49.8</v>
      </c>
    </row>
    <row r="26" spans="1:29">
      <c r="A26" s="133" t="str">
        <f>IF(IFERROR(_TECH_Initiative_Library!A22,"")="","",_TECH_Initiative_Library!A22)</f>
        <v>INI-018</v>
      </c>
      <c r="B26" s="133" t="str">
        <f>IF(IFERROR(_TECH_Initiative_Library!A22,"")="","",_TECH_Initiative_Library!F22)</f>
        <v>Optimize working capital and liquidity early-warning controls</v>
      </c>
      <c r="C26" s="133" t="str">
        <f>IF(IFERROR(_TECH_Initiative_Library!A22,"")="","",_TECH_Initiative_Library!B22)</f>
        <v>Finance Procurement</v>
      </c>
      <c r="D26">
        <f ca="1">IF(IFERROR(_TECH_Initiative_Library!A22,"")="","",N(IFERROR(_TECH_Initiative_Library!X22,0)))</f>
        <v>0</v>
      </c>
      <c r="E26">
        <f>IF(IFERROR(_TECH_Initiative_Library!A22,"")="","",N(IFERROR(_TECH_Initiative_Library!U22,0)))</f>
        <v>2</v>
      </c>
      <c r="F26">
        <f ca="1">IF(IFERROR(_TECH_Initiative_Library!A22,"")="","",N(IFERROR(_TECH_Initiative_Library!Y22,0)))</f>
        <v>2</v>
      </c>
      <c r="G26">
        <f>IF(IFERROR(_TECH_Initiative_Library!A22,"")="","",N(IFERROR(_TECH_Initiative_Library!AA22,0)))</f>
        <v>4</v>
      </c>
      <c r="H26">
        <f>IF(IFERROR(_TECH_Initiative_Library!A22,"")="","",N(IFERROR(_TECH_Initiative_Library!V22,0)))</f>
        <v>5</v>
      </c>
      <c r="I26">
        <f>IF(IFERROR(_TECH_Initiative_Library!A22,"")="","",IF(N(IFERROR(_TECH_Initiative_Library!AB22,0))=0,"",6-N(IFERROR(_TECH_Initiative_Library!AB22,0))))</f>
        <v>3</v>
      </c>
      <c r="J26">
        <f>IF(IFERROR(_TECH_Initiative_Library!A22,"")="","",IF(N(IFERROR(_TECH_Initiative_Library!AB22,0))=0,"",6-N(IFERROR(_TECH_Initiative_Library!AB22,0))))</f>
        <v>3</v>
      </c>
      <c r="K26" s="134">
        <f ca="1">IF(IFERROR(_TECH_Initiative_Library!A22,"")="","",ROUND(($A$6*N(D26)+$B$6*N(E26)+$C$6*N(F26)+$D$6*N(G26)+$E$6*N(H26)+$F$6*N(I26)+$G$6*N(J26))/5*100,1))</f>
        <v>45.8</v>
      </c>
      <c r="L26" s="156"/>
      <c r="M26" s="156"/>
      <c r="N26" s="156"/>
      <c r="O26" s="134" t="str">
        <f>IF(IFERROR(_TECH_Initiative_Library!A22,"")="","",IF(AND(L26&lt;&gt;"",N26&lt;&gt;"",M26&lt;&gt;""),(L26+4*M26+N26)/6,IF(M26&lt;&gt;"",M26,"")))</f>
        <v/>
      </c>
      <c r="P26" s="134" t="str">
        <f t="shared" si="0"/>
        <v/>
      </c>
      <c r="Q26" s="156"/>
      <c r="R26" s="156"/>
      <c r="S26" s="156"/>
      <c r="T26" t="str">
        <f>IF(IFERROR(_TECH_Initiative_Library!A22,"")="","",IF(AND(Q26&lt;&gt;"",S26&lt;&gt;"",R26&lt;&gt;""),(Q26+4*R26+S26)/6,IF(R26&lt;&gt;"",R26,"")))</f>
        <v/>
      </c>
      <c r="U26" s="134" t="str">
        <f t="shared" si="1"/>
        <v/>
      </c>
      <c r="V26" t="str">
        <f t="shared" si="2"/>
        <v/>
      </c>
      <c r="W26" t="str">
        <f t="shared" si="3"/>
        <v/>
      </c>
      <c r="X26" s="134" t="str">
        <f t="shared" si="4"/>
        <v/>
      </c>
      <c r="Y26">
        <f t="shared" ca="1" si="5"/>
        <v>68</v>
      </c>
      <c r="Z26" s="13" t="str">
        <f t="shared" si="6"/>
        <v>set €</v>
      </c>
      <c r="AA26">
        <f t="shared" si="7"/>
        <v>0</v>
      </c>
      <c r="AB26">
        <f t="shared" si="8"/>
        <v>0</v>
      </c>
      <c r="AC26">
        <f t="shared" ca="1" si="9"/>
        <v>45.8</v>
      </c>
    </row>
    <row r="27" spans="1:29">
      <c r="A27" s="133" t="str">
        <f>IF(IFERROR(_TECH_Initiative_Library!A23,"")="","",_TECH_Initiative_Library!A23)</f>
        <v>INI-019</v>
      </c>
      <c r="B27" s="133" t="str">
        <f>IF(IFERROR(_TECH_Initiative_Library!A23,"")="","",_TECH_Initiative_Library!F23)</f>
        <v>Implement compliance obligation monitoring and crisis legal controls</v>
      </c>
      <c r="C27" s="133" t="str">
        <f>IF(IFERROR(_TECH_Initiative_Library!A23,"")="","",_TECH_Initiative_Library!B23)</f>
        <v>Legal Risk</v>
      </c>
      <c r="D27">
        <f ca="1">IF(IFERROR(_TECH_Initiative_Library!A23,"")="","",N(IFERROR(_TECH_Initiative_Library!X23,0)))</f>
        <v>0</v>
      </c>
      <c r="E27">
        <f>IF(IFERROR(_TECH_Initiative_Library!A23,"")="","",N(IFERROR(_TECH_Initiative_Library!U23,0)))</f>
        <v>2</v>
      </c>
      <c r="F27">
        <f ca="1">IF(IFERROR(_TECH_Initiative_Library!A23,"")="","",N(IFERROR(_TECH_Initiative_Library!Y23,0)))</f>
        <v>2</v>
      </c>
      <c r="G27">
        <f>IF(IFERROR(_TECH_Initiative_Library!A23,"")="","",N(IFERROR(_TECH_Initiative_Library!AA23,0)))</f>
        <v>4</v>
      </c>
      <c r="H27">
        <f>IF(IFERROR(_TECH_Initiative_Library!A23,"")="","",N(IFERROR(_TECH_Initiative_Library!V23,0)))</f>
        <v>4</v>
      </c>
      <c r="I27">
        <f>IF(IFERROR(_TECH_Initiative_Library!A23,"")="","",IF(N(IFERROR(_TECH_Initiative_Library!AB23,0))=0,"",6-N(IFERROR(_TECH_Initiative_Library!AB23,0))))</f>
        <v>4</v>
      </c>
      <c r="J27">
        <f>IF(IFERROR(_TECH_Initiative_Library!A23,"")="","",IF(N(IFERROR(_TECH_Initiative_Library!AB23,0))=0,"",6-N(IFERROR(_TECH_Initiative_Library!AB23,0))))</f>
        <v>4</v>
      </c>
      <c r="K27" s="134">
        <f ca="1">IF(IFERROR(_TECH_Initiative_Library!A23,"")="","",ROUND(($A$6*N(D27)+$B$6*N(E27)+$C$6*N(F27)+$D$6*N(G27)+$E$6*N(H27)+$F$6*N(I27)+$G$6*N(J27))/5*100,1))</f>
        <v>47.2</v>
      </c>
      <c r="L27" s="156"/>
      <c r="M27" s="156"/>
      <c r="N27" s="156"/>
      <c r="O27" s="134" t="str">
        <f>IF(IFERROR(_TECH_Initiative_Library!A23,"")="","",IF(AND(L27&lt;&gt;"",N27&lt;&gt;"",M27&lt;&gt;""),(L27+4*M27+N27)/6,IF(M27&lt;&gt;"",M27,"")))</f>
        <v/>
      </c>
      <c r="P27" s="134" t="str">
        <f t="shared" si="0"/>
        <v/>
      </c>
      <c r="Q27" s="156"/>
      <c r="R27" s="156"/>
      <c r="S27" s="156"/>
      <c r="T27" t="str">
        <f>IF(IFERROR(_TECH_Initiative_Library!A23,"")="","",IF(AND(Q27&lt;&gt;"",S27&lt;&gt;"",R27&lt;&gt;""),(Q27+4*R27+S27)/6,IF(R27&lt;&gt;"",R27,"")))</f>
        <v/>
      </c>
      <c r="U27" s="134" t="str">
        <f t="shared" si="1"/>
        <v/>
      </c>
      <c r="V27" t="str">
        <f t="shared" si="2"/>
        <v/>
      </c>
      <c r="W27" t="str">
        <f t="shared" si="3"/>
        <v/>
      </c>
      <c r="X27" s="134" t="str">
        <f t="shared" si="4"/>
        <v/>
      </c>
      <c r="Y27">
        <f t="shared" ca="1" si="5"/>
        <v>58</v>
      </c>
      <c r="Z27" s="13" t="str">
        <f t="shared" si="6"/>
        <v>set €</v>
      </c>
      <c r="AA27">
        <f t="shared" si="7"/>
        <v>0</v>
      </c>
      <c r="AB27">
        <f t="shared" si="8"/>
        <v>0</v>
      </c>
      <c r="AC27">
        <f t="shared" ca="1" si="9"/>
        <v>47.2</v>
      </c>
    </row>
    <row r="28" spans="1:29">
      <c r="A28" s="133" t="str">
        <f>IF(IFERROR(_TECH_Initiative_Library!A24,"")="","",_TECH_Initiative_Library!A24)</f>
        <v>INI-020</v>
      </c>
      <c r="B28" s="133" t="str">
        <f>IF(IFERROR(_TECH_Initiative_Library!A24,"")="","",_TECH_Initiative_Library!F24)</f>
        <v>Build contract register, obligations and force-majeure response model</v>
      </c>
      <c r="C28" s="133" t="str">
        <f>IF(IFERROR(_TECH_Initiative_Library!A24,"")="","",_TECH_Initiative_Library!B24)</f>
        <v>Legal Risk</v>
      </c>
      <c r="D28">
        <f ca="1">IF(IFERROR(_TECH_Initiative_Library!A24,"")="","",N(IFERROR(_TECH_Initiative_Library!X24,0)))</f>
        <v>0</v>
      </c>
      <c r="E28">
        <f>IF(IFERROR(_TECH_Initiative_Library!A24,"")="","",N(IFERROR(_TECH_Initiative_Library!U24,0)))</f>
        <v>2</v>
      </c>
      <c r="F28">
        <f ca="1">IF(IFERROR(_TECH_Initiative_Library!A24,"")="","",N(IFERROR(_TECH_Initiative_Library!Y24,0)))</f>
        <v>2</v>
      </c>
      <c r="G28">
        <f>IF(IFERROR(_TECH_Initiative_Library!A24,"")="","",N(IFERROR(_TECH_Initiative_Library!AA24,0)))</f>
        <v>4</v>
      </c>
      <c r="H28">
        <f>IF(IFERROR(_TECH_Initiative_Library!A24,"")="","",N(IFERROR(_TECH_Initiative_Library!V24,0)))</f>
        <v>4</v>
      </c>
      <c r="I28">
        <f>IF(IFERROR(_TECH_Initiative_Library!A24,"")="","",IF(N(IFERROR(_TECH_Initiative_Library!AB24,0))=0,"",6-N(IFERROR(_TECH_Initiative_Library!AB24,0))))</f>
        <v>4</v>
      </c>
      <c r="J28">
        <f>IF(IFERROR(_TECH_Initiative_Library!A24,"")="","",IF(N(IFERROR(_TECH_Initiative_Library!AB24,0))=0,"",6-N(IFERROR(_TECH_Initiative_Library!AB24,0))))</f>
        <v>4</v>
      </c>
      <c r="K28" s="134">
        <f ca="1">IF(IFERROR(_TECH_Initiative_Library!A24,"")="","",ROUND(($A$6*N(D28)+$B$6*N(E28)+$C$6*N(F28)+$D$6*N(G28)+$E$6*N(H28)+$F$6*N(I28)+$G$6*N(J28))/5*100,1))</f>
        <v>47.2</v>
      </c>
      <c r="L28" s="156"/>
      <c r="M28" s="156"/>
      <c r="N28" s="156"/>
      <c r="O28" s="134" t="str">
        <f>IF(IFERROR(_TECH_Initiative_Library!A24,"")="","",IF(AND(L28&lt;&gt;"",N28&lt;&gt;"",M28&lt;&gt;""),(L28+4*M28+N28)/6,IF(M28&lt;&gt;"",M28,"")))</f>
        <v/>
      </c>
      <c r="P28" s="134" t="str">
        <f t="shared" si="0"/>
        <v/>
      </c>
      <c r="Q28" s="156"/>
      <c r="R28" s="156"/>
      <c r="S28" s="156"/>
      <c r="T28" t="str">
        <f>IF(IFERROR(_TECH_Initiative_Library!A24,"")="","",IF(AND(Q28&lt;&gt;"",S28&lt;&gt;"",R28&lt;&gt;""),(Q28+4*R28+S28)/6,IF(R28&lt;&gt;"",R28,"")))</f>
        <v/>
      </c>
      <c r="U28" s="134" t="str">
        <f t="shared" si="1"/>
        <v/>
      </c>
      <c r="V28" t="str">
        <f t="shared" si="2"/>
        <v/>
      </c>
      <c r="W28" t="str">
        <f t="shared" si="3"/>
        <v/>
      </c>
      <c r="X28" s="134" t="str">
        <f t="shared" si="4"/>
        <v/>
      </c>
      <c r="Y28">
        <f t="shared" ca="1" si="5"/>
        <v>58</v>
      </c>
      <c r="Z28" s="13" t="str">
        <f t="shared" si="6"/>
        <v>set €</v>
      </c>
      <c r="AA28">
        <f t="shared" si="7"/>
        <v>0</v>
      </c>
      <c r="AB28">
        <f t="shared" si="8"/>
        <v>0</v>
      </c>
      <c r="AC28">
        <f t="shared" ca="1" si="9"/>
        <v>47.2</v>
      </c>
    </row>
    <row r="29" spans="1:29">
      <c r="A29" s="133" t="str">
        <f>IF(IFERROR(_TECH_Initiative_Library!A25,"")="","",_TECH_Initiative_Library!A25)</f>
        <v>INI-021</v>
      </c>
      <c r="B29" s="133" t="str">
        <f>IF(IFERROR(_TECH_Initiative_Library!A25,"")="","",_TECH_Initiative_Library!F25)</f>
        <v>Strengthen data, IP and confidentiality legal safeguards</v>
      </c>
      <c r="C29" s="133" t="str">
        <f>IF(IFERROR(_TECH_Initiative_Library!A25,"")="","",_TECH_Initiative_Library!B25)</f>
        <v>Legal Risk</v>
      </c>
      <c r="D29">
        <f ca="1">IF(IFERROR(_TECH_Initiative_Library!A25,"")="","",N(IFERROR(_TECH_Initiative_Library!X25,0)))</f>
        <v>0</v>
      </c>
      <c r="E29">
        <f>IF(IFERROR(_TECH_Initiative_Library!A25,"")="","",N(IFERROR(_TECH_Initiative_Library!U25,0)))</f>
        <v>2</v>
      </c>
      <c r="F29">
        <f ca="1">IF(IFERROR(_TECH_Initiative_Library!A25,"")="","",N(IFERROR(_TECH_Initiative_Library!Y25,0)))</f>
        <v>2</v>
      </c>
      <c r="G29">
        <f>IF(IFERROR(_TECH_Initiative_Library!A25,"")="","",N(IFERROR(_TECH_Initiative_Library!AA25,0)))</f>
        <v>4</v>
      </c>
      <c r="H29">
        <f>IF(IFERROR(_TECH_Initiative_Library!A25,"")="","",N(IFERROR(_TECH_Initiative_Library!V25,0)))</f>
        <v>4</v>
      </c>
      <c r="I29">
        <f>IF(IFERROR(_TECH_Initiative_Library!A25,"")="","",IF(N(IFERROR(_TECH_Initiative_Library!AB25,0))=0,"",6-N(IFERROR(_TECH_Initiative_Library!AB25,0))))</f>
        <v>4</v>
      </c>
      <c r="J29">
        <f>IF(IFERROR(_TECH_Initiative_Library!A25,"")="","",IF(N(IFERROR(_TECH_Initiative_Library!AB25,0))=0,"",6-N(IFERROR(_TECH_Initiative_Library!AB25,0))))</f>
        <v>4</v>
      </c>
      <c r="K29" s="134">
        <f ca="1">IF(IFERROR(_TECH_Initiative_Library!A25,"")="","",ROUND(($A$6*N(D29)+$B$6*N(E29)+$C$6*N(F29)+$D$6*N(G29)+$E$6*N(H29)+$F$6*N(I29)+$G$6*N(J29))/5*100,1))</f>
        <v>47.2</v>
      </c>
      <c r="L29" s="156"/>
      <c r="M29" s="156"/>
      <c r="N29" s="156"/>
      <c r="O29" s="134" t="str">
        <f>IF(IFERROR(_TECH_Initiative_Library!A25,"")="","",IF(AND(L29&lt;&gt;"",N29&lt;&gt;"",M29&lt;&gt;""),(L29+4*M29+N29)/6,IF(M29&lt;&gt;"",M29,"")))</f>
        <v/>
      </c>
      <c r="P29" s="134" t="str">
        <f t="shared" si="0"/>
        <v/>
      </c>
      <c r="Q29" s="156"/>
      <c r="R29" s="156"/>
      <c r="S29" s="156"/>
      <c r="T29" t="str">
        <f>IF(IFERROR(_TECH_Initiative_Library!A25,"")="","",IF(AND(Q29&lt;&gt;"",S29&lt;&gt;"",R29&lt;&gt;""),(Q29+4*R29+S29)/6,IF(R29&lt;&gt;"",R29,"")))</f>
        <v/>
      </c>
      <c r="U29" s="134" t="str">
        <f t="shared" si="1"/>
        <v/>
      </c>
      <c r="V29" t="str">
        <f t="shared" si="2"/>
        <v/>
      </c>
      <c r="W29" t="str">
        <f t="shared" si="3"/>
        <v/>
      </c>
      <c r="X29" s="134" t="str">
        <f t="shared" si="4"/>
        <v/>
      </c>
      <c r="Y29">
        <f t="shared" ca="1" si="5"/>
        <v>58</v>
      </c>
      <c r="Z29" s="13" t="str">
        <f t="shared" si="6"/>
        <v>set €</v>
      </c>
      <c r="AA29">
        <f t="shared" si="7"/>
        <v>0</v>
      </c>
      <c r="AB29">
        <f t="shared" si="8"/>
        <v>0</v>
      </c>
      <c r="AC29">
        <f t="shared" ca="1" si="9"/>
        <v>47.2</v>
      </c>
    </row>
    <row r="30" spans="1:29">
      <c r="A30" s="133" t="str">
        <f>IF(IFERROR(_TECH_Initiative_Library!A26,"")="","",_TECH_Initiative_Library!A26)</f>
        <v>INI-022</v>
      </c>
      <c r="B30" s="133" t="str">
        <f>IF(IFERROR(_TECH_Initiative_Library!A26,"")="","",_TECH_Initiative_Library!F26)</f>
        <v>Prepare employment-law continuity and workforce-location compliance</v>
      </c>
      <c r="C30" s="133" t="str">
        <f>IF(IFERROR(_TECH_Initiative_Library!A26,"")="","",_TECH_Initiative_Library!B26)</f>
        <v>Legal Risk</v>
      </c>
      <c r="D30">
        <f ca="1">IF(IFERROR(_TECH_Initiative_Library!A26,"")="","",N(IFERROR(_TECH_Initiative_Library!X26,0)))</f>
        <v>0</v>
      </c>
      <c r="E30">
        <f>IF(IFERROR(_TECH_Initiative_Library!A26,"")="","",N(IFERROR(_TECH_Initiative_Library!U26,0)))</f>
        <v>2</v>
      </c>
      <c r="F30">
        <f ca="1">IF(IFERROR(_TECH_Initiative_Library!A26,"")="","",N(IFERROR(_TECH_Initiative_Library!Y26,0)))</f>
        <v>2</v>
      </c>
      <c r="G30">
        <f>IF(IFERROR(_TECH_Initiative_Library!A26,"")="","",N(IFERROR(_TECH_Initiative_Library!AA26,0)))</f>
        <v>4</v>
      </c>
      <c r="H30">
        <f>IF(IFERROR(_TECH_Initiative_Library!A26,"")="","",N(IFERROR(_TECH_Initiative_Library!V26,0)))</f>
        <v>4</v>
      </c>
      <c r="I30">
        <f>IF(IFERROR(_TECH_Initiative_Library!A26,"")="","",IF(N(IFERROR(_TECH_Initiative_Library!AB26,0))=0,"",6-N(IFERROR(_TECH_Initiative_Library!AB26,0))))</f>
        <v>4</v>
      </c>
      <c r="J30">
        <f>IF(IFERROR(_TECH_Initiative_Library!A26,"")="","",IF(N(IFERROR(_TECH_Initiative_Library!AB26,0))=0,"",6-N(IFERROR(_TECH_Initiative_Library!AB26,0))))</f>
        <v>4</v>
      </c>
      <c r="K30" s="134">
        <f ca="1">IF(IFERROR(_TECH_Initiative_Library!A26,"")="","",ROUND(($A$6*N(D30)+$B$6*N(E30)+$C$6*N(F30)+$D$6*N(G30)+$E$6*N(H30)+$F$6*N(I30)+$G$6*N(J30))/5*100,1))</f>
        <v>47.2</v>
      </c>
      <c r="L30" s="156"/>
      <c r="M30" s="156"/>
      <c r="N30" s="156"/>
      <c r="O30" s="134" t="str">
        <f>IF(IFERROR(_TECH_Initiative_Library!A26,"")="","",IF(AND(L30&lt;&gt;"",N30&lt;&gt;"",M30&lt;&gt;""),(L30+4*M30+N30)/6,IF(M30&lt;&gt;"",M30,"")))</f>
        <v/>
      </c>
      <c r="P30" s="134" t="str">
        <f t="shared" si="0"/>
        <v/>
      </c>
      <c r="Q30" s="156"/>
      <c r="R30" s="156"/>
      <c r="S30" s="156"/>
      <c r="T30" t="str">
        <f>IF(IFERROR(_TECH_Initiative_Library!A26,"")="","",IF(AND(Q30&lt;&gt;"",S30&lt;&gt;"",R30&lt;&gt;""),(Q30+4*R30+S30)/6,IF(R30&lt;&gt;"",R30,"")))</f>
        <v/>
      </c>
      <c r="U30" s="134" t="str">
        <f t="shared" si="1"/>
        <v/>
      </c>
      <c r="V30" t="str">
        <f t="shared" si="2"/>
        <v/>
      </c>
      <c r="W30" t="str">
        <f t="shared" si="3"/>
        <v/>
      </c>
      <c r="X30" s="134" t="str">
        <f t="shared" si="4"/>
        <v/>
      </c>
      <c r="Y30">
        <f t="shared" ca="1" si="5"/>
        <v>58</v>
      </c>
      <c r="Z30" s="13" t="str">
        <f t="shared" si="6"/>
        <v>set €</v>
      </c>
      <c r="AA30">
        <f t="shared" si="7"/>
        <v>0</v>
      </c>
      <c r="AB30">
        <f t="shared" si="8"/>
        <v>0</v>
      </c>
      <c r="AC30">
        <f t="shared" ca="1" si="9"/>
        <v>47.2</v>
      </c>
    </row>
    <row r="31" spans="1:29">
      <c r="A31" s="133" t="str">
        <f>IF(IFERROR(_TECH_Initiative_Library!A27,"")="","",_TECH_Initiative_Library!A27)</f>
        <v>INI-023</v>
      </c>
      <c r="B31" s="133" t="str">
        <f>IF(IFERROR(_TECH_Initiative_Library!A27,"")="","",_TECH_Initiative_Library!F27)</f>
        <v>Implement occupational health and safety governance system</v>
      </c>
      <c r="C31" s="133" t="str">
        <f>IF(IFERROR(_TECH_Initiative_Library!A27,"")="","",_TECH_Initiative_Library!B27)</f>
        <v>Physical Safety</v>
      </c>
      <c r="D31">
        <f ca="1">IF(IFERROR(_TECH_Initiative_Library!A27,"")="","",N(IFERROR(_TECH_Initiative_Library!X27,0)))</f>
        <v>0</v>
      </c>
      <c r="E31">
        <f>IF(IFERROR(_TECH_Initiative_Library!A27,"")="","",N(IFERROR(_TECH_Initiative_Library!U27,0)))</f>
        <v>2</v>
      </c>
      <c r="F31">
        <f ca="1">IF(IFERROR(_TECH_Initiative_Library!A27,"")="","",N(IFERROR(_TECH_Initiative_Library!Y27,0)))</f>
        <v>3</v>
      </c>
      <c r="G31">
        <f>IF(IFERROR(_TECH_Initiative_Library!A27,"")="","",N(IFERROR(_TECH_Initiative_Library!AA27,0)))</f>
        <v>4</v>
      </c>
      <c r="H31">
        <f>IF(IFERROR(_TECH_Initiative_Library!A27,"")="","",N(IFERROR(_TECH_Initiative_Library!V27,0)))</f>
        <v>5</v>
      </c>
      <c r="I31">
        <f>IF(IFERROR(_TECH_Initiative_Library!A27,"")="","",IF(N(IFERROR(_TECH_Initiative_Library!AB27,0))=0,"",6-N(IFERROR(_TECH_Initiative_Library!AB27,0))))</f>
        <v>3</v>
      </c>
      <c r="J31">
        <f>IF(IFERROR(_TECH_Initiative_Library!A27,"")="","",IF(N(IFERROR(_TECH_Initiative_Library!AB27,0))=0,"",6-N(IFERROR(_TECH_Initiative_Library!AB27,0))))</f>
        <v>3</v>
      </c>
      <c r="K31" s="134">
        <f ca="1">IF(IFERROR(_TECH_Initiative_Library!A27,"")="","",ROUND(($A$6*N(D31)+$B$6*N(E31)+$C$6*N(F31)+$D$6*N(G31)+$E$6*N(H31)+$F$6*N(I31)+$G$6*N(J31))/5*100,1))</f>
        <v>48.2</v>
      </c>
      <c r="L31" s="156"/>
      <c r="M31" s="156"/>
      <c r="N31" s="156"/>
      <c r="O31" s="134" t="str">
        <f>IF(IFERROR(_TECH_Initiative_Library!A27,"")="","",IF(AND(L31&lt;&gt;"",N31&lt;&gt;"",M31&lt;&gt;""),(L31+4*M31+N31)/6,IF(M31&lt;&gt;"",M31,"")))</f>
        <v/>
      </c>
      <c r="P31" s="134" t="str">
        <f t="shared" si="0"/>
        <v/>
      </c>
      <c r="Q31" s="156"/>
      <c r="R31" s="156"/>
      <c r="S31" s="156"/>
      <c r="T31" t="str">
        <f>IF(IFERROR(_TECH_Initiative_Library!A27,"")="","",IF(AND(Q31&lt;&gt;"",S31&lt;&gt;"",R31&lt;&gt;""),(Q31+4*R31+S31)/6,IF(R31&lt;&gt;"",R31,"")))</f>
        <v/>
      </c>
      <c r="U31" s="134" t="str">
        <f t="shared" si="1"/>
        <v/>
      </c>
      <c r="V31" t="str">
        <f t="shared" si="2"/>
        <v/>
      </c>
      <c r="W31" t="str">
        <f t="shared" si="3"/>
        <v/>
      </c>
      <c r="X31" s="134" t="str">
        <f t="shared" si="4"/>
        <v/>
      </c>
      <c r="Y31">
        <f t="shared" ca="1" si="5"/>
        <v>53</v>
      </c>
      <c r="Z31" s="13" t="str">
        <f t="shared" si="6"/>
        <v>set €</v>
      </c>
      <c r="AA31">
        <f t="shared" si="7"/>
        <v>0</v>
      </c>
      <c r="AB31">
        <f t="shared" si="8"/>
        <v>0</v>
      </c>
      <c r="AC31">
        <f t="shared" ca="1" si="9"/>
        <v>48.2</v>
      </c>
    </row>
    <row r="32" spans="1:29">
      <c r="A32" s="133" t="str">
        <f>IF(IFERROR(_TECH_Initiative_Library!A28,"")="","",_TECH_Initiative_Library!A28)</f>
        <v>INI-024</v>
      </c>
      <c r="B32" s="133" t="str">
        <f>IF(IFERROR(_TECH_Initiative_Library!A28,"")="","",_TECH_Initiative_Library!F28)</f>
        <v>Secure facilities, physical access and site protection controls</v>
      </c>
      <c r="C32" s="133" t="str">
        <f>IF(IFERROR(_TECH_Initiative_Library!A28,"")="","",_TECH_Initiative_Library!B28)</f>
        <v>Physical Safety</v>
      </c>
      <c r="D32">
        <f ca="1">IF(IFERROR(_TECH_Initiative_Library!A28,"")="","",N(IFERROR(_TECH_Initiative_Library!X28,0)))</f>
        <v>0</v>
      </c>
      <c r="E32">
        <f>IF(IFERROR(_TECH_Initiative_Library!A28,"")="","",N(IFERROR(_TECH_Initiative_Library!U28,0)))</f>
        <v>2</v>
      </c>
      <c r="F32">
        <f ca="1">IF(IFERROR(_TECH_Initiative_Library!A28,"")="","",N(IFERROR(_TECH_Initiative_Library!Y28,0)))</f>
        <v>3</v>
      </c>
      <c r="G32">
        <f>IF(IFERROR(_TECH_Initiative_Library!A28,"")="","",N(IFERROR(_TECH_Initiative_Library!AA28,0)))</f>
        <v>4</v>
      </c>
      <c r="H32">
        <f>IF(IFERROR(_TECH_Initiative_Library!A28,"")="","",N(IFERROR(_TECH_Initiative_Library!V28,0)))</f>
        <v>5</v>
      </c>
      <c r="I32">
        <f>IF(IFERROR(_TECH_Initiative_Library!A28,"")="","",IF(N(IFERROR(_TECH_Initiative_Library!AB28,0))=0,"",6-N(IFERROR(_TECH_Initiative_Library!AB28,0))))</f>
        <v>3</v>
      </c>
      <c r="J32">
        <f>IF(IFERROR(_TECH_Initiative_Library!A28,"")="","",IF(N(IFERROR(_TECH_Initiative_Library!AB28,0))=0,"",6-N(IFERROR(_TECH_Initiative_Library!AB28,0))))</f>
        <v>3</v>
      </c>
      <c r="K32" s="134">
        <f ca="1">IF(IFERROR(_TECH_Initiative_Library!A28,"")="","",ROUND(($A$6*N(D32)+$B$6*N(E32)+$C$6*N(F32)+$D$6*N(G32)+$E$6*N(H32)+$F$6*N(I32)+$G$6*N(J32))/5*100,1))</f>
        <v>48.2</v>
      </c>
      <c r="L32" s="156"/>
      <c r="M32" s="156"/>
      <c r="N32" s="156"/>
      <c r="O32" s="134" t="str">
        <f>IF(IFERROR(_TECH_Initiative_Library!A28,"")="","",IF(AND(L32&lt;&gt;"",N32&lt;&gt;"",M32&lt;&gt;""),(L32+4*M32+N32)/6,IF(M32&lt;&gt;"",M32,"")))</f>
        <v/>
      </c>
      <c r="P32" s="134" t="str">
        <f t="shared" si="0"/>
        <v/>
      </c>
      <c r="Q32" s="156"/>
      <c r="R32" s="156"/>
      <c r="S32" s="156"/>
      <c r="T32" t="str">
        <f>IF(IFERROR(_TECH_Initiative_Library!A28,"")="","",IF(AND(Q32&lt;&gt;"",S32&lt;&gt;"",R32&lt;&gt;""),(Q32+4*R32+S32)/6,IF(R32&lt;&gt;"",R32,"")))</f>
        <v/>
      </c>
      <c r="U32" s="134" t="str">
        <f t="shared" si="1"/>
        <v/>
      </c>
      <c r="V32" t="str">
        <f t="shared" si="2"/>
        <v/>
      </c>
      <c r="W32" t="str">
        <f t="shared" si="3"/>
        <v/>
      </c>
      <c r="X32" s="134" t="str">
        <f t="shared" si="4"/>
        <v/>
      </c>
      <c r="Y32">
        <f t="shared" ca="1" si="5"/>
        <v>53</v>
      </c>
      <c r="Z32" s="13" t="str">
        <f t="shared" si="6"/>
        <v>set €</v>
      </c>
      <c r="AA32">
        <f t="shared" si="7"/>
        <v>0</v>
      </c>
      <c r="AB32">
        <f t="shared" si="8"/>
        <v>0</v>
      </c>
      <c r="AC32">
        <f t="shared" ca="1" si="9"/>
        <v>48.2</v>
      </c>
    </row>
    <row r="33" spans="1:29">
      <c r="A33" s="133" t="str">
        <f>IF(IFERROR(_TECH_Initiative_Library!A29,"")="","",_TECH_Initiative_Library!A29)</f>
        <v>INI-025</v>
      </c>
      <c r="B33" s="133" t="str">
        <f>IF(IFERROR(_TECH_Initiative_Library!A29,"")="","",_TECH_Initiative_Library!F29)</f>
        <v>Build emergency response, evacuation and shelter procedures</v>
      </c>
      <c r="C33" s="133" t="str">
        <f>IF(IFERROR(_TECH_Initiative_Library!A29,"")="","",_TECH_Initiative_Library!B29)</f>
        <v>Physical Safety</v>
      </c>
      <c r="D33">
        <f ca="1">IF(IFERROR(_TECH_Initiative_Library!A29,"")="","",N(IFERROR(_TECH_Initiative_Library!X29,0)))</f>
        <v>0</v>
      </c>
      <c r="E33">
        <f>IF(IFERROR(_TECH_Initiative_Library!A29,"")="","",N(IFERROR(_TECH_Initiative_Library!U29,0)))</f>
        <v>2</v>
      </c>
      <c r="F33">
        <f ca="1">IF(IFERROR(_TECH_Initiative_Library!A29,"")="","",N(IFERROR(_TECH_Initiative_Library!Y29,0)))</f>
        <v>3</v>
      </c>
      <c r="G33">
        <f>IF(IFERROR(_TECH_Initiative_Library!A29,"")="","",N(IFERROR(_TECH_Initiative_Library!AA29,0)))</f>
        <v>4</v>
      </c>
      <c r="H33">
        <f>IF(IFERROR(_TECH_Initiative_Library!A29,"")="","",N(IFERROR(_TECH_Initiative_Library!V29,0)))</f>
        <v>5</v>
      </c>
      <c r="I33">
        <f>IF(IFERROR(_TECH_Initiative_Library!A29,"")="","",IF(N(IFERROR(_TECH_Initiative_Library!AB29,0))=0,"",6-N(IFERROR(_TECH_Initiative_Library!AB29,0))))</f>
        <v>3</v>
      </c>
      <c r="J33">
        <f>IF(IFERROR(_TECH_Initiative_Library!A29,"")="","",IF(N(IFERROR(_TECH_Initiative_Library!AB29,0))=0,"",6-N(IFERROR(_TECH_Initiative_Library!AB29,0))))</f>
        <v>3</v>
      </c>
      <c r="K33" s="134">
        <f ca="1">IF(IFERROR(_TECH_Initiative_Library!A29,"")="","",ROUND(($A$6*N(D33)+$B$6*N(E33)+$C$6*N(F33)+$D$6*N(G33)+$E$6*N(H33)+$F$6*N(I33)+$G$6*N(J33))/5*100,1))</f>
        <v>48.2</v>
      </c>
      <c r="L33" s="156"/>
      <c r="M33" s="156"/>
      <c r="N33" s="156"/>
      <c r="O33" s="134" t="str">
        <f>IF(IFERROR(_TECH_Initiative_Library!A29,"")="","",IF(AND(L33&lt;&gt;"",N33&lt;&gt;"",M33&lt;&gt;""),(L33+4*M33+N33)/6,IF(M33&lt;&gt;"",M33,"")))</f>
        <v/>
      </c>
      <c r="P33" s="134" t="str">
        <f t="shared" si="0"/>
        <v/>
      </c>
      <c r="Q33" s="156"/>
      <c r="R33" s="156"/>
      <c r="S33" s="156"/>
      <c r="T33" t="str">
        <f>IF(IFERROR(_TECH_Initiative_Library!A29,"")="","",IF(AND(Q33&lt;&gt;"",S33&lt;&gt;"",R33&lt;&gt;""),(Q33+4*R33+S33)/6,IF(R33&lt;&gt;"",R33,"")))</f>
        <v/>
      </c>
      <c r="U33" s="134" t="str">
        <f t="shared" si="1"/>
        <v/>
      </c>
      <c r="V33" t="str">
        <f t="shared" si="2"/>
        <v/>
      </c>
      <c r="W33" t="str">
        <f t="shared" si="3"/>
        <v/>
      </c>
      <c r="X33" s="134" t="str">
        <f t="shared" si="4"/>
        <v/>
      </c>
      <c r="Y33">
        <f t="shared" ca="1" si="5"/>
        <v>53</v>
      </c>
      <c r="Z33" s="13" t="str">
        <f t="shared" si="6"/>
        <v>set €</v>
      </c>
      <c r="AA33">
        <f t="shared" si="7"/>
        <v>0</v>
      </c>
      <c r="AB33">
        <f t="shared" si="8"/>
        <v>0</v>
      </c>
      <c r="AC33">
        <f t="shared" ca="1" si="9"/>
        <v>48.2</v>
      </c>
    </row>
    <row r="34" spans="1:29">
      <c r="A34" s="133" t="str">
        <f>IF(IFERROR(_TECH_Initiative_Library!A30,"")="","",_TECH_Initiative_Library!A30)</f>
        <v>INI-026</v>
      </c>
      <c r="B34" s="133" t="str">
        <f>IF(IFERROR(_TECH_Initiative_Library!A30,"")="","",_TECH_Initiative_Library!F30)</f>
        <v>Implement physical security and travel risk management</v>
      </c>
      <c r="C34" s="133" t="str">
        <f>IF(IFERROR(_TECH_Initiative_Library!A30,"")="","",_TECH_Initiative_Library!B30)</f>
        <v>Physical Safety</v>
      </c>
      <c r="D34">
        <f ca="1">IF(IFERROR(_TECH_Initiative_Library!A30,"")="","",N(IFERROR(_TECH_Initiative_Library!X30,0)))</f>
        <v>0</v>
      </c>
      <c r="E34">
        <f>IF(IFERROR(_TECH_Initiative_Library!A30,"")="","",N(IFERROR(_TECH_Initiative_Library!U30,0)))</f>
        <v>2</v>
      </c>
      <c r="F34">
        <f ca="1">IF(IFERROR(_TECH_Initiative_Library!A30,"")="","",N(IFERROR(_TECH_Initiative_Library!Y30,0)))</f>
        <v>3</v>
      </c>
      <c r="G34">
        <f>IF(IFERROR(_TECH_Initiative_Library!A30,"")="","",N(IFERROR(_TECH_Initiative_Library!AA30,0)))</f>
        <v>4</v>
      </c>
      <c r="H34">
        <f>IF(IFERROR(_TECH_Initiative_Library!A30,"")="","",N(IFERROR(_TECH_Initiative_Library!V30,0)))</f>
        <v>5</v>
      </c>
      <c r="I34">
        <f>IF(IFERROR(_TECH_Initiative_Library!A30,"")="","",IF(N(IFERROR(_TECH_Initiative_Library!AB30,0))=0,"",6-N(IFERROR(_TECH_Initiative_Library!AB30,0))))</f>
        <v>3</v>
      </c>
      <c r="J34">
        <f>IF(IFERROR(_TECH_Initiative_Library!A30,"")="","",IF(N(IFERROR(_TECH_Initiative_Library!AB30,0))=0,"",6-N(IFERROR(_TECH_Initiative_Library!AB30,0))))</f>
        <v>3</v>
      </c>
      <c r="K34" s="134">
        <f ca="1">IF(IFERROR(_TECH_Initiative_Library!A30,"")="","",ROUND(($A$6*N(D34)+$B$6*N(E34)+$C$6*N(F34)+$D$6*N(G34)+$E$6*N(H34)+$F$6*N(I34)+$G$6*N(J34))/5*100,1))</f>
        <v>48.2</v>
      </c>
      <c r="L34" s="156"/>
      <c r="M34" s="156"/>
      <c r="N34" s="156"/>
      <c r="O34" s="134" t="str">
        <f>IF(IFERROR(_TECH_Initiative_Library!A30,"")="","",IF(AND(L34&lt;&gt;"",N34&lt;&gt;"",M34&lt;&gt;""),(L34+4*M34+N34)/6,IF(M34&lt;&gt;"",M34,"")))</f>
        <v/>
      </c>
      <c r="P34" s="134" t="str">
        <f t="shared" si="0"/>
        <v/>
      </c>
      <c r="Q34" s="156"/>
      <c r="R34" s="156"/>
      <c r="S34" s="156"/>
      <c r="T34" t="str">
        <f>IF(IFERROR(_TECH_Initiative_Library!A30,"")="","",IF(AND(Q34&lt;&gt;"",S34&lt;&gt;"",R34&lt;&gt;""),(Q34+4*R34+S34)/6,IF(R34&lt;&gt;"",R34,"")))</f>
        <v/>
      </c>
      <c r="U34" s="134" t="str">
        <f t="shared" si="1"/>
        <v/>
      </c>
      <c r="V34" t="str">
        <f t="shared" si="2"/>
        <v/>
      </c>
      <c r="W34" t="str">
        <f t="shared" si="3"/>
        <v/>
      </c>
      <c r="X34" s="134" t="str">
        <f t="shared" si="4"/>
        <v/>
      </c>
      <c r="Y34">
        <f t="shared" ca="1" si="5"/>
        <v>53</v>
      </c>
      <c r="Z34" s="13" t="str">
        <f t="shared" si="6"/>
        <v>set €</v>
      </c>
      <c r="AA34">
        <f t="shared" si="7"/>
        <v>0</v>
      </c>
      <c r="AB34">
        <f t="shared" si="8"/>
        <v>0</v>
      </c>
      <c r="AC34">
        <f t="shared" ca="1" si="9"/>
        <v>48.2</v>
      </c>
    </row>
    <row r="35" spans="1:29">
      <c r="A35" s="133" t="str">
        <f>IF(IFERROR(_TECH_Initiative_Library!A31,"")="","",_TECH_Initiative_Library!A31)</f>
        <v>INI-027</v>
      </c>
      <c r="B35" s="133" t="str">
        <f>IF(IFERROR(_TECH_Initiative_Library!A31,"")="","",_TECH_Initiative_Library!F31)</f>
        <v>Build utilities backup and facility resilience plan</v>
      </c>
      <c r="C35" s="133" t="str">
        <f>IF(IFERROR(_TECH_Initiative_Library!A31,"")="","",_TECH_Initiative_Library!B31)</f>
        <v>Physical Safety</v>
      </c>
      <c r="D35">
        <f ca="1">IF(IFERROR(_TECH_Initiative_Library!A31,"")="","",N(IFERROR(_TECH_Initiative_Library!X31,0)))</f>
        <v>0</v>
      </c>
      <c r="E35">
        <f>IF(IFERROR(_TECH_Initiative_Library!A31,"")="","",N(IFERROR(_TECH_Initiative_Library!U31,0)))</f>
        <v>2</v>
      </c>
      <c r="F35">
        <f ca="1">IF(IFERROR(_TECH_Initiative_Library!A31,"")="","",N(IFERROR(_TECH_Initiative_Library!Y31,0)))</f>
        <v>3</v>
      </c>
      <c r="G35">
        <f>IF(IFERROR(_TECH_Initiative_Library!A31,"")="","",N(IFERROR(_TECH_Initiative_Library!AA31,0)))</f>
        <v>4</v>
      </c>
      <c r="H35">
        <f>IF(IFERROR(_TECH_Initiative_Library!A31,"")="","",N(IFERROR(_TECH_Initiative_Library!V31,0)))</f>
        <v>5</v>
      </c>
      <c r="I35">
        <f>IF(IFERROR(_TECH_Initiative_Library!A31,"")="","",IF(N(IFERROR(_TECH_Initiative_Library!AB31,0))=0,"",6-N(IFERROR(_TECH_Initiative_Library!AB31,0))))</f>
        <v>3</v>
      </c>
      <c r="J35">
        <f>IF(IFERROR(_TECH_Initiative_Library!A31,"")="","",IF(N(IFERROR(_TECH_Initiative_Library!AB31,0))=0,"",6-N(IFERROR(_TECH_Initiative_Library!AB31,0))))</f>
        <v>3</v>
      </c>
      <c r="K35" s="134">
        <f ca="1">IF(IFERROR(_TECH_Initiative_Library!A31,"")="","",ROUND(($A$6*N(D35)+$B$6*N(E35)+$C$6*N(F35)+$D$6*N(G35)+$E$6*N(H35)+$F$6*N(I35)+$G$6*N(J35))/5*100,1))</f>
        <v>48.2</v>
      </c>
      <c r="L35" s="156"/>
      <c r="M35" s="156"/>
      <c r="N35" s="156"/>
      <c r="O35" s="134" t="str">
        <f>IF(IFERROR(_TECH_Initiative_Library!A31,"")="","",IF(AND(L35&lt;&gt;"",N35&lt;&gt;"",M35&lt;&gt;""),(L35+4*M35+N35)/6,IF(M35&lt;&gt;"",M35,"")))</f>
        <v/>
      </c>
      <c r="P35" s="134" t="str">
        <f t="shared" si="0"/>
        <v/>
      </c>
      <c r="Q35" s="156"/>
      <c r="R35" s="156"/>
      <c r="S35" s="156"/>
      <c r="T35" t="str">
        <f>IF(IFERROR(_TECH_Initiative_Library!A31,"")="","",IF(AND(Q35&lt;&gt;"",S35&lt;&gt;"",R35&lt;&gt;""),(Q35+4*R35+S35)/6,IF(R35&lt;&gt;"",R35,"")))</f>
        <v/>
      </c>
      <c r="U35" s="134" t="str">
        <f t="shared" si="1"/>
        <v/>
      </c>
      <c r="V35" t="str">
        <f t="shared" si="2"/>
        <v/>
      </c>
      <c r="W35" t="str">
        <f t="shared" si="3"/>
        <v/>
      </c>
      <c r="X35" s="134" t="str">
        <f t="shared" si="4"/>
        <v/>
      </c>
      <c r="Y35">
        <f t="shared" ca="1" si="5"/>
        <v>53</v>
      </c>
      <c r="Z35" s="13" t="str">
        <f t="shared" si="6"/>
        <v>set €</v>
      </c>
      <c r="AA35">
        <f t="shared" si="7"/>
        <v>0</v>
      </c>
      <c r="AB35">
        <f t="shared" si="8"/>
        <v>0</v>
      </c>
      <c r="AC35">
        <f t="shared" ca="1" si="9"/>
        <v>48.2</v>
      </c>
    </row>
    <row r="36" spans="1:29">
      <c r="A36" s="133" t="str">
        <f>IF(IFERROR(_TECH_Initiative_Library!A32,"")="","",_TECH_Initiative_Library!A32)</f>
        <v>INI-028</v>
      </c>
      <c r="B36" s="133" t="str">
        <f>IF(IFERROR(_TECH_Initiative_Library!A32,"")="","",_TECH_Initiative_Library!F32)</f>
        <v>Standardize delivery governance, ownership and escalation</v>
      </c>
      <c r="C36" s="133" t="str">
        <f>IF(IFERROR(_TECH_Initiative_Library!A32,"")="","",_TECH_Initiative_Library!B32)</f>
        <v>Delivery Ops</v>
      </c>
      <c r="D36">
        <f ca="1">IF(IFERROR(_TECH_Initiative_Library!A32,"")="","",N(IFERROR(_TECH_Initiative_Library!X32,0)))</f>
        <v>0</v>
      </c>
      <c r="E36">
        <f>IF(IFERROR(_TECH_Initiative_Library!A32,"")="","",N(IFERROR(_TECH_Initiative_Library!U32,0)))</f>
        <v>4</v>
      </c>
      <c r="F36">
        <f ca="1">IF(IFERROR(_TECH_Initiative_Library!A32,"")="","",N(IFERROR(_TECH_Initiative_Library!Y32,0)))</f>
        <v>3</v>
      </c>
      <c r="G36">
        <f>IF(IFERROR(_TECH_Initiative_Library!A32,"")="","",N(IFERROR(_TECH_Initiative_Library!AA32,0)))</f>
        <v>5</v>
      </c>
      <c r="H36">
        <f>IF(IFERROR(_TECH_Initiative_Library!A32,"")="","",N(IFERROR(_TECH_Initiative_Library!V32,0)))</f>
        <v>4</v>
      </c>
      <c r="I36">
        <f>IF(IFERROR(_TECH_Initiative_Library!A32,"")="","",IF(N(IFERROR(_TECH_Initiative_Library!AB32,0))=0,"",6-N(IFERROR(_TECH_Initiative_Library!AB32,0))))</f>
        <v>3</v>
      </c>
      <c r="J36">
        <f>IF(IFERROR(_TECH_Initiative_Library!A32,"")="","",IF(N(IFERROR(_TECH_Initiative_Library!AB32,0))=0,"",6-N(IFERROR(_TECH_Initiative_Library!AB32,0))))</f>
        <v>3</v>
      </c>
      <c r="K36" s="134">
        <f ca="1">IF(IFERROR(_TECH_Initiative_Library!A32,"")="","",ROUND(($A$6*N(D36)+$B$6*N(E36)+$C$6*N(F36)+$D$6*N(G36)+$E$6*N(H36)+$F$6*N(I36)+$G$6*N(J36))/5*100,1))</f>
        <v>55.6</v>
      </c>
      <c r="L36" s="156"/>
      <c r="M36" s="156"/>
      <c r="N36" s="156"/>
      <c r="O36" s="134" t="str">
        <f>IF(IFERROR(_TECH_Initiative_Library!A32,"")="","",IF(AND(L36&lt;&gt;"",N36&lt;&gt;"",M36&lt;&gt;""),(L36+4*M36+N36)/6,IF(M36&lt;&gt;"",M36,"")))</f>
        <v/>
      </c>
      <c r="P36" s="134" t="str">
        <f t="shared" si="0"/>
        <v/>
      </c>
      <c r="Q36" s="156"/>
      <c r="R36" s="156"/>
      <c r="S36" s="156"/>
      <c r="T36" t="str">
        <f>IF(IFERROR(_TECH_Initiative_Library!A32,"")="","",IF(AND(Q36&lt;&gt;"",S36&lt;&gt;"",R36&lt;&gt;""),(Q36+4*R36+S36)/6,IF(R36&lt;&gt;"",R36,"")))</f>
        <v/>
      </c>
      <c r="U36" s="134" t="str">
        <f t="shared" si="1"/>
        <v/>
      </c>
      <c r="V36" t="str">
        <f t="shared" si="2"/>
        <v/>
      </c>
      <c r="W36" t="str">
        <f t="shared" si="3"/>
        <v/>
      </c>
      <c r="X36" s="134" t="str">
        <f t="shared" si="4"/>
        <v/>
      </c>
      <c r="Y36">
        <f t="shared" ca="1" si="5"/>
        <v>14</v>
      </c>
      <c r="Z36" s="13" t="str">
        <f t="shared" si="6"/>
        <v>set €</v>
      </c>
      <c r="AA36">
        <f t="shared" si="7"/>
        <v>0</v>
      </c>
      <c r="AB36">
        <f t="shared" si="8"/>
        <v>0</v>
      </c>
      <c r="AC36">
        <f t="shared" ca="1" si="9"/>
        <v>55.6</v>
      </c>
    </row>
    <row r="37" spans="1:29">
      <c r="A37" s="133" t="str">
        <f>IF(IFERROR(_TECH_Initiative_Library!A33,"")="","",_TECH_Initiative_Library!A33)</f>
        <v>INI-029</v>
      </c>
      <c r="B37" s="133" t="str">
        <f>IF(IFERROR(_TECH_Initiative_Library!A33,"")="","",_TECH_Initiative_Library!F33)</f>
        <v>Build capacity resilience and delivery continuity model</v>
      </c>
      <c r="C37" s="133" t="str">
        <f>IF(IFERROR(_TECH_Initiative_Library!A33,"")="","",_TECH_Initiative_Library!B33)</f>
        <v>Delivery Ops</v>
      </c>
      <c r="D37">
        <f ca="1">IF(IFERROR(_TECH_Initiative_Library!A33,"")="","",N(IFERROR(_TECH_Initiative_Library!X33,0)))</f>
        <v>0</v>
      </c>
      <c r="E37">
        <f>IF(IFERROR(_TECH_Initiative_Library!A33,"")="","",N(IFERROR(_TECH_Initiative_Library!U33,0)))</f>
        <v>4</v>
      </c>
      <c r="F37">
        <f ca="1">IF(IFERROR(_TECH_Initiative_Library!A33,"")="","",N(IFERROR(_TECH_Initiative_Library!Y33,0)))</f>
        <v>3</v>
      </c>
      <c r="G37">
        <f>IF(IFERROR(_TECH_Initiative_Library!A33,"")="","",N(IFERROR(_TECH_Initiative_Library!AA33,0)))</f>
        <v>5</v>
      </c>
      <c r="H37">
        <f>IF(IFERROR(_TECH_Initiative_Library!A33,"")="","",N(IFERROR(_TECH_Initiative_Library!V33,0)))</f>
        <v>4</v>
      </c>
      <c r="I37">
        <f>IF(IFERROR(_TECH_Initiative_Library!A33,"")="","",IF(N(IFERROR(_TECH_Initiative_Library!AB33,0))=0,"",6-N(IFERROR(_TECH_Initiative_Library!AB33,0))))</f>
        <v>3</v>
      </c>
      <c r="J37">
        <f>IF(IFERROR(_TECH_Initiative_Library!A33,"")="","",IF(N(IFERROR(_TECH_Initiative_Library!AB33,0))=0,"",6-N(IFERROR(_TECH_Initiative_Library!AB33,0))))</f>
        <v>3</v>
      </c>
      <c r="K37" s="134">
        <f ca="1">IF(IFERROR(_TECH_Initiative_Library!A33,"")="","",ROUND(($A$6*N(D37)+$B$6*N(E37)+$C$6*N(F37)+$D$6*N(G37)+$E$6*N(H37)+$F$6*N(I37)+$G$6*N(J37))/5*100,1))</f>
        <v>55.6</v>
      </c>
      <c r="L37" s="156"/>
      <c r="M37" s="156"/>
      <c r="N37" s="156"/>
      <c r="O37" s="134" t="str">
        <f>IF(IFERROR(_TECH_Initiative_Library!A33,"")="","",IF(AND(L37&lt;&gt;"",N37&lt;&gt;"",M37&lt;&gt;""),(L37+4*M37+N37)/6,IF(M37&lt;&gt;"",M37,"")))</f>
        <v/>
      </c>
      <c r="P37" s="134" t="str">
        <f t="shared" si="0"/>
        <v/>
      </c>
      <c r="Q37" s="156"/>
      <c r="R37" s="156"/>
      <c r="S37" s="156"/>
      <c r="T37" t="str">
        <f>IF(IFERROR(_TECH_Initiative_Library!A33,"")="","",IF(AND(Q37&lt;&gt;"",S37&lt;&gt;"",R37&lt;&gt;""),(Q37+4*R37+S37)/6,IF(R37&lt;&gt;"",R37,"")))</f>
        <v/>
      </c>
      <c r="U37" s="134" t="str">
        <f t="shared" si="1"/>
        <v/>
      </c>
      <c r="V37" t="str">
        <f t="shared" si="2"/>
        <v/>
      </c>
      <c r="W37" t="str">
        <f t="shared" si="3"/>
        <v/>
      </c>
      <c r="X37" s="134" t="str">
        <f t="shared" si="4"/>
        <v/>
      </c>
      <c r="Y37">
        <f t="shared" ca="1" si="5"/>
        <v>14</v>
      </c>
      <c r="Z37" s="13" t="str">
        <f t="shared" si="6"/>
        <v>set €</v>
      </c>
      <c r="AA37">
        <f t="shared" si="7"/>
        <v>0</v>
      </c>
      <c r="AB37">
        <f t="shared" si="8"/>
        <v>0</v>
      </c>
      <c r="AC37">
        <f t="shared" ca="1" si="9"/>
        <v>55.6</v>
      </c>
    </row>
    <row r="38" spans="1:29">
      <c r="A38" s="133" t="str">
        <f>IF(IFERROR(_TECH_Initiative_Library!A34,"")="","",_TECH_Initiative_Library!A34)</f>
        <v>INI-030</v>
      </c>
      <c r="B38" s="133" t="str">
        <f>IF(IFERROR(_TECH_Initiative_Library!A34,"")="","",_TECH_Initiative_Library!F34)</f>
        <v>Strengthen process control, SOPs and operational quality gates</v>
      </c>
      <c r="C38" s="133" t="str">
        <f>IF(IFERROR(_TECH_Initiative_Library!A34,"")="","",_TECH_Initiative_Library!B34)</f>
        <v>Delivery Ops</v>
      </c>
      <c r="D38">
        <f ca="1">IF(IFERROR(_TECH_Initiative_Library!A34,"")="","",N(IFERROR(_TECH_Initiative_Library!X34,0)))</f>
        <v>0</v>
      </c>
      <c r="E38">
        <f>IF(IFERROR(_TECH_Initiative_Library!A34,"")="","",N(IFERROR(_TECH_Initiative_Library!U34,0)))</f>
        <v>4</v>
      </c>
      <c r="F38">
        <f ca="1">IF(IFERROR(_TECH_Initiative_Library!A34,"")="","",N(IFERROR(_TECH_Initiative_Library!Y34,0)))</f>
        <v>3</v>
      </c>
      <c r="G38">
        <f>IF(IFERROR(_TECH_Initiative_Library!A34,"")="","",N(IFERROR(_TECH_Initiative_Library!AA34,0)))</f>
        <v>5</v>
      </c>
      <c r="H38">
        <f>IF(IFERROR(_TECH_Initiative_Library!A34,"")="","",N(IFERROR(_TECH_Initiative_Library!V34,0)))</f>
        <v>4</v>
      </c>
      <c r="I38">
        <f>IF(IFERROR(_TECH_Initiative_Library!A34,"")="","",IF(N(IFERROR(_TECH_Initiative_Library!AB34,0))=0,"",6-N(IFERROR(_TECH_Initiative_Library!AB34,0))))</f>
        <v>3</v>
      </c>
      <c r="J38">
        <f>IF(IFERROR(_TECH_Initiative_Library!A34,"")="","",IF(N(IFERROR(_TECH_Initiative_Library!AB34,0))=0,"",6-N(IFERROR(_TECH_Initiative_Library!AB34,0))))</f>
        <v>3</v>
      </c>
      <c r="K38" s="134">
        <f ca="1">IF(IFERROR(_TECH_Initiative_Library!A34,"")="","",ROUND(($A$6*N(D38)+$B$6*N(E38)+$C$6*N(F38)+$D$6*N(G38)+$E$6*N(H38)+$F$6*N(I38)+$G$6*N(J38))/5*100,1))</f>
        <v>55.6</v>
      </c>
      <c r="L38" s="156"/>
      <c r="M38" s="156"/>
      <c r="N38" s="156"/>
      <c r="O38" s="134" t="str">
        <f>IF(IFERROR(_TECH_Initiative_Library!A34,"")="","",IF(AND(L38&lt;&gt;"",N38&lt;&gt;"",M38&lt;&gt;""),(L38+4*M38+N38)/6,IF(M38&lt;&gt;"",M38,"")))</f>
        <v/>
      </c>
      <c r="P38" s="134" t="str">
        <f t="shared" si="0"/>
        <v/>
      </c>
      <c r="Q38" s="156"/>
      <c r="R38" s="156"/>
      <c r="S38" s="156"/>
      <c r="T38" t="str">
        <f>IF(IFERROR(_TECH_Initiative_Library!A34,"")="","",IF(AND(Q38&lt;&gt;"",S38&lt;&gt;"",R38&lt;&gt;""),(Q38+4*R38+S38)/6,IF(R38&lt;&gt;"",R38,"")))</f>
        <v/>
      </c>
      <c r="U38" s="134" t="str">
        <f t="shared" si="1"/>
        <v/>
      </c>
      <c r="V38" t="str">
        <f t="shared" si="2"/>
        <v/>
      </c>
      <c r="W38" t="str">
        <f t="shared" si="3"/>
        <v/>
      </c>
      <c r="X38" s="134" t="str">
        <f t="shared" si="4"/>
        <v/>
      </c>
      <c r="Y38">
        <f t="shared" ca="1" si="5"/>
        <v>14</v>
      </c>
      <c r="Z38" s="13" t="str">
        <f t="shared" si="6"/>
        <v>set €</v>
      </c>
      <c r="AA38">
        <f t="shared" si="7"/>
        <v>0</v>
      </c>
      <c r="AB38">
        <f t="shared" si="8"/>
        <v>0</v>
      </c>
      <c r="AC38">
        <f t="shared" ca="1" si="9"/>
        <v>55.6</v>
      </c>
    </row>
    <row r="39" spans="1:29">
      <c r="A39" s="133" t="str">
        <f>IF(IFERROR(_TECH_Initiative_Library!A35,"")="","",_TECH_Initiative_Library!A35)</f>
        <v>INI-031</v>
      </c>
      <c r="B39" s="133" t="str">
        <f>IF(IFERROR(_TECH_Initiative_Library!A35,"")="","",_TECH_Initiative_Library!F35)</f>
        <v>Implement operational visibility dashboards and early warning</v>
      </c>
      <c r="C39" s="133" t="str">
        <f>IF(IFERROR(_TECH_Initiative_Library!A35,"")="","",_TECH_Initiative_Library!B35)</f>
        <v>Delivery Ops</v>
      </c>
      <c r="D39">
        <f ca="1">IF(IFERROR(_TECH_Initiative_Library!A35,"")="","",N(IFERROR(_TECH_Initiative_Library!X35,0)))</f>
        <v>0</v>
      </c>
      <c r="E39">
        <f>IF(IFERROR(_TECH_Initiative_Library!A35,"")="","",N(IFERROR(_TECH_Initiative_Library!U35,0)))</f>
        <v>4</v>
      </c>
      <c r="F39">
        <f ca="1">IF(IFERROR(_TECH_Initiative_Library!A35,"")="","",N(IFERROR(_TECH_Initiative_Library!Y35,0)))</f>
        <v>3</v>
      </c>
      <c r="G39">
        <f>IF(IFERROR(_TECH_Initiative_Library!A35,"")="","",N(IFERROR(_TECH_Initiative_Library!AA35,0)))</f>
        <v>5</v>
      </c>
      <c r="H39">
        <f>IF(IFERROR(_TECH_Initiative_Library!A35,"")="","",N(IFERROR(_TECH_Initiative_Library!V35,0)))</f>
        <v>4</v>
      </c>
      <c r="I39">
        <f>IF(IFERROR(_TECH_Initiative_Library!A35,"")="","",IF(N(IFERROR(_TECH_Initiative_Library!AB35,0))=0,"",6-N(IFERROR(_TECH_Initiative_Library!AB35,0))))</f>
        <v>3</v>
      </c>
      <c r="J39">
        <f>IF(IFERROR(_TECH_Initiative_Library!A35,"")="","",IF(N(IFERROR(_TECH_Initiative_Library!AB35,0))=0,"",6-N(IFERROR(_TECH_Initiative_Library!AB35,0))))</f>
        <v>3</v>
      </c>
      <c r="K39" s="134">
        <f ca="1">IF(IFERROR(_TECH_Initiative_Library!A35,"")="","",ROUND(($A$6*N(D39)+$B$6*N(E39)+$C$6*N(F39)+$D$6*N(G39)+$E$6*N(H39)+$F$6*N(I39)+$G$6*N(J39))/5*100,1))</f>
        <v>55.6</v>
      </c>
      <c r="L39" s="156"/>
      <c r="M39" s="156"/>
      <c r="N39" s="156"/>
      <c r="O39" s="134" t="str">
        <f>IF(IFERROR(_TECH_Initiative_Library!A35,"")="","",IF(AND(L39&lt;&gt;"",N39&lt;&gt;"",M39&lt;&gt;""),(L39+4*M39+N39)/6,IF(M39&lt;&gt;"",M39,"")))</f>
        <v/>
      </c>
      <c r="P39" s="134" t="str">
        <f t="shared" si="0"/>
        <v/>
      </c>
      <c r="Q39" s="156"/>
      <c r="R39" s="156"/>
      <c r="S39" s="156"/>
      <c r="T39" t="str">
        <f>IF(IFERROR(_TECH_Initiative_Library!A35,"")="","",IF(AND(Q39&lt;&gt;"",S39&lt;&gt;"",R39&lt;&gt;""),(Q39+4*R39+S39)/6,IF(R39&lt;&gt;"",R39,"")))</f>
        <v/>
      </c>
      <c r="U39" s="134" t="str">
        <f t="shared" si="1"/>
        <v/>
      </c>
      <c r="V39" t="str">
        <f t="shared" si="2"/>
        <v/>
      </c>
      <c r="W39" t="str">
        <f t="shared" si="3"/>
        <v/>
      </c>
      <c r="X39" s="134" t="str">
        <f t="shared" si="4"/>
        <v/>
      </c>
      <c r="Y39">
        <f t="shared" ca="1" si="5"/>
        <v>14</v>
      </c>
      <c r="Z39" s="13" t="str">
        <f t="shared" si="6"/>
        <v>set €</v>
      </c>
      <c r="AA39">
        <f t="shared" si="7"/>
        <v>0</v>
      </c>
      <c r="AB39">
        <f t="shared" si="8"/>
        <v>0</v>
      </c>
      <c r="AC39">
        <f t="shared" ca="1" si="9"/>
        <v>55.6</v>
      </c>
    </row>
    <row r="40" spans="1:29">
      <c r="A40" s="133" t="str">
        <f>IF(IFERROR(_TECH_Initiative_Library!A36,"")="","",_TECH_Initiative_Library!A36)</f>
        <v>INI-032</v>
      </c>
      <c r="B40" s="133" t="str">
        <f>IF(IFERROR(_TECH_Initiative_Library!A36,"")="","",_TECH_Initiative_Library!F36)</f>
        <v>Redesign supply chain for resilience and alternative sourcing</v>
      </c>
      <c r="C40" s="133" t="str">
        <f>IF(IFERROR(_TECH_Initiative_Library!A36,"")="","",_TECH_Initiative_Library!B36)</f>
        <v>Supply Chain</v>
      </c>
      <c r="D40">
        <f ca="1">IF(IFERROR(_TECH_Initiative_Library!A36,"")="","",N(IFERROR(_TECH_Initiative_Library!X36,0)))</f>
        <v>0</v>
      </c>
      <c r="E40">
        <f>IF(IFERROR(_TECH_Initiative_Library!A36,"")="","",N(IFERROR(_TECH_Initiative_Library!U36,0)))</f>
        <v>3</v>
      </c>
      <c r="F40">
        <f ca="1">IF(IFERROR(_TECH_Initiative_Library!A36,"")="","",N(IFERROR(_TECH_Initiative_Library!Y36,0)))</f>
        <v>3</v>
      </c>
      <c r="G40">
        <f>IF(IFERROR(_TECH_Initiative_Library!A36,"")="","",N(IFERROR(_TECH_Initiative_Library!AA36,0)))</f>
        <v>4</v>
      </c>
      <c r="H40">
        <f>IF(IFERROR(_TECH_Initiative_Library!A36,"")="","",N(IFERROR(_TECH_Initiative_Library!V36,0)))</f>
        <v>5</v>
      </c>
      <c r="I40">
        <f>IF(IFERROR(_TECH_Initiative_Library!A36,"")="","",IF(N(IFERROR(_TECH_Initiative_Library!AB36,0))=0,"",6-N(IFERROR(_TECH_Initiative_Library!AB36,0))))</f>
        <v>3</v>
      </c>
      <c r="J40">
        <f>IF(IFERROR(_TECH_Initiative_Library!A36,"")="","",IF(N(IFERROR(_TECH_Initiative_Library!AB36,0))=0,"",6-N(IFERROR(_TECH_Initiative_Library!AB36,0))))</f>
        <v>3</v>
      </c>
      <c r="K40" s="134">
        <f ca="1">IF(IFERROR(_TECH_Initiative_Library!A36,"")="","",ROUND(($A$6*N(D40)+$B$6*N(E40)+$C$6*N(F40)+$D$6*N(G40)+$E$6*N(H40)+$F$6*N(I40)+$G$6*N(J40))/5*100,1))</f>
        <v>52.2</v>
      </c>
      <c r="L40" s="156"/>
      <c r="M40" s="156"/>
      <c r="N40" s="156"/>
      <c r="O40" s="134" t="str">
        <f>IF(IFERROR(_TECH_Initiative_Library!A36,"")="","",IF(AND(L40&lt;&gt;"",N40&lt;&gt;"",M40&lt;&gt;""),(L40+4*M40+N40)/6,IF(M40&lt;&gt;"",M40,"")))</f>
        <v/>
      </c>
      <c r="P40" s="134" t="str">
        <f t="shared" si="0"/>
        <v/>
      </c>
      <c r="Q40" s="156"/>
      <c r="R40" s="156"/>
      <c r="S40" s="156"/>
      <c r="T40" t="str">
        <f>IF(IFERROR(_TECH_Initiative_Library!A36,"")="","",IF(AND(Q40&lt;&gt;"",S40&lt;&gt;"",R40&lt;&gt;""),(Q40+4*R40+S40)/6,IF(R40&lt;&gt;"",R40,"")))</f>
        <v/>
      </c>
      <c r="U40" s="134" t="str">
        <f t="shared" si="1"/>
        <v/>
      </c>
      <c r="V40" t="str">
        <f t="shared" si="2"/>
        <v/>
      </c>
      <c r="W40" t="str">
        <f t="shared" si="3"/>
        <v/>
      </c>
      <c r="X40" s="134" t="str">
        <f t="shared" si="4"/>
        <v/>
      </c>
      <c r="Y40">
        <f t="shared" ca="1" si="5"/>
        <v>18</v>
      </c>
      <c r="Z40" s="13" t="str">
        <f t="shared" si="6"/>
        <v>set €</v>
      </c>
      <c r="AA40">
        <f t="shared" si="7"/>
        <v>0</v>
      </c>
      <c r="AB40">
        <f t="shared" si="8"/>
        <v>0</v>
      </c>
      <c r="AC40">
        <f t="shared" ca="1" si="9"/>
        <v>52.2</v>
      </c>
    </row>
    <row r="41" spans="1:29">
      <c r="A41" s="133" t="str">
        <f>IF(IFERROR(_TECH_Initiative_Library!A37,"")="","",_TECH_Initiative_Library!A37)</f>
        <v>INI-033</v>
      </c>
      <c r="B41" s="133" t="str">
        <f>IF(IFERROR(_TECH_Initiative_Library!A37,"")="","",_TECH_Initiative_Library!F37)</f>
        <v>Build logistics continuity and transport fallback options</v>
      </c>
      <c r="C41" s="133" t="str">
        <f>IF(IFERROR(_TECH_Initiative_Library!A37,"")="","",_TECH_Initiative_Library!B37)</f>
        <v>Supply Chain</v>
      </c>
      <c r="D41">
        <f ca="1">IF(IFERROR(_TECH_Initiative_Library!A37,"")="","",N(IFERROR(_TECH_Initiative_Library!X37,0)))</f>
        <v>0</v>
      </c>
      <c r="E41">
        <f>IF(IFERROR(_TECH_Initiative_Library!A37,"")="","",N(IFERROR(_TECH_Initiative_Library!U37,0)))</f>
        <v>3</v>
      </c>
      <c r="F41">
        <f ca="1">IF(IFERROR(_TECH_Initiative_Library!A37,"")="","",N(IFERROR(_TECH_Initiative_Library!Y37,0)))</f>
        <v>3</v>
      </c>
      <c r="G41">
        <f>IF(IFERROR(_TECH_Initiative_Library!A37,"")="","",N(IFERROR(_TECH_Initiative_Library!AA37,0)))</f>
        <v>4</v>
      </c>
      <c r="H41">
        <f>IF(IFERROR(_TECH_Initiative_Library!A37,"")="","",N(IFERROR(_TECH_Initiative_Library!V37,0)))</f>
        <v>5</v>
      </c>
      <c r="I41">
        <f>IF(IFERROR(_TECH_Initiative_Library!A37,"")="","",IF(N(IFERROR(_TECH_Initiative_Library!AB37,0))=0,"",6-N(IFERROR(_TECH_Initiative_Library!AB37,0))))</f>
        <v>3</v>
      </c>
      <c r="J41">
        <f>IF(IFERROR(_TECH_Initiative_Library!A37,"")="","",IF(N(IFERROR(_TECH_Initiative_Library!AB37,0))=0,"",6-N(IFERROR(_TECH_Initiative_Library!AB37,0))))</f>
        <v>3</v>
      </c>
      <c r="K41" s="134">
        <f ca="1">IF(IFERROR(_TECH_Initiative_Library!A37,"")="","",ROUND(($A$6*N(D41)+$B$6*N(E41)+$C$6*N(F41)+$D$6*N(G41)+$E$6*N(H41)+$F$6*N(I41)+$G$6*N(J41))/5*100,1))</f>
        <v>52.2</v>
      </c>
      <c r="L41" s="156"/>
      <c r="M41" s="156"/>
      <c r="N41" s="156"/>
      <c r="O41" s="134" t="str">
        <f>IF(IFERROR(_TECH_Initiative_Library!A37,"")="","",IF(AND(L41&lt;&gt;"",N41&lt;&gt;"",M41&lt;&gt;""),(L41+4*M41+N41)/6,IF(M41&lt;&gt;"",M41,"")))</f>
        <v/>
      </c>
      <c r="P41" s="134" t="str">
        <f t="shared" ref="P41:P72" si="10">IF(OR(L41="",N41=""),"",ABS(L41-N41)/6)</f>
        <v/>
      </c>
      <c r="Q41" s="156"/>
      <c r="R41" s="156"/>
      <c r="S41" s="156"/>
      <c r="T41" t="str">
        <f>IF(IFERROR(_TECH_Initiative_Library!A37,"")="","",IF(AND(Q41&lt;&gt;"",S41&lt;&gt;"",R41&lt;&gt;""),(Q41+4*R41+S41)/6,IF(R41&lt;&gt;"",R41,"")))</f>
        <v/>
      </c>
      <c r="U41" s="134" t="str">
        <f t="shared" ref="U41:U72" si="11">IF(OR(O41="",T41=""),"",T41-O41)</f>
        <v/>
      </c>
      <c r="V41" t="str">
        <f t="shared" ref="V41:V72" si="12">IF(OR(O41="",O41=0,T41=""),"",ROUND((T41-O41)/O41*100,0))</f>
        <v/>
      </c>
      <c r="W41" t="str">
        <f t="shared" ref="W41:W72" si="13">IF(OR(O41="",T41="",T41=0),"",ROUND(O41/(T41/12),1))</f>
        <v/>
      </c>
      <c r="X41" s="134" t="str">
        <f t="shared" ref="X41:X72" si="14">IF(OR(O41="",T41=""),"",ROUND(T41*(1-(1+$K$4)^-$K$5)/$K$4-O41,1))</f>
        <v/>
      </c>
      <c r="Y41">
        <f t="shared" ref="Y41:Y72" ca="1" si="15">IF($A41="","",SUMPRODUCT(($AC$9:$AC$80&gt;$AC41)*($A$9:$A$80&lt;&gt;""))+1)</f>
        <v>18</v>
      </c>
      <c r="Z41" s="13" t="str">
        <f t="shared" ref="Z41:Z72" si="16">IF($A41="","",IF(SUM($AA$9:$AA$80)=0,"set €",IF(SUMPRODUCT(($Y$9:$Y$80&lt;=$Y41)*$AA$9:$AA$80)&lt;=$K$6,"Yes","No")))</f>
        <v>set €</v>
      </c>
      <c r="AA41">
        <f t="shared" ref="AA41:AA72" si="17">IF($A41="",0,IF($O41="",0,$O41))</f>
        <v>0</v>
      </c>
      <c r="AB41">
        <f t="shared" ref="AB41:AB72" si="18">IF($A41="",0,IF($X41="",0,$X41))</f>
        <v>0</v>
      </c>
      <c r="AC41">
        <f t="shared" ref="AC41:AC72" ca="1" si="19">IF($A41="",0,IF($K41="",0,$K41))</f>
        <v>52.2</v>
      </c>
    </row>
    <row r="42" spans="1:29">
      <c r="A42" s="133" t="str">
        <f>IF(IFERROR(_TECH_Initiative_Library!A38,"")="","",_TECH_Initiative_Library!A38)</f>
        <v>INI-034</v>
      </c>
      <c r="B42" s="133" t="str">
        <f>IF(IFERROR(_TECH_Initiative_Library!A38,"")="","",_TECH_Initiative_Library!F38)</f>
        <v>Implement inventory visibility and demand/supply planning</v>
      </c>
      <c r="C42" s="133" t="str">
        <f>IF(IFERROR(_TECH_Initiative_Library!A38,"")="","",_TECH_Initiative_Library!B38)</f>
        <v>Supply Chain</v>
      </c>
      <c r="D42">
        <f ca="1">IF(IFERROR(_TECH_Initiative_Library!A38,"")="","",N(IFERROR(_TECH_Initiative_Library!X38,0)))</f>
        <v>0</v>
      </c>
      <c r="E42">
        <f>IF(IFERROR(_TECH_Initiative_Library!A38,"")="","",N(IFERROR(_TECH_Initiative_Library!U38,0)))</f>
        <v>3</v>
      </c>
      <c r="F42">
        <f ca="1">IF(IFERROR(_TECH_Initiative_Library!A38,"")="","",N(IFERROR(_TECH_Initiative_Library!Y38,0)))</f>
        <v>3</v>
      </c>
      <c r="G42">
        <f>IF(IFERROR(_TECH_Initiative_Library!A38,"")="","",N(IFERROR(_TECH_Initiative_Library!AA38,0)))</f>
        <v>4</v>
      </c>
      <c r="H42">
        <f>IF(IFERROR(_TECH_Initiative_Library!A38,"")="","",N(IFERROR(_TECH_Initiative_Library!V38,0)))</f>
        <v>5</v>
      </c>
      <c r="I42">
        <f>IF(IFERROR(_TECH_Initiative_Library!A38,"")="","",IF(N(IFERROR(_TECH_Initiative_Library!AB38,0))=0,"",6-N(IFERROR(_TECH_Initiative_Library!AB38,0))))</f>
        <v>3</v>
      </c>
      <c r="J42">
        <f>IF(IFERROR(_TECH_Initiative_Library!A38,"")="","",IF(N(IFERROR(_TECH_Initiative_Library!AB38,0))=0,"",6-N(IFERROR(_TECH_Initiative_Library!AB38,0))))</f>
        <v>3</v>
      </c>
      <c r="K42" s="134">
        <f ca="1">IF(IFERROR(_TECH_Initiative_Library!A38,"")="","",ROUND(($A$6*N(D42)+$B$6*N(E42)+$C$6*N(F42)+$D$6*N(G42)+$E$6*N(H42)+$F$6*N(I42)+$G$6*N(J42))/5*100,1))</f>
        <v>52.2</v>
      </c>
      <c r="L42" s="156"/>
      <c r="M42" s="156"/>
      <c r="N42" s="156"/>
      <c r="O42" s="134" t="str">
        <f>IF(IFERROR(_TECH_Initiative_Library!A38,"")="","",IF(AND(L42&lt;&gt;"",N42&lt;&gt;"",M42&lt;&gt;""),(L42+4*M42+N42)/6,IF(M42&lt;&gt;"",M42,"")))</f>
        <v/>
      </c>
      <c r="P42" s="134" t="str">
        <f t="shared" si="10"/>
        <v/>
      </c>
      <c r="Q42" s="156"/>
      <c r="R42" s="156"/>
      <c r="S42" s="156"/>
      <c r="T42" t="str">
        <f>IF(IFERROR(_TECH_Initiative_Library!A38,"")="","",IF(AND(Q42&lt;&gt;"",S42&lt;&gt;"",R42&lt;&gt;""),(Q42+4*R42+S42)/6,IF(R42&lt;&gt;"",R42,"")))</f>
        <v/>
      </c>
      <c r="U42" s="134" t="str">
        <f t="shared" si="11"/>
        <v/>
      </c>
      <c r="V42" t="str">
        <f t="shared" si="12"/>
        <v/>
      </c>
      <c r="W42" t="str">
        <f t="shared" si="13"/>
        <v/>
      </c>
      <c r="X42" s="134" t="str">
        <f t="shared" si="14"/>
        <v/>
      </c>
      <c r="Y42">
        <f t="shared" ca="1" si="15"/>
        <v>18</v>
      </c>
      <c r="Z42" s="13" t="str">
        <f t="shared" si="16"/>
        <v>set €</v>
      </c>
      <c r="AA42">
        <f t="shared" si="17"/>
        <v>0</v>
      </c>
      <c r="AB42">
        <f t="shared" si="18"/>
        <v>0</v>
      </c>
      <c r="AC42">
        <f t="shared" ca="1" si="19"/>
        <v>52.2</v>
      </c>
    </row>
    <row r="43" spans="1:29">
      <c r="A43" s="133" t="str">
        <f>IF(IFERROR(_TECH_Initiative_Library!A39,"")="","",_TECH_Initiative_Library!A39)</f>
        <v>INI-035</v>
      </c>
      <c r="B43" s="133" t="str">
        <f>IF(IFERROR(_TECH_Initiative_Library!A39,"")="","",_TECH_Initiative_Library!F39)</f>
        <v>Implement supply-chain technology, risk monitoring and supplier data</v>
      </c>
      <c r="C43" s="133" t="str">
        <f>IF(IFERROR(_TECH_Initiative_Library!A39,"")="","",_TECH_Initiative_Library!B39)</f>
        <v>Supply Chain</v>
      </c>
      <c r="D43">
        <f ca="1">IF(IFERROR(_TECH_Initiative_Library!A39,"")="","",N(IFERROR(_TECH_Initiative_Library!X39,0)))</f>
        <v>0</v>
      </c>
      <c r="E43">
        <f>IF(IFERROR(_TECH_Initiative_Library!A39,"")="","",N(IFERROR(_TECH_Initiative_Library!U39,0)))</f>
        <v>3</v>
      </c>
      <c r="F43">
        <f ca="1">IF(IFERROR(_TECH_Initiative_Library!A39,"")="","",N(IFERROR(_TECH_Initiative_Library!Y39,0)))</f>
        <v>3</v>
      </c>
      <c r="G43">
        <f>IF(IFERROR(_TECH_Initiative_Library!A39,"")="","",N(IFERROR(_TECH_Initiative_Library!AA39,0)))</f>
        <v>4</v>
      </c>
      <c r="H43">
        <f>IF(IFERROR(_TECH_Initiative_Library!A39,"")="","",N(IFERROR(_TECH_Initiative_Library!V39,0)))</f>
        <v>5</v>
      </c>
      <c r="I43">
        <f>IF(IFERROR(_TECH_Initiative_Library!A39,"")="","",IF(N(IFERROR(_TECH_Initiative_Library!AB39,0))=0,"",6-N(IFERROR(_TECH_Initiative_Library!AB39,0))))</f>
        <v>3</v>
      </c>
      <c r="J43">
        <f>IF(IFERROR(_TECH_Initiative_Library!A39,"")="","",IF(N(IFERROR(_TECH_Initiative_Library!AB39,0))=0,"",6-N(IFERROR(_TECH_Initiative_Library!AB39,0))))</f>
        <v>3</v>
      </c>
      <c r="K43" s="134">
        <f ca="1">IF(IFERROR(_TECH_Initiative_Library!A39,"")="","",ROUND(($A$6*N(D43)+$B$6*N(E43)+$C$6*N(F43)+$D$6*N(G43)+$E$6*N(H43)+$F$6*N(I43)+$G$6*N(J43))/5*100,1))</f>
        <v>52.2</v>
      </c>
      <c r="L43" s="156"/>
      <c r="M43" s="156"/>
      <c r="N43" s="156"/>
      <c r="O43" s="134" t="str">
        <f>IF(IFERROR(_TECH_Initiative_Library!A39,"")="","",IF(AND(L43&lt;&gt;"",N43&lt;&gt;"",M43&lt;&gt;""),(L43+4*M43+N43)/6,IF(M43&lt;&gt;"",M43,"")))</f>
        <v/>
      </c>
      <c r="P43" s="134" t="str">
        <f t="shared" si="10"/>
        <v/>
      </c>
      <c r="Q43" s="156"/>
      <c r="R43" s="156"/>
      <c r="S43" s="156"/>
      <c r="T43" t="str">
        <f>IF(IFERROR(_TECH_Initiative_Library!A39,"")="","",IF(AND(Q43&lt;&gt;"",S43&lt;&gt;"",R43&lt;&gt;""),(Q43+4*R43+S43)/6,IF(R43&lt;&gt;"",R43,"")))</f>
        <v/>
      </c>
      <c r="U43" s="134" t="str">
        <f t="shared" si="11"/>
        <v/>
      </c>
      <c r="V43" t="str">
        <f t="shared" si="12"/>
        <v/>
      </c>
      <c r="W43" t="str">
        <f t="shared" si="13"/>
        <v/>
      </c>
      <c r="X43" s="134" t="str">
        <f t="shared" si="14"/>
        <v/>
      </c>
      <c r="Y43">
        <f t="shared" ca="1" si="15"/>
        <v>18</v>
      </c>
      <c r="Z43" s="13" t="str">
        <f t="shared" si="16"/>
        <v>set €</v>
      </c>
      <c r="AA43">
        <f t="shared" si="17"/>
        <v>0</v>
      </c>
      <c r="AB43">
        <f t="shared" si="18"/>
        <v>0</v>
      </c>
      <c r="AC43">
        <f t="shared" ca="1" si="19"/>
        <v>52.2</v>
      </c>
    </row>
    <row r="44" spans="1:29">
      <c r="A44" s="133" t="str">
        <f>IF(IFERROR(_TECH_Initiative_Library!A40,"")="","",_TECH_Initiative_Library!A40)</f>
        <v>INI-036</v>
      </c>
      <c r="B44" s="133" t="str">
        <f>IF(IFERROR(_TECH_Initiative_Library!A40,"")="","",_TECH_Initiative_Library!F40)</f>
        <v>Assess production footprint and build alternate production options</v>
      </c>
      <c r="C44" s="133" t="str">
        <f>IF(IFERROR(_TECH_Initiative_Library!A40,"")="","",_TECH_Initiative_Library!B40)</f>
        <v>Manufacturing MES</v>
      </c>
      <c r="D44">
        <f ca="1">IF(IFERROR(_TECH_Initiative_Library!A40,"")="","",N(IFERROR(_TECH_Initiative_Library!X40,0)))</f>
        <v>0</v>
      </c>
      <c r="E44">
        <f>IF(IFERROR(_TECH_Initiative_Library!A40,"")="","",N(IFERROR(_TECH_Initiative_Library!U40,0)))</f>
        <v>5</v>
      </c>
      <c r="F44">
        <f ca="1">IF(IFERROR(_TECH_Initiative_Library!A40,"")="","",N(IFERROR(_TECH_Initiative_Library!Y40,0)))</f>
        <v>2</v>
      </c>
      <c r="G44">
        <f>IF(IFERROR(_TECH_Initiative_Library!A40,"")="","",N(IFERROR(_TECH_Initiative_Library!AA40,0)))</f>
        <v>5</v>
      </c>
      <c r="H44">
        <f>IF(IFERROR(_TECH_Initiative_Library!A40,"")="","",N(IFERROR(_TECH_Initiative_Library!V40,0)))</f>
        <v>5</v>
      </c>
      <c r="I44">
        <f>IF(IFERROR(_TECH_Initiative_Library!A40,"")="","",IF(N(IFERROR(_TECH_Initiative_Library!AB40,0))=0,"",6-N(IFERROR(_TECH_Initiative_Library!AB40,0))))</f>
        <v>2</v>
      </c>
      <c r="J44">
        <f>IF(IFERROR(_TECH_Initiative_Library!A40,"")="","",IF(N(IFERROR(_TECH_Initiative_Library!AB40,0))=0,"",6-N(IFERROR(_TECH_Initiative_Library!AB40,0))))</f>
        <v>2</v>
      </c>
      <c r="K44" s="134">
        <f ca="1">IF(IFERROR(_TECH_Initiative_Library!A40,"")="","",ROUND(($A$6*N(D44)+$B$6*N(E44)+$C$6*N(F44)+$D$6*N(G44)+$E$6*N(H44)+$F$6*N(I44)+$G$6*N(J44))/5*100,1))</f>
        <v>55.8</v>
      </c>
      <c r="L44" s="156"/>
      <c r="M44" s="156"/>
      <c r="N44" s="156"/>
      <c r="O44" s="134" t="str">
        <f>IF(IFERROR(_TECH_Initiative_Library!A40,"")="","",IF(AND(L44&lt;&gt;"",N44&lt;&gt;"",M44&lt;&gt;""),(L44+4*M44+N44)/6,IF(M44&lt;&gt;"",M44,"")))</f>
        <v/>
      </c>
      <c r="P44" s="134" t="str">
        <f t="shared" si="10"/>
        <v/>
      </c>
      <c r="Q44" s="156"/>
      <c r="R44" s="156"/>
      <c r="S44" s="156"/>
      <c r="T44" t="str">
        <f>IF(IFERROR(_TECH_Initiative_Library!A40,"")="","",IF(AND(Q44&lt;&gt;"",S44&lt;&gt;"",R44&lt;&gt;""),(Q44+4*R44+S44)/6,IF(R44&lt;&gt;"",R44,"")))</f>
        <v/>
      </c>
      <c r="U44" s="134" t="str">
        <f t="shared" si="11"/>
        <v/>
      </c>
      <c r="V44" t="str">
        <f t="shared" si="12"/>
        <v/>
      </c>
      <c r="W44" t="str">
        <f t="shared" si="13"/>
        <v/>
      </c>
      <c r="X44" s="134" t="str">
        <f t="shared" si="14"/>
        <v/>
      </c>
      <c r="Y44">
        <f t="shared" ca="1" si="15"/>
        <v>8</v>
      </c>
      <c r="Z44" s="13" t="str">
        <f t="shared" si="16"/>
        <v>set €</v>
      </c>
      <c r="AA44">
        <f t="shared" si="17"/>
        <v>0</v>
      </c>
      <c r="AB44">
        <f t="shared" si="18"/>
        <v>0</v>
      </c>
      <c r="AC44">
        <f t="shared" ca="1" si="19"/>
        <v>55.8</v>
      </c>
    </row>
    <row r="45" spans="1:29">
      <c r="A45" s="133" t="str">
        <f>IF(IFERROR(_TECH_Initiative_Library!A41,"")="","",_TECH_Initiative_Library!A41)</f>
        <v>INI-037</v>
      </c>
      <c r="B45" s="133" t="str">
        <f>IF(IFERROR(_TECH_Initiative_Library!A41,"")="","",_TECH_Initiative_Library!F41)</f>
        <v>Implement MES and shop-floor digital control foundation</v>
      </c>
      <c r="C45" s="133" t="str">
        <f>IF(IFERROR(_TECH_Initiative_Library!A41,"")="","",_TECH_Initiative_Library!B41)</f>
        <v>Manufacturing MES</v>
      </c>
      <c r="D45">
        <f ca="1">IF(IFERROR(_TECH_Initiative_Library!A41,"")="","",N(IFERROR(_TECH_Initiative_Library!X41,0)))</f>
        <v>0</v>
      </c>
      <c r="E45">
        <f>IF(IFERROR(_TECH_Initiative_Library!A41,"")="","",N(IFERROR(_TECH_Initiative_Library!U41,0)))</f>
        <v>5</v>
      </c>
      <c r="F45">
        <f ca="1">IF(IFERROR(_TECH_Initiative_Library!A41,"")="","",N(IFERROR(_TECH_Initiative_Library!Y41,0)))</f>
        <v>2</v>
      </c>
      <c r="G45">
        <f>IF(IFERROR(_TECH_Initiative_Library!A41,"")="","",N(IFERROR(_TECH_Initiative_Library!AA41,0)))</f>
        <v>5</v>
      </c>
      <c r="H45">
        <f>IF(IFERROR(_TECH_Initiative_Library!A41,"")="","",N(IFERROR(_TECH_Initiative_Library!V41,0)))</f>
        <v>5</v>
      </c>
      <c r="I45">
        <f>IF(IFERROR(_TECH_Initiative_Library!A41,"")="","",IF(N(IFERROR(_TECH_Initiative_Library!AB41,0))=0,"",6-N(IFERROR(_TECH_Initiative_Library!AB41,0))))</f>
        <v>2</v>
      </c>
      <c r="J45">
        <f>IF(IFERROR(_TECH_Initiative_Library!A41,"")="","",IF(N(IFERROR(_TECH_Initiative_Library!AB41,0))=0,"",6-N(IFERROR(_TECH_Initiative_Library!AB41,0))))</f>
        <v>2</v>
      </c>
      <c r="K45" s="134">
        <f ca="1">IF(IFERROR(_TECH_Initiative_Library!A41,"")="","",ROUND(($A$6*N(D45)+$B$6*N(E45)+$C$6*N(F45)+$D$6*N(G45)+$E$6*N(H45)+$F$6*N(I45)+$G$6*N(J45))/5*100,1))</f>
        <v>55.8</v>
      </c>
      <c r="L45" s="156"/>
      <c r="M45" s="156"/>
      <c r="N45" s="156"/>
      <c r="O45" s="134" t="str">
        <f>IF(IFERROR(_TECH_Initiative_Library!A41,"")="","",IF(AND(L45&lt;&gt;"",N45&lt;&gt;"",M45&lt;&gt;""),(L45+4*M45+N45)/6,IF(M45&lt;&gt;"",M45,"")))</f>
        <v/>
      </c>
      <c r="P45" s="134" t="str">
        <f t="shared" si="10"/>
        <v/>
      </c>
      <c r="Q45" s="156"/>
      <c r="R45" s="156"/>
      <c r="S45" s="156"/>
      <c r="T45" t="str">
        <f>IF(IFERROR(_TECH_Initiative_Library!A41,"")="","",IF(AND(Q45&lt;&gt;"",S45&lt;&gt;"",R45&lt;&gt;""),(Q45+4*R45+S45)/6,IF(R45&lt;&gt;"",R45,"")))</f>
        <v/>
      </c>
      <c r="U45" s="134" t="str">
        <f t="shared" si="11"/>
        <v/>
      </c>
      <c r="V45" t="str">
        <f t="shared" si="12"/>
        <v/>
      </c>
      <c r="W45" t="str">
        <f t="shared" si="13"/>
        <v/>
      </c>
      <c r="X45" s="134" t="str">
        <f t="shared" si="14"/>
        <v/>
      </c>
      <c r="Y45">
        <f t="shared" ca="1" si="15"/>
        <v>8</v>
      </c>
      <c r="Z45" s="13" t="str">
        <f t="shared" si="16"/>
        <v>set €</v>
      </c>
      <c r="AA45">
        <f t="shared" si="17"/>
        <v>0</v>
      </c>
      <c r="AB45">
        <f t="shared" si="18"/>
        <v>0</v>
      </c>
      <c r="AC45">
        <f t="shared" ca="1" si="19"/>
        <v>55.8</v>
      </c>
    </row>
    <row r="46" spans="1:29">
      <c r="A46" s="133" t="str">
        <f>IF(IFERROR(_TECH_Initiative_Library!A42,"")="","",_TECH_Initiative_Library!A42)</f>
        <v>INI-038</v>
      </c>
      <c r="B46" s="133" t="str">
        <f>IF(IFERROR(_TECH_Initiative_Library!A42,"")="","",_TECH_Initiative_Library!F42)</f>
        <v>Build maintenance, spare-parts and asset resilience program</v>
      </c>
      <c r="C46" s="133" t="str">
        <f>IF(IFERROR(_TECH_Initiative_Library!A42,"")="","",_TECH_Initiative_Library!B42)</f>
        <v>Manufacturing MES</v>
      </c>
      <c r="D46">
        <f ca="1">IF(IFERROR(_TECH_Initiative_Library!A42,"")="","",N(IFERROR(_TECH_Initiative_Library!X42,0)))</f>
        <v>0</v>
      </c>
      <c r="E46">
        <f>IF(IFERROR(_TECH_Initiative_Library!A42,"")="","",N(IFERROR(_TECH_Initiative_Library!U42,0)))</f>
        <v>5</v>
      </c>
      <c r="F46">
        <f ca="1">IF(IFERROR(_TECH_Initiative_Library!A42,"")="","",N(IFERROR(_TECH_Initiative_Library!Y42,0)))</f>
        <v>2</v>
      </c>
      <c r="G46">
        <f>IF(IFERROR(_TECH_Initiative_Library!A42,"")="","",N(IFERROR(_TECH_Initiative_Library!AA42,0)))</f>
        <v>5</v>
      </c>
      <c r="H46">
        <f>IF(IFERROR(_TECH_Initiative_Library!A42,"")="","",N(IFERROR(_TECH_Initiative_Library!V42,0)))</f>
        <v>5</v>
      </c>
      <c r="I46">
        <f>IF(IFERROR(_TECH_Initiative_Library!A42,"")="","",IF(N(IFERROR(_TECH_Initiative_Library!AB42,0))=0,"",6-N(IFERROR(_TECH_Initiative_Library!AB42,0))))</f>
        <v>2</v>
      </c>
      <c r="J46">
        <f>IF(IFERROR(_TECH_Initiative_Library!A42,"")="","",IF(N(IFERROR(_TECH_Initiative_Library!AB42,0))=0,"",6-N(IFERROR(_TECH_Initiative_Library!AB42,0))))</f>
        <v>2</v>
      </c>
      <c r="K46" s="134">
        <f ca="1">IF(IFERROR(_TECH_Initiative_Library!A42,"")="","",ROUND(($A$6*N(D46)+$B$6*N(E46)+$C$6*N(F46)+$D$6*N(G46)+$E$6*N(H46)+$F$6*N(I46)+$G$6*N(J46))/5*100,1))</f>
        <v>55.8</v>
      </c>
      <c r="L46" s="156"/>
      <c r="M46" s="156"/>
      <c r="N46" s="156"/>
      <c r="O46" s="134" t="str">
        <f>IF(IFERROR(_TECH_Initiative_Library!A42,"")="","",IF(AND(L46&lt;&gt;"",N46&lt;&gt;"",M46&lt;&gt;""),(L46+4*M46+N46)/6,IF(M46&lt;&gt;"",M46,"")))</f>
        <v/>
      </c>
      <c r="P46" s="134" t="str">
        <f t="shared" si="10"/>
        <v/>
      </c>
      <c r="Q46" s="156"/>
      <c r="R46" s="156"/>
      <c r="S46" s="156"/>
      <c r="T46" t="str">
        <f>IF(IFERROR(_TECH_Initiative_Library!A42,"")="","",IF(AND(Q46&lt;&gt;"",S46&lt;&gt;"",R46&lt;&gt;""),(Q46+4*R46+S46)/6,IF(R46&lt;&gt;"",R46,"")))</f>
        <v/>
      </c>
      <c r="U46" s="134" t="str">
        <f t="shared" si="11"/>
        <v/>
      </c>
      <c r="V46" t="str">
        <f t="shared" si="12"/>
        <v/>
      </c>
      <c r="W46" t="str">
        <f t="shared" si="13"/>
        <v/>
      </c>
      <c r="X46" s="134" t="str">
        <f t="shared" si="14"/>
        <v/>
      </c>
      <c r="Y46">
        <f t="shared" ca="1" si="15"/>
        <v>8</v>
      </c>
      <c r="Z46" s="13" t="str">
        <f t="shared" si="16"/>
        <v>set €</v>
      </c>
      <c r="AA46">
        <f t="shared" si="17"/>
        <v>0</v>
      </c>
      <c r="AB46">
        <f t="shared" si="18"/>
        <v>0</v>
      </c>
      <c r="AC46">
        <f t="shared" ca="1" si="19"/>
        <v>55.8</v>
      </c>
    </row>
    <row r="47" spans="1:29">
      <c r="A47" s="133" t="str">
        <f>IF(IFERROR(_TECH_Initiative_Library!A43,"")="","",_TECH_Initiative_Library!A43)</f>
        <v>INI-039</v>
      </c>
      <c r="B47" s="133" t="str">
        <f>IF(IFERROR(_TECH_Initiative_Library!A43,"")="","",_TECH_Initiative_Library!F43)</f>
        <v>Strengthen manufacturing quality, safety and release controls</v>
      </c>
      <c r="C47" s="133" t="str">
        <f>IF(IFERROR(_TECH_Initiative_Library!A43,"")="","",_TECH_Initiative_Library!B43)</f>
        <v>Manufacturing MES</v>
      </c>
      <c r="D47">
        <f ca="1">IF(IFERROR(_TECH_Initiative_Library!A43,"")="","",N(IFERROR(_TECH_Initiative_Library!X43,0)))</f>
        <v>0</v>
      </c>
      <c r="E47">
        <f>IF(IFERROR(_TECH_Initiative_Library!A43,"")="","",N(IFERROR(_TECH_Initiative_Library!U43,0)))</f>
        <v>5</v>
      </c>
      <c r="F47">
        <f ca="1">IF(IFERROR(_TECH_Initiative_Library!A43,"")="","",N(IFERROR(_TECH_Initiative_Library!Y43,0)))</f>
        <v>2</v>
      </c>
      <c r="G47">
        <f>IF(IFERROR(_TECH_Initiative_Library!A43,"")="","",N(IFERROR(_TECH_Initiative_Library!AA43,0)))</f>
        <v>5</v>
      </c>
      <c r="H47">
        <f>IF(IFERROR(_TECH_Initiative_Library!A43,"")="","",N(IFERROR(_TECH_Initiative_Library!V43,0)))</f>
        <v>5</v>
      </c>
      <c r="I47">
        <f>IF(IFERROR(_TECH_Initiative_Library!A43,"")="","",IF(N(IFERROR(_TECH_Initiative_Library!AB43,0))=0,"",6-N(IFERROR(_TECH_Initiative_Library!AB43,0))))</f>
        <v>2</v>
      </c>
      <c r="J47">
        <f>IF(IFERROR(_TECH_Initiative_Library!A43,"")="","",IF(N(IFERROR(_TECH_Initiative_Library!AB43,0))=0,"",6-N(IFERROR(_TECH_Initiative_Library!AB43,0))))</f>
        <v>2</v>
      </c>
      <c r="K47" s="134">
        <f ca="1">IF(IFERROR(_TECH_Initiative_Library!A43,"")="","",ROUND(($A$6*N(D47)+$B$6*N(E47)+$C$6*N(F47)+$D$6*N(G47)+$E$6*N(H47)+$F$6*N(I47)+$G$6*N(J47))/5*100,1))</f>
        <v>55.8</v>
      </c>
      <c r="L47" s="156"/>
      <c r="M47" s="156"/>
      <c r="N47" s="156"/>
      <c r="O47" s="134" t="str">
        <f>IF(IFERROR(_TECH_Initiative_Library!A43,"")="","",IF(AND(L47&lt;&gt;"",N47&lt;&gt;"",M47&lt;&gt;""),(L47+4*M47+N47)/6,IF(M47&lt;&gt;"",M47,"")))</f>
        <v/>
      </c>
      <c r="P47" s="134" t="str">
        <f t="shared" si="10"/>
        <v/>
      </c>
      <c r="Q47" s="156"/>
      <c r="R47" s="156"/>
      <c r="S47" s="156"/>
      <c r="T47" t="str">
        <f>IF(IFERROR(_TECH_Initiative_Library!A43,"")="","",IF(AND(Q47&lt;&gt;"",S47&lt;&gt;"",R47&lt;&gt;""),(Q47+4*R47+S47)/6,IF(R47&lt;&gt;"",R47,"")))</f>
        <v/>
      </c>
      <c r="U47" s="134" t="str">
        <f t="shared" si="11"/>
        <v/>
      </c>
      <c r="V47" t="str">
        <f t="shared" si="12"/>
        <v/>
      </c>
      <c r="W47" t="str">
        <f t="shared" si="13"/>
        <v/>
      </c>
      <c r="X47" s="134" t="str">
        <f t="shared" si="14"/>
        <v/>
      </c>
      <c r="Y47">
        <f t="shared" ca="1" si="15"/>
        <v>8</v>
      </c>
      <c r="Z47" s="13" t="str">
        <f t="shared" si="16"/>
        <v>set €</v>
      </c>
      <c r="AA47">
        <f t="shared" si="17"/>
        <v>0</v>
      </c>
      <c r="AB47">
        <f t="shared" si="18"/>
        <v>0</v>
      </c>
      <c r="AC47">
        <f t="shared" ca="1" si="19"/>
        <v>55.8</v>
      </c>
    </row>
    <row r="48" spans="1:29">
      <c r="A48" s="133" t="str">
        <f>IF(IFERROR(_TECH_Initiative_Library!A44,"")="","",_TECH_Initiative_Library!A44)</f>
        <v>INI-040</v>
      </c>
      <c r="B48" s="133" t="str">
        <f>IF(IFERROR(_TECH_Initiative_Library!A44,"")="","",_TECH_Initiative_Library!F44)</f>
        <v>Implement OT security and industrial network resilience controls</v>
      </c>
      <c r="C48" s="133" t="str">
        <f>IF(IFERROR(_TECH_Initiative_Library!A44,"")="","",_TECH_Initiative_Library!B44)</f>
        <v>Manufacturing MES</v>
      </c>
      <c r="D48">
        <f ca="1">IF(IFERROR(_TECH_Initiative_Library!A44,"")="","",N(IFERROR(_TECH_Initiative_Library!X44,0)))</f>
        <v>0</v>
      </c>
      <c r="E48">
        <f>IF(IFERROR(_TECH_Initiative_Library!A44,"")="","",N(IFERROR(_TECH_Initiative_Library!U44,0)))</f>
        <v>5</v>
      </c>
      <c r="F48">
        <f ca="1">IF(IFERROR(_TECH_Initiative_Library!A44,"")="","",N(IFERROR(_TECH_Initiative_Library!Y44,0)))</f>
        <v>2</v>
      </c>
      <c r="G48">
        <f>IF(IFERROR(_TECH_Initiative_Library!A44,"")="","",N(IFERROR(_TECH_Initiative_Library!AA44,0)))</f>
        <v>5</v>
      </c>
      <c r="H48">
        <f>IF(IFERROR(_TECH_Initiative_Library!A44,"")="","",N(IFERROR(_TECH_Initiative_Library!V44,0)))</f>
        <v>5</v>
      </c>
      <c r="I48">
        <f>IF(IFERROR(_TECH_Initiative_Library!A44,"")="","",IF(N(IFERROR(_TECH_Initiative_Library!AB44,0))=0,"",6-N(IFERROR(_TECH_Initiative_Library!AB44,0))))</f>
        <v>2</v>
      </c>
      <c r="J48">
        <f>IF(IFERROR(_TECH_Initiative_Library!A44,"")="","",IF(N(IFERROR(_TECH_Initiative_Library!AB44,0))=0,"",6-N(IFERROR(_TECH_Initiative_Library!AB44,0))))</f>
        <v>2</v>
      </c>
      <c r="K48" s="134">
        <f ca="1">IF(IFERROR(_TECH_Initiative_Library!A44,"")="","",ROUND(($A$6*N(D48)+$B$6*N(E48)+$C$6*N(F48)+$D$6*N(G48)+$E$6*N(H48)+$F$6*N(I48)+$G$6*N(J48))/5*100,1))</f>
        <v>55.8</v>
      </c>
      <c r="L48" s="156"/>
      <c r="M48" s="156"/>
      <c r="N48" s="156"/>
      <c r="O48" s="134" t="str">
        <f>IF(IFERROR(_TECH_Initiative_Library!A44,"")="","",IF(AND(L48&lt;&gt;"",N48&lt;&gt;"",M48&lt;&gt;""),(L48+4*M48+N48)/6,IF(M48&lt;&gt;"",M48,"")))</f>
        <v/>
      </c>
      <c r="P48" s="134" t="str">
        <f t="shared" si="10"/>
        <v/>
      </c>
      <c r="Q48" s="156"/>
      <c r="R48" s="156"/>
      <c r="S48" s="156"/>
      <c r="T48" t="str">
        <f>IF(IFERROR(_TECH_Initiative_Library!A44,"")="","",IF(AND(Q48&lt;&gt;"",S48&lt;&gt;"",R48&lt;&gt;""),(Q48+4*R48+S48)/6,IF(R48&lt;&gt;"",R48,"")))</f>
        <v/>
      </c>
      <c r="U48" s="134" t="str">
        <f t="shared" si="11"/>
        <v/>
      </c>
      <c r="V48" t="str">
        <f t="shared" si="12"/>
        <v/>
      </c>
      <c r="W48" t="str">
        <f t="shared" si="13"/>
        <v/>
      </c>
      <c r="X48" s="134" t="str">
        <f t="shared" si="14"/>
        <v/>
      </c>
      <c r="Y48">
        <f t="shared" ca="1" si="15"/>
        <v>8</v>
      </c>
      <c r="Z48" s="13" t="str">
        <f t="shared" si="16"/>
        <v>set €</v>
      </c>
      <c r="AA48">
        <f t="shared" si="17"/>
        <v>0</v>
      </c>
      <c r="AB48">
        <f t="shared" si="18"/>
        <v>0</v>
      </c>
      <c r="AC48">
        <f t="shared" ca="1" si="19"/>
        <v>55.8</v>
      </c>
    </row>
    <row r="49" spans="1:29">
      <c r="A49" s="133" t="str">
        <f>IF(IFERROR(_TECH_Initiative_Library!A45,"")="","",_TECH_Initiative_Library!A45)</f>
        <v>INI-041</v>
      </c>
      <c r="B49" s="133" t="str">
        <f>IF(IFERROR(_TECH_Initiative_Library!A45,"")="","",_TECH_Initiative_Library!F45)</f>
        <v>Stabilize CRM data model, ownership and adoption</v>
      </c>
      <c r="C49" s="133" t="str">
        <f>IF(IFERROR(_TECH_Initiative_Library!A45,"")="","",_TECH_Initiative_Library!B45)</f>
        <v>Sales CRM</v>
      </c>
      <c r="D49">
        <f ca="1">IF(IFERROR(_TECH_Initiative_Library!A45,"")="","",N(IFERROR(_TECH_Initiative_Library!X45,0)))</f>
        <v>0</v>
      </c>
      <c r="E49">
        <f>IF(IFERROR(_TECH_Initiative_Library!A45,"")="","",N(IFERROR(_TECH_Initiative_Library!U45,0)))</f>
        <v>4</v>
      </c>
      <c r="F49">
        <f ca="1">IF(IFERROR(_TECH_Initiative_Library!A45,"")="","",N(IFERROR(_TECH_Initiative_Library!Y45,0)))</f>
        <v>2</v>
      </c>
      <c r="G49">
        <f>IF(IFERROR(_TECH_Initiative_Library!A45,"")="","",N(IFERROR(_TECH_Initiative_Library!AA45,0)))</f>
        <v>4</v>
      </c>
      <c r="H49">
        <f>IF(IFERROR(_TECH_Initiative_Library!A45,"")="","",N(IFERROR(_TECH_Initiative_Library!V45,0)))</f>
        <v>4</v>
      </c>
      <c r="I49">
        <f>IF(IFERROR(_TECH_Initiative_Library!A45,"")="","",IF(N(IFERROR(_TECH_Initiative_Library!AB45,0))=0,"",6-N(IFERROR(_TECH_Initiative_Library!AB45,0))))</f>
        <v>3</v>
      </c>
      <c r="J49">
        <f>IF(IFERROR(_TECH_Initiative_Library!A45,"")="","",IF(N(IFERROR(_TECH_Initiative_Library!AB45,0))=0,"",6-N(IFERROR(_TECH_Initiative_Library!AB45,0))))</f>
        <v>3</v>
      </c>
      <c r="K49" s="134">
        <f ca="1">IF(IFERROR(_TECH_Initiative_Library!A45,"")="","",ROUND(($A$6*N(D49)+$B$6*N(E49)+$C$6*N(F49)+$D$6*N(G49)+$E$6*N(H49)+$F$6*N(I49)+$G$6*N(J49))/5*100,1))</f>
        <v>51.2</v>
      </c>
      <c r="L49" s="156"/>
      <c r="M49" s="156"/>
      <c r="N49" s="156"/>
      <c r="O49" s="134" t="str">
        <f>IF(IFERROR(_TECH_Initiative_Library!A45,"")="","",IF(AND(L49&lt;&gt;"",N49&lt;&gt;"",M49&lt;&gt;""),(L49+4*M49+N49)/6,IF(M49&lt;&gt;"",M49,"")))</f>
        <v/>
      </c>
      <c r="P49" s="134" t="str">
        <f t="shared" si="10"/>
        <v/>
      </c>
      <c r="Q49" s="156"/>
      <c r="R49" s="156"/>
      <c r="S49" s="156"/>
      <c r="T49" t="str">
        <f>IF(IFERROR(_TECH_Initiative_Library!A45,"")="","",IF(AND(Q49&lt;&gt;"",S49&lt;&gt;"",R49&lt;&gt;""),(Q49+4*R49+S49)/6,IF(R49&lt;&gt;"",R49,"")))</f>
        <v/>
      </c>
      <c r="U49" s="134" t="str">
        <f t="shared" si="11"/>
        <v/>
      </c>
      <c r="V49" t="str">
        <f t="shared" si="12"/>
        <v/>
      </c>
      <c r="W49" t="str">
        <f t="shared" si="13"/>
        <v/>
      </c>
      <c r="X49" s="134" t="str">
        <f t="shared" si="14"/>
        <v/>
      </c>
      <c r="Y49">
        <f t="shared" ca="1" si="15"/>
        <v>35</v>
      </c>
      <c r="Z49" s="13" t="str">
        <f t="shared" si="16"/>
        <v>set €</v>
      </c>
      <c r="AA49">
        <f t="shared" si="17"/>
        <v>0</v>
      </c>
      <c r="AB49">
        <f t="shared" si="18"/>
        <v>0</v>
      </c>
      <c r="AC49">
        <f t="shared" ca="1" si="19"/>
        <v>51.2</v>
      </c>
    </row>
    <row r="50" spans="1:29">
      <c r="A50" s="133" t="str">
        <f>IF(IFERROR(_TECH_Initiative_Library!A46,"")="","",_TECH_Initiative_Library!A46)</f>
        <v>INI-042</v>
      </c>
      <c r="B50" s="133" t="str">
        <f>IF(IFERROR(_TECH_Initiative_Library!A46,"")="","",_TECH_Initiative_Library!F46)</f>
        <v>Build pipeline visibility, forecast discipline and revenue scenarios</v>
      </c>
      <c r="C50" s="133" t="str">
        <f>IF(IFERROR(_TECH_Initiative_Library!A46,"")="","",_TECH_Initiative_Library!B46)</f>
        <v>Sales CRM</v>
      </c>
      <c r="D50">
        <f ca="1">IF(IFERROR(_TECH_Initiative_Library!A46,"")="","",N(IFERROR(_TECH_Initiative_Library!X46,0)))</f>
        <v>0</v>
      </c>
      <c r="E50">
        <f>IF(IFERROR(_TECH_Initiative_Library!A46,"")="","",N(IFERROR(_TECH_Initiative_Library!U46,0)))</f>
        <v>4</v>
      </c>
      <c r="F50">
        <f ca="1">IF(IFERROR(_TECH_Initiative_Library!A46,"")="","",N(IFERROR(_TECH_Initiative_Library!Y46,0)))</f>
        <v>2</v>
      </c>
      <c r="G50">
        <f>IF(IFERROR(_TECH_Initiative_Library!A46,"")="","",N(IFERROR(_TECH_Initiative_Library!AA46,0)))</f>
        <v>4</v>
      </c>
      <c r="H50">
        <f>IF(IFERROR(_TECH_Initiative_Library!A46,"")="","",N(IFERROR(_TECH_Initiative_Library!V46,0)))</f>
        <v>4</v>
      </c>
      <c r="I50">
        <f>IF(IFERROR(_TECH_Initiative_Library!A46,"")="","",IF(N(IFERROR(_TECH_Initiative_Library!AB46,0))=0,"",6-N(IFERROR(_TECH_Initiative_Library!AB46,0))))</f>
        <v>3</v>
      </c>
      <c r="J50">
        <f>IF(IFERROR(_TECH_Initiative_Library!A46,"")="","",IF(N(IFERROR(_TECH_Initiative_Library!AB46,0))=0,"",6-N(IFERROR(_TECH_Initiative_Library!AB46,0))))</f>
        <v>3</v>
      </c>
      <c r="K50" s="134">
        <f ca="1">IF(IFERROR(_TECH_Initiative_Library!A46,"")="","",ROUND(($A$6*N(D50)+$B$6*N(E50)+$C$6*N(F50)+$D$6*N(G50)+$E$6*N(H50)+$F$6*N(I50)+$G$6*N(J50))/5*100,1))</f>
        <v>51.2</v>
      </c>
      <c r="L50" s="156"/>
      <c r="M50" s="156"/>
      <c r="N50" s="156"/>
      <c r="O50" s="134" t="str">
        <f>IF(IFERROR(_TECH_Initiative_Library!A46,"")="","",IF(AND(L50&lt;&gt;"",N50&lt;&gt;"",M50&lt;&gt;""),(L50+4*M50+N50)/6,IF(M50&lt;&gt;"",M50,"")))</f>
        <v/>
      </c>
      <c r="P50" s="134" t="str">
        <f t="shared" si="10"/>
        <v/>
      </c>
      <c r="Q50" s="156"/>
      <c r="R50" s="156"/>
      <c r="S50" s="156"/>
      <c r="T50" t="str">
        <f>IF(IFERROR(_TECH_Initiative_Library!A46,"")="","",IF(AND(Q50&lt;&gt;"",S50&lt;&gt;"",R50&lt;&gt;""),(Q50+4*R50+S50)/6,IF(R50&lt;&gt;"",R50,"")))</f>
        <v/>
      </c>
      <c r="U50" s="134" t="str">
        <f t="shared" si="11"/>
        <v/>
      </c>
      <c r="V50" t="str">
        <f t="shared" si="12"/>
        <v/>
      </c>
      <c r="W50" t="str">
        <f t="shared" si="13"/>
        <v/>
      </c>
      <c r="X50" s="134" t="str">
        <f t="shared" si="14"/>
        <v/>
      </c>
      <c r="Y50">
        <f t="shared" ca="1" si="15"/>
        <v>35</v>
      </c>
      <c r="Z50" s="13" t="str">
        <f t="shared" si="16"/>
        <v>set €</v>
      </c>
      <c r="AA50">
        <f t="shared" si="17"/>
        <v>0</v>
      </c>
      <c r="AB50">
        <f t="shared" si="18"/>
        <v>0</v>
      </c>
      <c r="AC50">
        <f t="shared" ca="1" si="19"/>
        <v>51.2</v>
      </c>
    </row>
    <row r="51" spans="1:29">
      <c r="A51" s="133" t="str">
        <f>IF(IFERROR(_TECH_Initiative_Library!A47,"")="","",_TECH_Initiative_Library!A47)</f>
        <v>INI-043</v>
      </c>
      <c r="B51" s="133" t="str">
        <f>IF(IFERROR(_TECH_Initiative_Library!A47,"")="","",_TECH_Initiative_Library!F47)</f>
        <v>Implement customer continuity and key-account protection program</v>
      </c>
      <c r="C51" s="133" t="str">
        <f>IF(IFERROR(_TECH_Initiative_Library!A47,"")="","",_TECH_Initiative_Library!B47)</f>
        <v>Sales CRM</v>
      </c>
      <c r="D51">
        <f ca="1">IF(IFERROR(_TECH_Initiative_Library!A47,"")="","",N(IFERROR(_TECH_Initiative_Library!X47,0)))</f>
        <v>0</v>
      </c>
      <c r="E51">
        <f>IF(IFERROR(_TECH_Initiative_Library!A47,"")="","",N(IFERROR(_TECH_Initiative_Library!U47,0)))</f>
        <v>4</v>
      </c>
      <c r="F51">
        <f ca="1">IF(IFERROR(_TECH_Initiative_Library!A47,"")="","",N(IFERROR(_TECH_Initiative_Library!Y47,0)))</f>
        <v>2</v>
      </c>
      <c r="G51">
        <f>IF(IFERROR(_TECH_Initiative_Library!A47,"")="","",N(IFERROR(_TECH_Initiative_Library!AA47,0)))</f>
        <v>4</v>
      </c>
      <c r="H51">
        <f>IF(IFERROR(_TECH_Initiative_Library!A47,"")="","",N(IFERROR(_TECH_Initiative_Library!V47,0)))</f>
        <v>4</v>
      </c>
      <c r="I51">
        <f>IF(IFERROR(_TECH_Initiative_Library!A47,"")="","",IF(N(IFERROR(_TECH_Initiative_Library!AB47,0))=0,"",6-N(IFERROR(_TECH_Initiative_Library!AB47,0))))</f>
        <v>3</v>
      </c>
      <c r="J51">
        <f>IF(IFERROR(_TECH_Initiative_Library!A47,"")="","",IF(N(IFERROR(_TECH_Initiative_Library!AB47,0))=0,"",6-N(IFERROR(_TECH_Initiative_Library!AB47,0))))</f>
        <v>3</v>
      </c>
      <c r="K51" s="134">
        <f ca="1">IF(IFERROR(_TECH_Initiative_Library!A47,"")="","",ROUND(($A$6*N(D51)+$B$6*N(E51)+$C$6*N(F51)+$D$6*N(G51)+$E$6*N(H51)+$F$6*N(I51)+$G$6*N(J51))/5*100,1))</f>
        <v>51.2</v>
      </c>
      <c r="L51" s="156"/>
      <c r="M51" s="156"/>
      <c r="N51" s="156"/>
      <c r="O51" s="134" t="str">
        <f>IF(IFERROR(_TECH_Initiative_Library!A47,"")="","",IF(AND(L51&lt;&gt;"",N51&lt;&gt;"",M51&lt;&gt;""),(L51+4*M51+N51)/6,IF(M51&lt;&gt;"",M51,"")))</f>
        <v/>
      </c>
      <c r="P51" s="134" t="str">
        <f t="shared" si="10"/>
        <v/>
      </c>
      <c r="Q51" s="156"/>
      <c r="R51" s="156"/>
      <c r="S51" s="156"/>
      <c r="T51" t="str">
        <f>IF(IFERROR(_TECH_Initiative_Library!A47,"")="","",IF(AND(Q51&lt;&gt;"",S51&lt;&gt;"",R51&lt;&gt;""),(Q51+4*R51+S51)/6,IF(R51&lt;&gt;"",R51,"")))</f>
        <v/>
      </c>
      <c r="U51" s="134" t="str">
        <f t="shared" si="11"/>
        <v/>
      </c>
      <c r="V51" t="str">
        <f t="shared" si="12"/>
        <v/>
      </c>
      <c r="W51" t="str">
        <f t="shared" si="13"/>
        <v/>
      </c>
      <c r="X51" s="134" t="str">
        <f t="shared" si="14"/>
        <v/>
      </c>
      <c r="Y51">
        <f t="shared" ca="1" si="15"/>
        <v>35</v>
      </c>
      <c r="Z51" s="13" t="str">
        <f t="shared" si="16"/>
        <v>set €</v>
      </c>
      <c r="AA51">
        <f t="shared" si="17"/>
        <v>0</v>
      </c>
      <c r="AB51">
        <f t="shared" si="18"/>
        <v>0</v>
      </c>
      <c r="AC51">
        <f t="shared" ca="1" si="19"/>
        <v>51.2</v>
      </c>
    </row>
    <row r="52" spans="1:29">
      <c r="A52" s="133" t="str">
        <f>IF(IFERROR(_TECH_Initiative_Library!A48,"")="","",_TECH_Initiative_Library!A48)</f>
        <v>INI-044</v>
      </c>
      <c r="B52" s="133" t="str">
        <f>IF(IFERROR(_TECH_Initiative_Library!A48,"")="","",_TECH_Initiative_Library!F48)</f>
        <v>Strengthen pricing, discounting and revenue-control governance</v>
      </c>
      <c r="C52" s="133" t="str">
        <f>IF(IFERROR(_TECH_Initiative_Library!A48,"")="","",_TECH_Initiative_Library!B48)</f>
        <v>Sales CRM</v>
      </c>
      <c r="D52">
        <f ca="1">IF(IFERROR(_TECH_Initiative_Library!A48,"")="","",N(IFERROR(_TECH_Initiative_Library!X48,0)))</f>
        <v>0</v>
      </c>
      <c r="E52">
        <f>IF(IFERROR(_TECH_Initiative_Library!A48,"")="","",N(IFERROR(_TECH_Initiative_Library!U48,0)))</f>
        <v>4</v>
      </c>
      <c r="F52">
        <f ca="1">IF(IFERROR(_TECH_Initiative_Library!A48,"")="","",N(IFERROR(_TECH_Initiative_Library!Y48,0)))</f>
        <v>2</v>
      </c>
      <c r="G52">
        <f>IF(IFERROR(_TECH_Initiative_Library!A48,"")="","",N(IFERROR(_TECH_Initiative_Library!AA48,0)))</f>
        <v>4</v>
      </c>
      <c r="H52">
        <f>IF(IFERROR(_TECH_Initiative_Library!A48,"")="","",N(IFERROR(_TECH_Initiative_Library!V48,0)))</f>
        <v>4</v>
      </c>
      <c r="I52">
        <f>IF(IFERROR(_TECH_Initiative_Library!A48,"")="","",IF(N(IFERROR(_TECH_Initiative_Library!AB48,0))=0,"",6-N(IFERROR(_TECH_Initiative_Library!AB48,0))))</f>
        <v>3</v>
      </c>
      <c r="J52">
        <f>IF(IFERROR(_TECH_Initiative_Library!A48,"")="","",IF(N(IFERROR(_TECH_Initiative_Library!AB48,0))=0,"",6-N(IFERROR(_TECH_Initiative_Library!AB48,0))))</f>
        <v>3</v>
      </c>
      <c r="K52" s="134">
        <f ca="1">IF(IFERROR(_TECH_Initiative_Library!A48,"")="","",ROUND(($A$6*N(D52)+$B$6*N(E52)+$C$6*N(F52)+$D$6*N(G52)+$E$6*N(H52)+$F$6*N(I52)+$G$6*N(J52))/5*100,1))</f>
        <v>51.2</v>
      </c>
      <c r="L52" s="156"/>
      <c r="M52" s="156"/>
      <c r="N52" s="156"/>
      <c r="O52" s="134" t="str">
        <f>IF(IFERROR(_TECH_Initiative_Library!A48,"")="","",IF(AND(L52&lt;&gt;"",N52&lt;&gt;"",M52&lt;&gt;""),(L52+4*M52+N52)/6,IF(M52&lt;&gt;"",M52,"")))</f>
        <v/>
      </c>
      <c r="P52" s="134" t="str">
        <f t="shared" si="10"/>
        <v/>
      </c>
      <c r="Q52" s="156"/>
      <c r="R52" s="156"/>
      <c r="S52" s="156"/>
      <c r="T52" t="str">
        <f>IF(IFERROR(_TECH_Initiative_Library!A48,"")="","",IF(AND(Q52&lt;&gt;"",S52&lt;&gt;"",R52&lt;&gt;""),(Q52+4*R52+S52)/6,IF(R52&lt;&gt;"",R52,"")))</f>
        <v/>
      </c>
      <c r="U52" s="134" t="str">
        <f t="shared" si="11"/>
        <v/>
      </c>
      <c r="V52" t="str">
        <f t="shared" si="12"/>
        <v/>
      </c>
      <c r="W52" t="str">
        <f t="shared" si="13"/>
        <v/>
      </c>
      <c r="X52" s="134" t="str">
        <f t="shared" si="14"/>
        <v/>
      </c>
      <c r="Y52">
        <f t="shared" ca="1" si="15"/>
        <v>35</v>
      </c>
      <c r="Z52" s="13" t="str">
        <f t="shared" si="16"/>
        <v>set €</v>
      </c>
      <c r="AA52">
        <f t="shared" si="17"/>
        <v>0</v>
      </c>
      <c r="AB52">
        <f t="shared" si="18"/>
        <v>0</v>
      </c>
      <c r="AC52">
        <f t="shared" ca="1" si="19"/>
        <v>51.2</v>
      </c>
    </row>
    <row r="53" spans="1:29">
      <c r="A53" s="133" t="str">
        <f>IF(IFERROR(_TECH_Initiative_Library!A49,"")="","",_TECH_Initiative_Library!A49)</f>
        <v>INI-045</v>
      </c>
      <c r="B53" s="133" t="str">
        <f>IF(IFERROR(_TECH_Initiative_Library!A49,"")="","",_TECH_Initiative_Library!F49)</f>
        <v>Build resilient brand presence and digital demand generation</v>
      </c>
      <c r="C53" s="133" t="str">
        <f>IF(IFERROR(_TECH_Initiative_Library!A49,"")="","",_TECH_Initiative_Library!B49)</f>
        <v>Marketing Comms</v>
      </c>
      <c r="D53">
        <f ca="1">IF(IFERROR(_TECH_Initiative_Library!A49,"")="","",N(IFERROR(_TECH_Initiative_Library!X49,0)))</f>
        <v>0</v>
      </c>
      <c r="E53">
        <f>IF(IFERROR(_TECH_Initiative_Library!A49,"")="","",N(IFERROR(_TECH_Initiative_Library!U49,0)))</f>
        <v>4</v>
      </c>
      <c r="F53">
        <f ca="1">IF(IFERROR(_TECH_Initiative_Library!A49,"")="","",N(IFERROR(_TECH_Initiative_Library!Y49,0)))</f>
        <v>2</v>
      </c>
      <c r="G53">
        <f>IF(IFERROR(_TECH_Initiative_Library!A49,"")="","",N(IFERROR(_TECH_Initiative_Library!AA49,0)))</f>
        <v>4</v>
      </c>
      <c r="H53">
        <f>IF(IFERROR(_TECH_Initiative_Library!A49,"")="","",N(IFERROR(_TECH_Initiative_Library!V49,0)))</f>
        <v>4</v>
      </c>
      <c r="I53">
        <f>IF(IFERROR(_TECH_Initiative_Library!A49,"")="","",IF(N(IFERROR(_TECH_Initiative_Library!AB49,0))=0,"",6-N(IFERROR(_TECH_Initiative_Library!AB49,0))))</f>
        <v>3</v>
      </c>
      <c r="J53">
        <f>IF(IFERROR(_TECH_Initiative_Library!A49,"")="","",IF(N(IFERROR(_TECH_Initiative_Library!AB49,0))=0,"",6-N(IFERROR(_TECH_Initiative_Library!AB49,0))))</f>
        <v>3</v>
      </c>
      <c r="K53" s="134">
        <f ca="1">IF(IFERROR(_TECH_Initiative_Library!A49,"")="","",ROUND(($A$6*N(D53)+$B$6*N(E53)+$C$6*N(F53)+$D$6*N(G53)+$E$6*N(H53)+$F$6*N(I53)+$G$6*N(J53))/5*100,1))</f>
        <v>51.2</v>
      </c>
      <c r="L53" s="156"/>
      <c r="M53" s="156"/>
      <c r="N53" s="156"/>
      <c r="O53" s="134" t="str">
        <f>IF(IFERROR(_TECH_Initiative_Library!A49,"")="","",IF(AND(L53&lt;&gt;"",N53&lt;&gt;"",M53&lt;&gt;""),(L53+4*M53+N53)/6,IF(M53&lt;&gt;"",M53,"")))</f>
        <v/>
      </c>
      <c r="P53" s="134" t="str">
        <f t="shared" si="10"/>
        <v/>
      </c>
      <c r="Q53" s="156"/>
      <c r="R53" s="156"/>
      <c r="S53" s="156"/>
      <c r="T53" t="str">
        <f>IF(IFERROR(_TECH_Initiative_Library!A49,"")="","",IF(AND(Q53&lt;&gt;"",S53&lt;&gt;"",R53&lt;&gt;""),(Q53+4*R53+S53)/6,IF(R53&lt;&gt;"",R53,"")))</f>
        <v/>
      </c>
      <c r="U53" s="134" t="str">
        <f t="shared" si="11"/>
        <v/>
      </c>
      <c r="V53" t="str">
        <f t="shared" si="12"/>
        <v/>
      </c>
      <c r="W53" t="str">
        <f t="shared" si="13"/>
        <v/>
      </c>
      <c r="X53" s="134" t="str">
        <f t="shared" si="14"/>
        <v/>
      </c>
      <c r="Y53">
        <f t="shared" ca="1" si="15"/>
        <v>35</v>
      </c>
      <c r="Z53" s="13" t="str">
        <f t="shared" si="16"/>
        <v>set €</v>
      </c>
      <c r="AA53">
        <f t="shared" si="17"/>
        <v>0</v>
      </c>
      <c r="AB53">
        <f t="shared" si="18"/>
        <v>0</v>
      </c>
      <c r="AC53">
        <f t="shared" ca="1" si="19"/>
        <v>51.2</v>
      </c>
    </row>
    <row r="54" spans="1:29">
      <c r="A54" s="133" t="str">
        <f>IF(IFERROR(_TECH_Initiative_Library!A50,"")="","",_TECH_Initiative_Library!A50)</f>
        <v>INI-046</v>
      </c>
      <c r="B54" s="133" t="str">
        <f>IF(IFERROR(_TECH_Initiative_Library!A50,"")="","",_TECH_Initiative_Library!F50)</f>
        <v>Prepare crisis communication playbooks and customer notification flows</v>
      </c>
      <c r="C54" s="133" t="str">
        <f>IF(IFERROR(_TECH_Initiative_Library!A50,"")="","",_TECH_Initiative_Library!B50)</f>
        <v>Marketing Comms</v>
      </c>
      <c r="D54">
        <f ca="1">IF(IFERROR(_TECH_Initiative_Library!A50,"")="","",N(IFERROR(_TECH_Initiative_Library!X50,0)))</f>
        <v>0</v>
      </c>
      <c r="E54">
        <f>IF(IFERROR(_TECH_Initiative_Library!A50,"")="","",N(IFERROR(_TECH_Initiative_Library!U50,0)))</f>
        <v>2</v>
      </c>
      <c r="F54">
        <f ca="1">IF(IFERROR(_TECH_Initiative_Library!A50,"")="","",N(IFERROR(_TECH_Initiative_Library!Y50,0)))</f>
        <v>2</v>
      </c>
      <c r="G54">
        <f>IF(IFERROR(_TECH_Initiative_Library!A50,"")="","",N(IFERROR(_TECH_Initiative_Library!AA50,0)))</f>
        <v>4</v>
      </c>
      <c r="H54">
        <f>IF(IFERROR(_TECH_Initiative_Library!A50,"")="","",N(IFERROR(_TECH_Initiative_Library!V50,0)))</f>
        <v>5</v>
      </c>
      <c r="I54">
        <f>IF(IFERROR(_TECH_Initiative_Library!A50,"")="","",IF(N(IFERROR(_TECH_Initiative_Library!AB50,0))=0,"",6-N(IFERROR(_TECH_Initiative_Library!AB50,0))))</f>
        <v>3</v>
      </c>
      <c r="J54">
        <f>IF(IFERROR(_TECH_Initiative_Library!A50,"")="","",IF(N(IFERROR(_TECH_Initiative_Library!AB50,0))=0,"",6-N(IFERROR(_TECH_Initiative_Library!AB50,0))))</f>
        <v>3</v>
      </c>
      <c r="K54" s="134">
        <f ca="1">IF(IFERROR(_TECH_Initiative_Library!A50,"")="","",ROUND(($A$6*N(D54)+$B$6*N(E54)+$C$6*N(F54)+$D$6*N(G54)+$E$6*N(H54)+$F$6*N(I54)+$G$6*N(J54))/5*100,1))</f>
        <v>45.8</v>
      </c>
      <c r="L54" s="156"/>
      <c r="M54" s="156"/>
      <c r="N54" s="156"/>
      <c r="O54" s="134" t="str">
        <f>IF(IFERROR(_TECH_Initiative_Library!A50,"")="","",IF(AND(L54&lt;&gt;"",N54&lt;&gt;"",M54&lt;&gt;""),(L54+4*M54+N54)/6,IF(M54&lt;&gt;"",M54,"")))</f>
        <v/>
      </c>
      <c r="P54" s="134" t="str">
        <f t="shared" si="10"/>
        <v/>
      </c>
      <c r="Q54" s="156"/>
      <c r="R54" s="156"/>
      <c r="S54" s="156"/>
      <c r="T54" t="str">
        <f>IF(IFERROR(_TECH_Initiative_Library!A50,"")="","",IF(AND(Q54&lt;&gt;"",S54&lt;&gt;"",R54&lt;&gt;""),(Q54+4*R54+S54)/6,IF(R54&lt;&gt;"",R54,"")))</f>
        <v/>
      </c>
      <c r="U54" s="134" t="str">
        <f t="shared" si="11"/>
        <v/>
      </c>
      <c r="V54" t="str">
        <f t="shared" si="12"/>
        <v/>
      </c>
      <c r="W54" t="str">
        <f t="shared" si="13"/>
        <v/>
      </c>
      <c r="X54" s="134" t="str">
        <f t="shared" si="14"/>
        <v/>
      </c>
      <c r="Y54">
        <f t="shared" ca="1" si="15"/>
        <v>68</v>
      </c>
      <c r="Z54" s="13" t="str">
        <f t="shared" si="16"/>
        <v>set €</v>
      </c>
      <c r="AA54">
        <f t="shared" si="17"/>
        <v>0</v>
      </c>
      <c r="AB54">
        <f t="shared" si="18"/>
        <v>0</v>
      </c>
      <c r="AC54">
        <f t="shared" ca="1" si="19"/>
        <v>45.8</v>
      </c>
    </row>
    <row r="55" spans="1:29">
      <c r="A55" s="133" t="str">
        <f>IF(IFERROR(_TECH_Initiative_Library!A51,"")="","",_TECH_Initiative_Library!A51)</f>
        <v>INI-047</v>
      </c>
      <c r="B55" s="133" t="str">
        <f>IF(IFERROR(_TECH_Initiative_Library!A51,"")="","",_TECH_Initiative_Library!F51)</f>
        <v>Standardize marketing operations, content and analytics cadence</v>
      </c>
      <c r="C55" s="133" t="str">
        <f>IF(IFERROR(_TECH_Initiative_Library!A51,"")="","",_TECH_Initiative_Library!B51)</f>
        <v>Marketing Comms</v>
      </c>
      <c r="D55">
        <f ca="1">IF(IFERROR(_TECH_Initiative_Library!A51,"")="","",N(IFERROR(_TECH_Initiative_Library!X51,0)))</f>
        <v>0</v>
      </c>
      <c r="E55">
        <f>IF(IFERROR(_TECH_Initiative_Library!A51,"")="","",N(IFERROR(_TECH_Initiative_Library!U51,0)))</f>
        <v>4</v>
      </c>
      <c r="F55">
        <f ca="1">IF(IFERROR(_TECH_Initiative_Library!A51,"")="","",N(IFERROR(_TECH_Initiative_Library!Y51,0)))</f>
        <v>2</v>
      </c>
      <c r="G55">
        <f>IF(IFERROR(_TECH_Initiative_Library!A51,"")="","",N(IFERROR(_TECH_Initiative_Library!AA51,0)))</f>
        <v>4</v>
      </c>
      <c r="H55">
        <f>IF(IFERROR(_TECH_Initiative_Library!A51,"")="","",N(IFERROR(_TECH_Initiative_Library!V51,0)))</f>
        <v>4</v>
      </c>
      <c r="I55">
        <f>IF(IFERROR(_TECH_Initiative_Library!A51,"")="","",IF(N(IFERROR(_TECH_Initiative_Library!AB51,0))=0,"",6-N(IFERROR(_TECH_Initiative_Library!AB51,0))))</f>
        <v>3</v>
      </c>
      <c r="J55">
        <f>IF(IFERROR(_TECH_Initiative_Library!A51,"")="","",IF(N(IFERROR(_TECH_Initiative_Library!AB51,0))=0,"",6-N(IFERROR(_TECH_Initiative_Library!AB51,0))))</f>
        <v>3</v>
      </c>
      <c r="K55" s="134">
        <f ca="1">IF(IFERROR(_TECH_Initiative_Library!A51,"")="","",ROUND(($A$6*N(D55)+$B$6*N(E55)+$C$6*N(F55)+$D$6*N(G55)+$E$6*N(H55)+$F$6*N(I55)+$G$6*N(J55))/5*100,1))</f>
        <v>51.2</v>
      </c>
      <c r="L55" s="156"/>
      <c r="M55" s="156"/>
      <c r="N55" s="156"/>
      <c r="O55" s="134" t="str">
        <f>IF(IFERROR(_TECH_Initiative_Library!A51,"")="","",IF(AND(L55&lt;&gt;"",N55&lt;&gt;"",M55&lt;&gt;""),(L55+4*M55+N55)/6,IF(M55&lt;&gt;"",M55,"")))</f>
        <v/>
      </c>
      <c r="P55" s="134" t="str">
        <f t="shared" si="10"/>
        <v/>
      </c>
      <c r="Q55" s="156"/>
      <c r="R55" s="156"/>
      <c r="S55" s="156"/>
      <c r="T55" t="str">
        <f>IF(IFERROR(_TECH_Initiative_Library!A51,"")="","",IF(AND(Q55&lt;&gt;"",S55&lt;&gt;"",R55&lt;&gt;""),(Q55+4*R55+S55)/6,IF(R55&lt;&gt;"",R55,"")))</f>
        <v/>
      </c>
      <c r="U55" s="134" t="str">
        <f t="shared" si="11"/>
        <v/>
      </c>
      <c r="V55" t="str">
        <f t="shared" si="12"/>
        <v/>
      </c>
      <c r="W55" t="str">
        <f t="shared" si="13"/>
        <v/>
      </c>
      <c r="X55" s="134" t="str">
        <f t="shared" si="14"/>
        <v/>
      </c>
      <c r="Y55">
        <f t="shared" ca="1" si="15"/>
        <v>35</v>
      </c>
      <c r="Z55" s="13" t="str">
        <f t="shared" si="16"/>
        <v>set €</v>
      </c>
      <c r="AA55">
        <f t="shared" si="17"/>
        <v>0</v>
      </c>
      <c r="AB55">
        <f t="shared" si="18"/>
        <v>0</v>
      </c>
      <c r="AC55">
        <f t="shared" ca="1" si="19"/>
        <v>51.2</v>
      </c>
    </row>
    <row r="56" spans="1:29">
      <c r="A56" s="133" t="str">
        <f>IF(IFERROR(_TECH_Initiative_Library!A52,"")="","",_TECH_Initiative_Library!A52)</f>
        <v>INI-048</v>
      </c>
      <c r="B56" s="133" t="str">
        <f>IF(IFERROR(_TECH_Initiative_Library!A52,"")="","",_TECH_Initiative_Library!F52)</f>
        <v>Create IT asset, application and architecture criticality map</v>
      </c>
      <c r="C56" s="133" t="str">
        <f>IF(IFERROR(_TECH_Initiative_Library!A52,"")="","",_TECH_Initiative_Library!B52)</f>
        <v>IT Cloud DR</v>
      </c>
      <c r="D56">
        <f ca="1">IF(IFERROR(_TECH_Initiative_Library!A52,"")="","",N(IFERROR(_TECH_Initiative_Library!X52,0)))</f>
        <v>0</v>
      </c>
      <c r="E56">
        <f>IF(IFERROR(_TECH_Initiative_Library!A52,"")="","",N(IFERROR(_TECH_Initiative_Library!U52,0)))</f>
        <v>5</v>
      </c>
      <c r="F56">
        <f ca="1">IF(IFERROR(_TECH_Initiative_Library!A52,"")="","",N(IFERROR(_TECH_Initiative_Library!Y52,0)))</f>
        <v>3</v>
      </c>
      <c r="G56">
        <f>IF(IFERROR(_TECH_Initiative_Library!A52,"")="","",N(IFERROR(_TECH_Initiative_Library!AA52,0)))</f>
        <v>4</v>
      </c>
      <c r="H56">
        <f>IF(IFERROR(_TECH_Initiative_Library!A52,"")="","",N(IFERROR(_TECH_Initiative_Library!V52,0)))</f>
        <v>5</v>
      </c>
      <c r="I56">
        <f>IF(IFERROR(_TECH_Initiative_Library!A52,"")="","",IF(N(IFERROR(_TECH_Initiative_Library!AB52,0))=0,"",6-N(IFERROR(_TECH_Initiative_Library!AB52,0))))</f>
        <v>2</v>
      </c>
      <c r="J56">
        <f>IF(IFERROR(_TECH_Initiative_Library!A52,"")="","",IF(N(IFERROR(_TECH_Initiative_Library!AB52,0))=0,"",6-N(IFERROR(_TECH_Initiative_Library!AB52,0))))</f>
        <v>2</v>
      </c>
      <c r="K56" s="134">
        <f ca="1">IF(IFERROR(_TECH_Initiative_Library!A52,"")="","",ROUND(($A$6*N(D56)+$B$6*N(E56)+$C$6*N(F56)+$D$6*N(G56)+$E$6*N(H56)+$F$6*N(I56)+$G$6*N(J56))/5*100,1))</f>
        <v>56.2</v>
      </c>
      <c r="L56" s="156"/>
      <c r="M56" s="156"/>
      <c r="N56" s="156"/>
      <c r="O56" s="134" t="str">
        <f>IF(IFERROR(_TECH_Initiative_Library!A52,"")="","",IF(AND(L56&lt;&gt;"",N56&lt;&gt;"",M56&lt;&gt;""),(L56+4*M56+N56)/6,IF(M56&lt;&gt;"",M56,"")))</f>
        <v/>
      </c>
      <c r="P56" s="134" t="str">
        <f t="shared" si="10"/>
        <v/>
      </c>
      <c r="Q56" s="156"/>
      <c r="R56" s="156"/>
      <c r="S56" s="156"/>
      <c r="T56" t="str">
        <f>IF(IFERROR(_TECH_Initiative_Library!A52,"")="","",IF(AND(Q56&lt;&gt;"",S56&lt;&gt;"",R56&lt;&gt;""),(Q56+4*R56+S56)/6,IF(R56&lt;&gt;"",R56,"")))</f>
        <v/>
      </c>
      <c r="U56" s="134" t="str">
        <f t="shared" si="11"/>
        <v/>
      </c>
      <c r="V56" t="str">
        <f t="shared" si="12"/>
        <v/>
      </c>
      <c r="W56" t="str">
        <f t="shared" si="13"/>
        <v/>
      </c>
      <c r="X56" s="134" t="str">
        <f t="shared" si="14"/>
        <v/>
      </c>
      <c r="Y56">
        <f t="shared" ca="1" si="15"/>
        <v>3</v>
      </c>
      <c r="Z56" s="13" t="str">
        <f t="shared" si="16"/>
        <v>set €</v>
      </c>
      <c r="AA56">
        <f t="shared" si="17"/>
        <v>0</v>
      </c>
      <c r="AB56">
        <f t="shared" si="18"/>
        <v>0</v>
      </c>
      <c r="AC56">
        <f t="shared" ca="1" si="19"/>
        <v>56.2</v>
      </c>
    </row>
    <row r="57" spans="1:29">
      <c r="A57" s="133" t="str">
        <f>IF(IFERROR(_TECH_Initiative_Library!A53,"")="","",_TECH_Initiative_Library!A53)</f>
        <v>INI-049</v>
      </c>
      <c r="B57" s="133" t="str">
        <f>IF(IFERROR(_TECH_Initiative_Library!A53,"")="","",_TECH_Initiative_Library!F53)</f>
        <v>Optimize cloud usage, landing zones and infrastructure resilience</v>
      </c>
      <c r="C57" s="133" t="str">
        <f>IF(IFERROR(_TECH_Initiative_Library!A53,"")="","",_TECH_Initiative_Library!B53)</f>
        <v>IT Cloud DR</v>
      </c>
      <c r="D57">
        <f ca="1">IF(IFERROR(_TECH_Initiative_Library!A53,"")="","",N(IFERROR(_TECH_Initiative_Library!X53,0)))</f>
        <v>0</v>
      </c>
      <c r="E57">
        <f>IF(IFERROR(_TECH_Initiative_Library!A53,"")="","",N(IFERROR(_TECH_Initiative_Library!U53,0)))</f>
        <v>5</v>
      </c>
      <c r="F57">
        <f ca="1">IF(IFERROR(_TECH_Initiative_Library!A53,"")="","",N(IFERROR(_TECH_Initiative_Library!Y53,0)))</f>
        <v>3</v>
      </c>
      <c r="G57">
        <f>IF(IFERROR(_TECH_Initiative_Library!A53,"")="","",N(IFERROR(_TECH_Initiative_Library!AA53,0)))</f>
        <v>4</v>
      </c>
      <c r="H57">
        <f>IF(IFERROR(_TECH_Initiative_Library!A53,"")="","",N(IFERROR(_TECH_Initiative_Library!V53,0)))</f>
        <v>5</v>
      </c>
      <c r="I57">
        <f>IF(IFERROR(_TECH_Initiative_Library!A53,"")="","",IF(N(IFERROR(_TECH_Initiative_Library!AB53,0))=0,"",6-N(IFERROR(_TECH_Initiative_Library!AB53,0))))</f>
        <v>2</v>
      </c>
      <c r="J57">
        <f>IF(IFERROR(_TECH_Initiative_Library!A53,"")="","",IF(N(IFERROR(_TECH_Initiative_Library!AB53,0))=0,"",6-N(IFERROR(_TECH_Initiative_Library!AB53,0))))</f>
        <v>2</v>
      </c>
      <c r="K57" s="134">
        <f ca="1">IF(IFERROR(_TECH_Initiative_Library!A53,"")="","",ROUND(($A$6*N(D57)+$B$6*N(E57)+$C$6*N(F57)+$D$6*N(G57)+$E$6*N(H57)+$F$6*N(I57)+$G$6*N(J57))/5*100,1))</f>
        <v>56.2</v>
      </c>
      <c r="L57" s="156"/>
      <c r="M57" s="156"/>
      <c r="N57" s="156"/>
      <c r="O57" s="134" t="str">
        <f>IF(IFERROR(_TECH_Initiative_Library!A53,"")="","",IF(AND(L57&lt;&gt;"",N57&lt;&gt;"",M57&lt;&gt;""),(L57+4*M57+N57)/6,IF(M57&lt;&gt;"",M57,"")))</f>
        <v/>
      </c>
      <c r="P57" s="134" t="str">
        <f t="shared" si="10"/>
        <v/>
      </c>
      <c r="Q57" s="156"/>
      <c r="R57" s="156"/>
      <c r="S57" s="156"/>
      <c r="T57" t="str">
        <f>IF(IFERROR(_TECH_Initiative_Library!A53,"")="","",IF(AND(Q57&lt;&gt;"",S57&lt;&gt;"",R57&lt;&gt;""),(Q57+4*R57+S57)/6,IF(R57&lt;&gt;"",R57,"")))</f>
        <v/>
      </c>
      <c r="U57" s="134" t="str">
        <f t="shared" si="11"/>
        <v/>
      </c>
      <c r="V57" t="str">
        <f t="shared" si="12"/>
        <v/>
      </c>
      <c r="W57" t="str">
        <f t="shared" si="13"/>
        <v/>
      </c>
      <c r="X57" s="134" t="str">
        <f t="shared" si="14"/>
        <v/>
      </c>
      <c r="Y57">
        <f t="shared" ca="1" si="15"/>
        <v>3</v>
      </c>
      <c r="Z57" s="13" t="str">
        <f t="shared" si="16"/>
        <v>set €</v>
      </c>
      <c r="AA57">
        <f t="shared" si="17"/>
        <v>0</v>
      </c>
      <c r="AB57">
        <f t="shared" si="18"/>
        <v>0</v>
      </c>
      <c r="AC57">
        <f t="shared" ca="1" si="19"/>
        <v>56.2</v>
      </c>
    </row>
    <row r="58" spans="1:29">
      <c r="A58" s="133" t="str">
        <f>IF(IFERROR(_TECH_Initiative_Library!A54,"")="","",_TECH_Initiative_Library!A54)</f>
        <v>INI-050</v>
      </c>
      <c r="B58" s="133" t="str">
        <f>IF(IFERROR(_TECH_Initiative_Library!A54,"")="","",_TECH_Initiative_Library!F54)</f>
        <v>Implement disaster recovery, backup testing and RTO/RPO controls</v>
      </c>
      <c r="C58" s="133" t="str">
        <f>IF(IFERROR(_TECH_Initiative_Library!A54,"")="","",_TECH_Initiative_Library!B54)</f>
        <v>IT Cloud DR</v>
      </c>
      <c r="D58">
        <f ca="1">IF(IFERROR(_TECH_Initiative_Library!A54,"")="","",N(IFERROR(_TECH_Initiative_Library!X54,0)))</f>
        <v>0</v>
      </c>
      <c r="E58">
        <f>IF(IFERROR(_TECH_Initiative_Library!A54,"")="","",N(IFERROR(_TECH_Initiative_Library!U54,0)))</f>
        <v>5</v>
      </c>
      <c r="F58">
        <f ca="1">IF(IFERROR(_TECH_Initiative_Library!A54,"")="","",N(IFERROR(_TECH_Initiative_Library!Y54,0)))</f>
        <v>3</v>
      </c>
      <c r="G58">
        <f>IF(IFERROR(_TECH_Initiative_Library!A54,"")="","",N(IFERROR(_TECH_Initiative_Library!AA54,0)))</f>
        <v>4</v>
      </c>
      <c r="H58">
        <f>IF(IFERROR(_TECH_Initiative_Library!A54,"")="","",N(IFERROR(_TECH_Initiative_Library!V54,0)))</f>
        <v>5</v>
      </c>
      <c r="I58">
        <f>IF(IFERROR(_TECH_Initiative_Library!A54,"")="","",IF(N(IFERROR(_TECH_Initiative_Library!AB54,0))=0,"",6-N(IFERROR(_TECH_Initiative_Library!AB54,0))))</f>
        <v>2</v>
      </c>
      <c r="J58">
        <f>IF(IFERROR(_TECH_Initiative_Library!A54,"")="","",IF(N(IFERROR(_TECH_Initiative_Library!AB54,0))=0,"",6-N(IFERROR(_TECH_Initiative_Library!AB54,0))))</f>
        <v>2</v>
      </c>
      <c r="K58" s="134">
        <f ca="1">IF(IFERROR(_TECH_Initiative_Library!A54,"")="","",ROUND(($A$6*N(D58)+$B$6*N(E58)+$C$6*N(F58)+$D$6*N(G58)+$E$6*N(H58)+$F$6*N(I58)+$G$6*N(J58))/5*100,1))</f>
        <v>56.2</v>
      </c>
      <c r="L58" s="156"/>
      <c r="M58" s="156"/>
      <c r="N58" s="156"/>
      <c r="O58" s="134" t="str">
        <f>IF(IFERROR(_TECH_Initiative_Library!A54,"")="","",IF(AND(L58&lt;&gt;"",N58&lt;&gt;"",M58&lt;&gt;""),(L58+4*M58+N58)/6,IF(M58&lt;&gt;"",M58,"")))</f>
        <v/>
      </c>
      <c r="P58" s="134" t="str">
        <f t="shared" si="10"/>
        <v/>
      </c>
      <c r="Q58" s="156"/>
      <c r="R58" s="156"/>
      <c r="S58" s="156"/>
      <c r="T58" t="str">
        <f>IF(IFERROR(_TECH_Initiative_Library!A54,"")="","",IF(AND(Q58&lt;&gt;"",S58&lt;&gt;"",R58&lt;&gt;""),(Q58+4*R58+S58)/6,IF(R58&lt;&gt;"",R58,"")))</f>
        <v/>
      </c>
      <c r="U58" s="134" t="str">
        <f t="shared" si="11"/>
        <v/>
      </c>
      <c r="V58" t="str">
        <f t="shared" si="12"/>
        <v/>
      </c>
      <c r="W58" t="str">
        <f t="shared" si="13"/>
        <v/>
      </c>
      <c r="X58" s="134" t="str">
        <f t="shared" si="14"/>
        <v/>
      </c>
      <c r="Y58">
        <f t="shared" ca="1" si="15"/>
        <v>3</v>
      </c>
      <c r="Z58" s="13" t="str">
        <f t="shared" si="16"/>
        <v>set €</v>
      </c>
      <c r="AA58">
        <f t="shared" si="17"/>
        <v>0</v>
      </c>
      <c r="AB58">
        <f t="shared" si="18"/>
        <v>0</v>
      </c>
      <c r="AC58">
        <f t="shared" ca="1" si="19"/>
        <v>56.2</v>
      </c>
    </row>
    <row r="59" spans="1:29">
      <c r="A59" s="133" t="str">
        <f>IF(IFERROR(_TECH_Initiative_Library!A55,"")="","",_TECH_Initiative_Library!A55)</f>
        <v>INI-051</v>
      </c>
      <c r="B59" s="133" t="str">
        <f>IF(IFERROR(_TECH_Initiative_Library!A55,"")="","",_TECH_Initiative_Library!F55)</f>
        <v>Strengthen IT operations, monitoring, incident and change management</v>
      </c>
      <c r="C59" s="133" t="str">
        <f>IF(IFERROR(_TECH_Initiative_Library!A55,"")="","",_TECH_Initiative_Library!B55)</f>
        <v>IT Cloud DR</v>
      </c>
      <c r="D59">
        <f ca="1">IF(IFERROR(_TECH_Initiative_Library!A55,"")="","",N(IFERROR(_TECH_Initiative_Library!X55,0)))</f>
        <v>0</v>
      </c>
      <c r="E59">
        <f>IF(IFERROR(_TECH_Initiative_Library!A55,"")="","",N(IFERROR(_TECH_Initiative_Library!U55,0)))</f>
        <v>5</v>
      </c>
      <c r="F59">
        <f ca="1">IF(IFERROR(_TECH_Initiative_Library!A55,"")="","",N(IFERROR(_TECH_Initiative_Library!Y55,0)))</f>
        <v>3</v>
      </c>
      <c r="G59">
        <f>IF(IFERROR(_TECH_Initiative_Library!A55,"")="","",N(IFERROR(_TECH_Initiative_Library!AA55,0)))</f>
        <v>4</v>
      </c>
      <c r="H59">
        <f>IF(IFERROR(_TECH_Initiative_Library!A55,"")="","",N(IFERROR(_TECH_Initiative_Library!V55,0)))</f>
        <v>5</v>
      </c>
      <c r="I59">
        <f>IF(IFERROR(_TECH_Initiative_Library!A55,"")="","",IF(N(IFERROR(_TECH_Initiative_Library!AB55,0))=0,"",6-N(IFERROR(_TECH_Initiative_Library!AB55,0))))</f>
        <v>2</v>
      </c>
      <c r="J59">
        <f>IF(IFERROR(_TECH_Initiative_Library!A55,"")="","",IF(N(IFERROR(_TECH_Initiative_Library!AB55,0))=0,"",6-N(IFERROR(_TECH_Initiative_Library!AB55,0))))</f>
        <v>2</v>
      </c>
      <c r="K59" s="134">
        <f ca="1">IF(IFERROR(_TECH_Initiative_Library!A55,"")="","",ROUND(($A$6*N(D59)+$B$6*N(E59)+$C$6*N(F59)+$D$6*N(G59)+$E$6*N(H59)+$F$6*N(I59)+$G$6*N(J59))/5*100,1))</f>
        <v>56.2</v>
      </c>
      <c r="L59" s="156"/>
      <c r="M59" s="156"/>
      <c r="N59" s="156"/>
      <c r="O59" s="134" t="str">
        <f>IF(IFERROR(_TECH_Initiative_Library!A55,"")="","",IF(AND(L59&lt;&gt;"",N59&lt;&gt;"",M59&lt;&gt;""),(L59+4*M59+N59)/6,IF(M59&lt;&gt;"",M59,"")))</f>
        <v/>
      </c>
      <c r="P59" s="134" t="str">
        <f t="shared" si="10"/>
        <v/>
      </c>
      <c r="Q59" s="156"/>
      <c r="R59" s="156"/>
      <c r="S59" s="156"/>
      <c r="T59" t="str">
        <f>IF(IFERROR(_TECH_Initiative_Library!A55,"")="","",IF(AND(Q59&lt;&gt;"",S59&lt;&gt;"",R59&lt;&gt;""),(Q59+4*R59+S59)/6,IF(R59&lt;&gt;"",R59,"")))</f>
        <v/>
      </c>
      <c r="U59" s="134" t="str">
        <f t="shared" si="11"/>
        <v/>
      </c>
      <c r="V59" t="str">
        <f t="shared" si="12"/>
        <v/>
      </c>
      <c r="W59" t="str">
        <f t="shared" si="13"/>
        <v/>
      </c>
      <c r="X59" s="134" t="str">
        <f t="shared" si="14"/>
        <v/>
      </c>
      <c r="Y59">
        <f t="shared" ca="1" si="15"/>
        <v>3</v>
      </c>
      <c r="Z59" s="13" t="str">
        <f t="shared" si="16"/>
        <v>set €</v>
      </c>
      <c r="AA59">
        <f t="shared" si="17"/>
        <v>0</v>
      </c>
      <c r="AB59">
        <f t="shared" si="18"/>
        <v>0</v>
      </c>
      <c r="AC59">
        <f t="shared" ca="1" si="19"/>
        <v>56.2</v>
      </c>
    </row>
    <row r="60" spans="1:29">
      <c r="A60" s="133" t="str">
        <f>IF(IFERROR(_TECH_Initiative_Library!A56,"")="","",_TECH_Initiative_Library!A56)</f>
        <v>INI-052</v>
      </c>
      <c r="B60" s="133" t="str">
        <f>IF(IFERROR(_TECH_Initiative_Library!A56,"")="","",_TECH_Initiative_Library!F56)</f>
        <v>Stabilize SaaS ownership, integrations and vendor continuity</v>
      </c>
      <c r="C60" s="133" t="str">
        <f>IF(IFERROR(_TECH_Initiative_Library!A56,"")="","",_TECH_Initiative_Library!B56)</f>
        <v>IT Cloud DR</v>
      </c>
      <c r="D60">
        <f ca="1">IF(IFERROR(_TECH_Initiative_Library!A56,"")="","",N(IFERROR(_TECH_Initiative_Library!X56,0)))</f>
        <v>0</v>
      </c>
      <c r="E60">
        <f>IF(IFERROR(_TECH_Initiative_Library!A56,"")="","",N(IFERROR(_TECH_Initiative_Library!U56,0)))</f>
        <v>5</v>
      </c>
      <c r="F60">
        <f ca="1">IF(IFERROR(_TECH_Initiative_Library!A56,"")="","",N(IFERROR(_TECH_Initiative_Library!Y56,0)))</f>
        <v>3</v>
      </c>
      <c r="G60">
        <f>IF(IFERROR(_TECH_Initiative_Library!A56,"")="","",N(IFERROR(_TECH_Initiative_Library!AA56,0)))</f>
        <v>4</v>
      </c>
      <c r="H60">
        <f>IF(IFERROR(_TECH_Initiative_Library!A56,"")="","",N(IFERROR(_TECH_Initiative_Library!V56,0)))</f>
        <v>5</v>
      </c>
      <c r="I60">
        <f>IF(IFERROR(_TECH_Initiative_Library!A56,"")="","",IF(N(IFERROR(_TECH_Initiative_Library!AB56,0))=0,"",6-N(IFERROR(_TECH_Initiative_Library!AB56,0))))</f>
        <v>2</v>
      </c>
      <c r="J60">
        <f>IF(IFERROR(_TECH_Initiative_Library!A56,"")="","",IF(N(IFERROR(_TECH_Initiative_Library!AB56,0))=0,"",6-N(IFERROR(_TECH_Initiative_Library!AB56,0))))</f>
        <v>2</v>
      </c>
      <c r="K60" s="134">
        <f ca="1">IF(IFERROR(_TECH_Initiative_Library!A56,"")="","",ROUND(($A$6*N(D60)+$B$6*N(E60)+$C$6*N(F60)+$D$6*N(G60)+$E$6*N(H60)+$F$6*N(I60)+$G$6*N(J60))/5*100,1))</f>
        <v>56.2</v>
      </c>
      <c r="L60" s="156"/>
      <c r="M60" s="156"/>
      <c r="N60" s="156"/>
      <c r="O60" s="134" t="str">
        <f>IF(IFERROR(_TECH_Initiative_Library!A56,"")="","",IF(AND(L60&lt;&gt;"",N60&lt;&gt;"",M60&lt;&gt;""),(L60+4*M60+N60)/6,IF(M60&lt;&gt;"",M60,"")))</f>
        <v/>
      </c>
      <c r="P60" s="134" t="str">
        <f t="shared" si="10"/>
        <v/>
      </c>
      <c r="Q60" s="156"/>
      <c r="R60" s="156"/>
      <c r="S60" s="156"/>
      <c r="T60" t="str">
        <f>IF(IFERROR(_TECH_Initiative_Library!A56,"")="","",IF(AND(Q60&lt;&gt;"",S60&lt;&gt;"",R60&lt;&gt;""),(Q60+4*R60+S60)/6,IF(R60&lt;&gt;"",R60,"")))</f>
        <v/>
      </c>
      <c r="U60" s="134" t="str">
        <f t="shared" si="11"/>
        <v/>
      </c>
      <c r="V60" t="str">
        <f t="shared" si="12"/>
        <v/>
      </c>
      <c r="W60" t="str">
        <f t="shared" si="13"/>
        <v/>
      </c>
      <c r="X60" s="134" t="str">
        <f t="shared" si="14"/>
        <v/>
      </c>
      <c r="Y60">
        <f t="shared" ca="1" si="15"/>
        <v>3</v>
      </c>
      <c r="Z60" s="13" t="str">
        <f t="shared" si="16"/>
        <v>set €</v>
      </c>
      <c r="AA60">
        <f t="shared" si="17"/>
        <v>0</v>
      </c>
      <c r="AB60">
        <f t="shared" si="18"/>
        <v>0</v>
      </c>
      <c r="AC60">
        <f t="shared" ca="1" si="19"/>
        <v>56.2</v>
      </c>
    </row>
    <row r="61" spans="1:29">
      <c r="A61" s="133" t="str">
        <f>IF(IFERROR(_TECH_Initiative_Library!A57,"")="","",_TECH_Initiative_Library!A57)</f>
        <v>INI-053</v>
      </c>
      <c r="B61" s="133" t="str">
        <f>IF(IFERROR(_TECH_Initiative_Library!A57,"")="","",_TECH_Initiative_Library!F57)</f>
        <v>Stabilize ERP process ownership, master data and continuity controls</v>
      </c>
      <c r="C61" s="133" t="str">
        <f>IF(IFERROR(_TECH_Initiative_Library!A57,"")="","",_TECH_Initiative_Library!B57)</f>
        <v>Business Systems</v>
      </c>
      <c r="D61">
        <f ca="1">IF(IFERROR(_TECH_Initiative_Library!A57,"")="","",N(IFERROR(_TECH_Initiative_Library!X57,0)))</f>
        <v>0</v>
      </c>
      <c r="E61">
        <f>IF(IFERROR(_TECH_Initiative_Library!A57,"")="","",N(IFERROR(_TECH_Initiative_Library!U57,0)))</f>
        <v>5</v>
      </c>
      <c r="F61">
        <f ca="1">IF(IFERROR(_TECH_Initiative_Library!A57,"")="","",N(IFERROR(_TECH_Initiative_Library!Y57,0)))</f>
        <v>2</v>
      </c>
      <c r="G61">
        <f>IF(IFERROR(_TECH_Initiative_Library!A57,"")="","",N(IFERROR(_TECH_Initiative_Library!AA57,0)))</f>
        <v>5</v>
      </c>
      <c r="H61">
        <f>IF(IFERROR(_TECH_Initiative_Library!A57,"")="","",N(IFERROR(_TECH_Initiative_Library!V57,0)))</f>
        <v>3</v>
      </c>
      <c r="I61">
        <f>IF(IFERROR(_TECH_Initiative_Library!A57,"")="","",IF(N(IFERROR(_TECH_Initiative_Library!AB57,0))=0,"",6-N(IFERROR(_TECH_Initiative_Library!AB57,0))))</f>
        <v>2</v>
      </c>
      <c r="J61">
        <f>IF(IFERROR(_TECH_Initiative_Library!A57,"")="","",IF(N(IFERROR(_TECH_Initiative_Library!AB57,0))=0,"",6-N(IFERROR(_TECH_Initiative_Library!AB57,0))))</f>
        <v>2</v>
      </c>
      <c r="K61" s="134">
        <f ca="1">IF(IFERROR(_TECH_Initiative_Library!A57,"")="","",ROUND(($A$6*N(D61)+$B$6*N(E61)+$C$6*N(F61)+$D$6*N(G61)+$E$6*N(H61)+$F$6*N(I61)+$G$6*N(J61))/5*100,1))</f>
        <v>50.6</v>
      </c>
      <c r="L61" s="156"/>
      <c r="M61" s="156"/>
      <c r="N61" s="156"/>
      <c r="O61" s="134" t="str">
        <f>IF(IFERROR(_TECH_Initiative_Library!A57,"")="","",IF(AND(L61&lt;&gt;"",N61&lt;&gt;"",M61&lt;&gt;""),(L61+4*M61+N61)/6,IF(M61&lt;&gt;"",M61,"")))</f>
        <v/>
      </c>
      <c r="P61" s="134" t="str">
        <f t="shared" si="10"/>
        <v/>
      </c>
      <c r="Q61" s="156"/>
      <c r="R61" s="156"/>
      <c r="S61" s="156"/>
      <c r="T61" t="str">
        <f>IF(IFERROR(_TECH_Initiative_Library!A57,"")="","",IF(AND(Q61&lt;&gt;"",S61&lt;&gt;"",R61&lt;&gt;""),(Q61+4*R61+S61)/6,IF(R61&lt;&gt;"",R61,"")))</f>
        <v/>
      </c>
      <c r="U61" s="134" t="str">
        <f t="shared" si="11"/>
        <v/>
      </c>
      <c r="V61" t="str">
        <f t="shared" si="12"/>
        <v/>
      </c>
      <c r="W61" t="str">
        <f t="shared" si="13"/>
        <v/>
      </c>
      <c r="X61" s="134" t="str">
        <f t="shared" si="14"/>
        <v/>
      </c>
      <c r="Y61">
        <f t="shared" ca="1" si="15"/>
        <v>44</v>
      </c>
      <c r="Z61" s="13" t="str">
        <f t="shared" si="16"/>
        <v>set €</v>
      </c>
      <c r="AA61">
        <f t="shared" si="17"/>
        <v>0</v>
      </c>
      <c r="AB61">
        <f t="shared" si="18"/>
        <v>0</v>
      </c>
      <c r="AC61">
        <f t="shared" ca="1" si="19"/>
        <v>50.6</v>
      </c>
    </row>
    <row r="62" spans="1:29">
      <c r="A62" s="133" t="str">
        <f>IF(IFERROR(_TECH_Initiative_Library!A58,"")="","",_TECH_Initiative_Library!A58)</f>
        <v>INI-054</v>
      </c>
      <c r="B62" s="133" t="str">
        <f>IF(IFERROR(_TECH_Initiative_Library!A58,"")="","",_TECH_Initiative_Library!F58)</f>
        <v>Integrate CRM, commerce and customer-service systems</v>
      </c>
      <c r="C62" s="133" t="str">
        <f>IF(IFERROR(_TECH_Initiative_Library!A58,"")="","",_TECH_Initiative_Library!B58)</f>
        <v>Business Systems</v>
      </c>
      <c r="D62">
        <f ca="1">IF(IFERROR(_TECH_Initiative_Library!A58,"")="","",N(IFERROR(_TECH_Initiative_Library!X58,0)))</f>
        <v>0</v>
      </c>
      <c r="E62">
        <f>IF(IFERROR(_TECH_Initiative_Library!A58,"")="","",N(IFERROR(_TECH_Initiative_Library!U58,0)))</f>
        <v>4</v>
      </c>
      <c r="F62">
        <f ca="1">IF(IFERROR(_TECH_Initiative_Library!A58,"")="","",N(IFERROR(_TECH_Initiative_Library!Y58,0)))</f>
        <v>2</v>
      </c>
      <c r="G62">
        <f>IF(IFERROR(_TECH_Initiative_Library!A58,"")="","",N(IFERROR(_TECH_Initiative_Library!AA58,0)))</f>
        <v>4</v>
      </c>
      <c r="H62">
        <f>IF(IFERROR(_TECH_Initiative_Library!A58,"")="","",N(IFERROR(_TECH_Initiative_Library!V58,0)))</f>
        <v>4</v>
      </c>
      <c r="I62">
        <f>IF(IFERROR(_TECH_Initiative_Library!A58,"")="","",IF(N(IFERROR(_TECH_Initiative_Library!AB58,0))=0,"",6-N(IFERROR(_TECH_Initiative_Library!AB58,0))))</f>
        <v>2</v>
      </c>
      <c r="J62">
        <f>IF(IFERROR(_TECH_Initiative_Library!A58,"")="","",IF(N(IFERROR(_TECH_Initiative_Library!AB58,0))=0,"",6-N(IFERROR(_TECH_Initiative_Library!AB58,0))))</f>
        <v>2</v>
      </c>
      <c r="K62" s="134">
        <f ca="1">IF(IFERROR(_TECH_Initiative_Library!A58,"")="","",ROUND(($A$6*N(D62)+$B$6*N(E62)+$C$6*N(F62)+$D$6*N(G62)+$E$6*N(H62)+$F$6*N(I62)+$G$6*N(J62))/5*100,1))</f>
        <v>47.2</v>
      </c>
      <c r="L62" s="156"/>
      <c r="M62" s="156"/>
      <c r="N62" s="156"/>
      <c r="O62" s="134" t="str">
        <f>IF(IFERROR(_TECH_Initiative_Library!A58,"")="","",IF(AND(L62&lt;&gt;"",N62&lt;&gt;"",M62&lt;&gt;""),(L62+4*M62+N62)/6,IF(M62&lt;&gt;"",M62,"")))</f>
        <v/>
      </c>
      <c r="P62" s="134" t="str">
        <f t="shared" si="10"/>
        <v/>
      </c>
      <c r="Q62" s="156"/>
      <c r="R62" s="156"/>
      <c r="S62" s="156"/>
      <c r="T62" t="str">
        <f>IF(IFERROR(_TECH_Initiative_Library!A58,"")="","",IF(AND(Q62&lt;&gt;"",S62&lt;&gt;"",R62&lt;&gt;""),(Q62+4*R62+S62)/6,IF(R62&lt;&gt;"",R62,"")))</f>
        <v/>
      </c>
      <c r="U62" s="134" t="str">
        <f t="shared" si="11"/>
        <v/>
      </c>
      <c r="V62" t="str">
        <f t="shared" si="12"/>
        <v/>
      </c>
      <c r="W62" t="str">
        <f t="shared" si="13"/>
        <v/>
      </c>
      <c r="X62" s="134" t="str">
        <f t="shared" si="14"/>
        <v/>
      </c>
      <c r="Y62">
        <f t="shared" ca="1" si="15"/>
        <v>58</v>
      </c>
      <c r="Z62" s="13" t="str">
        <f t="shared" si="16"/>
        <v>set €</v>
      </c>
      <c r="AA62">
        <f t="shared" si="17"/>
        <v>0</v>
      </c>
      <c r="AB62">
        <f t="shared" si="18"/>
        <v>0</v>
      </c>
      <c r="AC62">
        <f t="shared" ca="1" si="19"/>
        <v>47.2</v>
      </c>
    </row>
    <row r="63" spans="1:29">
      <c r="A63" s="133" t="str">
        <f>IF(IFERROR(_TECH_Initiative_Library!A59,"")="","",_TECH_Initiative_Library!A59)</f>
        <v>INI-055</v>
      </c>
      <c r="B63" s="133" t="str">
        <f>IF(IFERROR(_TECH_Initiative_Library!A59,"")="","",_TECH_Initiative_Library!F59)</f>
        <v>Integrate MES, WMS and TMS into operational continuity model</v>
      </c>
      <c r="C63" s="133" t="str">
        <f>IF(IFERROR(_TECH_Initiative_Library!A59,"")="","",_TECH_Initiative_Library!B59)</f>
        <v>Business Systems</v>
      </c>
      <c r="D63">
        <f ca="1">IF(IFERROR(_TECH_Initiative_Library!A59,"")="","",N(IFERROR(_TECH_Initiative_Library!X59,0)))</f>
        <v>0</v>
      </c>
      <c r="E63">
        <f>IF(IFERROR(_TECH_Initiative_Library!A59,"")="","",N(IFERROR(_TECH_Initiative_Library!U59,0)))</f>
        <v>5</v>
      </c>
      <c r="F63">
        <f ca="1">IF(IFERROR(_TECH_Initiative_Library!A59,"")="","",N(IFERROR(_TECH_Initiative_Library!Y59,0)))</f>
        <v>2</v>
      </c>
      <c r="G63">
        <f>IF(IFERROR(_TECH_Initiative_Library!A59,"")="","",N(IFERROR(_TECH_Initiative_Library!AA59,0)))</f>
        <v>5</v>
      </c>
      <c r="H63">
        <f>IF(IFERROR(_TECH_Initiative_Library!A59,"")="","",N(IFERROR(_TECH_Initiative_Library!V59,0)))</f>
        <v>5</v>
      </c>
      <c r="I63">
        <f>IF(IFERROR(_TECH_Initiative_Library!A59,"")="","",IF(N(IFERROR(_TECH_Initiative_Library!AB59,0))=0,"",6-N(IFERROR(_TECH_Initiative_Library!AB59,0))))</f>
        <v>2</v>
      </c>
      <c r="J63">
        <f>IF(IFERROR(_TECH_Initiative_Library!A59,"")="","",IF(N(IFERROR(_TECH_Initiative_Library!AB59,0))=0,"",6-N(IFERROR(_TECH_Initiative_Library!AB59,0))))</f>
        <v>2</v>
      </c>
      <c r="K63" s="134">
        <f ca="1">IF(IFERROR(_TECH_Initiative_Library!A59,"")="","",ROUND(($A$6*N(D63)+$B$6*N(E63)+$C$6*N(F63)+$D$6*N(G63)+$E$6*N(H63)+$F$6*N(I63)+$G$6*N(J63))/5*100,1))</f>
        <v>55.8</v>
      </c>
      <c r="L63" s="156"/>
      <c r="M63" s="156"/>
      <c r="N63" s="156"/>
      <c r="O63" s="134" t="str">
        <f>IF(IFERROR(_TECH_Initiative_Library!A59,"")="","",IF(AND(L63&lt;&gt;"",N63&lt;&gt;"",M63&lt;&gt;""),(L63+4*M63+N63)/6,IF(M63&lt;&gt;"",M63,"")))</f>
        <v/>
      </c>
      <c r="P63" s="134" t="str">
        <f t="shared" si="10"/>
        <v/>
      </c>
      <c r="Q63" s="156"/>
      <c r="R63" s="156"/>
      <c r="S63" s="156"/>
      <c r="T63" t="str">
        <f>IF(IFERROR(_TECH_Initiative_Library!A59,"")="","",IF(AND(Q63&lt;&gt;"",S63&lt;&gt;"",R63&lt;&gt;""),(Q63+4*R63+S63)/6,IF(R63&lt;&gt;"",R63,"")))</f>
        <v/>
      </c>
      <c r="U63" s="134" t="str">
        <f t="shared" si="11"/>
        <v/>
      </c>
      <c r="V63" t="str">
        <f t="shared" si="12"/>
        <v/>
      </c>
      <c r="W63" t="str">
        <f t="shared" si="13"/>
        <v/>
      </c>
      <c r="X63" s="134" t="str">
        <f t="shared" si="14"/>
        <v/>
      </c>
      <c r="Y63">
        <f t="shared" ca="1" si="15"/>
        <v>8</v>
      </c>
      <c r="Z63" s="13" t="str">
        <f t="shared" si="16"/>
        <v>set €</v>
      </c>
      <c r="AA63">
        <f t="shared" si="17"/>
        <v>0</v>
      </c>
      <c r="AB63">
        <f t="shared" si="18"/>
        <v>0</v>
      </c>
      <c r="AC63">
        <f t="shared" ca="1" si="19"/>
        <v>55.8</v>
      </c>
    </row>
    <row r="64" spans="1:29">
      <c r="A64" s="133" t="str">
        <f>IF(IFERROR(_TECH_Initiative_Library!A60,"")="","",_TECH_Initiative_Library!A60)</f>
        <v>INI-056</v>
      </c>
      <c r="B64" s="133" t="str">
        <f>IF(IFERROR(_TECH_Initiative_Library!A60,"")="","",_TECH_Initiative_Library!F60)</f>
        <v>Stabilize HRMS, finance systems and core administrative workflows</v>
      </c>
      <c r="C64" s="133" t="str">
        <f>IF(IFERROR(_TECH_Initiative_Library!A60,"")="","",_TECH_Initiative_Library!B60)</f>
        <v>Business Systems</v>
      </c>
      <c r="D64">
        <f ca="1">IF(IFERROR(_TECH_Initiative_Library!A60,"")="","",N(IFERROR(_TECH_Initiative_Library!X60,0)))</f>
        <v>0</v>
      </c>
      <c r="E64">
        <f>IF(IFERROR(_TECH_Initiative_Library!A60,"")="","",N(IFERROR(_TECH_Initiative_Library!U60,0)))</f>
        <v>5</v>
      </c>
      <c r="F64">
        <f ca="1">IF(IFERROR(_TECH_Initiative_Library!A60,"")="","",N(IFERROR(_TECH_Initiative_Library!Y60,0)))</f>
        <v>2</v>
      </c>
      <c r="G64">
        <f>IF(IFERROR(_TECH_Initiative_Library!A60,"")="","",N(IFERROR(_TECH_Initiative_Library!AA60,0)))</f>
        <v>5</v>
      </c>
      <c r="H64">
        <f>IF(IFERROR(_TECH_Initiative_Library!A60,"")="","",N(IFERROR(_TECH_Initiative_Library!V60,0)))</f>
        <v>3</v>
      </c>
      <c r="I64">
        <f>IF(IFERROR(_TECH_Initiative_Library!A60,"")="","",IF(N(IFERROR(_TECH_Initiative_Library!AB60,0))=0,"",6-N(IFERROR(_TECH_Initiative_Library!AB60,0))))</f>
        <v>2</v>
      </c>
      <c r="J64">
        <f>IF(IFERROR(_TECH_Initiative_Library!A60,"")="","",IF(N(IFERROR(_TECH_Initiative_Library!AB60,0))=0,"",6-N(IFERROR(_TECH_Initiative_Library!AB60,0))))</f>
        <v>2</v>
      </c>
      <c r="K64" s="134">
        <f ca="1">IF(IFERROR(_TECH_Initiative_Library!A60,"")="","",ROUND(($A$6*N(D64)+$B$6*N(E64)+$C$6*N(F64)+$D$6*N(G64)+$E$6*N(H64)+$F$6*N(I64)+$G$6*N(J64))/5*100,1))</f>
        <v>50.6</v>
      </c>
      <c r="L64" s="156"/>
      <c r="M64" s="156"/>
      <c r="N64" s="156"/>
      <c r="O64" s="134" t="str">
        <f>IF(IFERROR(_TECH_Initiative_Library!A60,"")="","",IF(AND(L64&lt;&gt;"",N64&lt;&gt;"",M64&lt;&gt;""),(L64+4*M64+N64)/6,IF(M64&lt;&gt;"",M64,"")))</f>
        <v/>
      </c>
      <c r="P64" s="134" t="str">
        <f t="shared" si="10"/>
        <v/>
      </c>
      <c r="Q64" s="156"/>
      <c r="R64" s="156"/>
      <c r="S64" s="156"/>
      <c r="T64" t="str">
        <f>IF(IFERROR(_TECH_Initiative_Library!A60,"")="","",IF(AND(Q64&lt;&gt;"",S64&lt;&gt;"",R64&lt;&gt;""),(Q64+4*R64+S64)/6,IF(R64&lt;&gt;"",R64,"")))</f>
        <v/>
      </c>
      <c r="U64" s="134" t="str">
        <f t="shared" si="11"/>
        <v/>
      </c>
      <c r="V64" t="str">
        <f t="shared" si="12"/>
        <v/>
      </c>
      <c r="W64" t="str">
        <f t="shared" si="13"/>
        <v/>
      </c>
      <c r="X64" s="134" t="str">
        <f t="shared" si="14"/>
        <v/>
      </c>
      <c r="Y64">
        <f t="shared" ca="1" si="15"/>
        <v>44</v>
      </c>
      <c r="Z64" s="13" t="str">
        <f t="shared" si="16"/>
        <v>set €</v>
      </c>
      <c r="AA64">
        <f t="shared" si="17"/>
        <v>0</v>
      </c>
      <c r="AB64">
        <f t="shared" si="18"/>
        <v>0</v>
      </c>
      <c r="AC64">
        <f t="shared" ca="1" si="19"/>
        <v>50.6</v>
      </c>
    </row>
    <row r="65" spans="1:29">
      <c r="A65" s="133" t="str">
        <f>IF(IFERROR(_TECH_Initiative_Library!A61,"")="","",_TECH_Initiative_Library!A61)</f>
        <v>INI-057</v>
      </c>
      <c r="B65" s="133" t="str">
        <f>IF(IFERROR(_TECH_Initiative_Library!A61,"")="","",_TECH_Initiative_Library!F61)</f>
        <v>Implement business-system governance and lifecycle control</v>
      </c>
      <c r="C65" s="133" t="str">
        <f>IF(IFERROR(_TECH_Initiative_Library!A61,"")="","",_TECH_Initiative_Library!B61)</f>
        <v>Business Systems</v>
      </c>
      <c r="D65">
        <f ca="1">IF(IFERROR(_TECH_Initiative_Library!A61,"")="","",N(IFERROR(_TECH_Initiative_Library!X61,0)))</f>
        <v>0</v>
      </c>
      <c r="E65">
        <f>IF(IFERROR(_TECH_Initiative_Library!A61,"")="","",N(IFERROR(_TECH_Initiative_Library!U61,0)))</f>
        <v>5</v>
      </c>
      <c r="F65">
        <f ca="1">IF(IFERROR(_TECH_Initiative_Library!A61,"")="","",N(IFERROR(_TECH_Initiative_Library!Y61,0)))</f>
        <v>2</v>
      </c>
      <c r="G65">
        <f>IF(IFERROR(_TECH_Initiative_Library!A61,"")="","",N(IFERROR(_TECH_Initiative_Library!AA61,0)))</f>
        <v>5</v>
      </c>
      <c r="H65">
        <f>IF(IFERROR(_TECH_Initiative_Library!A61,"")="","",N(IFERROR(_TECH_Initiative_Library!V61,0)))</f>
        <v>3</v>
      </c>
      <c r="I65">
        <f>IF(IFERROR(_TECH_Initiative_Library!A61,"")="","",IF(N(IFERROR(_TECH_Initiative_Library!AB61,0))=0,"",6-N(IFERROR(_TECH_Initiative_Library!AB61,0))))</f>
        <v>2</v>
      </c>
      <c r="J65">
        <f>IF(IFERROR(_TECH_Initiative_Library!A61,"")="","",IF(N(IFERROR(_TECH_Initiative_Library!AB61,0))=0,"",6-N(IFERROR(_TECH_Initiative_Library!AB61,0))))</f>
        <v>2</v>
      </c>
      <c r="K65" s="134">
        <f ca="1">IF(IFERROR(_TECH_Initiative_Library!A61,"")="","",ROUND(($A$6*N(D65)+$B$6*N(E65)+$C$6*N(F65)+$D$6*N(G65)+$E$6*N(H65)+$F$6*N(I65)+$G$6*N(J65))/5*100,1))</f>
        <v>50.6</v>
      </c>
      <c r="L65" s="156"/>
      <c r="M65" s="156"/>
      <c r="N65" s="156"/>
      <c r="O65" s="134" t="str">
        <f>IF(IFERROR(_TECH_Initiative_Library!A61,"")="","",IF(AND(L65&lt;&gt;"",N65&lt;&gt;"",M65&lt;&gt;""),(L65+4*M65+N65)/6,IF(M65&lt;&gt;"",M65,"")))</f>
        <v/>
      </c>
      <c r="P65" s="134" t="str">
        <f t="shared" si="10"/>
        <v/>
      </c>
      <c r="Q65" s="156"/>
      <c r="R65" s="156"/>
      <c r="S65" s="156"/>
      <c r="T65" t="str">
        <f>IF(IFERROR(_TECH_Initiative_Library!A61,"")="","",IF(AND(Q65&lt;&gt;"",S65&lt;&gt;"",R65&lt;&gt;""),(Q65+4*R65+S65)/6,IF(R65&lt;&gt;"",R65,"")))</f>
        <v/>
      </c>
      <c r="U65" s="134" t="str">
        <f t="shared" si="11"/>
        <v/>
      </c>
      <c r="V65" t="str">
        <f t="shared" si="12"/>
        <v/>
      </c>
      <c r="W65" t="str">
        <f t="shared" si="13"/>
        <v/>
      </c>
      <c r="X65" s="134" t="str">
        <f t="shared" si="14"/>
        <v/>
      </c>
      <c r="Y65">
        <f t="shared" ca="1" si="15"/>
        <v>44</v>
      </c>
      <c r="Z65" s="13" t="str">
        <f t="shared" si="16"/>
        <v>set €</v>
      </c>
      <c r="AA65">
        <f t="shared" si="17"/>
        <v>0</v>
      </c>
      <c r="AB65">
        <f t="shared" si="18"/>
        <v>0</v>
      </c>
      <c r="AC65">
        <f t="shared" ca="1" si="19"/>
        <v>50.6</v>
      </c>
    </row>
    <row r="66" spans="1:29">
      <c r="A66" s="133" t="str">
        <f>IF(IFERROR(_TECH_Initiative_Library!A62,"")="","",_TECH_Initiative_Library!A62)</f>
        <v>INI-058</v>
      </c>
      <c r="B66" s="133" t="str">
        <f>IF(IFERROR(_TECH_Initiative_Library!A62,"")="","",_TECH_Initiative_Library!F62)</f>
        <v>Implement data ownership, quality and governance framework</v>
      </c>
      <c r="C66" s="133" t="str">
        <f>IF(IFERROR(_TECH_Initiative_Library!A62,"")="","",_TECH_Initiative_Library!B62)</f>
        <v>Data BI AI</v>
      </c>
      <c r="D66">
        <f ca="1">IF(IFERROR(_TECH_Initiative_Library!A62,"")="","",N(IFERROR(_TECH_Initiative_Library!X62,0)))</f>
        <v>0</v>
      </c>
      <c r="E66">
        <f>IF(IFERROR(_TECH_Initiative_Library!A62,"")="","",N(IFERROR(_TECH_Initiative_Library!U62,0)))</f>
        <v>5</v>
      </c>
      <c r="F66">
        <f ca="1">IF(IFERROR(_TECH_Initiative_Library!A62,"")="","",N(IFERROR(_TECH_Initiative_Library!Y62,0)))</f>
        <v>2</v>
      </c>
      <c r="G66">
        <f>IF(IFERROR(_TECH_Initiative_Library!A62,"")="","",N(IFERROR(_TECH_Initiative_Library!AA62,0)))</f>
        <v>5</v>
      </c>
      <c r="H66">
        <f>IF(IFERROR(_TECH_Initiative_Library!A62,"")="","",N(IFERROR(_TECH_Initiative_Library!V62,0)))</f>
        <v>3</v>
      </c>
      <c r="I66">
        <f>IF(IFERROR(_TECH_Initiative_Library!A62,"")="","",IF(N(IFERROR(_TECH_Initiative_Library!AB62,0))=0,"",6-N(IFERROR(_TECH_Initiative_Library!AB62,0))))</f>
        <v>2</v>
      </c>
      <c r="J66">
        <f>IF(IFERROR(_TECH_Initiative_Library!A62,"")="","",IF(N(IFERROR(_TECH_Initiative_Library!AB62,0))=0,"",6-N(IFERROR(_TECH_Initiative_Library!AB62,0))))</f>
        <v>2</v>
      </c>
      <c r="K66" s="134">
        <f ca="1">IF(IFERROR(_TECH_Initiative_Library!A62,"")="","",ROUND(($A$6*N(D66)+$B$6*N(E66)+$C$6*N(F66)+$D$6*N(G66)+$E$6*N(H66)+$F$6*N(I66)+$G$6*N(J66))/5*100,1))</f>
        <v>50.6</v>
      </c>
      <c r="L66" s="156"/>
      <c r="M66" s="156"/>
      <c r="N66" s="156"/>
      <c r="O66" s="134" t="str">
        <f>IF(IFERROR(_TECH_Initiative_Library!A62,"")="","",IF(AND(L66&lt;&gt;"",N66&lt;&gt;"",M66&lt;&gt;""),(L66+4*M66+N66)/6,IF(M66&lt;&gt;"",M66,"")))</f>
        <v/>
      </c>
      <c r="P66" s="134" t="str">
        <f t="shared" si="10"/>
        <v/>
      </c>
      <c r="Q66" s="156"/>
      <c r="R66" s="156"/>
      <c r="S66" s="156"/>
      <c r="T66" t="str">
        <f>IF(IFERROR(_TECH_Initiative_Library!A62,"")="","",IF(AND(Q66&lt;&gt;"",S66&lt;&gt;"",R66&lt;&gt;""),(Q66+4*R66+S66)/6,IF(R66&lt;&gt;"",R66,"")))</f>
        <v/>
      </c>
      <c r="U66" s="134" t="str">
        <f t="shared" si="11"/>
        <v/>
      </c>
      <c r="V66" t="str">
        <f t="shared" si="12"/>
        <v/>
      </c>
      <c r="W66" t="str">
        <f t="shared" si="13"/>
        <v/>
      </c>
      <c r="X66" s="134" t="str">
        <f t="shared" si="14"/>
        <v/>
      </c>
      <c r="Y66">
        <f t="shared" ca="1" si="15"/>
        <v>44</v>
      </c>
      <c r="Z66" s="13" t="str">
        <f t="shared" si="16"/>
        <v>set €</v>
      </c>
      <c r="AA66">
        <f t="shared" si="17"/>
        <v>0</v>
      </c>
      <c r="AB66">
        <f t="shared" si="18"/>
        <v>0</v>
      </c>
      <c r="AC66">
        <f t="shared" ca="1" si="19"/>
        <v>50.6</v>
      </c>
    </row>
    <row r="67" spans="1:29">
      <c r="A67" s="133" t="str">
        <f>IF(IFERROR(_TECH_Initiative_Library!A63,"")="","",_TECH_Initiative_Library!A63)</f>
        <v>INI-059</v>
      </c>
      <c r="B67" s="133" t="str">
        <f>IF(IFERROR(_TECH_Initiative_Library!A63,"")="","",_TECH_Initiative_Library!F63)</f>
        <v>Build resilient data architecture, integration and storage foundation</v>
      </c>
      <c r="C67" s="133" t="str">
        <f>IF(IFERROR(_TECH_Initiative_Library!A63,"")="","",_TECH_Initiative_Library!B63)</f>
        <v>Data BI AI</v>
      </c>
      <c r="D67">
        <f ca="1">IF(IFERROR(_TECH_Initiative_Library!A63,"")="","",N(IFERROR(_TECH_Initiative_Library!X63,0)))</f>
        <v>0</v>
      </c>
      <c r="E67">
        <f>IF(IFERROR(_TECH_Initiative_Library!A63,"")="","",N(IFERROR(_TECH_Initiative_Library!U63,0)))</f>
        <v>5</v>
      </c>
      <c r="F67">
        <f ca="1">IF(IFERROR(_TECH_Initiative_Library!A63,"")="","",N(IFERROR(_TECH_Initiative_Library!Y63,0)))</f>
        <v>2</v>
      </c>
      <c r="G67">
        <f>IF(IFERROR(_TECH_Initiative_Library!A63,"")="","",N(IFERROR(_TECH_Initiative_Library!AA63,0)))</f>
        <v>5</v>
      </c>
      <c r="H67">
        <f>IF(IFERROR(_TECH_Initiative_Library!A63,"")="","",N(IFERROR(_TECH_Initiative_Library!V63,0)))</f>
        <v>3</v>
      </c>
      <c r="I67">
        <f>IF(IFERROR(_TECH_Initiative_Library!A63,"")="","",IF(N(IFERROR(_TECH_Initiative_Library!AB63,0))=0,"",6-N(IFERROR(_TECH_Initiative_Library!AB63,0))))</f>
        <v>2</v>
      </c>
      <c r="J67">
        <f>IF(IFERROR(_TECH_Initiative_Library!A63,"")="","",IF(N(IFERROR(_TECH_Initiative_Library!AB63,0))=0,"",6-N(IFERROR(_TECH_Initiative_Library!AB63,0))))</f>
        <v>2</v>
      </c>
      <c r="K67" s="134">
        <f ca="1">IF(IFERROR(_TECH_Initiative_Library!A63,"")="","",ROUND(($A$6*N(D67)+$B$6*N(E67)+$C$6*N(F67)+$D$6*N(G67)+$E$6*N(H67)+$F$6*N(I67)+$G$6*N(J67))/5*100,1))</f>
        <v>50.6</v>
      </c>
      <c r="L67" s="156"/>
      <c r="M67" s="156"/>
      <c r="N67" s="156"/>
      <c r="O67" s="134" t="str">
        <f>IF(IFERROR(_TECH_Initiative_Library!A63,"")="","",IF(AND(L67&lt;&gt;"",N67&lt;&gt;"",M67&lt;&gt;""),(L67+4*M67+N67)/6,IF(M67&lt;&gt;"",M67,"")))</f>
        <v/>
      </c>
      <c r="P67" s="134" t="str">
        <f t="shared" si="10"/>
        <v/>
      </c>
      <c r="Q67" s="156"/>
      <c r="R67" s="156"/>
      <c r="S67" s="156"/>
      <c r="T67" t="str">
        <f>IF(IFERROR(_TECH_Initiative_Library!A63,"")="","",IF(AND(Q67&lt;&gt;"",S67&lt;&gt;"",R67&lt;&gt;""),(Q67+4*R67+S67)/6,IF(R67&lt;&gt;"",R67,"")))</f>
        <v/>
      </c>
      <c r="U67" s="134" t="str">
        <f t="shared" si="11"/>
        <v/>
      </c>
      <c r="V67" t="str">
        <f t="shared" si="12"/>
        <v/>
      </c>
      <c r="W67" t="str">
        <f t="shared" si="13"/>
        <v/>
      </c>
      <c r="X67" s="134" t="str">
        <f t="shared" si="14"/>
        <v/>
      </c>
      <c r="Y67">
        <f t="shared" ca="1" si="15"/>
        <v>44</v>
      </c>
      <c r="Z67" s="13" t="str">
        <f t="shared" si="16"/>
        <v>set €</v>
      </c>
      <c r="AA67">
        <f t="shared" si="17"/>
        <v>0</v>
      </c>
      <c r="AB67">
        <f t="shared" si="18"/>
        <v>0</v>
      </c>
      <c r="AC67">
        <f t="shared" ca="1" si="19"/>
        <v>50.6</v>
      </c>
    </row>
    <row r="68" spans="1:29">
      <c r="A68" s="133" t="str">
        <f>IF(IFERROR(_TECH_Initiative_Library!A64,"")="","",_TECH_Initiative_Library!A64)</f>
        <v>INI-060</v>
      </c>
      <c r="B68" s="133" t="str">
        <f>IF(IFERROR(_TECH_Initiative_Library!A64,"")="","",_TECH_Initiative_Library!F64)</f>
        <v>Create BI analytics layer for crisis and operational decisions</v>
      </c>
      <c r="C68" s="133" t="str">
        <f>IF(IFERROR(_TECH_Initiative_Library!A64,"")="","",_TECH_Initiative_Library!B64)</f>
        <v>Data BI AI</v>
      </c>
      <c r="D68">
        <f ca="1">IF(IFERROR(_TECH_Initiative_Library!A64,"")="","",N(IFERROR(_TECH_Initiative_Library!X64,0)))</f>
        <v>0</v>
      </c>
      <c r="E68">
        <f>IF(IFERROR(_TECH_Initiative_Library!A64,"")="","",N(IFERROR(_TECH_Initiative_Library!U64,0)))</f>
        <v>5</v>
      </c>
      <c r="F68">
        <f ca="1">IF(IFERROR(_TECH_Initiative_Library!A64,"")="","",N(IFERROR(_TECH_Initiative_Library!Y64,0)))</f>
        <v>2</v>
      </c>
      <c r="G68">
        <f>IF(IFERROR(_TECH_Initiative_Library!A64,"")="","",N(IFERROR(_TECH_Initiative_Library!AA64,0)))</f>
        <v>5</v>
      </c>
      <c r="H68">
        <f>IF(IFERROR(_TECH_Initiative_Library!A64,"")="","",N(IFERROR(_TECH_Initiative_Library!V64,0)))</f>
        <v>3</v>
      </c>
      <c r="I68">
        <f>IF(IFERROR(_TECH_Initiative_Library!A64,"")="","",IF(N(IFERROR(_TECH_Initiative_Library!AB64,0))=0,"",6-N(IFERROR(_TECH_Initiative_Library!AB64,0))))</f>
        <v>2</v>
      </c>
      <c r="J68">
        <f>IF(IFERROR(_TECH_Initiative_Library!A64,"")="","",IF(N(IFERROR(_TECH_Initiative_Library!AB64,0))=0,"",6-N(IFERROR(_TECH_Initiative_Library!AB64,0))))</f>
        <v>2</v>
      </c>
      <c r="K68" s="134">
        <f ca="1">IF(IFERROR(_TECH_Initiative_Library!A64,"")="","",ROUND(($A$6*N(D68)+$B$6*N(E68)+$C$6*N(F68)+$D$6*N(G68)+$E$6*N(H68)+$F$6*N(I68)+$G$6*N(J68))/5*100,1))</f>
        <v>50.6</v>
      </c>
      <c r="L68" s="156"/>
      <c r="M68" s="156"/>
      <c r="N68" s="156"/>
      <c r="O68" s="134" t="str">
        <f>IF(IFERROR(_TECH_Initiative_Library!A64,"")="","",IF(AND(L68&lt;&gt;"",N68&lt;&gt;"",M68&lt;&gt;""),(L68+4*M68+N68)/6,IF(M68&lt;&gt;"",M68,"")))</f>
        <v/>
      </c>
      <c r="P68" s="134" t="str">
        <f t="shared" si="10"/>
        <v/>
      </c>
      <c r="Q68" s="156"/>
      <c r="R68" s="156"/>
      <c r="S68" s="156"/>
      <c r="T68" t="str">
        <f>IF(IFERROR(_TECH_Initiative_Library!A64,"")="","",IF(AND(Q68&lt;&gt;"",S68&lt;&gt;"",R68&lt;&gt;""),(Q68+4*R68+S68)/6,IF(R68&lt;&gt;"",R68,"")))</f>
        <v/>
      </c>
      <c r="U68" s="134" t="str">
        <f t="shared" si="11"/>
        <v/>
      </c>
      <c r="V68" t="str">
        <f t="shared" si="12"/>
        <v/>
      </c>
      <c r="W68" t="str">
        <f t="shared" si="13"/>
        <v/>
      </c>
      <c r="X68" s="134" t="str">
        <f t="shared" si="14"/>
        <v/>
      </c>
      <c r="Y68">
        <f t="shared" ca="1" si="15"/>
        <v>44</v>
      </c>
      <c r="Z68" s="13" t="str">
        <f t="shared" si="16"/>
        <v>set €</v>
      </c>
      <c r="AA68">
        <f t="shared" si="17"/>
        <v>0</v>
      </c>
      <c r="AB68">
        <f t="shared" si="18"/>
        <v>0</v>
      </c>
      <c r="AC68">
        <f t="shared" ca="1" si="19"/>
        <v>50.6</v>
      </c>
    </row>
    <row r="69" spans="1:29">
      <c r="A69" s="133" t="str">
        <f>IF(IFERROR(_TECH_Initiative_Library!A65,"")="","",_TECH_Initiative_Library!A65)</f>
        <v>INI-061</v>
      </c>
      <c r="B69" s="133" t="str">
        <f>IF(IFERROR(_TECH_Initiative_Library!A65,"")="","",_TECH_Initiative_Library!F65)</f>
        <v>Build forecasting and scenario analytics capability</v>
      </c>
      <c r="C69" s="133" t="str">
        <f>IF(IFERROR(_TECH_Initiative_Library!A65,"")="","",_TECH_Initiative_Library!B65)</f>
        <v>Data BI AI</v>
      </c>
      <c r="D69">
        <f ca="1">IF(IFERROR(_TECH_Initiative_Library!A65,"")="","",N(IFERROR(_TECH_Initiative_Library!X65,0)))</f>
        <v>0</v>
      </c>
      <c r="E69">
        <f>IF(IFERROR(_TECH_Initiative_Library!A65,"")="","",N(IFERROR(_TECH_Initiative_Library!U65,0)))</f>
        <v>5</v>
      </c>
      <c r="F69">
        <f ca="1">IF(IFERROR(_TECH_Initiative_Library!A65,"")="","",N(IFERROR(_TECH_Initiative_Library!Y65,0)))</f>
        <v>2</v>
      </c>
      <c r="G69">
        <f>IF(IFERROR(_TECH_Initiative_Library!A65,"")="","",N(IFERROR(_TECH_Initiative_Library!AA65,0)))</f>
        <v>5</v>
      </c>
      <c r="H69">
        <f>IF(IFERROR(_TECH_Initiative_Library!A65,"")="","",N(IFERROR(_TECH_Initiative_Library!V65,0)))</f>
        <v>3</v>
      </c>
      <c r="I69">
        <f>IF(IFERROR(_TECH_Initiative_Library!A65,"")="","",IF(N(IFERROR(_TECH_Initiative_Library!AB65,0))=0,"",6-N(IFERROR(_TECH_Initiative_Library!AB65,0))))</f>
        <v>2</v>
      </c>
      <c r="J69">
        <f>IF(IFERROR(_TECH_Initiative_Library!A65,"")="","",IF(N(IFERROR(_TECH_Initiative_Library!AB65,0))=0,"",6-N(IFERROR(_TECH_Initiative_Library!AB65,0))))</f>
        <v>2</v>
      </c>
      <c r="K69" s="134">
        <f ca="1">IF(IFERROR(_TECH_Initiative_Library!A65,"")="","",ROUND(($A$6*N(D69)+$B$6*N(E69)+$C$6*N(F69)+$D$6*N(G69)+$E$6*N(H69)+$F$6*N(I69)+$G$6*N(J69))/5*100,1))</f>
        <v>50.6</v>
      </c>
      <c r="L69" s="156"/>
      <c r="M69" s="156"/>
      <c r="N69" s="156"/>
      <c r="O69" s="134" t="str">
        <f>IF(IFERROR(_TECH_Initiative_Library!A65,"")="","",IF(AND(L69&lt;&gt;"",N69&lt;&gt;"",M69&lt;&gt;""),(L69+4*M69+N69)/6,IF(M69&lt;&gt;"",M69,"")))</f>
        <v/>
      </c>
      <c r="P69" s="134" t="str">
        <f t="shared" si="10"/>
        <v/>
      </c>
      <c r="Q69" s="156"/>
      <c r="R69" s="156"/>
      <c r="S69" s="156"/>
      <c r="T69" t="str">
        <f>IF(IFERROR(_TECH_Initiative_Library!A65,"")="","",IF(AND(Q69&lt;&gt;"",S69&lt;&gt;"",R69&lt;&gt;""),(Q69+4*R69+S69)/6,IF(R69&lt;&gt;"",R69,"")))</f>
        <v/>
      </c>
      <c r="U69" s="134" t="str">
        <f t="shared" si="11"/>
        <v/>
      </c>
      <c r="V69" t="str">
        <f t="shared" si="12"/>
        <v/>
      </c>
      <c r="W69" t="str">
        <f t="shared" si="13"/>
        <v/>
      </c>
      <c r="X69" s="134" t="str">
        <f t="shared" si="14"/>
        <v/>
      </c>
      <c r="Y69">
        <f t="shared" ca="1" si="15"/>
        <v>44</v>
      </c>
      <c r="Z69" s="13" t="str">
        <f t="shared" si="16"/>
        <v>set €</v>
      </c>
      <c r="AA69">
        <f t="shared" si="17"/>
        <v>0</v>
      </c>
      <c r="AB69">
        <f t="shared" si="18"/>
        <v>0</v>
      </c>
      <c r="AC69">
        <f t="shared" ca="1" si="19"/>
        <v>50.6</v>
      </c>
    </row>
    <row r="70" spans="1:29">
      <c r="A70" s="133" t="str">
        <f>IF(IFERROR(_TECH_Initiative_Library!A66,"")="","",_TECH_Initiative_Library!A66)</f>
        <v>INI-062</v>
      </c>
      <c r="B70" s="133" t="str">
        <f>IF(IFERROR(_TECH_Initiative_Library!A66,"")="","",_TECH_Initiative_Library!F66)</f>
        <v>Implement AI readiness, governance and use-case portfolio</v>
      </c>
      <c r="C70" s="133" t="str">
        <f>IF(IFERROR(_TECH_Initiative_Library!A66,"")="","",_TECH_Initiative_Library!B66)</f>
        <v>Data BI AI</v>
      </c>
      <c r="D70">
        <f ca="1">IF(IFERROR(_TECH_Initiative_Library!A66,"")="","",N(IFERROR(_TECH_Initiative_Library!X66,0)))</f>
        <v>0</v>
      </c>
      <c r="E70">
        <f>IF(IFERROR(_TECH_Initiative_Library!A66,"")="","",N(IFERROR(_TECH_Initiative_Library!U66,0)))</f>
        <v>5</v>
      </c>
      <c r="F70">
        <f ca="1">IF(IFERROR(_TECH_Initiative_Library!A66,"")="","",N(IFERROR(_TECH_Initiative_Library!Y66,0)))</f>
        <v>2</v>
      </c>
      <c r="G70">
        <f>IF(IFERROR(_TECH_Initiative_Library!A66,"")="","",N(IFERROR(_TECH_Initiative_Library!AA66,0)))</f>
        <v>5</v>
      </c>
      <c r="H70">
        <f>IF(IFERROR(_TECH_Initiative_Library!A66,"")="","",N(IFERROR(_TECH_Initiative_Library!V66,0)))</f>
        <v>3</v>
      </c>
      <c r="I70">
        <f>IF(IFERROR(_TECH_Initiative_Library!A66,"")="","",IF(N(IFERROR(_TECH_Initiative_Library!AB66,0))=0,"",6-N(IFERROR(_TECH_Initiative_Library!AB66,0))))</f>
        <v>2</v>
      </c>
      <c r="J70">
        <f>IF(IFERROR(_TECH_Initiative_Library!A66,"")="","",IF(N(IFERROR(_TECH_Initiative_Library!AB66,0))=0,"",6-N(IFERROR(_TECH_Initiative_Library!AB66,0))))</f>
        <v>2</v>
      </c>
      <c r="K70" s="134">
        <f ca="1">IF(IFERROR(_TECH_Initiative_Library!A66,"")="","",ROUND(($A$6*N(D70)+$B$6*N(E70)+$C$6*N(F70)+$D$6*N(G70)+$E$6*N(H70)+$F$6*N(I70)+$G$6*N(J70))/5*100,1))</f>
        <v>50.6</v>
      </c>
      <c r="L70" s="156"/>
      <c r="M70" s="156"/>
      <c r="N70" s="156"/>
      <c r="O70" s="134" t="str">
        <f>IF(IFERROR(_TECH_Initiative_Library!A66,"")="","",IF(AND(L70&lt;&gt;"",N70&lt;&gt;"",M70&lt;&gt;""),(L70+4*M70+N70)/6,IF(M70&lt;&gt;"",M70,"")))</f>
        <v/>
      </c>
      <c r="P70" s="134" t="str">
        <f t="shared" si="10"/>
        <v/>
      </c>
      <c r="Q70" s="156"/>
      <c r="R70" s="156"/>
      <c r="S70" s="156"/>
      <c r="T70" t="str">
        <f>IF(IFERROR(_TECH_Initiative_Library!A66,"")="","",IF(AND(Q70&lt;&gt;"",S70&lt;&gt;"",R70&lt;&gt;""),(Q70+4*R70+S70)/6,IF(R70&lt;&gt;"",R70,"")))</f>
        <v/>
      </c>
      <c r="U70" s="134" t="str">
        <f t="shared" si="11"/>
        <v/>
      </c>
      <c r="V70" t="str">
        <f t="shared" si="12"/>
        <v/>
      </c>
      <c r="W70" t="str">
        <f t="shared" si="13"/>
        <v/>
      </c>
      <c r="X70" s="134" t="str">
        <f t="shared" si="14"/>
        <v/>
      </c>
      <c r="Y70">
        <f t="shared" ca="1" si="15"/>
        <v>44</v>
      </c>
      <c r="Z70" s="13" t="str">
        <f t="shared" si="16"/>
        <v>set €</v>
      </c>
      <c r="AA70">
        <f t="shared" si="17"/>
        <v>0</v>
      </c>
      <c r="AB70">
        <f t="shared" si="18"/>
        <v>0</v>
      </c>
      <c r="AC70">
        <f t="shared" ca="1" si="19"/>
        <v>50.6</v>
      </c>
    </row>
    <row r="71" spans="1:29">
      <c r="A71" s="133" t="str">
        <f>IF(IFERROR(_TECH_Initiative_Library!A67,"")="","",_TECH_Initiative_Library!A67)</f>
        <v>INI-063</v>
      </c>
      <c r="B71" s="133" t="str">
        <f>IF(IFERROR(_TECH_Initiative_Library!A67,"")="","",_TECH_Initiative_Library!F67)</f>
        <v>Implement security governance and risk-management operating model</v>
      </c>
      <c r="C71" s="133" t="str">
        <f>IF(IFERROR(_TECH_Initiative_Library!A67,"")="","",_TECH_Initiative_Library!B67)</f>
        <v>Cyber Privacy</v>
      </c>
      <c r="D71">
        <f ca="1">IF(IFERROR(_TECH_Initiative_Library!A67,"")="","",N(IFERROR(_TECH_Initiative_Library!X67,0)))</f>
        <v>0</v>
      </c>
      <c r="E71">
        <f>IF(IFERROR(_TECH_Initiative_Library!A67,"")="","",N(IFERROR(_TECH_Initiative_Library!U67,0)))</f>
        <v>4</v>
      </c>
      <c r="F71">
        <f ca="1">IF(IFERROR(_TECH_Initiative_Library!A67,"")="","",N(IFERROR(_TECH_Initiative_Library!Y67,0)))</f>
        <v>3</v>
      </c>
      <c r="G71">
        <f>IF(IFERROR(_TECH_Initiative_Library!A67,"")="","",N(IFERROR(_TECH_Initiative_Library!AA67,0)))</f>
        <v>4</v>
      </c>
      <c r="H71">
        <f>IF(IFERROR(_TECH_Initiative_Library!A67,"")="","",N(IFERROR(_TECH_Initiative_Library!V67,0)))</f>
        <v>5</v>
      </c>
      <c r="I71">
        <f>IF(IFERROR(_TECH_Initiative_Library!A67,"")="","",IF(N(IFERROR(_TECH_Initiative_Library!AB67,0))=0,"",6-N(IFERROR(_TECH_Initiative_Library!AB67,0))))</f>
        <v>2</v>
      </c>
      <c r="J71">
        <f>IF(IFERROR(_TECH_Initiative_Library!A67,"")="","",IF(N(IFERROR(_TECH_Initiative_Library!AB67,0))=0,"",6-N(IFERROR(_TECH_Initiative_Library!AB67,0))))</f>
        <v>2</v>
      </c>
      <c r="K71" s="134">
        <f ca="1">IF(IFERROR(_TECH_Initiative_Library!A67,"")="","",ROUND(($A$6*N(D71)+$B$6*N(E71)+$C$6*N(F71)+$D$6*N(G71)+$E$6*N(H71)+$F$6*N(I71)+$G$6*N(J71))/5*100,1))</f>
        <v>52.2</v>
      </c>
      <c r="L71" s="156"/>
      <c r="M71" s="156"/>
      <c r="N71" s="156"/>
      <c r="O71" s="134" t="str">
        <f>IF(IFERROR(_TECH_Initiative_Library!A67,"")="","",IF(AND(L71&lt;&gt;"",N71&lt;&gt;"",M71&lt;&gt;""),(L71+4*M71+N71)/6,IF(M71&lt;&gt;"",M71,"")))</f>
        <v/>
      </c>
      <c r="P71" s="134" t="str">
        <f t="shared" si="10"/>
        <v/>
      </c>
      <c r="Q71" s="156"/>
      <c r="R71" s="156"/>
      <c r="S71" s="156"/>
      <c r="T71" t="str">
        <f>IF(IFERROR(_TECH_Initiative_Library!A67,"")="","",IF(AND(Q71&lt;&gt;"",S71&lt;&gt;"",R71&lt;&gt;""),(Q71+4*R71+S71)/6,IF(R71&lt;&gt;"",R71,"")))</f>
        <v/>
      </c>
      <c r="U71" s="134" t="str">
        <f t="shared" si="11"/>
        <v/>
      </c>
      <c r="V71" t="str">
        <f t="shared" si="12"/>
        <v/>
      </c>
      <c r="W71" t="str">
        <f t="shared" si="13"/>
        <v/>
      </c>
      <c r="X71" s="134" t="str">
        <f t="shared" si="14"/>
        <v/>
      </c>
      <c r="Y71">
        <f t="shared" ca="1" si="15"/>
        <v>18</v>
      </c>
      <c r="Z71" s="13" t="str">
        <f t="shared" si="16"/>
        <v>set €</v>
      </c>
      <c r="AA71">
        <f t="shared" si="17"/>
        <v>0</v>
      </c>
      <c r="AB71">
        <f t="shared" si="18"/>
        <v>0</v>
      </c>
      <c r="AC71">
        <f t="shared" ca="1" si="19"/>
        <v>52.2</v>
      </c>
    </row>
    <row r="72" spans="1:29">
      <c r="A72" s="133" t="str">
        <f>IF(IFERROR(_TECH_Initiative_Library!A68,"")="","",_TECH_Initiative_Library!A68)</f>
        <v>INI-064</v>
      </c>
      <c r="B72" s="133" t="str">
        <f>IF(IFERROR(_TECH_Initiative_Library!A68,"")="","",_TECH_Initiative_Library!F68)</f>
        <v>Strengthen IAM, MFA, privileged access and joiner/mover/leaver controls</v>
      </c>
      <c r="C72" s="133" t="str">
        <f>IF(IFERROR(_TECH_Initiative_Library!A68,"")="","",_TECH_Initiative_Library!B68)</f>
        <v>Cyber Privacy</v>
      </c>
      <c r="D72">
        <f ca="1">IF(IFERROR(_TECH_Initiative_Library!A68,"")="","",N(IFERROR(_TECH_Initiative_Library!X68,0)))</f>
        <v>0</v>
      </c>
      <c r="E72">
        <f>IF(IFERROR(_TECH_Initiative_Library!A68,"")="","",N(IFERROR(_TECH_Initiative_Library!U68,0)))</f>
        <v>4</v>
      </c>
      <c r="F72">
        <f ca="1">IF(IFERROR(_TECH_Initiative_Library!A68,"")="","",N(IFERROR(_TECH_Initiative_Library!Y68,0)))</f>
        <v>3</v>
      </c>
      <c r="G72">
        <f>IF(IFERROR(_TECH_Initiative_Library!A68,"")="","",N(IFERROR(_TECH_Initiative_Library!AA68,0)))</f>
        <v>4</v>
      </c>
      <c r="H72">
        <f>IF(IFERROR(_TECH_Initiative_Library!A68,"")="","",N(IFERROR(_TECH_Initiative_Library!V68,0)))</f>
        <v>5</v>
      </c>
      <c r="I72">
        <f>IF(IFERROR(_TECH_Initiative_Library!A68,"")="","",IF(N(IFERROR(_TECH_Initiative_Library!AB68,0))=0,"",6-N(IFERROR(_TECH_Initiative_Library!AB68,0))))</f>
        <v>2</v>
      </c>
      <c r="J72">
        <f>IF(IFERROR(_TECH_Initiative_Library!A68,"")="","",IF(N(IFERROR(_TECH_Initiative_Library!AB68,0))=0,"",6-N(IFERROR(_TECH_Initiative_Library!AB68,0))))</f>
        <v>2</v>
      </c>
      <c r="K72" s="134">
        <f ca="1">IF(IFERROR(_TECH_Initiative_Library!A68,"")="","",ROUND(($A$6*N(D72)+$B$6*N(E72)+$C$6*N(F72)+$D$6*N(G72)+$E$6*N(H72)+$F$6*N(I72)+$G$6*N(J72))/5*100,1))</f>
        <v>52.2</v>
      </c>
      <c r="L72" s="156"/>
      <c r="M72" s="156"/>
      <c r="N72" s="156"/>
      <c r="O72" s="134" t="str">
        <f>IF(IFERROR(_TECH_Initiative_Library!A68,"")="","",IF(AND(L72&lt;&gt;"",N72&lt;&gt;"",M72&lt;&gt;""),(L72+4*M72+N72)/6,IF(M72&lt;&gt;"",M72,"")))</f>
        <v/>
      </c>
      <c r="P72" s="134" t="str">
        <f t="shared" si="10"/>
        <v/>
      </c>
      <c r="Q72" s="156"/>
      <c r="R72" s="156"/>
      <c r="S72" s="156"/>
      <c r="T72" t="str">
        <f>IF(IFERROR(_TECH_Initiative_Library!A68,"")="","",IF(AND(Q72&lt;&gt;"",S72&lt;&gt;"",R72&lt;&gt;""),(Q72+4*R72+S72)/6,IF(R72&lt;&gt;"",R72,"")))</f>
        <v/>
      </c>
      <c r="U72" s="134" t="str">
        <f t="shared" si="11"/>
        <v/>
      </c>
      <c r="V72" t="str">
        <f t="shared" si="12"/>
        <v/>
      </c>
      <c r="W72" t="str">
        <f t="shared" si="13"/>
        <v/>
      </c>
      <c r="X72" s="134" t="str">
        <f t="shared" si="14"/>
        <v/>
      </c>
      <c r="Y72">
        <f t="shared" ca="1" si="15"/>
        <v>18</v>
      </c>
      <c r="Z72" s="13" t="str">
        <f t="shared" si="16"/>
        <v>set €</v>
      </c>
      <c r="AA72">
        <f t="shared" si="17"/>
        <v>0</v>
      </c>
      <c r="AB72">
        <f t="shared" si="18"/>
        <v>0</v>
      </c>
      <c r="AC72">
        <f t="shared" ca="1" si="19"/>
        <v>52.2</v>
      </c>
    </row>
    <row r="73" spans="1:29">
      <c r="A73" s="133" t="str">
        <f>IF(IFERROR(_TECH_Initiative_Library!A69,"")="","",_TECH_Initiative_Library!A69)</f>
        <v>INI-065</v>
      </c>
      <c r="B73" s="133" t="str">
        <f>IF(IFERROR(_TECH_Initiative_Library!A69,"")="","",_TECH_Initiative_Library!F69)</f>
        <v>Improve endpoint, network, backup and vulnerability protection</v>
      </c>
      <c r="C73" s="133" t="str">
        <f>IF(IFERROR(_TECH_Initiative_Library!A69,"")="","",_TECH_Initiative_Library!B69)</f>
        <v>Cyber Privacy</v>
      </c>
      <c r="D73">
        <f ca="1">IF(IFERROR(_TECH_Initiative_Library!A69,"")="","",N(IFERROR(_TECH_Initiative_Library!X69,0)))</f>
        <v>0</v>
      </c>
      <c r="E73">
        <f>IF(IFERROR(_TECH_Initiative_Library!A69,"")="","",N(IFERROR(_TECH_Initiative_Library!U69,0)))</f>
        <v>4</v>
      </c>
      <c r="F73">
        <f ca="1">IF(IFERROR(_TECH_Initiative_Library!A69,"")="","",N(IFERROR(_TECH_Initiative_Library!Y69,0)))</f>
        <v>3</v>
      </c>
      <c r="G73">
        <f>IF(IFERROR(_TECH_Initiative_Library!A69,"")="","",N(IFERROR(_TECH_Initiative_Library!AA69,0)))</f>
        <v>4</v>
      </c>
      <c r="H73">
        <f>IF(IFERROR(_TECH_Initiative_Library!A69,"")="","",N(IFERROR(_TECH_Initiative_Library!V69,0)))</f>
        <v>5</v>
      </c>
      <c r="I73">
        <f>IF(IFERROR(_TECH_Initiative_Library!A69,"")="","",IF(N(IFERROR(_TECH_Initiative_Library!AB69,0))=0,"",6-N(IFERROR(_TECH_Initiative_Library!AB69,0))))</f>
        <v>2</v>
      </c>
      <c r="J73">
        <f>IF(IFERROR(_TECH_Initiative_Library!A69,"")="","",IF(N(IFERROR(_TECH_Initiative_Library!AB69,0))=0,"",6-N(IFERROR(_TECH_Initiative_Library!AB69,0))))</f>
        <v>2</v>
      </c>
      <c r="K73" s="134">
        <f ca="1">IF(IFERROR(_TECH_Initiative_Library!A69,"")="","",ROUND(($A$6*N(D73)+$B$6*N(E73)+$C$6*N(F73)+$D$6*N(G73)+$E$6*N(H73)+$F$6*N(I73)+$G$6*N(J73))/5*100,1))</f>
        <v>52.2</v>
      </c>
      <c r="L73" s="156"/>
      <c r="M73" s="156"/>
      <c r="N73" s="156"/>
      <c r="O73" s="134" t="str">
        <f>IF(IFERROR(_TECH_Initiative_Library!A69,"")="","",IF(AND(L73&lt;&gt;"",N73&lt;&gt;"",M73&lt;&gt;""),(L73+4*M73+N73)/6,IF(M73&lt;&gt;"",M73,"")))</f>
        <v/>
      </c>
      <c r="P73" s="134" t="str">
        <f t="shared" ref="P73:P80" si="20">IF(OR(L73="",N73=""),"",ABS(L73-N73)/6)</f>
        <v/>
      </c>
      <c r="Q73" s="156"/>
      <c r="R73" s="156"/>
      <c r="S73" s="156"/>
      <c r="T73" t="str">
        <f>IF(IFERROR(_TECH_Initiative_Library!A69,"")="","",IF(AND(Q73&lt;&gt;"",S73&lt;&gt;"",R73&lt;&gt;""),(Q73+4*R73+S73)/6,IF(R73&lt;&gt;"",R73,"")))</f>
        <v/>
      </c>
      <c r="U73" s="134" t="str">
        <f t="shared" ref="U73:U104" si="21">IF(OR(O73="",T73=""),"",T73-O73)</f>
        <v/>
      </c>
      <c r="V73" t="str">
        <f t="shared" ref="V73:V80" si="22">IF(OR(O73="",O73=0,T73=""),"",ROUND((T73-O73)/O73*100,0))</f>
        <v/>
      </c>
      <c r="W73" t="str">
        <f t="shared" ref="W73:W80" si="23">IF(OR(O73="",T73="",T73=0),"",ROUND(O73/(T73/12),1))</f>
        <v/>
      </c>
      <c r="X73" s="134" t="str">
        <f t="shared" ref="X73:X80" si="24">IF(OR(O73="",T73=""),"",ROUND(T73*(1-(1+$K$4)^-$K$5)/$K$4-O73,1))</f>
        <v/>
      </c>
      <c r="Y73">
        <f t="shared" ref="Y73:Y80" ca="1" si="25">IF($A73="","",SUMPRODUCT(($AC$9:$AC$80&gt;$AC73)*($A$9:$A$80&lt;&gt;""))+1)</f>
        <v>18</v>
      </c>
      <c r="Z73" s="13" t="str">
        <f t="shared" ref="Z73:Z80" si="26">IF($A73="","",IF(SUM($AA$9:$AA$80)=0,"set €",IF(SUMPRODUCT(($Y$9:$Y$80&lt;=$Y73)*$AA$9:$AA$80)&lt;=$K$6,"Yes","No")))</f>
        <v>set €</v>
      </c>
      <c r="AA73">
        <f t="shared" ref="AA73:AA80" si="27">IF($A73="",0,IF($O73="",0,$O73))</f>
        <v>0</v>
      </c>
      <c r="AB73">
        <f t="shared" ref="AB73:AB80" si="28">IF($A73="",0,IF($X73="",0,$X73))</f>
        <v>0</v>
      </c>
      <c r="AC73">
        <f t="shared" ref="AC73:AC80" ca="1" si="29">IF($A73="",0,IF($K73="",0,$K73))</f>
        <v>52.2</v>
      </c>
    </row>
    <row r="74" spans="1:29">
      <c r="A74" s="133" t="str">
        <f>IF(IFERROR(_TECH_Initiative_Library!A70,"")="","",_TECH_Initiative_Library!A70)</f>
        <v>INI-066</v>
      </c>
      <c r="B74" s="133" t="str">
        <f>IF(IFERROR(_TECH_Initiative_Library!A70,"")="","",_TECH_Initiative_Library!F70)</f>
        <v>Implement detection, response, logging and security incident exercises</v>
      </c>
      <c r="C74" s="133" t="str">
        <f>IF(IFERROR(_TECH_Initiative_Library!A70,"")="","",_TECH_Initiative_Library!B70)</f>
        <v>Cyber Privacy</v>
      </c>
      <c r="D74">
        <f ca="1">IF(IFERROR(_TECH_Initiative_Library!A70,"")="","",N(IFERROR(_TECH_Initiative_Library!X70,0)))</f>
        <v>0</v>
      </c>
      <c r="E74">
        <f>IF(IFERROR(_TECH_Initiative_Library!A70,"")="","",N(IFERROR(_TECH_Initiative_Library!U70,0)))</f>
        <v>4</v>
      </c>
      <c r="F74">
        <f ca="1">IF(IFERROR(_TECH_Initiative_Library!A70,"")="","",N(IFERROR(_TECH_Initiative_Library!Y70,0)))</f>
        <v>3</v>
      </c>
      <c r="G74">
        <f>IF(IFERROR(_TECH_Initiative_Library!A70,"")="","",N(IFERROR(_TECH_Initiative_Library!AA70,0)))</f>
        <v>4</v>
      </c>
      <c r="H74">
        <f>IF(IFERROR(_TECH_Initiative_Library!A70,"")="","",N(IFERROR(_TECH_Initiative_Library!V70,0)))</f>
        <v>5</v>
      </c>
      <c r="I74">
        <f>IF(IFERROR(_TECH_Initiative_Library!A70,"")="","",IF(N(IFERROR(_TECH_Initiative_Library!AB70,0))=0,"",6-N(IFERROR(_TECH_Initiative_Library!AB70,0))))</f>
        <v>2</v>
      </c>
      <c r="J74">
        <f>IF(IFERROR(_TECH_Initiative_Library!A70,"")="","",IF(N(IFERROR(_TECH_Initiative_Library!AB70,0))=0,"",6-N(IFERROR(_TECH_Initiative_Library!AB70,0))))</f>
        <v>2</v>
      </c>
      <c r="K74" s="134">
        <f ca="1">IF(IFERROR(_TECH_Initiative_Library!A70,"")="","",ROUND(($A$6*N(D74)+$B$6*N(E74)+$C$6*N(F74)+$D$6*N(G74)+$E$6*N(H74)+$F$6*N(I74)+$G$6*N(J74))/5*100,1))</f>
        <v>52.2</v>
      </c>
      <c r="L74" s="156"/>
      <c r="M74" s="156"/>
      <c r="N74" s="156"/>
      <c r="O74" s="134" t="str">
        <f>IF(IFERROR(_TECH_Initiative_Library!A70,"")="","",IF(AND(L74&lt;&gt;"",N74&lt;&gt;"",M74&lt;&gt;""),(L74+4*M74+N74)/6,IF(M74&lt;&gt;"",M74,"")))</f>
        <v/>
      </c>
      <c r="P74" s="134" t="str">
        <f t="shared" si="20"/>
        <v/>
      </c>
      <c r="Q74" s="156"/>
      <c r="R74" s="156"/>
      <c r="S74" s="156"/>
      <c r="T74" t="str">
        <f>IF(IFERROR(_TECH_Initiative_Library!A70,"")="","",IF(AND(Q74&lt;&gt;"",S74&lt;&gt;"",R74&lt;&gt;""),(Q74+4*R74+S74)/6,IF(R74&lt;&gt;"",R74,"")))</f>
        <v/>
      </c>
      <c r="U74" s="134" t="str">
        <f t="shared" si="21"/>
        <v/>
      </c>
      <c r="V74" t="str">
        <f t="shared" si="22"/>
        <v/>
      </c>
      <c r="W74" t="str">
        <f t="shared" si="23"/>
        <v/>
      </c>
      <c r="X74" s="134" t="str">
        <f t="shared" si="24"/>
        <v/>
      </c>
      <c r="Y74">
        <f t="shared" ca="1" si="25"/>
        <v>18</v>
      </c>
      <c r="Z74" s="13" t="str">
        <f t="shared" si="26"/>
        <v>set €</v>
      </c>
      <c r="AA74">
        <f t="shared" si="27"/>
        <v>0</v>
      </c>
      <c r="AB74">
        <f t="shared" si="28"/>
        <v>0</v>
      </c>
      <c r="AC74">
        <f t="shared" ca="1" si="29"/>
        <v>52.2</v>
      </c>
    </row>
    <row r="75" spans="1:29">
      <c r="A75" s="133" t="str">
        <f>IF(IFERROR(_TECH_Initiative_Library!A71,"")="","",_TECH_Initiative_Library!A71)</f>
        <v>INI-067</v>
      </c>
      <c r="B75" s="133" t="str">
        <f>IF(IFERROR(_TECH_Initiative_Library!A71,"")="","",_TECH_Initiative_Library!F71)</f>
        <v>Strengthen application, API and OT security controls</v>
      </c>
      <c r="C75" s="133" t="str">
        <f>IF(IFERROR(_TECH_Initiative_Library!A71,"")="","",_TECH_Initiative_Library!B71)</f>
        <v>Cyber Privacy</v>
      </c>
      <c r="D75">
        <f ca="1">IF(IFERROR(_TECH_Initiative_Library!A71,"")="","",N(IFERROR(_TECH_Initiative_Library!X71,0)))</f>
        <v>0</v>
      </c>
      <c r="E75">
        <f>IF(IFERROR(_TECH_Initiative_Library!A71,"")="","",N(IFERROR(_TECH_Initiative_Library!U71,0)))</f>
        <v>4</v>
      </c>
      <c r="F75">
        <f ca="1">IF(IFERROR(_TECH_Initiative_Library!A71,"")="","",N(IFERROR(_TECH_Initiative_Library!Y71,0)))</f>
        <v>3</v>
      </c>
      <c r="G75">
        <f>IF(IFERROR(_TECH_Initiative_Library!A71,"")="","",N(IFERROR(_TECH_Initiative_Library!AA71,0)))</f>
        <v>4</v>
      </c>
      <c r="H75">
        <f>IF(IFERROR(_TECH_Initiative_Library!A71,"")="","",N(IFERROR(_TECH_Initiative_Library!V71,0)))</f>
        <v>5</v>
      </c>
      <c r="I75">
        <f>IF(IFERROR(_TECH_Initiative_Library!A71,"")="","",IF(N(IFERROR(_TECH_Initiative_Library!AB71,0))=0,"",6-N(IFERROR(_TECH_Initiative_Library!AB71,0))))</f>
        <v>2</v>
      </c>
      <c r="J75">
        <f>IF(IFERROR(_TECH_Initiative_Library!A71,"")="","",IF(N(IFERROR(_TECH_Initiative_Library!AB71,0))=0,"",6-N(IFERROR(_TECH_Initiative_Library!AB71,0))))</f>
        <v>2</v>
      </c>
      <c r="K75" s="134">
        <f ca="1">IF(IFERROR(_TECH_Initiative_Library!A71,"")="","",ROUND(($A$6*N(D75)+$B$6*N(E75)+$C$6*N(F75)+$D$6*N(G75)+$E$6*N(H75)+$F$6*N(I75)+$G$6*N(J75))/5*100,1))</f>
        <v>52.2</v>
      </c>
      <c r="L75" s="156"/>
      <c r="M75" s="156"/>
      <c r="N75" s="156"/>
      <c r="O75" s="134" t="str">
        <f>IF(IFERROR(_TECH_Initiative_Library!A71,"")="","",IF(AND(L75&lt;&gt;"",N75&lt;&gt;"",M75&lt;&gt;""),(L75+4*M75+N75)/6,IF(M75&lt;&gt;"",M75,"")))</f>
        <v/>
      </c>
      <c r="P75" s="134" t="str">
        <f t="shared" si="20"/>
        <v/>
      </c>
      <c r="Q75" s="156"/>
      <c r="R75" s="156"/>
      <c r="S75" s="156"/>
      <c r="T75" t="str">
        <f>IF(IFERROR(_TECH_Initiative_Library!A71,"")="","",IF(AND(Q75&lt;&gt;"",S75&lt;&gt;"",R75&lt;&gt;""),(Q75+4*R75+S75)/6,IF(R75&lt;&gt;"",R75,"")))</f>
        <v/>
      </c>
      <c r="U75" s="134" t="str">
        <f t="shared" si="21"/>
        <v/>
      </c>
      <c r="V75" t="str">
        <f t="shared" si="22"/>
        <v/>
      </c>
      <c r="W75" t="str">
        <f t="shared" si="23"/>
        <v/>
      </c>
      <c r="X75" s="134" t="str">
        <f t="shared" si="24"/>
        <v/>
      </c>
      <c r="Y75">
        <f t="shared" ca="1" si="25"/>
        <v>18</v>
      </c>
      <c r="Z75" s="13" t="str">
        <f t="shared" si="26"/>
        <v>set €</v>
      </c>
      <c r="AA75">
        <f t="shared" si="27"/>
        <v>0</v>
      </c>
      <c r="AB75">
        <f t="shared" si="28"/>
        <v>0</v>
      </c>
      <c r="AC75">
        <f t="shared" ca="1" si="29"/>
        <v>52.2</v>
      </c>
    </row>
    <row r="76" spans="1:29">
      <c r="A76" s="133" t="str">
        <f>IF(IFERROR(_TECH_Initiative_Library!A72,"")="","",_TECH_Initiative_Library!A72)</f>
        <v>INI-068</v>
      </c>
      <c r="B76" s="133" t="str">
        <f>IF(IFERROR(_TECH_Initiative_Library!A72,"")="","",_TECH_Initiative_Library!F72)</f>
        <v>Implement privacy governance, DPIA and personal-data controls</v>
      </c>
      <c r="C76" s="133" t="str">
        <f>IF(IFERROR(_TECH_Initiative_Library!A72,"")="","",_TECH_Initiative_Library!B72)</f>
        <v>Cyber Privacy</v>
      </c>
      <c r="D76">
        <f ca="1">IF(IFERROR(_TECH_Initiative_Library!A72,"")="","",N(IFERROR(_TECH_Initiative_Library!X72,0)))</f>
        <v>0</v>
      </c>
      <c r="E76">
        <f>IF(IFERROR(_TECH_Initiative_Library!A72,"")="","",N(IFERROR(_TECH_Initiative_Library!U72,0)))</f>
        <v>4</v>
      </c>
      <c r="F76">
        <f ca="1">IF(IFERROR(_TECH_Initiative_Library!A72,"")="","",N(IFERROR(_TECH_Initiative_Library!Y72,0)))</f>
        <v>3</v>
      </c>
      <c r="G76">
        <f>IF(IFERROR(_TECH_Initiative_Library!A72,"")="","",N(IFERROR(_TECH_Initiative_Library!AA72,0)))</f>
        <v>4</v>
      </c>
      <c r="H76">
        <f>IF(IFERROR(_TECH_Initiative_Library!A72,"")="","",N(IFERROR(_TECH_Initiative_Library!V72,0)))</f>
        <v>5</v>
      </c>
      <c r="I76">
        <f>IF(IFERROR(_TECH_Initiative_Library!A72,"")="","",IF(N(IFERROR(_TECH_Initiative_Library!AB72,0))=0,"",6-N(IFERROR(_TECH_Initiative_Library!AB72,0))))</f>
        <v>2</v>
      </c>
      <c r="J76">
        <f>IF(IFERROR(_TECH_Initiative_Library!A72,"")="","",IF(N(IFERROR(_TECH_Initiative_Library!AB72,0))=0,"",6-N(IFERROR(_TECH_Initiative_Library!AB72,0))))</f>
        <v>2</v>
      </c>
      <c r="K76" s="134">
        <f ca="1">IF(IFERROR(_TECH_Initiative_Library!A72,"")="","",ROUND(($A$6*N(D76)+$B$6*N(E76)+$C$6*N(F76)+$D$6*N(G76)+$E$6*N(H76)+$F$6*N(I76)+$G$6*N(J76))/5*100,1))</f>
        <v>52.2</v>
      </c>
      <c r="L76" s="156"/>
      <c r="M76" s="156"/>
      <c r="N76" s="156"/>
      <c r="O76" s="134" t="str">
        <f>IF(IFERROR(_TECH_Initiative_Library!A72,"")="","",IF(AND(L76&lt;&gt;"",N76&lt;&gt;"",M76&lt;&gt;""),(L76+4*M76+N76)/6,IF(M76&lt;&gt;"",M76,"")))</f>
        <v/>
      </c>
      <c r="P76" s="134" t="str">
        <f t="shared" si="20"/>
        <v/>
      </c>
      <c r="Q76" s="156"/>
      <c r="R76" s="156"/>
      <c r="S76" s="156"/>
      <c r="T76" t="str">
        <f>IF(IFERROR(_TECH_Initiative_Library!A72,"")="","",IF(AND(Q76&lt;&gt;"",S76&lt;&gt;"",R76&lt;&gt;""),(Q76+4*R76+S76)/6,IF(R76&lt;&gt;"",R76,"")))</f>
        <v/>
      </c>
      <c r="U76" s="134" t="str">
        <f t="shared" si="21"/>
        <v/>
      </c>
      <c r="V76" t="str">
        <f t="shared" si="22"/>
        <v/>
      </c>
      <c r="W76" t="str">
        <f t="shared" si="23"/>
        <v/>
      </c>
      <c r="X76" s="134" t="str">
        <f t="shared" si="24"/>
        <v/>
      </c>
      <c r="Y76">
        <f t="shared" ca="1" si="25"/>
        <v>18</v>
      </c>
      <c r="Z76" s="13" t="str">
        <f t="shared" si="26"/>
        <v>set €</v>
      </c>
      <c r="AA76">
        <f t="shared" si="27"/>
        <v>0</v>
      </c>
      <c r="AB76">
        <f t="shared" si="28"/>
        <v>0</v>
      </c>
      <c r="AC76">
        <f t="shared" ca="1" si="29"/>
        <v>52.2</v>
      </c>
    </row>
    <row r="77" spans="1:29">
      <c r="A77" s="133" t="str">
        <f>IF(IFERROR(_TECH_Initiative_Library!A73,"")="","",_TECH_Initiative_Library!A73)</f>
        <v>INI-069</v>
      </c>
      <c r="B77" s="133" t="str">
        <f>IF(IFERROR(_TECH_Initiative_Library!A73,"")="","",_TECH_Initiative_Library!F73)</f>
        <v>Build process ownership, SOP and continuous-improvement model</v>
      </c>
      <c r="C77" s="133" t="str">
        <f>IF(IFERROR(_TECH_Initiative_Library!A73,"")="","",_TECH_Initiative_Library!B73)</f>
        <v>Quality Portfolio</v>
      </c>
      <c r="D77">
        <f ca="1">IF(IFERROR(_TECH_Initiative_Library!A73,"")="","",N(IFERROR(_TECH_Initiative_Library!X73,0)))</f>
        <v>0</v>
      </c>
      <c r="E77">
        <f>IF(IFERROR(_TECH_Initiative_Library!A73,"")="","",N(IFERROR(_TECH_Initiative_Library!U73,0)))</f>
        <v>4</v>
      </c>
      <c r="F77">
        <f ca="1">IF(IFERROR(_TECH_Initiative_Library!A73,"")="","",N(IFERROR(_TECH_Initiative_Library!Y73,0)))</f>
        <v>2</v>
      </c>
      <c r="G77">
        <f>IF(IFERROR(_TECH_Initiative_Library!A73,"")="","",N(IFERROR(_TECH_Initiative_Library!AA73,0)))</f>
        <v>5</v>
      </c>
      <c r="H77">
        <f>IF(IFERROR(_TECH_Initiative_Library!A73,"")="","",N(IFERROR(_TECH_Initiative_Library!V73,0)))</f>
        <v>4</v>
      </c>
      <c r="I77">
        <f>IF(IFERROR(_TECH_Initiative_Library!A73,"")="","",IF(N(IFERROR(_TECH_Initiative_Library!AB73,0))=0,"",6-N(IFERROR(_TECH_Initiative_Library!AB73,0))))</f>
        <v>4</v>
      </c>
      <c r="J77">
        <f>IF(IFERROR(_TECH_Initiative_Library!A73,"")="","",IF(N(IFERROR(_TECH_Initiative_Library!AB73,0))=0,"",6-N(IFERROR(_TECH_Initiative_Library!AB73,0))))</f>
        <v>4</v>
      </c>
      <c r="K77" s="134">
        <f ca="1">IF(IFERROR(_TECH_Initiative_Library!A73,"")="","",ROUND(($A$6*N(D77)+$B$6*N(E77)+$C$6*N(F77)+$D$6*N(G77)+$E$6*N(H77)+$F$6*N(I77)+$G$6*N(J77))/5*100,1))</f>
        <v>57.2</v>
      </c>
      <c r="L77" s="156"/>
      <c r="M77" s="156"/>
      <c r="N77" s="156"/>
      <c r="O77" s="134" t="str">
        <f>IF(IFERROR(_TECH_Initiative_Library!A73,"")="","",IF(AND(L77&lt;&gt;"",N77&lt;&gt;"",M77&lt;&gt;""),(L77+4*M77+N77)/6,IF(M77&lt;&gt;"",M77,"")))</f>
        <v/>
      </c>
      <c r="P77" s="134" t="str">
        <f t="shared" si="20"/>
        <v/>
      </c>
      <c r="Q77" s="156"/>
      <c r="R77" s="156"/>
      <c r="S77" s="156"/>
      <c r="T77" t="str">
        <f>IF(IFERROR(_TECH_Initiative_Library!A73,"")="","",IF(AND(Q77&lt;&gt;"",S77&lt;&gt;"",R77&lt;&gt;""),(Q77+4*R77+S77)/6,IF(R77&lt;&gt;"",R77,"")))</f>
        <v/>
      </c>
      <c r="U77" s="134" t="str">
        <f t="shared" si="21"/>
        <v/>
      </c>
      <c r="V77" t="str">
        <f t="shared" si="22"/>
        <v/>
      </c>
      <c r="W77" t="str">
        <f t="shared" si="23"/>
        <v/>
      </c>
      <c r="X77" s="134" t="str">
        <f t="shared" si="24"/>
        <v/>
      </c>
      <c r="Y77">
        <f t="shared" ca="1" si="25"/>
        <v>1</v>
      </c>
      <c r="Z77" s="13" t="str">
        <f t="shared" si="26"/>
        <v>set €</v>
      </c>
      <c r="AA77">
        <f t="shared" si="27"/>
        <v>0</v>
      </c>
      <c r="AB77">
        <f t="shared" si="28"/>
        <v>0</v>
      </c>
      <c r="AC77">
        <f t="shared" ca="1" si="29"/>
        <v>57.2</v>
      </c>
    </row>
    <row r="78" spans="1:29">
      <c r="A78" s="133" t="str">
        <f>IF(IFERROR(_TECH_Initiative_Library!A74,"")="","",_TECH_Initiative_Library!A74)</f>
        <v>INI-070</v>
      </c>
      <c r="B78" s="133" t="str">
        <f>IF(IFERROR(_TECH_Initiative_Library!A74,"")="","",_TECH_Initiative_Library!F74)</f>
        <v>Strengthen quality management and audit readiness</v>
      </c>
      <c r="C78" s="133" t="str">
        <f>IF(IFERROR(_TECH_Initiative_Library!A74,"")="","",_TECH_Initiative_Library!B74)</f>
        <v>Quality Portfolio</v>
      </c>
      <c r="D78">
        <f ca="1">IF(IFERROR(_TECH_Initiative_Library!A74,"")="","",N(IFERROR(_TECH_Initiative_Library!X74,0)))</f>
        <v>0</v>
      </c>
      <c r="E78">
        <f>IF(IFERROR(_TECH_Initiative_Library!A74,"")="","",N(IFERROR(_TECH_Initiative_Library!U74,0)))</f>
        <v>4</v>
      </c>
      <c r="F78">
        <f ca="1">IF(IFERROR(_TECH_Initiative_Library!A74,"")="","",N(IFERROR(_TECH_Initiative_Library!Y74,0)))</f>
        <v>2</v>
      </c>
      <c r="G78">
        <f>IF(IFERROR(_TECH_Initiative_Library!A74,"")="","",N(IFERROR(_TECH_Initiative_Library!AA74,0)))</f>
        <v>5</v>
      </c>
      <c r="H78">
        <f>IF(IFERROR(_TECH_Initiative_Library!A74,"")="","",N(IFERROR(_TECH_Initiative_Library!V74,0)))</f>
        <v>4</v>
      </c>
      <c r="I78">
        <f>IF(IFERROR(_TECH_Initiative_Library!A74,"")="","",IF(N(IFERROR(_TECH_Initiative_Library!AB74,0))=0,"",6-N(IFERROR(_TECH_Initiative_Library!AB74,0))))</f>
        <v>4</v>
      </c>
      <c r="J78">
        <f>IF(IFERROR(_TECH_Initiative_Library!A74,"")="","",IF(N(IFERROR(_TECH_Initiative_Library!AB74,0))=0,"",6-N(IFERROR(_TECH_Initiative_Library!AB74,0))))</f>
        <v>4</v>
      </c>
      <c r="K78" s="134">
        <f ca="1">IF(IFERROR(_TECH_Initiative_Library!A74,"")="","",ROUND(($A$6*N(D78)+$B$6*N(E78)+$C$6*N(F78)+$D$6*N(G78)+$E$6*N(H78)+$F$6*N(I78)+$G$6*N(J78))/5*100,1))</f>
        <v>57.2</v>
      </c>
      <c r="L78" s="156"/>
      <c r="M78" s="156"/>
      <c r="N78" s="156"/>
      <c r="O78" s="134" t="str">
        <f>IF(IFERROR(_TECH_Initiative_Library!A74,"")="","",IF(AND(L78&lt;&gt;"",N78&lt;&gt;"",M78&lt;&gt;""),(L78+4*M78+N78)/6,IF(M78&lt;&gt;"",M78,"")))</f>
        <v/>
      </c>
      <c r="P78" s="134" t="str">
        <f t="shared" si="20"/>
        <v/>
      </c>
      <c r="Q78" s="156"/>
      <c r="R78" s="156"/>
      <c r="S78" s="156"/>
      <c r="T78" t="str">
        <f>IF(IFERROR(_TECH_Initiative_Library!A74,"")="","",IF(AND(Q78&lt;&gt;"",S78&lt;&gt;"",R78&lt;&gt;""),(Q78+4*R78+S78)/6,IF(R78&lt;&gt;"",R78,"")))</f>
        <v/>
      </c>
      <c r="U78" s="134" t="str">
        <f t="shared" si="21"/>
        <v/>
      </c>
      <c r="V78" t="str">
        <f t="shared" si="22"/>
        <v/>
      </c>
      <c r="W78" t="str">
        <f t="shared" si="23"/>
        <v/>
      </c>
      <c r="X78" s="134" t="str">
        <f t="shared" si="24"/>
        <v/>
      </c>
      <c r="Y78">
        <f t="shared" ca="1" si="25"/>
        <v>1</v>
      </c>
      <c r="Z78" s="13" t="str">
        <f t="shared" si="26"/>
        <v>set €</v>
      </c>
      <c r="AA78">
        <f t="shared" si="27"/>
        <v>0</v>
      </c>
      <c r="AB78">
        <f t="shared" si="28"/>
        <v>0</v>
      </c>
      <c r="AC78">
        <f t="shared" ca="1" si="29"/>
        <v>57.2</v>
      </c>
    </row>
    <row r="79" spans="1:29">
      <c r="A79" s="133" t="str">
        <f>IF(IFERROR(_TECH_Initiative_Library!A75,"")="","",_TECH_Initiative_Library!A75)</f>
        <v>INI-071</v>
      </c>
      <c r="B79" s="133" t="str">
        <f>IF(IFERROR(_TECH_Initiative_Library!A75,"")="","",_TECH_Initiative_Library!F75)</f>
        <v>Implement portfolio governance, prioritization and change control</v>
      </c>
      <c r="C79" s="133" t="str">
        <f>IF(IFERROR(_TECH_Initiative_Library!A75,"")="","",_TECH_Initiative_Library!B75)</f>
        <v>Quality Portfolio</v>
      </c>
      <c r="D79">
        <f ca="1">IF(IFERROR(_TECH_Initiative_Library!A75,"")="","",N(IFERROR(_TECH_Initiative_Library!X75,0)))</f>
        <v>0</v>
      </c>
      <c r="E79">
        <f>IF(IFERROR(_TECH_Initiative_Library!A75,"")="","",N(IFERROR(_TECH_Initiative_Library!U75,0)))</f>
        <v>2</v>
      </c>
      <c r="F79">
        <f ca="1">IF(IFERROR(_TECH_Initiative_Library!A75,"")="","",N(IFERROR(_TECH_Initiative_Library!Y75,0)))</f>
        <v>2</v>
      </c>
      <c r="G79">
        <f>IF(IFERROR(_TECH_Initiative_Library!A75,"")="","",N(IFERROR(_TECH_Initiative_Library!AA75,0)))</f>
        <v>4</v>
      </c>
      <c r="H79">
        <f>IF(IFERROR(_TECH_Initiative_Library!A75,"")="","",N(IFERROR(_TECH_Initiative_Library!V75,0)))</f>
        <v>4</v>
      </c>
      <c r="I79">
        <f>IF(IFERROR(_TECH_Initiative_Library!A75,"")="","",IF(N(IFERROR(_TECH_Initiative_Library!AB75,0))=0,"",6-N(IFERROR(_TECH_Initiative_Library!AB75,0))))</f>
        <v>4</v>
      </c>
      <c r="J79">
        <f>IF(IFERROR(_TECH_Initiative_Library!A75,"")="","",IF(N(IFERROR(_TECH_Initiative_Library!AB75,0))=0,"",6-N(IFERROR(_TECH_Initiative_Library!AB75,0))))</f>
        <v>4</v>
      </c>
      <c r="K79" s="134">
        <f ca="1">IF(IFERROR(_TECH_Initiative_Library!A75,"")="","",ROUND(($A$6*N(D79)+$B$6*N(E79)+$C$6*N(F79)+$D$6*N(G79)+$E$6*N(H79)+$F$6*N(I79)+$G$6*N(J79))/5*100,1))</f>
        <v>47.2</v>
      </c>
      <c r="L79" s="156"/>
      <c r="M79" s="156"/>
      <c r="N79" s="156"/>
      <c r="O79" s="134" t="str">
        <f>IF(IFERROR(_TECH_Initiative_Library!A75,"")="","",IF(AND(L79&lt;&gt;"",N79&lt;&gt;"",M79&lt;&gt;""),(L79+4*M79+N79)/6,IF(M79&lt;&gt;"",M79,"")))</f>
        <v/>
      </c>
      <c r="P79" s="134" t="str">
        <f t="shared" si="20"/>
        <v/>
      </c>
      <c r="Q79" s="156"/>
      <c r="R79" s="156"/>
      <c r="S79" s="156"/>
      <c r="T79" t="str">
        <f>IF(IFERROR(_TECH_Initiative_Library!A75,"")="","",IF(AND(Q79&lt;&gt;"",S79&lt;&gt;"",R79&lt;&gt;""),(Q79+4*R79+S79)/6,IF(R79&lt;&gt;"",R79,"")))</f>
        <v/>
      </c>
      <c r="U79" s="134" t="str">
        <f t="shared" si="21"/>
        <v/>
      </c>
      <c r="V79" t="str">
        <f t="shared" si="22"/>
        <v/>
      </c>
      <c r="W79" t="str">
        <f t="shared" si="23"/>
        <v/>
      </c>
      <c r="X79" s="134" t="str">
        <f t="shared" si="24"/>
        <v/>
      </c>
      <c r="Y79">
        <f t="shared" ca="1" si="25"/>
        <v>58</v>
      </c>
      <c r="Z79" s="13" t="str">
        <f t="shared" si="26"/>
        <v>set €</v>
      </c>
      <c r="AA79">
        <f t="shared" si="27"/>
        <v>0</v>
      </c>
      <c r="AB79">
        <f t="shared" si="28"/>
        <v>0</v>
      </c>
      <c r="AC79">
        <f t="shared" ca="1" si="29"/>
        <v>47.2</v>
      </c>
    </row>
    <row r="80" spans="1:29">
      <c r="A80" s="133" t="str">
        <f>IF(IFERROR(_TECH_Initiative_Library!A76,"")="","",_TECH_Initiative_Library!A76)</f>
        <v>INI-072</v>
      </c>
      <c r="B80" s="133" t="str">
        <f>IF(IFERROR(_TECH_Initiative_Library!A76,"")="","",_TECH_Initiative_Library!F76)</f>
        <v>Integrate management system, KPIs and continual improvement cycle</v>
      </c>
      <c r="C80" s="133" t="str">
        <f>IF(IFERROR(_TECH_Initiative_Library!A76,"")="","",_TECH_Initiative_Library!B76)</f>
        <v>Quality Portfolio</v>
      </c>
      <c r="D80">
        <f ca="1">IF(IFERROR(_TECH_Initiative_Library!A76,"")="","",N(IFERROR(_TECH_Initiative_Library!X76,0)))</f>
        <v>0</v>
      </c>
      <c r="E80">
        <f>IF(IFERROR(_TECH_Initiative_Library!A76,"")="","",N(IFERROR(_TECH_Initiative_Library!U76,0)))</f>
        <v>2</v>
      </c>
      <c r="F80">
        <f ca="1">IF(IFERROR(_TECH_Initiative_Library!A76,"")="","",N(IFERROR(_TECH_Initiative_Library!Y76,0)))</f>
        <v>2</v>
      </c>
      <c r="G80">
        <f>IF(IFERROR(_TECH_Initiative_Library!A76,"")="","",N(IFERROR(_TECH_Initiative_Library!AA76,0)))</f>
        <v>4</v>
      </c>
      <c r="H80">
        <f>IF(IFERROR(_TECH_Initiative_Library!A76,"")="","",N(IFERROR(_TECH_Initiative_Library!V76,0)))</f>
        <v>4</v>
      </c>
      <c r="I80">
        <f>IF(IFERROR(_TECH_Initiative_Library!A76,"")="","",IF(N(IFERROR(_TECH_Initiative_Library!AB76,0))=0,"",6-N(IFERROR(_TECH_Initiative_Library!AB76,0))))</f>
        <v>4</v>
      </c>
      <c r="J80">
        <f>IF(IFERROR(_TECH_Initiative_Library!A76,"")="","",IF(N(IFERROR(_TECH_Initiative_Library!AB76,0))=0,"",6-N(IFERROR(_TECH_Initiative_Library!AB76,0))))</f>
        <v>4</v>
      </c>
      <c r="K80" s="134">
        <f ca="1">IF(IFERROR(_TECH_Initiative_Library!A76,"")="","",ROUND(($A$6*N(D80)+$B$6*N(E80)+$C$6*N(F80)+$D$6*N(G80)+$E$6*N(H80)+$F$6*N(I80)+$G$6*N(J80))/5*100,1))</f>
        <v>47.2</v>
      </c>
      <c r="L80" s="156"/>
      <c r="M80" s="156"/>
      <c r="N80" s="156"/>
      <c r="O80" s="134" t="str">
        <f>IF(IFERROR(_TECH_Initiative_Library!A76,"")="","",IF(AND(L80&lt;&gt;"",N80&lt;&gt;"",M80&lt;&gt;""),(L80+4*M80+N80)/6,IF(M80&lt;&gt;"",M80,"")))</f>
        <v/>
      </c>
      <c r="P80" s="134" t="str">
        <f t="shared" si="20"/>
        <v/>
      </c>
      <c r="Q80" s="156"/>
      <c r="R80" s="156"/>
      <c r="S80" s="156"/>
      <c r="T80" t="str">
        <f>IF(IFERROR(_TECH_Initiative_Library!A76,"")="","",IF(AND(Q80&lt;&gt;"",S80&lt;&gt;"",R80&lt;&gt;""),(Q80+4*R80+S80)/6,IF(R80&lt;&gt;"",R80,"")))</f>
        <v/>
      </c>
      <c r="U80" s="134" t="str">
        <f t="shared" si="21"/>
        <v/>
      </c>
      <c r="V80" t="str">
        <f t="shared" si="22"/>
        <v/>
      </c>
      <c r="W80" t="str">
        <f t="shared" si="23"/>
        <v/>
      </c>
      <c r="X80" s="134" t="str">
        <f t="shared" si="24"/>
        <v/>
      </c>
      <c r="Y80">
        <f t="shared" ca="1" si="25"/>
        <v>58</v>
      </c>
      <c r="Z80" s="13" t="str">
        <f t="shared" si="26"/>
        <v>set €</v>
      </c>
      <c r="AA80">
        <f t="shared" si="27"/>
        <v>0</v>
      </c>
      <c r="AB80">
        <f t="shared" si="28"/>
        <v>0</v>
      </c>
      <c r="AC80">
        <f t="shared" ca="1" si="29"/>
        <v>47.2</v>
      </c>
    </row>
    <row r="82" spans="1:2" ht="15">
      <c r="A82" s="107" t="s">
        <v>888</v>
      </c>
    </row>
    <row r="83" spans="1:2">
      <c r="A83" t="s">
        <v>889</v>
      </c>
      <c r="B83">
        <f>COUNTIF(Z9:Z80,"Yes")</f>
        <v>0</v>
      </c>
    </row>
    <row r="84" spans="1:2">
      <c r="A84" t="s">
        <v>890</v>
      </c>
      <c r="B84">
        <f>SUMPRODUCT((Z9:Z80="Yes")*AA9:AA80)</f>
        <v>0</v>
      </c>
    </row>
    <row r="85" spans="1:2">
      <c r="A85" t="s">
        <v>891</v>
      </c>
      <c r="B85">
        <f>SUMPRODUCT((Z9:Z80="Yes")*AB9:AB80)</f>
        <v>0</v>
      </c>
    </row>
    <row r="86" spans="1:2">
      <c r="A86" t="s">
        <v>892</v>
      </c>
      <c r="B86" t="str">
        <f ca="1">IFERROR(SUMPRODUCT((Z9:Z80="Yes")*AC9:AC80)/COUNTIF(Z9:Z80,"Yes"),"")</f>
        <v/>
      </c>
    </row>
    <row r="88" spans="1:2" ht="15">
      <c r="A88" s="107" t="s">
        <v>893</v>
      </c>
      <c r="B88" s="156"/>
    </row>
    <row r="89" spans="1:2">
      <c r="A89" t="s">
        <v>894</v>
      </c>
      <c r="B89" t="s">
        <v>895</v>
      </c>
    </row>
    <row r="90" spans="1:2">
      <c r="A90" t="s">
        <v>896</v>
      </c>
      <c r="B90" s="145"/>
    </row>
    <row r="91" spans="1:2">
      <c r="A91" t="s">
        <v>897</v>
      </c>
      <c r="B91" s="145"/>
    </row>
    <row r="92" spans="1:2">
      <c r="A92" t="s">
        <v>898</v>
      </c>
      <c r="B92" s="145"/>
    </row>
    <row r="93" spans="1:2">
      <c r="A93" t="s">
        <v>899</v>
      </c>
      <c r="B93" s="145"/>
    </row>
    <row r="94" spans="1:2">
      <c r="A94" t="s">
        <v>900</v>
      </c>
      <c r="B94" s="145"/>
    </row>
    <row r="95" spans="1:2">
      <c r="A95" t="s">
        <v>901</v>
      </c>
      <c r="B95" s="145"/>
    </row>
    <row r="96" spans="1:2">
      <c r="A96" t="s">
        <v>902</v>
      </c>
      <c r="B96" t="str">
        <f>IF(SUM(B90:B95)=0,"",ROUND(SUMPRODUCT(B90:B95,B90:B95),3))</f>
        <v/>
      </c>
    </row>
    <row r="97" spans="1:2">
      <c r="A97" t="s">
        <v>903</v>
      </c>
      <c r="B97" s="109"/>
    </row>
    <row r="98" spans="1:2">
      <c r="A98" t="s">
        <v>904</v>
      </c>
      <c r="B98" s="109"/>
    </row>
    <row r="99" spans="1:2">
      <c r="A99" t="s">
        <v>905</v>
      </c>
      <c r="B99" t="str">
        <f>IFERROR(ROUND(B98/B97,3),"")</f>
        <v/>
      </c>
    </row>
  </sheetData>
  <conditionalFormatting sqref="K9:K80">
    <cfRule type="colorScale" priority="1">
      <colorScale>
        <cfvo type="num" val="0"/>
        <cfvo type="num" val="50"/>
        <cfvo type="num" val="100"/>
        <color rgb="FFF8696B"/>
        <color rgb="FFFFEB84"/>
        <color rgb="FF63BE7B"/>
      </colorScale>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legacyDrawing r:id="rId1"/>
</worksheet>
</file>

<file path=xl/worksheets/sheet17.xml><?xml version="1.0" encoding="utf-8"?>
<worksheet xmlns="http://schemas.openxmlformats.org/spreadsheetml/2006/main" xmlns:ns1="http://schemas.openxmlformats.org/markup-compatibility/2006" xmlns:ns2="http://schemas.microsoft.com/office/spreadsheetml/2014/revision" ns1:Ignorable="x14ac xr xr2 xr3" ns2:uid="{00000000-0001-0000-1000-000000000000}">
  <sheetPr>
    <tabColor rgb="FF2E75B6"/>
  </sheetPr>
  <dimension ref="A1:C22"/>
  <sheetViews>
    <sheetView workbookViewId="0"/>
  </sheetViews>
  <sheetFormatPr defaultRowHeight="14.25"/>
  <cols>
    <col min="1" max="1" width="26" customWidth="1"/>
    <col min="2" max="2" width="60" customWidth="1"/>
    <col min="3" max="3" width="30" customWidth="1"/>
  </cols>
  <sheetData>
    <row r="1" spans="1:3" ht="18">
      <c r="A1" s="99" t="s">
        <v>906</v>
      </c>
    </row>
    <row r="3" spans="1:3">
      <c r="A3" s="110" t="s">
        <v>339</v>
      </c>
      <c r="B3" s="110" t="s">
        <v>907</v>
      </c>
      <c r="C3" s="110" t="s">
        <v>908</v>
      </c>
    </row>
    <row r="4" spans="1:3" ht="28.5">
      <c r="A4" s="119" t="s">
        <v>909</v>
      </c>
      <c r="B4" s="120" t="s">
        <v>910</v>
      </c>
      <c r="C4" s="121" t="s">
        <v>911</v>
      </c>
    </row>
    <row r="5" spans="1:3" ht="42.75">
      <c r="A5" s="119" t="s">
        <v>912</v>
      </c>
      <c r="B5" s="120" t="s">
        <v>913</v>
      </c>
      <c r="C5" s="121" t="s">
        <v>914</v>
      </c>
    </row>
    <row r="6" spans="1:3" ht="28.5">
      <c r="A6" s="119" t="s">
        <v>915</v>
      </c>
      <c r="B6" s="120" t="s">
        <v>916</v>
      </c>
      <c r="C6" s="121" t="s">
        <v>917</v>
      </c>
    </row>
    <row r="7" spans="1:3" ht="28.5">
      <c r="A7" s="119" t="s">
        <v>918</v>
      </c>
      <c r="B7" s="120" t="s">
        <v>919</v>
      </c>
      <c r="C7" s="121" t="s">
        <v>920</v>
      </c>
    </row>
    <row r="8" spans="1:3" ht="42.75">
      <c r="A8" s="119" t="s">
        <v>921</v>
      </c>
      <c r="B8" s="120" t="s">
        <v>922</v>
      </c>
      <c r="C8" s="121" t="s">
        <v>923</v>
      </c>
    </row>
    <row r="9" spans="1:3" ht="15">
      <c r="A9" s="119" t="s">
        <v>924</v>
      </c>
      <c r="B9" s="120" t="s">
        <v>925</v>
      </c>
      <c r="C9" s="121" t="s">
        <v>926</v>
      </c>
    </row>
    <row r="10" spans="1:3" ht="28.5">
      <c r="A10" s="119" t="s">
        <v>927</v>
      </c>
      <c r="B10" s="120" t="s">
        <v>928</v>
      </c>
      <c r="C10" s="121" t="s">
        <v>929</v>
      </c>
    </row>
    <row r="11" spans="1:3" ht="28.5">
      <c r="A11" s="119" t="s">
        <v>930</v>
      </c>
      <c r="B11" s="120" t="s">
        <v>931</v>
      </c>
      <c r="C11" s="121" t="s">
        <v>932</v>
      </c>
    </row>
    <row r="12" spans="1:3" ht="15">
      <c r="A12" s="119" t="s">
        <v>933</v>
      </c>
      <c r="B12" s="120" t="s">
        <v>934</v>
      </c>
      <c r="C12" s="121" t="s">
        <v>935</v>
      </c>
    </row>
    <row r="13" spans="1:3" ht="28.5">
      <c r="A13" s="119" t="s">
        <v>936</v>
      </c>
      <c r="B13" s="120" t="s">
        <v>937</v>
      </c>
      <c r="C13" s="121" t="s">
        <v>938</v>
      </c>
    </row>
    <row r="14" spans="1:3" ht="15">
      <c r="A14" s="119" t="s">
        <v>939</v>
      </c>
      <c r="B14" s="120" t="s">
        <v>940</v>
      </c>
      <c r="C14" s="121" t="s">
        <v>941</v>
      </c>
    </row>
    <row r="15" spans="1:3" ht="28.5">
      <c r="A15" s="119" t="s">
        <v>942</v>
      </c>
      <c r="B15" s="120" t="s">
        <v>943</v>
      </c>
      <c r="C15" s="121" t="s">
        <v>944</v>
      </c>
    </row>
    <row r="16" spans="1:3" ht="28.5">
      <c r="A16" s="119" t="s">
        <v>945</v>
      </c>
      <c r="B16" s="120" t="s">
        <v>946</v>
      </c>
      <c r="C16" s="121" t="s">
        <v>947</v>
      </c>
    </row>
    <row r="17" spans="1:3" ht="28.5">
      <c r="A17" s="119" t="s">
        <v>948</v>
      </c>
      <c r="B17" s="120" t="s">
        <v>949</v>
      </c>
      <c r="C17" s="121" t="s">
        <v>950</v>
      </c>
    </row>
    <row r="18" spans="1:3" ht="28.5">
      <c r="A18" s="119" t="s">
        <v>951</v>
      </c>
      <c r="B18" s="120" t="s">
        <v>952</v>
      </c>
      <c r="C18" s="121" t="s">
        <v>953</v>
      </c>
    </row>
    <row r="19" spans="1:3" ht="28.5">
      <c r="A19" s="119" t="s">
        <v>954</v>
      </c>
      <c r="B19" s="120" t="s">
        <v>955</v>
      </c>
      <c r="C19" s="121" t="s">
        <v>956</v>
      </c>
    </row>
    <row r="20" spans="1:3" ht="71.25">
      <c r="A20" s="119" t="s">
        <v>957</v>
      </c>
      <c r="B20" s="120" t="s">
        <v>958</v>
      </c>
      <c r="C20" s="121" t="s">
        <v>959</v>
      </c>
    </row>
    <row r="21" spans="1:3" ht="42.75">
      <c r="A21" s="119" t="s">
        <v>960</v>
      </c>
      <c r="B21" s="120" t="s">
        <v>961</v>
      </c>
      <c r="C21" s="121" t="s">
        <v>962</v>
      </c>
    </row>
    <row r="22" spans="1:3" ht="28.5">
      <c r="A22" s="119" t="s">
        <v>963</v>
      </c>
      <c r="B22" s="120" t="s">
        <v>964</v>
      </c>
      <c r="C22" s="121" t="s">
        <v>965</v>
      </c>
    </row>
  </sheetData>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18.xml><?xml version="1.0" encoding="utf-8"?>
<worksheet xmlns="http://schemas.openxmlformats.org/spreadsheetml/2006/main" xmlns:ns1="http://schemas.openxmlformats.org/markup-compatibility/2006" xmlns:ns2="http://schemas.microsoft.com/office/spreadsheetml/2014/revision" ns1:Ignorable="x14ac xr xr2 xr3" ns2:uid="{00000000-0001-0000-1100-000000000000}">
  <sheetPr>
    <tabColor rgb="FF808080"/>
  </sheetPr>
  <dimension ref="A1:AW76"/>
  <sheetViews>
    <sheetView workbookViewId="0">
      <pane ySplit="4" topLeftCell="A5" activePane="bottomLeft" state="frozen"/>
      <selection pane="bottomLeft"/>
    </sheetView>
  </sheetViews>
  <sheetFormatPr defaultRowHeight="14.25"/>
  <cols>
    <col min="1" max="5" width="22" customWidth="1"/>
    <col min="6" max="10" width="36" customWidth="1"/>
    <col min="11" max="31" width="18" customWidth="1"/>
    <col min="32" max="33" width="22" customWidth="1"/>
    <col min="34" max="40" width="36" customWidth="1"/>
    <col min="41" max="42" width="22" customWidth="1"/>
    <col min="43" max="43" width="18" customWidth="1"/>
    <col min="44" max="44" width="36" customWidth="1"/>
    <col min="45" max="45" width="22" customWidth="1"/>
    <col min="46" max="46" width="20" customWidth="1"/>
    <col min="47" max="48" width="18" customWidth="1"/>
    <col min="49" max="49" width="35" customWidth="1"/>
  </cols>
  <sheetData>
    <row r="1" spans="1:49">
      <c r="A1" s="191" t="s">
        <v>966</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row>
    <row r="2" spans="1:49">
      <c r="A2" s="190" t="s">
        <v>967</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row>
    <row r="4" spans="1:49" ht="30">
      <c r="A4" s="51" t="s">
        <v>758</v>
      </c>
      <c r="B4" s="51" t="s">
        <v>36</v>
      </c>
      <c r="C4" s="51" t="s">
        <v>759</v>
      </c>
      <c r="D4" s="51" t="s">
        <v>717</v>
      </c>
      <c r="E4" s="51" t="s">
        <v>718</v>
      </c>
      <c r="F4" s="51" t="s">
        <v>968</v>
      </c>
      <c r="G4" s="51" t="s">
        <v>969</v>
      </c>
      <c r="H4" s="51" t="s">
        <v>970</v>
      </c>
      <c r="I4" s="51" t="s">
        <v>971</v>
      </c>
      <c r="J4" s="51" t="s">
        <v>972</v>
      </c>
      <c r="K4" s="51" t="s">
        <v>973</v>
      </c>
      <c r="L4" s="51" t="s">
        <v>778</v>
      </c>
      <c r="M4" s="51" t="s">
        <v>180</v>
      </c>
      <c r="N4" s="51" t="s">
        <v>974</v>
      </c>
      <c r="O4" s="51" t="s">
        <v>975</v>
      </c>
      <c r="P4" s="51" t="s">
        <v>976</v>
      </c>
      <c r="Q4" s="51" t="s">
        <v>977</v>
      </c>
      <c r="R4" s="51" t="s">
        <v>705</v>
      </c>
      <c r="S4" s="51" t="s">
        <v>978</v>
      </c>
      <c r="T4" s="51" t="s">
        <v>979</v>
      </c>
      <c r="U4" s="51" t="s">
        <v>980</v>
      </c>
      <c r="V4" s="51" t="s">
        <v>981</v>
      </c>
      <c r="W4" s="51" t="s">
        <v>982</v>
      </c>
      <c r="X4" s="51" t="s">
        <v>761</v>
      </c>
      <c r="Y4" s="51" t="s">
        <v>762</v>
      </c>
      <c r="Z4" s="51" t="s">
        <v>763</v>
      </c>
      <c r="AA4" s="51" t="s">
        <v>764</v>
      </c>
      <c r="AB4" s="51" t="s">
        <v>327</v>
      </c>
      <c r="AC4" s="51" t="s">
        <v>329</v>
      </c>
      <c r="AD4" s="51" t="s">
        <v>196</v>
      </c>
      <c r="AE4" s="51" t="s">
        <v>380</v>
      </c>
      <c r="AF4" s="51" t="s">
        <v>731</v>
      </c>
      <c r="AG4" s="51" t="s">
        <v>983</v>
      </c>
      <c r="AH4" s="51" t="s">
        <v>984</v>
      </c>
      <c r="AI4" s="51" t="s">
        <v>733</v>
      </c>
      <c r="AJ4" s="51" t="s">
        <v>985</v>
      </c>
      <c r="AK4" s="51" t="s">
        <v>986</v>
      </c>
      <c r="AL4" s="51" t="s">
        <v>987</v>
      </c>
      <c r="AM4" s="51" t="s">
        <v>988</v>
      </c>
      <c r="AN4" s="51" t="s">
        <v>989</v>
      </c>
      <c r="AO4" s="51" t="s">
        <v>990</v>
      </c>
      <c r="AP4" s="51" t="s">
        <v>780</v>
      </c>
      <c r="AQ4" s="51" t="s">
        <v>991</v>
      </c>
      <c r="AR4" s="51" t="s">
        <v>992</v>
      </c>
      <c r="AS4" s="50" t="s">
        <v>993</v>
      </c>
      <c r="AT4" s="50" t="s">
        <v>994</v>
      </c>
      <c r="AU4" s="50" t="s">
        <v>739</v>
      </c>
      <c r="AV4" s="50" t="s">
        <v>995</v>
      </c>
      <c r="AW4" s="50" t="s">
        <v>996</v>
      </c>
    </row>
    <row r="5" spans="1:49" ht="42" customHeight="1">
      <c r="A5" s="52" t="s">
        <v>997</v>
      </c>
      <c r="B5" s="52" t="s">
        <v>54</v>
      </c>
      <c r="C5" s="52" t="s">
        <v>998</v>
      </c>
      <c r="D5" s="52" t="s">
        <v>999</v>
      </c>
      <c r="E5" s="52" t="s">
        <v>1000</v>
      </c>
      <c r="F5" s="52" t="s">
        <v>1001</v>
      </c>
      <c r="G5" s="52" t="s">
        <v>1002</v>
      </c>
      <c r="H5" s="52" t="s">
        <v>183</v>
      </c>
      <c r="I5" s="52" t="s">
        <v>1003</v>
      </c>
      <c r="J5" s="52" t="s">
        <v>1004</v>
      </c>
      <c r="K5" s="52">
        <v>7</v>
      </c>
      <c r="L5" s="52">
        <f>COUNTIFS('Executive Recommendations'!$C$8:$C$414,$B5,'Executive Recommendations'!$D$8:$D$414,$C5,'Executive Recommendations'!$B$8:$B$414,"Yes")</f>
        <v>0</v>
      </c>
      <c r="M5" s="52">
        <f>COUNTIFS('Risk Summary'!$C$8:$C$414,$B5,'Risk Summary'!$D$8:$D$414,$C5,'Risk Summary'!$B$8:$B$414,"Yes")</f>
        <v>0</v>
      </c>
      <c r="N5" s="52" t="str">
        <f t="shared" ref="N5:N36" ca="1" si="0">IFERROR(AVERAGEIFS(INDIRECT("'"&amp;$B5&amp;"'!$H$5:$H$500"),INDIRECT("'"&amp;$B5&amp;"'!$B$5:$B$500"),$C5),"")</f>
        <v/>
      </c>
      <c r="O5" s="52" t="str">
        <f t="shared" ref="O5:O36" ca="1" si="1">IF($N5="","",MAX(0,5-$N5))</f>
        <v/>
      </c>
      <c r="P5" s="52">
        <f>IFERROR(INDEX(Dashboard!$H$5:$H$21,MATCH($B5,Dashboard!$A$5:$A$21,0)),"")</f>
        <v>0</v>
      </c>
      <c r="Q5" s="52">
        <f t="shared" ref="Q5:Q36" si="2">IF($P5="","",MAX(0,5-$P5))</f>
        <v>5</v>
      </c>
      <c r="R5" s="52">
        <f>IFERROR(SUMIFS(_TECH_Crisis_Model!$D$5:$D$191,_TECH_Crisis_Model!$A$5:$A$191,'Crisis Simulator'!$B$4,_TECH_Crisis_Model!$B$5:$B$191,$B5),1)</f>
        <v>1.6</v>
      </c>
      <c r="S5" s="52">
        <f ca="1">IFERROR(INDEX('Strategy Selection'!$A$10:$A$23,MATCH($D5,'Strategy Selection'!$B$10:$B$23,0)),99)</f>
        <v>99</v>
      </c>
      <c r="T5" s="52">
        <f>IFERROR(INDEX('Strategy Selection'!$J$10:$J$23,MATCH($D5,'Strategy Selection'!$B$10:$B$23,0)),0)</f>
        <v>69.5</v>
      </c>
      <c r="U5" s="52">
        <v>2</v>
      </c>
      <c r="V5" s="52">
        <v>5</v>
      </c>
      <c r="W5" s="52">
        <v>4</v>
      </c>
      <c r="X5" s="52">
        <f>MAX(1,MIN(5,ROUNDUP((IF($O5="",0,$O5)*0.5)+(IF($Q5="",0,$Q5)*0.25)+((IF($T5="",0,$T5)/20)*0.25),0)))</f>
      </c>
      <c r="Y5" s="52">
        <f>MAX(1,MIN(5,ROUNDUP(((IF($R5="",1,$R5)-1)*1.6)+('Crisis Simulator'!$B$5*0.45)+IF(IF($S5="",99,$S5)&lt;=3,0.8,0),0)))</f>
      </c>
      <c r="Z5" s="52">
        <f>MAX(1,MIN(5,ROUNDUP((IF($O5="",0,$O5)*0.45)+(IF($M5="",0,$M5)*0.35)+(IF($V5="",0,$V5)*0.35),0)))</f>
      </c>
      <c r="AA5" s="52">
        <f>MAX(1,MIN(5,ROUNDUP((IF($U5="",0,$U5)*0.4)+(IF($W5="",0,$W5)*0.3)+((IF($T5="",0,$T5)/20)*0.3),0)))</f>
      </c>
      <c r="AB5" s="52">
        <v>2</v>
      </c>
      <c r="AC5" s="52">
        <f>IF($AB5=0,"",ROUND((IF($X5="",0,$X5)+IF($Y5="",0,$Y5)+IF($Z5="",0,$Z5)+IF($AA5="",0,$AA5))/$AB5,2))</f>
      </c>
      <c r="AD5" s="52">
        <f>IF($AC5="","",RANK.EQ($AC5,$AC$5:$AC$76,0)+COUNTIF($AC$5:$AC5,$AC5)-1)</f>
      </c>
      <c r="AE5" s="52">
        <f>IF($AD5="","",IF($AD5&lt;=12,"0-90 days",IF($AD5&lt;=32,"3-6 months",IF($AD5&lt;=55,"6-12 months","12+ months"))))</f>
      </c>
      <c r="AF5" s="52" t="s">
        <v>1005</v>
      </c>
      <c r="AG5" s="52" t="s">
        <v>1006</v>
      </c>
      <c r="AH5" s="52" t="s">
        <v>1007</v>
      </c>
      <c r="AI5" s="52" t="s">
        <v>1008</v>
      </c>
      <c r="AJ5" s="52" t="s">
        <v>1009</v>
      </c>
      <c r="AK5" s="52" t="s">
        <v>1010</v>
      </c>
      <c r="AL5" s="52" t="s">
        <v>1011</v>
      </c>
      <c r="AM5" s="52" t="s">
        <v>1012</v>
      </c>
      <c r="AN5" s="52" t="s">
        <v>1013</v>
      </c>
      <c r="AO5" s="52" t="s">
        <v>783</v>
      </c>
      <c r="AP5" s="52" t="s">
        <v>1014</v>
      </c>
      <c r="AQ5" s="52"/>
      <c r="AR5" s="52"/>
      <c r="AS5" s="48">
        <f>IFERROR(SUMIFS(_TECH_Industry_Templates!$J:$J,_TECH_Industry_Templates!$A:$A,'Company Profile'!$B$9,_TECH_Industry_Templates!$B:$B,$B5),1)</f>
        <v>1</v>
      </c>
      <c r="AT5" s="48">
        <f>IF($AC5="","",ROUND($AC5*IF($AS5="",1,$AS5),2))</f>
      </c>
      <c r="AU5" s="48">
        <f>IF($AT5="","",RANK.EQ($AT5,$AT$5:$AT$76,0)+COUNTIF($AT$5:AT5,$AT5)-1)</f>
      </c>
      <c r="AV5" s="48" t="str">
        <f>IFERROR(INDEX('Improved Scoring Model'!$E$6:$E$22,MATCH($B5,'Improved Scoring Model'!$A$6:$A$22,0)),"")</f>
        <v/>
      </c>
      <c r="AW5" s="48" t="str">
        <f t="shared" ref="AW5:AW36" si="9">IF($AS5&gt;1.15,"Industry template increases priority",IF($AS5&lt;0.9,"Industry template lowers priority","Industry-neutral priority"))</f>
        <v>Industry-neutral priority</v>
      </c>
    </row>
    <row r="6" spans="1:49" ht="42" customHeight="1">
      <c r="A6" s="52" t="s">
        <v>1015</v>
      </c>
      <c r="B6" s="52" t="s">
        <v>54</v>
      </c>
      <c r="C6" s="52" t="s">
        <v>1016</v>
      </c>
      <c r="D6" s="52" t="s">
        <v>999</v>
      </c>
      <c r="E6" s="52" t="s">
        <v>1000</v>
      </c>
      <c r="F6" s="52" t="s">
        <v>1017</v>
      </c>
      <c r="G6" s="52" t="s">
        <v>1018</v>
      </c>
      <c r="H6" s="52" t="s">
        <v>183</v>
      </c>
      <c r="I6" s="52" t="s">
        <v>1003</v>
      </c>
      <c r="J6" s="52" t="s">
        <v>1019</v>
      </c>
      <c r="K6" s="52">
        <v>7</v>
      </c>
      <c r="L6" s="52">
        <f>COUNTIFS('Executive Recommendations'!$C$8:$C$414,$B6,'Executive Recommendations'!$D$8:$D$414,$C6,'Executive Recommendations'!$B$8:$B$414,"Yes")</f>
        <v>0</v>
      </c>
      <c r="M6" s="52">
        <f>COUNTIFS('Risk Summary'!$C$8:$C$414,$B6,'Risk Summary'!$D$8:$D$414,$C6,'Risk Summary'!$B$8:$B$414,"Yes")</f>
        <v>0</v>
      </c>
      <c r="N6" s="52" t="str">
        <f t="shared" ca="1" si="0"/>
        <v/>
      </c>
      <c r="O6" s="52" t="str">
        <f t="shared" ca="1" si="1"/>
        <v/>
      </c>
      <c r="P6" s="52">
        <f>IFERROR(INDEX(Dashboard!$H$5:$H$21,MATCH($B6,Dashboard!$A$5:$A$21,0)),"")</f>
        <v>0</v>
      </c>
      <c r="Q6" s="52">
        <f t="shared" si="2"/>
        <v>5</v>
      </c>
      <c r="R6" s="52">
        <f>IFERROR(SUMIFS(_TECH_Crisis_Model!$D$5:$D$191,_TECH_Crisis_Model!$A$5:$A$191,'Crisis Simulator'!$B$4,_TECH_Crisis_Model!$B$5:$B$191,$B6),1)</f>
        <v>1.6</v>
      </c>
      <c r="S6" s="52">
        <f ca="1">IFERROR(INDEX('Strategy Selection'!$A$10:$A$23,MATCH($D6,'Strategy Selection'!$B$10:$B$23,0)),99)</f>
        <v>99</v>
      </c>
      <c r="T6" s="52">
        <f>IFERROR(INDEX('Strategy Selection'!$J$10:$J$23,MATCH($D6,'Strategy Selection'!$B$10:$B$23,0)),0)</f>
        <v>69.5</v>
      </c>
      <c r="U6" s="52">
        <v>2</v>
      </c>
      <c r="V6" s="52">
        <v>5</v>
      </c>
      <c r="W6" s="52">
        <v>4</v>
      </c>
      <c r="X6" s="52">
        <f>MAX(1,MIN(5,ROUNDUP((IF($O6="",0,$O6)*0.5)+(IF($Q6="",0,$Q6)*0.25)+((IF($T6="",0,$T6)/20)*0.25),0)))</f>
      </c>
      <c r="Y6" s="52">
        <f>MAX(1,MIN(5,ROUNDUP(((IF($R6="",1,$R6)-1)*1.6)+('Crisis Simulator'!$B$5*0.45)+IF(IF($S6="",99,$S6)&lt;=3,0.8,0),0)))</f>
      </c>
      <c r="Z6" s="52">
        <f>MAX(1,MIN(5,ROUNDUP((IF($O6="",0,$O6)*0.45)+(IF($M6="",0,$M6)*0.35)+(IF($V6="",0,$V6)*0.35),0)))</f>
      </c>
      <c r="AA6" s="52">
        <f>MAX(1,MIN(5,ROUNDUP((IF($U6="",0,$U6)*0.4)+(IF($W6="",0,$W6)*0.3)+((IF($T6="",0,$T6)/20)*0.3),0)))</f>
      </c>
      <c r="AB6" s="52">
        <v>2</v>
      </c>
      <c r="AC6" s="52">
        <f>IF($AB6=0,"",ROUND((IF($X6="",0,$X6)+IF($Y6="",0,$Y6)+IF($Z6="",0,$Z6)+IF($AA6="",0,$AA6))/$AB6,2))</f>
      </c>
      <c r="AD6" s="52">
        <f>IF($AC6="","",RANK.EQ($AC6,$AC$5:$AC$76,0)+COUNTIF($AC$5:$AC6,$AC6)-1)</f>
      </c>
      <c r="AE6" s="52">
        <f>IF($AD6="","",IF($AD6&lt;=12,"0-90 days",IF($AD6&lt;=32,"3-6 months",IF($AD6&lt;=55,"6-12 months","12+ months"))))</f>
      </c>
      <c r="AF6" s="52" t="s">
        <v>1005</v>
      </c>
      <c r="AG6" s="52" t="s">
        <v>1006</v>
      </c>
      <c r="AH6" s="52" t="s">
        <v>1007</v>
      </c>
      <c r="AI6" s="52" t="s">
        <v>1008</v>
      </c>
      <c r="AJ6" s="52" t="s">
        <v>1020</v>
      </c>
      <c r="AK6" s="52" t="s">
        <v>1021</v>
      </c>
      <c r="AL6" s="52" t="s">
        <v>1022</v>
      </c>
      <c r="AM6" s="52" t="s">
        <v>1012</v>
      </c>
      <c r="AN6" s="52" t="s">
        <v>1013</v>
      </c>
      <c r="AO6" s="52" t="s">
        <v>783</v>
      </c>
      <c r="AP6" s="52" t="s">
        <v>1014</v>
      </c>
      <c r="AQ6" s="52"/>
      <c r="AR6" s="52"/>
      <c r="AS6" s="48">
        <f>IFERROR(SUMIFS(_TECH_Industry_Templates!$J:$J,_TECH_Industry_Templates!$A:$A,'Company Profile'!$B$9,_TECH_Industry_Templates!$B:$B,$B6),1)</f>
        <v>1</v>
      </c>
      <c r="AT6" s="48">
        <f>IF($AC6="","",ROUND($AC6*IF($AS6="",1,$AS6),2))</f>
      </c>
      <c r="AU6" s="48">
        <f>IF($AT6="","",RANK.EQ($AT6,$AT$5:$AT$76,0)+COUNTIF($AT$5:AT6,$AT6)-1)</f>
      </c>
      <c r="AV6" s="48" t="str">
        <f>IFERROR(INDEX('Improved Scoring Model'!$E$6:$E$22,MATCH($B6,'Improved Scoring Model'!$A$6:$A$22,0)),"")</f>
        <v/>
      </c>
      <c r="AW6" s="48" t="str">
        <f t="shared" si="9"/>
        <v>Industry-neutral priority</v>
      </c>
    </row>
    <row r="7" spans="1:49" ht="42" customHeight="1">
      <c r="A7" s="52" t="s">
        <v>1023</v>
      </c>
      <c r="B7" s="52" t="s">
        <v>54</v>
      </c>
      <c r="C7" s="52" t="s">
        <v>1024</v>
      </c>
      <c r="D7" s="52" t="s">
        <v>999</v>
      </c>
      <c r="E7" s="52" t="s">
        <v>1000</v>
      </c>
      <c r="F7" s="52" t="s">
        <v>1025</v>
      </c>
      <c r="G7" s="52" t="s">
        <v>1026</v>
      </c>
      <c r="H7" s="52" t="s">
        <v>183</v>
      </c>
      <c r="I7" s="52" t="s">
        <v>1003</v>
      </c>
      <c r="J7" s="52" t="s">
        <v>1027</v>
      </c>
      <c r="K7" s="52">
        <v>6</v>
      </c>
      <c r="L7" s="52">
        <f>COUNTIFS('Executive Recommendations'!$C$8:$C$414,$B7,'Executive Recommendations'!$D$8:$D$414,$C7,'Executive Recommendations'!$B$8:$B$414,"Yes")</f>
        <v>0</v>
      </c>
      <c r="M7" s="52">
        <f>COUNTIFS('Risk Summary'!$C$8:$C$414,$B7,'Risk Summary'!$D$8:$D$414,$C7,'Risk Summary'!$B$8:$B$414,"Yes")</f>
        <v>0</v>
      </c>
      <c r="N7" s="52" t="str">
        <f t="shared" ca="1" si="0"/>
        <v/>
      </c>
      <c r="O7" s="52" t="str">
        <f t="shared" ca="1" si="1"/>
        <v/>
      </c>
      <c r="P7" s="52">
        <f>IFERROR(INDEX(Dashboard!$H$5:$H$21,MATCH($B7,Dashboard!$A$5:$A$21,0)),"")</f>
        <v>0</v>
      </c>
      <c r="Q7" s="52">
        <f t="shared" si="2"/>
        <v>5</v>
      </c>
      <c r="R7" s="52">
        <f>IFERROR(SUMIFS(_TECH_Crisis_Model!$D$5:$D$191,_TECH_Crisis_Model!$A$5:$A$191,'Crisis Simulator'!$B$4,_TECH_Crisis_Model!$B$5:$B$191,$B7),1)</f>
        <v>1.6</v>
      </c>
      <c r="S7" s="52">
        <f ca="1">IFERROR(INDEX('Strategy Selection'!$A$10:$A$23,MATCH($D7,'Strategy Selection'!$B$10:$B$23,0)),99)</f>
        <v>99</v>
      </c>
      <c r="T7" s="52">
        <f>IFERROR(INDEX('Strategy Selection'!$J$10:$J$23,MATCH($D7,'Strategy Selection'!$B$10:$B$23,0)),0)</f>
        <v>69.5</v>
      </c>
      <c r="U7" s="52">
        <v>2</v>
      </c>
      <c r="V7" s="52">
        <v>5</v>
      </c>
      <c r="W7" s="52">
        <v>4</v>
      </c>
      <c r="X7" s="52">
        <f>MAX(1,MIN(5,ROUNDUP((IF($O7="",0,$O7)*0.5)+(IF($Q7="",0,$Q7)*0.25)+((IF($T7="",0,$T7)/20)*0.25),0)))</f>
      </c>
      <c r="Y7" s="52">
        <f>MAX(1,MIN(5,ROUNDUP(((IF($R7="",1,$R7)-1)*1.6)+('Crisis Simulator'!$B$5*0.45)+IF(IF($S7="",99,$S7)&lt;=3,0.8,0),0)))</f>
      </c>
      <c r="Z7" s="52">
        <f>MAX(1,MIN(5,ROUNDUP((IF($O7="",0,$O7)*0.45)+(IF($M7="",0,$M7)*0.35)+(IF($V7="",0,$V7)*0.35),0)))</f>
      </c>
      <c r="AA7" s="52">
        <f>MAX(1,MIN(5,ROUNDUP((IF($U7="",0,$U7)*0.4)+(IF($W7="",0,$W7)*0.3)+((IF($T7="",0,$T7)/20)*0.3),0)))</f>
      </c>
      <c r="AB7" s="52">
        <v>2</v>
      </c>
      <c r="AC7" s="52">
        <f>IF($AB7=0,"",ROUND((IF($X7="",0,$X7)+IF($Y7="",0,$Y7)+IF($Z7="",0,$Z7)+IF($AA7="",0,$AA7))/$AB7,2))</f>
      </c>
      <c r="AD7" s="52">
        <f>IF($AC7="","",RANK.EQ($AC7,$AC$5:$AC$76,0)+COUNTIF($AC$5:$AC7,$AC7)-1)</f>
      </c>
      <c r="AE7" s="52">
        <f>IF($AD7="","",IF($AD7&lt;=12,"0-90 days",IF($AD7&lt;=32,"3-6 months",IF($AD7&lt;=55,"6-12 months","12+ months"))))</f>
      </c>
      <c r="AF7" s="52" t="s">
        <v>1005</v>
      </c>
      <c r="AG7" s="52" t="s">
        <v>1006</v>
      </c>
      <c r="AH7" s="52" t="s">
        <v>1007</v>
      </c>
      <c r="AI7" s="52" t="s">
        <v>1008</v>
      </c>
      <c r="AJ7" s="52" t="s">
        <v>1028</v>
      </c>
      <c r="AK7" s="52" t="s">
        <v>1029</v>
      </c>
      <c r="AL7" s="52" t="s">
        <v>1030</v>
      </c>
      <c r="AM7" s="52" t="s">
        <v>1012</v>
      </c>
      <c r="AN7" s="52" t="s">
        <v>1013</v>
      </c>
      <c r="AO7" s="52" t="s">
        <v>783</v>
      </c>
      <c r="AP7" s="52" t="s">
        <v>1014</v>
      </c>
      <c r="AQ7" s="52"/>
      <c r="AR7" s="52"/>
      <c r="AS7" s="48">
        <f>IFERROR(SUMIFS(_TECH_Industry_Templates!$J:$J,_TECH_Industry_Templates!$A:$A,'Company Profile'!$B$9,_TECH_Industry_Templates!$B:$B,$B7),1)</f>
        <v>1</v>
      </c>
      <c r="AT7" s="48">
        <f>IF($AC7="","",ROUND($AC7*IF($AS7="",1,$AS7),2))</f>
      </c>
      <c r="AU7" s="48">
        <f>IF($AT7="","",RANK.EQ($AT7,$AT$5:$AT$76,0)+COUNTIF($AT$5:AT7,$AT7)-1)</f>
      </c>
      <c r="AV7" s="48" t="str">
        <f>IFERROR(INDEX('Improved Scoring Model'!$E$6:$E$22,MATCH($B7,'Improved Scoring Model'!$A$6:$A$22,0)),"")</f>
        <v/>
      </c>
      <c r="AW7" s="48" t="str">
        <f t="shared" si="9"/>
        <v>Industry-neutral priority</v>
      </c>
    </row>
    <row r="8" spans="1:49" ht="42" customHeight="1">
      <c r="A8" s="52" t="s">
        <v>1031</v>
      </c>
      <c r="B8" s="52" t="s">
        <v>57</v>
      </c>
      <c r="C8" s="52" t="s">
        <v>1032</v>
      </c>
      <c r="D8" s="52" t="s">
        <v>1033</v>
      </c>
      <c r="E8" s="52" t="s">
        <v>1034</v>
      </c>
      <c r="F8" s="52" t="s">
        <v>1035</v>
      </c>
      <c r="G8" s="52" t="s">
        <v>1036</v>
      </c>
      <c r="H8" s="52" t="s">
        <v>184</v>
      </c>
      <c r="I8" s="52" t="s">
        <v>1037</v>
      </c>
      <c r="J8" s="52" t="s">
        <v>1038</v>
      </c>
      <c r="K8" s="52">
        <v>6</v>
      </c>
      <c r="L8" s="52">
        <f>COUNTIFS('Executive Recommendations'!$C$8:$C$414,$B8,'Executive Recommendations'!$D$8:$D$414,$C8,'Executive Recommendations'!$B$8:$B$414,"Yes")</f>
        <v>0</v>
      </c>
      <c r="M8" s="52">
        <f>COUNTIFS('Risk Summary'!$C$8:$C$414,$B8,'Risk Summary'!$D$8:$D$414,$C8,'Risk Summary'!$B$8:$B$414,"Yes")</f>
        <v>0</v>
      </c>
      <c r="N8" s="52" t="str">
        <f t="shared" ca="1" si="0"/>
        <v/>
      </c>
      <c r="O8" s="52" t="str">
        <f t="shared" ca="1" si="1"/>
        <v/>
      </c>
      <c r="P8" s="52">
        <f>IFERROR(INDEX(Dashboard!$H$5:$H$21,MATCH($B8,Dashboard!$A$5:$A$21,0)),"")</f>
        <v>0</v>
      </c>
      <c r="Q8" s="52">
        <f t="shared" si="2"/>
        <v>5</v>
      </c>
      <c r="R8" s="52">
        <f>IFERROR(SUMIFS(_TECH_Crisis_Model!$D$5:$D$191,_TECH_Crisis_Model!$A$5:$A$191,'Crisis Simulator'!$B$4,_TECH_Crisis_Model!$B$5:$B$191,$B8),1)</f>
        <v>1</v>
      </c>
      <c r="S8" s="52">
        <f ca="1">IFERROR(INDEX('Strategy Selection'!$A$10:$A$23,MATCH($D8,'Strategy Selection'!$B$10:$B$23,0)),99)</f>
        <v>99</v>
      </c>
      <c r="T8" s="52">
        <f>IFERROR(INDEX('Strategy Selection'!$J$10:$J$23,MATCH($D8,'Strategy Selection'!$B$10:$B$23,0)),0)</f>
        <v>65.8</v>
      </c>
      <c r="U8" s="52">
        <v>2</v>
      </c>
      <c r="V8" s="52">
        <v>4</v>
      </c>
      <c r="W8" s="52">
        <v>5</v>
      </c>
      <c r="X8" s="52">
        <f>MAX(1,MIN(5,ROUNDUP((IF($O8="",0,$O8)*0.5)+(IF($Q8="",0,$Q8)*0.25)+((IF($T8="",0,$T8)/20)*0.25),0)))</f>
      </c>
      <c r="Y8" s="52">
        <f>MAX(1,MIN(5,ROUNDUP(((IF($R8="",1,$R8)-1)*1.6)+('Crisis Simulator'!$B$5*0.45)+IF(IF($S8="",99,$S8)&lt;=3,0.8,0),0)))</f>
      </c>
      <c r="Z8" s="52">
        <f>MAX(1,MIN(5,ROUNDUP((IF($O8="",0,$O8)*0.45)+(IF($M8="",0,$M8)*0.35)+(IF($V8="",0,$V8)*0.35),0)))</f>
      </c>
      <c r="AA8" s="52">
        <f>MAX(1,MIN(5,ROUNDUP((IF($U8="",0,$U8)*0.4)+(IF($W8="",0,$W8)*0.3)+((IF($T8="",0,$T8)/20)*0.3),0)))</f>
      </c>
      <c r="AB8" s="52">
        <v>3</v>
      </c>
      <c r="AC8" s="52">
        <f>IF($AB8=0,"",ROUND((IF($X8="",0,$X8)+IF($Y8="",0,$Y8)+IF($Z8="",0,$Z8)+IF($AA8="",0,$AA8))/$AB8,2))</f>
      </c>
      <c r="AD8" s="52">
        <f>IF($AC8="","",RANK.EQ($AC8,$AC$5:$AC$76,0)+COUNTIF($AC$5:$AC8,$AC8)-1)</f>
      </c>
      <c r="AE8" s="52">
        <f>IF($AD8="","",IF($AD8&lt;=12,"0-90 days",IF($AD8&lt;=32,"3-6 months",IF($AD8&lt;=55,"6-12 months","12+ months"))))</f>
      </c>
      <c r="AF8" s="52" t="s">
        <v>1039</v>
      </c>
      <c r="AG8" s="52" t="s">
        <v>1040</v>
      </c>
      <c r="AH8" s="52" t="s">
        <v>1041</v>
      </c>
      <c r="AI8" s="52" t="s">
        <v>1042</v>
      </c>
      <c r="AJ8" s="52" t="s">
        <v>1043</v>
      </c>
      <c r="AK8" s="52" t="s">
        <v>1044</v>
      </c>
      <c r="AL8" s="52" t="s">
        <v>1045</v>
      </c>
      <c r="AM8" s="52" t="s">
        <v>1046</v>
      </c>
      <c r="AN8" s="52" t="s">
        <v>1013</v>
      </c>
      <c r="AO8" s="52" t="s">
        <v>783</v>
      </c>
      <c r="AP8" s="52" t="s">
        <v>47</v>
      </c>
      <c r="AQ8" s="52"/>
      <c r="AR8" s="52"/>
      <c r="AS8" s="48">
        <f>IFERROR(SUMIFS(_TECH_Industry_Templates!$J:$J,_TECH_Industry_Templates!$A:$A,'Company Profile'!$B$9,_TECH_Industry_Templates!$B:$B,$B8),1)</f>
        <v>1</v>
      </c>
      <c r="AT8" s="48">
        <f>IF($AC8="","",ROUND($AC8*IF($AS8="",1,$AS8),2))</f>
      </c>
      <c r="AU8" s="48">
        <f>IF($AT8="","",RANK.EQ($AT8,$AT$5:$AT$76,0)+COUNTIF($AT$5:AT8,$AT8)-1)</f>
      </c>
      <c r="AV8" s="48" t="str">
        <f>IFERROR(INDEX('Improved Scoring Model'!$E$6:$E$22,MATCH($B8,'Improved Scoring Model'!$A$6:$A$22,0)),"")</f>
        <v/>
      </c>
      <c r="AW8" s="48" t="str">
        <f t="shared" si="9"/>
        <v>Industry-neutral priority</v>
      </c>
    </row>
    <row r="9" spans="1:49" ht="42" customHeight="1">
      <c r="A9" s="52" t="s">
        <v>1047</v>
      </c>
      <c r="B9" s="52" t="s">
        <v>57</v>
      </c>
      <c r="C9" s="52" t="s">
        <v>1048</v>
      </c>
      <c r="D9" s="52" t="s">
        <v>1049</v>
      </c>
      <c r="E9" s="52" t="s">
        <v>1050</v>
      </c>
      <c r="F9" s="52" t="s">
        <v>1051</v>
      </c>
      <c r="G9" s="52" t="s">
        <v>1052</v>
      </c>
      <c r="H9" s="52" t="s">
        <v>184</v>
      </c>
      <c r="I9" s="52" t="s">
        <v>1037</v>
      </c>
      <c r="J9" s="52" t="s">
        <v>1053</v>
      </c>
      <c r="K9" s="52">
        <v>6</v>
      </c>
      <c r="L9" s="52">
        <f>COUNTIFS('Executive Recommendations'!$C$8:$C$414,$B9,'Executive Recommendations'!$D$8:$D$414,$C9,'Executive Recommendations'!$B$8:$B$414,"Yes")</f>
        <v>0</v>
      </c>
      <c r="M9" s="52">
        <f>COUNTIFS('Risk Summary'!$C$8:$C$414,$B9,'Risk Summary'!$D$8:$D$414,$C9,'Risk Summary'!$B$8:$B$414,"Yes")</f>
        <v>0</v>
      </c>
      <c r="N9" s="52" t="str">
        <f t="shared" ca="1" si="0"/>
        <v/>
      </c>
      <c r="O9" s="52" t="str">
        <f t="shared" ca="1" si="1"/>
        <v/>
      </c>
      <c r="P9" s="52">
        <f>IFERROR(INDEX(Dashboard!$H$5:$H$21,MATCH($B9,Dashboard!$A$5:$A$21,0)),"")</f>
        <v>0</v>
      </c>
      <c r="Q9" s="52">
        <f t="shared" si="2"/>
        <v>5</v>
      </c>
      <c r="R9" s="52">
        <f>IFERROR(SUMIFS(_TECH_Crisis_Model!$D$5:$D$191,_TECH_Crisis_Model!$A$5:$A$191,'Crisis Simulator'!$B$4,_TECH_Crisis_Model!$B$5:$B$191,$B9),1)</f>
        <v>1</v>
      </c>
      <c r="S9" s="52">
        <f ca="1">IFERROR(INDEX('Strategy Selection'!$A$10:$A$23,MATCH($D9,'Strategy Selection'!$B$10:$B$23,0)),99)</f>
        <v>99</v>
      </c>
      <c r="T9" s="52">
        <f>IFERROR(INDEX('Strategy Selection'!$J$10:$J$23,MATCH($D9,'Strategy Selection'!$B$10:$B$23,0)),0)</f>
        <v>62</v>
      </c>
      <c r="U9" s="52">
        <v>4</v>
      </c>
      <c r="V9" s="52">
        <v>4</v>
      </c>
      <c r="W9" s="52">
        <v>3</v>
      </c>
      <c r="X9" s="52">
        <f>MAX(1,MIN(5,ROUNDUP((IF($O9="",0,$O9)*0.5)+(IF($Q9="",0,$Q9)*0.25)+((IF($T9="",0,$T9)/20)*0.25),0)))</f>
      </c>
      <c r="Y9" s="52">
        <f>MAX(1,MIN(5,ROUNDUP(((IF($R9="",1,$R9)-1)*1.6)+('Crisis Simulator'!$B$5*0.45)+IF(IF($S9="",99,$S9)&lt;=3,0.8,0),0)))</f>
      </c>
      <c r="Z9" s="52">
        <f>MAX(1,MIN(5,ROUNDUP((IF($O9="",0,$O9)*0.45)+(IF($M9="",0,$M9)*0.35)+(IF($V9="",0,$V9)*0.35),0)))</f>
      </c>
      <c r="AA9" s="52">
        <f>MAX(1,MIN(5,ROUNDUP((IF($U9="",0,$U9)*0.4)+(IF($W9="",0,$W9)*0.3)+((IF($T9="",0,$T9)/20)*0.3),0)))</f>
      </c>
      <c r="AB9" s="52">
        <v>3</v>
      </c>
      <c r="AC9" s="52">
        <f>IF($AB9=0,"",ROUND((IF($X9="",0,$X9)+IF($Y9="",0,$Y9)+IF($Z9="",0,$Z9)+IF($AA9="",0,$AA9))/$AB9,2))</f>
      </c>
      <c r="AD9" s="52">
        <f>IF($AC9="","",RANK.EQ($AC9,$AC$5:$AC$76,0)+COUNTIF($AC$5:$AC9,$AC9)-1)</f>
      </c>
      <c r="AE9" s="52">
        <f>IF($AD9="","",IF($AD9&lt;=12,"0-90 days",IF($AD9&lt;=32,"3-6 months",IF($AD9&lt;=55,"6-12 months","12+ months"))))</f>
      </c>
      <c r="AF9" s="52" t="s">
        <v>1039</v>
      </c>
      <c r="AG9" s="52" t="s">
        <v>1040</v>
      </c>
      <c r="AH9" s="52" t="s">
        <v>1041</v>
      </c>
      <c r="AI9" s="52" t="s">
        <v>1042</v>
      </c>
      <c r="AJ9" s="52" t="s">
        <v>1054</v>
      </c>
      <c r="AK9" s="52" t="s">
        <v>1055</v>
      </c>
      <c r="AL9" s="52" t="s">
        <v>1056</v>
      </c>
      <c r="AM9" s="52" t="s">
        <v>1057</v>
      </c>
      <c r="AN9" s="52" t="s">
        <v>1013</v>
      </c>
      <c r="AO9" s="52" t="s">
        <v>783</v>
      </c>
      <c r="AP9" s="52" t="s">
        <v>47</v>
      </c>
      <c r="AQ9" s="52"/>
      <c r="AR9" s="52"/>
      <c r="AS9" s="48">
        <f>IFERROR(SUMIFS(_TECH_Industry_Templates!$J:$J,_TECH_Industry_Templates!$A:$A,'Company Profile'!$B$9,_TECH_Industry_Templates!$B:$B,$B9),1)</f>
        <v>1</v>
      </c>
      <c r="AT9" s="48">
        <f>IF($AC9="","",ROUND($AC9*IF($AS9="",1,$AS9),2))</f>
      </c>
      <c r="AU9" s="48">
        <f>IF($AT9="","",RANK.EQ($AT9,$AT$5:$AT$76,0)+COUNTIF($AT$5:AT9,$AT9)-1)</f>
      </c>
      <c r="AV9" s="48" t="str">
        <f>IFERROR(INDEX('Improved Scoring Model'!$E$6:$E$22,MATCH($B9,'Improved Scoring Model'!$A$6:$A$22,0)),"")</f>
        <v/>
      </c>
      <c r="AW9" s="48" t="str">
        <f t="shared" si="9"/>
        <v>Industry-neutral priority</v>
      </c>
    </row>
    <row r="10" spans="1:49" ht="42" customHeight="1">
      <c r="A10" s="52" t="s">
        <v>1058</v>
      </c>
      <c r="B10" s="52" t="s">
        <v>57</v>
      </c>
      <c r="C10" s="52" t="s">
        <v>1059</v>
      </c>
      <c r="D10" s="52" t="s">
        <v>1049</v>
      </c>
      <c r="E10" s="52" t="s">
        <v>1050</v>
      </c>
      <c r="F10" s="52" t="s">
        <v>1060</v>
      </c>
      <c r="G10" s="52" t="s">
        <v>1061</v>
      </c>
      <c r="H10" s="52" t="s">
        <v>184</v>
      </c>
      <c r="I10" s="52" t="s">
        <v>1037</v>
      </c>
      <c r="J10" s="52" t="s">
        <v>1062</v>
      </c>
      <c r="K10" s="52">
        <v>6</v>
      </c>
      <c r="L10" s="52">
        <f>COUNTIFS('Executive Recommendations'!$C$8:$C$414,$B10,'Executive Recommendations'!$D$8:$D$414,$C10,'Executive Recommendations'!$B$8:$B$414,"Yes")</f>
        <v>0</v>
      </c>
      <c r="M10" s="52">
        <f>COUNTIFS('Risk Summary'!$C$8:$C$414,$B10,'Risk Summary'!$D$8:$D$414,$C10,'Risk Summary'!$B$8:$B$414,"Yes")</f>
        <v>0</v>
      </c>
      <c r="N10" s="52" t="str">
        <f t="shared" ca="1" si="0"/>
        <v/>
      </c>
      <c r="O10" s="52" t="str">
        <f t="shared" ca="1" si="1"/>
        <v/>
      </c>
      <c r="P10" s="52">
        <f>IFERROR(INDEX(Dashboard!$H$5:$H$21,MATCH($B10,Dashboard!$A$5:$A$21,0)),"")</f>
        <v>0</v>
      </c>
      <c r="Q10" s="52">
        <f t="shared" si="2"/>
        <v>5</v>
      </c>
      <c r="R10" s="52">
        <f>IFERROR(SUMIFS(_TECH_Crisis_Model!$D$5:$D$191,_TECH_Crisis_Model!$A$5:$A$191,'Crisis Simulator'!$B$4,_TECH_Crisis_Model!$B$5:$B$191,$B10),1)</f>
        <v>1</v>
      </c>
      <c r="S10" s="52">
        <f ca="1">IFERROR(INDEX('Strategy Selection'!$A$10:$A$23,MATCH($D10,'Strategy Selection'!$B$10:$B$23,0)),99)</f>
        <v>99</v>
      </c>
      <c r="T10" s="52">
        <f>IFERROR(INDEX('Strategy Selection'!$J$10:$J$23,MATCH($D10,'Strategy Selection'!$B$10:$B$23,0)),0)</f>
        <v>62</v>
      </c>
      <c r="U10" s="52">
        <v>4</v>
      </c>
      <c r="V10" s="52">
        <v>4</v>
      </c>
      <c r="W10" s="52">
        <v>3</v>
      </c>
      <c r="X10" s="52">
        <f>MAX(1,MIN(5,ROUNDUP((IF($O10="",0,$O10)*0.5)+(IF($Q10="",0,$Q10)*0.25)+((IF($T10="",0,$T10)/20)*0.25),0)))</f>
      </c>
      <c r="Y10" s="52">
        <f>MAX(1,MIN(5,ROUNDUP(((IF($R10="",1,$R10)-1)*1.6)+('Crisis Simulator'!$B$5*0.45)+IF(IF($S10="",99,$S10)&lt;=3,0.8,0),0)))</f>
      </c>
      <c r="Z10" s="52">
        <f>MAX(1,MIN(5,ROUNDUP((IF($O10="",0,$O10)*0.45)+(IF($M10="",0,$M10)*0.35)+(IF($V10="",0,$V10)*0.35),0)))</f>
      </c>
      <c r="AA10" s="52">
        <f>MAX(1,MIN(5,ROUNDUP((IF($U10="",0,$U10)*0.4)+(IF($W10="",0,$W10)*0.3)+((IF($T10="",0,$T10)/20)*0.3),0)))</f>
      </c>
      <c r="AB10" s="52">
        <v>3</v>
      </c>
      <c r="AC10" s="52">
        <f>IF($AB10=0,"",ROUND((IF($X10="",0,$X10)+IF($Y10="",0,$Y10)+IF($Z10="",0,$Z10)+IF($AA10="",0,$AA10))/$AB10,2))</f>
      </c>
      <c r="AD10" s="52">
        <f>IF($AC10="","",RANK.EQ($AC10,$AC$5:$AC$76,0)+COUNTIF($AC$5:$AC10,$AC10)-1)</f>
      </c>
      <c r="AE10" s="52">
        <f>IF($AD10="","",IF($AD10&lt;=12,"0-90 days",IF($AD10&lt;=32,"3-6 months",IF($AD10&lt;=55,"6-12 months","12+ months"))))</f>
      </c>
      <c r="AF10" s="52" t="s">
        <v>1039</v>
      </c>
      <c r="AG10" s="52" t="s">
        <v>1040</v>
      </c>
      <c r="AH10" s="52" t="s">
        <v>1041</v>
      </c>
      <c r="AI10" s="52" t="s">
        <v>1042</v>
      </c>
      <c r="AJ10" s="52" t="s">
        <v>1063</v>
      </c>
      <c r="AK10" s="52" t="s">
        <v>1064</v>
      </c>
      <c r="AL10" s="52" t="s">
        <v>1065</v>
      </c>
      <c r="AM10" s="52" t="s">
        <v>1057</v>
      </c>
      <c r="AN10" s="52" t="s">
        <v>1013</v>
      </c>
      <c r="AO10" s="52" t="s">
        <v>783</v>
      </c>
      <c r="AP10" s="52" t="s">
        <v>47</v>
      </c>
      <c r="AQ10" s="52"/>
      <c r="AR10" s="52"/>
      <c r="AS10" s="48">
        <f>IFERROR(SUMIFS(_TECH_Industry_Templates!$J:$J,_TECH_Industry_Templates!$A:$A,'Company Profile'!$B$9,_TECH_Industry_Templates!$B:$B,$B10),1)</f>
        <v>1</v>
      </c>
      <c r="AT10" s="48">
        <f>IF($AC10="","",ROUND($AC10*IF($AS10="",1,$AS10),2))</f>
      </c>
      <c r="AU10" s="48">
        <f>IF($AT10="","",RANK.EQ($AT10,$AT$5:$AT$76,0)+COUNTIF($AT$5:AT10,$AT10)-1)</f>
      </c>
      <c r="AV10" s="48" t="str">
        <f>IFERROR(INDEX('Improved Scoring Model'!$E$6:$E$22,MATCH($B10,'Improved Scoring Model'!$A$6:$A$22,0)),"")</f>
        <v/>
      </c>
      <c r="AW10" s="48" t="str">
        <f t="shared" si="9"/>
        <v>Industry-neutral priority</v>
      </c>
    </row>
    <row r="11" spans="1:49" ht="42" customHeight="1">
      <c r="A11" s="52" t="s">
        <v>1066</v>
      </c>
      <c r="B11" s="52" t="s">
        <v>57</v>
      </c>
      <c r="C11" s="52" t="s">
        <v>1067</v>
      </c>
      <c r="D11" s="52" t="s">
        <v>1049</v>
      </c>
      <c r="E11" s="52" t="s">
        <v>1050</v>
      </c>
      <c r="F11" s="52" t="s">
        <v>1068</v>
      </c>
      <c r="G11" s="52" t="s">
        <v>1069</v>
      </c>
      <c r="H11" s="52" t="s">
        <v>184</v>
      </c>
      <c r="I11" s="52" t="s">
        <v>1037</v>
      </c>
      <c r="J11" s="52" t="s">
        <v>1070</v>
      </c>
      <c r="K11" s="52">
        <v>6</v>
      </c>
      <c r="L11" s="52">
        <f>COUNTIFS('Executive Recommendations'!$C$8:$C$414,$B11,'Executive Recommendations'!$D$8:$D$414,$C11,'Executive Recommendations'!$B$8:$B$414,"Yes")</f>
        <v>0</v>
      </c>
      <c r="M11" s="52">
        <f>COUNTIFS('Risk Summary'!$C$8:$C$414,$B11,'Risk Summary'!$D$8:$D$414,$C11,'Risk Summary'!$B$8:$B$414,"Yes")</f>
        <v>0</v>
      </c>
      <c r="N11" s="52" t="str">
        <f t="shared" ca="1" si="0"/>
        <v/>
      </c>
      <c r="O11" s="52" t="str">
        <f t="shared" ca="1" si="1"/>
        <v/>
      </c>
      <c r="P11" s="52">
        <f>IFERROR(INDEX(Dashboard!$H$5:$H$21,MATCH($B11,Dashboard!$A$5:$A$21,0)),"")</f>
        <v>0</v>
      </c>
      <c r="Q11" s="52">
        <f t="shared" si="2"/>
        <v>5</v>
      </c>
      <c r="R11" s="52">
        <f>IFERROR(SUMIFS(_TECH_Crisis_Model!$D$5:$D$191,_TECH_Crisis_Model!$A$5:$A$191,'Crisis Simulator'!$B$4,_TECH_Crisis_Model!$B$5:$B$191,$B11),1)</f>
        <v>1</v>
      </c>
      <c r="S11" s="52">
        <f ca="1">IFERROR(INDEX('Strategy Selection'!$A$10:$A$23,MATCH($D11,'Strategy Selection'!$B$10:$B$23,0)),99)</f>
        <v>99</v>
      </c>
      <c r="T11" s="52">
        <f>IFERROR(INDEX('Strategy Selection'!$J$10:$J$23,MATCH($D11,'Strategy Selection'!$B$10:$B$23,0)),0)</f>
        <v>62</v>
      </c>
      <c r="U11" s="52">
        <v>4</v>
      </c>
      <c r="V11" s="52">
        <v>4</v>
      </c>
      <c r="W11" s="52">
        <v>3</v>
      </c>
      <c r="X11" s="52">
        <f>MAX(1,MIN(5,ROUNDUP((IF($O11="",0,$O11)*0.5)+(IF($Q11="",0,$Q11)*0.25)+((IF($T11="",0,$T11)/20)*0.25),0)))</f>
      </c>
      <c r="Y11" s="52">
        <f>MAX(1,MIN(5,ROUNDUP(((IF($R11="",1,$R11)-1)*1.6)+('Crisis Simulator'!$B$5*0.45)+IF(IF($S11="",99,$S11)&lt;=3,0.8,0),0)))</f>
      </c>
      <c r="Z11" s="52">
        <f>MAX(1,MIN(5,ROUNDUP((IF($O11="",0,$O11)*0.45)+(IF($M11="",0,$M11)*0.35)+(IF($V11="",0,$V11)*0.35),0)))</f>
      </c>
      <c r="AA11" s="52">
        <f>MAX(1,MIN(5,ROUNDUP((IF($U11="",0,$U11)*0.4)+(IF($W11="",0,$W11)*0.3)+((IF($T11="",0,$T11)/20)*0.3),0)))</f>
      </c>
      <c r="AB11" s="52">
        <v>3</v>
      </c>
      <c r="AC11" s="52">
        <f>IF($AB11=0,"",ROUND((IF($X11="",0,$X11)+IF($Y11="",0,$Y11)+IF($Z11="",0,$Z11)+IF($AA11="",0,$AA11))/$AB11,2))</f>
      </c>
      <c r="AD11" s="52">
        <f>IF($AC11="","",RANK.EQ($AC11,$AC$5:$AC$76,0)+COUNTIF($AC$5:$AC11,$AC11)-1)</f>
      </c>
      <c r="AE11" s="52">
        <f>IF($AD11="","",IF($AD11&lt;=12,"0-90 days",IF($AD11&lt;=32,"3-6 months",IF($AD11&lt;=55,"6-12 months","12+ months"))))</f>
      </c>
      <c r="AF11" s="52" t="s">
        <v>1039</v>
      </c>
      <c r="AG11" s="52" t="s">
        <v>1040</v>
      </c>
      <c r="AH11" s="52" t="s">
        <v>1041</v>
      </c>
      <c r="AI11" s="52" t="s">
        <v>1042</v>
      </c>
      <c r="AJ11" s="52" t="s">
        <v>1071</v>
      </c>
      <c r="AK11" s="52" t="s">
        <v>1072</v>
      </c>
      <c r="AL11" s="52" t="s">
        <v>1073</v>
      </c>
      <c r="AM11" s="52" t="s">
        <v>1057</v>
      </c>
      <c r="AN11" s="52" t="s">
        <v>1013</v>
      </c>
      <c r="AO11" s="52" t="s">
        <v>783</v>
      </c>
      <c r="AP11" s="52" t="s">
        <v>47</v>
      </c>
      <c r="AQ11" s="52"/>
      <c r="AR11" s="52"/>
      <c r="AS11" s="48">
        <f>IFERROR(SUMIFS(_TECH_Industry_Templates!$J:$J,_TECH_Industry_Templates!$A:$A,'Company Profile'!$B$9,_TECH_Industry_Templates!$B:$B,$B11),1)</f>
        <v>1</v>
      </c>
      <c r="AT11" s="48">
        <f>IF($AC11="","",ROUND($AC11*IF($AS11="",1,$AS11),2))</f>
      </c>
      <c r="AU11" s="48">
        <f>IF($AT11="","",RANK.EQ($AT11,$AT$5:$AT$76,0)+COUNTIF($AT$5:AT11,$AT11)-1)</f>
      </c>
      <c r="AV11" s="48" t="str">
        <f>IFERROR(INDEX('Improved Scoring Model'!$E$6:$E$22,MATCH($B11,'Improved Scoring Model'!$A$6:$A$22,0)),"")</f>
        <v/>
      </c>
      <c r="AW11" s="48" t="str">
        <f t="shared" si="9"/>
        <v>Industry-neutral priority</v>
      </c>
    </row>
    <row r="12" spans="1:49" ht="42" customHeight="1">
      <c r="A12" s="52" t="s">
        <v>1074</v>
      </c>
      <c r="B12" s="52" t="s">
        <v>60</v>
      </c>
      <c r="C12" s="52" t="s">
        <v>1075</v>
      </c>
      <c r="D12" s="52" t="s">
        <v>1033</v>
      </c>
      <c r="E12" s="52" t="s">
        <v>1034</v>
      </c>
      <c r="F12" s="52" t="s">
        <v>1076</v>
      </c>
      <c r="G12" s="52" t="s">
        <v>1077</v>
      </c>
      <c r="H12" s="52" t="s">
        <v>185</v>
      </c>
      <c r="I12" s="52" t="s">
        <v>1078</v>
      </c>
      <c r="J12" s="52" t="s">
        <v>1079</v>
      </c>
      <c r="K12" s="52">
        <v>6</v>
      </c>
      <c r="L12" s="52">
        <f>COUNTIFS('Executive Recommendations'!$C$8:$C$414,$B12,'Executive Recommendations'!$D$8:$D$414,$C12,'Executive Recommendations'!$B$8:$B$414,"Yes")</f>
        <v>0</v>
      </c>
      <c r="M12" s="52">
        <f>COUNTIFS('Risk Summary'!$C$8:$C$414,$B12,'Risk Summary'!$D$8:$D$414,$C12,'Risk Summary'!$B$8:$B$414,"Yes")</f>
        <v>0</v>
      </c>
      <c r="N12" s="52" t="str">
        <f t="shared" ca="1" si="0"/>
        <v/>
      </c>
      <c r="O12" s="52" t="str">
        <f t="shared" ca="1" si="1"/>
        <v/>
      </c>
      <c r="P12" s="52">
        <f>IFERROR(INDEX(Dashboard!$H$5:$H$21,MATCH($B12,Dashboard!$A$5:$A$21,0)),"")</f>
        <v>0</v>
      </c>
      <c r="Q12" s="52">
        <f t="shared" si="2"/>
        <v>5</v>
      </c>
      <c r="R12" s="52">
        <f>IFERROR(SUMIFS(_TECH_Crisis_Model!$D$5:$D$191,_TECH_Crisis_Model!$A$5:$A$191,'Crisis Simulator'!$B$4,_TECH_Crisis_Model!$B$5:$B$191,$B12),1)</f>
        <v>1.4</v>
      </c>
      <c r="S12" s="52">
        <f ca="1">IFERROR(INDEX('Strategy Selection'!$A$10:$A$23,MATCH($D12,'Strategy Selection'!$B$10:$B$23,0)),99)</f>
        <v>99</v>
      </c>
      <c r="T12" s="52">
        <f>IFERROR(INDEX('Strategy Selection'!$J$10:$J$23,MATCH($D12,'Strategy Selection'!$B$10:$B$23,0)),0)</f>
        <v>65.8</v>
      </c>
      <c r="U12" s="52">
        <v>2</v>
      </c>
      <c r="V12" s="52">
        <v>4</v>
      </c>
      <c r="W12" s="52">
        <v>5</v>
      </c>
      <c r="X12" s="52">
        <f>MAX(1,MIN(5,ROUNDUP((IF($O12="",0,$O12)*0.5)+(IF($Q12="",0,$Q12)*0.25)+((IF($T12="",0,$T12)/20)*0.25),0)))</f>
      </c>
      <c r="Y12" s="52">
        <f>MAX(1,MIN(5,ROUNDUP(((IF($R12="",1,$R12)-1)*1.6)+('Crisis Simulator'!$B$5*0.45)+IF(IF($S12="",99,$S12)&lt;=3,0.8,0),0)))</f>
      </c>
      <c r="Z12" s="52">
        <f>MAX(1,MIN(5,ROUNDUP((IF($O12="",0,$O12)*0.45)+(IF($M12="",0,$M12)*0.35)+(IF($V12="",0,$V12)*0.35),0)))</f>
      </c>
      <c r="AA12" s="52">
        <f>MAX(1,MIN(5,ROUNDUP((IF($U12="",0,$U12)*0.4)+(IF($W12="",0,$W12)*0.3)+((IF($T12="",0,$T12)/20)*0.3),0)))</f>
      </c>
      <c r="AB12" s="52">
        <v>2</v>
      </c>
      <c r="AC12" s="52">
        <f>IF($AB12=0,"",ROUND((IF($X12="",0,$X12)+IF($Y12="",0,$Y12)+IF($Z12="",0,$Z12)+IF($AA12="",0,$AA12))/$AB12,2))</f>
      </c>
      <c r="AD12" s="52">
        <f>IF($AC12="","",RANK.EQ($AC12,$AC$5:$AC$76,0)+COUNTIF($AC$5:$AC12,$AC12)-1)</f>
      </c>
      <c r="AE12" s="52">
        <f>IF($AD12="","",IF($AD12&lt;=12,"0-90 days",IF($AD12&lt;=32,"3-6 months",IF($AD12&lt;=55,"6-12 months","12+ months"))))</f>
      </c>
      <c r="AF12" s="52" t="s">
        <v>1005</v>
      </c>
      <c r="AG12" s="52" t="s">
        <v>1006</v>
      </c>
      <c r="AH12" s="52" t="s">
        <v>1007</v>
      </c>
      <c r="AI12" s="52" t="s">
        <v>1008</v>
      </c>
      <c r="AJ12" s="52" t="s">
        <v>1080</v>
      </c>
      <c r="AK12" s="52" t="s">
        <v>1081</v>
      </c>
      <c r="AL12" s="52" t="s">
        <v>1082</v>
      </c>
      <c r="AM12" s="52" t="s">
        <v>1046</v>
      </c>
      <c r="AN12" s="52" t="s">
        <v>1013</v>
      </c>
      <c r="AO12" s="52" t="s">
        <v>783</v>
      </c>
      <c r="AP12" s="52" t="s">
        <v>1014</v>
      </c>
      <c r="AQ12" s="52"/>
      <c r="AR12" s="52"/>
      <c r="AS12" s="48">
        <f>IFERROR(SUMIFS(_TECH_Industry_Templates!$J:$J,_TECH_Industry_Templates!$A:$A,'Company Profile'!$B$9,_TECH_Industry_Templates!$B:$B,$B12),1)</f>
        <v>1.1000000000000001</v>
      </c>
      <c r="AT12" s="48">
        <f>IF($AC12="","",ROUND($AC12*IF($AS12="",1,$AS12),2))</f>
      </c>
      <c r="AU12" s="48">
        <f>IF($AT12="","",RANK.EQ($AT12,$AT$5:$AT$76,0)+COUNTIF($AT$5:AT12,$AT12)-1)</f>
      </c>
      <c r="AV12" s="48" t="str">
        <f>IFERROR(INDEX('Improved Scoring Model'!$E$6:$E$22,MATCH($B12,'Improved Scoring Model'!$A$6:$A$22,0)),"")</f>
        <v/>
      </c>
      <c r="AW12" s="48" t="str">
        <f t="shared" si="9"/>
        <v>Industry-neutral priority</v>
      </c>
    </row>
    <row r="13" spans="1:49" ht="42" customHeight="1">
      <c r="A13" s="52" t="s">
        <v>1083</v>
      </c>
      <c r="B13" s="52" t="s">
        <v>60</v>
      </c>
      <c r="C13" s="52" t="s">
        <v>1084</v>
      </c>
      <c r="D13" s="52" t="s">
        <v>1033</v>
      </c>
      <c r="E13" s="52" t="s">
        <v>1034</v>
      </c>
      <c r="F13" s="52" t="s">
        <v>1085</v>
      </c>
      <c r="G13" s="52" t="s">
        <v>1086</v>
      </c>
      <c r="H13" s="52" t="s">
        <v>185</v>
      </c>
      <c r="I13" s="52" t="s">
        <v>1078</v>
      </c>
      <c r="J13" s="52" t="s">
        <v>1087</v>
      </c>
      <c r="K13" s="52">
        <v>7</v>
      </c>
      <c r="L13" s="52">
        <f>COUNTIFS('Executive Recommendations'!$C$8:$C$414,$B13,'Executive Recommendations'!$D$8:$D$414,$C13,'Executive Recommendations'!$B$8:$B$414,"Yes")</f>
        <v>0</v>
      </c>
      <c r="M13" s="52">
        <f>COUNTIFS('Risk Summary'!$C$8:$C$414,$B13,'Risk Summary'!$D$8:$D$414,$C13,'Risk Summary'!$B$8:$B$414,"Yes")</f>
        <v>0</v>
      </c>
      <c r="N13" s="52" t="str">
        <f t="shared" ca="1" si="0"/>
        <v/>
      </c>
      <c r="O13" s="52" t="str">
        <f t="shared" ca="1" si="1"/>
        <v/>
      </c>
      <c r="P13" s="52">
        <f>IFERROR(INDEX(Dashboard!$H$5:$H$21,MATCH($B13,Dashboard!$A$5:$A$21,0)),"")</f>
        <v>0</v>
      </c>
      <c r="Q13" s="52">
        <f t="shared" si="2"/>
        <v>5</v>
      </c>
      <c r="R13" s="52">
        <f>IFERROR(SUMIFS(_TECH_Crisis_Model!$D$5:$D$191,_TECH_Crisis_Model!$A$5:$A$191,'Crisis Simulator'!$B$4,_TECH_Crisis_Model!$B$5:$B$191,$B13),1)</f>
        <v>1.4</v>
      </c>
      <c r="S13" s="52">
        <f ca="1">IFERROR(INDEX('Strategy Selection'!$A$10:$A$23,MATCH($D13,'Strategy Selection'!$B$10:$B$23,0)),99)</f>
        <v>99</v>
      </c>
      <c r="T13" s="52">
        <f>IFERROR(INDEX('Strategy Selection'!$J$10:$J$23,MATCH($D13,'Strategy Selection'!$B$10:$B$23,0)),0)</f>
        <v>65.8</v>
      </c>
      <c r="U13" s="52">
        <v>2</v>
      </c>
      <c r="V13" s="52">
        <v>4</v>
      </c>
      <c r="W13" s="52">
        <v>5</v>
      </c>
      <c r="X13" s="52">
        <f>MAX(1,MIN(5,ROUNDUP((IF($O13="",0,$O13)*0.5)+(IF($Q13="",0,$Q13)*0.25)+((IF($T13="",0,$T13)/20)*0.25),0)))</f>
      </c>
      <c r="Y13" s="52">
        <f>MAX(1,MIN(5,ROUNDUP(((IF($R13="",1,$R13)-1)*1.6)+('Crisis Simulator'!$B$5*0.45)+IF(IF($S13="",99,$S13)&lt;=3,0.8,0),0)))</f>
      </c>
      <c r="Z13" s="52">
        <f>MAX(1,MIN(5,ROUNDUP((IF($O13="",0,$O13)*0.45)+(IF($M13="",0,$M13)*0.35)+(IF($V13="",0,$V13)*0.35),0)))</f>
      </c>
      <c r="AA13" s="52">
        <f>MAX(1,MIN(5,ROUNDUP((IF($U13="",0,$U13)*0.4)+(IF($W13="",0,$W13)*0.3)+((IF($T13="",0,$T13)/20)*0.3),0)))</f>
      </c>
      <c r="AB13" s="52">
        <v>2</v>
      </c>
      <c r="AC13" s="52">
        <f>IF($AB13=0,"",ROUND((IF($X13="",0,$X13)+IF($Y13="",0,$Y13)+IF($Z13="",0,$Z13)+IF($AA13="",0,$AA13))/$AB13,2))</f>
      </c>
      <c r="AD13" s="52">
        <f>IF($AC13="","",RANK.EQ($AC13,$AC$5:$AC$76,0)+COUNTIF($AC$5:$AC13,$AC13)-1)</f>
      </c>
      <c r="AE13" s="52">
        <f>IF($AD13="","",IF($AD13&lt;=12,"0-90 days",IF($AD13&lt;=32,"3-6 months",IF($AD13&lt;=55,"6-12 months","12+ months"))))</f>
      </c>
      <c r="AF13" s="52" t="s">
        <v>1005</v>
      </c>
      <c r="AG13" s="52" t="s">
        <v>1006</v>
      </c>
      <c r="AH13" s="52" t="s">
        <v>1007</v>
      </c>
      <c r="AI13" s="52" t="s">
        <v>1008</v>
      </c>
      <c r="AJ13" s="52" t="s">
        <v>1088</v>
      </c>
      <c r="AK13" s="52" t="s">
        <v>1089</v>
      </c>
      <c r="AL13" s="52" t="s">
        <v>1090</v>
      </c>
      <c r="AM13" s="52" t="s">
        <v>1046</v>
      </c>
      <c r="AN13" s="52" t="s">
        <v>1013</v>
      </c>
      <c r="AO13" s="52" t="s">
        <v>783</v>
      </c>
      <c r="AP13" s="52" t="s">
        <v>1014</v>
      </c>
      <c r="AQ13" s="52"/>
      <c r="AR13" s="52"/>
      <c r="AS13" s="48">
        <f>IFERROR(SUMIFS(_TECH_Industry_Templates!$J:$J,_TECH_Industry_Templates!$A:$A,'Company Profile'!$B$9,_TECH_Industry_Templates!$B:$B,$B13),1)</f>
        <v>1.1000000000000001</v>
      </c>
      <c r="AT13" s="48">
        <f>IF($AC13="","",ROUND($AC13*IF($AS13="",1,$AS13),2))</f>
      </c>
      <c r="AU13" s="48">
        <f>IF($AT13="","",RANK.EQ($AT13,$AT$5:$AT$76,0)+COUNTIF($AT$5:AT13,$AT13)-1)</f>
      </c>
      <c r="AV13" s="48" t="str">
        <f>IFERROR(INDEX('Improved Scoring Model'!$E$6:$E$22,MATCH($B13,'Improved Scoring Model'!$A$6:$A$22,0)),"")</f>
        <v/>
      </c>
      <c r="AW13" s="48" t="str">
        <f t="shared" si="9"/>
        <v>Industry-neutral priority</v>
      </c>
    </row>
    <row r="14" spans="1:49" ht="42" customHeight="1">
      <c r="A14" s="52" t="s">
        <v>1091</v>
      </c>
      <c r="B14" s="52" t="s">
        <v>60</v>
      </c>
      <c r="C14" s="52" t="s">
        <v>1092</v>
      </c>
      <c r="D14" s="52" t="s">
        <v>1033</v>
      </c>
      <c r="E14" s="52" t="s">
        <v>1034</v>
      </c>
      <c r="F14" s="52" t="s">
        <v>1093</v>
      </c>
      <c r="G14" s="52" t="s">
        <v>1094</v>
      </c>
      <c r="H14" s="52" t="s">
        <v>185</v>
      </c>
      <c r="I14" s="52" t="s">
        <v>1078</v>
      </c>
      <c r="J14" s="52" t="s">
        <v>1095</v>
      </c>
      <c r="K14" s="52">
        <v>6</v>
      </c>
      <c r="L14" s="52">
        <f>COUNTIFS('Executive Recommendations'!$C$8:$C$414,$B14,'Executive Recommendations'!$D$8:$D$414,$C14,'Executive Recommendations'!$B$8:$B$414,"Yes")</f>
        <v>0</v>
      </c>
      <c r="M14" s="52">
        <f>COUNTIFS('Risk Summary'!$C$8:$C$414,$B14,'Risk Summary'!$D$8:$D$414,$C14,'Risk Summary'!$B$8:$B$414,"Yes")</f>
        <v>0</v>
      </c>
      <c r="N14" s="52" t="str">
        <f t="shared" ca="1" si="0"/>
        <v/>
      </c>
      <c r="O14" s="52" t="str">
        <f t="shared" ca="1" si="1"/>
        <v/>
      </c>
      <c r="P14" s="52">
        <f>IFERROR(INDEX(Dashboard!$H$5:$H$21,MATCH($B14,Dashboard!$A$5:$A$21,0)),"")</f>
        <v>0</v>
      </c>
      <c r="Q14" s="52">
        <f t="shared" si="2"/>
        <v>5</v>
      </c>
      <c r="R14" s="52">
        <f>IFERROR(SUMIFS(_TECH_Crisis_Model!$D$5:$D$191,_TECH_Crisis_Model!$A$5:$A$191,'Crisis Simulator'!$B$4,_TECH_Crisis_Model!$B$5:$B$191,$B14),1)</f>
        <v>1.4</v>
      </c>
      <c r="S14" s="52">
        <f ca="1">IFERROR(INDEX('Strategy Selection'!$A$10:$A$23,MATCH($D14,'Strategy Selection'!$B$10:$B$23,0)),99)</f>
        <v>99</v>
      </c>
      <c r="T14" s="52">
        <f>IFERROR(INDEX('Strategy Selection'!$J$10:$J$23,MATCH($D14,'Strategy Selection'!$B$10:$B$23,0)),0)</f>
        <v>65.8</v>
      </c>
      <c r="U14" s="52">
        <v>2</v>
      </c>
      <c r="V14" s="52">
        <v>4</v>
      </c>
      <c r="W14" s="52">
        <v>5</v>
      </c>
      <c r="X14" s="52">
        <f>MAX(1,MIN(5,ROUNDUP((IF($O14="",0,$O14)*0.5)+(IF($Q14="",0,$Q14)*0.25)+((IF($T14="",0,$T14)/20)*0.25),0)))</f>
      </c>
      <c r="Y14" s="52">
        <f>MAX(1,MIN(5,ROUNDUP(((IF($R14="",1,$R14)-1)*1.6)+('Crisis Simulator'!$B$5*0.45)+IF(IF($S14="",99,$S14)&lt;=3,0.8,0),0)))</f>
      </c>
      <c r="Z14" s="52">
        <f>MAX(1,MIN(5,ROUNDUP((IF($O14="",0,$O14)*0.45)+(IF($M14="",0,$M14)*0.35)+(IF($V14="",0,$V14)*0.35),0)))</f>
      </c>
      <c r="AA14" s="52">
        <f>MAX(1,MIN(5,ROUNDUP((IF($U14="",0,$U14)*0.4)+(IF($W14="",0,$W14)*0.3)+((IF($T14="",0,$T14)/20)*0.3),0)))</f>
      </c>
      <c r="AB14" s="52">
        <v>2</v>
      </c>
      <c r="AC14" s="52">
        <f>IF($AB14=0,"",ROUND((IF($X14="",0,$X14)+IF($Y14="",0,$Y14)+IF($Z14="",0,$Z14)+IF($AA14="",0,$AA14))/$AB14,2))</f>
      </c>
      <c r="AD14" s="52">
        <f>IF($AC14="","",RANK.EQ($AC14,$AC$5:$AC$76,0)+COUNTIF($AC$5:$AC14,$AC14)-1)</f>
      </c>
      <c r="AE14" s="52">
        <f>IF($AD14="","",IF($AD14&lt;=12,"0-90 days",IF($AD14&lt;=32,"3-6 months",IF($AD14&lt;=55,"6-12 months","12+ months"))))</f>
      </c>
      <c r="AF14" s="52" t="s">
        <v>1005</v>
      </c>
      <c r="AG14" s="52" t="s">
        <v>1006</v>
      </c>
      <c r="AH14" s="52" t="s">
        <v>1007</v>
      </c>
      <c r="AI14" s="52" t="s">
        <v>1008</v>
      </c>
      <c r="AJ14" s="52" t="s">
        <v>1096</v>
      </c>
      <c r="AK14" s="52" t="s">
        <v>1097</v>
      </c>
      <c r="AL14" s="52" t="s">
        <v>1098</v>
      </c>
      <c r="AM14" s="52" t="s">
        <v>1046</v>
      </c>
      <c r="AN14" s="52" t="s">
        <v>1013</v>
      </c>
      <c r="AO14" s="52" t="s">
        <v>783</v>
      </c>
      <c r="AP14" s="52" t="s">
        <v>1014</v>
      </c>
      <c r="AQ14" s="52"/>
      <c r="AR14" s="52"/>
      <c r="AS14" s="48">
        <f>IFERROR(SUMIFS(_TECH_Industry_Templates!$J:$J,_TECH_Industry_Templates!$A:$A,'Company Profile'!$B$9,_TECH_Industry_Templates!$B:$B,$B14),1)</f>
        <v>1.1000000000000001</v>
      </c>
      <c r="AT14" s="48">
        <f>IF($AC14="","",ROUND($AC14*IF($AS14="",1,$AS14),2))</f>
      </c>
      <c r="AU14" s="48">
        <f>IF($AT14="","",RANK.EQ($AT14,$AT$5:$AT$76,0)+COUNTIF($AT$5:AT14,$AT14)-1)</f>
      </c>
      <c r="AV14" s="48" t="str">
        <f>IFERROR(INDEX('Improved Scoring Model'!$E$6:$E$22,MATCH($B14,'Improved Scoring Model'!$A$6:$A$22,0)),"")</f>
        <v/>
      </c>
      <c r="AW14" s="48" t="str">
        <f t="shared" si="9"/>
        <v>Industry-neutral priority</v>
      </c>
    </row>
    <row r="15" spans="1:49" ht="42" customHeight="1">
      <c r="A15" s="52" t="s">
        <v>1099</v>
      </c>
      <c r="B15" s="52" t="s">
        <v>63</v>
      </c>
      <c r="C15" s="52" t="s">
        <v>1100</v>
      </c>
      <c r="D15" s="52" t="s">
        <v>1101</v>
      </c>
      <c r="E15" s="52" t="s">
        <v>1102</v>
      </c>
      <c r="F15" s="52" t="s">
        <v>1103</v>
      </c>
      <c r="G15" s="52" t="s">
        <v>1104</v>
      </c>
      <c r="H15" s="52" t="s">
        <v>186</v>
      </c>
      <c r="I15" s="52" t="s">
        <v>1105</v>
      </c>
      <c r="J15" s="52" t="s">
        <v>1106</v>
      </c>
      <c r="K15" s="52">
        <v>6</v>
      </c>
      <c r="L15" s="52">
        <f>COUNTIFS('Executive Recommendations'!$C$8:$C$414,$B15,'Executive Recommendations'!$D$8:$D$414,$C15,'Executive Recommendations'!$B$8:$B$414,"Yes")</f>
        <v>0</v>
      </c>
      <c r="M15" s="52">
        <f>COUNTIFS('Risk Summary'!$C$8:$C$414,$B15,'Risk Summary'!$D$8:$D$414,$C15,'Risk Summary'!$B$8:$B$414,"Yes")</f>
        <v>0</v>
      </c>
      <c r="N15" s="52" t="str">
        <f t="shared" ca="1" si="0"/>
        <v/>
      </c>
      <c r="O15" s="52" t="str">
        <f t="shared" ca="1" si="1"/>
        <v/>
      </c>
      <c r="P15" s="52">
        <f>IFERROR(INDEX(Dashboard!$H$5:$H$21,MATCH($B15,Dashboard!$A$5:$A$21,0)),"")</f>
        <v>0</v>
      </c>
      <c r="Q15" s="52">
        <f t="shared" si="2"/>
        <v>5</v>
      </c>
      <c r="R15" s="52">
        <f>IFERROR(SUMIFS(_TECH_Crisis_Model!$D$5:$D$191,_TECH_Crisis_Model!$A$5:$A$191,'Crisis Simulator'!$B$4,_TECH_Crisis_Model!$B$5:$B$191,$B15),1)</f>
        <v>1.8</v>
      </c>
      <c r="S15" s="52">
        <f ca="1">IFERROR(INDEX('Strategy Selection'!$A$10:$A$23,MATCH($D15,'Strategy Selection'!$B$10:$B$23,0)),99)</f>
        <v>99</v>
      </c>
      <c r="T15" s="52">
        <f>IFERROR(INDEX('Strategy Selection'!$J$10:$J$23,MATCH($D15,'Strategy Selection'!$B$10:$B$23,0)),0)</f>
        <v>67</v>
      </c>
      <c r="U15" s="52">
        <v>3</v>
      </c>
      <c r="V15" s="52">
        <v>5</v>
      </c>
      <c r="W15" s="52">
        <v>4</v>
      </c>
      <c r="X15" s="52">
        <f>MAX(1,MIN(5,ROUNDUP((IF($O15="",0,$O15)*0.5)+(IF($Q15="",0,$Q15)*0.25)+((IF($T15="",0,$T15)/20)*0.25),0)))</f>
      </c>
      <c r="Y15" s="52">
        <f>MAX(1,MIN(5,ROUNDUP(((IF($R15="",1,$R15)-1)*1.6)+('Crisis Simulator'!$B$5*0.45)+IF(IF($S15="",99,$S15)&lt;=3,0.8,0),0)))</f>
      </c>
      <c r="Z15" s="52">
        <f>MAX(1,MIN(5,ROUNDUP((IF($O15="",0,$O15)*0.45)+(IF($M15="",0,$M15)*0.35)+(IF($V15="",0,$V15)*0.35),0)))</f>
      </c>
      <c r="AA15" s="52">
        <f>MAX(1,MIN(5,ROUNDUP((IF($U15="",0,$U15)*0.4)+(IF($W15="",0,$W15)*0.3)+((IF($T15="",0,$T15)/20)*0.3),0)))</f>
      </c>
      <c r="AB15" s="52">
        <v>3</v>
      </c>
      <c r="AC15" s="52">
        <f>IF($AB15=0,"",ROUND((IF($X15="",0,$X15)+IF($Y15="",0,$Y15)+IF($Z15="",0,$Z15)+IF($AA15="",0,$AA15))/$AB15,2))</f>
      </c>
      <c r="AD15" s="52">
        <f>IF($AC15="","",RANK.EQ($AC15,$AC$5:$AC$76,0)+COUNTIF($AC$5:$AC15,$AC15)-1)</f>
      </c>
      <c r="AE15" s="52">
        <f>IF($AD15="","",IF($AD15&lt;=12,"0-90 days",IF($AD15&lt;=32,"3-6 months",IF($AD15&lt;=55,"6-12 months","12+ months"))))</f>
      </c>
      <c r="AF15" s="52" t="s">
        <v>1107</v>
      </c>
      <c r="AG15" s="52" t="s">
        <v>1040</v>
      </c>
      <c r="AH15" s="52" t="s">
        <v>1007</v>
      </c>
      <c r="AI15" s="52" t="s">
        <v>1008</v>
      </c>
      <c r="AJ15" s="52" t="s">
        <v>1108</v>
      </c>
      <c r="AK15" s="52" t="s">
        <v>1109</v>
      </c>
      <c r="AL15" s="52" t="s">
        <v>1110</v>
      </c>
      <c r="AM15" s="52" t="s">
        <v>1111</v>
      </c>
      <c r="AN15" s="52" t="s">
        <v>1013</v>
      </c>
      <c r="AO15" s="52" t="s">
        <v>783</v>
      </c>
      <c r="AP15" s="52" t="s">
        <v>47</v>
      </c>
      <c r="AQ15" s="52"/>
      <c r="AR15" s="52"/>
      <c r="AS15" s="48">
        <f>IFERROR(SUMIFS(_TECH_Industry_Templates!$J:$J,_TECH_Industry_Templates!$A:$A,'Company Profile'!$B$9,_TECH_Industry_Templates!$B:$B,$B15),1)</f>
        <v>1.2</v>
      </c>
      <c r="AT15" s="48">
        <f>IF($AC15="","",ROUND($AC15*IF($AS15="",1,$AS15),2))</f>
      </c>
      <c r="AU15" s="48">
        <f>IF($AT15="","",RANK.EQ($AT15,$AT$5:$AT$76,0)+COUNTIF($AT$5:AT15,$AT15)-1)</f>
      </c>
      <c r="AV15" s="48" t="str">
        <f>IFERROR(INDEX('Improved Scoring Model'!$E$6:$E$22,MATCH($B15,'Improved Scoring Model'!$A$6:$A$22,0)),"")</f>
        <v/>
      </c>
      <c r="AW15" s="48" t="str">
        <f t="shared" si="9"/>
        <v>Industry template increases priority</v>
      </c>
    </row>
    <row r="16" spans="1:49" ht="42" customHeight="1">
      <c r="A16" s="52" t="s">
        <v>1112</v>
      </c>
      <c r="B16" s="52" t="s">
        <v>63</v>
      </c>
      <c r="C16" s="52" t="s">
        <v>1113</v>
      </c>
      <c r="D16" s="52" t="s">
        <v>1101</v>
      </c>
      <c r="E16" s="52" t="s">
        <v>1102</v>
      </c>
      <c r="F16" s="52" t="s">
        <v>1114</v>
      </c>
      <c r="G16" s="52" t="s">
        <v>1115</v>
      </c>
      <c r="H16" s="52" t="s">
        <v>186</v>
      </c>
      <c r="I16" s="52" t="s">
        <v>1105</v>
      </c>
      <c r="J16" s="52" t="s">
        <v>1116</v>
      </c>
      <c r="K16" s="52">
        <v>6</v>
      </c>
      <c r="L16" s="52">
        <f>COUNTIFS('Executive Recommendations'!$C$8:$C$414,$B16,'Executive Recommendations'!$D$8:$D$414,$C16,'Executive Recommendations'!$B$8:$B$414,"Yes")</f>
        <v>0</v>
      </c>
      <c r="M16" s="52">
        <f>COUNTIFS('Risk Summary'!$C$8:$C$414,$B16,'Risk Summary'!$D$8:$D$414,$C16,'Risk Summary'!$B$8:$B$414,"Yes")</f>
        <v>0</v>
      </c>
      <c r="N16" s="52" t="str">
        <f t="shared" ca="1" si="0"/>
        <v/>
      </c>
      <c r="O16" s="52" t="str">
        <f t="shared" ca="1" si="1"/>
        <v/>
      </c>
      <c r="P16" s="52">
        <f>IFERROR(INDEX(Dashboard!$H$5:$H$21,MATCH($B16,Dashboard!$A$5:$A$21,0)),"")</f>
        <v>0</v>
      </c>
      <c r="Q16" s="52">
        <f t="shared" si="2"/>
        <v>5</v>
      </c>
      <c r="R16" s="52">
        <f>IFERROR(SUMIFS(_TECH_Crisis_Model!$D$5:$D$191,_TECH_Crisis_Model!$A$5:$A$191,'Crisis Simulator'!$B$4,_TECH_Crisis_Model!$B$5:$B$191,$B16),1)</f>
        <v>1.8</v>
      </c>
      <c r="S16" s="52">
        <f ca="1">IFERROR(INDEX('Strategy Selection'!$A$10:$A$23,MATCH($D16,'Strategy Selection'!$B$10:$B$23,0)),99)</f>
        <v>99</v>
      </c>
      <c r="T16" s="52">
        <f>IFERROR(INDEX('Strategy Selection'!$J$10:$J$23,MATCH($D16,'Strategy Selection'!$B$10:$B$23,0)),0)</f>
        <v>67</v>
      </c>
      <c r="U16" s="52">
        <v>3</v>
      </c>
      <c r="V16" s="52">
        <v>5</v>
      </c>
      <c r="W16" s="52">
        <v>4</v>
      </c>
      <c r="X16" s="52">
        <f>MAX(1,MIN(5,ROUNDUP((IF($O16="",0,$O16)*0.5)+(IF($Q16="",0,$Q16)*0.25)+((IF($T16="",0,$T16)/20)*0.25),0)))</f>
      </c>
      <c r="Y16" s="52">
        <f>MAX(1,MIN(5,ROUNDUP(((IF($R16="",1,$R16)-1)*1.6)+('Crisis Simulator'!$B$5*0.45)+IF(IF($S16="",99,$S16)&lt;=3,0.8,0),0)))</f>
      </c>
      <c r="Z16" s="52">
        <f>MAX(1,MIN(5,ROUNDUP((IF($O16="",0,$O16)*0.45)+(IF($M16="",0,$M16)*0.35)+(IF($V16="",0,$V16)*0.35),0)))</f>
      </c>
      <c r="AA16" s="52">
        <f>MAX(1,MIN(5,ROUNDUP((IF($U16="",0,$U16)*0.4)+(IF($W16="",0,$W16)*0.3)+((IF($T16="",0,$T16)/20)*0.3),0)))</f>
      </c>
      <c r="AB16" s="52">
        <v>3</v>
      </c>
      <c r="AC16" s="52">
        <f>IF($AB16=0,"",ROUND((IF($X16="",0,$X16)+IF($Y16="",0,$Y16)+IF($Z16="",0,$Z16)+IF($AA16="",0,$AA16))/$AB16,2))</f>
      </c>
      <c r="AD16" s="52">
        <f>IF($AC16="","",RANK.EQ($AC16,$AC$5:$AC$76,0)+COUNTIF($AC$5:$AC16,$AC16)-1)</f>
      </c>
      <c r="AE16" s="52">
        <f>IF($AD16="","",IF($AD16&lt;=12,"0-90 days",IF($AD16&lt;=32,"3-6 months",IF($AD16&lt;=55,"6-12 months","12+ months"))))</f>
      </c>
      <c r="AF16" s="52" t="s">
        <v>1107</v>
      </c>
      <c r="AG16" s="52" t="s">
        <v>1040</v>
      </c>
      <c r="AH16" s="52" t="s">
        <v>1007</v>
      </c>
      <c r="AI16" s="52" t="s">
        <v>1008</v>
      </c>
      <c r="AJ16" s="52" t="s">
        <v>1117</v>
      </c>
      <c r="AK16" s="52" t="s">
        <v>1118</v>
      </c>
      <c r="AL16" s="52" t="s">
        <v>1119</v>
      </c>
      <c r="AM16" s="52" t="s">
        <v>1111</v>
      </c>
      <c r="AN16" s="52" t="s">
        <v>1013</v>
      </c>
      <c r="AO16" s="52" t="s">
        <v>783</v>
      </c>
      <c r="AP16" s="52" t="s">
        <v>47</v>
      </c>
      <c r="AQ16" s="52"/>
      <c r="AR16" s="52"/>
      <c r="AS16" s="48">
        <f>IFERROR(SUMIFS(_TECH_Industry_Templates!$J:$J,_TECH_Industry_Templates!$A:$A,'Company Profile'!$B$9,_TECH_Industry_Templates!$B:$B,$B16),1)</f>
        <v>1.2</v>
      </c>
      <c r="AT16" s="48">
        <f>IF($AC16="","",ROUND($AC16*IF($AS16="",1,$AS16),2))</f>
      </c>
      <c r="AU16" s="48">
        <f>IF($AT16="","",RANK.EQ($AT16,$AT$5:$AT$76,0)+COUNTIF($AT$5:AT16,$AT16)-1)</f>
      </c>
      <c r="AV16" s="48" t="str">
        <f>IFERROR(INDEX('Improved Scoring Model'!$E$6:$E$22,MATCH($B16,'Improved Scoring Model'!$A$6:$A$22,0)),"")</f>
        <v/>
      </c>
      <c r="AW16" s="48" t="str">
        <f t="shared" si="9"/>
        <v>Industry template increases priority</v>
      </c>
    </row>
    <row r="17" spans="1:49" ht="42" customHeight="1">
      <c r="A17" s="52" t="s">
        <v>1120</v>
      </c>
      <c r="B17" s="52" t="s">
        <v>63</v>
      </c>
      <c r="C17" s="52" t="s">
        <v>1121</v>
      </c>
      <c r="D17" s="52" t="s">
        <v>1101</v>
      </c>
      <c r="E17" s="52" t="s">
        <v>1102</v>
      </c>
      <c r="F17" s="52" t="s">
        <v>1122</v>
      </c>
      <c r="G17" s="52" t="s">
        <v>1123</v>
      </c>
      <c r="H17" s="52" t="s">
        <v>186</v>
      </c>
      <c r="I17" s="52" t="s">
        <v>1105</v>
      </c>
      <c r="J17" s="52" t="s">
        <v>1124</v>
      </c>
      <c r="K17" s="52">
        <v>7</v>
      </c>
      <c r="L17" s="52">
        <f>COUNTIFS('Executive Recommendations'!$C$8:$C$414,$B17,'Executive Recommendations'!$D$8:$D$414,$C17,'Executive Recommendations'!$B$8:$B$414,"Yes")</f>
        <v>0</v>
      </c>
      <c r="M17" s="52">
        <f>COUNTIFS('Risk Summary'!$C$8:$C$414,$B17,'Risk Summary'!$D$8:$D$414,$C17,'Risk Summary'!$B$8:$B$414,"Yes")</f>
        <v>0</v>
      </c>
      <c r="N17" s="52" t="str">
        <f t="shared" ca="1" si="0"/>
        <v/>
      </c>
      <c r="O17" s="52" t="str">
        <f t="shared" ca="1" si="1"/>
        <v/>
      </c>
      <c r="P17" s="52">
        <f>IFERROR(INDEX(Dashboard!$H$5:$H$21,MATCH($B17,Dashboard!$A$5:$A$21,0)),"")</f>
        <v>0</v>
      </c>
      <c r="Q17" s="52">
        <f t="shared" si="2"/>
        <v>5</v>
      </c>
      <c r="R17" s="52">
        <f>IFERROR(SUMIFS(_TECH_Crisis_Model!$D$5:$D$191,_TECH_Crisis_Model!$A$5:$A$191,'Crisis Simulator'!$B$4,_TECH_Crisis_Model!$B$5:$B$191,$B17),1)</f>
        <v>1.8</v>
      </c>
      <c r="S17" s="52">
        <f ca="1">IFERROR(INDEX('Strategy Selection'!$A$10:$A$23,MATCH($D17,'Strategy Selection'!$B$10:$B$23,0)),99)</f>
        <v>99</v>
      </c>
      <c r="T17" s="52">
        <f>IFERROR(INDEX('Strategy Selection'!$J$10:$J$23,MATCH($D17,'Strategy Selection'!$B$10:$B$23,0)),0)</f>
        <v>67</v>
      </c>
      <c r="U17" s="52">
        <v>3</v>
      </c>
      <c r="V17" s="52">
        <v>5</v>
      </c>
      <c r="W17" s="52">
        <v>4</v>
      </c>
      <c r="X17" s="52">
        <f>MAX(1,MIN(5,ROUNDUP((IF($O17="",0,$O17)*0.5)+(IF($Q17="",0,$Q17)*0.25)+((IF($T17="",0,$T17)/20)*0.25),0)))</f>
      </c>
      <c r="Y17" s="52">
        <f>MAX(1,MIN(5,ROUNDUP(((IF($R17="",1,$R17)-1)*1.6)+('Crisis Simulator'!$B$5*0.45)+IF(IF($S17="",99,$S17)&lt;=3,0.8,0),0)))</f>
      </c>
      <c r="Z17" s="52">
        <f>MAX(1,MIN(5,ROUNDUP((IF($O17="",0,$O17)*0.45)+(IF($M17="",0,$M17)*0.35)+(IF($V17="",0,$V17)*0.35),0)))</f>
      </c>
      <c r="AA17" s="52">
        <f>MAX(1,MIN(5,ROUNDUP((IF($U17="",0,$U17)*0.4)+(IF($W17="",0,$W17)*0.3)+((IF($T17="",0,$T17)/20)*0.3),0)))</f>
      </c>
      <c r="AB17" s="52">
        <v>3</v>
      </c>
      <c r="AC17" s="52">
        <f>IF($AB17=0,"",ROUND((IF($X17="",0,$X17)+IF($Y17="",0,$Y17)+IF($Z17="",0,$Z17)+IF($AA17="",0,$AA17))/$AB17,2))</f>
      </c>
      <c r="AD17" s="52">
        <f>IF($AC17="","",RANK.EQ($AC17,$AC$5:$AC$76,0)+COUNTIF($AC$5:$AC17,$AC17)-1)</f>
      </c>
      <c r="AE17" s="52">
        <f>IF($AD17="","",IF($AD17&lt;=12,"0-90 days",IF($AD17&lt;=32,"3-6 months",IF($AD17&lt;=55,"6-12 months","12+ months"))))</f>
      </c>
      <c r="AF17" s="52" t="s">
        <v>1107</v>
      </c>
      <c r="AG17" s="52" t="s">
        <v>1040</v>
      </c>
      <c r="AH17" s="52" t="s">
        <v>1007</v>
      </c>
      <c r="AI17" s="52" t="s">
        <v>1008</v>
      </c>
      <c r="AJ17" s="52" t="s">
        <v>1125</v>
      </c>
      <c r="AK17" s="52" t="s">
        <v>1126</v>
      </c>
      <c r="AL17" s="52" t="s">
        <v>1127</v>
      </c>
      <c r="AM17" s="52" t="s">
        <v>1111</v>
      </c>
      <c r="AN17" s="52" t="s">
        <v>1013</v>
      </c>
      <c r="AO17" s="52" t="s">
        <v>783</v>
      </c>
      <c r="AP17" s="52" t="s">
        <v>47</v>
      </c>
      <c r="AQ17" s="52"/>
      <c r="AR17" s="52"/>
      <c r="AS17" s="48">
        <f>IFERROR(SUMIFS(_TECH_Industry_Templates!$J:$J,_TECH_Industry_Templates!$A:$A,'Company Profile'!$B$9,_TECH_Industry_Templates!$B:$B,$B17),1)</f>
        <v>1.2</v>
      </c>
      <c r="AT17" s="48">
        <f>IF($AC17="","",ROUND($AC17*IF($AS17="",1,$AS17),2))</f>
      </c>
      <c r="AU17" s="48">
        <f>IF($AT17="","",RANK.EQ($AT17,$AT$5:$AT$76,0)+COUNTIF($AT$5:AT17,$AT17)-1)</f>
      </c>
      <c r="AV17" s="48" t="str">
        <f>IFERROR(INDEX('Improved Scoring Model'!$E$6:$E$22,MATCH($B17,'Improved Scoring Model'!$A$6:$A$22,0)),"")</f>
        <v/>
      </c>
      <c r="AW17" s="48" t="str">
        <f t="shared" si="9"/>
        <v>Industry template increases priority</v>
      </c>
    </row>
    <row r="18" spans="1:49" ht="42" customHeight="1">
      <c r="A18" s="52" t="s">
        <v>1128</v>
      </c>
      <c r="B18" s="52" t="s">
        <v>63</v>
      </c>
      <c r="C18" s="52" t="s">
        <v>1129</v>
      </c>
      <c r="D18" s="52" t="s">
        <v>1101</v>
      </c>
      <c r="E18" s="52" t="s">
        <v>1102</v>
      </c>
      <c r="F18" s="52" t="s">
        <v>1130</v>
      </c>
      <c r="G18" s="52" t="s">
        <v>1131</v>
      </c>
      <c r="H18" s="52" t="s">
        <v>186</v>
      </c>
      <c r="I18" s="52" t="s">
        <v>1105</v>
      </c>
      <c r="J18" s="52" t="s">
        <v>1132</v>
      </c>
      <c r="K18" s="52">
        <v>5</v>
      </c>
      <c r="L18" s="52">
        <f>COUNTIFS('Executive Recommendations'!$C$8:$C$414,$B18,'Executive Recommendations'!$D$8:$D$414,$C18,'Executive Recommendations'!$B$8:$B$414,"Yes")</f>
        <v>0</v>
      </c>
      <c r="M18" s="52">
        <f>COUNTIFS('Risk Summary'!$C$8:$C$414,$B18,'Risk Summary'!$D$8:$D$414,$C18,'Risk Summary'!$B$8:$B$414,"Yes")</f>
        <v>0</v>
      </c>
      <c r="N18" s="52" t="str">
        <f t="shared" ca="1" si="0"/>
        <v/>
      </c>
      <c r="O18" s="52" t="str">
        <f t="shared" ca="1" si="1"/>
        <v/>
      </c>
      <c r="P18" s="52">
        <f>IFERROR(INDEX(Dashboard!$H$5:$H$21,MATCH($B18,Dashboard!$A$5:$A$21,0)),"")</f>
        <v>0</v>
      </c>
      <c r="Q18" s="52">
        <f t="shared" si="2"/>
        <v>5</v>
      </c>
      <c r="R18" s="52">
        <f>IFERROR(SUMIFS(_TECH_Crisis_Model!$D$5:$D$191,_TECH_Crisis_Model!$A$5:$A$191,'Crisis Simulator'!$B$4,_TECH_Crisis_Model!$B$5:$B$191,$B18),1)</f>
        <v>1.8</v>
      </c>
      <c r="S18" s="52">
        <f ca="1">IFERROR(INDEX('Strategy Selection'!$A$10:$A$23,MATCH($D18,'Strategy Selection'!$B$10:$B$23,0)),99)</f>
        <v>99</v>
      </c>
      <c r="T18" s="52">
        <f>IFERROR(INDEX('Strategy Selection'!$J$10:$J$23,MATCH($D18,'Strategy Selection'!$B$10:$B$23,0)),0)</f>
        <v>67</v>
      </c>
      <c r="U18" s="52">
        <v>3</v>
      </c>
      <c r="V18" s="52">
        <v>5</v>
      </c>
      <c r="W18" s="52">
        <v>4</v>
      </c>
      <c r="X18" s="52">
        <f>MAX(1,MIN(5,ROUNDUP((IF($O18="",0,$O18)*0.5)+(IF($Q18="",0,$Q18)*0.25)+((IF($T18="",0,$T18)/20)*0.25),0)))</f>
      </c>
      <c r="Y18" s="52">
        <f>MAX(1,MIN(5,ROUNDUP(((IF($R18="",1,$R18)-1)*1.6)+('Crisis Simulator'!$B$5*0.45)+IF(IF($S18="",99,$S18)&lt;=3,0.8,0),0)))</f>
      </c>
      <c r="Z18" s="52">
        <f>MAX(1,MIN(5,ROUNDUP((IF($O18="",0,$O18)*0.45)+(IF($M18="",0,$M18)*0.35)+(IF($V18="",0,$V18)*0.35),0)))</f>
      </c>
      <c r="AA18" s="52">
        <f>MAX(1,MIN(5,ROUNDUP((IF($U18="",0,$U18)*0.4)+(IF($W18="",0,$W18)*0.3)+((IF($T18="",0,$T18)/20)*0.3),0)))</f>
      </c>
      <c r="AB18" s="52">
        <v>3</v>
      </c>
      <c r="AC18" s="52">
        <f>IF($AB18=0,"",ROUND((IF($X18="",0,$X18)+IF($Y18="",0,$Y18)+IF($Z18="",0,$Z18)+IF($AA18="",0,$AA18))/$AB18,2))</f>
      </c>
      <c r="AD18" s="52">
        <f>IF($AC18="","",RANK.EQ($AC18,$AC$5:$AC$76,0)+COUNTIF($AC$5:$AC18,$AC18)-1)</f>
      </c>
      <c r="AE18" s="52">
        <f>IF($AD18="","",IF($AD18&lt;=12,"0-90 days",IF($AD18&lt;=32,"3-6 months",IF($AD18&lt;=55,"6-12 months","12+ months"))))</f>
      </c>
      <c r="AF18" s="52" t="s">
        <v>1107</v>
      </c>
      <c r="AG18" s="52" t="s">
        <v>1040</v>
      </c>
      <c r="AH18" s="52" t="s">
        <v>1007</v>
      </c>
      <c r="AI18" s="52" t="s">
        <v>1008</v>
      </c>
      <c r="AJ18" s="52" t="s">
        <v>1133</v>
      </c>
      <c r="AK18" s="52" t="s">
        <v>1134</v>
      </c>
      <c r="AL18" s="52" t="s">
        <v>1135</v>
      </c>
      <c r="AM18" s="52" t="s">
        <v>1111</v>
      </c>
      <c r="AN18" s="52" t="s">
        <v>1013</v>
      </c>
      <c r="AO18" s="52" t="s">
        <v>783</v>
      </c>
      <c r="AP18" s="52" t="s">
        <v>47</v>
      </c>
      <c r="AQ18" s="52"/>
      <c r="AR18" s="52"/>
      <c r="AS18" s="48">
        <f>IFERROR(SUMIFS(_TECH_Industry_Templates!$J:$J,_TECH_Industry_Templates!$A:$A,'Company Profile'!$B$9,_TECH_Industry_Templates!$B:$B,$B18),1)</f>
        <v>1.2</v>
      </c>
      <c r="AT18" s="48">
        <f>IF($AC18="","",ROUND($AC18*IF($AS18="",1,$AS18),2))</f>
      </c>
      <c r="AU18" s="48">
        <f>IF($AT18="","",RANK.EQ($AT18,$AT$5:$AT$76,0)+COUNTIF($AT$5:AT18,$AT18)-1)</f>
      </c>
      <c r="AV18" s="48" t="str">
        <f>IFERROR(INDEX('Improved Scoring Model'!$E$6:$E$22,MATCH($B18,'Improved Scoring Model'!$A$6:$A$22,0)),"")</f>
        <v/>
      </c>
      <c r="AW18" s="48" t="str">
        <f t="shared" si="9"/>
        <v>Industry template increases priority</v>
      </c>
    </row>
    <row r="19" spans="1:49" ht="42" customHeight="1">
      <c r="A19" s="52" t="s">
        <v>1136</v>
      </c>
      <c r="B19" s="52" t="s">
        <v>66</v>
      </c>
      <c r="C19" s="52" t="s">
        <v>1137</v>
      </c>
      <c r="D19" s="52" t="s">
        <v>999</v>
      </c>
      <c r="E19" s="52" t="s">
        <v>1000</v>
      </c>
      <c r="F19" s="52" t="s">
        <v>1138</v>
      </c>
      <c r="G19" s="52" t="s">
        <v>1139</v>
      </c>
      <c r="H19" s="52" t="s">
        <v>187</v>
      </c>
      <c r="I19" s="52" t="s">
        <v>1140</v>
      </c>
      <c r="J19" s="52" t="s">
        <v>1141</v>
      </c>
      <c r="K19" s="52">
        <v>6</v>
      </c>
      <c r="L19" s="52">
        <f>COUNTIFS('Executive Recommendations'!$C$8:$C$414,$B19,'Executive Recommendations'!$D$8:$D$414,$C19,'Executive Recommendations'!$B$8:$B$414,"Yes")</f>
        <v>0</v>
      </c>
      <c r="M19" s="52">
        <f>COUNTIFS('Risk Summary'!$C$8:$C$414,$B19,'Risk Summary'!$D$8:$D$414,$C19,'Risk Summary'!$B$8:$B$414,"Yes")</f>
        <v>0</v>
      </c>
      <c r="N19" s="52" t="str">
        <f t="shared" ca="1" si="0"/>
        <v/>
      </c>
      <c r="O19" s="52" t="str">
        <f t="shared" ca="1" si="1"/>
        <v/>
      </c>
      <c r="P19" s="52">
        <f>IFERROR(INDEX(Dashboard!$H$5:$H$21,MATCH($B19,Dashboard!$A$5:$A$21,0)),"")</f>
        <v>0</v>
      </c>
      <c r="Q19" s="52">
        <f t="shared" si="2"/>
        <v>5</v>
      </c>
      <c r="R19" s="52">
        <f>IFERROR(SUMIFS(_TECH_Crisis_Model!$D$5:$D$191,_TECH_Crisis_Model!$A$5:$A$191,'Crisis Simulator'!$B$4,_TECH_Crisis_Model!$B$5:$B$191,$B19),1)</f>
        <v>1.3</v>
      </c>
      <c r="S19" s="52">
        <f ca="1">IFERROR(INDEX('Strategy Selection'!$A$10:$A$23,MATCH($D19,'Strategy Selection'!$B$10:$B$23,0)),99)</f>
        <v>99</v>
      </c>
      <c r="T19" s="52">
        <f>IFERROR(INDEX('Strategy Selection'!$J$10:$J$23,MATCH($D19,'Strategy Selection'!$B$10:$B$23,0)),0)</f>
        <v>69.5</v>
      </c>
      <c r="U19" s="52">
        <v>2</v>
      </c>
      <c r="V19" s="52">
        <v>5</v>
      </c>
      <c r="W19" s="52">
        <v>4</v>
      </c>
      <c r="X19" s="52">
        <f>MAX(1,MIN(5,ROUNDUP((IF($O19="",0,$O19)*0.5)+(IF($Q19="",0,$Q19)*0.25)+((IF($T19="",0,$T19)/20)*0.25),0)))</f>
      </c>
      <c r="Y19" s="52">
        <f>MAX(1,MIN(5,ROUNDUP(((IF($R19="",1,$R19)-1)*1.6)+('Crisis Simulator'!$B$5*0.45)+IF(IF($S19="",99,$S19)&lt;=3,0.8,0),0)))</f>
      </c>
      <c r="Z19" s="52">
        <f>MAX(1,MIN(5,ROUNDUP((IF($O19="",0,$O19)*0.45)+(IF($M19="",0,$M19)*0.35)+(IF($V19="",0,$V19)*0.35),0)))</f>
      </c>
      <c r="AA19" s="52">
        <f>MAX(1,MIN(5,ROUNDUP((IF($U19="",0,$U19)*0.4)+(IF($W19="",0,$W19)*0.3)+((IF($T19="",0,$T19)/20)*0.3),0)))</f>
      </c>
      <c r="AB19" s="52">
        <v>3</v>
      </c>
      <c r="AC19" s="52">
        <f>IF($AB19=0,"",ROUND((IF($X19="",0,$X19)+IF($Y19="",0,$Y19)+IF($Z19="",0,$Z19)+IF($AA19="",0,$AA19))/$AB19,2))</f>
      </c>
      <c r="AD19" s="52">
        <f>IF($AC19="","",RANK.EQ($AC19,$AC$5:$AC$76,0)+COUNTIF($AC$5:$AC19,$AC19)-1)</f>
      </c>
      <c r="AE19" s="52">
        <f>IF($AD19="","",IF($AD19&lt;=12,"0-90 days",IF($AD19&lt;=32,"3-6 months",IF($AD19&lt;=55,"6-12 months","12+ months"))))</f>
      </c>
      <c r="AF19" s="52" t="s">
        <v>1142</v>
      </c>
      <c r="AG19" s="52" t="s">
        <v>1040</v>
      </c>
      <c r="AH19" s="52" t="s">
        <v>1007</v>
      </c>
      <c r="AI19" s="52" t="s">
        <v>1008</v>
      </c>
      <c r="AJ19" s="52" t="s">
        <v>1143</v>
      </c>
      <c r="AK19" s="52" t="s">
        <v>1144</v>
      </c>
      <c r="AL19" s="52" t="s">
        <v>1145</v>
      </c>
      <c r="AM19" s="52" t="s">
        <v>1012</v>
      </c>
      <c r="AN19" s="52" t="s">
        <v>1013</v>
      </c>
      <c r="AO19" s="52" t="s">
        <v>783</v>
      </c>
      <c r="AP19" s="52" t="s">
        <v>47</v>
      </c>
      <c r="AQ19" s="52"/>
      <c r="AR19" s="52"/>
      <c r="AS19" s="48">
        <f>IFERROR(SUMIFS(_TECH_Industry_Templates!$J:$J,_TECH_Industry_Templates!$A:$A,'Company Profile'!$B$9,_TECH_Industry_Templates!$B:$B,$B19),1)</f>
        <v>1</v>
      </c>
      <c r="AT19" s="48">
        <f>IF($AC19="","",ROUND($AC19*IF($AS19="",1,$AS19),2))</f>
      </c>
      <c r="AU19" s="48">
        <f>IF($AT19="","",RANK.EQ($AT19,$AT$5:$AT$76,0)+COUNTIF($AT$5:AT19,$AT19)-1)</f>
      </c>
      <c r="AV19" s="48" t="str">
        <f>IFERROR(INDEX('Improved Scoring Model'!$E$6:$E$22,MATCH($B19,'Improved Scoring Model'!$A$6:$A$22,0)),"")</f>
        <v/>
      </c>
      <c r="AW19" s="48" t="str">
        <f t="shared" si="9"/>
        <v>Industry-neutral priority</v>
      </c>
    </row>
    <row r="20" spans="1:49" ht="42" customHeight="1">
      <c r="A20" s="52" t="s">
        <v>1146</v>
      </c>
      <c r="B20" s="52" t="s">
        <v>66</v>
      </c>
      <c r="C20" s="52" t="s">
        <v>1147</v>
      </c>
      <c r="D20" s="52" t="s">
        <v>1148</v>
      </c>
      <c r="E20" s="52" t="s">
        <v>1149</v>
      </c>
      <c r="F20" s="52" t="s">
        <v>1150</v>
      </c>
      <c r="G20" s="52" t="s">
        <v>1151</v>
      </c>
      <c r="H20" s="52" t="s">
        <v>187</v>
      </c>
      <c r="I20" s="52" t="s">
        <v>1140</v>
      </c>
      <c r="J20" s="52" t="s">
        <v>1152</v>
      </c>
      <c r="K20" s="52">
        <v>6</v>
      </c>
      <c r="L20" s="52">
        <f>COUNTIFS('Executive Recommendations'!$C$8:$C$414,$B20,'Executive Recommendations'!$D$8:$D$414,$C20,'Executive Recommendations'!$B$8:$B$414,"Yes")</f>
        <v>0</v>
      </c>
      <c r="M20" s="52">
        <f>COUNTIFS('Risk Summary'!$C$8:$C$414,$B20,'Risk Summary'!$D$8:$D$414,$C20,'Risk Summary'!$B$8:$B$414,"Yes")</f>
        <v>0</v>
      </c>
      <c r="N20" s="52" t="str">
        <f t="shared" ca="1" si="0"/>
        <v/>
      </c>
      <c r="O20" s="52" t="str">
        <f t="shared" ca="1" si="1"/>
        <v/>
      </c>
      <c r="P20" s="52">
        <f>IFERROR(INDEX(Dashboard!$H$5:$H$21,MATCH($B20,Dashboard!$A$5:$A$21,0)),"")</f>
        <v>0</v>
      </c>
      <c r="Q20" s="52">
        <f t="shared" si="2"/>
        <v>5</v>
      </c>
      <c r="R20" s="52">
        <f>IFERROR(SUMIFS(_TECH_Crisis_Model!$D$5:$D$191,_TECH_Crisis_Model!$A$5:$A$191,'Crisis Simulator'!$B$4,_TECH_Crisis_Model!$B$5:$B$191,$B20),1)</f>
        <v>1.3</v>
      </c>
      <c r="S20" s="52">
        <f ca="1">IFERROR(INDEX('Strategy Selection'!$A$10:$A$23,MATCH($D20,'Strategy Selection'!$B$10:$B$23,0)),99)</f>
        <v>99</v>
      </c>
      <c r="T20" s="52">
        <f>IFERROR(INDEX('Strategy Selection'!$J$10:$J$23,MATCH($D20,'Strategy Selection'!$B$10:$B$23,0)),0)</f>
        <v>61.5</v>
      </c>
      <c r="U20" s="52">
        <v>2</v>
      </c>
      <c r="V20" s="52">
        <v>4</v>
      </c>
      <c r="W20" s="52">
        <v>5</v>
      </c>
      <c r="X20" s="52">
        <f>MAX(1,MIN(5,ROUNDUP((IF($O20="",0,$O20)*0.5)+(IF($Q20="",0,$Q20)*0.25)+((IF($T20="",0,$T20)/20)*0.25),0)))</f>
      </c>
      <c r="Y20" s="52">
        <f>MAX(1,MIN(5,ROUNDUP(((IF($R20="",1,$R20)-1)*1.6)+('Crisis Simulator'!$B$5*0.45)+IF(IF($S20="",99,$S20)&lt;=3,0.8,0),0)))</f>
      </c>
      <c r="Z20" s="52">
        <f>MAX(1,MIN(5,ROUNDUP((IF($O20="",0,$O20)*0.45)+(IF($M20="",0,$M20)*0.35)+(IF($V20="",0,$V20)*0.35),0)))</f>
      </c>
      <c r="AA20" s="52">
        <f>MAX(1,MIN(5,ROUNDUP((IF($U20="",0,$U20)*0.4)+(IF($W20="",0,$W20)*0.3)+((IF($T20="",0,$T20)/20)*0.3),0)))</f>
      </c>
      <c r="AB20" s="52">
        <v>3</v>
      </c>
      <c r="AC20" s="52">
        <f>IF($AB20=0,"",ROUND((IF($X20="",0,$X20)+IF($Y20="",0,$Y20)+IF($Z20="",0,$Z20)+IF($AA20="",0,$AA20))/$AB20,2))</f>
      </c>
      <c r="AD20" s="52">
        <f>IF($AC20="","",RANK.EQ($AC20,$AC$5:$AC$76,0)+COUNTIF($AC$5:$AC20,$AC20)-1)</f>
      </c>
      <c r="AE20" s="52">
        <f>IF($AD20="","",IF($AD20&lt;=12,"0-90 days",IF($AD20&lt;=32,"3-6 months",IF($AD20&lt;=55,"6-12 months","12+ months"))))</f>
      </c>
      <c r="AF20" s="52" t="s">
        <v>1142</v>
      </c>
      <c r="AG20" s="52" t="s">
        <v>1040</v>
      </c>
      <c r="AH20" s="52" t="s">
        <v>1007</v>
      </c>
      <c r="AI20" s="52" t="s">
        <v>1008</v>
      </c>
      <c r="AJ20" s="52" t="s">
        <v>1153</v>
      </c>
      <c r="AK20" s="52" t="s">
        <v>1154</v>
      </c>
      <c r="AL20" s="52" t="s">
        <v>1155</v>
      </c>
      <c r="AM20" s="52" t="s">
        <v>1156</v>
      </c>
      <c r="AN20" s="52" t="s">
        <v>1013</v>
      </c>
      <c r="AO20" s="52" t="s">
        <v>783</v>
      </c>
      <c r="AP20" s="52" t="s">
        <v>47</v>
      </c>
      <c r="AQ20" s="52"/>
      <c r="AR20" s="52"/>
      <c r="AS20" s="48">
        <f>IFERROR(SUMIFS(_TECH_Industry_Templates!$J:$J,_TECH_Industry_Templates!$A:$A,'Company Profile'!$B$9,_TECH_Industry_Templates!$B:$B,$B20),1)</f>
        <v>1</v>
      </c>
      <c r="AT20" s="48">
        <f>IF($AC20="","",ROUND($AC20*IF($AS20="",1,$AS20),2))</f>
      </c>
      <c r="AU20" s="48">
        <f>IF($AT20="","",RANK.EQ($AT20,$AT$5:$AT$76,0)+COUNTIF($AT$5:AT20,$AT20)-1)</f>
      </c>
      <c r="AV20" s="48" t="str">
        <f>IFERROR(INDEX('Improved Scoring Model'!$E$6:$E$22,MATCH($B20,'Improved Scoring Model'!$A$6:$A$22,0)),"")</f>
        <v/>
      </c>
      <c r="AW20" s="48" t="str">
        <f t="shared" si="9"/>
        <v>Industry-neutral priority</v>
      </c>
    </row>
    <row r="21" spans="1:49" ht="42" customHeight="1">
      <c r="A21" s="52" t="s">
        <v>1157</v>
      </c>
      <c r="B21" s="52" t="s">
        <v>66</v>
      </c>
      <c r="C21" s="52" t="s">
        <v>1158</v>
      </c>
      <c r="D21" s="52" t="s">
        <v>1159</v>
      </c>
      <c r="E21" s="52" t="s">
        <v>1160</v>
      </c>
      <c r="F21" s="52" t="s">
        <v>1161</v>
      </c>
      <c r="G21" s="52" t="s">
        <v>1162</v>
      </c>
      <c r="H21" s="52" t="s">
        <v>187</v>
      </c>
      <c r="I21" s="52" t="s">
        <v>1140</v>
      </c>
      <c r="J21" s="52" t="s">
        <v>1163</v>
      </c>
      <c r="K21" s="52">
        <v>7</v>
      </c>
      <c r="L21" s="52">
        <f>COUNTIFS('Executive Recommendations'!$C$8:$C$414,$B21,'Executive Recommendations'!$D$8:$D$414,$C21,'Executive Recommendations'!$B$8:$B$414,"Yes")</f>
        <v>0</v>
      </c>
      <c r="M21" s="52">
        <f>COUNTIFS('Risk Summary'!$C$8:$C$414,$B21,'Risk Summary'!$D$8:$D$414,$C21,'Risk Summary'!$B$8:$B$414,"Yes")</f>
        <v>0</v>
      </c>
      <c r="N21" s="52" t="str">
        <f t="shared" ca="1" si="0"/>
        <v/>
      </c>
      <c r="O21" s="52" t="str">
        <f t="shared" ca="1" si="1"/>
        <v/>
      </c>
      <c r="P21" s="52">
        <f>IFERROR(INDEX(Dashboard!$H$5:$H$21,MATCH($B21,Dashboard!$A$5:$A$21,0)),"")</f>
        <v>0</v>
      </c>
      <c r="Q21" s="52">
        <f t="shared" si="2"/>
        <v>5</v>
      </c>
      <c r="R21" s="52">
        <f>IFERROR(SUMIFS(_TECH_Crisis_Model!$D$5:$D$191,_TECH_Crisis_Model!$A$5:$A$191,'Crisis Simulator'!$B$4,_TECH_Crisis_Model!$B$5:$B$191,$B21),1)</f>
        <v>1.3</v>
      </c>
      <c r="S21" s="52">
        <f ca="1">IFERROR(INDEX('Strategy Selection'!$A$10:$A$23,MATCH($D21,'Strategy Selection'!$B$10:$B$23,0)),99)</f>
        <v>99</v>
      </c>
      <c r="T21" s="52">
        <f>IFERROR(INDEX('Strategy Selection'!$J$10:$J$23,MATCH($D21,'Strategy Selection'!$B$10:$B$23,0)),0)</f>
        <v>69</v>
      </c>
      <c r="U21" s="52">
        <v>3</v>
      </c>
      <c r="V21" s="52">
        <v>5</v>
      </c>
      <c r="W21" s="52">
        <v>4</v>
      </c>
      <c r="X21" s="52">
        <f>MAX(1,MIN(5,ROUNDUP((IF($O21="",0,$O21)*0.5)+(IF($Q21="",0,$Q21)*0.25)+((IF($T21="",0,$T21)/20)*0.25),0)))</f>
      </c>
      <c r="Y21" s="52">
        <f>MAX(1,MIN(5,ROUNDUP(((IF($R21="",1,$R21)-1)*1.6)+('Crisis Simulator'!$B$5*0.45)+IF(IF($S21="",99,$S21)&lt;=3,0.8,0),0)))</f>
      </c>
      <c r="Z21" s="52">
        <f>MAX(1,MIN(5,ROUNDUP((IF($O21="",0,$O21)*0.45)+(IF($M21="",0,$M21)*0.35)+(IF($V21="",0,$V21)*0.35),0)))</f>
      </c>
      <c r="AA21" s="52">
        <f>MAX(1,MIN(5,ROUNDUP((IF($U21="",0,$U21)*0.4)+(IF($W21="",0,$W21)*0.3)+((IF($T21="",0,$T21)/20)*0.3),0)))</f>
      </c>
      <c r="AB21" s="52">
        <v>3</v>
      </c>
      <c r="AC21" s="52">
        <f>IF($AB21=0,"",ROUND((IF($X21="",0,$X21)+IF($Y21="",0,$Y21)+IF($Z21="",0,$Z21)+IF($AA21="",0,$AA21))/$AB21,2))</f>
      </c>
      <c r="AD21" s="52">
        <f>IF($AC21="","",RANK.EQ($AC21,$AC$5:$AC$76,0)+COUNTIF($AC$5:$AC21,$AC21)-1)</f>
      </c>
      <c r="AE21" s="52">
        <f>IF($AD21="","",IF($AD21&lt;=12,"0-90 days",IF($AD21&lt;=32,"3-6 months",IF($AD21&lt;=55,"6-12 months","12+ months"))))</f>
      </c>
      <c r="AF21" s="52" t="s">
        <v>1142</v>
      </c>
      <c r="AG21" s="52" t="s">
        <v>1040</v>
      </c>
      <c r="AH21" s="52" t="s">
        <v>1007</v>
      </c>
      <c r="AI21" s="52" t="s">
        <v>1008</v>
      </c>
      <c r="AJ21" s="52" t="s">
        <v>1164</v>
      </c>
      <c r="AK21" s="52" t="s">
        <v>1165</v>
      </c>
      <c r="AL21" s="52" t="s">
        <v>1166</v>
      </c>
      <c r="AM21" s="52" t="s">
        <v>1167</v>
      </c>
      <c r="AN21" s="52" t="s">
        <v>1013</v>
      </c>
      <c r="AO21" s="52" t="s">
        <v>783</v>
      </c>
      <c r="AP21" s="52" t="s">
        <v>47</v>
      </c>
      <c r="AQ21" s="52"/>
      <c r="AR21" s="52"/>
      <c r="AS21" s="48">
        <f>IFERROR(SUMIFS(_TECH_Industry_Templates!$J:$J,_TECH_Industry_Templates!$A:$A,'Company Profile'!$B$9,_TECH_Industry_Templates!$B:$B,$B21),1)</f>
        <v>1</v>
      </c>
      <c r="AT21" s="48">
        <f>IF($AC21="","",ROUND($AC21*IF($AS21="",1,$AS21),2))</f>
      </c>
      <c r="AU21" s="48">
        <f>IF($AT21="","",RANK.EQ($AT21,$AT$5:$AT$76,0)+COUNTIF($AT$5:AT21,$AT21)-1)</f>
      </c>
      <c r="AV21" s="48" t="str">
        <f>IFERROR(INDEX('Improved Scoring Model'!$E$6:$E$22,MATCH($B21,'Improved Scoring Model'!$A$6:$A$22,0)),"")</f>
        <v/>
      </c>
      <c r="AW21" s="48" t="str">
        <f t="shared" si="9"/>
        <v>Industry-neutral priority</v>
      </c>
    </row>
    <row r="22" spans="1:49" ht="42" customHeight="1">
      <c r="A22" s="52" t="s">
        <v>1168</v>
      </c>
      <c r="B22" s="52" t="s">
        <v>66</v>
      </c>
      <c r="C22" s="52" t="s">
        <v>1169</v>
      </c>
      <c r="D22" s="52" t="s">
        <v>999</v>
      </c>
      <c r="E22" s="52" t="s">
        <v>1000</v>
      </c>
      <c r="F22" s="52" t="s">
        <v>1170</v>
      </c>
      <c r="G22" s="52" t="s">
        <v>1171</v>
      </c>
      <c r="H22" s="52" t="s">
        <v>187</v>
      </c>
      <c r="I22" s="52" t="s">
        <v>1140</v>
      </c>
      <c r="J22" s="52" t="s">
        <v>1172</v>
      </c>
      <c r="K22" s="52">
        <v>5</v>
      </c>
      <c r="L22" s="52">
        <f>COUNTIFS('Executive Recommendations'!$C$8:$C$414,$B22,'Executive Recommendations'!$D$8:$D$414,$C22,'Executive Recommendations'!$B$8:$B$414,"Yes")</f>
        <v>0</v>
      </c>
      <c r="M22" s="52">
        <f>COUNTIFS('Risk Summary'!$C$8:$C$414,$B22,'Risk Summary'!$D$8:$D$414,$C22,'Risk Summary'!$B$8:$B$414,"Yes")</f>
        <v>0</v>
      </c>
      <c r="N22" s="52" t="str">
        <f t="shared" ca="1" si="0"/>
        <v/>
      </c>
      <c r="O22" s="52" t="str">
        <f t="shared" ca="1" si="1"/>
        <v/>
      </c>
      <c r="P22" s="52">
        <f>IFERROR(INDEX(Dashboard!$H$5:$H$21,MATCH($B22,Dashboard!$A$5:$A$21,0)),"")</f>
        <v>0</v>
      </c>
      <c r="Q22" s="52">
        <f t="shared" si="2"/>
        <v>5</v>
      </c>
      <c r="R22" s="52">
        <f>IFERROR(SUMIFS(_TECH_Crisis_Model!$D$5:$D$191,_TECH_Crisis_Model!$A$5:$A$191,'Crisis Simulator'!$B$4,_TECH_Crisis_Model!$B$5:$B$191,$B22),1)</f>
        <v>1.3</v>
      </c>
      <c r="S22" s="52">
        <f ca="1">IFERROR(INDEX('Strategy Selection'!$A$10:$A$23,MATCH($D22,'Strategy Selection'!$B$10:$B$23,0)),99)</f>
        <v>99</v>
      </c>
      <c r="T22" s="52">
        <f>IFERROR(INDEX('Strategy Selection'!$J$10:$J$23,MATCH($D22,'Strategy Selection'!$B$10:$B$23,0)),0)</f>
        <v>69.5</v>
      </c>
      <c r="U22" s="52">
        <v>2</v>
      </c>
      <c r="V22" s="52">
        <v>5</v>
      </c>
      <c r="W22" s="52">
        <v>4</v>
      </c>
      <c r="X22" s="52">
        <f>MAX(1,MIN(5,ROUNDUP((IF($O22="",0,$O22)*0.5)+(IF($Q22="",0,$Q22)*0.25)+((IF($T22="",0,$T22)/20)*0.25),0)))</f>
      </c>
      <c r="Y22" s="52">
        <f>MAX(1,MIN(5,ROUNDUP(((IF($R22="",1,$R22)-1)*1.6)+('Crisis Simulator'!$B$5*0.45)+IF(IF($S22="",99,$S22)&lt;=3,0.8,0),0)))</f>
      </c>
      <c r="Z22" s="52">
        <f>MAX(1,MIN(5,ROUNDUP((IF($O22="",0,$O22)*0.45)+(IF($M22="",0,$M22)*0.35)+(IF($V22="",0,$V22)*0.35),0)))</f>
      </c>
      <c r="AA22" s="52">
        <f>MAX(1,MIN(5,ROUNDUP((IF($U22="",0,$U22)*0.4)+(IF($W22="",0,$W22)*0.3)+((IF($T22="",0,$T22)/20)*0.3),0)))</f>
      </c>
      <c r="AB22" s="52">
        <v>3</v>
      </c>
      <c r="AC22" s="52">
        <f>IF($AB22=0,"",ROUND((IF($X22="",0,$X22)+IF($Y22="",0,$Y22)+IF($Z22="",0,$Z22)+IF($AA22="",0,$AA22))/$AB22,2))</f>
      </c>
      <c r="AD22" s="52">
        <f>IF($AC22="","",RANK.EQ($AC22,$AC$5:$AC$76,0)+COUNTIF($AC$5:$AC22,$AC22)-1)</f>
      </c>
      <c r="AE22" s="52">
        <f>IF($AD22="","",IF($AD22&lt;=12,"0-90 days",IF($AD22&lt;=32,"3-6 months",IF($AD22&lt;=55,"6-12 months","12+ months"))))</f>
      </c>
      <c r="AF22" s="52" t="s">
        <v>1142</v>
      </c>
      <c r="AG22" s="52" t="s">
        <v>1040</v>
      </c>
      <c r="AH22" s="52" t="s">
        <v>1007</v>
      </c>
      <c r="AI22" s="52" t="s">
        <v>1008</v>
      </c>
      <c r="AJ22" s="52" t="s">
        <v>1173</v>
      </c>
      <c r="AK22" s="52" t="s">
        <v>1174</v>
      </c>
      <c r="AL22" s="52" t="s">
        <v>1175</v>
      </c>
      <c r="AM22" s="52" t="s">
        <v>1012</v>
      </c>
      <c r="AN22" s="52" t="s">
        <v>1013</v>
      </c>
      <c r="AO22" s="52" t="s">
        <v>783</v>
      </c>
      <c r="AP22" s="52" t="s">
        <v>47</v>
      </c>
      <c r="AQ22" s="52"/>
      <c r="AR22" s="52"/>
      <c r="AS22" s="48">
        <f>IFERROR(SUMIFS(_TECH_Industry_Templates!$J:$J,_TECH_Industry_Templates!$A:$A,'Company Profile'!$B$9,_TECH_Industry_Templates!$B:$B,$B22),1)</f>
        <v>1</v>
      </c>
      <c r="AT22" s="48">
        <f>IF($AC22="","",ROUND($AC22*IF($AS22="",1,$AS22),2))</f>
      </c>
      <c r="AU22" s="48">
        <f>IF($AT22="","",RANK.EQ($AT22,$AT$5:$AT$76,0)+COUNTIF($AT$5:AT22,$AT22)-1)</f>
      </c>
      <c r="AV22" s="48" t="str">
        <f>IFERROR(INDEX('Improved Scoring Model'!$E$6:$E$22,MATCH($B22,'Improved Scoring Model'!$A$6:$A$22,0)),"")</f>
        <v/>
      </c>
      <c r="AW22" s="48" t="str">
        <f t="shared" si="9"/>
        <v>Industry-neutral priority</v>
      </c>
    </row>
    <row r="23" spans="1:49" ht="42" customHeight="1">
      <c r="A23" s="52" t="s">
        <v>1176</v>
      </c>
      <c r="B23" s="52" t="s">
        <v>69</v>
      </c>
      <c r="C23" s="52" t="s">
        <v>1177</v>
      </c>
      <c r="D23" s="52" t="s">
        <v>1148</v>
      </c>
      <c r="E23" s="52" t="s">
        <v>1149</v>
      </c>
      <c r="F23" s="52" t="s">
        <v>1178</v>
      </c>
      <c r="G23" s="52" t="s">
        <v>1179</v>
      </c>
      <c r="H23" s="52" t="s">
        <v>188</v>
      </c>
      <c r="I23" s="52" t="s">
        <v>1180</v>
      </c>
      <c r="J23" s="52" t="s">
        <v>1181</v>
      </c>
      <c r="K23" s="52">
        <v>6</v>
      </c>
      <c r="L23" s="52">
        <f>COUNTIFS('Executive Recommendations'!$C$8:$C$414,$B23,'Executive Recommendations'!$D$8:$D$414,$C23,'Executive Recommendations'!$B$8:$B$414,"Yes")</f>
        <v>0</v>
      </c>
      <c r="M23" s="52">
        <f>COUNTIFS('Risk Summary'!$C$8:$C$414,$B23,'Risk Summary'!$D$8:$D$414,$C23,'Risk Summary'!$B$8:$B$414,"Yes")</f>
        <v>0</v>
      </c>
      <c r="N23" s="52" t="str">
        <f t="shared" ca="1" si="0"/>
        <v/>
      </c>
      <c r="O23" s="52" t="str">
        <f t="shared" ca="1" si="1"/>
        <v/>
      </c>
      <c r="P23" s="52">
        <f>IFERROR(INDEX(Dashboard!$H$5:$H$21,MATCH($B23,Dashboard!$A$5:$A$21,0)),"")</f>
        <v>0</v>
      </c>
      <c r="Q23" s="52">
        <f t="shared" si="2"/>
        <v>5</v>
      </c>
      <c r="R23" s="52">
        <f>IFERROR(SUMIFS(_TECH_Crisis_Model!$D$5:$D$191,_TECH_Crisis_Model!$A$5:$A$191,'Crisis Simulator'!$B$4,_TECH_Crisis_Model!$B$5:$B$191,$B23),1)</f>
        <v>1.4</v>
      </c>
      <c r="S23" s="52">
        <f ca="1">IFERROR(INDEX('Strategy Selection'!$A$10:$A$23,MATCH($D23,'Strategy Selection'!$B$10:$B$23,0)),99)</f>
        <v>99</v>
      </c>
      <c r="T23" s="52">
        <f>IFERROR(INDEX('Strategy Selection'!$J$10:$J$23,MATCH($D23,'Strategy Selection'!$B$10:$B$23,0)),0)</f>
        <v>61.5</v>
      </c>
      <c r="U23" s="52">
        <v>2</v>
      </c>
      <c r="V23" s="52">
        <v>4</v>
      </c>
      <c r="W23" s="52">
        <v>5</v>
      </c>
      <c r="X23" s="52">
        <f>MAX(1,MIN(5,ROUNDUP((IF($O23="",0,$O23)*0.5)+(IF($Q23="",0,$Q23)*0.25)+((IF($T23="",0,$T23)/20)*0.25),0)))</f>
      </c>
      <c r="Y23" s="52">
        <f>MAX(1,MIN(5,ROUNDUP(((IF($R23="",1,$R23)-1)*1.6)+('Crisis Simulator'!$B$5*0.45)+IF(IF($S23="",99,$S23)&lt;=3,0.8,0),0)))</f>
      </c>
      <c r="Z23" s="52">
        <f>MAX(1,MIN(5,ROUNDUP((IF($O23="",0,$O23)*0.45)+(IF($M23="",0,$M23)*0.35)+(IF($V23="",0,$V23)*0.35),0)))</f>
      </c>
      <c r="AA23" s="52">
        <f>MAX(1,MIN(5,ROUNDUP((IF($U23="",0,$U23)*0.4)+(IF($W23="",0,$W23)*0.3)+((IF($T23="",0,$T23)/20)*0.3),0)))</f>
      </c>
      <c r="AB23" s="52">
        <v>2</v>
      </c>
      <c r="AC23" s="52">
        <f>IF($AB23=0,"",ROUND((IF($X23="",0,$X23)+IF($Y23="",0,$Y23)+IF($Z23="",0,$Z23)+IF($AA23="",0,$AA23))/$AB23,2))</f>
      </c>
      <c r="AD23" s="52">
        <f>IF($AC23="","",RANK.EQ($AC23,$AC$5:$AC$76,0)+COUNTIF($AC$5:$AC23,$AC23)-1)</f>
      </c>
      <c r="AE23" s="52">
        <f>IF($AD23="","",IF($AD23&lt;=12,"0-90 days",IF($AD23&lt;=32,"3-6 months",IF($AD23&lt;=55,"6-12 months","12+ months"))))</f>
      </c>
      <c r="AF23" s="52" t="s">
        <v>1182</v>
      </c>
      <c r="AG23" s="52" t="s">
        <v>1006</v>
      </c>
      <c r="AH23" s="52" t="s">
        <v>1007</v>
      </c>
      <c r="AI23" s="52" t="s">
        <v>1008</v>
      </c>
      <c r="AJ23" s="52" t="s">
        <v>1183</v>
      </c>
      <c r="AK23" s="52" t="s">
        <v>1184</v>
      </c>
      <c r="AL23" s="52" t="s">
        <v>1185</v>
      </c>
      <c r="AM23" s="52" t="s">
        <v>1156</v>
      </c>
      <c r="AN23" s="52" t="s">
        <v>1013</v>
      </c>
      <c r="AO23" s="52" t="s">
        <v>783</v>
      </c>
      <c r="AP23" s="52" t="s">
        <v>1014</v>
      </c>
      <c r="AQ23" s="52"/>
      <c r="AR23" s="52"/>
      <c r="AS23" s="48">
        <f>IFERROR(SUMIFS(_TECH_Industry_Templates!$J:$J,_TECH_Industry_Templates!$A:$A,'Company Profile'!$B$9,_TECH_Industry_Templates!$B:$B,$B23),1)</f>
        <v>1</v>
      </c>
      <c r="AT23" s="48">
        <f>IF($AC23="","",ROUND($AC23*IF($AS23="",1,$AS23),2))</f>
      </c>
      <c r="AU23" s="48">
        <f>IF($AT23="","",RANK.EQ($AT23,$AT$5:$AT$76,0)+COUNTIF($AT$5:AT23,$AT23)-1)</f>
      </c>
      <c r="AV23" s="48" t="str">
        <f>IFERROR(INDEX('Improved Scoring Model'!$E$6:$E$22,MATCH($B23,'Improved Scoring Model'!$A$6:$A$22,0)),"")</f>
        <v/>
      </c>
      <c r="AW23" s="48" t="str">
        <f t="shared" si="9"/>
        <v>Industry-neutral priority</v>
      </c>
    </row>
    <row r="24" spans="1:49" ht="42" customHeight="1">
      <c r="A24" s="52" t="s">
        <v>1186</v>
      </c>
      <c r="B24" s="52" t="s">
        <v>69</v>
      </c>
      <c r="C24" s="52" t="s">
        <v>1187</v>
      </c>
      <c r="D24" s="52" t="s">
        <v>1148</v>
      </c>
      <c r="E24" s="52" t="s">
        <v>1149</v>
      </c>
      <c r="F24" s="52" t="s">
        <v>1188</v>
      </c>
      <c r="G24" s="52" t="s">
        <v>1189</v>
      </c>
      <c r="H24" s="52" t="s">
        <v>188</v>
      </c>
      <c r="I24" s="52" t="s">
        <v>1180</v>
      </c>
      <c r="J24" s="52" t="s">
        <v>1190</v>
      </c>
      <c r="K24" s="52">
        <v>6</v>
      </c>
      <c r="L24" s="52">
        <f>COUNTIFS('Executive Recommendations'!$C$8:$C$414,$B24,'Executive Recommendations'!$D$8:$D$414,$C24,'Executive Recommendations'!$B$8:$B$414,"Yes")</f>
        <v>0</v>
      </c>
      <c r="M24" s="52">
        <f>COUNTIFS('Risk Summary'!$C$8:$C$414,$B24,'Risk Summary'!$D$8:$D$414,$C24,'Risk Summary'!$B$8:$B$414,"Yes")</f>
        <v>0</v>
      </c>
      <c r="N24" s="52" t="str">
        <f t="shared" ca="1" si="0"/>
        <v/>
      </c>
      <c r="O24" s="52" t="str">
        <f t="shared" ca="1" si="1"/>
        <v/>
      </c>
      <c r="P24" s="52">
        <f>IFERROR(INDEX(Dashboard!$H$5:$H$21,MATCH($B24,Dashboard!$A$5:$A$21,0)),"")</f>
        <v>0</v>
      </c>
      <c r="Q24" s="52">
        <f t="shared" si="2"/>
        <v>5</v>
      </c>
      <c r="R24" s="52">
        <f>IFERROR(SUMIFS(_TECH_Crisis_Model!$D$5:$D$191,_TECH_Crisis_Model!$A$5:$A$191,'Crisis Simulator'!$B$4,_TECH_Crisis_Model!$B$5:$B$191,$B24),1)</f>
        <v>1.4</v>
      </c>
      <c r="S24" s="52">
        <f ca="1">IFERROR(INDEX('Strategy Selection'!$A$10:$A$23,MATCH($D24,'Strategy Selection'!$B$10:$B$23,0)),99)</f>
        <v>99</v>
      </c>
      <c r="T24" s="52">
        <f>IFERROR(INDEX('Strategy Selection'!$J$10:$J$23,MATCH($D24,'Strategy Selection'!$B$10:$B$23,0)),0)</f>
        <v>61.5</v>
      </c>
      <c r="U24" s="52">
        <v>2</v>
      </c>
      <c r="V24" s="52">
        <v>4</v>
      </c>
      <c r="W24" s="52">
        <v>5</v>
      </c>
      <c r="X24" s="52">
        <f>MAX(1,MIN(5,ROUNDUP((IF($O24="",0,$O24)*0.5)+(IF($Q24="",0,$Q24)*0.25)+((IF($T24="",0,$T24)/20)*0.25),0)))</f>
      </c>
      <c r="Y24" s="52">
        <f>MAX(1,MIN(5,ROUNDUP(((IF($R24="",1,$R24)-1)*1.6)+('Crisis Simulator'!$B$5*0.45)+IF(IF($S24="",99,$S24)&lt;=3,0.8,0),0)))</f>
      </c>
      <c r="Z24" s="52">
        <f>MAX(1,MIN(5,ROUNDUP((IF($O24="",0,$O24)*0.45)+(IF($M24="",0,$M24)*0.35)+(IF($V24="",0,$V24)*0.35),0)))</f>
      </c>
      <c r="AA24" s="52">
        <f>MAX(1,MIN(5,ROUNDUP((IF($U24="",0,$U24)*0.4)+(IF($W24="",0,$W24)*0.3)+((IF($T24="",0,$T24)/20)*0.3),0)))</f>
      </c>
      <c r="AB24" s="52">
        <v>2</v>
      </c>
      <c r="AC24" s="52">
        <f>IF($AB24=0,"",ROUND((IF($X24="",0,$X24)+IF($Y24="",0,$Y24)+IF($Z24="",0,$Z24)+IF($AA24="",0,$AA24))/$AB24,2))</f>
      </c>
      <c r="AD24" s="52">
        <f>IF($AC24="","",RANK.EQ($AC24,$AC$5:$AC$76,0)+COUNTIF($AC$5:$AC24,$AC24)-1)</f>
      </c>
      <c r="AE24" s="52">
        <f>IF($AD24="","",IF($AD24&lt;=12,"0-90 days",IF($AD24&lt;=32,"3-6 months",IF($AD24&lt;=55,"6-12 months","12+ months"))))</f>
      </c>
      <c r="AF24" s="52" t="s">
        <v>1182</v>
      </c>
      <c r="AG24" s="52" t="s">
        <v>1006</v>
      </c>
      <c r="AH24" s="52" t="s">
        <v>1007</v>
      </c>
      <c r="AI24" s="52" t="s">
        <v>1008</v>
      </c>
      <c r="AJ24" s="52" t="s">
        <v>1191</v>
      </c>
      <c r="AK24" s="52" t="s">
        <v>1192</v>
      </c>
      <c r="AL24" s="52" t="s">
        <v>1193</v>
      </c>
      <c r="AM24" s="52" t="s">
        <v>1156</v>
      </c>
      <c r="AN24" s="52" t="s">
        <v>1013</v>
      </c>
      <c r="AO24" s="52" t="s">
        <v>783</v>
      </c>
      <c r="AP24" s="52" t="s">
        <v>1014</v>
      </c>
      <c r="AQ24" s="52"/>
      <c r="AR24" s="52"/>
      <c r="AS24" s="48">
        <f>IFERROR(SUMIFS(_TECH_Industry_Templates!$J:$J,_TECH_Industry_Templates!$A:$A,'Company Profile'!$B$9,_TECH_Industry_Templates!$B:$B,$B24),1)</f>
        <v>1</v>
      </c>
      <c r="AT24" s="48">
        <f>IF($AC24="","",ROUND($AC24*IF($AS24="",1,$AS24),2))</f>
      </c>
      <c r="AU24" s="48">
        <f>IF($AT24="","",RANK.EQ($AT24,$AT$5:$AT$76,0)+COUNTIF($AT$5:AT24,$AT24)-1)</f>
      </c>
      <c r="AV24" s="48" t="str">
        <f>IFERROR(INDEX('Improved Scoring Model'!$E$6:$E$22,MATCH($B24,'Improved Scoring Model'!$A$6:$A$22,0)),"")</f>
        <v/>
      </c>
      <c r="AW24" s="48" t="str">
        <f t="shared" si="9"/>
        <v>Industry-neutral priority</v>
      </c>
    </row>
    <row r="25" spans="1:49" ht="42" customHeight="1">
      <c r="A25" s="52" t="s">
        <v>1194</v>
      </c>
      <c r="B25" s="52" t="s">
        <v>69</v>
      </c>
      <c r="C25" s="52" t="s">
        <v>1195</v>
      </c>
      <c r="D25" s="52" t="s">
        <v>1148</v>
      </c>
      <c r="E25" s="52" t="s">
        <v>1149</v>
      </c>
      <c r="F25" s="52" t="s">
        <v>1196</v>
      </c>
      <c r="G25" s="52" t="s">
        <v>1197</v>
      </c>
      <c r="H25" s="52" t="s">
        <v>188</v>
      </c>
      <c r="I25" s="52" t="s">
        <v>1180</v>
      </c>
      <c r="J25" s="52" t="s">
        <v>1198</v>
      </c>
      <c r="K25" s="52">
        <v>6</v>
      </c>
      <c r="L25" s="52">
        <f>COUNTIFS('Executive Recommendations'!$C$8:$C$414,$B25,'Executive Recommendations'!$D$8:$D$414,$C25,'Executive Recommendations'!$B$8:$B$414,"Yes")</f>
        <v>0</v>
      </c>
      <c r="M25" s="52">
        <f>COUNTIFS('Risk Summary'!$C$8:$C$414,$B25,'Risk Summary'!$D$8:$D$414,$C25,'Risk Summary'!$B$8:$B$414,"Yes")</f>
        <v>0</v>
      </c>
      <c r="N25" s="52" t="str">
        <f t="shared" ca="1" si="0"/>
        <v/>
      </c>
      <c r="O25" s="52" t="str">
        <f t="shared" ca="1" si="1"/>
        <v/>
      </c>
      <c r="P25" s="52">
        <f>IFERROR(INDEX(Dashboard!$H$5:$H$21,MATCH($B25,Dashboard!$A$5:$A$21,0)),"")</f>
        <v>0</v>
      </c>
      <c r="Q25" s="52">
        <f t="shared" si="2"/>
        <v>5</v>
      </c>
      <c r="R25" s="52">
        <f>IFERROR(SUMIFS(_TECH_Crisis_Model!$D$5:$D$191,_TECH_Crisis_Model!$A$5:$A$191,'Crisis Simulator'!$B$4,_TECH_Crisis_Model!$B$5:$B$191,$B25),1)</f>
        <v>1.4</v>
      </c>
      <c r="S25" s="52">
        <f ca="1">IFERROR(INDEX('Strategy Selection'!$A$10:$A$23,MATCH($D25,'Strategy Selection'!$B$10:$B$23,0)),99)</f>
        <v>99</v>
      </c>
      <c r="T25" s="52">
        <f>IFERROR(INDEX('Strategy Selection'!$J$10:$J$23,MATCH($D25,'Strategy Selection'!$B$10:$B$23,0)),0)</f>
        <v>61.5</v>
      </c>
      <c r="U25" s="52">
        <v>2</v>
      </c>
      <c r="V25" s="52">
        <v>4</v>
      </c>
      <c r="W25" s="52">
        <v>5</v>
      </c>
      <c r="X25" s="52">
        <f>MAX(1,MIN(5,ROUNDUP((IF($O25="",0,$O25)*0.5)+(IF($Q25="",0,$Q25)*0.25)+((IF($T25="",0,$T25)/20)*0.25),0)))</f>
      </c>
      <c r="Y25" s="52">
        <f>MAX(1,MIN(5,ROUNDUP(((IF($R25="",1,$R25)-1)*1.6)+('Crisis Simulator'!$B$5*0.45)+IF(IF($S25="",99,$S25)&lt;=3,0.8,0),0)))</f>
      </c>
      <c r="Z25" s="52">
        <f>MAX(1,MIN(5,ROUNDUP((IF($O25="",0,$O25)*0.45)+(IF($M25="",0,$M25)*0.35)+(IF($V25="",0,$V25)*0.35),0)))</f>
      </c>
      <c r="AA25" s="52">
        <f>MAX(1,MIN(5,ROUNDUP((IF($U25="",0,$U25)*0.4)+(IF($W25="",0,$W25)*0.3)+((IF($T25="",0,$T25)/20)*0.3),0)))</f>
      </c>
      <c r="AB25" s="52">
        <v>2</v>
      </c>
      <c r="AC25" s="52">
        <f>IF($AB25=0,"",ROUND((IF($X25="",0,$X25)+IF($Y25="",0,$Y25)+IF($Z25="",0,$Z25)+IF($AA25="",0,$AA25))/$AB25,2))</f>
      </c>
      <c r="AD25" s="52">
        <f>IF($AC25="","",RANK.EQ($AC25,$AC$5:$AC$76,0)+COUNTIF($AC$5:$AC25,$AC25)-1)</f>
      </c>
      <c r="AE25" s="52">
        <f>IF($AD25="","",IF($AD25&lt;=12,"0-90 days",IF($AD25&lt;=32,"3-6 months",IF($AD25&lt;=55,"6-12 months","12+ months"))))</f>
      </c>
      <c r="AF25" s="52" t="s">
        <v>1182</v>
      </c>
      <c r="AG25" s="52" t="s">
        <v>1006</v>
      </c>
      <c r="AH25" s="52" t="s">
        <v>1007</v>
      </c>
      <c r="AI25" s="52" t="s">
        <v>1008</v>
      </c>
      <c r="AJ25" s="52" t="s">
        <v>1199</v>
      </c>
      <c r="AK25" s="52" t="s">
        <v>1200</v>
      </c>
      <c r="AL25" s="52" t="s">
        <v>1201</v>
      </c>
      <c r="AM25" s="52" t="s">
        <v>1156</v>
      </c>
      <c r="AN25" s="52" t="s">
        <v>1013</v>
      </c>
      <c r="AO25" s="52" t="s">
        <v>783</v>
      </c>
      <c r="AP25" s="52" t="s">
        <v>1014</v>
      </c>
      <c r="AQ25" s="52"/>
      <c r="AR25" s="52"/>
      <c r="AS25" s="48">
        <f>IFERROR(SUMIFS(_TECH_Industry_Templates!$J:$J,_TECH_Industry_Templates!$A:$A,'Company Profile'!$B$9,_TECH_Industry_Templates!$B:$B,$B25),1)</f>
        <v>1</v>
      </c>
      <c r="AT25" s="48">
        <f>IF($AC25="","",ROUND($AC25*IF($AS25="",1,$AS25),2))</f>
      </c>
      <c r="AU25" s="48">
        <f>IF($AT25="","",RANK.EQ($AT25,$AT$5:$AT$76,0)+COUNTIF($AT$5:AT25,$AT25)-1)</f>
      </c>
      <c r="AV25" s="48" t="str">
        <f>IFERROR(INDEX('Improved Scoring Model'!$E$6:$E$22,MATCH($B25,'Improved Scoring Model'!$A$6:$A$22,0)),"")</f>
        <v/>
      </c>
      <c r="AW25" s="48" t="str">
        <f t="shared" si="9"/>
        <v>Industry-neutral priority</v>
      </c>
    </row>
    <row r="26" spans="1:49" ht="42" customHeight="1">
      <c r="A26" s="52" t="s">
        <v>1202</v>
      </c>
      <c r="B26" s="52" t="s">
        <v>69</v>
      </c>
      <c r="C26" s="52" t="s">
        <v>1203</v>
      </c>
      <c r="D26" s="52" t="s">
        <v>1148</v>
      </c>
      <c r="E26" s="52" t="s">
        <v>1149</v>
      </c>
      <c r="F26" s="52" t="s">
        <v>1204</v>
      </c>
      <c r="G26" s="52" t="s">
        <v>1205</v>
      </c>
      <c r="H26" s="52" t="s">
        <v>188</v>
      </c>
      <c r="I26" s="52" t="s">
        <v>1180</v>
      </c>
      <c r="J26" s="52" t="s">
        <v>1206</v>
      </c>
      <c r="K26" s="52">
        <v>2</v>
      </c>
      <c r="L26" s="52">
        <f>COUNTIFS('Executive Recommendations'!$C$8:$C$414,$B26,'Executive Recommendations'!$D$8:$D$414,$C26,'Executive Recommendations'!$B$8:$B$414,"Yes")</f>
        <v>0</v>
      </c>
      <c r="M26" s="52">
        <f>COUNTIFS('Risk Summary'!$C$8:$C$414,$B26,'Risk Summary'!$D$8:$D$414,$C26,'Risk Summary'!$B$8:$B$414,"Yes")</f>
        <v>0</v>
      </c>
      <c r="N26" s="52" t="str">
        <f t="shared" ca="1" si="0"/>
        <v/>
      </c>
      <c r="O26" s="52" t="str">
        <f t="shared" ca="1" si="1"/>
        <v/>
      </c>
      <c r="P26" s="52">
        <f>IFERROR(INDEX(Dashboard!$H$5:$H$21,MATCH($B26,Dashboard!$A$5:$A$21,0)),"")</f>
        <v>0</v>
      </c>
      <c r="Q26" s="52">
        <f t="shared" si="2"/>
        <v>5</v>
      </c>
      <c r="R26" s="52">
        <f>IFERROR(SUMIFS(_TECH_Crisis_Model!$D$5:$D$191,_TECH_Crisis_Model!$A$5:$A$191,'Crisis Simulator'!$B$4,_TECH_Crisis_Model!$B$5:$B$191,$B26),1)</f>
        <v>1.4</v>
      </c>
      <c r="S26" s="52">
        <f ca="1">IFERROR(INDEX('Strategy Selection'!$A$10:$A$23,MATCH($D26,'Strategy Selection'!$B$10:$B$23,0)),99)</f>
        <v>99</v>
      </c>
      <c r="T26" s="52">
        <f>IFERROR(INDEX('Strategy Selection'!$J$10:$J$23,MATCH($D26,'Strategy Selection'!$B$10:$B$23,0)),0)</f>
        <v>61.5</v>
      </c>
      <c r="U26" s="52">
        <v>2</v>
      </c>
      <c r="V26" s="52">
        <v>4</v>
      </c>
      <c r="W26" s="52">
        <v>5</v>
      </c>
      <c r="X26" s="52">
        <f>MAX(1,MIN(5,ROUNDUP((IF($O26="",0,$O26)*0.5)+(IF($Q26="",0,$Q26)*0.25)+((IF($T26="",0,$T26)/20)*0.25),0)))</f>
      </c>
      <c r="Y26" s="52">
        <f>MAX(1,MIN(5,ROUNDUP(((IF($R26="",1,$R26)-1)*1.6)+('Crisis Simulator'!$B$5*0.45)+IF(IF($S26="",99,$S26)&lt;=3,0.8,0),0)))</f>
      </c>
      <c r="Z26" s="52">
        <f>MAX(1,MIN(5,ROUNDUP((IF($O26="",0,$O26)*0.45)+(IF($M26="",0,$M26)*0.35)+(IF($V26="",0,$V26)*0.35),0)))</f>
      </c>
      <c r="AA26" s="52">
        <f>MAX(1,MIN(5,ROUNDUP((IF($U26="",0,$U26)*0.4)+(IF($W26="",0,$W26)*0.3)+((IF($T26="",0,$T26)/20)*0.3),0)))</f>
      </c>
      <c r="AB26" s="52">
        <v>2</v>
      </c>
      <c r="AC26" s="52">
        <f>IF($AB26=0,"",ROUND((IF($X26="",0,$X26)+IF($Y26="",0,$Y26)+IF($Z26="",0,$Z26)+IF($AA26="",0,$AA26))/$AB26,2))</f>
      </c>
      <c r="AD26" s="52">
        <f>IF($AC26="","",RANK.EQ($AC26,$AC$5:$AC$76,0)+COUNTIF($AC$5:$AC26,$AC26)-1)</f>
      </c>
      <c r="AE26" s="52">
        <f>IF($AD26="","",IF($AD26&lt;=12,"0-90 days",IF($AD26&lt;=32,"3-6 months",IF($AD26&lt;=55,"6-12 months","12+ months"))))</f>
      </c>
      <c r="AF26" s="52" t="s">
        <v>1182</v>
      </c>
      <c r="AG26" s="52" t="s">
        <v>1006</v>
      </c>
      <c r="AH26" s="52" t="s">
        <v>1007</v>
      </c>
      <c r="AI26" s="52" t="s">
        <v>1008</v>
      </c>
      <c r="AJ26" s="52" t="s">
        <v>1207</v>
      </c>
      <c r="AK26" s="52" t="s">
        <v>1208</v>
      </c>
      <c r="AL26" s="52" t="s">
        <v>1209</v>
      </c>
      <c r="AM26" s="52" t="s">
        <v>1156</v>
      </c>
      <c r="AN26" s="52" t="s">
        <v>1013</v>
      </c>
      <c r="AO26" s="52" t="s">
        <v>783</v>
      </c>
      <c r="AP26" s="52" t="s">
        <v>1014</v>
      </c>
      <c r="AQ26" s="52"/>
      <c r="AR26" s="52"/>
      <c r="AS26" s="48">
        <f>IFERROR(SUMIFS(_TECH_Industry_Templates!$J:$J,_TECH_Industry_Templates!$A:$A,'Company Profile'!$B$9,_TECH_Industry_Templates!$B:$B,$B26),1)</f>
        <v>1</v>
      </c>
      <c r="AT26" s="48">
        <f>IF($AC26="","",ROUND($AC26*IF($AS26="",1,$AS26),2))</f>
      </c>
      <c r="AU26" s="48">
        <f>IF($AT26="","",RANK.EQ($AT26,$AT$5:$AT$76,0)+COUNTIF($AT$5:AT26,$AT26)-1)</f>
      </c>
      <c r="AV26" s="48" t="str">
        <f>IFERROR(INDEX('Improved Scoring Model'!$E$6:$E$22,MATCH($B26,'Improved Scoring Model'!$A$6:$A$22,0)),"")</f>
        <v/>
      </c>
      <c r="AW26" s="48" t="str">
        <f t="shared" si="9"/>
        <v>Industry-neutral priority</v>
      </c>
    </row>
    <row r="27" spans="1:49" ht="42" customHeight="1">
      <c r="A27" s="52" t="s">
        <v>1210</v>
      </c>
      <c r="B27" s="52" t="s">
        <v>72</v>
      </c>
      <c r="C27" s="52" t="s">
        <v>1211</v>
      </c>
      <c r="D27" s="52" t="s">
        <v>1212</v>
      </c>
      <c r="E27" s="52" t="s">
        <v>1213</v>
      </c>
      <c r="F27" s="52" t="s">
        <v>1214</v>
      </c>
      <c r="G27" s="52" t="s">
        <v>1215</v>
      </c>
      <c r="H27" s="52" t="s">
        <v>189</v>
      </c>
      <c r="I27" s="52" t="s">
        <v>1216</v>
      </c>
      <c r="J27" s="52" t="s">
        <v>1217</v>
      </c>
      <c r="K27" s="52">
        <v>6</v>
      </c>
      <c r="L27" s="52">
        <f>COUNTIFS('Executive Recommendations'!$C$8:$C$414,$B27,'Executive Recommendations'!$D$8:$D$414,$C27,'Executive Recommendations'!$B$8:$B$414,"Yes")</f>
        <v>0</v>
      </c>
      <c r="M27" s="52">
        <f>COUNTIFS('Risk Summary'!$C$8:$C$414,$B27,'Risk Summary'!$D$8:$D$414,$C27,'Risk Summary'!$B$8:$B$414,"Yes")</f>
        <v>0</v>
      </c>
      <c r="N27" s="52" t="str">
        <f t="shared" ca="1" si="0"/>
        <v/>
      </c>
      <c r="O27" s="52" t="str">
        <f t="shared" ca="1" si="1"/>
        <v/>
      </c>
      <c r="P27" s="52">
        <f>IFERROR(INDEX(Dashboard!$H$5:$H$21,MATCH($B27,Dashboard!$A$5:$A$21,0)),"")</f>
        <v>0</v>
      </c>
      <c r="Q27" s="52">
        <f t="shared" si="2"/>
        <v>5</v>
      </c>
      <c r="R27" s="52">
        <f>IFERROR(SUMIFS(_TECH_Crisis_Model!$D$5:$D$191,_TECH_Crisis_Model!$A$5:$A$191,'Crisis Simulator'!$B$4,_TECH_Crisis_Model!$B$5:$B$191,$B27),1)</f>
        <v>2</v>
      </c>
      <c r="S27" s="52">
        <f ca="1">IFERROR(INDEX('Strategy Selection'!$A$10:$A$23,MATCH($D27,'Strategy Selection'!$B$10:$B$23,0)),99)</f>
        <v>99</v>
      </c>
      <c r="T27" s="52">
        <f>IFERROR(INDEX('Strategy Selection'!$J$10:$J$23,MATCH($D27,'Strategy Selection'!$B$10:$B$23,0)),0)</f>
        <v>69.5</v>
      </c>
      <c r="U27" s="52">
        <v>2</v>
      </c>
      <c r="V27" s="52">
        <v>5</v>
      </c>
      <c r="W27" s="52">
        <v>4</v>
      </c>
      <c r="X27" s="52">
        <f>MAX(1,MIN(5,ROUNDUP((IF($O27="",0,$O27)*0.5)+(IF($Q27="",0,$Q27)*0.25)+((IF($T27="",0,$T27)/20)*0.25),0)))</f>
      </c>
      <c r="Y27" s="52">
        <f>MAX(1,MIN(5,ROUNDUP(((IF($R27="",1,$R27)-1)*1.6)+('Crisis Simulator'!$B$5*0.45)+IF(IF($S27="",99,$S27)&lt;=3,0.8,0),0)))</f>
      </c>
      <c r="Z27" s="52">
        <f>MAX(1,MIN(5,ROUNDUP((IF($O27="",0,$O27)*0.45)+(IF($M27="",0,$M27)*0.35)+(IF($V27="",0,$V27)*0.35),0)))</f>
      </c>
      <c r="AA27" s="52">
        <f>MAX(1,MIN(5,ROUNDUP((IF($U27="",0,$U27)*0.4)+(IF($W27="",0,$W27)*0.3)+((IF($T27="",0,$T27)/20)*0.3),0)))</f>
      </c>
      <c r="AB27" s="52">
        <v>3</v>
      </c>
      <c r="AC27" s="52">
        <f>IF($AB27=0,"",ROUND((IF($X27="",0,$X27)+IF($Y27="",0,$Y27)+IF($Z27="",0,$Z27)+IF($AA27="",0,$AA27))/$AB27,2))</f>
      </c>
      <c r="AD27" s="52">
        <f>IF($AC27="","",RANK.EQ($AC27,$AC$5:$AC$76,0)+COUNTIF($AC$5:$AC27,$AC27)-1)</f>
      </c>
      <c r="AE27" s="52">
        <f>IF($AD27="","",IF($AD27&lt;=12,"0-90 days",IF($AD27&lt;=32,"3-6 months",IF($AD27&lt;=55,"6-12 months","12+ months"))))</f>
      </c>
      <c r="AF27" s="52" t="s">
        <v>1218</v>
      </c>
      <c r="AG27" s="52" t="s">
        <v>1040</v>
      </c>
      <c r="AH27" s="52" t="s">
        <v>1219</v>
      </c>
      <c r="AI27" s="52" t="s">
        <v>1220</v>
      </c>
      <c r="AJ27" s="52" t="s">
        <v>1221</v>
      </c>
      <c r="AK27" s="52" t="s">
        <v>1222</v>
      </c>
      <c r="AL27" s="52" t="s">
        <v>1223</v>
      </c>
      <c r="AM27" s="52" t="s">
        <v>1224</v>
      </c>
      <c r="AN27" s="52" t="s">
        <v>1013</v>
      </c>
      <c r="AO27" s="52" t="s">
        <v>783</v>
      </c>
      <c r="AP27" s="52" t="s">
        <v>47</v>
      </c>
      <c r="AQ27" s="52"/>
      <c r="AR27" s="52"/>
      <c r="AS27" s="48">
        <f>IFERROR(SUMIFS(_TECH_Industry_Templates!$J:$J,_TECH_Industry_Templates!$A:$A,'Company Profile'!$B$9,_TECH_Industry_Templates!$B:$B,$B27),1)</f>
        <v>0.9</v>
      </c>
      <c r="AT27" s="48">
        <f>IF($AC27="","",ROUND($AC27*IF($AS27="",1,$AS27),2))</f>
      </c>
      <c r="AU27" s="48">
        <f>IF($AT27="","",RANK.EQ($AT27,$AT$5:$AT$76,0)+COUNTIF($AT$5:AT27,$AT27)-1)</f>
      </c>
      <c r="AV27" s="48" t="str">
        <f>IFERROR(INDEX('Improved Scoring Model'!$E$6:$E$22,MATCH($B27,'Improved Scoring Model'!$A$6:$A$22,0)),"")</f>
        <v/>
      </c>
      <c r="AW27" s="48" t="str">
        <f t="shared" si="9"/>
        <v>Industry-neutral priority</v>
      </c>
    </row>
    <row r="28" spans="1:49" ht="42" customHeight="1">
      <c r="A28" s="52" t="s">
        <v>1225</v>
      </c>
      <c r="B28" s="52" t="s">
        <v>72</v>
      </c>
      <c r="C28" s="52" t="s">
        <v>1226</v>
      </c>
      <c r="D28" s="52" t="s">
        <v>1212</v>
      </c>
      <c r="E28" s="52" t="s">
        <v>1213</v>
      </c>
      <c r="F28" s="52" t="s">
        <v>1227</v>
      </c>
      <c r="G28" s="52" t="s">
        <v>1228</v>
      </c>
      <c r="H28" s="52" t="s">
        <v>189</v>
      </c>
      <c r="I28" s="52" t="s">
        <v>1216</v>
      </c>
      <c r="J28" s="52" t="s">
        <v>1229</v>
      </c>
      <c r="K28" s="52">
        <v>6</v>
      </c>
      <c r="L28" s="52">
        <f>COUNTIFS('Executive Recommendations'!$C$8:$C$414,$B28,'Executive Recommendations'!$D$8:$D$414,$C28,'Executive Recommendations'!$B$8:$B$414,"Yes")</f>
        <v>0</v>
      </c>
      <c r="M28" s="52">
        <f>COUNTIFS('Risk Summary'!$C$8:$C$414,$B28,'Risk Summary'!$D$8:$D$414,$C28,'Risk Summary'!$B$8:$B$414,"Yes")</f>
        <v>0</v>
      </c>
      <c r="N28" s="52" t="str">
        <f t="shared" ca="1" si="0"/>
        <v/>
      </c>
      <c r="O28" s="52" t="str">
        <f t="shared" ca="1" si="1"/>
        <v/>
      </c>
      <c r="P28" s="52">
        <f>IFERROR(INDEX(Dashboard!$H$5:$H$21,MATCH($B28,Dashboard!$A$5:$A$21,0)),"")</f>
        <v>0</v>
      </c>
      <c r="Q28" s="52">
        <f t="shared" si="2"/>
        <v>5</v>
      </c>
      <c r="R28" s="52">
        <f>IFERROR(SUMIFS(_TECH_Crisis_Model!$D$5:$D$191,_TECH_Crisis_Model!$A$5:$A$191,'Crisis Simulator'!$B$4,_TECH_Crisis_Model!$B$5:$B$191,$B28),1)</f>
        <v>2</v>
      </c>
      <c r="S28" s="52">
        <f ca="1">IFERROR(INDEX('Strategy Selection'!$A$10:$A$23,MATCH($D28,'Strategy Selection'!$B$10:$B$23,0)),99)</f>
        <v>99</v>
      </c>
      <c r="T28" s="52">
        <f>IFERROR(INDEX('Strategy Selection'!$J$10:$J$23,MATCH($D28,'Strategy Selection'!$B$10:$B$23,0)),0)</f>
        <v>69.5</v>
      </c>
      <c r="U28" s="52">
        <v>2</v>
      </c>
      <c r="V28" s="52">
        <v>5</v>
      </c>
      <c r="W28" s="52">
        <v>4</v>
      </c>
      <c r="X28" s="52">
        <f>MAX(1,MIN(5,ROUNDUP((IF($O28="",0,$O28)*0.5)+(IF($Q28="",0,$Q28)*0.25)+((IF($T28="",0,$T28)/20)*0.25),0)))</f>
      </c>
      <c r="Y28" s="52">
        <f>MAX(1,MIN(5,ROUNDUP(((IF($R28="",1,$R28)-1)*1.6)+('Crisis Simulator'!$B$5*0.45)+IF(IF($S28="",99,$S28)&lt;=3,0.8,0),0)))</f>
      </c>
      <c r="Z28" s="52">
        <f>MAX(1,MIN(5,ROUNDUP((IF($O28="",0,$O28)*0.45)+(IF($M28="",0,$M28)*0.35)+(IF($V28="",0,$V28)*0.35),0)))</f>
      </c>
      <c r="AA28" s="52">
        <f>MAX(1,MIN(5,ROUNDUP((IF($U28="",0,$U28)*0.4)+(IF($W28="",0,$W28)*0.3)+((IF($T28="",0,$T28)/20)*0.3),0)))</f>
      </c>
      <c r="AB28" s="52">
        <v>3</v>
      </c>
      <c r="AC28" s="52">
        <f>IF($AB28=0,"",ROUND((IF($X28="",0,$X28)+IF($Y28="",0,$Y28)+IF($Z28="",0,$Z28)+IF($AA28="",0,$AA28))/$AB28,2))</f>
      </c>
      <c r="AD28" s="52">
        <f>IF($AC28="","",RANK.EQ($AC28,$AC$5:$AC$76,0)+COUNTIF($AC$5:$AC28,$AC28)-1)</f>
      </c>
      <c r="AE28" s="52">
        <f>IF($AD28="","",IF($AD28&lt;=12,"0-90 days",IF($AD28&lt;=32,"3-6 months",IF($AD28&lt;=55,"6-12 months","12+ months"))))</f>
      </c>
      <c r="AF28" s="52" t="s">
        <v>1218</v>
      </c>
      <c r="AG28" s="52" t="s">
        <v>1040</v>
      </c>
      <c r="AH28" s="52" t="s">
        <v>1219</v>
      </c>
      <c r="AI28" s="52" t="s">
        <v>1220</v>
      </c>
      <c r="AJ28" s="52" t="s">
        <v>1230</v>
      </c>
      <c r="AK28" s="52" t="s">
        <v>1231</v>
      </c>
      <c r="AL28" s="52" t="s">
        <v>1232</v>
      </c>
      <c r="AM28" s="52" t="s">
        <v>1224</v>
      </c>
      <c r="AN28" s="52" t="s">
        <v>1013</v>
      </c>
      <c r="AO28" s="52" t="s">
        <v>783</v>
      </c>
      <c r="AP28" s="52" t="s">
        <v>47</v>
      </c>
      <c r="AQ28" s="52"/>
      <c r="AR28" s="52"/>
      <c r="AS28" s="48">
        <f>IFERROR(SUMIFS(_TECH_Industry_Templates!$J:$J,_TECH_Industry_Templates!$A:$A,'Company Profile'!$B$9,_TECH_Industry_Templates!$B:$B,$B28),1)</f>
        <v>0.9</v>
      </c>
      <c r="AT28" s="48">
        <f>IF($AC28="","",ROUND($AC28*IF($AS28="",1,$AS28),2))</f>
      </c>
      <c r="AU28" s="48">
        <f>IF($AT28="","",RANK.EQ($AT28,$AT$5:$AT$76,0)+COUNTIF($AT$5:AT28,$AT28)-1)</f>
      </c>
      <c r="AV28" s="48" t="str">
        <f>IFERROR(INDEX('Improved Scoring Model'!$E$6:$E$22,MATCH($B28,'Improved Scoring Model'!$A$6:$A$22,0)),"")</f>
        <v/>
      </c>
      <c r="AW28" s="48" t="str">
        <f t="shared" si="9"/>
        <v>Industry-neutral priority</v>
      </c>
    </row>
    <row r="29" spans="1:49" ht="42" customHeight="1">
      <c r="A29" s="52" t="s">
        <v>1233</v>
      </c>
      <c r="B29" s="52" t="s">
        <v>72</v>
      </c>
      <c r="C29" s="52" t="s">
        <v>1234</v>
      </c>
      <c r="D29" s="52" t="s">
        <v>1212</v>
      </c>
      <c r="E29" s="52" t="s">
        <v>1213</v>
      </c>
      <c r="F29" s="52" t="s">
        <v>1235</v>
      </c>
      <c r="G29" s="52" t="s">
        <v>1236</v>
      </c>
      <c r="H29" s="52" t="s">
        <v>189</v>
      </c>
      <c r="I29" s="52" t="s">
        <v>1216</v>
      </c>
      <c r="J29" s="52" t="s">
        <v>1237</v>
      </c>
      <c r="K29" s="52">
        <v>6</v>
      </c>
      <c r="L29" s="52">
        <f>COUNTIFS('Executive Recommendations'!$C$8:$C$414,$B29,'Executive Recommendations'!$D$8:$D$414,$C29,'Executive Recommendations'!$B$8:$B$414,"Yes")</f>
        <v>0</v>
      </c>
      <c r="M29" s="52">
        <f>COUNTIFS('Risk Summary'!$C$8:$C$414,$B29,'Risk Summary'!$D$8:$D$414,$C29,'Risk Summary'!$B$8:$B$414,"Yes")</f>
        <v>0</v>
      </c>
      <c r="N29" s="52" t="str">
        <f t="shared" ca="1" si="0"/>
        <v/>
      </c>
      <c r="O29" s="52" t="str">
        <f t="shared" ca="1" si="1"/>
        <v/>
      </c>
      <c r="P29" s="52">
        <f>IFERROR(INDEX(Dashboard!$H$5:$H$21,MATCH($B29,Dashboard!$A$5:$A$21,0)),"")</f>
        <v>0</v>
      </c>
      <c r="Q29" s="52">
        <f t="shared" si="2"/>
        <v>5</v>
      </c>
      <c r="R29" s="52">
        <f>IFERROR(SUMIFS(_TECH_Crisis_Model!$D$5:$D$191,_TECH_Crisis_Model!$A$5:$A$191,'Crisis Simulator'!$B$4,_TECH_Crisis_Model!$B$5:$B$191,$B29),1)</f>
        <v>2</v>
      </c>
      <c r="S29" s="52">
        <f ca="1">IFERROR(INDEX('Strategy Selection'!$A$10:$A$23,MATCH($D29,'Strategy Selection'!$B$10:$B$23,0)),99)</f>
        <v>99</v>
      </c>
      <c r="T29" s="52">
        <f>IFERROR(INDEX('Strategy Selection'!$J$10:$J$23,MATCH($D29,'Strategy Selection'!$B$10:$B$23,0)),0)</f>
        <v>69.5</v>
      </c>
      <c r="U29" s="52">
        <v>2</v>
      </c>
      <c r="V29" s="52">
        <v>5</v>
      </c>
      <c r="W29" s="52">
        <v>4</v>
      </c>
      <c r="X29" s="52">
        <f>MAX(1,MIN(5,ROUNDUP((IF($O29="",0,$O29)*0.5)+(IF($Q29="",0,$Q29)*0.25)+((IF($T29="",0,$T29)/20)*0.25),0)))</f>
      </c>
      <c r="Y29" s="52">
        <f>MAX(1,MIN(5,ROUNDUP(((IF($R29="",1,$R29)-1)*1.6)+('Crisis Simulator'!$B$5*0.45)+IF(IF($S29="",99,$S29)&lt;=3,0.8,0),0)))</f>
      </c>
      <c r="Z29" s="52">
        <f>MAX(1,MIN(5,ROUNDUP((IF($O29="",0,$O29)*0.45)+(IF($M29="",0,$M29)*0.35)+(IF($V29="",0,$V29)*0.35),0)))</f>
      </c>
      <c r="AA29" s="52">
        <f>MAX(1,MIN(5,ROUNDUP((IF($U29="",0,$U29)*0.4)+(IF($W29="",0,$W29)*0.3)+((IF($T29="",0,$T29)/20)*0.3),0)))</f>
      </c>
      <c r="AB29" s="52">
        <v>3</v>
      </c>
      <c r="AC29" s="52">
        <f>IF($AB29=0,"",ROUND((IF($X29="",0,$X29)+IF($Y29="",0,$Y29)+IF($Z29="",0,$Z29)+IF($AA29="",0,$AA29))/$AB29,2))</f>
      </c>
      <c r="AD29" s="52">
        <f>IF($AC29="","",RANK.EQ($AC29,$AC$5:$AC$76,0)+COUNTIF($AC$5:$AC29,$AC29)-1)</f>
      </c>
      <c r="AE29" s="52">
        <f>IF($AD29="","",IF($AD29&lt;=12,"0-90 days",IF($AD29&lt;=32,"3-6 months",IF($AD29&lt;=55,"6-12 months","12+ months"))))</f>
      </c>
      <c r="AF29" s="52" t="s">
        <v>1218</v>
      </c>
      <c r="AG29" s="52" t="s">
        <v>1040</v>
      </c>
      <c r="AH29" s="52" t="s">
        <v>1219</v>
      </c>
      <c r="AI29" s="52" t="s">
        <v>1220</v>
      </c>
      <c r="AJ29" s="52" t="s">
        <v>1238</v>
      </c>
      <c r="AK29" s="52" t="s">
        <v>1239</v>
      </c>
      <c r="AL29" s="52" t="s">
        <v>1240</v>
      </c>
      <c r="AM29" s="52" t="s">
        <v>1224</v>
      </c>
      <c r="AN29" s="52" t="s">
        <v>1013</v>
      </c>
      <c r="AO29" s="52" t="s">
        <v>783</v>
      </c>
      <c r="AP29" s="52" t="s">
        <v>47</v>
      </c>
      <c r="AQ29" s="52"/>
      <c r="AR29" s="52"/>
      <c r="AS29" s="48">
        <f>IFERROR(SUMIFS(_TECH_Industry_Templates!$J:$J,_TECH_Industry_Templates!$A:$A,'Company Profile'!$B$9,_TECH_Industry_Templates!$B:$B,$B29),1)</f>
        <v>0.9</v>
      </c>
      <c r="AT29" s="48">
        <f>IF($AC29="","",ROUND($AC29*IF($AS29="",1,$AS29),2))</f>
      </c>
      <c r="AU29" s="48">
        <f>IF($AT29="","",RANK.EQ($AT29,$AT$5:$AT$76,0)+COUNTIF($AT$5:AT29,$AT29)-1)</f>
      </c>
      <c r="AV29" s="48" t="str">
        <f>IFERROR(INDEX('Improved Scoring Model'!$E$6:$E$22,MATCH($B29,'Improved Scoring Model'!$A$6:$A$22,0)),"")</f>
        <v/>
      </c>
      <c r="AW29" s="48" t="str">
        <f t="shared" si="9"/>
        <v>Industry-neutral priority</v>
      </c>
    </row>
    <row r="30" spans="1:49" ht="42" customHeight="1">
      <c r="A30" s="52" t="s">
        <v>1241</v>
      </c>
      <c r="B30" s="52" t="s">
        <v>72</v>
      </c>
      <c r="C30" s="52" t="s">
        <v>1242</v>
      </c>
      <c r="D30" s="52" t="s">
        <v>1212</v>
      </c>
      <c r="E30" s="52" t="s">
        <v>1213</v>
      </c>
      <c r="F30" s="52" t="s">
        <v>1243</v>
      </c>
      <c r="G30" s="52" t="s">
        <v>1244</v>
      </c>
      <c r="H30" s="52" t="s">
        <v>189</v>
      </c>
      <c r="I30" s="52" t="s">
        <v>1216</v>
      </c>
      <c r="J30" s="52" t="s">
        <v>1245</v>
      </c>
      <c r="K30" s="52">
        <v>5</v>
      </c>
      <c r="L30" s="52">
        <f>COUNTIFS('Executive Recommendations'!$C$8:$C$414,$B30,'Executive Recommendations'!$D$8:$D$414,$C30,'Executive Recommendations'!$B$8:$B$414,"Yes")</f>
        <v>0</v>
      </c>
      <c r="M30" s="52">
        <f>COUNTIFS('Risk Summary'!$C$8:$C$414,$B30,'Risk Summary'!$D$8:$D$414,$C30,'Risk Summary'!$B$8:$B$414,"Yes")</f>
        <v>0</v>
      </c>
      <c r="N30" s="52" t="str">
        <f t="shared" ca="1" si="0"/>
        <v/>
      </c>
      <c r="O30" s="52" t="str">
        <f t="shared" ca="1" si="1"/>
        <v/>
      </c>
      <c r="P30" s="52">
        <f>IFERROR(INDEX(Dashboard!$H$5:$H$21,MATCH($B30,Dashboard!$A$5:$A$21,0)),"")</f>
        <v>0</v>
      </c>
      <c r="Q30" s="52">
        <f t="shared" si="2"/>
        <v>5</v>
      </c>
      <c r="R30" s="52">
        <f>IFERROR(SUMIFS(_TECH_Crisis_Model!$D$5:$D$191,_TECH_Crisis_Model!$A$5:$A$191,'Crisis Simulator'!$B$4,_TECH_Crisis_Model!$B$5:$B$191,$B30),1)</f>
        <v>2</v>
      </c>
      <c r="S30" s="52">
        <f ca="1">IFERROR(INDEX('Strategy Selection'!$A$10:$A$23,MATCH($D30,'Strategy Selection'!$B$10:$B$23,0)),99)</f>
        <v>99</v>
      </c>
      <c r="T30" s="52">
        <f>IFERROR(INDEX('Strategy Selection'!$J$10:$J$23,MATCH($D30,'Strategy Selection'!$B$10:$B$23,0)),0)</f>
        <v>69.5</v>
      </c>
      <c r="U30" s="52">
        <v>2</v>
      </c>
      <c r="V30" s="52">
        <v>5</v>
      </c>
      <c r="W30" s="52">
        <v>4</v>
      </c>
      <c r="X30" s="52">
        <f>MAX(1,MIN(5,ROUNDUP((IF($O30="",0,$O30)*0.5)+(IF($Q30="",0,$Q30)*0.25)+((IF($T30="",0,$T30)/20)*0.25),0)))</f>
      </c>
      <c r="Y30" s="52">
        <f>MAX(1,MIN(5,ROUNDUP(((IF($R30="",1,$R30)-1)*1.6)+('Crisis Simulator'!$B$5*0.45)+IF(IF($S30="",99,$S30)&lt;=3,0.8,0),0)))</f>
      </c>
      <c r="Z30" s="52">
        <f>MAX(1,MIN(5,ROUNDUP((IF($O30="",0,$O30)*0.45)+(IF($M30="",0,$M30)*0.35)+(IF($V30="",0,$V30)*0.35),0)))</f>
      </c>
      <c r="AA30" s="52">
        <f>MAX(1,MIN(5,ROUNDUP((IF($U30="",0,$U30)*0.4)+(IF($W30="",0,$W30)*0.3)+((IF($T30="",0,$T30)/20)*0.3),0)))</f>
      </c>
      <c r="AB30" s="52">
        <v>3</v>
      </c>
      <c r="AC30" s="52">
        <f>IF($AB30=0,"",ROUND((IF($X30="",0,$X30)+IF($Y30="",0,$Y30)+IF($Z30="",0,$Z30)+IF($AA30="",0,$AA30))/$AB30,2))</f>
      </c>
      <c r="AD30" s="52">
        <f>IF($AC30="","",RANK.EQ($AC30,$AC$5:$AC$76,0)+COUNTIF($AC$5:$AC30,$AC30)-1)</f>
      </c>
      <c r="AE30" s="52">
        <f>IF($AD30="","",IF($AD30&lt;=12,"0-90 days",IF($AD30&lt;=32,"3-6 months",IF($AD30&lt;=55,"6-12 months","12+ months"))))</f>
      </c>
      <c r="AF30" s="52" t="s">
        <v>1218</v>
      </c>
      <c r="AG30" s="52" t="s">
        <v>1040</v>
      </c>
      <c r="AH30" s="52" t="s">
        <v>1219</v>
      </c>
      <c r="AI30" s="52" t="s">
        <v>1220</v>
      </c>
      <c r="AJ30" s="52" t="s">
        <v>1246</v>
      </c>
      <c r="AK30" s="52" t="s">
        <v>1247</v>
      </c>
      <c r="AL30" s="52" t="s">
        <v>1248</v>
      </c>
      <c r="AM30" s="52" t="s">
        <v>1224</v>
      </c>
      <c r="AN30" s="52" t="s">
        <v>1013</v>
      </c>
      <c r="AO30" s="52" t="s">
        <v>783</v>
      </c>
      <c r="AP30" s="52" t="s">
        <v>47</v>
      </c>
      <c r="AQ30" s="52"/>
      <c r="AR30" s="52"/>
      <c r="AS30" s="48">
        <f>IFERROR(SUMIFS(_TECH_Industry_Templates!$J:$J,_TECH_Industry_Templates!$A:$A,'Company Profile'!$B$9,_TECH_Industry_Templates!$B:$B,$B30),1)</f>
        <v>0.9</v>
      </c>
      <c r="AT30" s="48">
        <f>IF($AC30="","",ROUND($AC30*IF($AS30="",1,$AS30),2))</f>
      </c>
      <c r="AU30" s="48">
        <f>IF($AT30="","",RANK.EQ($AT30,$AT$5:$AT$76,0)+COUNTIF($AT$5:AT30,$AT30)-1)</f>
      </c>
      <c r="AV30" s="48" t="str">
        <f>IFERROR(INDEX('Improved Scoring Model'!$E$6:$E$22,MATCH($B30,'Improved Scoring Model'!$A$6:$A$22,0)),"")</f>
        <v/>
      </c>
      <c r="AW30" s="48" t="str">
        <f t="shared" si="9"/>
        <v>Industry-neutral priority</v>
      </c>
    </row>
    <row r="31" spans="1:49" ht="42" customHeight="1">
      <c r="A31" s="52" t="s">
        <v>1249</v>
      </c>
      <c r="B31" s="52" t="s">
        <v>72</v>
      </c>
      <c r="C31" s="52" t="s">
        <v>1250</v>
      </c>
      <c r="D31" s="52" t="s">
        <v>1212</v>
      </c>
      <c r="E31" s="52" t="s">
        <v>1213</v>
      </c>
      <c r="F31" s="52" t="s">
        <v>1251</v>
      </c>
      <c r="G31" s="52" t="s">
        <v>1252</v>
      </c>
      <c r="H31" s="52" t="s">
        <v>189</v>
      </c>
      <c r="I31" s="52" t="s">
        <v>1216</v>
      </c>
      <c r="J31" s="52" t="s">
        <v>1253</v>
      </c>
      <c r="K31" s="52">
        <v>5</v>
      </c>
      <c r="L31" s="52">
        <f>COUNTIFS('Executive Recommendations'!$C$8:$C$414,$B31,'Executive Recommendations'!$D$8:$D$414,$C31,'Executive Recommendations'!$B$8:$B$414,"Yes")</f>
        <v>0</v>
      </c>
      <c r="M31" s="52">
        <f>COUNTIFS('Risk Summary'!$C$8:$C$414,$B31,'Risk Summary'!$D$8:$D$414,$C31,'Risk Summary'!$B$8:$B$414,"Yes")</f>
        <v>0</v>
      </c>
      <c r="N31" s="52" t="str">
        <f t="shared" ca="1" si="0"/>
        <v/>
      </c>
      <c r="O31" s="52" t="str">
        <f t="shared" ca="1" si="1"/>
        <v/>
      </c>
      <c r="P31" s="52">
        <f>IFERROR(INDEX(Dashboard!$H$5:$H$21,MATCH($B31,Dashboard!$A$5:$A$21,0)),"")</f>
        <v>0</v>
      </c>
      <c r="Q31" s="52">
        <f t="shared" si="2"/>
        <v>5</v>
      </c>
      <c r="R31" s="52">
        <f>IFERROR(SUMIFS(_TECH_Crisis_Model!$D$5:$D$191,_TECH_Crisis_Model!$A$5:$A$191,'Crisis Simulator'!$B$4,_TECH_Crisis_Model!$B$5:$B$191,$B31),1)</f>
        <v>2</v>
      </c>
      <c r="S31" s="52">
        <f ca="1">IFERROR(INDEX('Strategy Selection'!$A$10:$A$23,MATCH($D31,'Strategy Selection'!$B$10:$B$23,0)),99)</f>
        <v>99</v>
      </c>
      <c r="T31" s="52">
        <f>IFERROR(INDEX('Strategy Selection'!$J$10:$J$23,MATCH($D31,'Strategy Selection'!$B$10:$B$23,0)),0)</f>
        <v>69.5</v>
      </c>
      <c r="U31" s="52">
        <v>2</v>
      </c>
      <c r="V31" s="52">
        <v>5</v>
      </c>
      <c r="W31" s="52">
        <v>4</v>
      </c>
      <c r="X31" s="52">
        <f>MAX(1,MIN(5,ROUNDUP((IF($O31="",0,$O31)*0.5)+(IF($Q31="",0,$Q31)*0.25)+((IF($T31="",0,$T31)/20)*0.25),0)))</f>
      </c>
      <c r="Y31" s="52">
        <f>MAX(1,MIN(5,ROUNDUP(((IF($R31="",1,$R31)-1)*1.6)+('Crisis Simulator'!$B$5*0.45)+IF(IF($S31="",99,$S31)&lt;=3,0.8,0),0)))</f>
      </c>
      <c r="Z31" s="52">
        <f>MAX(1,MIN(5,ROUNDUP((IF($O31="",0,$O31)*0.45)+(IF($M31="",0,$M31)*0.35)+(IF($V31="",0,$V31)*0.35),0)))</f>
      </c>
      <c r="AA31" s="52">
        <f>MAX(1,MIN(5,ROUNDUP((IF($U31="",0,$U31)*0.4)+(IF($W31="",0,$W31)*0.3)+((IF($T31="",0,$T31)/20)*0.3),0)))</f>
      </c>
      <c r="AB31" s="52">
        <v>3</v>
      </c>
      <c r="AC31" s="52">
        <f>IF($AB31=0,"",ROUND((IF($X31="",0,$X31)+IF($Y31="",0,$Y31)+IF($Z31="",0,$Z31)+IF($AA31="",0,$AA31))/$AB31,2))</f>
      </c>
      <c r="AD31" s="52">
        <f>IF($AC31="","",RANK.EQ($AC31,$AC$5:$AC$76,0)+COUNTIF($AC$5:$AC31,$AC31)-1)</f>
      </c>
      <c r="AE31" s="52">
        <f>IF($AD31="","",IF($AD31&lt;=12,"0-90 days",IF($AD31&lt;=32,"3-6 months",IF($AD31&lt;=55,"6-12 months","12+ months"))))</f>
      </c>
      <c r="AF31" s="52" t="s">
        <v>1218</v>
      </c>
      <c r="AG31" s="52" t="s">
        <v>1040</v>
      </c>
      <c r="AH31" s="52" t="s">
        <v>1219</v>
      </c>
      <c r="AI31" s="52" t="s">
        <v>1220</v>
      </c>
      <c r="AJ31" s="52" t="s">
        <v>1254</v>
      </c>
      <c r="AK31" s="52" t="s">
        <v>1255</v>
      </c>
      <c r="AL31" s="52" t="s">
        <v>1256</v>
      </c>
      <c r="AM31" s="52" t="s">
        <v>1224</v>
      </c>
      <c r="AN31" s="52" t="s">
        <v>1013</v>
      </c>
      <c r="AO31" s="52" t="s">
        <v>783</v>
      </c>
      <c r="AP31" s="52" t="s">
        <v>47</v>
      </c>
      <c r="AQ31" s="52"/>
      <c r="AR31" s="52"/>
      <c r="AS31" s="48">
        <f>IFERROR(SUMIFS(_TECH_Industry_Templates!$J:$J,_TECH_Industry_Templates!$A:$A,'Company Profile'!$B$9,_TECH_Industry_Templates!$B:$B,$B31),1)</f>
        <v>0.9</v>
      </c>
      <c r="AT31" s="48">
        <f>IF($AC31="","",ROUND($AC31*IF($AS31="",1,$AS31),2))</f>
      </c>
      <c r="AU31" s="48">
        <f>IF($AT31="","",RANK.EQ($AT31,$AT$5:$AT$76,0)+COUNTIF($AT$5:AT31,$AT31)-1)</f>
      </c>
      <c r="AV31" s="48" t="str">
        <f>IFERROR(INDEX('Improved Scoring Model'!$E$6:$E$22,MATCH($B31,'Improved Scoring Model'!$A$6:$A$22,0)),"")</f>
        <v/>
      </c>
      <c r="AW31" s="48" t="str">
        <f t="shared" si="9"/>
        <v>Industry-neutral priority</v>
      </c>
    </row>
    <row r="32" spans="1:49" ht="42" customHeight="1">
      <c r="A32" s="52" t="s">
        <v>1257</v>
      </c>
      <c r="B32" s="52" t="s">
        <v>75</v>
      </c>
      <c r="C32" s="52" t="s">
        <v>1258</v>
      </c>
      <c r="D32" s="52" t="s">
        <v>1259</v>
      </c>
      <c r="E32" s="52" t="s">
        <v>1260</v>
      </c>
      <c r="F32" s="52" t="s">
        <v>1261</v>
      </c>
      <c r="G32" s="52" t="s">
        <v>1262</v>
      </c>
      <c r="H32" s="52" t="s">
        <v>190</v>
      </c>
      <c r="I32" s="52" t="s">
        <v>1263</v>
      </c>
      <c r="J32" s="52" t="s">
        <v>1264</v>
      </c>
      <c r="K32" s="52">
        <v>6</v>
      </c>
      <c r="L32" s="52">
        <f>COUNTIFS('Executive Recommendations'!$C$8:$C$414,$B32,'Executive Recommendations'!$D$8:$D$414,$C32,'Executive Recommendations'!$B$8:$B$414,"Yes")</f>
        <v>0</v>
      </c>
      <c r="M32" s="52">
        <f>COUNTIFS('Risk Summary'!$C$8:$C$414,$B32,'Risk Summary'!$D$8:$D$414,$C32,'Risk Summary'!$B$8:$B$414,"Yes")</f>
        <v>0</v>
      </c>
      <c r="N32" s="52" t="str">
        <f t="shared" ca="1" si="0"/>
        <v/>
      </c>
      <c r="O32" s="52" t="str">
        <f t="shared" ca="1" si="1"/>
        <v/>
      </c>
      <c r="P32" s="52">
        <f>IFERROR(INDEX(Dashboard!$H$5:$H$21,MATCH($B32,Dashboard!$A$5:$A$21,0)),"")</f>
        <v>0</v>
      </c>
      <c r="Q32" s="52">
        <f t="shared" si="2"/>
        <v>5</v>
      </c>
      <c r="R32" s="52">
        <f>IFERROR(SUMIFS(_TECH_Crisis_Model!$D$5:$D$191,_TECH_Crisis_Model!$A$5:$A$191,'Crisis Simulator'!$B$4,_TECH_Crisis_Model!$B$5:$B$191,$B32),1)</f>
        <v>1.7</v>
      </c>
      <c r="S32" s="52">
        <f ca="1">IFERROR(INDEX('Strategy Selection'!$A$10:$A$23,MATCH($D32,'Strategy Selection'!$B$10:$B$23,0)),99)</f>
        <v>99</v>
      </c>
      <c r="T32" s="52">
        <f>IFERROR(INDEX('Strategy Selection'!$J$10:$J$23,MATCH($D32,'Strategy Selection'!$B$10:$B$23,0)),0)</f>
        <v>61.5</v>
      </c>
      <c r="U32" s="52">
        <v>4</v>
      </c>
      <c r="V32" s="52">
        <v>4</v>
      </c>
      <c r="W32" s="52">
        <v>5</v>
      </c>
      <c r="X32" s="52">
        <f>MAX(1,MIN(5,ROUNDUP((IF($O32="",0,$O32)*0.5)+(IF($Q32="",0,$Q32)*0.25)+((IF($T32="",0,$T32)/20)*0.25),0)))</f>
      </c>
      <c r="Y32" s="52">
        <f>MAX(1,MIN(5,ROUNDUP(((IF($R32="",1,$R32)-1)*1.6)+('Crisis Simulator'!$B$5*0.45)+IF(IF($S32="",99,$S32)&lt;=3,0.8,0),0)))</f>
      </c>
      <c r="Z32" s="52">
        <f>MAX(1,MIN(5,ROUNDUP((IF($O32="",0,$O32)*0.45)+(IF($M32="",0,$M32)*0.35)+(IF($V32="",0,$V32)*0.35),0)))</f>
      </c>
      <c r="AA32" s="52">
        <f>MAX(1,MIN(5,ROUNDUP((IF($U32="",0,$U32)*0.4)+(IF($W32="",0,$W32)*0.3)+((IF($T32="",0,$T32)/20)*0.3),0)))</f>
      </c>
      <c r="AB32" s="52">
        <v>3</v>
      </c>
      <c r="AC32" s="52">
        <f>IF($AB32=0,"",ROUND((IF($X32="",0,$X32)+IF($Y32="",0,$Y32)+IF($Z32="",0,$Z32)+IF($AA32="",0,$AA32))/$AB32,2))</f>
      </c>
      <c r="AD32" s="52">
        <f>IF($AC32="","",RANK.EQ($AC32,$AC$5:$AC$76,0)+COUNTIF($AC$5:$AC32,$AC32)-1)</f>
      </c>
      <c r="AE32" s="52">
        <f>IF($AD32="","",IF($AD32&lt;=12,"0-90 days",IF($AD32&lt;=32,"3-6 months",IF($AD32&lt;=55,"6-12 months","12+ months"))))</f>
      </c>
      <c r="AF32" s="52" t="s">
        <v>1265</v>
      </c>
      <c r="AG32" s="52" t="s">
        <v>1040</v>
      </c>
      <c r="AH32" s="52" t="s">
        <v>1266</v>
      </c>
      <c r="AI32" s="52" t="s">
        <v>1008</v>
      </c>
      <c r="AJ32" s="52" t="s">
        <v>1267</v>
      </c>
      <c r="AK32" s="52" t="s">
        <v>1268</v>
      </c>
      <c r="AL32" s="52" t="s">
        <v>1269</v>
      </c>
      <c r="AM32" s="52" t="s">
        <v>1270</v>
      </c>
      <c r="AN32" s="52" t="s">
        <v>1013</v>
      </c>
      <c r="AO32" s="52" t="s">
        <v>783</v>
      </c>
      <c r="AP32" s="52" t="s">
        <v>47</v>
      </c>
      <c r="AQ32" s="52"/>
      <c r="AR32" s="52"/>
      <c r="AS32" s="48">
        <f>IFERROR(SUMIFS(_TECH_Industry_Templates!$J:$J,_TECH_Industry_Templates!$A:$A,'Company Profile'!$B$9,_TECH_Industry_Templates!$B:$B,$B32),1)</f>
        <v>1.2</v>
      </c>
      <c r="AT32" s="48">
        <f>IF($AC32="","",ROUND($AC32*IF($AS32="",1,$AS32),2))</f>
      </c>
      <c r="AU32" s="48">
        <f>IF($AT32="","",RANK.EQ($AT32,$AT$5:$AT$76,0)+COUNTIF($AT$5:AT32,$AT32)-1)</f>
      </c>
      <c r="AV32" s="48" t="str">
        <f>IFERROR(INDEX('Improved Scoring Model'!$E$6:$E$22,MATCH($B32,'Improved Scoring Model'!$A$6:$A$22,0)),"")</f>
        <v/>
      </c>
      <c r="AW32" s="48" t="str">
        <f t="shared" si="9"/>
        <v>Industry template increases priority</v>
      </c>
    </row>
    <row r="33" spans="1:49" ht="42" customHeight="1">
      <c r="A33" s="52" t="s">
        <v>1271</v>
      </c>
      <c r="B33" s="52" t="s">
        <v>75</v>
      </c>
      <c r="C33" s="52" t="s">
        <v>1272</v>
      </c>
      <c r="D33" s="52" t="s">
        <v>1259</v>
      </c>
      <c r="E33" s="52" t="s">
        <v>1260</v>
      </c>
      <c r="F33" s="52" t="s">
        <v>1273</v>
      </c>
      <c r="G33" s="52" t="s">
        <v>1274</v>
      </c>
      <c r="H33" s="52" t="s">
        <v>190</v>
      </c>
      <c r="I33" s="52" t="s">
        <v>1263</v>
      </c>
      <c r="J33" s="52" t="s">
        <v>1275</v>
      </c>
      <c r="K33" s="52">
        <v>6</v>
      </c>
      <c r="L33" s="52">
        <f>COUNTIFS('Executive Recommendations'!$C$8:$C$414,$B33,'Executive Recommendations'!$D$8:$D$414,$C33,'Executive Recommendations'!$B$8:$B$414,"Yes")</f>
        <v>0</v>
      </c>
      <c r="M33" s="52">
        <f>COUNTIFS('Risk Summary'!$C$8:$C$414,$B33,'Risk Summary'!$D$8:$D$414,$C33,'Risk Summary'!$B$8:$B$414,"Yes")</f>
        <v>0</v>
      </c>
      <c r="N33" s="52" t="str">
        <f t="shared" ca="1" si="0"/>
        <v/>
      </c>
      <c r="O33" s="52" t="str">
        <f t="shared" ca="1" si="1"/>
        <v/>
      </c>
      <c r="P33" s="52">
        <f>IFERROR(INDEX(Dashboard!$H$5:$H$21,MATCH($B33,Dashboard!$A$5:$A$21,0)),"")</f>
        <v>0</v>
      </c>
      <c r="Q33" s="52">
        <f t="shared" si="2"/>
        <v>5</v>
      </c>
      <c r="R33" s="52">
        <f>IFERROR(SUMIFS(_TECH_Crisis_Model!$D$5:$D$191,_TECH_Crisis_Model!$A$5:$A$191,'Crisis Simulator'!$B$4,_TECH_Crisis_Model!$B$5:$B$191,$B33),1)</f>
        <v>1.7</v>
      </c>
      <c r="S33" s="52">
        <f ca="1">IFERROR(INDEX('Strategy Selection'!$A$10:$A$23,MATCH($D33,'Strategy Selection'!$B$10:$B$23,0)),99)</f>
        <v>99</v>
      </c>
      <c r="T33" s="52">
        <f>IFERROR(INDEX('Strategy Selection'!$J$10:$J$23,MATCH($D33,'Strategy Selection'!$B$10:$B$23,0)),0)</f>
        <v>61.5</v>
      </c>
      <c r="U33" s="52">
        <v>4</v>
      </c>
      <c r="V33" s="52">
        <v>4</v>
      </c>
      <c r="W33" s="52">
        <v>5</v>
      </c>
      <c r="X33" s="52">
        <f>MAX(1,MIN(5,ROUNDUP((IF($O33="",0,$O33)*0.5)+(IF($Q33="",0,$Q33)*0.25)+((IF($T33="",0,$T33)/20)*0.25),0)))</f>
      </c>
      <c r="Y33" s="52">
        <f>MAX(1,MIN(5,ROUNDUP(((IF($R33="",1,$R33)-1)*1.6)+('Crisis Simulator'!$B$5*0.45)+IF(IF($S33="",99,$S33)&lt;=3,0.8,0),0)))</f>
      </c>
      <c r="Z33" s="52">
        <f>MAX(1,MIN(5,ROUNDUP((IF($O33="",0,$O33)*0.45)+(IF($M33="",0,$M33)*0.35)+(IF($V33="",0,$V33)*0.35),0)))</f>
      </c>
      <c r="AA33" s="52">
        <f>MAX(1,MIN(5,ROUNDUP((IF($U33="",0,$U33)*0.4)+(IF($W33="",0,$W33)*0.3)+((IF($T33="",0,$T33)/20)*0.3),0)))</f>
      </c>
      <c r="AB33" s="52">
        <v>3</v>
      </c>
      <c r="AC33" s="52">
        <f>IF($AB33=0,"",ROUND((IF($X33="",0,$X33)+IF($Y33="",0,$Y33)+IF($Z33="",0,$Z33)+IF($AA33="",0,$AA33))/$AB33,2))</f>
      </c>
      <c r="AD33" s="52">
        <f>IF($AC33="","",RANK.EQ($AC33,$AC$5:$AC$76,0)+COUNTIF($AC$5:$AC33,$AC33)-1)</f>
      </c>
      <c r="AE33" s="52">
        <f>IF($AD33="","",IF($AD33&lt;=12,"0-90 days",IF($AD33&lt;=32,"3-6 months",IF($AD33&lt;=55,"6-12 months","12+ months"))))</f>
      </c>
      <c r="AF33" s="52" t="s">
        <v>1265</v>
      </c>
      <c r="AG33" s="52" t="s">
        <v>1040</v>
      </c>
      <c r="AH33" s="52" t="s">
        <v>1266</v>
      </c>
      <c r="AI33" s="52" t="s">
        <v>1008</v>
      </c>
      <c r="AJ33" s="52" t="s">
        <v>1276</v>
      </c>
      <c r="AK33" s="52" t="s">
        <v>1277</v>
      </c>
      <c r="AL33" s="52" t="s">
        <v>1278</v>
      </c>
      <c r="AM33" s="52" t="s">
        <v>1270</v>
      </c>
      <c r="AN33" s="52" t="s">
        <v>1013</v>
      </c>
      <c r="AO33" s="52" t="s">
        <v>783</v>
      </c>
      <c r="AP33" s="52" t="s">
        <v>47</v>
      </c>
      <c r="AQ33" s="52"/>
      <c r="AR33" s="52"/>
      <c r="AS33" s="48">
        <f>IFERROR(SUMIFS(_TECH_Industry_Templates!$J:$J,_TECH_Industry_Templates!$A:$A,'Company Profile'!$B$9,_TECH_Industry_Templates!$B:$B,$B33),1)</f>
        <v>1.2</v>
      </c>
      <c r="AT33" s="48">
        <f>IF($AC33="","",ROUND($AC33*IF($AS33="",1,$AS33),2))</f>
      </c>
      <c r="AU33" s="48">
        <f>IF($AT33="","",RANK.EQ($AT33,$AT$5:$AT$76,0)+COUNTIF($AT$5:AT33,$AT33)-1)</f>
      </c>
      <c r="AV33" s="48" t="str">
        <f>IFERROR(INDEX('Improved Scoring Model'!$E$6:$E$22,MATCH($B33,'Improved Scoring Model'!$A$6:$A$22,0)),"")</f>
        <v/>
      </c>
      <c r="AW33" s="48" t="str">
        <f t="shared" si="9"/>
        <v>Industry template increases priority</v>
      </c>
    </row>
    <row r="34" spans="1:49" ht="42" customHeight="1">
      <c r="A34" s="52" t="s">
        <v>1279</v>
      </c>
      <c r="B34" s="52" t="s">
        <v>75</v>
      </c>
      <c r="C34" s="52" t="s">
        <v>1280</v>
      </c>
      <c r="D34" s="52" t="s">
        <v>1259</v>
      </c>
      <c r="E34" s="52" t="s">
        <v>1260</v>
      </c>
      <c r="F34" s="52" t="s">
        <v>1281</v>
      </c>
      <c r="G34" s="52" t="s">
        <v>1282</v>
      </c>
      <c r="H34" s="52" t="s">
        <v>190</v>
      </c>
      <c r="I34" s="52" t="s">
        <v>1263</v>
      </c>
      <c r="J34" s="52" t="s">
        <v>1283</v>
      </c>
      <c r="K34" s="52">
        <v>6</v>
      </c>
      <c r="L34" s="52">
        <f>COUNTIFS('Executive Recommendations'!$C$8:$C$414,$B34,'Executive Recommendations'!$D$8:$D$414,$C34,'Executive Recommendations'!$B$8:$B$414,"Yes")</f>
        <v>0</v>
      </c>
      <c r="M34" s="52">
        <f>COUNTIFS('Risk Summary'!$C$8:$C$414,$B34,'Risk Summary'!$D$8:$D$414,$C34,'Risk Summary'!$B$8:$B$414,"Yes")</f>
        <v>0</v>
      </c>
      <c r="N34" s="52" t="str">
        <f t="shared" ca="1" si="0"/>
        <v/>
      </c>
      <c r="O34" s="52" t="str">
        <f t="shared" ca="1" si="1"/>
        <v/>
      </c>
      <c r="P34" s="52">
        <f>IFERROR(INDEX(Dashboard!$H$5:$H$21,MATCH($B34,Dashboard!$A$5:$A$21,0)),"")</f>
        <v>0</v>
      </c>
      <c r="Q34" s="52">
        <f t="shared" si="2"/>
        <v>5</v>
      </c>
      <c r="R34" s="52">
        <f>IFERROR(SUMIFS(_TECH_Crisis_Model!$D$5:$D$191,_TECH_Crisis_Model!$A$5:$A$191,'Crisis Simulator'!$B$4,_TECH_Crisis_Model!$B$5:$B$191,$B34),1)</f>
        <v>1.7</v>
      </c>
      <c r="S34" s="52">
        <f ca="1">IFERROR(INDEX('Strategy Selection'!$A$10:$A$23,MATCH($D34,'Strategy Selection'!$B$10:$B$23,0)),99)</f>
        <v>99</v>
      </c>
      <c r="T34" s="52">
        <f>IFERROR(INDEX('Strategy Selection'!$J$10:$J$23,MATCH($D34,'Strategy Selection'!$B$10:$B$23,0)),0)</f>
        <v>61.5</v>
      </c>
      <c r="U34" s="52">
        <v>4</v>
      </c>
      <c r="V34" s="52">
        <v>4</v>
      </c>
      <c r="W34" s="52">
        <v>5</v>
      </c>
      <c r="X34" s="52">
        <f>MAX(1,MIN(5,ROUNDUP((IF($O34="",0,$O34)*0.5)+(IF($Q34="",0,$Q34)*0.25)+((IF($T34="",0,$T34)/20)*0.25),0)))</f>
      </c>
      <c r="Y34" s="52">
        <f>MAX(1,MIN(5,ROUNDUP(((IF($R34="",1,$R34)-1)*1.6)+('Crisis Simulator'!$B$5*0.45)+IF(IF($S34="",99,$S34)&lt;=3,0.8,0),0)))</f>
      </c>
      <c r="Z34" s="52">
        <f>MAX(1,MIN(5,ROUNDUP((IF($O34="",0,$O34)*0.45)+(IF($M34="",0,$M34)*0.35)+(IF($V34="",0,$V34)*0.35),0)))</f>
      </c>
      <c r="AA34" s="52">
        <f>MAX(1,MIN(5,ROUNDUP((IF($U34="",0,$U34)*0.4)+(IF($W34="",0,$W34)*0.3)+((IF($T34="",0,$T34)/20)*0.3),0)))</f>
      </c>
      <c r="AB34" s="52">
        <v>3</v>
      </c>
      <c r="AC34" s="52">
        <f>IF($AB34=0,"",ROUND((IF($X34="",0,$X34)+IF($Y34="",0,$Y34)+IF($Z34="",0,$Z34)+IF($AA34="",0,$AA34))/$AB34,2))</f>
      </c>
      <c r="AD34" s="52">
        <f>IF($AC34="","",RANK.EQ($AC34,$AC$5:$AC$76,0)+COUNTIF($AC$5:$AC34,$AC34)-1)</f>
      </c>
      <c r="AE34" s="52">
        <f>IF($AD34="","",IF($AD34&lt;=12,"0-90 days",IF($AD34&lt;=32,"3-6 months",IF($AD34&lt;=55,"6-12 months","12+ months"))))</f>
      </c>
      <c r="AF34" s="52" t="s">
        <v>1265</v>
      </c>
      <c r="AG34" s="52" t="s">
        <v>1040</v>
      </c>
      <c r="AH34" s="52" t="s">
        <v>1266</v>
      </c>
      <c r="AI34" s="52" t="s">
        <v>1008</v>
      </c>
      <c r="AJ34" s="52" t="s">
        <v>1284</v>
      </c>
      <c r="AK34" s="52" t="s">
        <v>1285</v>
      </c>
      <c r="AL34" s="52" t="s">
        <v>1286</v>
      </c>
      <c r="AM34" s="52" t="s">
        <v>1270</v>
      </c>
      <c r="AN34" s="52" t="s">
        <v>1013</v>
      </c>
      <c r="AO34" s="52" t="s">
        <v>783</v>
      </c>
      <c r="AP34" s="52" t="s">
        <v>47</v>
      </c>
      <c r="AQ34" s="52"/>
      <c r="AR34" s="52"/>
      <c r="AS34" s="48">
        <f>IFERROR(SUMIFS(_TECH_Industry_Templates!$J:$J,_TECH_Industry_Templates!$A:$A,'Company Profile'!$B$9,_TECH_Industry_Templates!$B:$B,$B34),1)</f>
        <v>1.2</v>
      </c>
      <c r="AT34" s="48">
        <f>IF($AC34="","",ROUND($AC34*IF($AS34="",1,$AS34),2))</f>
      </c>
      <c r="AU34" s="48">
        <f>IF($AT34="","",RANK.EQ($AT34,$AT$5:$AT$76,0)+COUNTIF($AT$5:AT34,$AT34)-1)</f>
      </c>
      <c r="AV34" s="48" t="str">
        <f>IFERROR(INDEX('Improved Scoring Model'!$E$6:$E$22,MATCH($B34,'Improved Scoring Model'!$A$6:$A$22,0)),"")</f>
        <v/>
      </c>
      <c r="AW34" s="48" t="str">
        <f t="shared" si="9"/>
        <v>Industry template increases priority</v>
      </c>
    </row>
    <row r="35" spans="1:49" ht="42" customHeight="1">
      <c r="A35" s="52" t="s">
        <v>1287</v>
      </c>
      <c r="B35" s="52" t="s">
        <v>75</v>
      </c>
      <c r="C35" s="52" t="s">
        <v>1288</v>
      </c>
      <c r="D35" s="52" t="s">
        <v>1259</v>
      </c>
      <c r="E35" s="52" t="s">
        <v>1260</v>
      </c>
      <c r="F35" s="52" t="s">
        <v>1289</v>
      </c>
      <c r="G35" s="52" t="s">
        <v>1290</v>
      </c>
      <c r="H35" s="52" t="s">
        <v>190</v>
      </c>
      <c r="I35" s="52" t="s">
        <v>1263</v>
      </c>
      <c r="J35" s="52" t="s">
        <v>1291</v>
      </c>
      <c r="K35" s="52">
        <v>6</v>
      </c>
      <c r="L35" s="52">
        <f>COUNTIFS('Executive Recommendations'!$C$8:$C$414,$B35,'Executive Recommendations'!$D$8:$D$414,$C35,'Executive Recommendations'!$B$8:$B$414,"Yes")</f>
        <v>0</v>
      </c>
      <c r="M35" s="52">
        <f>COUNTIFS('Risk Summary'!$C$8:$C$414,$B35,'Risk Summary'!$D$8:$D$414,$C35,'Risk Summary'!$B$8:$B$414,"Yes")</f>
        <v>0</v>
      </c>
      <c r="N35" s="52" t="str">
        <f t="shared" ca="1" si="0"/>
        <v/>
      </c>
      <c r="O35" s="52" t="str">
        <f t="shared" ca="1" si="1"/>
        <v/>
      </c>
      <c r="P35" s="52">
        <f>IFERROR(INDEX(Dashboard!$H$5:$H$21,MATCH($B35,Dashboard!$A$5:$A$21,0)),"")</f>
        <v>0</v>
      </c>
      <c r="Q35" s="52">
        <f t="shared" si="2"/>
        <v>5</v>
      </c>
      <c r="R35" s="52">
        <f>IFERROR(SUMIFS(_TECH_Crisis_Model!$D$5:$D$191,_TECH_Crisis_Model!$A$5:$A$191,'Crisis Simulator'!$B$4,_TECH_Crisis_Model!$B$5:$B$191,$B35),1)</f>
        <v>1.7</v>
      </c>
      <c r="S35" s="52">
        <f ca="1">IFERROR(INDEX('Strategy Selection'!$A$10:$A$23,MATCH($D35,'Strategy Selection'!$B$10:$B$23,0)),99)</f>
        <v>99</v>
      </c>
      <c r="T35" s="52">
        <f>IFERROR(INDEX('Strategy Selection'!$J$10:$J$23,MATCH($D35,'Strategy Selection'!$B$10:$B$23,0)),0)</f>
        <v>61.5</v>
      </c>
      <c r="U35" s="52">
        <v>4</v>
      </c>
      <c r="V35" s="52">
        <v>4</v>
      </c>
      <c r="W35" s="52">
        <v>5</v>
      </c>
      <c r="X35" s="52">
        <f>MAX(1,MIN(5,ROUNDUP((IF($O35="",0,$O35)*0.5)+(IF($Q35="",0,$Q35)*0.25)+((IF($T35="",0,$T35)/20)*0.25),0)))</f>
      </c>
      <c r="Y35" s="52">
        <f>MAX(1,MIN(5,ROUNDUP(((IF($R35="",1,$R35)-1)*1.6)+('Crisis Simulator'!$B$5*0.45)+IF(IF($S35="",99,$S35)&lt;=3,0.8,0),0)))</f>
      </c>
      <c r="Z35" s="52">
        <f>MAX(1,MIN(5,ROUNDUP((IF($O35="",0,$O35)*0.45)+(IF($M35="",0,$M35)*0.35)+(IF($V35="",0,$V35)*0.35),0)))</f>
      </c>
      <c r="AA35" s="52">
        <f>MAX(1,MIN(5,ROUNDUP((IF($U35="",0,$U35)*0.4)+(IF($W35="",0,$W35)*0.3)+((IF($T35="",0,$T35)/20)*0.3),0)))</f>
      </c>
      <c r="AB35" s="52">
        <v>3</v>
      </c>
      <c r="AC35" s="52">
        <f>IF($AB35=0,"",ROUND((IF($X35="",0,$X35)+IF($Y35="",0,$Y35)+IF($Z35="",0,$Z35)+IF($AA35="",0,$AA35))/$AB35,2))</f>
      </c>
      <c r="AD35" s="52">
        <f>IF($AC35="","",RANK.EQ($AC35,$AC$5:$AC$76,0)+COUNTIF($AC$5:$AC35,$AC35)-1)</f>
      </c>
      <c r="AE35" s="52">
        <f>IF($AD35="","",IF($AD35&lt;=12,"0-90 days",IF($AD35&lt;=32,"3-6 months",IF($AD35&lt;=55,"6-12 months","12+ months"))))</f>
      </c>
      <c r="AF35" s="52" t="s">
        <v>1265</v>
      </c>
      <c r="AG35" s="52" t="s">
        <v>1040</v>
      </c>
      <c r="AH35" s="52" t="s">
        <v>1266</v>
      </c>
      <c r="AI35" s="52" t="s">
        <v>1008</v>
      </c>
      <c r="AJ35" s="52" t="s">
        <v>1292</v>
      </c>
      <c r="AK35" s="52" t="s">
        <v>1293</v>
      </c>
      <c r="AL35" s="52" t="s">
        <v>1294</v>
      </c>
      <c r="AM35" s="52" t="s">
        <v>1270</v>
      </c>
      <c r="AN35" s="52" t="s">
        <v>1013</v>
      </c>
      <c r="AO35" s="52" t="s">
        <v>783</v>
      </c>
      <c r="AP35" s="52" t="s">
        <v>47</v>
      </c>
      <c r="AQ35" s="52"/>
      <c r="AR35" s="52"/>
      <c r="AS35" s="48">
        <f>IFERROR(SUMIFS(_TECH_Industry_Templates!$J:$J,_TECH_Industry_Templates!$A:$A,'Company Profile'!$B$9,_TECH_Industry_Templates!$B:$B,$B35),1)</f>
        <v>1.2</v>
      </c>
      <c r="AT35" s="48">
        <f>IF($AC35="","",ROUND($AC35*IF($AS35="",1,$AS35),2))</f>
      </c>
      <c r="AU35" s="48">
        <f>IF($AT35="","",RANK.EQ($AT35,$AT$5:$AT$76,0)+COUNTIF($AT$5:AT35,$AT35)-1)</f>
      </c>
      <c r="AV35" s="48" t="str">
        <f>IFERROR(INDEX('Improved Scoring Model'!$E$6:$E$22,MATCH($B35,'Improved Scoring Model'!$A$6:$A$22,0)),"")</f>
        <v/>
      </c>
      <c r="AW35" s="48" t="str">
        <f t="shared" si="9"/>
        <v>Industry template increases priority</v>
      </c>
    </row>
    <row r="36" spans="1:49" ht="42" customHeight="1">
      <c r="A36" s="52" t="s">
        <v>1295</v>
      </c>
      <c r="B36" s="52" t="s">
        <v>78</v>
      </c>
      <c r="C36" s="52" t="s">
        <v>1296</v>
      </c>
      <c r="D36" s="52" t="s">
        <v>1159</v>
      </c>
      <c r="E36" s="52" t="s">
        <v>1160</v>
      </c>
      <c r="F36" s="52" t="s">
        <v>1297</v>
      </c>
      <c r="G36" s="52" t="s">
        <v>1298</v>
      </c>
      <c r="H36" s="52" t="s">
        <v>191</v>
      </c>
      <c r="I36" s="52" t="s">
        <v>1299</v>
      </c>
      <c r="J36" s="52" t="s">
        <v>1300</v>
      </c>
      <c r="K36" s="52">
        <v>6</v>
      </c>
      <c r="L36" s="52">
        <f>COUNTIFS('Executive Recommendations'!$C$8:$C$414,$B36,'Executive Recommendations'!$D$8:$D$414,$C36,'Executive Recommendations'!$B$8:$B$414,"Yes")</f>
        <v>0</v>
      </c>
      <c r="M36" s="52">
        <f>COUNTIFS('Risk Summary'!$C$8:$C$414,$B36,'Risk Summary'!$D$8:$D$414,$C36,'Risk Summary'!$B$8:$B$414,"Yes")</f>
        <v>0</v>
      </c>
      <c r="N36" s="52" t="str">
        <f t="shared" ca="1" si="0"/>
        <v/>
      </c>
      <c r="O36" s="52" t="str">
        <f t="shared" ca="1" si="1"/>
        <v/>
      </c>
      <c r="P36" s="52">
        <f>IFERROR(INDEX(Dashboard!$H$5:$H$21,MATCH($B36,Dashboard!$A$5:$A$21,0)),"")</f>
        <v>0</v>
      </c>
      <c r="Q36" s="52">
        <f t="shared" si="2"/>
        <v>5</v>
      </c>
      <c r="R36" s="52">
        <f>IFERROR(SUMIFS(_TECH_Crisis_Model!$D$5:$D$191,_TECH_Crisis_Model!$A$5:$A$191,'Crisis Simulator'!$B$4,_TECH_Crisis_Model!$B$5:$B$191,$B36),1)</f>
        <v>1.7</v>
      </c>
      <c r="S36" s="52">
        <f ca="1">IFERROR(INDEX('Strategy Selection'!$A$10:$A$23,MATCH($D36,'Strategy Selection'!$B$10:$B$23,0)),99)</f>
        <v>99</v>
      </c>
      <c r="T36" s="52">
        <f>IFERROR(INDEX('Strategy Selection'!$J$10:$J$23,MATCH($D36,'Strategy Selection'!$B$10:$B$23,0)),0)</f>
        <v>69</v>
      </c>
      <c r="U36" s="52">
        <v>3</v>
      </c>
      <c r="V36" s="52">
        <v>5</v>
      </c>
      <c r="W36" s="52">
        <v>4</v>
      </c>
      <c r="X36" s="52">
        <f>MAX(1,MIN(5,ROUNDUP((IF($O36="",0,$O36)*0.5)+(IF($Q36="",0,$Q36)*0.25)+((IF($T36="",0,$T36)/20)*0.25),0)))</f>
      </c>
      <c r="Y36" s="52">
        <f>MAX(1,MIN(5,ROUNDUP(((IF($R36="",1,$R36)-1)*1.6)+('Crisis Simulator'!$B$5*0.45)+IF(IF($S36="",99,$S36)&lt;=3,0.8,0),0)))</f>
      </c>
      <c r="Z36" s="52">
        <f>MAX(1,MIN(5,ROUNDUP((IF($O36="",0,$O36)*0.45)+(IF($M36="",0,$M36)*0.35)+(IF($V36="",0,$V36)*0.35),0)))</f>
      </c>
      <c r="AA36" s="52">
        <f>MAX(1,MIN(5,ROUNDUP((IF($U36="",0,$U36)*0.4)+(IF($W36="",0,$W36)*0.3)+((IF($T36="",0,$T36)/20)*0.3),0)))</f>
      </c>
      <c r="AB36" s="52">
        <v>3</v>
      </c>
      <c r="AC36" s="52">
        <f>IF($AB36=0,"",ROUND((IF($X36="",0,$X36)+IF($Y36="",0,$Y36)+IF($Z36="",0,$Z36)+IF($AA36="",0,$AA36))/$AB36,2))</f>
      </c>
      <c r="AD36" s="52">
        <f>IF($AC36="","",RANK.EQ($AC36,$AC$5:$AC$76,0)+COUNTIF($AC$5:$AC36,$AC36)-1)</f>
      </c>
      <c r="AE36" s="52">
        <f>IF($AD36="","",IF($AD36&lt;=12,"0-90 days",IF($AD36&lt;=32,"3-6 months",IF($AD36&lt;=55,"6-12 months","12+ months"))))</f>
      </c>
      <c r="AF36" s="52" t="s">
        <v>1301</v>
      </c>
      <c r="AG36" s="52" t="s">
        <v>1040</v>
      </c>
      <c r="AH36" s="52" t="s">
        <v>1266</v>
      </c>
      <c r="AI36" s="52" t="s">
        <v>1302</v>
      </c>
      <c r="AJ36" s="52" t="s">
        <v>1303</v>
      </c>
      <c r="AK36" s="52" t="s">
        <v>1304</v>
      </c>
      <c r="AL36" s="52" t="s">
        <v>1305</v>
      </c>
      <c r="AM36" s="52" t="s">
        <v>1167</v>
      </c>
      <c r="AN36" s="52" t="s">
        <v>1013</v>
      </c>
      <c r="AO36" s="52" t="s">
        <v>783</v>
      </c>
      <c r="AP36" s="52" t="s">
        <v>47</v>
      </c>
      <c r="AQ36" s="52"/>
      <c r="AR36" s="52"/>
      <c r="AS36" s="48">
        <f>IFERROR(SUMIFS(_TECH_Industry_Templates!$J:$J,_TECH_Industry_Templates!$A:$A,'Company Profile'!$B$9,_TECH_Industry_Templates!$B:$B,$B36),1)</f>
        <v>1</v>
      </c>
      <c r="AT36" s="48">
        <f>IF($AC36="","",ROUND($AC36*IF($AS36="",1,$AS36),2))</f>
      </c>
      <c r="AU36" s="48">
        <f>IF($AT36="","",RANK.EQ($AT36,$AT$5:$AT$76,0)+COUNTIF($AT$5:AT36,$AT36)-1)</f>
      </c>
      <c r="AV36" s="48" t="str">
        <f>IFERROR(INDEX('Improved Scoring Model'!$E$6:$E$22,MATCH($B36,'Improved Scoring Model'!$A$6:$A$22,0)),"")</f>
        <v/>
      </c>
      <c r="AW36" s="48" t="str">
        <f t="shared" si="9"/>
        <v>Industry-neutral priority</v>
      </c>
    </row>
    <row r="37" spans="1:49" ht="42" customHeight="1">
      <c r="A37" s="52" t="s">
        <v>1306</v>
      </c>
      <c r="B37" s="52" t="s">
        <v>78</v>
      </c>
      <c r="C37" s="52" t="s">
        <v>1307</v>
      </c>
      <c r="D37" s="52" t="s">
        <v>1159</v>
      </c>
      <c r="E37" s="52" t="s">
        <v>1160</v>
      </c>
      <c r="F37" s="52" t="s">
        <v>1308</v>
      </c>
      <c r="G37" s="52" t="s">
        <v>1309</v>
      </c>
      <c r="H37" s="52" t="s">
        <v>191</v>
      </c>
      <c r="I37" s="52" t="s">
        <v>1299</v>
      </c>
      <c r="J37" s="52" t="s">
        <v>1310</v>
      </c>
      <c r="K37" s="52">
        <v>6</v>
      </c>
      <c r="L37" s="52">
        <f>COUNTIFS('Executive Recommendations'!$C$8:$C$414,$B37,'Executive Recommendations'!$D$8:$D$414,$C37,'Executive Recommendations'!$B$8:$B$414,"Yes")</f>
        <v>0</v>
      </c>
      <c r="M37" s="52">
        <f>COUNTIFS('Risk Summary'!$C$8:$C$414,$B37,'Risk Summary'!$D$8:$D$414,$C37,'Risk Summary'!$B$8:$B$414,"Yes")</f>
        <v>0</v>
      </c>
      <c r="N37" s="52" t="str">
        <f t="shared" ref="N37:N68" ca="1" si="10">IFERROR(AVERAGEIFS(INDIRECT("'"&amp;$B37&amp;"'!$H$5:$H$500"),INDIRECT("'"&amp;$B37&amp;"'!$B$5:$B$500"),$C37),"")</f>
        <v/>
      </c>
      <c r="O37" s="52" t="str">
        <f t="shared" ref="O37:O68" ca="1" si="11">IF($N37="","",MAX(0,5-$N37))</f>
        <v/>
      </c>
      <c r="P37" s="52">
        <f>IFERROR(INDEX(Dashboard!$H$5:$H$21,MATCH($B37,Dashboard!$A$5:$A$21,0)),"")</f>
        <v>0</v>
      </c>
      <c r="Q37" s="52">
        <f t="shared" ref="Q37:Q68" si="12">IF($P37="","",MAX(0,5-$P37))</f>
        <v>5</v>
      </c>
      <c r="R37" s="52">
        <f>IFERROR(SUMIFS(_TECH_Crisis_Model!$D$5:$D$191,_TECH_Crisis_Model!$A$5:$A$191,'Crisis Simulator'!$B$4,_TECH_Crisis_Model!$B$5:$B$191,$B37),1)</f>
        <v>1.7</v>
      </c>
      <c r="S37" s="52">
        <f ca="1">IFERROR(INDEX('Strategy Selection'!$A$10:$A$23,MATCH($D37,'Strategy Selection'!$B$10:$B$23,0)),99)</f>
        <v>99</v>
      </c>
      <c r="T37" s="52">
        <f>IFERROR(INDEX('Strategy Selection'!$J$10:$J$23,MATCH($D37,'Strategy Selection'!$B$10:$B$23,0)),0)</f>
        <v>69</v>
      </c>
      <c r="U37" s="52">
        <v>3</v>
      </c>
      <c r="V37" s="52">
        <v>5</v>
      </c>
      <c r="W37" s="52">
        <v>4</v>
      </c>
      <c r="X37" s="52">
        <f>MAX(1,MIN(5,ROUNDUP((IF($O37="",0,$O37)*0.5)+(IF($Q37="",0,$Q37)*0.25)+((IF($T37="",0,$T37)/20)*0.25),0)))</f>
      </c>
      <c r="Y37" s="52">
        <f>MAX(1,MIN(5,ROUNDUP(((IF($R37="",1,$R37)-1)*1.6)+('Crisis Simulator'!$B$5*0.45)+IF(IF($S37="",99,$S37)&lt;=3,0.8,0),0)))</f>
      </c>
      <c r="Z37" s="52">
        <f>MAX(1,MIN(5,ROUNDUP((IF($O37="",0,$O37)*0.45)+(IF($M37="",0,$M37)*0.35)+(IF($V37="",0,$V37)*0.35),0)))</f>
      </c>
      <c r="AA37" s="52">
        <f>MAX(1,MIN(5,ROUNDUP((IF($U37="",0,$U37)*0.4)+(IF($W37="",0,$W37)*0.3)+((IF($T37="",0,$T37)/20)*0.3),0)))</f>
      </c>
      <c r="AB37" s="52">
        <v>3</v>
      </c>
      <c r="AC37" s="52">
        <f>IF($AB37=0,"",ROUND((IF($X37="",0,$X37)+IF($Y37="",0,$Y37)+IF($Z37="",0,$Z37)+IF($AA37="",0,$AA37))/$AB37,2))</f>
      </c>
      <c r="AD37" s="52">
        <f>IF($AC37="","",RANK.EQ($AC37,$AC$5:$AC$76,0)+COUNTIF($AC$5:$AC37,$AC37)-1)</f>
      </c>
      <c r="AE37" s="52">
        <f>IF($AD37="","",IF($AD37&lt;=12,"0-90 days",IF($AD37&lt;=32,"3-6 months",IF($AD37&lt;=55,"6-12 months","12+ months"))))</f>
      </c>
      <c r="AF37" s="52" t="s">
        <v>1301</v>
      </c>
      <c r="AG37" s="52" t="s">
        <v>1040</v>
      </c>
      <c r="AH37" s="52" t="s">
        <v>1266</v>
      </c>
      <c r="AI37" s="52" t="s">
        <v>1302</v>
      </c>
      <c r="AJ37" s="52" t="s">
        <v>1311</v>
      </c>
      <c r="AK37" s="52" t="s">
        <v>1312</v>
      </c>
      <c r="AL37" s="52" t="s">
        <v>1313</v>
      </c>
      <c r="AM37" s="52" t="s">
        <v>1167</v>
      </c>
      <c r="AN37" s="52" t="s">
        <v>1013</v>
      </c>
      <c r="AO37" s="52" t="s">
        <v>783</v>
      </c>
      <c r="AP37" s="52" t="s">
        <v>47</v>
      </c>
      <c r="AQ37" s="52"/>
      <c r="AR37" s="52"/>
      <c r="AS37" s="48">
        <f>IFERROR(SUMIFS(_TECH_Industry_Templates!$J:$J,_TECH_Industry_Templates!$A:$A,'Company Profile'!$B$9,_TECH_Industry_Templates!$B:$B,$B37),1)</f>
        <v>1</v>
      </c>
      <c r="AT37" s="48">
        <f>IF($AC37="","",ROUND($AC37*IF($AS37="",1,$AS37),2))</f>
      </c>
      <c r="AU37" s="48">
        <f>IF($AT37="","",RANK.EQ($AT37,$AT$5:$AT$76,0)+COUNTIF($AT$5:AT37,$AT37)-1)</f>
      </c>
      <c r="AV37" s="48" t="str">
        <f>IFERROR(INDEX('Improved Scoring Model'!$E$6:$E$22,MATCH($B37,'Improved Scoring Model'!$A$6:$A$22,0)),"")</f>
        <v/>
      </c>
      <c r="AW37" s="48" t="str">
        <f t="shared" ref="AW37:AW68" si="19">IF($AS37&gt;1.15,"Industry template increases priority",IF($AS37&lt;0.9,"Industry template lowers priority","Industry-neutral priority"))</f>
        <v>Industry-neutral priority</v>
      </c>
    </row>
    <row r="38" spans="1:49" ht="42" customHeight="1">
      <c r="A38" s="52" t="s">
        <v>1314</v>
      </c>
      <c r="B38" s="52" t="s">
        <v>78</v>
      </c>
      <c r="C38" s="52" t="s">
        <v>1315</v>
      </c>
      <c r="D38" s="52" t="s">
        <v>1159</v>
      </c>
      <c r="E38" s="52" t="s">
        <v>1160</v>
      </c>
      <c r="F38" s="52" t="s">
        <v>1316</v>
      </c>
      <c r="G38" s="52" t="s">
        <v>1317</v>
      </c>
      <c r="H38" s="52" t="s">
        <v>191</v>
      </c>
      <c r="I38" s="52" t="s">
        <v>1299</v>
      </c>
      <c r="J38" s="52" t="s">
        <v>1318</v>
      </c>
      <c r="K38" s="52">
        <v>7</v>
      </c>
      <c r="L38" s="52">
        <f>COUNTIFS('Executive Recommendations'!$C$8:$C$414,$B38,'Executive Recommendations'!$D$8:$D$414,$C38,'Executive Recommendations'!$B$8:$B$414,"Yes")</f>
        <v>0</v>
      </c>
      <c r="M38" s="52">
        <f>COUNTIFS('Risk Summary'!$C$8:$C$414,$B38,'Risk Summary'!$D$8:$D$414,$C38,'Risk Summary'!$B$8:$B$414,"Yes")</f>
        <v>0</v>
      </c>
      <c r="N38" s="52" t="str">
        <f t="shared" ca="1" si="10"/>
        <v/>
      </c>
      <c r="O38" s="52" t="str">
        <f t="shared" ca="1" si="11"/>
        <v/>
      </c>
      <c r="P38" s="52">
        <f>IFERROR(INDEX(Dashboard!$H$5:$H$21,MATCH($B38,Dashboard!$A$5:$A$21,0)),"")</f>
        <v>0</v>
      </c>
      <c r="Q38" s="52">
        <f t="shared" si="12"/>
        <v>5</v>
      </c>
      <c r="R38" s="52">
        <f>IFERROR(SUMIFS(_TECH_Crisis_Model!$D$5:$D$191,_TECH_Crisis_Model!$A$5:$A$191,'Crisis Simulator'!$B$4,_TECH_Crisis_Model!$B$5:$B$191,$B38),1)</f>
        <v>1.7</v>
      </c>
      <c r="S38" s="52">
        <f ca="1">IFERROR(INDEX('Strategy Selection'!$A$10:$A$23,MATCH($D38,'Strategy Selection'!$B$10:$B$23,0)),99)</f>
        <v>99</v>
      </c>
      <c r="T38" s="52">
        <f>IFERROR(INDEX('Strategy Selection'!$J$10:$J$23,MATCH($D38,'Strategy Selection'!$B$10:$B$23,0)),0)</f>
        <v>69</v>
      </c>
      <c r="U38" s="52">
        <v>3</v>
      </c>
      <c r="V38" s="52">
        <v>5</v>
      </c>
      <c r="W38" s="52">
        <v>4</v>
      </c>
      <c r="X38" s="52">
        <f>MAX(1,MIN(5,ROUNDUP((IF($O38="",0,$O38)*0.5)+(IF($Q38="",0,$Q38)*0.25)+((IF($T38="",0,$T38)/20)*0.25),0)))</f>
      </c>
      <c r="Y38" s="52">
        <f>MAX(1,MIN(5,ROUNDUP(((IF($R38="",1,$R38)-1)*1.6)+('Crisis Simulator'!$B$5*0.45)+IF(IF($S38="",99,$S38)&lt;=3,0.8,0),0)))</f>
      </c>
      <c r="Z38" s="52">
        <f>MAX(1,MIN(5,ROUNDUP((IF($O38="",0,$O38)*0.45)+(IF($M38="",0,$M38)*0.35)+(IF($V38="",0,$V38)*0.35),0)))</f>
      </c>
      <c r="AA38" s="52">
        <f>MAX(1,MIN(5,ROUNDUP((IF($U38="",0,$U38)*0.4)+(IF($W38="",0,$W38)*0.3)+((IF($T38="",0,$T38)/20)*0.3),0)))</f>
      </c>
      <c r="AB38" s="52">
        <v>3</v>
      </c>
      <c r="AC38" s="52">
        <f>IF($AB38=0,"",ROUND((IF($X38="",0,$X38)+IF($Y38="",0,$Y38)+IF($Z38="",0,$Z38)+IF($AA38="",0,$AA38))/$AB38,2))</f>
      </c>
      <c r="AD38" s="52">
        <f>IF($AC38="","",RANK.EQ($AC38,$AC$5:$AC$76,0)+COUNTIF($AC$5:$AC38,$AC38)-1)</f>
      </c>
      <c r="AE38" s="52">
        <f>IF($AD38="","",IF($AD38&lt;=12,"0-90 days",IF($AD38&lt;=32,"3-6 months",IF($AD38&lt;=55,"6-12 months","12+ months"))))</f>
      </c>
      <c r="AF38" s="52" t="s">
        <v>1301</v>
      </c>
      <c r="AG38" s="52" t="s">
        <v>1040</v>
      </c>
      <c r="AH38" s="52" t="s">
        <v>1266</v>
      </c>
      <c r="AI38" s="52" t="s">
        <v>1302</v>
      </c>
      <c r="AJ38" s="52" t="s">
        <v>1319</v>
      </c>
      <c r="AK38" s="52" t="s">
        <v>1320</v>
      </c>
      <c r="AL38" s="52" t="s">
        <v>1321</v>
      </c>
      <c r="AM38" s="52" t="s">
        <v>1167</v>
      </c>
      <c r="AN38" s="52" t="s">
        <v>1013</v>
      </c>
      <c r="AO38" s="52" t="s">
        <v>783</v>
      </c>
      <c r="AP38" s="52" t="s">
        <v>47</v>
      </c>
      <c r="AQ38" s="52"/>
      <c r="AR38" s="52"/>
      <c r="AS38" s="48">
        <f>IFERROR(SUMIFS(_TECH_Industry_Templates!$J:$J,_TECH_Industry_Templates!$A:$A,'Company Profile'!$B$9,_TECH_Industry_Templates!$B:$B,$B38),1)</f>
        <v>1</v>
      </c>
      <c r="AT38" s="48">
        <f>IF($AC38="","",ROUND($AC38*IF($AS38="",1,$AS38),2))</f>
      </c>
      <c r="AU38" s="48">
        <f>IF($AT38="","",RANK.EQ($AT38,$AT$5:$AT$76,0)+COUNTIF($AT$5:AT38,$AT38)-1)</f>
      </c>
      <c r="AV38" s="48" t="str">
        <f>IFERROR(INDEX('Improved Scoring Model'!$E$6:$E$22,MATCH($B38,'Improved Scoring Model'!$A$6:$A$22,0)),"")</f>
        <v/>
      </c>
      <c r="AW38" s="48" t="str">
        <f t="shared" si="19"/>
        <v>Industry-neutral priority</v>
      </c>
    </row>
    <row r="39" spans="1:49" ht="42" customHeight="1">
      <c r="A39" s="52" t="s">
        <v>1322</v>
      </c>
      <c r="B39" s="52" t="s">
        <v>78</v>
      </c>
      <c r="C39" s="52" t="s">
        <v>1323</v>
      </c>
      <c r="D39" s="52" t="s">
        <v>1159</v>
      </c>
      <c r="E39" s="52" t="s">
        <v>1160</v>
      </c>
      <c r="F39" s="52" t="s">
        <v>1324</v>
      </c>
      <c r="G39" s="52" t="s">
        <v>1325</v>
      </c>
      <c r="H39" s="52" t="s">
        <v>191</v>
      </c>
      <c r="I39" s="52" t="s">
        <v>1299</v>
      </c>
      <c r="J39" s="52" t="s">
        <v>1326</v>
      </c>
      <c r="K39" s="52">
        <v>6</v>
      </c>
      <c r="L39" s="52">
        <f>COUNTIFS('Executive Recommendations'!$C$8:$C$414,$B39,'Executive Recommendations'!$D$8:$D$414,$C39,'Executive Recommendations'!$B$8:$B$414,"Yes")</f>
        <v>0</v>
      </c>
      <c r="M39" s="52">
        <f>COUNTIFS('Risk Summary'!$C$8:$C$414,$B39,'Risk Summary'!$D$8:$D$414,$C39,'Risk Summary'!$B$8:$B$414,"Yes")</f>
        <v>0</v>
      </c>
      <c r="N39" s="52" t="str">
        <f t="shared" ca="1" si="10"/>
        <v/>
      </c>
      <c r="O39" s="52" t="str">
        <f t="shared" ca="1" si="11"/>
        <v/>
      </c>
      <c r="P39" s="52">
        <f>IFERROR(INDEX(Dashboard!$H$5:$H$21,MATCH($B39,Dashboard!$A$5:$A$21,0)),"")</f>
        <v>0</v>
      </c>
      <c r="Q39" s="52">
        <f t="shared" si="12"/>
        <v>5</v>
      </c>
      <c r="R39" s="52">
        <f>IFERROR(SUMIFS(_TECH_Crisis_Model!$D$5:$D$191,_TECH_Crisis_Model!$A$5:$A$191,'Crisis Simulator'!$B$4,_TECH_Crisis_Model!$B$5:$B$191,$B39),1)</f>
        <v>1.7</v>
      </c>
      <c r="S39" s="52">
        <f ca="1">IFERROR(INDEX('Strategy Selection'!$A$10:$A$23,MATCH($D39,'Strategy Selection'!$B$10:$B$23,0)),99)</f>
        <v>99</v>
      </c>
      <c r="T39" s="52">
        <f>IFERROR(INDEX('Strategy Selection'!$J$10:$J$23,MATCH($D39,'Strategy Selection'!$B$10:$B$23,0)),0)</f>
        <v>69</v>
      </c>
      <c r="U39" s="52">
        <v>3</v>
      </c>
      <c r="V39" s="52">
        <v>5</v>
      </c>
      <c r="W39" s="52">
        <v>4</v>
      </c>
      <c r="X39" s="52">
        <f>MAX(1,MIN(5,ROUNDUP((IF($O39="",0,$O39)*0.5)+(IF($Q39="",0,$Q39)*0.25)+((IF($T39="",0,$T39)/20)*0.25),0)))</f>
      </c>
      <c r="Y39" s="52">
        <f>MAX(1,MIN(5,ROUNDUP(((IF($R39="",1,$R39)-1)*1.6)+('Crisis Simulator'!$B$5*0.45)+IF(IF($S39="",99,$S39)&lt;=3,0.8,0),0)))</f>
      </c>
      <c r="Z39" s="52">
        <f>MAX(1,MIN(5,ROUNDUP((IF($O39="",0,$O39)*0.45)+(IF($M39="",0,$M39)*0.35)+(IF($V39="",0,$V39)*0.35),0)))</f>
      </c>
      <c r="AA39" s="52">
        <f>MAX(1,MIN(5,ROUNDUP((IF($U39="",0,$U39)*0.4)+(IF($W39="",0,$W39)*0.3)+((IF($T39="",0,$T39)/20)*0.3),0)))</f>
      </c>
      <c r="AB39" s="52">
        <v>3</v>
      </c>
      <c r="AC39" s="52">
        <f>IF($AB39=0,"",ROUND((IF($X39="",0,$X39)+IF($Y39="",0,$Y39)+IF($Z39="",0,$Z39)+IF($AA39="",0,$AA39))/$AB39,2))</f>
      </c>
      <c r="AD39" s="52">
        <f>IF($AC39="","",RANK.EQ($AC39,$AC$5:$AC$76,0)+COUNTIF($AC$5:$AC39,$AC39)-1)</f>
      </c>
      <c r="AE39" s="52">
        <f>IF($AD39="","",IF($AD39&lt;=12,"0-90 days",IF($AD39&lt;=32,"3-6 months",IF($AD39&lt;=55,"6-12 months","12+ months"))))</f>
      </c>
      <c r="AF39" s="52" t="s">
        <v>1301</v>
      </c>
      <c r="AG39" s="52" t="s">
        <v>1040</v>
      </c>
      <c r="AH39" s="52" t="s">
        <v>1266</v>
      </c>
      <c r="AI39" s="52" t="s">
        <v>1302</v>
      </c>
      <c r="AJ39" s="52" t="s">
        <v>1327</v>
      </c>
      <c r="AK39" s="52" t="s">
        <v>1328</v>
      </c>
      <c r="AL39" s="52" t="s">
        <v>1329</v>
      </c>
      <c r="AM39" s="52" t="s">
        <v>1167</v>
      </c>
      <c r="AN39" s="52" t="s">
        <v>1013</v>
      </c>
      <c r="AO39" s="52" t="s">
        <v>783</v>
      </c>
      <c r="AP39" s="52" t="s">
        <v>47</v>
      </c>
      <c r="AQ39" s="52"/>
      <c r="AR39" s="52"/>
      <c r="AS39" s="48">
        <f>IFERROR(SUMIFS(_TECH_Industry_Templates!$J:$J,_TECH_Industry_Templates!$A:$A,'Company Profile'!$B$9,_TECH_Industry_Templates!$B:$B,$B39),1)</f>
        <v>1</v>
      </c>
      <c r="AT39" s="48">
        <f>IF($AC39="","",ROUND($AC39*IF($AS39="",1,$AS39),2))</f>
      </c>
      <c r="AU39" s="48">
        <f>IF($AT39="","",RANK.EQ($AT39,$AT$5:$AT$76,0)+COUNTIF($AT$5:AT39,$AT39)-1)</f>
      </c>
      <c r="AV39" s="48" t="str">
        <f>IFERROR(INDEX('Improved Scoring Model'!$E$6:$E$22,MATCH($B39,'Improved Scoring Model'!$A$6:$A$22,0)),"")</f>
        <v/>
      </c>
      <c r="AW39" s="48" t="str">
        <f t="shared" si="19"/>
        <v>Industry-neutral priority</v>
      </c>
    </row>
    <row r="40" spans="1:49" ht="42" customHeight="1">
      <c r="A40" s="52" t="s">
        <v>1330</v>
      </c>
      <c r="B40" s="52" t="s">
        <v>81</v>
      </c>
      <c r="C40" s="52" t="s">
        <v>1331</v>
      </c>
      <c r="D40" s="52" t="s">
        <v>1332</v>
      </c>
      <c r="E40" s="52" t="s">
        <v>1333</v>
      </c>
      <c r="F40" s="52" t="s">
        <v>1334</v>
      </c>
      <c r="G40" s="52" t="s">
        <v>1335</v>
      </c>
      <c r="H40" s="52" t="s">
        <v>192</v>
      </c>
      <c r="I40" s="52" t="s">
        <v>1336</v>
      </c>
      <c r="J40" s="52" t="s">
        <v>1337</v>
      </c>
      <c r="K40" s="52">
        <v>6</v>
      </c>
      <c r="L40" s="52">
        <f>COUNTIFS('Executive Recommendations'!$C$8:$C$414,$B40,'Executive Recommendations'!$D$8:$D$414,$C40,'Executive Recommendations'!$B$8:$B$414,"Yes")</f>
        <v>0</v>
      </c>
      <c r="M40" s="52">
        <f>COUNTIFS('Risk Summary'!$C$8:$C$414,$B40,'Risk Summary'!$D$8:$D$414,$C40,'Risk Summary'!$B$8:$B$414,"Yes")</f>
        <v>0</v>
      </c>
      <c r="N40" s="52" t="str">
        <f t="shared" ca="1" si="10"/>
        <v/>
      </c>
      <c r="O40" s="52" t="str">
        <f t="shared" ca="1" si="11"/>
        <v/>
      </c>
      <c r="P40" s="52">
        <f>IFERROR(INDEX(Dashboard!$H$5:$H$21,MATCH($B40,Dashboard!$A$5:$A$21,0)),"")</f>
        <v>0</v>
      </c>
      <c r="Q40" s="52">
        <f t="shared" si="12"/>
        <v>5</v>
      </c>
      <c r="R40" s="52">
        <f>IFERROR(SUMIFS(_TECH_Crisis_Model!$D$5:$D$191,_TECH_Crisis_Model!$A$5:$A$191,'Crisis Simulator'!$B$4,_TECH_Crisis_Model!$B$5:$B$191,$B40),1)</f>
        <v>1.4</v>
      </c>
      <c r="S40" s="52">
        <f ca="1">IFERROR(INDEX('Strategy Selection'!$A$10:$A$23,MATCH($D40,'Strategy Selection'!$B$10:$B$23,0)),99)</f>
        <v>99</v>
      </c>
      <c r="T40" s="52">
        <f>IFERROR(INDEX('Strategy Selection'!$J$10:$J$23,MATCH($D40,'Strategy Selection'!$B$10:$B$23,0)),0)</f>
        <v>67.3</v>
      </c>
      <c r="U40" s="52">
        <v>5</v>
      </c>
      <c r="V40" s="52">
        <v>5</v>
      </c>
      <c r="W40" s="52">
        <v>4</v>
      </c>
      <c r="X40" s="52">
        <f>MAX(1,MIN(5,ROUNDUP((IF($O40="",0,$O40)*0.5)+(IF($Q40="",0,$Q40)*0.25)+((IF($T40="",0,$T40)/20)*0.25),0)))</f>
      </c>
      <c r="Y40" s="52">
        <f>MAX(1,MIN(5,ROUNDUP(((IF($R40="",1,$R40)-1)*1.6)+('Crisis Simulator'!$B$5*0.45)+IF(IF($S40="",99,$S40)&lt;=3,0.8,0),0)))</f>
      </c>
      <c r="Z40" s="52">
        <f>MAX(1,MIN(5,ROUNDUP((IF($O40="",0,$O40)*0.45)+(IF($M40="",0,$M40)*0.35)+(IF($V40="",0,$V40)*0.35),0)))</f>
      </c>
      <c r="AA40" s="52">
        <f>MAX(1,MIN(5,ROUNDUP((IF($U40="",0,$U40)*0.4)+(IF($W40="",0,$W40)*0.3)+((IF($T40="",0,$T40)/20)*0.3),0)))</f>
      </c>
      <c r="AB40" s="52">
        <v>4</v>
      </c>
      <c r="AC40" s="52">
        <f>IF($AB40=0,"",ROUND((IF($X40="",0,$X40)+IF($Y40="",0,$Y40)+IF($Z40="",0,$Z40)+IF($AA40="",0,$AA40))/$AB40,2))</f>
      </c>
      <c r="AD40" s="52">
        <f>IF($AC40="","",RANK.EQ($AC40,$AC$5:$AC$76,0)+COUNTIF($AC$5:$AC40,$AC40)-1)</f>
      </c>
      <c r="AE40" s="52">
        <f>IF($AD40="","",IF($AD40&lt;=12,"0-90 days",IF($AD40&lt;=32,"3-6 months",IF($AD40&lt;=55,"6-12 months","12+ months"))))</f>
      </c>
      <c r="AF40" s="52" t="s">
        <v>1338</v>
      </c>
      <c r="AG40" s="52" t="s">
        <v>754</v>
      </c>
      <c r="AH40" s="52" t="s">
        <v>1266</v>
      </c>
      <c r="AI40" s="52" t="s">
        <v>1339</v>
      </c>
      <c r="AJ40" s="52" t="s">
        <v>1340</v>
      </c>
      <c r="AK40" s="52" t="s">
        <v>1341</v>
      </c>
      <c r="AL40" s="52" t="s">
        <v>1342</v>
      </c>
      <c r="AM40" s="52" t="s">
        <v>1343</v>
      </c>
      <c r="AN40" s="52" t="s">
        <v>1013</v>
      </c>
      <c r="AO40" s="52" t="s">
        <v>783</v>
      </c>
      <c r="AP40" s="52" t="s">
        <v>1344</v>
      </c>
      <c r="AQ40" s="52"/>
      <c r="AR40" s="52"/>
      <c r="AS40" s="48">
        <f>IFERROR(SUMIFS(_TECH_Industry_Templates!$J:$J,_TECH_Industry_Templates!$A:$A,'Company Profile'!$B$9,_TECH_Industry_Templates!$B:$B,$B40),1)</f>
        <v>0.7</v>
      </c>
      <c r="AT40" s="48">
        <f>IF($AC40="","",ROUND($AC40*IF($AS40="",1,$AS40),2))</f>
      </c>
      <c r="AU40" s="48">
        <f>IF($AT40="","",RANK.EQ($AT40,$AT$5:$AT$76,0)+COUNTIF($AT$5:AT40,$AT40)-1)</f>
      </c>
      <c r="AV40" s="48" t="str">
        <f>IFERROR(INDEX('Improved Scoring Model'!$E$6:$E$22,MATCH($B40,'Improved Scoring Model'!$A$6:$A$22,0)),"")</f>
        <v/>
      </c>
      <c r="AW40" s="48" t="str">
        <f t="shared" si="19"/>
        <v>Industry template lowers priority</v>
      </c>
    </row>
    <row r="41" spans="1:49" ht="42" customHeight="1">
      <c r="A41" s="52" t="s">
        <v>1345</v>
      </c>
      <c r="B41" s="52" t="s">
        <v>81</v>
      </c>
      <c r="C41" s="52" t="s">
        <v>1346</v>
      </c>
      <c r="D41" s="52" t="s">
        <v>1332</v>
      </c>
      <c r="E41" s="52" t="s">
        <v>1333</v>
      </c>
      <c r="F41" s="52" t="s">
        <v>1347</v>
      </c>
      <c r="G41" s="52" t="s">
        <v>1348</v>
      </c>
      <c r="H41" s="52" t="s">
        <v>192</v>
      </c>
      <c r="I41" s="52" t="s">
        <v>1336</v>
      </c>
      <c r="J41" s="52" t="s">
        <v>1349</v>
      </c>
      <c r="K41" s="52">
        <v>6</v>
      </c>
      <c r="L41" s="52">
        <f>COUNTIFS('Executive Recommendations'!$C$8:$C$414,$B41,'Executive Recommendations'!$D$8:$D$414,$C41,'Executive Recommendations'!$B$8:$B$414,"Yes")</f>
        <v>0</v>
      </c>
      <c r="M41" s="52">
        <f>COUNTIFS('Risk Summary'!$C$8:$C$414,$B41,'Risk Summary'!$D$8:$D$414,$C41,'Risk Summary'!$B$8:$B$414,"Yes")</f>
        <v>0</v>
      </c>
      <c r="N41" s="52" t="str">
        <f t="shared" ca="1" si="10"/>
        <v/>
      </c>
      <c r="O41" s="52" t="str">
        <f t="shared" ca="1" si="11"/>
        <v/>
      </c>
      <c r="P41" s="52">
        <f>IFERROR(INDEX(Dashboard!$H$5:$H$21,MATCH($B41,Dashboard!$A$5:$A$21,0)),"")</f>
        <v>0</v>
      </c>
      <c r="Q41" s="52">
        <f t="shared" si="12"/>
        <v>5</v>
      </c>
      <c r="R41" s="52">
        <f>IFERROR(SUMIFS(_TECH_Crisis_Model!$D$5:$D$191,_TECH_Crisis_Model!$A$5:$A$191,'Crisis Simulator'!$B$4,_TECH_Crisis_Model!$B$5:$B$191,$B41),1)</f>
        <v>1.4</v>
      </c>
      <c r="S41" s="52">
        <f ca="1">IFERROR(INDEX('Strategy Selection'!$A$10:$A$23,MATCH($D41,'Strategy Selection'!$B$10:$B$23,0)),99)</f>
        <v>99</v>
      </c>
      <c r="T41" s="52">
        <f>IFERROR(INDEX('Strategy Selection'!$J$10:$J$23,MATCH($D41,'Strategy Selection'!$B$10:$B$23,0)),0)</f>
        <v>67.3</v>
      </c>
      <c r="U41" s="52">
        <v>5</v>
      </c>
      <c r="V41" s="52">
        <v>5</v>
      </c>
      <c r="W41" s="52">
        <v>4</v>
      </c>
      <c r="X41" s="52">
        <f>MAX(1,MIN(5,ROUNDUP((IF($O41="",0,$O41)*0.5)+(IF($Q41="",0,$Q41)*0.25)+((IF($T41="",0,$T41)/20)*0.25),0)))</f>
      </c>
      <c r="Y41" s="52">
        <f>MAX(1,MIN(5,ROUNDUP(((IF($R41="",1,$R41)-1)*1.6)+('Crisis Simulator'!$B$5*0.45)+IF(IF($S41="",99,$S41)&lt;=3,0.8,0),0)))</f>
      </c>
      <c r="Z41" s="52">
        <f>MAX(1,MIN(5,ROUNDUP((IF($O41="",0,$O41)*0.45)+(IF($M41="",0,$M41)*0.35)+(IF($V41="",0,$V41)*0.35),0)))</f>
      </c>
      <c r="AA41" s="52">
        <f>MAX(1,MIN(5,ROUNDUP((IF($U41="",0,$U41)*0.4)+(IF($W41="",0,$W41)*0.3)+((IF($T41="",0,$T41)/20)*0.3),0)))</f>
      </c>
      <c r="AB41" s="52">
        <v>4</v>
      </c>
      <c r="AC41" s="52">
        <f>IF($AB41=0,"",ROUND((IF($X41="",0,$X41)+IF($Y41="",0,$Y41)+IF($Z41="",0,$Z41)+IF($AA41="",0,$AA41))/$AB41,2))</f>
      </c>
      <c r="AD41" s="52">
        <f>IF($AC41="","",RANK.EQ($AC41,$AC$5:$AC$76,0)+COUNTIF($AC$5:$AC41,$AC41)-1)</f>
      </c>
      <c r="AE41" s="52">
        <f>IF($AD41="","",IF($AD41&lt;=12,"0-90 days",IF($AD41&lt;=32,"3-6 months",IF($AD41&lt;=55,"6-12 months","12+ months"))))</f>
      </c>
      <c r="AF41" s="52" t="s">
        <v>1338</v>
      </c>
      <c r="AG41" s="52" t="s">
        <v>754</v>
      </c>
      <c r="AH41" s="52" t="s">
        <v>1266</v>
      </c>
      <c r="AI41" s="52" t="s">
        <v>1339</v>
      </c>
      <c r="AJ41" s="52" t="s">
        <v>1350</v>
      </c>
      <c r="AK41" s="52" t="s">
        <v>1351</v>
      </c>
      <c r="AL41" s="52" t="s">
        <v>1352</v>
      </c>
      <c r="AM41" s="52" t="s">
        <v>1343</v>
      </c>
      <c r="AN41" s="52" t="s">
        <v>1013</v>
      </c>
      <c r="AO41" s="52" t="s">
        <v>783</v>
      </c>
      <c r="AP41" s="52" t="s">
        <v>1344</v>
      </c>
      <c r="AQ41" s="52"/>
      <c r="AR41" s="52"/>
      <c r="AS41" s="48">
        <f>IFERROR(SUMIFS(_TECH_Industry_Templates!$J:$J,_TECH_Industry_Templates!$A:$A,'Company Profile'!$B$9,_TECH_Industry_Templates!$B:$B,$B41),1)</f>
        <v>0.7</v>
      </c>
      <c r="AT41" s="48">
        <f>IF($AC41="","",ROUND($AC41*IF($AS41="",1,$AS41),2))</f>
      </c>
      <c r="AU41" s="48">
        <f>IF($AT41="","",RANK.EQ($AT41,$AT$5:$AT$76,0)+COUNTIF($AT$5:AT41,$AT41)-1)</f>
      </c>
      <c r="AV41" s="48" t="str">
        <f>IFERROR(INDEX('Improved Scoring Model'!$E$6:$E$22,MATCH($B41,'Improved Scoring Model'!$A$6:$A$22,0)),"")</f>
        <v/>
      </c>
      <c r="AW41" s="48" t="str">
        <f t="shared" si="19"/>
        <v>Industry template lowers priority</v>
      </c>
    </row>
    <row r="42" spans="1:49" ht="42" customHeight="1">
      <c r="A42" s="52" t="s">
        <v>1353</v>
      </c>
      <c r="B42" s="52" t="s">
        <v>81</v>
      </c>
      <c r="C42" s="52" t="s">
        <v>1354</v>
      </c>
      <c r="D42" s="52" t="s">
        <v>1332</v>
      </c>
      <c r="E42" s="52" t="s">
        <v>1333</v>
      </c>
      <c r="F42" s="52" t="s">
        <v>1355</v>
      </c>
      <c r="G42" s="52" t="s">
        <v>1356</v>
      </c>
      <c r="H42" s="52" t="s">
        <v>192</v>
      </c>
      <c r="I42" s="52" t="s">
        <v>1336</v>
      </c>
      <c r="J42" s="52" t="s">
        <v>1357</v>
      </c>
      <c r="K42" s="52">
        <v>6</v>
      </c>
      <c r="L42" s="52">
        <f>COUNTIFS('Executive Recommendations'!$C$8:$C$414,$B42,'Executive Recommendations'!$D$8:$D$414,$C42,'Executive Recommendations'!$B$8:$B$414,"Yes")</f>
        <v>0</v>
      </c>
      <c r="M42" s="52">
        <f>COUNTIFS('Risk Summary'!$C$8:$C$414,$B42,'Risk Summary'!$D$8:$D$414,$C42,'Risk Summary'!$B$8:$B$414,"Yes")</f>
        <v>0</v>
      </c>
      <c r="N42" s="52" t="str">
        <f t="shared" ca="1" si="10"/>
        <v/>
      </c>
      <c r="O42" s="52" t="str">
        <f t="shared" ca="1" si="11"/>
        <v/>
      </c>
      <c r="P42" s="52">
        <f>IFERROR(INDEX(Dashboard!$H$5:$H$21,MATCH($B42,Dashboard!$A$5:$A$21,0)),"")</f>
        <v>0</v>
      </c>
      <c r="Q42" s="52">
        <f t="shared" si="12"/>
        <v>5</v>
      </c>
      <c r="R42" s="52">
        <f>IFERROR(SUMIFS(_TECH_Crisis_Model!$D$5:$D$191,_TECH_Crisis_Model!$A$5:$A$191,'Crisis Simulator'!$B$4,_TECH_Crisis_Model!$B$5:$B$191,$B42),1)</f>
        <v>1.4</v>
      </c>
      <c r="S42" s="52">
        <f ca="1">IFERROR(INDEX('Strategy Selection'!$A$10:$A$23,MATCH($D42,'Strategy Selection'!$B$10:$B$23,0)),99)</f>
        <v>99</v>
      </c>
      <c r="T42" s="52">
        <f>IFERROR(INDEX('Strategy Selection'!$J$10:$J$23,MATCH($D42,'Strategy Selection'!$B$10:$B$23,0)),0)</f>
        <v>67.3</v>
      </c>
      <c r="U42" s="52">
        <v>5</v>
      </c>
      <c r="V42" s="52">
        <v>5</v>
      </c>
      <c r="W42" s="52">
        <v>4</v>
      </c>
      <c r="X42" s="52">
        <f>MAX(1,MIN(5,ROUNDUP((IF($O42="",0,$O42)*0.5)+(IF($Q42="",0,$Q42)*0.25)+((IF($T42="",0,$T42)/20)*0.25),0)))</f>
      </c>
      <c r="Y42" s="52">
        <f>MAX(1,MIN(5,ROUNDUP(((IF($R42="",1,$R42)-1)*1.6)+('Crisis Simulator'!$B$5*0.45)+IF(IF($S42="",99,$S42)&lt;=3,0.8,0),0)))</f>
      </c>
      <c r="Z42" s="52">
        <f>MAX(1,MIN(5,ROUNDUP((IF($O42="",0,$O42)*0.45)+(IF($M42="",0,$M42)*0.35)+(IF($V42="",0,$V42)*0.35),0)))</f>
      </c>
      <c r="AA42" s="52">
        <f>MAX(1,MIN(5,ROUNDUP((IF($U42="",0,$U42)*0.4)+(IF($W42="",0,$W42)*0.3)+((IF($T42="",0,$T42)/20)*0.3),0)))</f>
      </c>
      <c r="AB42" s="52">
        <v>4</v>
      </c>
      <c r="AC42" s="52">
        <f>IF($AB42=0,"",ROUND((IF($X42="",0,$X42)+IF($Y42="",0,$Y42)+IF($Z42="",0,$Z42)+IF($AA42="",0,$AA42))/$AB42,2))</f>
      </c>
      <c r="AD42" s="52">
        <f>IF($AC42="","",RANK.EQ($AC42,$AC$5:$AC$76,0)+COUNTIF($AC$5:$AC42,$AC42)-1)</f>
      </c>
      <c r="AE42" s="52">
        <f>IF($AD42="","",IF($AD42&lt;=12,"0-90 days",IF($AD42&lt;=32,"3-6 months",IF($AD42&lt;=55,"6-12 months","12+ months"))))</f>
      </c>
      <c r="AF42" s="52" t="s">
        <v>1338</v>
      </c>
      <c r="AG42" s="52" t="s">
        <v>754</v>
      </c>
      <c r="AH42" s="52" t="s">
        <v>1266</v>
      </c>
      <c r="AI42" s="52" t="s">
        <v>1339</v>
      </c>
      <c r="AJ42" s="52" t="s">
        <v>1358</v>
      </c>
      <c r="AK42" s="52" t="s">
        <v>1359</v>
      </c>
      <c r="AL42" s="52" t="s">
        <v>1360</v>
      </c>
      <c r="AM42" s="52" t="s">
        <v>1343</v>
      </c>
      <c r="AN42" s="52" t="s">
        <v>1013</v>
      </c>
      <c r="AO42" s="52" t="s">
        <v>783</v>
      </c>
      <c r="AP42" s="52" t="s">
        <v>1344</v>
      </c>
      <c r="AQ42" s="52"/>
      <c r="AR42" s="52"/>
      <c r="AS42" s="48">
        <f>IFERROR(SUMIFS(_TECH_Industry_Templates!$J:$J,_TECH_Industry_Templates!$A:$A,'Company Profile'!$B$9,_TECH_Industry_Templates!$B:$B,$B42),1)</f>
        <v>0.7</v>
      </c>
      <c r="AT42" s="48">
        <f>IF($AC42="","",ROUND($AC42*IF($AS42="",1,$AS42),2))</f>
      </c>
      <c r="AU42" s="48">
        <f>IF($AT42="","",RANK.EQ($AT42,$AT$5:$AT$76,0)+COUNTIF($AT$5:AT42,$AT42)-1)</f>
      </c>
      <c r="AV42" s="48" t="str">
        <f>IFERROR(INDEX('Improved Scoring Model'!$E$6:$E$22,MATCH($B42,'Improved Scoring Model'!$A$6:$A$22,0)),"")</f>
        <v/>
      </c>
      <c r="AW42" s="48" t="str">
        <f t="shared" si="19"/>
        <v>Industry template lowers priority</v>
      </c>
    </row>
    <row r="43" spans="1:49" ht="42" customHeight="1">
      <c r="A43" s="52" t="s">
        <v>1361</v>
      </c>
      <c r="B43" s="52" t="s">
        <v>81</v>
      </c>
      <c r="C43" s="52" t="s">
        <v>1362</v>
      </c>
      <c r="D43" s="52" t="s">
        <v>1332</v>
      </c>
      <c r="E43" s="52" t="s">
        <v>1333</v>
      </c>
      <c r="F43" s="52" t="s">
        <v>1363</v>
      </c>
      <c r="G43" s="52" t="s">
        <v>1364</v>
      </c>
      <c r="H43" s="52" t="s">
        <v>192</v>
      </c>
      <c r="I43" s="52" t="s">
        <v>1336</v>
      </c>
      <c r="J43" s="52" t="s">
        <v>1365</v>
      </c>
      <c r="K43" s="52">
        <v>6</v>
      </c>
      <c r="L43" s="52">
        <f>COUNTIFS('Executive Recommendations'!$C$8:$C$414,$B43,'Executive Recommendations'!$D$8:$D$414,$C43,'Executive Recommendations'!$B$8:$B$414,"Yes")</f>
        <v>0</v>
      </c>
      <c r="M43" s="52">
        <f>COUNTIFS('Risk Summary'!$C$8:$C$414,$B43,'Risk Summary'!$D$8:$D$414,$C43,'Risk Summary'!$B$8:$B$414,"Yes")</f>
        <v>0</v>
      </c>
      <c r="N43" s="52" t="str">
        <f t="shared" ca="1" si="10"/>
        <v/>
      </c>
      <c r="O43" s="52" t="str">
        <f t="shared" ca="1" si="11"/>
        <v/>
      </c>
      <c r="P43" s="52">
        <f>IFERROR(INDEX(Dashboard!$H$5:$H$21,MATCH($B43,Dashboard!$A$5:$A$21,0)),"")</f>
        <v>0</v>
      </c>
      <c r="Q43" s="52">
        <f t="shared" si="12"/>
        <v>5</v>
      </c>
      <c r="R43" s="52">
        <f>IFERROR(SUMIFS(_TECH_Crisis_Model!$D$5:$D$191,_TECH_Crisis_Model!$A$5:$A$191,'Crisis Simulator'!$B$4,_TECH_Crisis_Model!$B$5:$B$191,$B43),1)</f>
        <v>1.4</v>
      </c>
      <c r="S43" s="52">
        <f ca="1">IFERROR(INDEX('Strategy Selection'!$A$10:$A$23,MATCH($D43,'Strategy Selection'!$B$10:$B$23,0)),99)</f>
        <v>99</v>
      </c>
      <c r="T43" s="52">
        <f>IFERROR(INDEX('Strategy Selection'!$J$10:$J$23,MATCH($D43,'Strategy Selection'!$B$10:$B$23,0)),0)</f>
        <v>67.3</v>
      </c>
      <c r="U43" s="52">
        <v>5</v>
      </c>
      <c r="V43" s="52">
        <v>5</v>
      </c>
      <c r="W43" s="52">
        <v>4</v>
      </c>
      <c r="X43" s="52">
        <f>MAX(1,MIN(5,ROUNDUP((IF($O43="",0,$O43)*0.5)+(IF($Q43="",0,$Q43)*0.25)+((IF($T43="",0,$T43)/20)*0.25),0)))</f>
      </c>
      <c r="Y43" s="52">
        <f>MAX(1,MIN(5,ROUNDUP(((IF($R43="",1,$R43)-1)*1.6)+('Crisis Simulator'!$B$5*0.45)+IF(IF($S43="",99,$S43)&lt;=3,0.8,0),0)))</f>
      </c>
      <c r="Z43" s="52">
        <f>MAX(1,MIN(5,ROUNDUP((IF($O43="",0,$O43)*0.45)+(IF($M43="",0,$M43)*0.35)+(IF($V43="",0,$V43)*0.35),0)))</f>
      </c>
      <c r="AA43" s="52">
        <f>MAX(1,MIN(5,ROUNDUP((IF($U43="",0,$U43)*0.4)+(IF($W43="",0,$W43)*0.3)+((IF($T43="",0,$T43)/20)*0.3),0)))</f>
      </c>
      <c r="AB43" s="52">
        <v>4</v>
      </c>
      <c r="AC43" s="52">
        <f>IF($AB43=0,"",ROUND((IF($X43="",0,$X43)+IF($Y43="",0,$Y43)+IF($Z43="",0,$Z43)+IF($AA43="",0,$AA43))/$AB43,2))</f>
      </c>
      <c r="AD43" s="52">
        <f>IF($AC43="","",RANK.EQ($AC43,$AC$5:$AC$76,0)+COUNTIF($AC$5:$AC43,$AC43)-1)</f>
      </c>
      <c r="AE43" s="52">
        <f>IF($AD43="","",IF($AD43&lt;=12,"0-90 days",IF($AD43&lt;=32,"3-6 months",IF($AD43&lt;=55,"6-12 months","12+ months"))))</f>
      </c>
      <c r="AF43" s="52" t="s">
        <v>1338</v>
      </c>
      <c r="AG43" s="52" t="s">
        <v>754</v>
      </c>
      <c r="AH43" s="52" t="s">
        <v>1266</v>
      </c>
      <c r="AI43" s="52" t="s">
        <v>1339</v>
      </c>
      <c r="AJ43" s="52" t="s">
        <v>1366</v>
      </c>
      <c r="AK43" s="52" t="s">
        <v>1367</v>
      </c>
      <c r="AL43" s="52" t="s">
        <v>1368</v>
      </c>
      <c r="AM43" s="52" t="s">
        <v>1343</v>
      </c>
      <c r="AN43" s="52" t="s">
        <v>1013</v>
      </c>
      <c r="AO43" s="52" t="s">
        <v>783</v>
      </c>
      <c r="AP43" s="52" t="s">
        <v>1344</v>
      </c>
      <c r="AQ43" s="52"/>
      <c r="AR43" s="52"/>
      <c r="AS43" s="48">
        <f>IFERROR(SUMIFS(_TECH_Industry_Templates!$J:$J,_TECH_Industry_Templates!$A:$A,'Company Profile'!$B$9,_TECH_Industry_Templates!$B:$B,$B43),1)</f>
        <v>0.7</v>
      </c>
      <c r="AT43" s="48">
        <f>IF($AC43="","",ROUND($AC43*IF($AS43="",1,$AS43),2))</f>
      </c>
      <c r="AU43" s="48">
        <f>IF($AT43="","",RANK.EQ($AT43,$AT$5:$AT$76,0)+COUNTIF($AT$5:AT43,$AT43)-1)</f>
      </c>
      <c r="AV43" s="48" t="str">
        <f>IFERROR(INDEX('Improved Scoring Model'!$E$6:$E$22,MATCH($B43,'Improved Scoring Model'!$A$6:$A$22,0)),"")</f>
        <v/>
      </c>
      <c r="AW43" s="48" t="str">
        <f t="shared" si="19"/>
        <v>Industry template lowers priority</v>
      </c>
    </row>
    <row r="44" spans="1:49" ht="42" customHeight="1">
      <c r="A44" s="52" t="s">
        <v>1369</v>
      </c>
      <c r="B44" s="52" t="s">
        <v>81</v>
      </c>
      <c r="C44" s="52" t="s">
        <v>1370</v>
      </c>
      <c r="D44" s="52" t="s">
        <v>1332</v>
      </c>
      <c r="E44" s="52" t="s">
        <v>1333</v>
      </c>
      <c r="F44" s="52" t="s">
        <v>1371</v>
      </c>
      <c r="G44" s="52" t="s">
        <v>1372</v>
      </c>
      <c r="H44" s="52" t="s">
        <v>192</v>
      </c>
      <c r="I44" s="52" t="s">
        <v>1336</v>
      </c>
      <c r="J44" s="52" t="s">
        <v>1373</v>
      </c>
      <c r="K44" s="52">
        <v>4</v>
      </c>
      <c r="L44" s="52">
        <f>COUNTIFS('Executive Recommendations'!$C$8:$C$414,$B44,'Executive Recommendations'!$D$8:$D$414,$C44,'Executive Recommendations'!$B$8:$B$414,"Yes")</f>
        <v>0</v>
      </c>
      <c r="M44" s="52">
        <f>COUNTIFS('Risk Summary'!$C$8:$C$414,$B44,'Risk Summary'!$D$8:$D$414,$C44,'Risk Summary'!$B$8:$B$414,"Yes")</f>
        <v>0</v>
      </c>
      <c r="N44" s="52" t="str">
        <f t="shared" ca="1" si="10"/>
        <v/>
      </c>
      <c r="O44" s="52" t="str">
        <f t="shared" ca="1" si="11"/>
        <v/>
      </c>
      <c r="P44" s="52">
        <f>IFERROR(INDEX(Dashboard!$H$5:$H$21,MATCH($B44,Dashboard!$A$5:$A$21,0)),"")</f>
        <v>0</v>
      </c>
      <c r="Q44" s="52">
        <f t="shared" si="12"/>
        <v>5</v>
      </c>
      <c r="R44" s="52">
        <f>IFERROR(SUMIFS(_TECH_Crisis_Model!$D$5:$D$191,_TECH_Crisis_Model!$A$5:$A$191,'Crisis Simulator'!$B$4,_TECH_Crisis_Model!$B$5:$B$191,$B44),1)</f>
        <v>1.4</v>
      </c>
      <c r="S44" s="52">
        <f ca="1">IFERROR(INDEX('Strategy Selection'!$A$10:$A$23,MATCH($D44,'Strategy Selection'!$B$10:$B$23,0)),99)</f>
        <v>99</v>
      </c>
      <c r="T44" s="52">
        <f>IFERROR(INDEX('Strategy Selection'!$J$10:$J$23,MATCH($D44,'Strategy Selection'!$B$10:$B$23,0)),0)</f>
        <v>67.3</v>
      </c>
      <c r="U44" s="52">
        <v>5</v>
      </c>
      <c r="V44" s="52">
        <v>5</v>
      </c>
      <c r="W44" s="52">
        <v>4</v>
      </c>
      <c r="X44" s="52">
        <f>MAX(1,MIN(5,ROUNDUP((IF($O44="",0,$O44)*0.5)+(IF($Q44="",0,$Q44)*0.25)+((IF($T44="",0,$T44)/20)*0.25),0)))</f>
      </c>
      <c r="Y44" s="52">
        <f>MAX(1,MIN(5,ROUNDUP(((IF($R44="",1,$R44)-1)*1.6)+('Crisis Simulator'!$B$5*0.45)+IF(IF($S44="",99,$S44)&lt;=3,0.8,0),0)))</f>
      </c>
      <c r="Z44" s="52">
        <f>MAX(1,MIN(5,ROUNDUP((IF($O44="",0,$O44)*0.45)+(IF($M44="",0,$M44)*0.35)+(IF($V44="",0,$V44)*0.35),0)))</f>
      </c>
      <c r="AA44" s="52">
        <f>MAX(1,MIN(5,ROUNDUP((IF($U44="",0,$U44)*0.4)+(IF($W44="",0,$W44)*0.3)+((IF($T44="",0,$T44)/20)*0.3),0)))</f>
      </c>
      <c r="AB44" s="52">
        <v>4</v>
      </c>
      <c r="AC44" s="52">
        <f>IF($AB44=0,"",ROUND((IF($X44="",0,$X44)+IF($Y44="",0,$Y44)+IF($Z44="",0,$Z44)+IF($AA44="",0,$AA44))/$AB44,2))</f>
      </c>
      <c r="AD44" s="52">
        <f>IF($AC44="","",RANK.EQ($AC44,$AC$5:$AC$76,0)+COUNTIF($AC$5:$AC44,$AC44)-1)</f>
      </c>
      <c r="AE44" s="52">
        <f>IF($AD44="","",IF($AD44&lt;=12,"0-90 days",IF($AD44&lt;=32,"3-6 months",IF($AD44&lt;=55,"6-12 months","12+ months"))))</f>
      </c>
      <c r="AF44" s="52" t="s">
        <v>1338</v>
      </c>
      <c r="AG44" s="52" t="s">
        <v>754</v>
      </c>
      <c r="AH44" s="52" t="s">
        <v>1266</v>
      </c>
      <c r="AI44" s="52" t="s">
        <v>1339</v>
      </c>
      <c r="AJ44" s="52" t="s">
        <v>1374</v>
      </c>
      <c r="AK44" s="52" t="s">
        <v>1375</v>
      </c>
      <c r="AL44" s="52" t="s">
        <v>1376</v>
      </c>
      <c r="AM44" s="52" t="s">
        <v>1343</v>
      </c>
      <c r="AN44" s="52" t="s">
        <v>1013</v>
      </c>
      <c r="AO44" s="52" t="s">
        <v>783</v>
      </c>
      <c r="AP44" s="52" t="s">
        <v>1344</v>
      </c>
      <c r="AQ44" s="52"/>
      <c r="AR44" s="52"/>
      <c r="AS44" s="48">
        <f>IFERROR(SUMIFS(_TECH_Industry_Templates!$J:$J,_TECH_Industry_Templates!$A:$A,'Company Profile'!$B$9,_TECH_Industry_Templates!$B:$B,$B44),1)</f>
        <v>0.7</v>
      </c>
      <c r="AT44" s="48">
        <f>IF($AC44="","",ROUND($AC44*IF($AS44="",1,$AS44),2))</f>
      </c>
      <c r="AU44" s="48">
        <f>IF($AT44="","",RANK.EQ($AT44,$AT$5:$AT$76,0)+COUNTIF($AT$5:AT44,$AT44)-1)</f>
      </c>
      <c r="AV44" s="48" t="str">
        <f>IFERROR(INDEX('Improved Scoring Model'!$E$6:$E$22,MATCH($B44,'Improved Scoring Model'!$A$6:$A$22,0)),"")</f>
        <v/>
      </c>
      <c r="AW44" s="48" t="str">
        <f t="shared" si="19"/>
        <v>Industry template lowers priority</v>
      </c>
    </row>
    <row r="45" spans="1:49" ht="42" customHeight="1">
      <c r="A45" s="52" t="s">
        <v>1377</v>
      </c>
      <c r="B45" s="52" t="s">
        <v>84</v>
      </c>
      <c r="C45" s="52" t="s">
        <v>1378</v>
      </c>
      <c r="D45" s="52" t="s">
        <v>1379</v>
      </c>
      <c r="E45" s="52" t="s">
        <v>1380</v>
      </c>
      <c r="F45" s="52" t="s">
        <v>1381</v>
      </c>
      <c r="G45" s="52" t="s">
        <v>1382</v>
      </c>
      <c r="H45" s="52" t="s">
        <v>193</v>
      </c>
      <c r="I45" s="52" t="s">
        <v>1383</v>
      </c>
      <c r="J45" s="52" t="s">
        <v>1384</v>
      </c>
      <c r="K45" s="52">
        <v>5</v>
      </c>
      <c r="L45" s="52">
        <f>COUNTIFS('Executive Recommendations'!$C$8:$C$414,$B45,'Executive Recommendations'!$D$8:$D$414,$C45,'Executive Recommendations'!$B$8:$B$414,"Yes")</f>
        <v>0</v>
      </c>
      <c r="M45" s="52">
        <f>COUNTIFS('Risk Summary'!$C$8:$C$414,$B45,'Risk Summary'!$D$8:$D$414,$C45,'Risk Summary'!$B$8:$B$414,"Yes")</f>
        <v>0</v>
      </c>
      <c r="N45" s="52" t="str">
        <f t="shared" ca="1" si="10"/>
        <v/>
      </c>
      <c r="O45" s="52" t="str">
        <f t="shared" ca="1" si="11"/>
        <v/>
      </c>
      <c r="P45" s="52">
        <f>IFERROR(INDEX(Dashboard!$H$5:$H$21,MATCH($B45,Dashboard!$A$5:$A$21,0)),"")</f>
        <v>0</v>
      </c>
      <c r="Q45" s="52">
        <f t="shared" si="12"/>
        <v>5</v>
      </c>
      <c r="R45" s="52">
        <f>IFERROR(SUMIFS(_TECH_Crisis_Model!$D$5:$D$191,_TECH_Crisis_Model!$A$5:$A$191,'Crisis Simulator'!$B$4,_TECH_Crisis_Model!$B$5:$B$191,$B45),1)</f>
        <v>1</v>
      </c>
      <c r="S45" s="52">
        <f ca="1">IFERROR(INDEX('Strategy Selection'!$A$10:$A$23,MATCH($D45,'Strategy Selection'!$B$10:$B$23,0)),99)</f>
        <v>99</v>
      </c>
      <c r="T45" s="52">
        <f>IFERROR(INDEX('Strategy Selection'!$J$10:$J$23,MATCH($D45,'Strategy Selection'!$B$10:$B$23,0)),0)</f>
        <v>59.5</v>
      </c>
      <c r="U45" s="52">
        <v>4</v>
      </c>
      <c r="V45" s="52">
        <v>4</v>
      </c>
      <c r="W45" s="52">
        <v>4</v>
      </c>
      <c r="X45" s="52">
        <f>MAX(1,MIN(5,ROUNDUP((IF($O45="",0,$O45)*0.5)+(IF($Q45="",0,$Q45)*0.25)+((IF($T45="",0,$T45)/20)*0.25),0)))</f>
      </c>
      <c r="Y45" s="52">
        <f>MAX(1,MIN(5,ROUNDUP(((IF($R45="",1,$R45)-1)*1.6)+('Crisis Simulator'!$B$5*0.45)+IF(IF($S45="",99,$S45)&lt;=3,0.8,0),0)))</f>
      </c>
      <c r="Z45" s="52">
        <f>MAX(1,MIN(5,ROUNDUP((IF($O45="",0,$O45)*0.45)+(IF($M45="",0,$M45)*0.35)+(IF($V45="",0,$V45)*0.35),0)))</f>
      </c>
      <c r="AA45" s="52">
        <f>MAX(1,MIN(5,ROUNDUP((IF($U45="",0,$U45)*0.4)+(IF($W45="",0,$W45)*0.3)+((IF($T45="",0,$T45)/20)*0.3),0)))</f>
      </c>
      <c r="AB45" s="52">
        <v>3</v>
      </c>
      <c r="AC45" s="52">
        <f>IF($AB45=0,"",ROUND((IF($X45="",0,$X45)+IF($Y45="",0,$Y45)+IF($Z45="",0,$Z45)+IF($AA45="",0,$AA45))/$AB45,2))</f>
      </c>
      <c r="AD45" s="52">
        <f>IF($AC45="","",RANK.EQ($AC45,$AC$5:$AC$76,0)+COUNTIF($AC$5:$AC45,$AC45)-1)</f>
      </c>
      <c r="AE45" s="52">
        <f>IF($AD45="","",IF($AD45&lt;=12,"0-90 days",IF($AD45&lt;=32,"3-6 months",IF($AD45&lt;=55,"6-12 months","12+ months"))))</f>
      </c>
      <c r="AF45" s="52" t="s">
        <v>1385</v>
      </c>
      <c r="AG45" s="52" t="s">
        <v>1040</v>
      </c>
      <c r="AH45" s="52" t="s">
        <v>1041</v>
      </c>
      <c r="AI45" s="52" t="s">
        <v>1042</v>
      </c>
      <c r="AJ45" s="52" t="s">
        <v>1386</v>
      </c>
      <c r="AK45" s="52" t="s">
        <v>1387</v>
      </c>
      <c r="AL45" s="52" t="s">
        <v>1388</v>
      </c>
      <c r="AM45" s="52" t="s">
        <v>1389</v>
      </c>
      <c r="AN45" s="52" t="s">
        <v>1013</v>
      </c>
      <c r="AO45" s="52" t="s">
        <v>783</v>
      </c>
      <c r="AP45" s="52" t="s">
        <v>47</v>
      </c>
      <c r="AQ45" s="52"/>
      <c r="AR45" s="52"/>
      <c r="AS45" s="48">
        <f>IFERROR(SUMIFS(_TECH_Industry_Templates!$J:$J,_TECH_Industry_Templates!$A:$A,'Company Profile'!$B$9,_TECH_Industry_Templates!$B:$B,$B45),1)</f>
        <v>1.1000000000000001</v>
      </c>
      <c r="AT45" s="48">
        <f>IF($AC45="","",ROUND($AC45*IF($AS45="",1,$AS45),2))</f>
      </c>
      <c r="AU45" s="48">
        <f>IF($AT45="","",RANK.EQ($AT45,$AT$5:$AT$76,0)+COUNTIF($AT$5:AT45,$AT45)-1)</f>
      </c>
      <c r="AV45" s="48" t="str">
        <f>IFERROR(INDEX('Improved Scoring Model'!$E$6:$E$22,MATCH($B45,'Improved Scoring Model'!$A$6:$A$22,0)),"")</f>
        <v/>
      </c>
      <c r="AW45" s="48" t="str">
        <f t="shared" si="19"/>
        <v>Industry-neutral priority</v>
      </c>
    </row>
    <row r="46" spans="1:49" ht="42" customHeight="1">
      <c r="A46" s="52" t="s">
        <v>1390</v>
      </c>
      <c r="B46" s="52" t="s">
        <v>84</v>
      </c>
      <c r="C46" s="52" t="s">
        <v>1391</v>
      </c>
      <c r="D46" s="52" t="s">
        <v>1379</v>
      </c>
      <c r="E46" s="52" t="s">
        <v>1380</v>
      </c>
      <c r="F46" s="52" t="s">
        <v>1392</v>
      </c>
      <c r="G46" s="52" t="s">
        <v>1393</v>
      </c>
      <c r="H46" s="52" t="s">
        <v>193</v>
      </c>
      <c r="I46" s="52" t="s">
        <v>1383</v>
      </c>
      <c r="J46" s="52" t="s">
        <v>1394</v>
      </c>
      <c r="K46" s="52">
        <v>5</v>
      </c>
      <c r="L46" s="52">
        <f>COUNTIFS('Executive Recommendations'!$C$8:$C$414,$B46,'Executive Recommendations'!$D$8:$D$414,$C46,'Executive Recommendations'!$B$8:$B$414,"Yes")</f>
        <v>0</v>
      </c>
      <c r="M46" s="52">
        <f>COUNTIFS('Risk Summary'!$C$8:$C$414,$B46,'Risk Summary'!$D$8:$D$414,$C46,'Risk Summary'!$B$8:$B$414,"Yes")</f>
        <v>0</v>
      </c>
      <c r="N46" s="52" t="str">
        <f t="shared" ca="1" si="10"/>
        <v/>
      </c>
      <c r="O46" s="52" t="str">
        <f t="shared" ca="1" si="11"/>
        <v/>
      </c>
      <c r="P46" s="52">
        <f>IFERROR(INDEX(Dashboard!$H$5:$H$21,MATCH($B46,Dashboard!$A$5:$A$21,0)),"")</f>
        <v>0</v>
      </c>
      <c r="Q46" s="52">
        <f t="shared" si="12"/>
        <v>5</v>
      </c>
      <c r="R46" s="52">
        <f>IFERROR(SUMIFS(_TECH_Crisis_Model!$D$5:$D$191,_TECH_Crisis_Model!$A$5:$A$191,'Crisis Simulator'!$B$4,_TECH_Crisis_Model!$B$5:$B$191,$B46),1)</f>
        <v>1</v>
      </c>
      <c r="S46" s="52">
        <f ca="1">IFERROR(INDEX('Strategy Selection'!$A$10:$A$23,MATCH($D46,'Strategy Selection'!$B$10:$B$23,0)),99)</f>
        <v>99</v>
      </c>
      <c r="T46" s="52">
        <f>IFERROR(INDEX('Strategy Selection'!$J$10:$J$23,MATCH($D46,'Strategy Selection'!$B$10:$B$23,0)),0)</f>
        <v>59.5</v>
      </c>
      <c r="U46" s="52">
        <v>4</v>
      </c>
      <c r="V46" s="52">
        <v>4</v>
      </c>
      <c r="W46" s="52">
        <v>4</v>
      </c>
      <c r="X46" s="52">
        <f>MAX(1,MIN(5,ROUNDUP((IF($O46="",0,$O46)*0.5)+(IF($Q46="",0,$Q46)*0.25)+((IF($T46="",0,$T46)/20)*0.25),0)))</f>
      </c>
      <c r="Y46" s="52">
        <f>MAX(1,MIN(5,ROUNDUP(((IF($R46="",1,$R46)-1)*1.6)+('Crisis Simulator'!$B$5*0.45)+IF(IF($S46="",99,$S46)&lt;=3,0.8,0),0)))</f>
      </c>
      <c r="Z46" s="52">
        <f>MAX(1,MIN(5,ROUNDUP((IF($O46="",0,$O46)*0.45)+(IF($M46="",0,$M46)*0.35)+(IF($V46="",0,$V46)*0.35),0)))</f>
      </c>
      <c r="AA46" s="52">
        <f>MAX(1,MIN(5,ROUNDUP((IF($U46="",0,$U46)*0.4)+(IF($W46="",0,$W46)*0.3)+((IF($T46="",0,$T46)/20)*0.3),0)))</f>
      </c>
      <c r="AB46" s="52">
        <v>3</v>
      </c>
      <c r="AC46" s="52">
        <f>IF($AB46=0,"",ROUND((IF($X46="",0,$X46)+IF($Y46="",0,$Y46)+IF($Z46="",0,$Z46)+IF($AA46="",0,$AA46))/$AB46,2))</f>
      </c>
      <c r="AD46" s="52">
        <f>IF($AC46="","",RANK.EQ($AC46,$AC$5:$AC$76,0)+COUNTIF($AC$5:$AC46,$AC46)-1)</f>
      </c>
      <c r="AE46" s="52">
        <f>IF($AD46="","",IF($AD46&lt;=12,"0-90 days",IF($AD46&lt;=32,"3-6 months",IF($AD46&lt;=55,"6-12 months","12+ months"))))</f>
      </c>
      <c r="AF46" s="52" t="s">
        <v>1385</v>
      </c>
      <c r="AG46" s="52" t="s">
        <v>1040</v>
      </c>
      <c r="AH46" s="52" t="s">
        <v>1041</v>
      </c>
      <c r="AI46" s="52" t="s">
        <v>1042</v>
      </c>
      <c r="AJ46" s="52" t="s">
        <v>1395</v>
      </c>
      <c r="AK46" s="52" t="s">
        <v>1396</v>
      </c>
      <c r="AL46" s="52" t="s">
        <v>1397</v>
      </c>
      <c r="AM46" s="52" t="s">
        <v>1389</v>
      </c>
      <c r="AN46" s="52" t="s">
        <v>1013</v>
      </c>
      <c r="AO46" s="52" t="s">
        <v>783</v>
      </c>
      <c r="AP46" s="52" t="s">
        <v>47</v>
      </c>
      <c r="AQ46" s="52"/>
      <c r="AR46" s="52"/>
      <c r="AS46" s="48">
        <f>IFERROR(SUMIFS(_TECH_Industry_Templates!$J:$J,_TECH_Industry_Templates!$A:$A,'Company Profile'!$B$9,_TECH_Industry_Templates!$B:$B,$B46),1)</f>
        <v>1.1000000000000001</v>
      </c>
      <c r="AT46" s="48">
        <f>IF($AC46="","",ROUND($AC46*IF($AS46="",1,$AS46),2))</f>
      </c>
      <c r="AU46" s="48">
        <f>IF($AT46="","",RANK.EQ($AT46,$AT$5:$AT$76,0)+COUNTIF($AT$5:AT46,$AT46)-1)</f>
      </c>
      <c r="AV46" s="48" t="str">
        <f>IFERROR(INDEX('Improved Scoring Model'!$E$6:$E$22,MATCH($B46,'Improved Scoring Model'!$A$6:$A$22,0)),"")</f>
        <v/>
      </c>
      <c r="AW46" s="48" t="str">
        <f t="shared" si="19"/>
        <v>Industry-neutral priority</v>
      </c>
    </row>
    <row r="47" spans="1:49" ht="42" customHeight="1">
      <c r="A47" s="52" t="s">
        <v>1398</v>
      </c>
      <c r="B47" s="52" t="s">
        <v>84</v>
      </c>
      <c r="C47" s="52" t="s">
        <v>1399</v>
      </c>
      <c r="D47" s="52" t="s">
        <v>1379</v>
      </c>
      <c r="E47" s="52" t="s">
        <v>1380</v>
      </c>
      <c r="F47" s="52" t="s">
        <v>1400</v>
      </c>
      <c r="G47" s="52" t="s">
        <v>1401</v>
      </c>
      <c r="H47" s="52" t="s">
        <v>193</v>
      </c>
      <c r="I47" s="52" t="s">
        <v>1383</v>
      </c>
      <c r="J47" s="52" t="s">
        <v>1402</v>
      </c>
      <c r="K47" s="52">
        <v>6</v>
      </c>
      <c r="L47" s="52">
        <f>COUNTIFS('Executive Recommendations'!$C$8:$C$414,$B47,'Executive Recommendations'!$D$8:$D$414,$C47,'Executive Recommendations'!$B$8:$B$414,"Yes")</f>
        <v>0</v>
      </c>
      <c r="M47" s="52">
        <f>COUNTIFS('Risk Summary'!$C$8:$C$414,$B47,'Risk Summary'!$D$8:$D$414,$C47,'Risk Summary'!$B$8:$B$414,"Yes")</f>
        <v>0</v>
      </c>
      <c r="N47" s="52" t="str">
        <f t="shared" ca="1" si="10"/>
        <v/>
      </c>
      <c r="O47" s="52" t="str">
        <f t="shared" ca="1" si="11"/>
        <v/>
      </c>
      <c r="P47" s="52">
        <f>IFERROR(INDEX(Dashboard!$H$5:$H$21,MATCH($B47,Dashboard!$A$5:$A$21,0)),"")</f>
        <v>0</v>
      </c>
      <c r="Q47" s="52">
        <f t="shared" si="12"/>
        <v>5</v>
      </c>
      <c r="R47" s="52">
        <f>IFERROR(SUMIFS(_TECH_Crisis_Model!$D$5:$D$191,_TECH_Crisis_Model!$A$5:$A$191,'Crisis Simulator'!$B$4,_TECH_Crisis_Model!$B$5:$B$191,$B47),1)</f>
        <v>1</v>
      </c>
      <c r="S47" s="52">
        <f ca="1">IFERROR(INDEX('Strategy Selection'!$A$10:$A$23,MATCH($D47,'Strategy Selection'!$B$10:$B$23,0)),99)</f>
        <v>99</v>
      </c>
      <c r="T47" s="52">
        <f>IFERROR(INDEX('Strategy Selection'!$J$10:$J$23,MATCH($D47,'Strategy Selection'!$B$10:$B$23,0)),0)</f>
        <v>59.5</v>
      </c>
      <c r="U47" s="52">
        <v>4</v>
      </c>
      <c r="V47" s="52">
        <v>4</v>
      </c>
      <c r="W47" s="52">
        <v>4</v>
      </c>
      <c r="X47" s="52">
        <f>MAX(1,MIN(5,ROUNDUP((IF($O47="",0,$O47)*0.5)+(IF($Q47="",0,$Q47)*0.25)+((IF($T47="",0,$T47)/20)*0.25),0)))</f>
      </c>
      <c r="Y47" s="52">
        <f>MAX(1,MIN(5,ROUNDUP(((IF($R47="",1,$R47)-1)*1.6)+('Crisis Simulator'!$B$5*0.45)+IF(IF($S47="",99,$S47)&lt;=3,0.8,0),0)))</f>
      </c>
      <c r="Z47" s="52">
        <f>MAX(1,MIN(5,ROUNDUP((IF($O47="",0,$O47)*0.45)+(IF($M47="",0,$M47)*0.35)+(IF($V47="",0,$V47)*0.35),0)))</f>
      </c>
      <c r="AA47" s="52">
        <f>MAX(1,MIN(5,ROUNDUP((IF($U47="",0,$U47)*0.4)+(IF($W47="",0,$W47)*0.3)+((IF($T47="",0,$T47)/20)*0.3),0)))</f>
      </c>
      <c r="AB47" s="52">
        <v>3</v>
      </c>
      <c r="AC47" s="52">
        <f>IF($AB47=0,"",ROUND((IF($X47="",0,$X47)+IF($Y47="",0,$Y47)+IF($Z47="",0,$Z47)+IF($AA47="",0,$AA47))/$AB47,2))</f>
      </c>
      <c r="AD47" s="52">
        <f>IF($AC47="","",RANK.EQ($AC47,$AC$5:$AC$76,0)+COUNTIF($AC$5:$AC47,$AC47)-1)</f>
      </c>
      <c r="AE47" s="52">
        <f>IF($AD47="","",IF($AD47&lt;=12,"0-90 days",IF($AD47&lt;=32,"3-6 months",IF($AD47&lt;=55,"6-12 months","12+ months"))))</f>
      </c>
      <c r="AF47" s="52" t="s">
        <v>1385</v>
      </c>
      <c r="AG47" s="52" t="s">
        <v>1040</v>
      </c>
      <c r="AH47" s="52" t="s">
        <v>1041</v>
      </c>
      <c r="AI47" s="52" t="s">
        <v>1042</v>
      </c>
      <c r="AJ47" s="52" t="s">
        <v>1403</v>
      </c>
      <c r="AK47" s="52" t="s">
        <v>1404</v>
      </c>
      <c r="AL47" s="52" t="s">
        <v>1405</v>
      </c>
      <c r="AM47" s="52" t="s">
        <v>1389</v>
      </c>
      <c r="AN47" s="52" t="s">
        <v>1013</v>
      </c>
      <c r="AO47" s="52" t="s">
        <v>783</v>
      </c>
      <c r="AP47" s="52" t="s">
        <v>47</v>
      </c>
      <c r="AQ47" s="52"/>
      <c r="AR47" s="52"/>
      <c r="AS47" s="48">
        <f>IFERROR(SUMIFS(_TECH_Industry_Templates!$J:$J,_TECH_Industry_Templates!$A:$A,'Company Profile'!$B$9,_TECH_Industry_Templates!$B:$B,$B47),1)</f>
        <v>1.1000000000000001</v>
      </c>
      <c r="AT47" s="48">
        <f>IF($AC47="","",ROUND($AC47*IF($AS47="",1,$AS47),2))</f>
      </c>
      <c r="AU47" s="48">
        <f>IF($AT47="","",RANK.EQ($AT47,$AT$5:$AT$76,0)+COUNTIF($AT$5:AT47,$AT47)-1)</f>
      </c>
      <c r="AV47" s="48" t="str">
        <f>IFERROR(INDEX('Improved Scoring Model'!$E$6:$E$22,MATCH($B47,'Improved Scoring Model'!$A$6:$A$22,0)),"")</f>
        <v/>
      </c>
      <c r="AW47" s="48" t="str">
        <f t="shared" si="19"/>
        <v>Industry-neutral priority</v>
      </c>
    </row>
    <row r="48" spans="1:49" ht="42" customHeight="1">
      <c r="A48" s="52" t="s">
        <v>1406</v>
      </c>
      <c r="B48" s="52" t="s">
        <v>84</v>
      </c>
      <c r="C48" s="52" t="s">
        <v>1407</v>
      </c>
      <c r="D48" s="52" t="s">
        <v>1379</v>
      </c>
      <c r="E48" s="52" t="s">
        <v>1380</v>
      </c>
      <c r="F48" s="52" t="s">
        <v>1408</v>
      </c>
      <c r="G48" s="52" t="s">
        <v>1409</v>
      </c>
      <c r="H48" s="52" t="s">
        <v>193</v>
      </c>
      <c r="I48" s="52" t="s">
        <v>1383</v>
      </c>
      <c r="J48" s="52" t="s">
        <v>1410</v>
      </c>
      <c r="K48" s="52">
        <v>5</v>
      </c>
      <c r="L48" s="52">
        <f>COUNTIFS('Executive Recommendations'!$C$8:$C$414,$B48,'Executive Recommendations'!$D$8:$D$414,$C48,'Executive Recommendations'!$B$8:$B$414,"Yes")</f>
        <v>0</v>
      </c>
      <c r="M48" s="52">
        <f>COUNTIFS('Risk Summary'!$C$8:$C$414,$B48,'Risk Summary'!$D$8:$D$414,$C48,'Risk Summary'!$B$8:$B$414,"Yes")</f>
        <v>0</v>
      </c>
      <c r="N48" s="52" t="str">
        <f t="shared" ca="1" si="10"/>
        <v/>
      </c>
      <c r="O48" s="52" t="str">
        <f t="shared" ca="1" si="11"/>
        <v/>
      </c>
      <c r="P48" s="52">
        <f>IFERROR(INDEX(Dashboard!$H$5:$H$21,MATCH($B48,Dashboard!$A$5:$A$21,0)),"")</f>
        <v>0</v>
      </c>
      <c r="Q48" s="52">
        <f t="shared" si="12"/>
        <v>5</v>
      </c>
      <c r="R48" s="52">
        <f>IFERROR(SUMIFS(_TECH_Crisis_Model!$D$5:$D$191,_TECH_Crisis_Model!$A$5:$A$191,'Crisis Simulator'!$B$4,_TECH_Crisis_Model!$B$5:$B$191,$B48),1)</f>
        <v>1</v>
      </c>
      <c r="S48" s="52">
        <f ca="1">IFERROR(INDEX('Strategy Selection'!$A$10:$A$23,MATCH($D48,'Strategy Selection'!$B$10:$B$23,0)),99)</f>
        <v>99</v>
      </c>
      <c r="T48" s="52">
        <f>IFERROR(INDEX('Strategy Selection'!$J$10:$J$23,MATCH($D48,'Strategy Selection'!$B$10:$B$23,0)),0)</f>
        <v>59.5</v>
      </c>
      <c r="U48" s="52">
        <v>4</v>
      </c>
      <c r="V48" s="52">
        <v>4</v>
      </c>
      <c r="W48" s="52">
        <v>4</v>
      </c>
      <c r="X48" s="52">
        <f>MAX(1,MIN(5,ROUNDUP((IF($O48="",0,$O48)*0.5)+(IF($Q48="",0,$Q48)*0.25)+((IF($T48="",0,$T48)/20)*0.25),0)))</f>
      </c>
      <c r="Y48" s="52">
        <f>MAX(1,MIN(5,ROUNDUP(((IF($R48="",1,$R48)-1)*1.6)+('Crisis Simulator'!$B$5*0.45)+IF(IF($S48="",99,$S48)&lt;=3,0.8,0),0)))</f>
      </c>
      <c r="Z48" s="52">
        <f>MAX(1,MIN(5,ROUNDUP((IF($O48="",0,$O48)*0.45)+(IF($M48="",0,$M48)*0.35)+(IF($V48="",0,$V48)*0.35),0)))</f>
      </c>
      <c r="AA48" s="52">
        <f>MAX(1,MIN(5,ROUNDUP((IF($U48="",0,$U48)*0.4)+(IF($W48="",0,$W48)*0.3)+((IF($T48="",0,$T48)/20)*0.3),0)))</f>
      </c>
      <c r="AB48" s="52">
        <v>3</v>
      </c>
      <c r="AC48" s="52">
        <f>IF($AB48=0,"",ROUND((IF($X48="",0,$X48)+IF($Y48="",0,$Y48)+IF($Z48="",0,$Z48)+IF($AA48="",0,$AA48))/$AB48,2))</f>
      </c>
      <c r="AD48" s="52">
        <f>IF($AC48="","",RANK.EQ($AC48,$AC$5:$AC$76,0)+COUNTIF($AC$5:$AC48,$AC48)-1)</f>
      </c>
      <c r="AE48" s="52">
        <f>IF($AD48="","",IF($AD48&lt;=12,"0-90 days",IF($AD48&lt;=32,"3-6 months",IF($AD48&lt;=55,"6-12 months","12+ months"))))</f>
      </c>
      <c r="AF48" s="52" t="s">
        <v>1385</v>
      </c>
      <c r="AG48" s="52" t="s">
        <v>1040</v>
      </c>
      <c r="AH48" s="52" t="s">
        <v>1041</v>
      </c>
      <c r="AI48" s="52" t="s">
        <v>1042</v>
      </c>
      <c r="AJ48" s="52" t="s">
        <v>1411</v>
      </c>
      <c r="AK48" s="52" t="s">
        <v>1412</v>
      </c>
      <c r="AL48" s="52" t="s">
        <v>1413</v>
      </c>
      <c r="AM48" s="52" t="s">
        <v>1389</v>
      </c>
      <c r="AN48" s="52" t="s">
        <v>1013</v>
      </c>
      <c r="AO48" s="52" t="s">
        <v>783</v>
      </c>
      <c r="AP48" s="52" t="s">
        <v>47</v>
      </c>
      <c r="AQ48" s="52"/>
      <c r="AR48" s="52"/>
      <c r="AS48" s="48">
        <f>IFERROR(SUMIFS(_TECH_Industry_Templates!$J:$J,_TECH_Industry_Templates!$A:$A,'Company Profile'!$B$9,_TECH_Industry_Templates!$B:$B,$B48),1)</f>
        <v>1.1000000000000001</v>
      </c>
      <c r="AT48" s="48">
        <f>IF($AC48="","",ROUND($AC48*IF($AS48="",1,$AS48),2))</f>
      </c>
      <c r="AU48" s="48">
        <f>IF($AT48="","",RANK.EQ($AT48,$AT$5:$AT$76,0)+COUNTIF($AT$5:AT48,$AT48)-1)</f>
      </c>
      <c r="AV48" s="48" t="str">
        <f>IFERROR(INDEX('Improved Scoring Model'!$E$6:$E$22,MATCH($B48,'Improved Scoring Model'!$A$6:$A$22,0)),"")</f>
        <v/>
      </c>
      <c r="AW48" s="48" t="str">
        <f t="shared" si="19"/>
        <v>Industry-neutral priority</v>
      </c>
    </row>
    <row r="49" spans="1:49" ht="42" customHeight="1">
      <c r="A49" s="52" t="s">
        <v>1414</v>
      </c>
      <c r="B49" s="52" t="s">
        <v>87</v>
      </c>
      <c r="C49" s="52" t="s">
        <v>1415</v>
      </c>
      <c r="D49" s="52" t="s">
        <v>1379</v>
      </c>
      <c r="E49" s="52" t="s">
        <v>1380</v>
      </c>
      <c r="F49" s="52" t="s">
        <v>1416</v>
      </c>
      <c r="G49" s="52" t="s">
        <v>1417</v>
      </c>
      <c r="H49" s="52" t="s">
        <v>194</v>
      </c>
      <c r="I49" s="52" t="s">
        <v>1418</v>
      </c>
      <c r="J49" s="52" t="s">
        <v>1419</v>
      </c>
      <c r="K49" s="52">
        <v>5</v>
      </c>
      <c r="L49" s="52">
        <f>COUNTIFS('Executive Recommendations'!$C$8:$C$414,$B49,'Executive Recommendations'!$D$8:$D$414,$C49,'Executive Recommendations'!$B$8:$B$414,"Yes")</f>
        <v>0</v>
      </c>
      <c r="M49" s="52">
        <f>COUNTIFS('Risk Summary'!$C$8:$C$414,$B49,'Risk Summary'!$D$8:$D$414,$C49,'Risk Summary'!$B$8:$B$414,"Yes")</f>
        <v>0</v>
      </c>
      <c r="N49" s="52" t="str">
        <f t="shared" ca="1" si="10"/>
        <v/>
      </c>
      <c r="O49" s="52" t="str">
        <f t="shared" ca="1" si="11"/>
        <v/>
      </c>
      <c r="P49" s="52">
        <f>IFERROR(INDEX(Dashboard!$H$5:$H$21,MATCH($B49,Dashboard!$A$5:$A$21,0)),"")</f>
        <v>0</v>
      </c>
      <c r="Q49" s="52">
        <f t="shared" si="12"/>
        <v>5</v>
      </c>
      <c r="R49" s="52">
        <f>IFERROR(SUMIFS(_TECH_Crisis_Model!$D$5:$D$191,_TECH_Crisis_Model!$A$5:$A$191,'Crisis Simulator'!$B$4,_TECH_Crisis_Model!$B$5:$B$191,$B49),1)</f>
        <v>1.2</v>
      </c>
      <c r="S49" s="52">
        <f ca="1">IFERROR(INDEX('Strategy Selection'!$A$10:$A$23,MATCH($D49,'Strategy Selection'!$B$10:$B$23,0)),99)</f>
        <v>99</v>
      </c>
      <c r="T49" s="52">
        <f>IFERROR(INDEX('Strategy Selection'!$J$10:$J$23,MATCH($D49,'Strategy Selection'!$B$10:$B$23,0)),0)</f>
        <v>59.5</v>
      </c>
      <c r="U49" s="52">
        <v>4</v>
      </c>
      <c r="V49" s="52">
        <v>4</v>
      </c>
      <c r="W49" s="52">
        <v>4</v>
      </c>
      <c r="X49" s="52">
        <f>MAX(1,MIN(5,ROUNDUP((IF($O49="",0,$O49)*0.5)+(IF($Q49="",0,$Q49)*0.25)+((IF($T49="",0,$T49)/20)*0.25),0)))</f>
      </c>
      <c r="Y49" s="52">
        <f>MAX(1,MIN(5,ROUNDUP(((IF($R49="",1,$R49)-1)*1.6)+('Crisis Simulator'!$B$5*0.45)+IF(IF($S49="",99,$S49)&lt;=3,0.8,0),0)))</f>
      </c>
      <c r="Z49" s="52">
        <f>MAX(1,MIN(5,ROUNDUP((IF($O49="",0,$O49)*0.45)+(IF($M49="",0,$M49)*0.35)+(IF($V49="",0,$V49)*0.35),0)))</f>
      </c>
      <c r="AA49" s="52">
        <f>MAX(1,MIN(5,ROUNDUP((IF($U49="",0,$U49)*0.4)+(IF($W49="",0,$W49)*0.3)+((IF($T49="",0,$T49)/20)*0.3),0)))</f>
      </c>
      <c r="AB49" s="52">
        <v>3</v>
      </c>
      <c r="AC49" s="52">
        <f>IF($AB49=0,"",ROUND((IF($X49="",0,$X49)+IF($Y49="",0,$Y49)+IF($Z49="",0,$Z49)+IF($AA49="",0,$AA49))/$AB49,2))</f>
      </c>
      <c r="AD49" s="52">
        <f>IF($AC49="","",RANK.EQ($AC49,$AC$5:$AC$76,0)+COUNTIF($AC$5:$AC49,$AC49)-1)</f>
      </c>
      <c r="AE49" s="52">
        <f>IF($AD49="","",IF($AD49&lt;=12,"0-90 days",IF($AD49&lt;=32,"3-6 months",IF($AD49&lt;=55,"6-12 months","12+ months"))))</f>
      </c>
      <c r="AF49" s="52" t="s">
        <v>1420</v>
      </c>
      <c r="AG49" s="52" t="s">
        <v>1040</v>
      </c>
      <c r="AH49" s="52" t="s">
        <v>1041</v>
      </c>
      <c r="AI49" s="52" t="s">
        <v>1008</v>
      </c>
      <c r="AJ49" s="52" t="s">
        <v>1421</v>
      </c>
      <c r="AK49" s="52" t="s">
        <v>1422</v>
      </c>
      <c r="AL49" s="52" t="s">
        <v>1423</v>
      </c>
      <c r="AM49" s="52" t="s">
        <v>1389</v>
      </c>
      <c r="AN49" s="52" t="s">
        <v>1013</v>
      </c>
      <c r="AO49" s="52" t="s">
        <v>783</v>
      </c>
      <c r="AP49" s="52" t="s">
        <v>47</v>
      </c>
      <c r="AQ49" s="52"/>
      <c r="AR49" s="52"/>
      <c r="AS49" s="48">
        <f>IFERROR(SUMIFS(_TECH_Industry_Templates!$J:$J,_TECH_Industry_Templates!$A:$A,'Company Profile'!$B$9,_TECH_Industry_Templates!$B:$B,$B49),1)</f>
        <v>1</v>
      </c>
      <c r="AT49" s="48">
        <f>IF($AC49="","",ROUND($AC49*IF($AS49="",1,$AS49),2))</f>
      </c>
      <c r="AU49" s="48">
        <f>IF($AT49="","",RANK.EQ($AT49,$AT$5:$AT$76,0)+COUNTIF($AT$5:AT49,$AT49)-1)</f>
      </c>
      <c r="AV49" s="48" t="str">
        <f>IFERROR(INDEX('Improved Scoring Model'!$E$6:$E$22,MATCH($B49,'Improved Scoring Model'!$A$6:$A$22,0)),"")</f>
        <v/>
      </c>
      <c r="AW49" s="48" t="str">
        <f t="shared" si="19"/>
        <v>Industry-neutral priority</v>
      </c>
    </row>
    <row r="50" spans="1:49" ht="42" customHeight="1">
      <c r="A50" s="52" t="s">
        <v>1424</v>
      </c>
      <c r="B50" s="52" t="s">
        <v>87</v>
      </c>
      <c r="C50" s="52" t="s">
        <v>1425</v>
      </c>
      <c r="D50" s="52" t="s">
        <v>999</v>
      </c>
      <c r="E50" s="52" t="s">
        <v>1000</v>
      </c>
      <c r="F50" s="52" t="s">
        <v>1426</v>
      </c>
      <c r="G50" s="52" t="s">
        <v>1427</v>
      </c>
      <c r="H50" s="52" t="s">
        <v>194</v>
      </c>
      <c r="I50" s="52" t="s">
        <v>1418</v>
      </c>
      <c r="J50" s="52" t="s">
        <v>1428</v>
      </c>
      <c r="K50" s="52">
        <v>6</v>
      </c>
      <c r="L50" s="52">
        <f>COUNTIFS('Executive Recommendations'!$C$8:$C$414,$B50,'Executive Recommendations'!$D$8:$D$414,$C50,'Executive Recommendations'!$B$8:$B$414,"Yes")</f>
        <v>0</v>
      </c>
      <c r="M50" s="52">
        <f>COUNTIFS('Risk Summary'!$C$8:$C$414,$B50,'Risk Summary'!$D$8:$D$414,$C50,'Risk Summary'!$B$8:$B$414,"Yes")</f>
        <v>0</v>
      </c>
      <c r="N50" s="52" t="str">
        <f t="shared" ca="1" si="10"/>
        <v/>
      </c>
      <c r="O50" s="52" t="str">
        <f t="shared" ca="1" si="11"/>
        <v/>
      </c>
      <c r="P50" s="52">
        <f>IFERROR(INDEX(Dashboard!$H$5:$H$21,MATCH($B50,Dashboard!$A$5:$A$21,0)),"")</f>
        <v>0</v>
      </c>
      <c r="Q50" s="52">
        <f t="shared" si="12"/>
        <v>5</v>
      </c>
      <c r="R50" s="52">
        <f>IFERROR(SUMIFS(_TECH_Crisis_Model!$D$5:$D$191,_TECH_Crisis_Model!$A$5:$A$191,'Crisis Simulator'!$B$4,_TECH_Crisis_Model!$B$5:$B$191,$B50),1)</f>
        <v>1.2</v>
      </c>
      <c r="S50" s="52">
        <f ca="1">IFERROR(INDEX('Strategy Selection'!$A$10:$A$23,MATCH($D50,'Strategy Selection'!$B$10:$B$23,0)),99)</f>
        <v>99</v>
      </c>
      <c r="T50" s="52">
        <f>IFERROR(INDEX('Strategy Selection'!$J$10:$J$23,MATCH($D50,'Strategy Selection'!$B$10:$B$23,0)),0)</f>
        <v>69.5</v>
      </c>
      <c r="U50" s="52">
        <v>2</v>
      </c>
      <c r="V50" s="52">
        <v>5</v>
      </c>
      <c r="W50" s="52">
        <v>4</v>
      </c>
      <c r="X50" s="52">
        <f>MAX(1,MIN(5,ROUNDUP((IF($O50="",0,$O50)*0.5)+(IF($Q50="",0,$Q50)*0.25)+((IF($T50="",0,$T50)/20)*0.25),0)))</f>
      </c>
      <c r="Y50" s="52">
        <f>MAX(1,MIN(5,ROUNDUP(((IF($R50="",1,$R50)-1)*1.6)+('Crisis Simulator'!$B$5*0.45)+IF(IF($S50="",99,$S50)&lt;=3,0.8,0),0)))</f>
      </c>
      <c r="Z50" s="52">
        <f>MAX(1,MIN(5,ROUNDUP((IF($O50="",0,$O50)*0.45)+(IF($M50="",0,$M50)*0.35)+(IF($V50="",0,$V50)*0.35),0)))</f>
      </c>
      <c r="AA50" s="52">
        <f>MAX(1,MIN(5,ROUNDUP((IF($U50="",0,$U50)*0.4)+(IF($W50="",0,$W50)*0.3)+((IF($T50="",0,$T50)/20)*0.3),0)))</f>
      </c>
      <c r="AB50" s="52">
        <v>3</v>
      </c>
      <c r="AC50" s="52">
        <f>IF($AB50=0,"",ROUND((IF($X50="",0,$X50)+IF($Y50="",0,$Y50)+IF($Z50="",0,$Z50)+IF($AA50="",0,$AA50))/$AB50,2))</f>
      </c>
      <c r="AD50" s="52">
        <f>IF($AC50="","",RANK.EQ($AC50,$AC$5:$AC$76,0)+COUNTIF($AC$5:$AC50,$AC50)-1)</f>
      </c>
      <c r="AE50" s="52">
        <f>IF($AD50="","",IF($AD50&lt;=12,"0-90 days",IF($AD50&lt;=32,"3-6 months",IF($AD50&lt;=55,"6-12 months","12+ months"))))</f>
      </c>
      <c r="AF50" s="52" t="s">
        <v>1420</v>
      </c>
      <c r="AG50" s="52" t="s">
        <v>1040</v>
      </c>
      <c r="AH50" s="52" t="s">
        <v>1041</v>
      </c>
      <c r="AI50" s="52" t="s">
        <v>1008</v>
      </c>
      <c r="AJ50" s="52" t="s">
        <v>1429</v>
      </c>
      <c r="AK50" s="52" t="s">
        <v>1430</v>
      </c>
      <c r="AL50" s="52" t="s">
        <v>1431</v>
      </c>
      <c r="AM50" s="52" t="s">
        <v>1012</v>
      </c>
      <c r="AN50" s="52" t="s">
        <v>1013</v>
      </c>
      <c r="AO50" s="52" t="s">
        <v>783</v>
      </c>
      <c r="AP50" s="52" t="s">
        <v>47</v>
      </c>
      <c r="AQ50" s="52"/>
      <c r="AR50" s="52"/>
      <c r="AS50" s="48">
        <f>IFERROR(SUMIFS(_TECH_Industry_Templates!$J:$J,_TECH_Industry_Templates!$A:$A,'Company Profile'!$B$9,_TECH_Industry_Templates!$B:$B,$B50),1)</f>
        <v>1</v>
      </c>
      <c r="AT50" s="48">
        <f>IF($AC50="","",ROUND($AC50*IF($AS50="",1,$AS50),2))</f>
      </c>
      <c r="AU50" s="48">
        <f>IF($AT50="","",RANK.EQ($AT50,$AT$5:$AT$76,0)+COUNTIF($AT$5:AT50,$AT50)-1)</f>
      </c>
      <c r="AV50" s="48" t="str">
        <f>IFERROR(INDEX('Improved Scoring Model'!$E$6:$E$22,MATCH($B50,'Improved Scoring Model'!$A$6:$A$22,0)),"")</f>
        <v/>
      </c>
      <c r="AW50" s="48" t="str">
        <f t="shared" si="19"/>
        <v>Industry-neutral priority</v>
      </c>
    </row>
    <row r="51" spans="1:49" ht="42" customHeight="1">
      <c r="A51" s="52" t="s">
        <v>1432</v>
      </c>
      <c r="B51" s="52" t="s">
        <v>87</v>
      </c>
      <c r="C51" s="52" t="s">
        <v>1433</v>
      </c>
      <c r="D51" s="52" t="s">
        <v>1379</v>
      </c>
      <c r="E51" s="52" t="s">
        <v>1380</v>
      </c>
      <c r="F51" s="52" t="s">
        <v>1434</v>
      </c>
      <c r="G51" s="52" t="s">
        <v>1435</v>
      </c>
      <c r="H51" s="52" t="s">
        <v>194</v>
      </c>
      <c r="I51" s="52" t="s">
        <v>1418</v>
      </c>
      <c r="J51" s="52" t="s">
        <v>1436</v>
      </c>
      <c r="K51" s="52">
        <v>6</v>
      </c>
      <c r="L51" s="52">
        <f>COUNTIFS('Executive Recommendations'!$C$8:$C$414,$B51,'Executive Recommendations'!$D$8:$D$414,$C51,'Executive Recommendations'!$B$8:$B$414,"Yes")</f>
        <v>0</v>
      </c>
      <c r="M51" s="52">
        <f>COUNTIFS('Risk Summary'!$C$8:$C$414,$B51,'Risk Summary'!$D$8:$D$414,$C51,'Risk Summary'!$B$8:$B$414,"Yes")</f>
        <v>0</v>
      </c>
      <c r="N51" s="52" t="str">
        <f t="shared" ca="1" si="10"/>
        <v/>
      </c>
      <c r="O51" s="52" t="str">
        <f t="shared" ca="1" si="11"/>
        <v/>
      </c>
      <c r="P51" s="52">
        <f>IFERROR(INDEX(Dashboard!$H$5:$H$21,MATCH($B51,Dashboard!$A$5:$A$21,0)),"")</f>
        <v>0</v>
      </c>
      <c r="Q51" s="52">
        <f t="shared" si="12"/>
        <v>5</v>
      </c>
      <c r="R51" s="52">
        <f>IFERROR(SUMIFS(_TECH_Crisis_Model!$D$5:$D$191,_TECH_Crisis_Model!$A$5:$A$191,'Crisis Simulator'!$B$4,_TECH_Crisis_Model!$B$5:$B$191,$B51),1)</f>
        <v>1.2</v>
      </c>
      <c r="S51" s="52">
        <f ca="1">IFERROR(INDEX('Strategy Selection'!$A$10:$A$23,MATCH($D51,'Strategy Selection'!$B$10:$B$23,0)),99)</f>
        <v>99</v>
      </c>
      <c r="T51" s="52">
        <f>IFERROR(INDEX('Strategy Selection'!$J$10:$J$23,MATCH($D51,'Strategy Selection'!$B$10:$B$23,0)),0)</f>
        <v>59.5</v>
      </c>
      <c r="U51" s="52">
        <v>4</v>
      </c>
      <c r="V51" s="52">
        <v>4</v>
      </c>
      <c r="W51" s="52">
        <v>4</v>
      </c>
      <c r="X51" s="52">
        <f>MAX(1,MIN(5,ROUNDUP((IF($O51="",0,$O51)*0.5)+(IF($Q51="",0,$Q51)*0.25)+((IF($T51="",0,$T51)/20)*0.25),0)))</f>
      </c>
      <c r="Y51" s="52">
        <f>MAX(1,MIN(5,ROUNDUP(((IF($R51="",1,$R51)-1)*1.6)+('Crisis Simulator'!$B$5*0.45)+IF(IF($S51="",99,$S51)&lt;=3,0.8,0),0)))</f>
      </c>
      <c r="Z51" s="52">
        <f>MAX(1,MIN(5,ROUNDUP((IF($O51="",0,$O51)*0.45)+(IF($M51="",0,$M51)*0.35)+(IF($V51="",0,$V51)*0.35),0)))</f>
      </c>
      <c r="AA51" s="52">
        <f>MAX(1,MIN(5,ROUNDUP((IF($U51="",0,$U51)*0.4)+(IF($W51="",0,$W51)*0.3)+((IF($T51="",0,$T51)/20)*0.3),0)))</f>
      </c>
      <c r="AB51" s="52">
        <v>3</v>
      </c>
      <c r="AC51" s="52">
        <f>IF($AB51=0,"",ROUND((IF($X51="",0,$X51)+IF($Y51="",0,$Y51)+IF($Z51="",0,$Z51)+IF($AA51="",0,$AA51))/$AB51,2))</f>
      </c>
      <c r="AD51" s="52">
        <f>IF($AC51="","",RANK.EQ($AC51,$AC$5:$AC$76,0)+COUNTIF($AC$5:$AC51,$AC51)-1)</f>
      </c>
      <c r="AE51" s="52">
        <f>IF($AD51="","",IF($AD51&lt;=12,"0-90 days",IF($AD51&lt;=32,"3-6 months",IF($AD51&lt;=55,"6-12 months","12+ months"))))</f>
      </c>
      <c r="AF51" s="52" t="s">
        <v>1420</v>
      </c>
      <c r="AG51" s="52" t="s">
        <v>1040</v>
      </c>
      <c r="AH51" s="52" t="s">
        <v>1041</v>
      </c>
      <c r="AI51" s="52" t="s">
        <v>1008</v>
      </c>
      <c r="AJ51" s="52" t="s">
        <v>1437</v>
      </c>
      <c r="AK51" s="52" t="s">
        <v>1438</v>
      </c>
      <c r="AL51" s="52" t="s">
        <v>1439</v>
      </c>
      <c r="AM51" s="52" t="s">
        <v>1389</v>
      </c>
      <c r="AN51" s="52" t="s">
        <v>1013</v>
      </c>
      <c r="AO51" s="52" t="s">
        <v>783</v>
      </c>
      <c r="AP51" s="52" t="s">
        <v>47</v>
      </c>
      <c r="AQ51" s="52"/>
      <c r="AR51" s="52"/>
      <c r="AS51" s="48">
        <f>IFERROR(SUMIFS(_TECH_Industry_Templates!$J:$J,_TECH_Industry_Templates!$A:$A,'Company Profile'!$B$9,_TECH_Industry_Templates!$B:$B,$B51),1)</f>
        <v>1</v>
      </c>
      <c r="AT51" s="48">
        <f>IF($AC51="","",ROUND($AC51*IF($AS51="",1,$AS51),2))</f>
      </c>
      <c r="AU51" s="48">
        <f>IF($AT51="","",RANK.EQ($AT51,$AT$5:$AT$76,0)+COUNTIF($AT$5:AT51,$AT51)-1)</f>
      </c>
      <c r="AV51" s="48" t="str">
        <f>IFERROR(INDEX('Improved Scoring Model'!$E$6:$E$22,MATCH($B51,'Improved Scoring Model'!$A$6:$A$22,0)),"")</f>
        <v/>
      </c>
      <c r="AW51" s="48" t="str">
        <f t="shared" si="19"/>
        <v>Industry-neutral priority</v>
      </c>
    </row>
    <row r="52" spans="1:49" ht="42" customHeight="1">
      <c r="A52" s="52" t="s">
        <v>1440</v>
      </c>
      <c r="B52" s="52" t="s">
        <v>90</v>
      </c>
      <c r="C52" s="52" t="s">
        <v>1441</v>
      </c>
      <c r="D52" s="52" t="s">
        <v>1442</v>
      </c>
      <c r="E52" s="52" t="s">
        <v>1443</v>
      </c>
      <c r="F52" s="52" t="s">
        <v>1444</v>
      </c>
      <c r="G52" s="52" t="s">
        <v>1445</v>
      </c>
      <c r="H52" s="52" t="s">
        <v>1446</v>
      </c>
      <c r="I52" s="52" t="s">
        <v>1447</v>
      </c>
      <c r="J52" s="52" t="s">
        <v>1448</v>
      </c>
      <c r="K52" s="52">
        <v>6</v>
      </c>
      <c r="L52" s="52">
        <f>COUNTIFS('Executive Recommendations'!$C$8:$C$414,$B52,'Executive Recommendations'!$D$8:$D$414,$C52,'Executive Recommendations'!$B$8:$B$414,"Yes")</f>
        <v>0</v>
      </c>
      <c r="M52" s="52">
        <f>COUNTIFS('Risk Summary'!$C$8:$C$414,$B52,'Risk Summary'!$D$8:$D$414,$C52,'Risk Summary'!$B$8:$B$414,"Yes")</f>
        <v>0</v>
      </c>
      <c r="N52" s="52" t="str">
        <f t="shared" ca="1" si="10"/>
        <v/>
      </c>
      <c r="O52" s="52" t="str">
        <f t="shared" ca="1" si="11"/>
        <v/>
      </c>
      <c r="P52" s="52">
        <f>IFERROR(INDEX(Dashboard!$H$5:$H$21,MATCH($B52,Dashboard!$A$5:$A$21,0)),"")</f>
        <v>0</v>
      </c>
      <c r="Q52" s="52">
        <f t="shared" si="12"/>
        <v>5</v>
      </c>
      <c r="R52" s="52">
        <f>IFERROR(SUMIFS(_TECH_Crisis_Model!$D$5:$D$191,_TECH_Crisis_Model!$A$5:$A$191,'Crisis Simulator'!$B$4,_TECH_Crisis_Model!$B$5:$B$191,$B52),1)</f>
        <v>1.7</v>
      </c>
      <c r="S52" s="52">
        <f ca="1">IFERROR(INDEX('Strategy Selection'!$A$10:$A$23,MATCH($D52,'Strategy Selection'!$B$10:$B$23,0)),99)</f>
        <v>99</v>
      </c>
      <c r="T52" s="52">
        <f>IFERROR(INDEX('Strategy Selection'!$J$10:$J$23,MATCH($D52,'Strategy Selection'!$B$10:$B$23,0)),0)</f>
        <v>69.8</v>
      </c>
      <c r="U52" s="52">
        <v>5</v>
      </c>
      <c r="V52" s="52">
        <v>5</v>
      </c>
      <c r="W52" s="52">
        <v>3</v>
      </c>
      <c r="X52" s="52">
        <f>MAX(1,MIN(5,ROUNDUP((IF($O52="",0,$O52)*0.5)+(IF($Q52="",0,$Q52)*0.25)+((IF($T52="",0,$T52)/20)*0.25),0)))</f>
      </c>
      <c r="Y52" s="52">
        <f>MAX(1,MIN(5,ROUNDUP(((IF($R52="",1,$R52)-1)*1.6)+('Crisis Simulator'!$B$5*0.45)+IF(IF($S52="",99,$S52)&lt;=3,0.8,0),0)))</f>
      </c>
      <c r="Z52" s="52">
        <f>MAX(1,MIN(5,ROUNDUP((IF($O52="",0,$O52)*0.45)+(IF($M52="",0,$M52)*0.35)+(IF($V52="",0,$V52)*0.35),0)))</f>
      </c>
      <c r="AA52" s="52">
        <f>MAX(1,MIN(5,ROUNDUP((IF($U52="",0,$U52)*0.4)+(IF($W52="",0,$W52)*0.3)+((IF($T52="",0,$T52)/20)*0.3),0)))</f>
      </c>
      <c r="AB52" s="52">
        <v>4</v>
      </c>
      <c r="AC52" s="52">
        <f>IF($AB52=0,"",ROUND((IF($X52="",0,$X52)+IF($Y52="",0,$Y52)+IF($Z52="",0,$Z52)+IF($AA52="",0,$AA52))/$AB52,2))</f>
      </c>
      <c r="AD52" s="52">
        <f>IF($AC52="","",RANK.EQ($AC52,$AC$5:$AC$76,0)+COUNTIF($AC$5:$AC52,$AC52)-1)</f>
      </c>
      <c r="AE52" s="52">
        <f>IF($AD52="","",IF($AD52&lt;=12,"0-90 days",IF($AD52&lt;=32,"3-6 months",IF($AD52&lt;=55,"6-12 months","12+ months"))))</f>
      </c>
      <c r="AF52" s="52" t="s">
        <v>1449</v>
      </c>
      <c r="AG52" s="52" t="s">
        <v>754</v>
      </c>
      <c r="AH52" s="52" t="s">
        <v>1450</v>
      </c>
      <c r="AI52" s="52" t="s">
        <v>1451</v>
      </c>
      <c r="AJ52" s="52" t="s">
        <v>1452</v>
      </c>
      <c r="AK52" s="52" t="s">
        <v>1453</v>
      </c>
      <c r="AL52" s="52" t="s">
        <v>1454</v>
      </c>
      <c r="AM52" s="52" t="s">
        <v>1455</v>
      </c>
      <c r="AN52" s="52" t="s">
        <v>1013</v>
      </c>
      <c r="AO52" s="52" t="s">
        <v>783</v>
      </c>
      <c r="AP52" s="52" t="s">
        <v>1344</v>
      </c>
      <c r="AQ52" s="52"/>
      <c r="AR52" s="52"/>
      <c r="AS52" s="48">
        <f>IFERROR(SUMIFS(_TECH_Industry_Templates!$J:$J,_TECH_Industry_Templates!$A:$A,'Company Profile'!$B$9,_TECH_Industry_Templates!$B:$B,$B52),1)</f>
        <v>1.1000000000000001</v>
      </c>
      <c r="AT52" s="48">
        <f>IF($AC52="","",ROUND($AC52*IF($AS52="",1,$AS52),2))</f>
      </c>
      <c r="AU52" s="48">
        <f>IF($AT52="","",RANK.EQ($AT52,$AT$5:$AT$76,0)+COUNTIF($AT$5:AT52,$AT52)-1)</f>
      </c>
      <c r="AV52" s="48" t="str">
        <f>IFERROR(INDEX('Improved Scoring Model'!$E$6:$E$22,MATCH($B52,'Improved Scoring Model'!$A$6:$A$22,0)),"")</f>
        <v/>
      </c>
      <c r="AW52" s="48" t="str">
        <f t="shared" si="19"/>
        <v>Industry-neutral priority</v>
      </c>
    </row>
    <row r="53" spans="1:49" ht="42" customHeight="1">
      <c r="A53" s="52" t="s">
        <v>1456</v>
      </c>
      <c r="B53" s="52" t="s">
        <v>90</v>
      </c>
      <c r="C53" s="52" t="s">
        <v>1457</v>
      </c>
      <c r="D53" s="52" t="s">
        <v>1442</v>
      </c>
      <c r="E53" s="52" t="s">
        <v>1443</v>
      </c>
      <c r="F53" s="52" t="s">
        <v>1458</v>
      </c>
      <c r="G53" s="52" t="s">
        <v>1459</v>
      </c>
      <c r="H53" s="52" t="s">
        <v>1446</v>
      </c>
      <c r="I53" s="52" t="s">
        <v>1447</v>
      </c>
      <c r="J53" s="52" t="s">
        <v>1460</v>
      </c>
      <c r="K53" s="52">
        <v>6</v>
      </c>
      <c r="L53" s="52">
        <f>COUNTIFS('Executive Recommendations'!$C$8:$C$414,$B53,'Executive Recommendations'!$D$8:$D$414,$C53,'Executive Recommendations'!$B$8:$B$414,"Yes")</f>
        <v>0</v>
      </c>
      <c r="M53" s="52">
        <f>COUNTIFS('Risk Summary'!$C$8:$C$414,$B53,'Risk Summary'!$D$8:$D$414,$C53,'Risk Summary'!$B$8:$B$414,"Yes")</f>
        <v>0</v>
      </c>
      <c r="N53" s="52" t="str">
        <f t="shared" ca="1" si="10"/>
        <v/>
      </c>
      <c r="O53" s="52" t="str">
        <f t="shared" ca="1" si="11"/>
        <v/>
      </c>
      <c r="P53" s="52">
        <f>IFERROR(INDEX(Dashboard!$H$5:$H$21,MATCH($B53,Dashboard!$A$5:$A$21,0)),"")</f>
        <v>0</v>
      </c>
      <c r="Q53" s="52">
        <f t="shared" si="12"/>
        <v>5</v>
      </c>
      <c r="R53" s="52">
        <f>IFERROR(SUMIFS(_TECH_Crisis_Model!$D$5:$D$191,_TECH_Crisis_Model!$A$5:$A$191,'Crisis Simulator'!$B$4,_TECH_Crisis_Model!$B$5:$B$191,$B53),1)</f>
        <v>1.7</v>
      </c>
      <c r="S53" s="52">
        <f ca="1">IFERROR(INDEX('Strategy Selection'!$A$10:$A$23,MATCH($D53,'Strategy Selection'!$B$10:$B$23,0)),99)</f>
        <v>99</v>
      </c>
      <c r="T53" s="52">
        <f>IFERROR(INDEX('Strategy Selection'!$J$10:$J$23,MATCH($D53,'Strategy Selection'!$B$10:$B$23,0)),0)</f>
        <v>69.8</v>
      </c>
      <c r="U53" s="52">
        <v>5</v>
      </c>
      <c r="V53" s="52">
        <v>5</v>
      </c>
      <c r="W53" s="52">
        <v>3</v>
      </c>
      <c r="X53" s="52">
        <f>MAX(1,MIN(5,ROUNDUP((IF($O53="",0,$O53)*0.5)+(IF($Q53="",0,$Q53)*0.25)+((IF($T53="",0,$T53)/20)*0.25),0)))</f>
      </c>
      <c r="Y53" s="52">
        <f>MAX(1,MIN(5,ROUNDUP(((IF($R53="",1,$R53)-1)*1.6)+('Crisis Simulator'!$B$5*0.45)+IF(IF($S53="",99,$S53)&lt;=3,0.8,0),0)))</f>
      </c>
      <c r="Z53" s="52">
        <f>MAX(1,MIN(5,ROUNDUP((IF($O53="",0,$O53)*0.45)+(IF($M53="",0,$M53)*0.35)+(IF($V53="",0,$V53)*0.35),0)))</f>
      </c>
      <c r="AA53" s="52">
        <f>MAX(1,MIN(5,ROUNDUP((IF($U53="",0,$U53)*0.4)+(IF($W53="",0,$W53)*0.3)+((IF($T53="",0,$T53)/20)*0.3),0)))</f>
      </c>
      <c r="AB53" s="52">
        <v>4</v>
      </c>
      <c r="AC53" s="52">
        <f>IF($AB53=0,"",ROUND((IF($X53="",0,$X53)+IF($Y53="",0,$Y53)+IF($Z53="",0,$Z53)+IF($AA53="",0,$AA53))/$AB53,2))</f>
      </c>
      <c r="AD53" s="52">
        <f>IF($AC53="","",RANK.EQ($AC53,$AC$5:$AC$76,0)+COUNTIF($AC$5:$AC53,$AC53)-1)</f>
      </c>
      <c r="AE53" s="52">
        <f>IF($AD53="","",IF($AD53&lt;=12,"0-90 days",IF($AD53&lt;=32,"3-6 months",IF($AD53&lt;=55,"6-12 months","12+ months"))))</f>
      </c>
      <c r="AF53" s="52" t="s">
        <v>1449</v>
      </c>
      <c r="AG53" s="52" t="s">
        <v>754</v>
      </c>
      <c r="AH53" s="52" t="s">
        <v>1450</v>
      </c>
      <c r="AI53" s="52" t="s">
        <v>1451</v>
      </c>
      <c r="AJ53" s="52" t="s">
        <v>1461</v>
      </c>
      <c r="AK53" s="52" t="s">
        <v>1462</v>
      </c>
      <c r="AL53" s="52" t="s">
        <v>1463</v>
      </c>
      <c r="AM53" s="52" t="s">
        <v>1455</v>
      </c>
      <c r="AN53" s="52" t="s">
        <v>1013</v>
      </c>
      <c r="AO53" s="52" t="s">
        <v>783</v>
      </c>
      <c r="AP53" s="52" t="s">
        <v>1344</v>
      </c>
      <c r="AQ53" s="52"/>
      <c r="AR53" s="52"/>
      <c r="AS53" s="48">
        <f>IFERROR(SUMIFS(_TECH_Industry_Templates!$J:$J,_TECH_Industry_Templates!$A:$A,'Company Profile'!$B$9,_TECH_Industry_Templates!$B:$B,$B53),1)</f>
        <v>1.1000000000000001</v>
      </c>
      <c r="AT53" s="48">
        <f>IF($AC53="","",ROUND($AC53*IF($AS53="",1,$AS53),2))</f>
      </c>
      <c r="AU53" s="48">
        <f>IF($AT53="","",RANK.EQ($AT53,$AT$5:$AT$76,0)+COUNTIF($AT$5:AT53,$AT53)-1)</f>
      </c>
      <c r="AV53" s="48" t="str">
        <f>IFERROR(INDEX('Improved Scoring Model'!$E$6:$E$22,MATCH($B53,'Improved Scoring Model'!$A$6:$A$22,0)),"")</f>
        <v/>
      </c>
      <c r="AW53" s="48" t="str">
        <f t="shared" si="19"/>
        <v>Industry-neutral priority</v>
      </c>
    </row>
    <row r="54" spans="1:49" ht="42" customHeight="1">
      <c r="A54" s="52" t="s">
        <v>1464</v>
      </c>
      <c r="B54" s="52" t="s">
        <v>90</v>
      </c>
      <c r="C54" s="52" t="s">
        <v>1465</v>
      </c>
      <c r="D54" s="52" t="s">
        <v>1442</v>
      </c>
      <c r="E54" s="52" t="s">
        <v>1443</v>
      </c>
      <c r="F54" s="52" t="s">
        <v>1466</v>
      </c>
      <c r="G54" s="52" t="s">
        <v>1467</v>
      </c>
      <c r="H54" s="52" t="s">
        <v>1446</v>
      </c>
      <c r="I54" s="52" t="s">
        <v>1447</v>
      </c>
      <c r="J54" s="52" t="s">
        <v>1468</v>
      </c>
      <c r="K54" s="52">
        <v>6</v>
      </c>
      <c r="L54" s="52">
        <f>COUNTIFS('Executive Recommendations'!$C$8:$C$414,$B54,'Executive Recommendations'!$D$8:$D$414,$C54,'Executive Recommendations'!$B$8:$B$414,"Yes")</f>
        <v>0</v>
      </c>
      <c r="M54" s="52">
        <f>COUNTIFS('Risk Summary'!$C$8:$C$414,$B54,'Risk Summary'!$D$8:$D$414,$C54,'Risk Summary'!$B$8:$B$414,"Yes")</f>
        <v>0</v>
      </c>
      <c r="N54" s="52" t="str">
        <f t="shared" ca="1" si="10"/>
        <v/>
      </c>
      <c r="O54" s="52" t="str">
        <f t="shared" ca="1" si="11"/>
        <v/>
      </c>
      <c r="P54" s="52">
        <f>IFERROR(INDEX(Dashboard!$H$5:$H$21,MATCH($B54,Dashboard!$A$5:$A$21,0)),"")</f>
        <v>0</v>
      </c>
      <c r="Q54" s="52">
        <f t="shared" si="12"/>
        <v>5</v>
      </c>
      <c r="R54" s="52">
        <f>IFERROR(SUMIFS(_TECH_Crisis_Model!$D$5:$D$191,_TECH_Crisis_Model!$A$5:$A$191,'Crisis Simulator'!$B$4,_TECH_Crisis_Model!$B$5:$B$191,$B54),1)</f>
        <v>1.7</v>
      </c>
      <c r="S54" s="52">
        <f ca="1">IFERROR(INDEX('Strategy Selection'!$A$10:$A$23,MATCH($D54,'Strategy Selection'!$B$10:$B$23,0)),99)</f>
        <v>99</v>
      </c>
      <c r="T54" s="52">
        <f>IFERROR(INDEX('Strategy Selection'!$J$10:$J$23,MATCH($D54,'Strategy Selection'!$B$10:$B$23,0)),0)</f>
        <v>69.8</v>
      </c>
      <c r="U54" s="52">
        <v>5</v>
      </c>
      <c r="V54" s="52">
        <v>5</v>
      </c>
      <c r="W54" s="52">
        <v>3</v>
      </c>
      <c r="X54" s="52">
        <f>MAX(1,MIN(5,ROUNDUP((IF($O54="",0,$O54)*0.5)+(IF($Q54="",0,$Q54)*0.25)+((IF($T54="",0,$T54)/20)*0.25),0)))</f>
      </c>
      <c r="Y54" s="52">
        <f>MAX(1,MIN(5,ROUNDUP(((IF($R54="",1,$R54)-1)*1.6)+('Crisis Simulator'!$B$5*0.45)+IF(IF($S54="",99,$S54)&lt;=3,0.8,0),0)))</f>
      </c>
      <c r="Z54" s="52">
        <f>MAX(1,MIN(5,ROUNDUP((IF($O54="",0,$O54)*0.45)+(IF($M54="",0,$M54)*0.35)+(IF($V54="",0,$V54)*0.35),0)))</f>
      </c>
      <c r="AA54" s="52">
        <f>MAX(1,MIN(5,ROUNDUP((IF($U54="",0,$U54)*0.4)+(IF($W54="",0,$W54)*0.3)+((IF($T54="",0,$T54)/20)*0.3),0)))</f>
      </c>
      <c r="AB54" s="52">
        <v>4</v>
      </c>
      <c r="AC54" s="52">
        <f>IF($AB54=0,"",ROUND((IF($X54="",0,$X54)+IF($Y54="",0,$Y54)+IF($Z54="",0,$Z54)+IF($AA54="",0,$AA54))/$AB54,2))</f>
      </c>
      <c r="AD54" s="52">
        <f>IF($AC54="","",RANK.EQ($AC54,$AC$5:$AC$76,0)+COUNTIF($AC$5:$AC54,$AC54)-1)</f>
      </c>
      <c r="AE54" s="52">
        <f>IF($AD54="","",IF($AD54&lt;=12,"0-90 days",IF($AD54&lt;=32,"3-6 months",IF($AD54&lt;=55,"6-12 months","12+ months"))))</f>
      </c>
      <c r="AF54" s="52" t="s">
        <v>1449</v>
      </c>
      <c r="AG54" s="52" t="s">
        <v>754</v>
      </c>
      <c r="AH54" s="52" t="s">
        <v>1450</v>
      </c>
      <c r="AI54" s="52" t="s">
        <v>1451</v>
      </c>
      <c r="AJ54" s="52" t="s">
        <v>1469</v>
      </c>
      <c r="AK54" s="52" t="s">
        <v>1470</v>
      </c>
      <c r="AL54" s="52" t="s">
        <v>1471</v>
      </c>
      <c r="AM54" s="52" t="s">
        <v>1455</v>
      </c>
      <c r="AN54" s="52" t="s">
        <v>1013</v>
      </c>
      <c r="AO54" s="52" t="s">
        <v>783</v>
      </c>
      <c r="AP54" s="52" t="s">
        <v>1344</v>
      </c>
      <c r="AQ54" s="52"/>
      <c r="AR54" s="52"/>
      <c r="AS54" s="48">
        <f>IFERROR(SUMIFS(_TECH_Industry_Templates!$J:$J,_TECH_Industry_Templates!$A:$A,'Company Profile'!$B$9,_TECH_Industry_Templates!$B:$B,$B54),1)</f>
        <v>1.1000000000000001</v>
      </c>
      <c r="AT54" s="48">
        <f>IF($AC54="","",ROUND($AC54*IF($AS54="",1,$AS54),2))</f>
      </c>
      <c r="AU54" s="48">
        <f>IF($AT54="","",RANK.EQ($AT54,$AT$5:$AT$76,0)+COUNTIF($AT$5:AT54,$AT54)-1)</f>
      </c>
      <c r="AV54" s="48" t="str">
        <f>IFERROR(INDEX('Improved Scoring Model'!$E$6:$E$22,MATCH($B54,'Improved Scoring Model'!$A$6:$A$22,0)),"")</f>
        <v/>
      </c>
      <c r="AW54" s="48" t="str">
        <f t="shared" si="19"/>
        <v>Industry-neutral priority</v>
      </c>
    </row>
    <row r="55" spans="1:49" ht="42" customHeight="1">
      <c r="A55" s="52" t="s">
        <v>1472</v>
      </c>
      <c r="B55" s="52" t="s">
        <v>90</v>
      </c>
      <c r="C55" s="52" t="s">
        <v>1473</v>
      </c>
      <c r="D55" s="52" t="s">
        <v>1442</v>
      </c>
      <c r="E55" s="52" t="s">
        <v>1443</v>
      </c>
      <c r="F55" s="52" t="s">
        <v>1474</v>
      </c>
      <c r="G55" s="52" t="s">
        <v>1475</v>
      </c>
      <c r="H55" s="52" t="s">
        <v>1446</v>
      </c>
      <c r="I55" s="52" t="s">
        <v>1447</v>
      </c>
      <c r="J55" s="52" t="s">
        <v>1476</v>
      </c>
      <c r="K55" s="52">
        <v>6</v>
      </c>
      <c r="L55" s="52">
        <f>COUNTIFS('Executive Recommendations'!$C$8:$C$414,$B55,'Executive Recommendations'!$D$8:$D$414,$C55,'Executive Recommendations'!$B$8:$B$414,"Yes")</f>
        <v>0</v>
      </c>
      <c r="M55" s="52">
        <f>COUNTIFS('Risk Summary'!$C$8:$C$414,$B55,'Risk Summary'!$D$8:$D$414,$C55,'Risk Summary'!$B$8:$B$414,"Yes")</f>
        <v>0</v>
      </c>
      <c r="N55" s="52" t="str">
        <f t="shared" ca="1" si="10"/>
        <v/>
      </c>
      <c r="O55" s="52" t="str">
        <f t="shared" ca="1" si="11"/>
        <v/>
      </c>
      <c r="P55" s="52">
        <f>IFERROR(INDEX(Dashboard!$H$5:$H$21,MATCH($B55,Dashboard!$A$5:$A$21,0)),"")</f>
        <v>0</v>
      </c>
      <c r="Q55" s="52">
        <f t="shared" si="12"/>
        <v>5</v>
      </c>
      <c r="R55" s="52">
        <f>IFERROR(SUMIFS(_TECH_Crisis_Model!$D$5:$D$191,_TECH_Crisis_Model!$A$5:$A$191,'Crisis Simulator'!$B$4,_TECH_Crisis_Model!$B$5:$B$191,$B55),1)</f>
        <v>1.7</v>
      </c>
      <c r="S55" s="52">
        <f ca="1">IFERROR(INDEX('Strategy Selection'!$A$10:$A$23,MATCH($D55,'Strategy Selection'!$B$10:$B$23,0)),99)</f>
        <v>99</v>
      </c>
      <c r="T55" s="52">
        <f>IFERROR(INDEX('Strategy Selection'!$J$10:$J$23,MATCH($D55,'Strategy Selection'!$B$10:$B$23,0)),0)</f>
        <v>69.8</v>
      </c>
      <c r="U55" s="52">
        <v>5</v>
      </c>
      <c r="V55" s="52">
        <v>5</v>
      </c>
      <c r="W55" s="52">
        <v>3</v>
      </c>
      <c r="X55" s="52">
        <f>MAX(1,MIN(5,ROUNDUP((IF($O55="",0,$O55)*0.5)+(IF($Q55="",0,$Q55)*0.25)+((IF($T55="",0,$T55)/20)*0.25),0)))</f>
      </c>
      <c r="Y55" s="52">
        <f>MAX(1,MIN(5,ROUNDUP(((IF($R55="",1,$R55)-1)*1.6)+('Crisis Simulator'!$B$5*0.45)+IF(IF($S55="",99,$S55)&lt;=3,0.8,0),0)))</f>
      </c>
      <c r="Z55" s="52">
        <f>MAX(1,MIN(5,ROUNDUP((IF($O55="",0,$O55)*0.45)+(IF($M55="",0,$M55)*0.35)+(IF($V55="",0,$V55)*0.35),0)))</f>
      </c>
      <c r="AA55" s="52">
        <f>MAX(1,MIN(5,ROUNDUP((IF($U55="",0,$U55)*0.4)+(IF($W55="",0,$W55)*0.3)+((IF($T55="",0,$T55)/20)*0.3),0)))</f>
      </c>
      <c r="AB55" s="52">
        <v>4</v>
      </c>
      <c r="AC55" s="52">
        <f>IF($AB55=0,"",ROUND((IF($X55="",0,$X55)+IF($Y55="",0,$Y55)+IF($Z55="",0,$Z55)+IF($AA55="",0,$AA55))/$AB55,2))</f>
      </c>
      <c r="AD55" s="52">
        <f>IF($AC55="","",RANK.EQ($AC55,$AC$5:$AC$76,0)+COUNTIF($AC$5:$AC55,$AC55)-1)</f>
      </c>
      <c r="AE55" s="52">
        <f>IF($AD55="","",IF($AD55&lt;=12,"0-90 days",IF($AD55&lt;=32,"3-6 months",IF($AD55&lt;=55,"6-12 months","12+ months"))))</f>
      </c>
      <c r="AF55" s="52" t="s">
        <v>1449</v>
      </c>
      <c r="AG55" s="52" t="s">
        <v>754</v>
      </c>
      <c r="AH55" s="52" t="s">
        <v>1450</v>
      </c>
      <c r="AI55" s="52" t="s">
        <v>1451</v>
      </c>
      <c r="AJ55" s="52" t="s">
        <v>1477</v>
      </c>
      <c r="AK55" s="52" t="s">
        <v>1478</v>
      </c>
      <c r="AL55" s="52" t="s">
        <v>1479</v>
      </c>
      <c r="AM55" s="52" t="s">
        <v>1455</v>
      </c>
      <c r="AN55" s="52" t="s">
        <v>1013</v>
      </c>
      <c r="AO55" s="52" t="s">
        <v>783</v>
      </c>
      <c r="AP55" s="52" t="s">
        <v>1344</v>
      </c>
      <c r="AQ55" s="52"/>
      <c r="AR55" s="52"/>
      <c r="AS55" s="48">
        <f>IFERROR(SUMIFS(_TECH_Industry_Templates!$J:$J,_TECH_Industry_Templates!$A:$A,'Company Profile'!$B$9,_TECH_Industry_Templates!$B:$B,$B55),1)</f>
        <v>1.1000000000000001</v>
      </c>
      <c r="AT55" s="48">
        <f>IF($AC55="","",ROUND($AC55*IF($AS55="",1,$AS55),2))</f>
      </c>
      <c r="AU55" s="48">
        <f>IF($AT55="","",RANK.EQ($AT55,$AT$5:$AT$76,0)+COUNTIF($AT$5:AT55,$AT55)-1)</f>
      </c>
      <c r="AV55" s="48" t="str">
        <f>IFERROR(INDEX('Improved Scoring Model'!$E$6:$E$22,MATCH($B55,'Improved Scoring Model'!$A$6:$A$22,0)),"")</f>
        <v/>
      </c>
      <c r="AW55" s="48" t="str">
        <f t="shared" si="19"/>
        <v>Industry-neutral priority</v>
      </c>
    </row>
    <row r="56" spans="1:49" ht="42" customHeight="1">
      <c r="A56" s="52" t="s">
        <v>1480</v>
      </c>
      <c r="B56" s="52" t="s">
        <v>90</v>
      </c>
      <c r="C56" s="52" t="s">
        <v>1481</v>
      </c>
      <c r="D56" s="52" t="s">
        <v>1442</v>
      </c>
      <c r="E56" s="52" t="s">
        <v>1443</v>
      </c>
      <c r="F56" s="52" t="s">
        <v>1482</v>
      </c>
      <c r="G56" s="52" t="s">
        <v>1483</v>
      </c>
      <c r="H56" s="52" t="s">
        <v>1446</v>
      </c>
      <c r="I56" s="52" t="s">
        <v>1447</v>
      </c>
      <c r="J56" s="52" t="s">
        <v>1484</v>
      </c>
      <c r="K56" s="52">
        <v>5</v>
      </c>
      <c r="L56" s="52">
        <f>COUNTIFS('Executive Recommendations'!$C$8:$C$414,$B56,'Executive Recommendations'!$D$8:$D$414,$C56,'Executive Recommendations'!$B$8:$B$414,"Yes")</f>
        <v>0</v>
      </c>
      <c r="M56" s="52">
        <f>COUNTIFS('Risk Summary'!$C$8:$C$414,$B56,'Risk Summary'!$D$8:$D$414,$C56,'Risk Summary'!$B$8:$B$414,"Yes")</f>
        <v>0</v>
      </c>
      <c r="N56" s="52" t="str">
        <f t="shared" ca="1" si="10"/>
        <v/>
      </c>
      <c r="O56" s="52" t="str">
        <f t="shared" ca="1" si="11"/>
        <v/>
      </c>
      <c r="P56" s="52">
        <f>IFERROR(INDEX(Dashboard!$H$5:$H$21,MATCH($B56,Dashboard!$A$5:$A$21,0)),"")</f>
        <v>0</v>
      </c>
      <c r="Q56" s="52">
        <f t="shared" si="12"/>
        <v>5</v>
      </c>
      <c r="R56" s="52">
        <f>IFERROR(SUMIFS(_TECH_Crisis_Model!$D$5:$D$191,_TECH_Crisis_Model!$A$5:$A$191,'Crisis Simulator'!$B$4,_TECH_Crisis_Model!$B$5:$B$191,$B56),1)</f>
        <v>1.7</v>
      </c>
      <c r="S56" s="52">
        <f ca="1">IFERROR(INDEX('Strategy Selection'!$A$10:$A$23,MATCH($D56,'Strategy Selection'!$B$10:$B$23,0)),99)</f>
        <v>99</v>
      </c>
      <c r="T56" s="52">
        <f>IFERROR(INDEX('Strategy Selection'!$J$10:$J$23,MATCH($D56,'Strategy Selection'!$B$10:$B$23,0)),0)</f>
        <v>69.8</v>
      </c>
      <c r="U56" s="52">
        <v>5</v>
      </c>
      <c r="V56" s="52">
        <v>5</v>
      </c>
      <c r="W56" s="52">
        <v>3</v>
      </c>
      <c r="X56" s="52">
        <f>MAX(1,MIN(5,ROUNDUP((IF($O56="",0,$O56)*0.5)+(IF($Q56="",0,$Q56)*0.25)+((IF($T56="",0,$T56)/20)*0.25),0)))</f>
      </c>
      <c r="Y56" s="52">
        <f>MAX(1,MIN(5,ROUNDUP(((IF($R56="",1,$R56)-1)*1.6)+('Crisis Simulator'!$B$5*0.45)+IF(IF($S56="",99,$S56)&lt;=3,0.8,0),0)))</f>
      </c>
      <c r="Z56" s="52">
        <f>MAX(1,MIN(5,ROUNDUP((IF($O56="",0,$O56)*0.45)+(IF($M56="",0,$M56)*0.35)+(IF($V56="",0,$V56)*0.35),0)))</f>
      </c>
      <c r="AA56" s="52">
        <f>MAX(1,MIN(5,ROUNDUP((IF($U56="",0,$U56)*0.4)+(IF($W56="",0,$W56)*0.3)+((IF($T56="",0,$T56)/20)*0.3),0)))</f>
      </c>
      <c r="AB56" s="52">
        <v>4</v>
      </c>
      <c r="AC56" s="52">
        <f>IF($AB56=0,"",ROUND((IF($X56="",0,$X56)+IF($Y56="",0,$Y56)+IF($Z56="",0,$Z56)+IF($AA56="",0,$AA56))/$AB56,2))</f>
      </c>
      <c r="AD56" s="52">
        <f>IF($AC56="","",RANK.EQ($AC56,$AC$5:$AC$76,0)+COUNTIF($AC$5:$AC56,$AC56)-1)</f>
      </c>
      <c r="AE56" s="52">
        <f>IF($AD56="","",IF($AD56&lt;=12,"0-90 days",IF($AD56&lt;=32,"3-6 months",IF($AD56&lt;=55,"6-12 months","12+ months"))))</f>
      </c>
      <c r="AF56" s="52" t="s">
        <v>1449</v>
      </c>
      <c r="AG56" s="52" t="s">
        <v>754</v>
      </c>
      <c r="AH56" s="52" t="s">
        <v>1450</v>
      </c>
      <c r="AI56" s="52" t="s">
        <v>1451</v>
      </c>
      <c r="AJ56" s="52" t="s">
        <v>1485</v>
      </c>
      <c r="AK56" s="52" t="s">
        <v>1486</v>
      </c>
      <c r="AL56" s="52" t="s">
        <v>1487</v>
      </c>
      <c r="AM56" s="52" t="s">
        <v>1455</v>
      </c>
      <c r="AN56" s="52" t="s">
        <v>1013</v>
      </c>
      <c r="AO56" s="52" t="s">
        <v>783</v>
      </c>
      <c r="AP56" s="52" t="s">
        <v>1344</v>
      </c>
      <c r="AQ56" s="52"/>
      <c r="AR56" s="52"/>
      <c r="AS56" s="48">
        <f>IFERROR(SUMIFS(_TECH_Industry_Templates!$J:$J,_TECH_Industry_Templates!$A:$A,'Company Profile'!$B$9,_TECH_Industry_Templates!$B:$B,$B56),1)</f>
        <v>1.1000000000000001</v>
      </c>
      <c r="AT56" s="48">
        <f>IF($AC56="","",ROUND($AC56*IF($AS56="",1,$AS56),2))</f>
      </c>
      <c r="AU56" s="48">
        <f>IF($AT56="","",RANK.EQ($AT56,$AT$5:$AT$76,0)+COUNTIF($AT$5:AT56,$AT56)-1)</f>
      </c>
      <c r="AV56" s="48" t="str">
        <f>IFERROR(INDEX('Improved Scoring Model'!$E$6:$E$22,MATCH($B56,'Improved Scoring Model'!$A$6:$A$22,0)),"")</f>
        <v/>
      </c>
      <c r="AW56" s="48" t="str">
        <f t="shared" si="19"/>
        <v>Industry-neutral priority</v>
      </c>
    </row>
    <row r="57" spans="1:49" ht="42" customHeight="1">
      <c r="A57" s="52" t="s">
        <v>1488</v>
      </c>
      <c r="B57" s="52" t="s">
        <v>91</v>
      </c>
      <c r="C57" s="52" t="s">
        <v>1489</v>
      </c>
      <c r="D57" s="52" t="s">
        <v>1490</v>
      </c>
      <c r="E57" s="52" t="s">
        <v>1491</v>
      </c>
      <c r="F57" s="52" t="s">
        <v>1492</v>
      </c>
      <c r="G57" s="52" t="s">
        <v>1493</v>
      </c>
      <c r="H57" s="52" t="s">
        <v>1494</v>
      </c>
      <c r="I57" s="52" t="s">
        <v>1495</v>
      </c>
      <c r="J57" s="52" t="s">
        <v>1496</v>
      </c>
      <c r="K57" s="52">
        <v>5</v>
      </c>
      <c r="L57" s="52">
        <f>COUNTIFS('Executive Recommendations'!$C$8:$C$414,$B57,'Executive Recommendations'!$D$8:$D$414,$C57,'Executive Recommendations'!$B$8:$B$414,"Yes")</f>
        <v>0</v>
      </c>
      <c r="M57" s="52">
        <f>COUNTIFS('Risk Summary'!$C$8:$C$414,$B57,'Risk Summary'!$D$8:$D$414,$C57,'Risk Summary'!$B$8:$B$414,"Yes")</f>
        <v>0</v>
      </c>
      <c r="N57" s="52" t="str">
        <f t="shared" ca="1" si="10"/>
        <v/>
      </c>
      <c r="O57" s="52" t="str">
        <f t="shared" ca="1" si="11"/>
        <v/>
      </c>
      <c r="P57" s="52">
        <f>IFERROR(INDEX(Dashboard!$H$5:$H$21,MATCH($B57,Dashboard!$A$5:$A$21,0)),"")</f>
        <v>0</v>
      </c>
      <c r="Q57" s="52">
        <f t="shared" si="12"/>
        <v>5</v>
      </c>
      <c r="R57" s="52">
        <f>IFERROR(SUMIFS(_TECH_Crisis_Model!$D$5:$D$191,_TECH_Crisis_Model!$A$5:$A$191,'Crisis Simulator'!$B$4,_TECH_Crisis_Model!$B$5:$B$191,$B57),1)</f>
        <v>1</v>
      </c>
      <c r="S57" s="52">
        <f ca="1">IFERROR(INDEX('Strategy Selection'!$A$10:$A$23,MATCH($D57,'Strategy Selection'!$B$10:$B$23,0)),99)</f>
        <v>99</v>
      </c>
      <c r="T57" s="52">
        <f>IFERROR(INDEX('Strategy Selection'!$J$10:$J$23,MATCH($D57,'Strategy Selection'!$B$10:$B$23,0)),0)</f>
        <v>61.5</v>
      </c>
      <c r="U57" s="52">
        <v>5</v>
      </c>
      <c r="V57" s="52">
        <v>3</v>
      </c>
      <c r="W57" s="52">
        <v>4</v>
      </c>
      <c r="X57" s="52">
        <f>MAX(1,MIN(5,ROUNDUP((IF($O57="",0,$O57)*0.5)+(IF($Q57="",0,$Q57)*0.25)+((IF($T57="",0,$T57)/20)*0.25),0)))</f>
      </c>
      <c r="Y57" s="52">
        <f>MAX(1,MIN(5,ROUNDUP(((IF($R57="",1,$R57)-1)*1.6)+('Crisis Simulator'!$B$5*0.45)+IF(IF($S57="",99,$S57)&lt;=3,0.8,0),0)))</f>
      </c>
      <c r="Z57" s="52">
        <f>MAX(1,MIN(5,ROUNDUP((IF($O57="",0,$O57)*0.45)+(IF($M57="",0,$M57)*0.35)+(IF($V57="",0,$V57)*0.35),0)))</f>
      </c>
      <c r="AA57" s="52">
        <f>MAX(1,MIN(5,ROUNDUP((IF($U57="",0,$U57)*0.4)+(IF($W57="",0,$W57)*0.3)+((IF($T57="",0,$T57)/20)*0.3),0)))</f>
      </c>
      <c r="AB57" s="52">
        <v>4</v>
      </c>
      <c r="AC57" s="52">
        <f>IF($AB57=0,"",ROUND((IF($X57="",0,$X57)+IF($Y57="",0,$Y57)+IF($Z57="",0,$Z57)+IF($AA57="",0,$AA57))/$AB57,2))</f>
      </c>
      <c r="AD57" s="52">
        <f>IF($AC57="","",RANK.EQ($AC57,$AC$5:$AC$76,0)+COUNTIF($AC$5:$AC57,$AC57)-1)</f>
      </c>
      <c r="AE57" s="52">
        <f>IF($AD57="","",IF($AD57&lt;=12,"0-90 days",IF($AD57&lt;=32,"3-6 months",IF($AD57&lt;=55,"6-12 months","12+ months"))))</f>
      </c>
      <c r="AF57" s="52" t="s">
        <v>1497</v>
      </c>
      <c r="AG57" s="52" t="s">
        <v>754</v>
      </c>
      <c r="AH57" s="52" t="s">
        <v>1450</v>
      </c>
      <c r="AI57" s="52" t="s">
        <v>1008</v>
      </c>
      <c r="AJ57" s="52" t="s">
        <v>1498</v>
      </c>
      <c r="AK57" s="52" t="s">
        <v>1499</v>
      </c>
      <c r="AL57" s="52" t="s">
        <v>1500</v>
      </c>
      <c r="AM57" s="52" t="s">
        <v>1501</v>
      </c>
      <c r="AN57" s="52" t="s">
        <v>1013</v>
      </c>
      <c r="AO57" s="52" t="s">
        <v>783</v>
      </c>
      <c r="AP57" s="52" t="s">
        <v>1344</v>
      </c>
      <c r="AQ57" s="52"/>
      <c r="AR57" s="52"/>
      <c r="AS57" s="48">
        <f>IFERROR(SUMIFS(_TECH_Industry_Templates!$J:$J,_TECH_Industry_Templates!$A:$A,'Company Profile'!$B$9,_TECH_Industry_Templates!$B:$B,$B57),1)</f>
        <v>1.1499999999999999</v>
      </c>
      <c r="AT57" s="48">
        <f>IF($AC57="","",ROUND($AC57*IF($AS57="",1,$AS57),2))</f>
      </c>
      <c r="AU57" s="48">
        <f>IF($AT57="","",RANK.EQ($AT57,$AT$5:$AT$76,0)+COUNTIF($AT$5:AT57,$AT57)-1)</f>
      </c>
      <c r="AV57" s="48" t="str">
        <f>IFERROR(INDEX('Improved Scoring Model'!$E$6:$E$22,MATCH($B57,'Improved Scoring Model'!$A$6:$A$22,0)),"")</f>
        <v/>
      </c>
      <c r="AW57" s="48" t="str">
        <f t="shared" si="19"/>
        <v>Industry-neutral priority</v>
      </c>
    </row>
    <row r="58" spans="1:49" ht="42" customHeight="1">
      <c r="A58" s="52" t="s">
        <v>1502</v>
      </c>
      <c r="B58" s="52" t="s">
        <v>91</v>
      </c>
      <c r="C58" s="52" t="s">
        <v>1503</v>
      </c>
      <c r="D58" s="52" t="s">
        <v>1379</v>
      </c>
      <c r="E58" s="52" t="s">
        <v>1380</v>
      </c>
      <c r="F58" s="52" t="s">
        <v>1504</v>
      </c>
      <c r="G58" s="52" t="s">
        <v>1505</v>
      </c>
      <c r="H58" s="52" t="s">
        <v>1494</v>
      </c>
      <c r="I58" s="52" t="s">
        <v>1495</v>
      </c>
      <c r="J58" s="52" t="s">
        <v>1506</v>
      </c>
      <c r="K58" s="52">
        <v>4</v>
      </c>
      <c r="L58" s="52">
        <f>COUNTIFS('Executive Recommendations'!$C$8:$C$414,$B58,'Executive Recommendations'!$D$8:$D$414,$C58,'Executive Recommendations'!$B$8:$B$414,"Yes")</f>
        <v>0</v>
      </c>
      <c r="M58" s="52">
        <f>COUNTIFS('Risk Summary'!$C$8:$C$414,$B58,'Risk Summary'!$D$8:$D$414,$C58,'Risk Summary'!$B$8:$B$414,"Yes")</f>
        <v>0</v>
      </c>
      <c r="N58" s="52" t="str">
        <f t="shared" ca="1" si="10"/>
        <v/>
      </c>
      <c r="O58" s="52" t="str">
        <f t="shared" ca="1" si="11"/>
        <v/>
      </c>
      <c r="P58" s="52">
        <f>IFERROR(INDEX(Dashboard!$H$5:$H$21,MATCH($B58,Dashboard!$A$5:$A$21,0)),"")</f>
        <v>0</v>
      </c>
      <c r="Q58" s="52">
        <f t="shared" si="12"/>
        <v>5</v>
      </c>
      <c r="R58" s="52">
        <f>IFERROR(SUMIFS(_TECH_Crisis_Model!$D$5:$D$191,_TECH_Crisis_Model!$A$5:$A$191,'Crisis Simulator'!$B$4,_TECH_Crisis_Model!$B$5:$B$191,$B58),1)</f>
        <v>1</v>
      </c>
      <c r="S58" s="52">
        <f ca="1">IFERROR(INDEX('Strategy Selection'!$A$10:$A$23,MATCH($D58,'Strategy Selection'!$B$10:$B$23,0)),99)</f>
        <v>99</v>
      </c>
      <c r="T58" s="52">
        <f>IFERROR(INDEX('Strategy Selection'!$J$10:$J$23,MATCH($D58,'Strategy Selection'!$B$10:$B$23,0)),0)</f>
        <v>59.5</v>
      </c>
      <c r="U58" s="52">
        <v>4</v>
      </c>
      <c r="V58" s="52">
        <v>4</v>
      </c>
      <c r="W58" s="52">
        <v>4</v>
      </c>
      <c r="X58" s="52">
        <f>MAX(1,MIN(5,ROUNDUP((IF($O58="",0,$O58)*0.5)+(IF($Q58="",0,$Q58)*0.25)+((IF($T58="",0,$T58)/20)*0.25),0)))</f>
      </c>
      <c r="Y58" s="52">
        <f>MAX(1,MIN(5,ROUNDUP(((IF($R58="",1,$R58)-1)*1.6)+('Crisis Simulator'!$B$5*0.45)+IF(IF($S58="",99,$S58)&lt;=3,0.8,0),0)))</f>
      </c>
      <c r="Z58" s="52">
        <f>MAX(1,MIN(5,ROUNDUP((IF($O58="",0,$O58)*0.45)+(IF($M58="",0,$M58)*0.35)+(IF($V58="",0,$V58)*0.35),0)))</f>
      </c>
      <c r="AA58" s="52">
        <f>MAX(1,MIN(5,ROUNDUP((IF($U58="",0,$U58)*0.4)+(IF($W58="",0,$W58)*0.3)+((IF($T58="",0,$T58)/20)*0.3),0)))</f>
      </c>
      <c r="AB58" s="52">
        <v>4</v>
      </c>
      <c r="AC58" s="52">
        <f>IF($AB58=0,"",ROUND((IF($X58="",0,$X58)+IF($Y58="",0,$Y58)+IF($Z58="",0,$Z58)+IF($AA58="",0,$AA58))/$AB58,2))</f>
      </c>
      <c r="AD58" s="52">
        <f>IF($AC58="","",RANK.EQ($AC58,$AC$5:$AC$76,0)+COUNTIF($AC$5:$AC58,$AC58)-1)</f>
      </c>
      <c r="AE58" s="52">
        <f>IF($AD58="","",IF($AD58&lt;=12,"0-90 days",IF($AD58&lt;=32,"3-6 months",IF($AD58&lt;=55,"6-12 months","12+ months"))))</f>
      </c>
      <c r="AF58" s="52" t="s">
        <v>1497</v>
      </c>
      <c r="AG58" s="52" t="s">
        <v>754</v>
      </c>
      <c r="AH58" s="52" t="s">
        <v>1450</v>
      </c>
      <c r="AI58" s="52" t="s">
        <v>1008</v>
      </c>
      <c r="AJ58" s="52" t="s">
        <v>1507</v>
      </c>
      <c r="AK58" s="52" t="s">
        <v>1508</v>
      </c>
      <c r="AL58" s="52" t="s">
        <v>1509</v>
      </c>
      <c r="AM58" s="52" t="s">
        <v>1389</v>
      </c>
      <c r="AN58" s="52" t="s">
        <v>1013</v>
      </c>
      <c r="AO58" s="52" t="s">
        <v>783</v>
      </c>
      <c r="AP58" s="52" t="s">
        <v>1344</v>
      </c>
      <c r="AQ58" s="52"/>
      <c r="AR58" s="52"/>
      <c r="AS58" s="48">
        <f>IFERROR(SUMIFS(_TECH_Industry_Templates!$J:$J,_TECH_Industry_Templates!$A:$A,'Company Profile'!$B$9,_TECH_Industry_Templates!$B:$B,$B58),1)</f>
        <v>1.1499999999999999</v>
      </c>
      <c r="AT58" s="48">
        <f>IF($AC58="","",ROUND($AC58*IF($AS58="",1,$AS58),2))</f>
      </c>
      <c r="AU58" s="48">
        <f>IF($AT58="","",RANK.EQ($AT58,$AT$5:$AT$76,0)+COUNTIF($AT$5:AT58,$AT58)-1)</f>
      </c>
      <c r="AV58" s="48" t="str">
        <f>IFERROR(INDEX('Improved Scoring Model'!$E$6:$E$22,MATCH($B58,'Improved Scoring Model'!$A$6:$A$22,0)),"")</f>
        <v/>
      </c>
      <c r="AW58" s="48" t="str">
        <f t="shared" si="19"/>
        <v>Industry-neutral priority</v>
      </c>
    </row>
    <row r="59" spans="1:49" ht="42" customHeight="1">
      <c r="A59" s="52" t="s">
        <v>1510</v>
      </c>
      <c r="B59" s="52" t="s">
        <v>91</v>
      </c>
      <c r="C59" s="52" t="s">
        <v>1511</v>
      </c>
      <c r="D59" s="52" t="s">
        <v>1332</v>
      </c>
      <c r="E59" s="52" t="s">
        <v>1333</v>
      </c>
      <c r="F59" s="52" t="s">
        <v>1512</v>
      </c>
      <c r="G59" s="52" t="s">
        <v>1513</v>
      </c>
      <c r="H59" s="52" t="s">
        <v>1494</v>
      </c>
      <c r="I59" s="52" t="s">
        <v>1495</v>
      </c>
      <c r="J59" s="52" t="s">
        <v>1514</v>
      </c>
      <c r="K59" s="52">
        <v>4</v>
      </c>
      <c r="L59" s="52">
        <f>COUNTIFS('Executive Recommendations'!$C$8:$C$414,$B59,'Executive Recommendations'!$D$8:$D$414,$C59,'Executive Recommendations'!$B$8:$B$414,"Yes")</f>
        <v>0</v>
      </c>
      <c r="M59" s="52">
        <f>COUNTIFS('Risk Summary'!$C$8:$C$414,$B59,'Risk Summary'!$D$8:$D$414,$C59,'Risk Summary'!$B$8:$B$414,"Yes")</f>
        <v>0</v>
      </c>
      <c r="N59" s="52" t="str">
        <f t="shared" ca="1" si="10"/>
        <v/>
      </c>
      <c r="O59" s="52" t="str">
        <f t="shared" ca="1" si="11"/>
        <v/>
      </c>
      <c r="P59" s="52">
        <f>IFERROR(INDEX(Dashboard!$H$5:$H$21,MATCH($B59,Dashboard!$A$5:$A$21,0)),"")</f>
        <v>0</v>
      </c>
      <c r="Q59" s="52">
        <f t="shared" si="12"/>
        <v>5</v>
      </c>
      <c r="R59" s="52">
        <f>IFERROR(SUMIFS(_TECH_Crisis_Model!$D$5:$D$191,_TECH_Crisis_Model!$A$5:$A$191,'Crisis Simulator'!$B$4,_TECH_Crisis_Model!$B$5:$B$191,$B59),1)</f>
        <v>1</v>
      </c>
      <c r="S59" s="52">
        <f ca="1">IFERROR(INDEX('Strategy Selection'!$A$10:$A$23,MATCH($D59,'Strategy Selection'!$B$10:$B$23,0)),99)</f>
        <v>99</v>
      </c>
      <c r="T59" s="52">
        <f>IFERROR(INDEX('Strategy Selection'!$J$10:$J$23,MATCH($D59,'Strategy Selection'!$B$10:$B$23,0)),0)</f>
        <v>67.3</v>
      </c>
      <c r="U59" s="52">
        <v>5</v>
      </c>
      <c r="V59" s="52">
        <v>5</v>
      </c>
      <c r="W59" s="52">
        <v>4</v>
      </c>
      <c r="X59" s="52">
        <f>MAX(1,MIN(5,ROUNDUP((IF($O59="",0,$O59)*0.5)+(IF($Q59="",0,$Q59)*0.25)+((IF($T59="",0,$T59)/20)*0.25),0)))</f>
      </c>
      <c r="Y59" s="52">
        <f>MAX(1,MIN(5,ROUNDUP(((IF($R59="",1,$R59)-1)*1.6)+('Crisis Simulator'!$B$5*0.45)+IF(IF($S59="",99,$S59)&lt;=3,0.8,0),0)))</f>
      </c>
      <c r="Z59" s="52">
        <f>MAX(1,MIN(5,ROUNDUP((IF($O59="",0,$O59)*0.45)+(IF($M59="",0,$M59)*0.35)+(IF($V59="",0,$V59)*0.35),0)))</f>
      </c>
      <c r="AA59" s="52">
        <f>MAX(1,MIN(5,ROUNDUP((IF($U59="",0,$U59)*0.4)+(IF($W59="",0,$W59)*0.3)+((IF($T59="",0,$T59)/20)*0.3),0)))</f>
      </c>
      <c r="AB59" s="52">
        <v>4</v>
      </c>
      <c r="AC59" s="52">
        <f>IF($AB59=0,"",ROUND((IF($X59="",0,$X59)+IF($Y59="",0,$Y59)+IF($Z59="",0,$Z59)+IF($AA59="",0,$AA59))/$AB59,2))</f>
      </c>
      <c r="AD59" s="52">
        <f>IF($AC59="","",RANK.EQ($AC59,$AC$5:$AC$76,0)+COUNTIF($AC$5:$AC59,$AC59)-1)</f>
      </c>
      <c r="AE59" s="52">
        <f>IF($AD59="","",IF($AD59&lt;=12,"0-90 days",IF($AD59&lt;=32,"3-6 months",IF($AD59&lt;=55,"6-12 months","12+ months"))))</f>
      </c>
      <c r="AF59" s="52" t="s">
        <v>1497</v>
      </c>
      <c r="AG59" s="52" t="s">
        <v>754</v>
      </c>
      <c r="AH59" s="52" t="s">
        <v>1450</v>
      </c>
      <c r="AI59" s="52" t="s">
        <v>1008</v>
      </c>
      <c r="AJ59" s="52" t="s">
        <v>1515</v>
      </c>
      <c r="AK59" s="52" t="s">
        <v>1516</v>
      </c>
      <c r="AL59" s="52" t="s">
        <v>1517</v>
      </c>
      <c r="AM59" s="52" t="s">
        <v>1343</v>
      </c>
      <c r="AN59" s="52" t="s">
        <v>1013</v>
      </c>
      <c r="AO59" s="52" t="s">
        <v>783</v>
      </c>
      <c r="AP59" s="52" t="s">
        <v>1344</v>
      </c>
      <c r="AQ59" s="52"/>
      <c r="AR59" s="52"/>
      <c r="AS59" s="48">
        <f>IFERROR(SUMIFS(_TECH_Industry_Templates!$J:$J,_TECH_Industry_Templates!$A:$A,'Company Profile'!$B$9,_TECH_Industry_Templates!$B:$B,$B59),1)</f>
        <v>1.1499999999999999</v>
      </c>
      <c r="AT59" s="48">
        <f>IF($AC59="","",ROUND($AC59*IF($AS59="",1,$AS59),2))</f>
      </c>
      <c r="AU59" s="48">
        <f>IF($AT59="","",RANK.EQ($AT59,$AT$5:$AT$76,0)+COUNTIF($AT$5:AT59,$AT59)-1)</f>
      </c>
      <c r="AV59" s="48" t="str">
        <f>IFERROR(INDEX('Improved Scoring Model'!$E$6:$E$22,MATCH($B59,'Improved Scoring Model'!$A$6:$A$22,0)),"")</f>
        <v/>
      </c>
      <c r="AW59" s="48" t="str">
        <f t="shared" si="19"/>
        <v>Industry-neutral priority</v>
      </c>
    </row>
    <row r="60" spans="1:49" ht="42" customHeight="1">
      <c r="A60" s="52" t="s">
        <v>1518</v>
      </c>
      <c r="B60" s="52" t="s">
        <v>91</v>
      </c>
      <c r="C60" s="52" t="s">
        <v>1519</v>
      </c>
      <c r="D60" s="52" t="s">
        <v>1490</v>
      </c>
      <c r="E60" s="52" t="s">
        <v>1491</v>
      </c>
      <c r="F60" s="52" t="s">
        <v>1520</v>
      </c>
      <c r="G60" s="52" t="s">
        <v>1521</v>
      </c>
      <c r="H60" s="52" t="s">
        <v>1494</v>
      </c>
      <c r="I60" s="52" t="s">
        <v>1495</v>
      </c>
      <c r="J60" s="52" t="s">
        <v>1522</v>
      </c>
      <c r="K60" s="52">
        <v>4</v>
      </c>
      <c r="L60" s="52">
        <f>COUNTIFS('Executive Recommendations'!$C$8:$C$414,$B60,'Executive Recommendations'!$D$8:$D$414,$C60,'Executive Recommendations'!$B$8:$B$414,"Yes")</f>
        <v>0</v>
      </c>
      <c r="M60" s="52">
        <f>COUNTIFS('Risk Summary'!$C$8:$C$414,$B60,'Risk Summary'!$D$8:$D$414,$C60,'Risk Summary'!$B$8:$B$414,"Yes")</f>
        <v>0</v>
      </c>
      <c r="N60" s="52" t="str">
        <f t="shared" ca="1" si="10"/>
        <v/>
      </c>
      <c r="O60" s="52" t="str">
        <f t="shared" ca="1" si="11"/>
        <v/>
      </c>
      <c r="P60" s="52">
        <f>IFERROR(INDEX(Dashboard!$H$5:$H$21,MATCH($B60,Dashboard!$A$5:$A$21,0)),"")</f>
        <v>0</v>
      </c>
      <c r="Q60" s="52">
        <f t="shared" si="12"/>
        <v>5</v>
      </c>
      <c r="R60" s="52">
        <f>IFERROR(SUMIFS(_TECH_Crisis_Model!$D$5:$D$191,_TECH_Crisis_Model!$A$5:$A$191,'Crisis Simulator'!$B$4,_TECH_Crisis_Model!$B$5:$B$191,$B60),1)</f>
        <v>1</v>
      </c>
      <c r="S60" s="52">
        <f ca="1">IFERROR(INDEX('Strategy Selection'!$A$10:$A$23,MATCH($D60,'Strategy Selection'!$B$10:$B$23,0)),99)</f>
        <v>99</v>
      </c>
      <c r="T60" s="52">
        <f>IFERROR(INDEX('Strategy Selection'!$J$10:$J$23,MATCH($D60,'Strategy Selection'!$B$10:$B$23,0)),0)</f>
        <v>61.5</v>
      </c>
      <c r="U60" s="52">
        <v>5</v>
      </c>
      <c r="V60" s="52">
        <v>3</v>
      </c>
      <c r="W60" s="52">
        <v>4</v>
      </c>
      <c r="X60" s="52">
        <f>MAX(1,MIN(5,ROUNDUP((IF($O60="",0,$O60)*0.5)+(IF($Q60="",0,$Q60)*0.25)+((IF($T60="",0,$T60)/20)*0.25),0)))</f>
      </c>
      <c r="Y60" s="52">
        <f>MAX(1,MIN(5,ROUNDUP(((IF($R60="",1,$R60)-1)*1.6)+('Crisis Simulator'!$B$5*0.45)+IF(IF($S60="",99,$S60)&lt;=3,0.8,0),0)))</f>
      </c>
      <c r="Z60" s="52">
        <f>MAX(1,MIN(5,ROUNDUP((IF($O60="",0,$O60)*0.45)+(IF($M60="",0,$M60)*0.35)+(IF($V60="",0,$V60)*0.35),0)))</f>
      </c>
      <c r="AA60" s="52">
        <f>MAX(1,MIN(5,ROUNDUP((IF($U60="",0,$U60)*0.4)+(IF($W60="",0,$W60)*0.3)+((IF($T60="",0,$T60)/20)*0.3),0)))</f>
      </c>
      <c r="AB60" s="52">
        <v>4</v>
      </c>
      <c r="AC60" s="52">
        <f>IF($AB60=0,"",ROUND((IF($X60="",0,$X60)+IF($Y60="",0,$Y60)+IF($Z60="",0,$Z60)+IF($AA60="",0,$AA60))/$AB60,2))</f>
      </c>
      <c r="AD60" s="52">
        <f>IF($AC60="","",RANK.EQ($AC60,$AC$5:$AC$76,0)+COUNTIF($AC$5:$AC60,$AC60)-1)</f>
      </c>
      <c r="AE60" s="52">
        <f>IF($AD60="","",IF($AD60&lt;=12,"0-90 days",IF($AD60&lt;=32,"3-6 months",IF($AD60&lt;=55,"6-12 months","12+ months"))))</f>
      </c>
      <c r="AF60" s="52" t="s">
        <v>1497</v>
      </c>
      <c r="AG60" s="52" t="s">
        <v>754</v>
      </c>
      <c r="AH60" s="52" t="s">
        <v>1450</v>
      </c>
      <c r="AI60" s="52" t="s">
        <v>1008</v>
      </c>
      <c r="AJ60" s="52" t="s">
        <v>1523</v>
      </c>
      <c r="AK60" s="52" t="s">
        <v>1524</v>
      </c>
      <c r="AL60" s="52" t="s">
        <v>1525</v>
      </c>
      <c r="AM60" s="52" t="s">
        <v>1501</v>
      </c>
      <c r="AN60" s="52" t="s">
        <v>1013</v>
      </c>
      <c r="AO60" s="52" t="s">
        <v>783</v>
      </c>
      <c r="AP60" s="52" t="s">
        <v>1344</v>
      </c>
      <c r="AQ60" s="52"/>
      <c r="AR60" s="52"/>
      <c r="AS60" s="48">
        <f>IFERROR(SUMIFS(_TECH_Industry_Templates!$J:$J,_TECH_Industry_Templates!$A:$A,'Company Profile'!$B$9,_TECH_Industry_Templates!$B:$B,$B60),1)</f>
        <v>1.1499999999999999</v>
      </c>
      <c r="AT60" s="48">
        <f>IF($AC60="","",ROUND($AC60*IF($AS60="",1,$AS60),2))</f>
      </c>
      <c r="AU60" s="48">
        <f>IF($AT60="","",RANK.EQ($AT60,$AT$5:$AT$76,0)+COUNTIF($AT$5:AT60,$AT60)-1)</f>
      </c>
      <c r="AV60" s="48" t="str">
        <f>IFERROR(INDEX('Improved Scoring Model'!$E$6:$E$22,MATCH($B60,'Improved Scoring Model'!$A$6:$A$22,0)),"")</f>
        <v/>
      </c>
      <c r="AW60" s="48" t="str">
        <f t="shared" si="19"/>
        <v>Industry-neutral priority</v>
      </c>
    </row>
    <row r="61" spans="1:49" ht="42" customHeight="1">
      <c r="A61" s="52" t="s">
        <v>1526</v>
      </c>
      <c r="B61" s="52" t="s">
        <v>91</v>
      </c>
      <c r="C61" s="52" t="s">
        <v>1527</v>
      </c>
      <c r="D61" s="52" t="s">
        <v>1490</v>
      </c>
      <c r="E61" s="52" t="s">
        <v>1491</v>
      </c>
      <c r="F61" s="52" t="s">
        <v>1528</v>
      </c>
      <c r="G61" s="52" t="s">
        <v>1529</v>
      </c>
      <c r="H61" s="52" t="s">
        <v>1494</v>
      </c>
      <c r="I61" s="52" t="s">
        <v>1495</v>
      </c>
      <c r="J61" s="52" t="s">
        <v>1530</v>
      </c>
      <c r="K61" s="52">
        <v>6</v>
      </c>
      <c r="L61" s="52">
        <f>COUNTIFS('Executive Recommendations'!$C$8:$C$414,$B61,'Executive Recommendations'!$D$8:$D$414,$C61,'Executive Recommendations'!$B$8:$B$414,"Yes")</f>
        <v>0</v>
      </c>
      <c r="M61" s="52">
        <f>COUNTIFS('Risk Summary'!$C$8:$C$414,$B61,'Risk Summary'!$D$8:$D$414,$C61,'Risk Summary'!$B$8:$B$414,"Yes")</f>
        <v>0</v>
      </c>
      <c r="N61" s="52" t="str">
        <f t="shared" ca="1" si="10"/>
        <v/>
      </c>
      <c r="O61" s="52" t="str">
        <f t="shared" ca="1" si="11"/>
        <v/>
      </c>
      <c r="P61" s="52">
        <f>IFERROR(INDEX(Dashboard!$H$5:$H$21,MATCH($B61,Dashboard!$A$5:$A$21,0)),"")</f>
        <v>0</v>
      </c>
      <c r="Q61" s="52">
        <f t="shared" si="12"/>
        <v>5</v>
      </c>
      <c r="R61" s="52">
        <f>IFERROR(SUMIFS(_TECH_Crisis_Model!$D$5:$D$191,_TECH_Crisis_Model!$A$5:$A$191,'Crisis Simulator'!$B$4,_TECH_Crisis_Model!$B$5:$B$191,$B61),1)</f>
        <v>1</v>
      </c>
      <c r="S61" s="52">
        <f ca="1">IFERROR(INDEX('Strategy Selection'!$A$10:$A$23,MATCH($D61,'Strategy Selection'!$B$10:$B$23,0)),99)</f>
        <v>99</v>
      </c>
      <c r="T61" s="52">
        <f>IFERROR(INDEX('Strategy Selection'!$J$10:$J$23,MATCH($D61,'Strategy Selection'!$B$10:$B$23,0)),0)</f>
        <v>61.5</v>
      </c>
      <c r="U61" s="52">
        <v>5</v>
      </c>
      <c r="V61" s="52">
        <v>3</v>
      </c>
      <c r="W61" s="52">
        <v>4</v>
      </c>
      <c r="X61" s="52">
        <f>MAX(1,MIN(5,ROUNDUP((IF($O61="",0,$O61)*0.5)+(IF($Q61="",0,$Q61)*0.25)+((IF($T61="",0,$T61)/20)*0.25),0)))</f>
      </c>
      <c r="Y61" s="52">
        <f>MAX(1,MIN(5,ROUNDUP(((IF($R61="",1,$R61)-1)*1.6)+('Crisis Simulator'!$B$5*0.45)+IF(IF($S61="",99,$S61)&lt;=3,0.8,0),0)))</f>
      </c>
      <c r="Z61" s="52">
        <f>MAX(1,MIN(5,ROUNDUP((IF($O61="",0,$O61)*0.45)+(IF($M61="",0,$M61)*0.35)+(IF($V61="",0,$V61)*0.35),0)))</f>
      </c>
      <c r="AA61" s="52">
        <f>MAX(1,MIN(5,ROUNDUP((IF($U61="",0,$U61)*0.4)+(IF($W61="",0,$W61)*0.3)+((IF($T61="",0,$T61)/20)*0.3),0)))</f>
      </c>
      <c r="AB61" s="52">
        <v>4</v>
      </c>
      <c r="AC61" s="52">
        <f>IF($AB61=0,"",ROUND((IF($X61="",0,$X61)+IF($Y61="",0,$Y61)+IF($Z61="",0,$Z61)+IF($AA61="",0,$AA61))/$AB61,2))</f>
      </c>
      <c r="AD61" s="52">
        <f>IF($AC61="","",RANK.EQ($AC61,$AC$5:$AC$76,0)+COUNTIF($AC$5:$AC61,$AC61)-1)</f>
      </c>
      <c r="AE61" s="52">
        <f>IF($AD61="","",IF($AD61&lt;=12,"0-90 days",IF($AD61&lt;=32,"3-6 months",IF($AD61&lt;=55,"6-12 months","12+ months"))))</f>
      </c>
      <c r="AF61" s="52" t="s">
        <v>1497</v>
      </c>
      <c r="AG61" s="52" t="s">
        <v>754</v>
      </c>
      <c r="AH61" s="52" t="s">
        <v>1450</v>
      </c>
      <c r="AI61" s="52" t="s">
        <v>1008</v>
      </c>
      <c r="AJ61" s="52" t="s">
        <v>1531</v>
      </c>
      <c r="AK61" s="52" t="s">
        <v>1532</v>
      </c>
      <c r="AL61" s="52" t="s">
        <v>1533</v>
      </c>
      <c r="AM61" s="52" t="s">
        <v>1501</v>
      </c>
      <c r="AN61" s="52" t="s">
        <v>1013</v>
      </c>
      <c r="AO61" s="52" t="s">
        <v>783</v>
      </c>
      <c r="AP61" s="52" t="s">
        <v>1344</v>
      </c>
      <c r="AQ61" s="52"/>
      <c r="AR61" s="52"/>
      <c r="AS61" s="48">
        <f>IFERROR(SUMIFS(_TECH_Industry_Templates!$J:$J,_TECH_Industry_Templates!$A:$A,'Company Profile'!$B$9,_TECH_Industry_Templates!$B:$B,$B61),1)</f>
        <v>1.1499999999999999</v>
      </c>
      <c r="AT61" s="48">
        <f>IF($AC61="","",ROUND($AC61*IF($AS61="",1,$AS61),2))</f>
      </c>
      <c r="AU61" s="48">
        <f>IF($AT61="","",RANK.EQ($AT61,$AT$5:$AT$76,0)+COUNTIF($AT$5:AT61,$AT61)-1)</f>
      </c>
      <c r="AV61" s="48" t="str">
        <f>IFERROR(INDEX('Improved Scoring Model'!$E$6:$E$22,MATCH($B61,'Improved Scoring Model'!$A$6:$A$22,0)),"")</f>
        <v/>
      </c>
      <c r="AW61" s="48" t="str">
        <f t="shared" si="19"/>
        <v>Industry-neutral priority</v>
      </c>
    </row>
    <row r="62" spans="1:49" ht="42" customHeight="1">
      <c r="A62" s="52" t="s">
        <v>1534</v>
      </c>
      <c r="B62" s="52" t="s">
        <v>92</v>
      </c>
      <c r="C62" s="52" t="s">
        <v>1535</v>
      </c>
      <c r="D62" s="52" t="s">
        <v>1536</v>
      </c>
      <c r="E62" s="52" t="s">
        <v>1537</v>
      </c>
      <c r="F62" s="52" t="s">
        <v>1538</v>
      </c>
      <c r="G62" s="52" t="s">
        <v>1539</v>
      </c>
      <c r="H62" s="52" t="s">
        <v>1540</v>
      </c>
      <c r="I62" s="52" t="s">
        <v>1541</v>
      </c>
      <c r="J62" s="52" t="s">
        <v>1542</v>
      </c>
      <c r="K62" s="52">
        <v>6</v>
      </c>
      <c r="L62" s="52">
        <f>COUNTIFS('Executive Recommendations'!$C$8:$C$414,$B62,'Executive Recommendations'!$D$8:$D$414,$C62,'Executive Recommendations'!$B$8:$B$414,"Yes")</f>
        <v>0</v>
      </c>
      <c r="M62" s="52">
        <f>COUNTIFS('Risk Summary'!$C$8:$C$414,$B62,'Risk Summary'!$D$8:$D$414,$C62,'Risk Summary'!$B$8:$B$414,"Yes")</f>
        <v>0</v>
      </c>
      <c r="N62" s="52" t="str">
        <f t="shared" ca="1" si="10"/>
        <v/>
      </c>
      <c r="O62" s="52" t="str">
        <f t="shared" ca="1" si="11"/>
        <v/>
      </c>
      <c r="P62" s="52">
        <f>IFERROR(INDEX(Dashboard!$H$5:$H$21,MATCH($B62,Dashboard!$A$5:$A$21,0)),"")</f>
        <v>0</v>
      </c>
      <c r="Q62" s="52">
        <f t="shared" si="12"/>
        <v>5</v>
      </c>
      <c r="R62" s="52">
        <f>IFERROR(SUMIFS(_TECH_Crisis_Model!$D$5:$D$191,_TECH_Crisis_Model!$A$5:$A$191,'Crisis Simulator'!$B$4,_TECH_Crisis_Model!$B$5:$B$191,$B62),1)</f>
        <v>1</v>
      </c>
      <c r="S62" s="52">
        <f ca="1">IFERROR(INDEX('Strategy Selection'!$A$10:$A$23,MATCH($D62,'Strategy Selection'!$B$10:$B$23,0)),99)</f>
        <v>99</v>
      </c>
      <c r="T62" s="52">
        <f>IFERROR(INDEX('Strategy Selection'!$J$10:$J$23,MATCH($D62,'Strategy Selection'!$B$10:$B$23,0)),0)</f>
        <v>59.5</v>
      </c>
      <c r="U62" s="52">
        <v>5</v>
      </c>
      <c r="V62" s="52">
        <v>3</v>
      </c>
      <c r="W62" s="52">
        <v>4</v>
      </c>
      <c r="X62" s="52">
        <f>MAX(1,MIN(5,ROUNDUP((IF($O62="",0,$O62)*0.5)+(IF($Q62="",0,$Q62)*0.25)+((IF($T62="",0,$T62)/20)*0.25),0)))</f>
      </c>
      <c r="Y62" s="52">
        <f>MAX(1,MIN(5,ROUNDUP(((IF($R62="",1,$R62)-1)*1.6)+('Crisis Simulator'!$B$5*0.45)+IF(IF($S62="",99,$S62)&lt;=3,0.8,0),0)))</f>
      </c>
      <c r="Z62" s="52">
        <f>MAX(1,MIN(5,ROUNDUP((IF($O62="",0,$O62)*0.45)+(IF($M62="",0,$M62)*0.35)+(IF($V62="",0,$V62)*0.35),0)))</f>
      </c>
      <c r="AA62" s="52">
        <f>MAX(1,MIN(5,ROUNDUP((IF($U62="",0,$U62)*0.4)+(IF($W62="",0,$W62)*0.3)+((IF($T62="",0,$T62)/20)*0.3),0)))</f>
      </c>
      <c r="AB62" s="52">
        <v>4</v>
      </c>
      <c r="AC62" s="52">
        <f>IF($AB62=0,"",ROUND((IF($X62="",0,$X62)+IF($Y62="",0,$Y62)+IF($Z62="",0,$Z62)+IF($AA62="",0,$AA62))/$AB62,2))</f>
      </c>
      <c r="AD62" s="52">
        <f>IF($AC62="","",RANK.EQ($AC62,$AC$5:$AC$76,0)+COUNTIF($AC$5:$AC62,$AC62)-1)</f>
      </c>
      <c r="AE62" s="52">
        <f>IF($AD62="","",IF($AD62&lt;=12,"0-90 days",IF($AD62&lt;=32,"3-6 months",IF($AD62&lt;=55,"6-12 months","12+ months"))))</f>
      </c>
      <c r="AF62" s="52" t="s">
        <v>1543</v>
      </c>
      <c r="AG62" s="52" t="s">
        <v>754</v>
      </c>
      <c r="AH62" s="52" t="s">
        <v>1450</v>
      </c>
      <c r="AI62" s="52" t="s">
        <v>1008</v>
      </c>
      <c r="AJ62" s="52" t="s">
        <v>1544</v>
      </c>
      <c r="AK62" s="52" t="s">
        <v>1545</v>
      </c>
      <c r="AL62" s="52" t="s">
        <v>1546</v>
      </c>
      <c r="AM62" s="52" t="s">
        <v>1547</v>
      </c>
      <c r="AN62" s="52" t="s">
        <v>1013</v>
      </c>
      <c r="AO62" s="52" t="s">
        <v>783</v>
      </c>
      <c r="AP62" s="52" t="s">
        <v>1344</v>
      </c>
      <c r="AQ62" s="52"/>
      <c r="AR62" s="52"/>
      <c r="AS62" s="48">
        <f>IFERROR(SUMIFS(_TECH_Industry_Templates!$J:$J,_TECH_Industry_Templates!$A:$A,'Company Profile'!$B$9,_TECH_Industry_Templates!$B:$B,$B62),1)</f>
        <v>1</v>
      </c>
      <c r="AT62" s="48">
        <f>IF($AC62="","",ROUND($AC62*IF($AS62="",1,$AS62),2))</f>
      </c>
      <c r="AU62" s="48">
        <f>IF($AT62="","",RANK.EQ($AT62,$AT$5:$AT$76,0)+COUNTIF($AT$5:AT62,$AT62)-1)</f>
      </c>
      <c r="AV62" s="48" t="str">
        <f>IFERROR(INDEX('Improved Scoring Model'!$E$6:$E$22,MATCH($B62,'Improved Scoring Model'!$A$6:$A$22,0)),"")</f>
        <v/>
      </c>
      <c r="AW62" s="48" t="str">
        <f t="shared" si="19"/>
        <v>Industry-neutral priority</v>
      </c>
    </row>
    <row r="63" spans="1:49" ht="42" customHeight="1">
      <c r="A63" s="52" t="s">
        <v>1548</v>
      </c>
      <c r="B63" s="52" t="s">
        <v>92</v>
      </c>
      <c r="C63" s="52" t="s">
        <v>1549</v>
      </c>
      <c r="D63" s="52" t="s">
        <v>1536</v>
      </c>
      <c r="E63" s="52" t="s">
        <v>1537</v>
      </c>
      <c r="F63" s="52" t="s">
        <v>1550</v>
      </c>
      <c r="G63" s="52" t="s">
        <v>1551</v>
      </c>
      <c r="H63" s="52" t="s">
        <v>1540</v>
      </c>
      <c r="I63" s="52" t="s">
        <v>1541</v>
      </c>
      <c r="J63" s="52" t="s">
        <v>1552</v>
      </c>
      <c r="K63" s="52">
        <v>6</v>
      </c>
      <c r="L63" s="52">
        <f>COUNTIFS('Executive Recommendations'!$C$8:$C$414,$B63,'Executive Recommendations'!$D$8:$D$414,$C63,'Executive Recommendations'!$B$8:$B$414,"Yes")</f>
        <v>0</v>
      </c>
      <c r="M63" s="52">
        <f>COUNTIFS('Risk Summary'!$C$8:$C$414,$B63,'Risk Summary'!$D$8:$D$414,$C63,'Risk Summary'!$B$8:$B$414,"Yes")</f>
        <v>0</v>
      </c>
      <c r="N63" s="52" t="str">
        <f t="shared" ca="1" si="10"/>
        <v/>
      </c>
      <c r="O63" s="52" t="str">
        <f t="shared" ca="1" si="11"/>
        <v/>
      </c>
      <c r="P63" s="52">
        <f>IFERROR(INDEX(Dashboard!$H$5:$H$21,MATCH($B63,Dashboard!$A$5:$A$21,0)),"")</f>
        <v>0</v>
      </c>
      <c r="Q63" s="52">
        <f t="shared" si="12"/>
        <v>5</v>
      </c>
      <c r="R63" s="52">
        <f>IFERROR(SUMIFS(_TECH_Crisis_Model!$D$5:$D$191,_TECH_Crisis_Model!$A$5:$A$191,'Crisis Simulator'!$B$4,_TECH_Crisis_Model!$B$5:$B$191,$B63),1)</f>
        <v>1</v>
      </c>
      <c r="S63" s="52">
        <f ca="1">IFERROR(INDEX('Strategy Selection'!$A$10:$A$23,MATCH($D63,'Strategy Selection'!$B$10:$B$23,0)),99)</f>
        <v>99</v>
      </c>
      <c r="T63" s="52">
        <f>IFERROR(INDEX('Strategy Selection'!$J$10:$J$23,MATCH($D63,'Strategy Selection'!$B$10:$B$23,0)),0)</f>
        <v>59.5</v>
      </c>
      <c r="U63" s="52">
        <v>5</v>
      </c>
      <c r="V63" s="52">
        <v>3</v>
      </c>
      <c r="W63" s="52">
        <v>4</v>
      </c>
      <c r="X63" s="52">
        <f>MAX(1,MIN(5,ROUNDUP((IF($O63="",0,$O63)*0.5)+(IF($Q63="",0,$Q63)*0.25)+((IF($T63="",0,$T63)/20)*0.25),0)))</f>
      </c>
      <c r="Y63" s="52">
        <f>MAX(1,MIN(5,ROUNDUP(((IF($R63="",1,$R63)-1)*1.6)+('Crisis Simulator'!$B$5*0.45)+IF(IF($S63="",99,$S63)&lt;=3,0.8,0),0)))</f>
      </c>
      <c r="Z63" s="52">
        <f>MAX(1,MIN(5,ROUNDUP((IF($O63="",0,$O63)*0.45)+(IF($M63="",0,$M63)*0.35)+(IF($V63="",0,$V63)*0.35),0)))</f>
      </c>
      <c r="AA63" s="52">
        <f>MAX(1,MIN(5,ROUNDUP((IF($U63="",0,$U63)*0.4)+(IF($W63="",0,$W63)*0.3)+((IF($T63="",0,$T63)/20)*0.3),0)))</f>
      </c>
      <c r="AB63" s="52">
        <v>4</v>
      </c>
      <c r="AC63" s="52">
        <f>IF($AB63=0,"",ROUND((IF($X63="",0,$X63)+IF($Y63="",0,$Y63)+IF($Z63="",0,$Z63)+IF($AA63="",0,$AA63))/$AB63,2))</f>
      </c>
      <c r="AD63" s="52">
        <f>IF($AC63="","",RANK.EQ($AC63,$AC$5:$AC$76,0)+COUNTIF($AC$5:$AC63,$AC63)-1)</f>
      </c>
      <c r="AE63" s="52">
        <f>IF($AD63="","",IF($AD63&lt;=12,"0-90 days",IF($AD63&lt;=32,"3-6 months",IF($AD63&lt;=55,"6-12 months","12+ months"))))</f>
      </c>
      <c r="AF63" s="52" t="s">
        <v>1543</v>
      </c>
      <c r="AG63" s="52" t="s">
        <v>754</v>
      </c>
      <c r="AH63" s="52" t="s">
        <v>1450</v>
      </c>
      <c r="AI63" s="52" t="s">
        <v>1008</v>
      </c>
      <c r="AJ63" s="52" t="s">
        <v>1553</v>
      </c>
      <c r="AK63" s="52" t="s">
        <v>1554</v>
      </c>
      <c r="AL63" s="52" t="s">
        <v>1555</v>
      </c>
      <c r="AM63" s="52" t="s">
        <v>1547</v>
      </c>
      <c r="AN63" s="52" t="s">
        <v>1013</v>
      </c>
      <c r="AO63" s="52" t="s">
        <v>783</v>
      </c>
      <c r="AP63" s="52" t="s">
        <v>1344</v>
      </c>
      <c r="AQ63" s="52"/>
      <c r="AR63" s="52"/>
      <c r="AS63" s="48">
        <f>IFERROR(SUMIFS(_TECH_Industry_Templates!$J:$J,_TECH_Industry_Templates!$A:$A,'Company Profile'!$B$9,_TECH_Industry_Templates!$B:$B,$B63),1)</f>
        <v>1</v>
      </c>
      <c r="AT63" s="48">
        <f>IF($AC63="","",ROUND($AC63*IF($AS63="",1,$AS63),2))</f>
      </c>
      <c r="AU63" s="48">
        <f>IF($AT63="","",RANK.EQ($AT63,$AT$5:$AT$76,0)+COUNTIF($AT$5:AT63,$AT63)-1)</f>
      </c>
      <c r="AV63" s="48" t="str">
        <f>IFERROR(INDEX('Improved Scoring Model'!$E$6:$E$22,MATCH($B63,'Improved Scoring Model'!$A$6:$A$22,0)),"")</f>
        <v/>
      </c>
      <c r="AW63" s="48" t="str">
        <f t="shared" si="19"/>
        <v>Industry-neutral priority</v>
      </c>
    </row>
    <row r="64" spans="1:49" ht="42" customHeight="1">
      <c r="A64" s="52" t="s">
        <v>1556</v>
      </c>
      <c r="B64" s="52" t="s">
        <v>92</v>
      </c>
      <c r="C64" s="52" t="s">
        <v>1557</v>
      </c>
      <c r="D64" s="52" t="s">
        <v>1536</v>
      </c>
      <c r="E64" s="52" t="s">
        <v>1537</v>
      </c>
      <c r="F64" s="52" t="s">
        <v>1558</v>
      </c>
      <c r="G64" s="52" t="s">
        <v>1559</v>
      </c>
      <c r="H64" s="52" t="s">
        <v>1540</v>
      </c>
      <c r="I64" s="52" t="s">
        <v>1541</v>
      </c>
      <c r="J64" s="52" t="s">
        <v>1560</v>
      </c>
      <c r="K64" s="52">
        <v>6</v>
      </c>
      <c r="L64" s="52">
        <f>COUNTIFS('Executive Recommendations'!$C$8:$C$414,$B64,'Executive Recommendations'!$D$8:$D$414,$C64,'Executive Recommendations'!$B$8:$B$414,"Yes")</f>
        <v>0</v>
      </c>
      <c r="M64" s="52">
        <f>COUNTIFS('Risk Summary'!$C$8:$C$414,$B64,'Risk Summary'!$D$8:$D$414,$C64,'Risk Summary'!$B$8:$B$414,"Yes")</f>
        <v>0</v>
      </c>
      <c r="N64" s="52" t="str">
        <f t="shared" ca="1" si="10"/>
        <v/>
      </c>
      <c r="O64" s="52" t="str">
        <f t="shared" ca="1" si="11"/>
        <v/>
      </c>
      <c r="P64" s="52">
        <f>IFERROR(INDEX(Dashboard!$H$5:$H$21,MATCH($B64,Dashboard!$A$5:$A$21,0)),"")</f>
        <v>0</v>
      </c>
      <c r="Q64" s="52">
        <f t="shared" si="12"/>
        <v>5</v>
      </c>
      <c r="R64" s="52">
        <f>IFERROR(SUMIFS(_TECH_Crisis_Model!$D$5:$D$191,_TECH_Crisis_Model!$A$5:$A$191,'Crisis Simulator'!$B$4,_TECH_Crisis_Model!$B$5:$B$191,$B64),1)</f>
        <v>1</v>
      </c>
      <c r="S64" s="52">
        <f ca="1">IFERROR(INDEX('Strategy Selection'!$A$10:$A$23,MATCH($D64,'Strategy Selection'!$B$10:$B$23,0)),99)</f>
        <v>99</v>
      </c>
      <c r="T64" s="52">
        <f>IFERROR(INDEX('Strategy Selection'!$J$10:$J$23,MATCH($D64,'Strategy Selection'!$B$10:$B$23,0)),0)</f>
        <v>59.5</v>
      </c>
      <c r="U64" s="52">
        <v>5</v>
      </c>
      <c r="V64" s="52">
        <v>3</v>
      </c>
      <c r="W64" s="52">
        <v>4</v>
      </c>
      <c r="X64" s="52">
        <f>MAX(1,MIN(5,ROUNDUP((IF($O64="",0,$O64)*0.5)+(IF($Q64="",0,$Q64)*0.25)+((IF($T64="",0,$T64)/20)*0.25),0)))</f>
      </c>
      <c r="Y64" s="52">
        <f>MAX(1,MIN(5,ROUNDUP(((IF($R64="",1,$R64)-1)*1.6)+('Crisis Simulator'!$B$5*0.45)+IF(IF($S64="",99,$S64)&lt;=3,0.8,0),0)))</f>
      </c>
      <c r="Z64" s="52">
        <f>MAX(1,MIN(5,ROUNDUP((IF($O64="",0,$O64)*0.45)+(IF($M64="",0,$M64)*0.35)+(IF($V64="",0,$V64)*0.35),0)))</f>
      </c>
      <c r="AA64" s="52">
        <f>MAX(1,MIN(5,ROUNDUP((IF($U64="",0,$U64)*0.4)+(IF($W64="",0,$W64)*0.3)+((IF($T64="",0,$T64)/20)*0.3),0)))</f>
      </c>
      <c r="AB64" s="52">
        <v>4</v>
      </c>
      <c r="AC64" s="52">
        <f>IF($AB64=0,"",ROUND((IF($X64="",0,$X64)+IF($Y64="",0,$Y64)+IF($Z64="",0,$Z64)+IF($AA64="",0,$AA64))/$AB64,2))</f>
      </c>
      <c r="AD64" s="52">
        <f>IF($AC64="","",RANK.EQ($AC64,$AC$5:$AC$76,0)+COUNTIF($AC$5:$AC64,$AC64)-1)</f>
      </c>
      <c r="AE64" s="52">
        <f>IF($AD64="","",IF($AD64&lt;=12,"0-90 days",IF($AD64&lt;=32,"3-6 months",IF($AD64&lt;=55,"6-12 months","12+ months"))))</f>
      </c>
      <c r="AF64" s="52" t="s">
        <v>1543</v>
      </c>
      <c r="AG64" s="52" t="s">
        <v>754</v>
      </c>
      <c r="AH64" s="52" t="s">
        <v>1450</v>
      </c>
      <c r="AI64" s="52" t="s">
        <v>1008</v>
      </c>
      <c r="AJ64" s="52" t="s">
        <v>1561</v>
      </c>
      <c r="AK64" s="52" t="s">
        <v>1562</v>
      </c>
      <c r="AL64" s="52" t="s">
        <v>1563</v>
      </c>
      <c r="AM64" s="52" t="s">
        <v>1547</v>
      </c>
      <c r="AN64" s="52" t="s">
        <v>1013</v>
      </c>
      <c r="AO64" s="52" t="s">
        <v>783</v>
      </c>
      <c r="AP64" s="52" t="s">
        <v>1344</v>
      </c>
      <c r="AQ64" s="52"/>
      <c r="AR64" s="52"/>
      <c r="AS64" s="48">
        <f>IFERROR(SUMIFS(_TECH_Industry_Templates!$J:$J,_TECH_Industry_Templates!$A:$A,'Company Profile'!$B$9,_TECH_Industry_Templates!$B:$B,$B64),1)</f>
        <v>1</v>
      </c>
      <c r="AT64" s="48">
        <f>IF($AC64="","",ROUND($AC64*IF($AS64="",1,$AS64),2))</f>
      </c>
      <c r="AU64" s="48">
        <f>IF($AT64="","",RANK.EQ($AT64,$AT$5:$AT$76,0)+COUNTIF($AT$5:AT64,$AT64)-1)</f>
      </c>
      <c r="AV64" s="48" t="str">
        <f>IFERROR(INDEX('Improved Scoring Model'!$E$6:$E$22,MATCH($B64,'Improved Scoring Model'!$A$6:$A$22,0)),"")</f>
        <v/>
      </c>
      <c r="AW64" s="48" t="str">
        <f t="shared" si="19"/>
        <v>Industry-neutral priority</v>
      </c>
    </row>
    <row r="65" spans="1:49" ht="42" customHeight="1">
      <c r="A65" s="52" t="s">
        <v>1564</v>
      </c>
      <c r="B65" s="52" t="s">
        <v>92</v>
      </c>
      <c r="C65" s="52" t="s">
        <v>1565</v>
      </c>
      <c r="D65" s="52" t="s">
        <v>1536</v>
      </c>
      <c r="E65" s="52" t="s">
        <v>1537</v>
      </c>
      <c r="F65" s="52" t="s">
        <v>1566</v>
      </c>
      <c r="G65" s="52" t="s">
        <v>1567</v>
      </c>
      <c r="H65" s="52" t="s">
        <v>1540</v>
      </c>
      <c r="I65" s="52" t="s">
        <v>1541</v>
      </c>
      <c r="J65" s="52" t="s">
        <v>1568</v>
      </c>
      <c r="K65" s="52">
        <v>4</v>
      </c>
      <c r="L65" s="52">
        <f>COUNTIFS('Executive Recommendations'!$C$8:$C$414,$B65,'Executive Recommendations'!$D$8:$D$414,$C65,'Executive Recommendations'!$B$8:$B$414,"Yes")</f>
        <v>0</v>
      </c>
      <c r="M65" s="52">
        <f>COUNTIFS('Risk Summary'!$C$8:$C$414,$B65,'Risk Summary'!$D$8:$D$414,$C65,'Risk Summary'!$B$8:$B$414,"Yes")</f>
        <v>0</v>
      </c>
      <c r="N65" s="52" t="str">
        <f t="shared" ca="1" si="10"/>
        <v/>
      </c>
      <c r="O65" s="52" t="str">
        <f t="shared" ca="1" si="11"/>
        <v/>
      </c>
      <c r="P65" s="52">
        <f>IFERROR(INDEX(Dashboard!$H$5:$H$21,MATCH($B65,Dashboard!$A$5:$A$21,0)),"")</f>
        <v>0</v>
      </c>
      <c r="Q65" s="52">
        <f t="shared" si="12"/>
        <v>5</v>
      </c>
      <c r="R65" s="52">
        <f>IFERROR(SUMIFS(_TECH_Crisis_Model!$D$5:$D$191,_TECH_Crisis_Model!$A$5:$A$191,'Crisis Simulator'!$B$4,_TECH_Crisis_Model!$B$5:$B$191,$B65),1)</f>
        <v>1</v>
      </c>
      <c r="S65" s="52">
        <f ca="1">IFERROR(INDEX('Strategy Selection'!$A$10:$A$23,MATCH($D65,'Strategy Selection'!$B$10:$B$23,0)),99)</f>
        <v>99</v>
      </c>
      <c r="T65" s="52">
        <f>IFERROR(INDEX('Strategy Selection'!$J$10:$J$23,MATCH($D65,'Strategy Selection'!$B$10:$B$23,0)),0)</f>
        <v>59.5</v>
      </c>
      <c r="U65" s="52">
        <v>5</v>
      </c>
      <c r="V65" s="52">
        <v>3</v>
      </c>
      <c r="W65" s="52">
        <v>4</v>
      </c>
      <c r="X65" s="52">
        <f>MAX(1,MIN(5,ROUNDUP((IF($O65="",0,$O65)*0.5)+(IF($Q65="",0,$Q65)*0.25)+((IF($T65="",0,$T65)/20)*0.25),0)))</f>
      </c>
      <c r="Y65" s="52">
        <f>MAX(1,MIN(5,ROUNDUP(((IF($R65="",1,$R65)-1)*1.6)+('Crisis Simulator'!$B$5*0.45)+IF(IF($S65="",99,$S65)&lt;=3,0.8,0),0)))</f>
      </c>
      <c r="Z65" s="52">
        <f>MAX(1,MIN(5,ROUNDUP((IF($O65="",0,$O65)*0.45)+(IF($M65="",0,$M65)*0.35)+(IF($V65="",0,$V65)*0.35),0)))</f>
      </c>
      <c r="AA65" s="52">
        <f>MAX(1,MIN(5,ROUNDUP((IF($U65="",0,$U65)*0.4)+(IF($W65="",0,$W65)*0.3)+((IF($T65="",0,$T65)/20)*0.3),0)))</f>
      </c>
      <c r="AB65" s="52">
        <v>4</v>
      </c>
      <c r="AC65" s="52">
        <f>IF($AB65=0,"",ROUND((IF($X65="",0,$X65)+IF($Y65="",0,$Y65)+IF($Z65="",0,$Z65)+IF($AA65="",0,$AA65))/$AB65,2))</f>
      </c>
      <c r="AD65" s="52">
        <f>IF($AC65="","",RANK.EQ($AC65,$AC$5:$AC$76,0)+COUNTIF($AC$5:$AC65,$AC65)-1)</f>
      </c>
      <c r="AE65" s="52">
        <f>IF($AD65="","",IF($AD65&lt;=12,"0-90 days",IF($AD65&lt;=32,"3-6 months",IF($AD65&lt;=55,"6-12 months","12+ months"))))</f>
      </c>
      <c r="AF65" s="52" t="s">
        <v>1543</v>
      </c>
      <c r="AG65" s="52" t="s">
        <v>754</v>
      </c>
      <c r="AH65" s="52" t="s">
        <v>1450</v>
      </c>
      <c r="AI65" s="52" t="s">
        <v>1008</v>
      </c>
      <c r="AJ65" s="52" t="s">
        <v>1569</v>
      </c>
      <c r="AK65" s="52" t="s">
        <v>1570</v>
      </c>
      <c r="AL65" s="52" t="s">
        <v>1571</v>
      </c>
      <c r="AM65" s="52" t="s">
        <v>1547</v>
      </c>
      <c r="AN65" s="52" t="s">
        <v>1013</v>
      </c>
      <c r="AO65" s="52" t="s">
        <v>783</v>
      </c>
      <c r="AP65" s="52" t="s">
        <v>1344</v>
      </c>
      <c r="AQ65" s="52"/>
      <c r="AR65" s="52"/>
      <c r="AS65" s="48">
        <f>IFERROR(SUMIFS(_TECH_Industry_Templates!$J:$J,_TECH_Industry_Templates!$A:$A,'Company Profile'!$B$9,_TECH_Industry_Templates!$B:$B,$B65),1)</f>
        <v>1</v>
      </c>
      <c r="AT65" s="48">
        <f>IF($AC65="","",ROUND($AC65*IF($AS65="",1,$AS65),2))</f>
      </c>
      <c r="AU65" s="48">
        <f>IF($AT65="","",RANK.EQ($AT65,$AT$5:$AT$76,0)+COUNTIF($AT$5:AT65,$AT65)-1)</f>
      </c>
      <c r="AV65" s="48" t="str">
        <f>IFERROR(INDEX('Improved Scoring Model'!$E$6:$E$22,MATCH($B65,'Improved Scoring Model'!$A$6:$A$22,0)),"")</f>
        <v/>
      </c>
      <c r="AW65" s="48" t="str">
        <f t="shared" si="19"/>
        <v>Industry-neutral priority</v>
      </c>
    </row>
    <row r="66" spans="1:49" ht="42" customHeight="1">
      <c r="A66" s="52" t="s">
        <v>1572</v>
      </c>
      <c r="B66" s="52" t="s">
        <v>92</v>
      </c>
      <c r="C66" s="52" t="s">
        <v>1573</v>
      </c>
      <c r="D66" s="52" t="s">
        <v>1536</v>
      </c>
      <c r="E66" s="52" t="s">
        <v>1537</v>
      </c>
      <c r="F66" s="52" t="s">
        <v>1574</v>
      </c>
      <c r="G66" s="52" t="s">
        <v>1575</v>
      </c>
      <c r="H66" s="52" t="s">
        <v>1540</v>
      </c>
      <c r="I66" s="52" t="s">
        <v>1541</v>
      </c>
      <c r="J66" s="52" t="s">
        <v>1576</v>
      </c>
      <c r="K66" s="52">
        <v>5</v>
      </c>
      <c r="L66" s="52">
        <f>COUNTIFS('Executive Recommendations'!$C$8:$C$414,$B66,'Executive Recommendations'!$D$8:$D$414,$C66,'Executive Recommendations'!$B$8:$B$414,"Yes")</f>
        <v>0</v>
      </c>
      <c r="M66" s="52">
        <f>COUNTIFS('Risk Summary'!$C$8:$C$414,$B66,'Risk Summary'!$D$8:$D$414,$C66,'Risk Summary'!$B$8:$B$414,"Yes")</f>
        <v>0</v>
      </c>
      <c r="N66" s="52" t="str">
        <f t="shared" ca="1" si="10"/>
        <v/>
      </c>
      <c r="O66" s="52" t="str">
        <f t="shared" ca="1" si="11"/>
        <v/>
      </c>
      <c r="P66" s="52">
        <f>IFERROR(INDEX(Dashboard!$H$5:$H$21,MATCH($B66,Dashboard!$A$5:$A$21,0)),"")</f>
        <v>0</v>
      </c>
      <c r="Q66" s="52">
        <f t="shared" si="12"/>
        <v>5</v>
      </c>
      <c r="R66" s="52">
        <f>IFERROR(SUMIFS(_TECH_Crisis_Model!$D$5:$D$191,_TECH_Crisis_Model!$A$5:$A$191,'Crisis Simulator'!$B$4,_TECH_Crisis_Model!$B$5:$B$191,$B66),1)</f>
        <v>1</v>
      </c>
      <c r="S66" s="52">
        <f ca="1">IFERROR(INDEX('Strategy Selection'!$A$10:$A$23,MATCH($D66,'Strategy Selection'!$B$10:$B$23,0)),99)</f>
        <v>99</v>
      </c>
      <c r="T66" s="52">
        <f>IFERROR(INDEX('Strategy Selection'!$J$10:$J$23,MATCH($D66,'Strategy Selection'!$B$10:$B$23,0)),0)</f>
        <v>59.5</v>
      </c>
      <c r="U66" s="52">
        <v>5</v>
      </c>
      <c r="V66" s="52">
        <v>3</v>
      </c>
      <c r="W66" s="52">
        <v>4</v>
      </c>
      <c r="X66" s="52">
        <f>MAX(1,MIN(5,ROUNDUP((IF($O66="",0,$O66)*0.5)+(IF($Q66="",0,$Q66)*0.25)+((IF($T66="",0,$T66)/20)*0.25),0)))</f>
      </c>
      <c r="Y66" s="52">
        <f>MAX(1,MIN(5,ROUNDUP(((IF($R66="",1,$R66)-1)*1.6)+('Crisis Simulator'!$B$5*0.45)+IF(IF($S66="",99,$S66)&lt;=3,0.8,0),0)))</f>
      </c>
      <c r="Z66" s="52">
        <f>MAX(1,MIN(5,ROUNDUP((IF($O66="",0,$O66)*0.45)+(IF($M66="",0,$M66)*0.35)+(IF($V66="",0,$V66)*0.35),0)))</f>
      </c>
      <c r="AA66" s="52">
        <f>MAX(1,MIN(5,ROUNDUP((IF($U66="",0,$U66)*0.4)+(IF($W66="",0,$W66)*0.3)+((IF($T66="",0,$T66)/20)*0.3),0)))</f>
      </c>
      <c r="AB66" s="52">
        <v>4</v>
      </c>
      <c r="AC66" s="52">
        <f>IF($AB66=0,"",ROUND((IF($X66="",0,$X66)+IF($Y66="",0,$Y66)+IF($Z66="",0,$Z66)+IF($AA66="",0,$AA66))/$AB66,2))</f>
      </c>
      <c r="AD66" s="52">
        <f>IF($AC66="","",RANK.EQ($AC66,$AC$5:$AC$76,0)+COUNTIF($AC$5:$AC66,$AC66)-1)</f>
      </c>
      <c r="AE66" s="52">
        <f>IF($AD66="","",IF($AD66&lt;=12,"0-90 days",IF($AD66&lt;=32,"3-6 months",IF($AD66&lt;=55,"6-12 months","12+ months"))))</f>
      </c>
      <c r="AF66" s="52" t="s">
        <v>1543</v>
      </c>
      <c r="AG66" s="52" t="s">
        <v>754</v>
      </c>
      <c r="AH66" s="52" t="s">
        <v>1450</v>
      </c>
      <c r="AI66" s="52" t="s">
        <v>1008</v>
      </c>
      <c r="AJ66" s="52" t="s">
        <v>1577</v>
      </c>
      <c r="AK66" s="52" t="s">
        <v>1578</v>
      </c>
      <c r="AL66" s="52" t="s">
        <v>1579</v>
      </c>
      <c r="AM66" s="52" t="s">
        <v>1547</v>
      </c>
      <c r="AN66" s="52" t="s">
        <v>1013</v>
      </c>
      <c r="AO66" s="52" t="s">
        <v>783</v>
      </c>
      <c r="AP66" s="52" t="s">
        <v>1344</v>
      </c>
      <c r="AQ66" s="52"/>
      <c r="AR66" s="52"/>
      <c r="AS66" s="48">
        <f>IFERROR(SUMIFS(_TECH_Industry_Templates!$J:$J,_TECH_Industry_Templates!$A:$A,'Company Profile'!$B$9,_TECH_Industry_Templates!$B:$B,$B66),1)</f>
        <v>1</v>
      </c>
      <c r="AT66" s="48">
        <f>IF($AC66="","",ROUND($AC66*IF($AS66="",1,$AS66),2))</f>
      </c>
      <c r="AU66" s="48">
        <f>IF($AT66="","",RANK.EQ($AT66,$AT$5:$AT$76,0)+COUNTIF($AT$5:AT66,$AT66)-1)</f>
      </c>
      <c r="AV66" s="48" t="str">
        <f>IFERROR(INDEX('Improved Scoring Model'!$E$6:$E$22,MATCH($B66,'Improved Scoring Model'!$A$6:$A$22,0)),"")</f>
        <v/>
      </c>
      <c r="AW66" s="48" t="str">
        <f t="shared" si="19"/>
        <v>Industry-neutral priority</v>
      </c>
    </row>
    <row r="67" spans="1:49" ht="42" customHeight="1">
      <c r="A67" s="52" t="s">
        <v>1580</v>
      </c>
      <c r="B67" s="52" t="s">
        <v>93</v>
      </c>
      <c r="C67" s="52" t="s">
        <v>1581</v>
      </c>
      <c r="D67" s="52" t="s">
        <v>1582</v>
      </c>
      <c r="E67" s="52" t="s">
        <v>1583</v>
      </c>
      <c r="F67" s="52" t="s">
        <v>1584</v>
      </c>
      <c r="G67" s="52" t="s">
        <v>1585</v>
      </c>
      <c r="H67" s="52" t="s">
        <v>1586</v>
      </c>
      <c r="I67" s="52" t="s">
        <v>1587</v>
      </c>
      <c r="J67" s="52" t="s">
        <v>1588</v>
      </c>
      <c r="K67" s="52">
        <v>6</v>
      </c>
      <c r="L67" s="52">
        <f>COUNTIFS('Executive Recommendations'!$C$8:$C$414,$B67,'Executive Recommendations'!$D$8:$D$414,$C67,'Executive Recommendations'!$B$8:$B$414,"Yes")</f>
        <v>0</v>
      </c>
      <c r="M67" s="52">
        <f>COUNTIFS('Risk Summary'!$C$8:$C$414,$B67,'Risk Summary'!$D$8:$D$414,$C67,'Risk Summary'!$B$8:$B$414,"Yes")</f>
        <v>0</v>
      </c>
      <c r="N67" s="52" t="str">
        <f t="shared" ca="1" si="10"/>
        <v/>
      </c>
      <c r="O67" s="52" t="str">
        <f t="shared" ca="1" si="11"/>
        <v/>
      </c>
      <c r="P67" s="52">
        <f>IFERROR(INDEX(Dashboard!$H$5:$H$21,MATCH($B67,Dashboard!$A$5:$A$21,0)),"")</f>
        <v>0</v>
      </c>
      <c r="Q67" s="52">
        <f t="shared" si="12"/>
        <v>5</v>
      </c>
      <c r="R67" s="52">
        <f>IFERROR(SUMIFS(_TECH_Crisis_Model!$D$5:$D$191,_TECH_Crisis_Model!$A$5:$A$191,'Crisis Simulator'!$B$4,_TECH_Crisis_Model!$B$5:$B$191,$B67),1)</f>
        <v>1.5</v>
      </c>
      <c r="S67" s="52">
        <f ca="1">IFERROR(INDEX('Strategy Selection'!$A$10:$A$23,MATCH($D67,'Strategy Selection'!$B$10:$B$23,0)),99)</f>
        <v>99</v>
      </c>
      <c r="T67" s="52">
        <f>IFERROR(INDEX('Strategy Selection'!$J$10:$J$23,MATCH($D67,'Strategy Selection'!$B$10:$B$23,0)),0)</f>
        <v>63.5</v>
      </c>
      <c r="U67" s="52">
        <v>4</v>
      </c>
      <c r="V67" s="52">
        <v>5</v>
      </c>
      <c r="W67" s="52">
        <v>4</v>
      </c>
      <c r="X67" s="52">
        <f>MAX(1,MIN(5,ROUNDUP((IF($O67="",0,$O67)*0.5)+(IF($Q67="",0,$Q67)*0.25)+((IF($T67="",0,$T67)/20)*0.25),0)))</f>
      </c>
      <c r="Y67" s="52">
        <f>MAX(1,MIN(5,ROUNDUP(((IF($R67="",1,$R67)-1)*1.6)+('Crisis Simulator'!$B$5*0.45)+IF(IF($S67="",99,$S67)&lt;=3,0.8,0),0)))</f>
      </c>
      <c r="Z67" s="52">
        <f>MAX(1,MIN(5,ROUNDUP((IF($O67="",0,$O67)*0.45)+(IF($M67="",0,$M67)*0.35)+(IF($V67="",0,$V67)*0.35),0)))</f>
      </c>
      <c r="AA67" s="52">
        <f>MAX(1,MIN(5,ROUNDUP((IF($U67="",0,$U67)*0.4)+(IF($W67="",0,$W67)*0.3)+((IF($T67="",0,$T67)/20)*0.3),0)))</f>
      </c>
      <c r="AB67" s="52">
        <v>4</v>
      </c>
      <c r="AC67" s="52">
        <f>IF($AB67=0,"",ROUND((IF($X67="",0,$X67)+IF($Y67="",0,$Y67)+IF($Z67="",0,$Z67)+IF($AA67="",0,$AA67))/$AB67,2))</f>
      </c>
      <c r="AD67" s="52">
        <f>IF($AC67="","",RANK.EQ($AC67,$AC$5:$AC$76,0)+COUNTIF($AC$5:$AC67,$AC67)-1)</f>
      </c>
      <c r="AE67" s="52">
        <f>IF($AD67="","",IF($AD67&lt;=12,"0-90 days",IF($AD67&lt;=32,"3-6 months",IF($AD67&lt;=55,"6-12 months","12+ months"))))</f>
      </c>
      <c r="AF67" s="52" t="s">
        <v>1589</v>
      </c>
      <c r="AG67" s="52" t="s">
        <v>754</v>
      </c>
      <c r="AH67" s="52" t="s">
        <v>1450</v>
      </c>
      <c r="AI67" s="52" t="s">
        <v>1590</v>
      </c>
      <c r="AJ67" s="52" t="s">
        <v>1591</v>
      </c>
      <c r="AK67" s="52" t="s">
        <v>1592</v>
      </c>
      <c r="AL67" s="52" t="s">
        <v>1593</v>
      </c>
      <c r="AM67" s="52" t="s">
        <v>1594</v>
      </c>
      <c r="AN67" s="52" t="s">
        <v>1013</v>
      </c>
      <c r="AO67" s="52" t="s">
        <v>783</v>
      </c>
      <c r="AP67" s="52" t="s">
        <v>1344</v>
      </c>
      <c r="AQ67" s="52"/>
      <c r="AR67" s="52"/>
      <c r="AS67" s="48">
        <f>IFERROR(SUMIFS(_TECH_Industry_Templates!$J:$J,_TECH_Industry_Templates!$A:$A,'Company Profile'!$B$9,_TECH_Industry_Templates!$B:$B,$B67),1)</f>
        <v>1.1000000000000001</v>
      </c>
      <c r="AT67" s="48">
        <f>IF($AC67="","",ROUND($AC67*IF($AS67="",1,$AS67),2))</f>
      </c>
      <c r="AU67" s="48">
        <f>IF($AT67="","",RANK.EQ($AT67,$AT$5:$AT$76,0)+COUNTIF($AT$5:AT67,$AT67)-1)</f>
      </c>
      <c r="AV67" s="48" t="str">
        <f>IFERROR(INDEX('Improved Scoring Model'!$E$6:$E$22,MATCH($B67,'Improved Scoring Model'!$A$6:$A$22,0)),"")</f>
        <v/>
      </c>
      <c r="AW67" s="48" t="str">
        <f t="shared" si="19"/>
        <v>Industry-neutral priority</v>
      </c>
    </row>
    <row r="68" spans="1:49" ht="42" customHeight="1">
      <c r="A68" s="52" t="s">
        <v>1595</v>
      </c>
      <c r="B68" s="52" t="s">
        <v>93</v>
      </c>
      <c r="C68" s="52" t="s">
        <v>1596</v>
      </c>
      <c r="D68" s="52" t="s">
        <v>1582</v>
      </c>
      <c r="E68" s="52" t="s">
        <v>1583</v>
      </c>
      <c r="F68" s="52" t="s">
        <v>1597</v>
      </c>
      <c r="G68" s="52" t="s">
        <v>1598</v>
      </c>
      <c r="H68" s="52" t="s">
        <v>1586</v>
      </c>
      <c r="I68" s="52" t="s">
        <v>1587</v>
      </c>
      <c r="J68" s="52" t="s">
        <v>1599</v>
      </c>
      <c r="K68" s="52">
        <v>6</v>
      </c>
      <c r="L68" s="52">
        <f>COUNTIFS('Executive Recommendations'!$C$8:$C$414,$B68,'Executive Recommendations'!$D$8:$D$414,$C68,'Executive Recommendations'!$B$8:$B$414,"Yes")</f>
        <v>0</v>
      </c>
      <c r="M68" s="52">
        <f>COUNTIFS('Risk Summary'!$C$8:$C$414,$B68,'Risk Summary'!$D$8:$D$414,$C68,'Risk Summary'!$B$8:$B$414,"Yes")</f>
        <v>0</v>
      </c>
      <c r="N68" s="52" t="str">
        <f t="shared" ca="1" si="10"/>
        <v/>
      </c>
      <c r="O68" s="52" t="str">
        <f t="shared" ca="1" si="11"/>
        <v/>
      </c>
      <c r="P68" s="52">
        <f>IFERROR(INDEX(Dashboard!$H$5:$H$21,MATCH($B68,Dashboard!$A$5:$A$21,0)),"")</f>
        <v>0</v>
      </c>
      <c r="Q68" s="52">
        <f t="shared" si="12"/>
        <v>5</v>
      </c>
      <c r="R68" s="52">
        <f>IFERROR(SUMIFS(_TECH_Crisis_Model!$D$5:$D$191,_TECH_Crisis_Model!$A$5:$A$191,'Crisis Simulator'!$B$4,_TECH_Crisis_Model!$B$5:$B$191,$B68),1)</f>
        <v>1.5</v>
      </c>
      <c r="S68" s="52">
        <f ca="1">IFERROR(INDEX('Strategy Selection'!$A$10:$A$23,MATCH($D68,'Strategy Selection'!$B$10:$B$23,0)),99)</f>
        <v>99</v>
      </c>
      <c r="T68" s="52">
        <f>IFERROR(INDEX('Strategy Selection'!$J$10:$J$23,MATCH($D68,'Strategy Selection'!$B$10:$B$23,0)),0)</f>
        <v>63.5</v>
      </c>
      <c r="U68" s="52">
        <v>4</v>
      </c>
      <c r="V68" s="52">
        <v>5</v>
      </c>
      <c r="W68" s="52">
        <v>4</v>
      </c>
      <c r="X68" s="52">
        <f>MAX(1,MIN(5,ROUNDUP((IF($O68="",0,$O68)*0.5)+(IF($Q68="",0,$Q68)*0.25)+((IF($T68="",0,$T68)/20)*0.25),0)))</f>
      </c>
      <c r="Y68" s="52">
        <f>MAX(1,MIN(5,ROUNDUP(((IF($R68="",1,$R68)-1)*1.6)+('Crisis Simulator'!$B$5*0.45)+IF(IF($S68="",99,$S68)&lt;=3,0.8,0),0)))</f>
      </c>
      <c r="Z68" s="52">
        <f>MAX(1,MIN(5,ROUNDUP((IF($O68="",0,$O68)*0.45)+(IF($M68="",0,$M68)*0.35)+(IF($V68="",0,$V68)*0.35),0)))</f>
      </c>
      <c r="AA68" s="52">
        <f>MAX(1,MIN(5,ROUNDUP((IF($U68="",0,$U68)*0.4)+(IF($W68="",0,$W68)*0.3)+((IF($T68="",0,$T68)/20)*0.3),0)))</f>
      </c>
      <c r="AB68" s="52">
        <v>4</v>
      </c>
      <c r="AC68" s="52">
        <f>IF($AB68=0,"",ROUND((IF($X68="",0,$X68)+IF($Y68="",0,$Y68)+IF($Z68="",0,$Z68)+IF($AA68="",0,$AA68))/$AB68,2))</f>
      </c>
      <c r="AD68" s="52">
        <f>IF($AC68="","",RANK.EQ($AC68,$AC$5:$AC$76,0)+COUNTIF($AC$5:$AC68,$AC68)-1)</f>
      </c>
      <c r="AE68" s="52">
        <f>IF($AD68="","",IF($AD68&lt;=12,"0-90 days",IF($AD68&lt;=32,"3-6 months",IF($AD68&lt;=55,"6-12 months","12+ months"))))</f>
      </c>
      <c r="AF68" s="52" t="s">
        <v>1589</v>
      </c>
      <c r="AG68" s="52" t="s">
        <v>754</v>
      </c>
      <c r="AH68" s="52" t="s">
        <v>1450</v>
      </c>
      <c r="AI68" s="52" t="s">
        <v>1590</v>
      </c>
      <c r="AJ68" s="52" t="s">
        <v>1600</v>
      </c>
      <c r="AK68" s="52" t="s">
        <v>1601</v>
      </c>
      <c r="AL68" s="52" t="s">
        <v>1602</v>
      </c>
      <c r="AM68" s="52" t="s">
        <v>1594</v>
      </c>
      <c r="AN68" s="52" t="s">
        <v>1013</v>
      </c>
      <c r="AO68" s="52" t="s">
        <v>783</v>
      </c>
      <c r="AP68" s="52" t="s">
        <v>1344</v>
      </c>
      <c r="AQ68" s="52"/>
      <c r="AR68" s="52"/>
      <c r="AS68" s="48">
        <f>IFERROR(SUMIFS(_TECH_Industry_Templates!$J:$J,_TECH_Industry_Templates!$A:$A,'Company Profile'!$B$9,_TECH_Industry_Templates!$B:$B,$B68),1)</f>
        <v>1.1000000000000001</v>
      </c>
      <c r="AT68" s="48">
        <f>IF($AC68="","",ROUND($AC68*IF($AS68="",1,$AS68),2))</f>
      </c>
      <c r="AU68" s="48">
        <f>IF($AT68="","",RANK.EQ($AT68,$AT$5:$AT$76,0)+COUNTIF($AT$5:AT68,$AT68)-1)</f>
      </c>
      <c r="AV68" s="48" t="str">
        <f>IFERROR(INDEX('Improved Scoring Model'!$E$6:$E$22,MATCH($B68,'Improved Scoring Model'!$A$6:$A$22,0)),"")</f>
        <v/>
      </c>
      <c r="AW68" s="48" t="str">
        <f t="shared" si="19"/>
        <v>Industry-neutral priority</v>
      </c>
    </row>
    <row r="69" spans="1:49" ht="42" customHeight="1">
      <c r="A69" s="52" t="s">
        <v>1603</v>
      </c>
      <c r="B69" s="52" t="s">
        <v>93</v>
      </c>
      <c r="C69" s="52" t="s">
        <v>1604</v>
      </c>
      <c r="D69" s="52" t="s">
        <v>1582</v>
      </c>
      <c r="E69" s="52" t="s">
        <v>1583</v>
      </c>
      <c r="F69" s="52" t="s">
        <v>1605</v>
      </c>
      <c r="G69" s="52" t="s">
        <v>1606</v>
      </c>
      <c r="H69" s="52" t="s">
        <v>1586</v>
      </c>
      <c r="I69" s="52" t="s">
        <v>1587</v>
      </c>
      <c r="J69" s="52" t="s">
        <v>1607</v>
      </c>
      <c r="K69" s="52">
        <v>8</v>
      </c>
      <c r="L69" s="52">
        <f>COUNTIFS('Executive Recommendations'!$C$8:$C$414,$B69,'Executive Recommendations'!$D$8:$D$414,$C69,'Executive Recommendations'!$B$8:$B$414,"Yes")</f>
        <v>0</v>
      </c>
      <c r="M69" s="52">
        <f>COUNTIFS('Risk Summary'!$C$8:$C$414,$B69,'Risk Summary'!$D$8:$D$414,$C69,'Risk Summary'!$B$8:$B$414,"Yes")</f>
        <v>0</v>
      </c>
      <c r="N69" s="52" t="str">
        <f t="shared" ref="N69:N76" ca="1" si="20">IFERROR(AVERAGEIFS(INDIRECT("'"&amp;$B69&amp;"'!$H$5:$H$500"),INDIRECT("'"&amp;$B69&amp;"'!$B$5:$B$500"),$C69),"")</f>
        <v/>
      </c>
      <c r="O69" s="52" t="str">
        <f t="shared" ref="O69:O76" ca="1" si="21">IF($N69="","",MAX(0,5-$N69))</f>
        <v/>
      </c>
      <c r="P69" s="52">
        <f>IFERROR(INDEX(Dashboard!$H$5:$H$21,MATCH($B69,Dashboard!$A$5:$A$21,0)),"")</f>
        <v>0</v>
      </c>
      <c r="Q69" s="52">
        <f t="shared" ref="Q69:Q76" si="22">IF($P69="","",MAX(0,5-$P69))</f>
        <v>5</v>
      </c>
      <c r="R69" s="52">
        <f>IFERROR(SUMIFS(_TECH_Crisis_Model!$D$5:$D$191,_TECH_Crisis_Model!$A$5:$A$191,'Crisis Simulator'!$B$4,_TECH_Crisis_Model!$B$5:$B$191,$B69),1)</f>
        <v>1.5</v>
      </c>
      <c r="S69" s="52">
        <f ca="1">IFERROR(INDEX('Strategy Selection'!$A$10:$A$23,MATCH($D69,'Strategy Selection'!$B$10:$B$23,0)),99)</f>
        <v>99</v>
      </c>
      <c r="T69" s="52">
        <f>IFERROR(INDEX('Strategy Selection'!$J$10:$J$23,MATCH($D69,'Strategy Selection'!$B$10:$B$23,0)),0)</f>
        <v>63.5</v>
      </c>
      <c r="U69" s="52">
        <v>4</v>
      </c>
      <c r="V69" s="52">
        <v>5</v>
      </c>
      <c r="W69" s="52">
        <v>4</v>
      </c>
      <c r="X69" s="52">
        <f>MAX(1,MIN(5,ROUNDUP((IF($O69="",0,$O69)*0.5)+(IF($Q69="",0,$Q69)*0.25)+((IF($T69="",0,$T69)/20)*0.25),0)))</f>
      </c>
      <c r="Y69" s="52">
        <f>MAX(1,MIN(5,ROUNDUP(((IF($R69="",1,$R69)-1)*1.6)+('Crisis Simulator'!$B$5*0.45)+IF(IF($S69="",99,$S69)&lt;=3,0.8,0),0)))</f>
      </c>
      <c r="Z69" s="52">
        <f>MAX(1,MIN(5,ROUNDUP((IF($O69="",0,$O69)*0.45)+(IF($M69="",0,$M69)*0.35)+(IF($V69="",0,$V69)*0.35),0)))</f>
      </c>
      <c r="AA69" s="52">
        <f>MAX(1,MIN(5,ROUNDUP((IF($U69="",0,$U69)*0.4)+(IF($W69="",0,$W69)*0.3)+((IF($T69="",0,$T69)/20)*0.3),0)))</f>
      </c>
      <c r="AB69" s="52">
        <v>4</v>
      </c>
      <c r="AC69" s="52">
        <f>IF($AB69=0,"",ROUND((IF($X69="",0,$X69)+IF($Y69="",0,$Y69)+IF($Z69="",0,$Z69)+IF($AA69="",0,$AA69))/$AB69,2))</f>
      </c>
      <c r="AD69" s="52">
        <f>IF($AC69="","",RANK.EQ($AC69,$AC$5:$AC$76,0)+COUNTIF($AC$5:$AC69,$AC69)-1)</f>
      </c>
      <c r="AE69" s="52">
        <f>IF($AD69="","",IF($AD69&lt;=12,"0-90 days",IF($AD69&lt;=32,"3-6 months",IF($AD69&lt;=55,"6-12 months","12+ months"))))</f>
      </c>
      <c r="AF69" s="52" t="s">
        <v>1589</v>
      </c>
      <c r="AG69" s="52" t="s">
        <v>754</v>
      </c>
      <c r="AH69" s="52" t="s">
        <v>1450</v>
      </c>
      <c r="AI69" s="52" t="s">
        <v>1590</v>
      </c>
      <c r="AJ69" s="52" t="s">
        <v>1608</v>
      </c>
      <c r="AK69" s="52" t="s">
        <v>1609</v>
      </c>
      <c r="AL69" s="52" t="s">
        <v>1610</v>
      </c>
      <c r="AM69" s="52" t="s">
        <v>1594</v>
      </c>
      <c r="AN69" s="52" t="s">
        <v>1013</v>
      </c>
      <c r="AO69" s="52" t="s">
        <v>783</v>
      </c>
      <c r="AP69" s="52" t="s">
        <v>1344</v>
      </c>
      <c r="AQ69" s="52"/>
      <c r="AR69" s="52"/>
      <c r="AS69" s="48">
        <f>IFERROR(SUMIFS(_TECH_Industry_Templates!$J:$J,_TECH_Industry_Templates!$A:$A,'Company Profile'!$B$9,_TECH_Industry_Templates!$B:$B,$B69),1)</f>
        <v>1.1000000000000001</v>
      </c>
      <c r="AT69" s="48">
        <f>IF($AC69="","",ROUND($AC69*IF($AS69="",1,$AS69),2))</f>
      </c>
      <c r="AU69" s="48">
        <f>IF($AT69="","",RANK.EQ($AT69,$AT$5:$AT$76,0)+COUNTIF($AT$5:AT69,$AT69)-1)</f>
      </c>
      <c r="AV69" s="48" t="str">
        <f>IFERROR(INDEX('Improved Scoring Model'!$E$6:$E$22,MATCH($B69,'Improved Scoring Model'!$A$6:$A$22,0)),"")</f>
        <v/>
      </c>
      <c r="AW69" s="48" t="str">
        <f t="shared" ref="AW69:AW76" si="29">IF($AS69&gt;1.15,"Industry template increases priority",IF($AS69&lt;0.9,"Industry template lowers priority","Industry-neutral priority"))</f>
        <v>Industry-neutral priority</v>
      </c>
    </row>
    <row r="70" spans="1:49" ht="42" customHeight="1">
      <c r="A70" s="52" t="s">
        <v>1611</v>
      </c>
      <c r="B70" s="52" t="s">
        <v>93</v>
      </c>
      <c r="C70" s="52" t="s">
        <v>1612</v>
      </c>
      <c r="D70" s="52" t="s">
        <v>1582</v>
      </c>
      <c r="E70" s="52" t="s">
        <v>1583</v>
      </c>
      <c r="F70" s="52" t="s">
        <v>1613</v>
      </c>
      <c r="G70" s="52" t="s">
        <v>1614</v>
      </c>
      <c r="H70" s="52" t="s">
        <v>1586</v>
      </c>
      <c r="I70" s="52" t="s">
        <v>1587</v>
      </c>
      <c r="J70" s="52" t="s">
        <v>1615</v>
      </c>
      <c r="K70" s="52">
        <v>6</v>
      </c>
      <c r="L70" s="52">
        <f>COUNTIFS('Executive Recommendations'!$C$8:$C$414,$B70,'Executive Recommendations'!$D$8:$D$414,$C70,'Executive Recommendations'!$B$8:$B$414,"Yes")</f>
        <v>0</v>
      </c>
      <c r="M70" s="52">
        <f>COUNTIFS('Risk Summary'!$C$8:$C$414,$B70,'Risk Summary'!$D$8:$D$414,$C70,'Risk Summary'!$B$8:$B$414,"Yes")</f>
        <v>0</v>
      </c>
      <c r="N70" s="52" t="str">
        <f t="shared" ca="1" si="20"/>
        <v/>
      </c>
      <c r="O70" s="52" t="str">
        <f t="shared" ca="1" si="21"/>
        <v/>
      </c>
      <c r="P70" s="52">
        <f>IFERROR(INDEX(Dashboard!$H$5:$H$21,MATCH($B70,Dashboard!$A$5:$A$21,0)),"")</f>
        <v>0</v>
      </c>
      <c r="Q70" s="52">
        <f t="shared" si="22"/>
        <v>5</v>
      </c>
      <c r="R70" s="52">
        <f>IFERROR(SUMIFS(_TECH_Crisis_Model!$D$5:$D$191,_TECH_Crisis_Model!$A$5:$A$191,'Crisis Simulator'!$B$4,_TECH_Crisis_Model!$B$5:$B$191,$B70),1)</f>
        <v>1.5</v>
      </c>
      <c r="S70" s="52">
        <f ca="1">IFERROR(INDEX('Strategy Selection'!$A$10:$A$23,MATCH($D70,'Strategy Selection'!$B$10:$B$23,0)),99)</f>
        <v>99</v>
      </c>
      <c r="T70" s="52">
        <f>IFERROR(INDEX('Strategy Selection'!$J$10:$J$23,MATCH($D70,'Strategy Selection'!$B$10:$B$23,0)),0)</f>
        <v>63.5</v>
      </c>
      <c r="U70" s="52">
        <v>4</v>
      </c>
      <c r="V70" s="52">
        <v>5</v>
      </c>
      <c r="W70" s="52">
        <v>4</v>
      </c>
      <c r="X70" s="52">
        <f>MAX(1,MIN(5,ROUNDUP((IF($O70="",0,$O70)*0.5)+(IF($Q70="",0,$Q70)*0.25)+((IF($T70="",0,$T70)/20)*0.25),0)))</f>
      </c>
      <c r="Y70" s="52">
        <f>MAX(1,MIN(5,ROUNDUP(((IF($R70="",1,$R70)-1)*1.6)+('Crisis Simulator'!$B$5*0.45)+IF(IF($S70="",99,$S70)&lt;=3,0.8,0),0)))</f>
      </c>
      <c r="Z70" s="52">
        <f>MAX(1,MIN(5,ROUNDUP((IF($O70="",0,$O70)*0.45)+(IF($M70="",0,$M70)*0.35)+(IF($V70="",0,$V70)*0.35),0)))</f>
      </c>
      <c r="AA70" s="52">
        <f>MAX(1,MIN(5,ROUNDUP((IF($U70="",0,$U70)*0.4)+(IF($W70="",0,$W70)*0.3)+((IF($T70="",0,$T70)/20)*0.3),0)))</f>
      </c>
      <c r="AB70" s="52">
        <v>4</v>
      </c>
      <c r="AC70" s="52">
        <f>IF($AB70=0,"",ROUND((IF($X70="",0,$X70)+IF($Y70="",0,$Y70)+IF($Z70="",0,$Z70)+IF($AA70="",0,$AA70))/$AB70,2))</f>
      </c>
      <c r="AD70" s="52">
        <f>IF($AC70="","",RANK.EQ($AC70,$AC$5:$AC$76,0)+COUNTIF($AC$5:$AC70,$AC70)-1)</f>
      </c>
      <c r="AE70" s="52">
        <f>IF($AD70="","",IF($AD70&lt;=12,"0-90 days",IF($AD70&lt;=32,"3-6 months",IF($AD70&lt;=55,"6-12 months","12+ months"))))</f>
      </c>
      <c r="AF70" s="52" t="s">
        <v>1589</v>
      </c>
      <c r="AG70" s="52" t="s">
        <v>754</v>
      </c>
      <c r="AH70" s="52" t="s">
        <v>1450</v>
      </c>
      <c r="AI70" s="52" t="s">
        <v>1590</v>
      </c>
      <c r="AJ70" s="52" t="s">
        <v>1616</v>
      </c>
      <c r="AK70" s="52" t="s">
        <v>1617</v>
      </c>
      <c r="AL70" s="52" t="s">
        <v>1618</v>
      </c>
      <c r="AM70" s="52" t="s">
        <v>1594</v>
      </c>
      <c r="AN70" s="52" t="s">
        <v>1013</v>
      </c>
      <c r="AO70" s="52" t="s">
        <v>783</v>
      </c>
      <c r="AP70" s="52" t="s">
        <v>1344</v>
      </c>
      <c r="AQ70" s="52"/>
      <c r="AR70" s="52"/>
      <c r="AS70" s="48">
        <f>IFERROR(SUMIFS(_TECH_Industry_Templates!$J:$J,_TECH_Industry_Templates!$A:$A,'Company Profile'!$B$9,_TECH_Industry_Templates!$B:$B,$B70),1)</f>
        <v>1.1000000000000001</v>
      </c>
      <c r="AT70" s="48">
        <f>IF($AC70="","",ROUND($AC70*IF($AS70="",1,$AS70),2))</f>
      </c>
      <c r="AU70" s="48">
        <f>IF($AT70="","",RANK.EQ($AT70,$AT$5:$AT$76,0)+COUNTIF($AT$5:AT70,$AT70)-1)</f>
      </c>
      <c r="AV70" s="48" t="str">
        <f>IFERROR(INDEX('Improved Scoring Model'!$E$6:$E$22,MATCH($B70,'Improved Scoring Model'!$A$6:$A$22,0)),"")</f>
        <v/>
      </c>
      <c r="AW70" s="48" t="str">
        <f t="shared" si="29"/>
        <v>Industry-neutral priority</v>
      </c>
    </row>
    <row r="71" spans="1:49" ht="42" customHeight="1">
      <c r="A71" s="52" t="s">
        <v>1619</v>
      </c>
      <c r="B71" s="52" t="s">
        <v>93</v>
      </c>
      <c r="C71" s="52" t="s">
        <v>1620</v>
      </c>
      <c r="D71" s="52" t="s">
        <v>1582</v>
      </c>
      <c r="E71" s="52" t="s">
        <v>1583</v>
      </c>
      <c r="F71" s="52" t="s">
        <v>1621</v>
      </c>
      <c r="G71" s="52" t="s">
        <v>1622</v>
      </c>
      <c r="H71" s="52" t="s">
        <v>1586</v>
      </c>
      <c r="I71" s="52" t="s">
        <v>1587</v>
      </c>
      <c r="J71" s="52" t="s">
        <v>1623</v>
      </c>
      <c r="K71" s="52">
        <v>5</v>
      </c>
      <c r="L71" s="52">
        <f>COUNTIFS('Executive Recommendations'!$C$8:$C$414,$B71,'Executive Recommendations'!$D$8:$D$414,$C71,'Executive Recommendations'!$B$8:$B$414,"Yes")</f>
        <v>0</v>
      </c>
      <c r="M71" s="52">
        <f>COUNTIFS('Risk Summary'!$C$8:$C$414,$B71,'Risk Summary'!$D$8:$D$414,$C71,'Risk Summary'!$B$8:$B$414,"Yes")</f>
        <v>0</v>
      </c>
      <c r="N71" s="52" t="str">
        <f t="shared" ca="1" si="20"/>
        <v/>
      </c>
      <c r="O71" s="52" t="str">
        <f t="shared" ca="1" si="21"/>
        <v/>
      </c>
      <c r="P71" s="52">
        <f>IFERROR(INDEX(Dashboard!$H$5:$H$21,MATCH($B71,Dashboard!$A$5:$A$21,0)),"")</f>
        <v>0</v>
      </c>
      <c r="Q71" s="52">
        <f t="shared" si="22"/>
        <v>5</v>
      </c>
      <c r="R71" s="52">
        <f>IFERROR(SUMIFS(_TECH_Crisis_Model!$D$5:$D$191,_TECH_Crisis_Model!$A$5:$A$191,'Crisis Simulator'!$B$4,_TECH_Crisis_Model!$B$5:$B$191,$B71),1)</f>
        <v>1.5</v>
      </c>
      <c r="S71" s="52">
        <f ca="1">IFERROR(INDEX('Strategy Selection'!$A$10:$A$23,MATCH($D71,'Strategy Selection'!$B$10:$B$23,0)),99)</f>
        <v>99</v>
      </c>
      <c r="T71" s="52">
        <f>IFERROR(INDEX('Strategy Selection'!$J$10:$J$23,MATCH($D71,'Strategy Selection'!$B$10:$B$23,0)),0)</f>
        <v>63.5</v>
      </c>
      <c r="U71" s="52">
        <v>4</v>
      </c>
      <c r="V71" s="52">
        <v>5</v>
      </c>
      <c r="W71" s="52">
        <v>4</v>
      </c>
      <c r="X71" s="52">
        <f>MAX(1,MIN(5,ROUNDUP((IF($O71="",0,$O71)*0.5)+(IF($Q71="",0,$Q71)*0.25)+((IF($T71="",0,$T71)/20)*0.25),0)))</f>
      </c>
      <c r="Y71" s="52">
        <f>MAX(1,MIN(5,ROUNDUP(((IF($R71="",1,$R71)-1)*1.6)+('Crisis Simulator'!$B$5*0.45)+IF(IF($S71="",99,$S71)&lt;=3,0.8,0),0)))</f>
      </c>
      <c r="Z71" s="52">
        <f>MAX(1,MIN(5,ROUNDUP((IF($O71="",0,$O71)*0.45)+(IF($M71="",0,$M71)*0.35)+(IF($V71="",0,$V71)*0.35),0)))</f>
      </c>
      <c r="AA71" s="52">
        <f>MAX(1,MIN(5,ROUNDUP((IF($U71="",0,$U71)*0.4)+(IF($W71="",0,$W71)*0.3)+((IF($T71="",0,$T71)/20)*0.3),0)))</f>
      </c>
      <c r="AB71" s="52">
        <v>4</v>
      </c>
      <c r="AC71" s="52">
        <f>IF($AB71=0,"",ROUND((IF($X71="",0,$X71)+IF($Y71="",0,$Y71)+IF($Z71="",0,$Z71)+IF($AA71="",0,$AA71))/$AB71,2))</f>
      </c>
      <c r="AD71" s="52">
        <f>IF($AC71="","",RANK.EQ($AC71,$AC$5:$AC$76,0)+COUNTIF($AC$5:$AC71,$AC71)-1)</f>
      </c>
      <c r="AE71" s="52">
        <f>IF($AD71="","",IF($AD71&lt;=12,"0-90 days",IF($AD71&lt;=32,"3-6 months",IF($AD71&lt;=55,"6-12 months","12+ months"))))</f>
      </c>
      <c r="AF71" s="52" t="s">
        <v>1589</v>
      </c>
      <c r="AG71" s="52" t="s">
        <v>754</v>
      </c>
      <c r="AH71" s="52" t="s">
        <v>1450</v>
      </c>
      <c r="AI71" s="52" t="s">
        <v>1590</v>
      </c>
      <c r="AJ71" s="52" t="s">
        <v>1624</v>
      </c>
      <c r="AK71" s="52" t="s">
        <v>1625</v>
      </c>
      <c r="AL71" s="52" t="s">
        <v>1626</v>
      </c>
      <c r="AM71" s="52" t="s">
        <v>1594</v>
      </c>
      <c r="AN71" s="52" t="s">
        <v>1013</v>
      </c>
      <c r="AO71" s="52" t="s">
        <v>783</v>
      </c>
      <c r="AP71" s="52" t="s">
        <v>1344</v>
      </c>
      <c r="AQ71" s="52"/>
      <c r="AR71" s="52"/>
      <c r="AS71" s="48">
        <f>IFERROR(SUMIFS(_TECH_Industry_Templates!$J:$J,_TECH_Industry_Templates!$A:$A,'Company Profile'!$B$9,_TECH_Industry_Templates!$B:$B,$B71),1)</f>
        <v>1.1000000000000001</v>
      </c>
      <c r="AT71" s="48">
        <f>IF($AC71="","",ROUND($AC71*IF($AS71="",1,$AS71),2))</f>
      </c>
      <c r="AU71" s="48">
        <f>IF($AT71="","",RANK.EQ($AT71,$AT$5:$AT$76,0)+COUNTIF($AT$5:AT71,$AT71)-1)</f>
      </c>
      <c r="AV71" s="48" t="str">
        <f>IFERROR(INDEX('Improved Scoring Model'!$E$6:$E$22,MATCH($B71,'Improved Scoring Model'!$A$6:$A$22,0)),"")</f>
        <v/>
      </c>
      <c r="AW71" s="48" t="str">
        <f t="shared" si="29"/>
        <v>Industry-neutral priority</v>
      </c>
    </row>
    <row r="72" spans="1:49" ht="42" customHeight="1">
      <c r="A72" s="52" t="s">
        <v>1627</v>
      </c>
      <c r="B72" s="52" t="s">
        <v>93</v>
      </c>
      <c r="C72" s="52" t="s">
        <v>1628</v>
      </c>
      <c r="D72" s="52" t="s">
        <v>1582</v>
      </c>
      <c r="E72" s="52" t="s">
        <v>1583</v>
      </c>
      <c r="F72" s="52" t="s">
        <v>1629</v>
      </c>
      <c r="G72" s="52" t="s">
        <v>1630</v>
      </c>
      <c r="H72" s="52" t="s">
        <v>1586</v>
      </c>
      <c r="I72" s="52" t="s">
        <v>1587</v>
      </c>
      <c r="J72" s="52" t="s">
        <v>1631</v>
      </c>
      <c r="K72" s="52">
        <v>3</v>
      </c>
      <c r="L72" s="52">
        <f>COUNTIFS('Executive Recommendations'!$C$8:$C$414,$B72,'Executive Recommendations'!$D$8:$D$414,$C72,'Executive Recommendations'!$B$8:$B$414,"Yes")</f>
        <v>0</v>
      </c>
      <c r="M72" s="52">
        <f>COUNTIFS('Risk Summary'!$C$8:$C$414,$B72,'Risk Summary'!$D$8:$D$414,$C72,'Risk Summary'!$B$8:$B$414,"Yes")</f>
        <v>0</v>
      </c>
      <c r="N72" s="52" t="str">
        <f t="shared" ca="1" si="20"/>
        <v/>
      </c>
      <c r="O72" s="52" t="str">
        <f t="shared" ca="1" si="21"/>
        <v/>
      </c>
      <c r="P72" s="52">
        <f>IFERROR(INDEX(Dashboard!$H$5:$H$21,MATCH($B72,Dashboard!$A$5:$A$21,0)),"")</f>
        <v>0</v>
      </c>
      <c r="Q72" s="52">
        <f t="shared" si="22"/>
        <v>5</v>
      </c>
      <c r="R72" s="52">
        <f>IFERROR(SUMIFS(_TECH_Crisis_Model!$D$5:$D$191,_TECH_Crisis_Model!$A$5:$A$191,'Crisis Simulator'!$B$4,_TECH_Crisis_Model!$B$5:$B$191,$B72),1)</f>
        <v>1.5</v>
      </c>
      <c r="S72" s="52">
        <f ca="1">IFERROR(INDEX('Strategy Selection'!$A$10:$A$23,MATCH($D72,'Strategy Selection'!$B$10:$B$23,0)),99)</f>
        <v>99</v>
      </c>
      <c r="T72" s="52">
        <f>IFERROR(INDEX('Strategy Selection'!$J$10:$J$23,MATCH($D72,'Strategy Selection'!$B$10:$B$23,0)),0)</f>
        <v>63.5</v>
      </c>
      <c r="U72" s="52">
        <v>4</v>
      </c>
      <c r="V72" s="52">
        <v>5</v>
      </c>
      <c r="W72" s="52">
        <v>4</v>
      </c>
      <c r="X72" s="52">
        <f>MAX(1,MIN(5,ROUNDUP((IF($O72="",0,$O72)*0.5)+(IF($Q72="",0,$Q72)*0.25)+((IF($T72="",0,$T72)/20)*0.25),0)))</f>
      </c>
      <c r="Y72" s="52">
        <f>MAX(1,MIN(5,ROUNDUP(((IF($R72="",1,$R72)-1)*1.6)+('Crisis Simulator'!$B$5*0.45)+IF(IF($S72="",99,$S72)&lt;=3,0.8,0),0)))</f>
      </c>
      <c r="Z72" s="52">
        <f>MAX(1,MIN(5,ROUNDUP((IF($O72="",0,$O72)*0.45)+(IF($M72="",0,$M72)*0.35)+(IF($V72="",0,$V72)*0.35),0)))</f>
      </c>
      <c r="AA72" s="52">
        <f>MAX(1,MIN(5,ROUNDUP((IF($U72="",0,$U72)*0.4)+(IF($W72="",0,$W72)*0.3)+((IF($T72="",0,$T72)/20)*0.3),0)))</f>
      </c>
      <c r="AB72" s="52">
        <v>4</v>
      </c>
      <c r="AC72" s="52">
        <f>IF($AB72=0,"",ROUND((IF($X72="",0,$X72)+IF($Y72="",0,$Y72)+IF($Z72="",0,$Z72)+IF($AA72="",0,$AA72))/$AB72,2))</f>
      </c>
      <c r="AD72" s="52">
        <f>IF($AC72="","",RANK.EQ($AC72,$AC$5:$AC$76,0)+COUNTIF($AC$5:$AC72,$AC72)-1)</f>
      </c>
      <c r="AE72" s="52">
        <f>IF($AD72="","",IF($AD72&lt;=12,"0-90 days",IF($AD72&lt;=32,"3-6 months",IF($AD72&lt;=55,"6-12 months","12+ months"))))</f>
      </c>
      <c r="AF72" s="52" t="s">
        <v>1589</v>
      </c>
      <c r="AG72" s="52" t="s">
        <v>754</v>
      </c>
      <c r="AH72" s="52" t="s">
        <v>1450</v>
      </c>
      <c r="AI72" s="52" t="s">
        <v>1590</v>
      </c>
      <c r="AJ72" s="52" t="s">
        <v>1632</v>
      </c>
      <c r="AK72" s="52" t="s">
        <v>1633</v>
      </c>
      <c r="AL72" s="52" t="s">
        <v>1634</v>
      </c>
      <c r="AM72" s="52" t="s">
        <v>1594</v>
      </c>
      <c r="AN72" s="52" t="s">
        <v>1013</v>
      </c>
      <c r="AO72" s="52" t="s">
        <v>783</v>
      </c>
      <c r="AP72" s="52" t="s">
        <v>1344</v>
      </c>
      <c r="AQ72" s="52"/>
      <c r="AR72" s="52"/>
      <c r="AS72" s="48">
        <f>IFERROR(SUMIFS(_TECH_Industry_Templates!$J:$J,_TECH_Industry_Templates!$A:$A,'Company Profile'!$B$9,_TECH_Industry_Templates!$B:$B,$B72),1)</f>
        <v>1.1000000000000001</v>
      </c>
      <c r="AT72" s="48">
        <f>IF($AC72="","",ROUND($AC72*IF($AS72="",1,$AS72),2))</f>
      </c>
      <c r="AU72" s="48">
        <f>IF($AT72="","",RANK.EQ($AT72,$AT$5:$AT$76,0)+COUNTIF($AT$5:AT72,$AT72)-1)</f>
      </c>
      <c r="AV72" s="48" t="str">
        <f>IFERROR(INDEX('Improved Scoring Model'!$E$6:$E$22,MATCH($B72,'Improved Scoring Model'!$A$6:$A$22,0)),"")</f>
        <v/>
      </c>
      <c r="AW72" s="48" t="str">
        <f t="shared" si="29"/>
        <v>Industry-neutral priority</v>
      </c>
    </row>
    <row r="73" spans="1:49" ht="42" customHeight="1">
      <c r="A73" s="52" t="s">
        <v>1635</v>
      </c>
      <c r="B73" s="52" t="s">
        <v>94</v>
      </c>
      <c r="C73" s="52" t="s">
        <v>1636</v>
      </c>
      <c r="D73" s="52" t="s">
        <v>1259</v>
      </c>
      <c r="E73" s="52" t="s">
        <v>1260</v>
      </c>
      <c r="F73" s="52" t="s">
        <v>1637</v>
      </c>
      <c r="G73" s="52" t="s">
        <v>1638</v>
      </c>
      <c r="H73" s="52" t="s">
        <v>1639</v>
      </c>
      <c r="I73" s="52" t="s">
        <v>1640</v>
      </c>
      <c r="J73" s="52" t="s">
        <v>1641</v>
      </c>
      <c r="K73" s="52">
        <v>5</v>
      </c>
      <c r="L73" s="52">
        <f>COUNTIFS('Executive Recommendations'!$C$8:$C$414,$B73,'Executive Recommendations'!$D$8:$D$414,$C73,'Executive Recommendations'!$B$8:$B$414,"Yes")</f>
        <v>0</v>
      </c>
      <c r="M73" s="52">
        <f>COUNTIFS('Risk Summary'!$C$8:$C$414,$B73,'Risk Summary'!$D$8:$D$414,$C73,'Risk Summary'!$B$8:$B$414,"Yes")</f>
        <v>0</v>
      </c>
      <c r="N73" s="52" t="str">
        <f t="shared" ca="1" si="20"/>
        <v/>
      </c>
      <c r="O73" s="52" t="str">
        <f t="shared" ca="1" si="21"/>
        <v/>
      </c>
      <c r="P73" s="52">
        <f>IFERROR(INDEX(Dashboard!$H$5:$H$21,MATCH($B73,Dashboard!$A$5:$A$21,0)),"")</f>
        <v>0</v>
      </c>
      <c r="Q73" s="52">
        <f t="shared" si="22"/>
        <v>5</v>
      </c>
      <c r="R73" s="52">
        <f>IFERROR(SUMIFS(_TECH_Crisis_Model!$D$5:$D$191,_TECH_Crisis_Model!$A$5:$A$191,'Crisis Simulator'!$B$4,_TECH_Crisis_Model!$B$5:$B$191,$B73),1)</f>
        <v>1</v>
      </c>
      <c r="S73" s="52">
        <f ca="1">IFERROR(INDEX('Strategy Selection'!$A$10:$A$23,MATCH($D73,'Strategy Selection'!$B$10:$B$23,0)),99)</f>
        <v>99</v>
      </c>
      <c r="T73" s="52">
        <f>IFERROR(INDEX('Strategy Selection'!$J$10:$J$23,MATCH($D73,'Strategy Selection'!$B$10:$B$23,0)),0)</f>
        <v>61.5</v>
      </c>
      <c r="U73" s="52">
        <v>4</v>
      </c>
      <c r="V73" s="52">
        <v>4</v>
      </c>
      <c r="W73" s="52">
        <v>5</v>
      </c>
      <c r="X73" s="52">
        <f>MAX(1,MIN(5,ROUNDUP((IF($O73="",0,$O73)*0.5)+(IF($Q73="",0,$Q73)*0.25)+((IF($T73="",0,$T73)/20)*0.25),0)))</f>
      </c>
      <c r="Y73" s="52">
        <f>MAX(1,MIN(5,ROUNDUP(((IF($R73="",1,$R73)-1)*1.6)+('Crisis Simulator'!$B$5*0.45)+IF(IF($S73="",99,$S73)&lt;=3,0.8,0),0)))</f>
      </c>
      <c r="Z73" s="52">
        <f>MAX(1,MIN(5,ROUNDUP((IF($O73="",0,$O73)*0.45)+(IF($M73="",0,$M73)*0.35)+(IF($V73="",0,$V73)*0.35),0)))</f>
      </c>
      <c r="AA73" s="52">
        <f>MAX(1,MIN(5,ROUNDUP((IF($U73="",0,$U73)*0.4)+(IF($W73="",0,$W73)*0.3)+((IF($T73="",0,$T73)/20)*0.3),0)))</f>
      </c>
      <c r="AB73" s="52">
        <v>2</v>
      </c>
      <c r="AC73" s="52">
        <f>IF($AB73=0,"",ROUND((IF($X73="",0,$X73)+IF($Y73="",0,$Y73)+IF($Z73="",0,$Z73)+IF($AA73="",0,$AA73))/$AB73,2))</f>
      </c>
      <c r="AD73" s="52">
        <f>IF($AC73="","",RANK.EQ($AC73,$AC$5:$AC$76,0)+COUNTIF($AC$5:$AC73,$AC73)-1)</f>
      </c>
      <c r="AE73" s="52">
        <f>IF($AD73="","",IF($AD73&lt;=12,"0-90 days",IF($AD73&lt;=32,"3-6 months",IF($AD73&lt;=55,"6-12 months","12+ months"))))</f>
      </c>
      <c r="AF73" s="52" t="s">
        <v>1642</v>
      </c>
      <c r="AG73" s="52" t="s">
        <v>1006</v>
      </c>
      <c r="AH73" s="52" t="s">
        <v>1007</v>
      </c>
      <c r="AI73" s="52" t="s">
        <v>1008</v>
      </c>
      <c r="AJ73" s="52" t="s">
        <v>1643</v>
      </c>
      <c r="AK73" s="52" t="s">
        <v>1644</v>
      </c>
      <c r="AL73" s="52" t="s">
        <v>1645</v>
      </c>
      <c r="AM73" s="52" t="s">
        <v>1270</v>
      </c>
      <c r="AN73" s="52" t="s">
        <v>1013</v>
      </c>
      <c r="AO73" s="52" t="s">
        <v>783</v>
      </c>
      <c r="AP73" s="52" t="s">
        <v>1014</v>
      </c>
      <c r="AQ73" s="52"/>
      <c r="AR73" s="52"/>
      <c r="AS73" s="48">
        <f>IFERROR(SUMIFS(_TECH_Industry_Templates!$J:$J,_TECH_Industry_Templates!$A:$A,'Company Profile'!$B$9,_TECH_Industry_Templates!$B:$B,$B73),1)</f>
        <v>1.2</v>
      </c>
      <c r="AT73" s="48">
        <f>IF($AC73="","",ROUND($AC73*IF($AS73="",1,$AS73),2))</f>
      </c>
      <c r="AU73" s="48">
        <f>IF($AT73="","",RANK.EQ($AT73,$AT$5:$AT$76,0)+COUNTIF($AT$5:AT73,$AT73)-1)</f>
      </c>
      <c r="AV73" s="48" t="str">
        <f>IFERROR(INDEX('Improved Scoring Model'!$E$6:$E$22,MATCH($B73,'Improved Scoring Model'!$A$6:$A$22,0)),"")</f>
        <v/>
      </c>
      <c r="AW73" s="48" t="str">
        <f t="shared" si="29"/>
        <v>Industry template increases priority</v>
      </c>
    </row>
    <row r="74" spans="1:49" ht="42" customHeight="1">
      <c r="A74" s="52" t="s">
        <v>1646</v>
      </c>
      <c r="B74" s="52" t="s">
        <v>94</v>
      </c>
      <c r="C74" s="52" t="s">
        <v>1647</v>
      </c>
      <c r="D74" s="52" t="s">
        <v>1259</v>
      </c>
      <c r="E74" s="52" t="s">
        <v>1260</v>
      </c>
      <c r="F74" s="52" t="s">
        <v>1648</v>
      </c>
      <c r="G74" s="52" t="s">
        <v>1649</v>
      </c>
      <c r="H74" s="52" t="s">
        <v>1639</v>
      </c>
      <c r="I74" s="52" t="s">
        <v>1640</v>
      </c>
      <c r="J74" s="52" t="s">
        <v>1650</v>
      </c>
      <c r="K74" s="52">
        <v>5</v>
      </c>
      <c r="L74" s="52">
        <f>COUNTIFS('Executive Recommendations'!$C$8:$C$414,$B74,'Executive Recommendations'!$D$8:$D$414,$C74,'Executive Recommendations'!$B$8:$B$414,"Yes")</f>
        <v>0</v>
      </c>
      <c r="M74" s="52">
        <f>COUNTIFS('Risk Summary'!$C$8:$C$414,$B74,'Risk Summary'!$D$8:$D$414,$C74,'Risk Summary'!$B$8:$B$414,"Yes")</f>
        <v>0</v>
      </c>
      <c r="N74" s="52" t="str">
        <f t="shared" ca="1" si="20"/>
        <v/>
      </c>
      <c r="O74" s="52" t="str">
        <f t="shared" ca="1" si="21"/>
        <v/>
      </c>
      <c r="P74" s="52">
        <f>IFERROR(INDEX(Dashboard!$H$5:$H$21,MATCH($B74,Dashboard!$A$5:$A$21,0)),"")</f>
        <v>0</v>
      </c>
      <c r="Q74" s="52">
        <f t="shared" si="22"/>
        <v>5</v>
      </c>
      <c r="R74" s="52">
        <f>IFERROR(SUMIFS(_TECH_Crisis_Model!$D$5:$D$191,_TECH_Crisis_Model!$A$5:$A$191,'Crisis Simulator'!$B$4,_TECH_Crisis_Model!$B$5:$B$191,$B74),1)</f>
        <v>1</v>
      </c>
      <c r="S74" s="52">
        <f ca="1">IFERROR(INDEX('Strategy Selection'!$A$10:$A$23,MATCH($D74,'Strategy Selection'!$B$10:$B$23,0)),99)</f>
        <v>99</v>
      </c>
      <c r="T74" s="52">
        <f>IFERROR(INDEX('Strategy Selection'!$J$10:$J$23,MATCH($D74,'Strategy Selection'!$B$10:$B$23,0)),0)</f>
        <v>61.5</v>
      </c>
      <c r="U74" s="52">
        <v>4</v>
      </c>
      <c r="V74" s="52">
        <v>4</v>
      </c>
      <c r="W74" s="52">
        <v>5</v>
      </c>
      <c r="X74" s="52">
        <f>MAX(1,MIN(5,ROUNDUP((IF($O74="",0,$O74)*0.5)+(IF($Q74="",0,$Q74)*0.25)+((IF($T74="",0,$T74)/20)*0.25),0)))</f>
      </c>
      <c r="Y74" s="52">
        <f>MAX(1,MIN(5,ROUNDUP(((IF($R74="",1,$R74)-1)*1.6)+('Crisis Simulator'!$B$5*0.45)+IF(IF($S74="",99,$S74)&lt;=3,0.8,0),0)))</f>
      </c>
      <c r="Z74" s="52">
        <f>MAX(1,MIN(5,ROUNDUP((IF($O74="",0,$O74)*0.45)+(IF($M74="",0,$M74)*0.35)+(IF($V74="",0,$V74)*0.35),0)))</f>
      </c>
      <c r="AA74" s="52">
        <f>MAX(1,MIN(5,ROUNDUP((IF($U74="",0,$U74)*0.4)+(IF($W74="",0,$W74)*0.3)+((IF($T74="",0,$T74)/20)*0.3),0)))</f>
      </c>
      <c r="AB74" s="52">
        <v>2</v>
      </c>
      <c r="AC74" s="52">
        <f>IF($AB74=0,"",ROUND((IF($X74="",0,$X74)+IF($Y74="",0,$Y74)+IF($Z74="",0,$Z74)+IF($AA74="",0,$AA74))/$AB74,2))</f>
      </c>
      <c r="AD74" s="52">
        <f>IF($AC74="","",RANK.EQ($AC74,$AC$5:$AC$76,0)+COUNTIF($AC$5:$AC74,$AC74)-1)</f>
      </c>
      <c r="AE74" s="52">
        <f>IF($AD74="","",IF($AD74&lt;=12,"0-90 days",IF($AD74&lt;=32,"3-6 months",IF($AD74&lt;=55,"6-12 months","12+ months"))))</f>
      </c>
      <c r="AF74" s="52" t="s">
        <v>1642</v>
      </c>
      <c r="AG74" s="52" t="s">
        <v>1006</v>
      </c>
      <c r="AH74" s="52" t="s">
        <v>1007</v>
      </c>
      <c r="AI74" s="52" t="s">
        <v>1008</v>
      </c>
      <c r="AJ74" s="52" t="s">
        <v>1651</v>
      </c>
      <c r="AK74" s="52" t="s">
        <v>1652</v>
      </c>
      <c r="AL74" s="52" t="s">
        <v>1653</v>
      </c>
      <c r="AM74" s="52" t="s">
        <v>1270</v>
      </c>
      <c r="AN74" s="52" t="s">
        <v>1013</v>
      </c>
      <c r="AO74" s="52" t="s">
        <v>783</v>
      </c>
      <c r="AP74" s="52" t="s">
        <v>1014</v>
      </c>
      <c r="AQ74" s="52"/>
      <c r="AR74" s="52"/>
      <c r="AS74" s="48">
        <f>IFERROR(SUMIFS(_TECH_Industry_Templates!$J:$J,_TECH_Industry_Templates!$A:$A,'Company Profile'!$B$9,_TECH_Industry_Templates!$B:$B,$B74),1)</f>
        <v>1.2</v>
      </c>
      <c r="AT74" s="48">
        <f>IF($AC74="","",ROUND($AC74*IF($AS74="",1,$AS74),2))</f>
      </c>
      <c r="AU74" s="48">
        <f>IF($AT74="","",RANK.EQ($AT74,$AT$5:$AT$76,0)+COUNTIF($AT$5:AT74,$AT74)-1)</f>
      </c>
      <c r="AV74" s="48" t="str">
        <f>IFERROR(INDEX('Improved Scoring Model'!$E$6:$E$22,MATCH($B74,'Improved Scoring Model'!$A$6:$A$22,0)),"")</f>
        <v/>
      </c>
      <c r="AW74" s="48" t="str">
        <f t="shared" si="29"/>
        <v>Industry template increases priority</v>
      </c>
    </row>
    <row r="75" spans="1:49" ht="42" customHeight="1">
      <c r="A75" s="52" t="s">
        <v>1654</v>
      </c>
      <c r="B75" s="52" t="s">
        <v>94</v>
      </c>
      <c r="C75" s="52" t="s">
        <v>1655</v>
      </c>
      <c r="D75" s="52" t="s">
        <v>1033</v>
      </c>
      <c r="E75" s="52" t="s">
        <v>1034</v>
      </c>
      <c r="F75" s="52" t="s">
        <v>1656</v>
      </c>
      <c r="G75" s="52" t="s">
        <v>1657</v>
      </c>
      <c r="H75" s="52" t="s">
        <v>1639</v>
      </c>
      <c r="I75" s="52" t="s">
        <v>1640</v>
      </c>
      <c r="J75" s="52" t="s">
        <v>1658</v>
      </c>
      <c r="K75" s="52">
        <v>5</v>
      </c>
      <c r="L75" s="52">
        <f>COUNTIFS('Executive Recommendations'!$C$8:$C$414,$B75,'Executive Recommendations'!$D$8:$D$414,$C75,'Executive Recommendations'!$B$8:$B$414,"Yes")</f>
        <v>0</v>
      </c>
      <c r="M75" s="52">
        <f>COUNTIFS('Risk Summary'!$C$8:$C$414,$B75,'Risk Summary'!$D$8:$D$414,$C75,'Risk Summary'!$B$8:$B$414,"Yes")</f>
        <v>0</v>
      </c>
      <c r="N75" s="52" t="str">
        <f t="shared" ca="1" si="20"/>
        <v/>
      </c>
      <c r="O75" s="52" t="str">
        <f t="shared" ca="1" si="21"/>
        <v/>
      </c>
      <c r="P75" s="52">
        <f>IFERROR(INDEX(Dashboard!$H$5:$H$21,MATCH($B75,Dashboard!$A$5:$A$21,0)),"")</f>
        <v>0</v>
      </c>
      <c r="Q75" s="52">
        <f t="shared" si="22"/>
        <v>5</v>
      </c>
      <c r="R75" s="52">
        <f>IFERROR(SUMIFS(_TECH_Crisis_Model!$D$5:$D$191,_TECH_Crisis_Model!$A$5:$A$191,'Crisis Simulator'!$B$4,_TECH_Crisis_Model!$B$5:$B$191,$B75),1)</f>
        <v>1</v>
      </c>
      <c r="S75" s="52">
        <f ca="1">IFERROR(INDEX('Strategy Selection'!$A$10:$A$23,MATCH($D75,'Strategy Selection'!$B$10:$B$23,0)),99)</f>
        <v>99</v>
      </c>
      <c r="T75" s="52">
        <f>IFERROR(INDEX('Strategy Selection'!$J$10:$J$23,MATCH($D75,'Strategy Selection'!$B$10:$B$23,0)),0)</f>
        <v>65.8</v>
      </c>
      <c r="U75" s="52">
        <v>2</v>
      </c>
      <c r="V75" s="52">
        <v>4</v>
      </c>
      <c r="W75" s="52">
        <v>5</v>
      </c>
      <c r="X75" s="52">
        <f>MAX(1,MIN(5,ROUNDUP((IF($O75="",0,$O75)*0.5)+(IF($Q75="",0,$Q75)*0.25)+((IF($T75="",0,$T75)/20)*0.25),0)))</f>
      </c>
      <c r="Y75" s="52">
        <f>MAX(1,MIN(5,ROUNDUP(((IF($R75="",1,$R75)-1)*1.6)+('Crisis Simulator'!$B$5*0.45)+IF(IF($S75="",99,$S75)&lt;=3,0.8,0),0)))</f>
      </c>
      <c r="Z75" s="52">
        <f>MAX(1,MIN(5,ROUNDUP((IF($O75="",0,$O75)*0.45)+(IF($M75="",0,$M75)*0.35)+(IF($V75="",0,$V75)*0.35),0)))</f>
      </c>
      <c r="AA75" s="52">
        <f>MAX(1,MIN(5,ROUNDUP((IF($U75="",0,$U75)*0.4)+(IF($W75="",0,$W75)*0.3)+((IF($T75="",0,$T75)/20)*0.3),0)))</f>
      </c>
      <c r="AB75" s="52">
        <v>2</v>
      </c>
      <c r="AC75" s="52">
        <f>IF($AB75=0,"",ROUND((IF($X75="",0,$X75)+IF($Y75="",0,$Y75)+IF($Z75="",0,$Z75)+IF($AA75="",0,$AA75))/$AB75,2))</f>
      </c>
      <c r="AD75" s="52">
        <f>IF($AC75="","",RANK.EQ($AC75,$AC$5:$AC$76,0)+COUNTIF($AC$5:$AC75,$AC75)-1)</f>
      </c>
      <c r="AE75" s="52">
        <f>IF($AD75="","",IF($AD75&lt;=12,"0-90 days",IF($AD75&lt;=32,"3-6 months",IF($AD75&lt;=55,"6-12 months","12+ months"))))</f>
      </c>
      <c r="AF75" s="52" t="s">
        <v>1642</v>
      </c>
      <c r="AG75" s="52" t="s">
        <v>1006</v>
      </c>
      <c r="AH75" s="52" t="s">
        <v>1007</v>
      </c>
      <c r="AI75" s="52" t="s">
        <v>1008</v>
      </c>
      <c r="AJ75" s="52" t="s">
        <v>1659</v>
      </c>
      <c r="AK75" s="52" t="s">
        <v>1660</v>
      </c>
      <c r="AL75" s="52" t="s">
        <v>1661</v>
      </c>
      <c r="AM75" s="52" t="s">
        <v>1046</v>
      </c>
      <c r="AN75" s="52" t="s">
        <v>1013</v>
      </c>
      <c r="AO75" s="52" t="s">
        <v>783</v>
      </c>
      <c r="AP75" s="52" t="s">
        <v>1014</v>
      </c>
      <c r="AQ75" s="52"/>
      <c r="AR75" s="52"/>
      <c r="AS75" s="48">
        <f>IFERROR(SUMIFS(_TECH_Industry_Templates!$J:$J,_TECH_Industry_Templates!$A:$A,'Company Profile'!$B$9,_TECH_Industry_Templates!$B:$B,$B75),1)</f>
        <v>1.2</v>
      </c>
      <c r="AT75" s="48">
        <f>IF($AC75="","",ROUND($AC75*IF($AS75="",1,$AS75),2))</f>
      </c>
      <c r="AU75" s="48">
        <f>IF($AT75="","",RANK.EQ($AT75,$AT$5:$AT$76,0)+COUNTIF($AT$5:AT75,$AT75)-1)</f>
      </c>
      <c r="AV75" s="48" t="str">
        <f>IFERROR(INDEX('Improved Scoring Model'!$E$6:$E$22,MATCH($B75,'Improved Scoring Model'!$A$6:$A$22,0)),"")</f>
        <v/>
      </c>
      <c r="AW75" s="48" t="str">
        <f t="shared" si="29"/>
        <v>Industry template increases priority</v>
      </c>
    </row>
    <row r="76" spans="1:49" ht="42" customHeight="1">
      <c r="A76" s="52" t="s">
        <v>1662</v>
      </c>
      <c r="B76" s="52" t="s">
        <v>94</v>
      </c>
      <c r="C76" s="52" t="s">
        <v>1663</v>
      </c>
      <c r="D76" s="52" t="s">
        <v>1148</v>
      </c>
      <c r="E76" s="52" t="s">
        <v>1149</v>
      </c>
      <c r="F76" s="52" t="s">
        <v>1664</v>
      </c>
      <c r="G76" s="52" t="s">
        <v>1665</v>
      </c>
      <c r="H76" s="52" t="s">
        <v>1639</v>
      </c>
      <c r="I76" s="52" t="s">
        <v>1640</v>
      </c>
      <c r="J76" s="52" t="s">
        <v>1666</v>
      </c>
      <c r="K76" s="52">
        <v>5</v>
      </c>
      <c r="L76" s="52">
        <f>COUNTIFS('Executive Recommendations'!$C$8:$C$414,$B76,'Executive Recommendations'!$D$8:$D$414,$C76,'Executive Recommendations'!$B$8:$B$414,"Yes")</f>
        <v>0</v>
      </c>
      <c r="M76" s="52">
        <f>COUNTIFS('Risk Summary'!$C$8:$C$414,$B76,'Risk Summary'!$D$8:$D$414,$C76,'Risk Summary'!$B$8:$B$414,"Yes")</f>
        <v>0</v>
      </c>
      <c r="N76" s="52" t="str">
        <f t="shared" ca="1" si="20"/>
        <v/>
      </c>
      <c r="O76" s="52" t="str">
        <f t="shared" ca="1" si="21"/>
        <v/>
      </c>
      <c r="P76" s="52">
        <f>IFERROR(INDEX(Dashboard!$H$5:$H$21,MATCH($B76,Dashboard!$A$5:$A$21,0)),"")</f>
        <v>0</v>
      </c>
      <c r="Q76" s="52">
        <f t="shared" si="22"/>
        <v>5</v>
      </c>
      <c r="R76" s="52">
        <f>IFERROR(SUMIFS(_TECH_Crisis_Model!$D$5:$D$191,_TECH_Crisis_Model!$A$5:$A$191,'Crisis Simulator'!$B$4,_TECH_Crisis_Model!$B$5:$B$191,$B76),1)</f>
        <v>1</v>
      </c>
      <c r="S76" s="52">
        <f ca="1">IFERROR(INDEX('Strategy Selection'!$A$10:$A$23,MATCH($D76,'Strategy Selection'!$B$10:$B$23,0)),99)</f>
        <v>99</v>
      </c>
      <c r="T76" s="52">
        <f>IFERROR(INDEX('Strategy Selection'!$J$10:$J$23,MATCH($D76,'Strategy Selection'!$B$10:$B$23,0)),0)</f>
        <v>61.5</v>
      </c>
      <c r="U76" s="52">
        <v>2</v>
      </c>
      <c r="V76" s="52">
        <v>4</v>
      </c>
      <c r="W76" s="52">
        <v>5</v>
      </c>
      <c r="X76" s="52">
        <f>MAX(1,MIN(5,ROUNDUP((IF($O76="",0,$O76)*0.5)+(IF($Q76="",0,$Q76)*0.25)+((IF($T76="",0,$T76)/20)*0.25),0)))</f>
      </c>
      <c r="Y76" s="52">
        <f>MAX(1,MIN(5,ROUNDUP(((IF($R76="",1,$R76)-1)*1.6)+('Crisis Simulator'!$B$5*0.45)+IF(IF($S76="",99,$S76)&lt;=3,0.8,0),0)))</f>
      </c>
      <c r="Z76" s="52">
        <f>MAX(1,MIN(5,ROUNDUP((IF($O76="",0,$O76)*0.45)+(IF($M76="",0,$M76)*0.35)+(IF($V76="",0,$V76)*0.35),0)))</f>
      </c>
      <c r="AA76" s="52">
        <f>MAX(1,MIN(5,ROUNDUP((IF($U76="",0,$U76)*0.4)+(IF($W76="",0,$W76)*0.3)+((IF($T76="",0,$T76)/20)*0.3),0)))</f>
      </c>
      <c r="AB76" s="52">
        <v>2</v>
      </c>
      <c r="AC76" s="52">
        <f>IF($AB76=0,"",ROUND((IF($X76="",0,$X76)+IF($Y76="",0,$Y76)+IF($Z76="",0,$Z76)+IF($AA76="",0,$AA76))/$AB76,2))</f>
      </c>
      <c r="AD76" s="52">
        <f>IF($AC76="","",RANK.EQ($AC76,$AC$5:$AC$76,0)+COUNTIF($AC$5:$AC76,$AC76)-1)</f>
      </c>
      <c r="AE76" s="52">
        <f>IF($AD76="","",IF($AD76&lt;=12,"0-90 days",IF($AD76&lt;=32,"3-6 months",IF($AD76&lt;=55,"6-12 months","12+ months"))))</f>
      </c>
      <c r="AF76" s="52" t="s">
        <v>1642</v>
      </c>
      <c r="AG76" s="52" t="s">
        <v>1006</v>
      </c>
      <c r="AH76" s="52" t="s">
        <v>1007</v>
      </c>
      <c r="AI76" s="52" t="s">
        <v>1008</v>
      </c>
      <c r="AJ76" s="52" t="s">
        <v>1667</v>
      </c>
      <c r="AK76" s="52" t="s">
        <v>1668</v>
      </c>
      <c r="AL76" s="52" t="s">
        <v>1669</v>
      </c>
      <c r="AM76" s="52" t="s">
        <v>1156</v>
      </c>
      <c r="AN76" s="52" t="s">
        <v>1013</v>
      </c>
      <c r="AO76" s="52" t="s">
        <v>783</v>
      </c>
      <c r="AP76" s="52" t="s">
        <v>1014</v>
      </c>
      <c r="AQ76" s="52"/>
      <c r="AR76" s="52"/>
      <c r="AS76" s="48">
        <f>IFERROR(SUMIFS(_TECH_Industry_Templates!$J:$J,_TECH_Industry_Templates!$A:$A,'Company Profile'!$B$9,_TECH_Industry_Templates!$B:$B,$B76),1)</f>
        <v>1.2</v>
      </c>
      <c r="AT76" s="48">
        <f>IF($AC76="","",ROUND($AC76*IF($AS76="",1,$AS76),2))</f>
      </c>
      <c r="AU76" s="48">
        <f>IF($AT76="","",RANK.EQ($AT76,$AT$5:$AT$76,0)+COUNTIF($AT$5:AT76,$AT76)-1)</f>
      </c>
      <c r="AV76" s="48" t="str">
        <f>IFERROR(INDEX('Improved Scoring Model'!$E$6:$E$22,MATCH($B76,'Improved Scoring Model'!$A$6:$A$22,0)),"")</f>
        <v/>
      </c>
      <c r="AW76" s="48" t="str">
        <f t="shared" si="29"/>
        <v>Industry template increases priority</v>
      </c>
    </row>
  </sheetData>
  <sheetProtection sheet="1" objects="1" scenarios="1"/>
  <mergeCells count="2">
    <mergeCell ref="A1:AR1"/>
    <mergeCell ref="A2:AR2"/>
  </mergeCells>
  <conditionalFormatting sqref="AC5:AC76">
    <cfRule type="colorScale" priority="1">
      <colorScale>
        <cfvo type="min"/>
        <cfvo type="percentile" val="50"/>
        <cfvo type="max"/>
        <color rgb="FFFCE4D6"/>
        <color rgb="FFFFF2CC"/>
        <color rgb="FFE2F0D9"/>
      </colorScale>
    </cfRule>
  </conditionalFormatting>
  <dataValidations count="1">
    <dataValidation type="list" allowBlank="1" sqref="AO5:AO76" ns2:uid="{00000000-0002-0000-1100-000000000000}">
      <formula1>"Not started,In progress,Blocked,Done,Deferred"</formula1>
    </dataValidation>
  </dataValidation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19.xml><?xml version="1.0" encoding="utf-8"?>
<worksheet xmlns="http://schemas.openxmlformats.org/spreadsheetml/2006/main" xmlns:ns1="http://schemas.openxmlformats.org/markup-compatibility/2006" xmlns:ns2="http://schemas.microsoft.com/office/spreadsheetml/2014/revision" ns1:Ignorable="x14ac xr xr2 xr3" ns2:uid="{00000000-0001-0000-1200-000000000000}">
  <sheetPr>
    <tabColor rgb="FF2E75B6"/>
  </sheetPr>
  <dimension ref="A1:V42"/>
  <sheetViews>
    <sheetView workbookViewId="0"/>
  </sheetViews>
  <sheetFormatPr defaultRowHeight="14.25"/>
  <cols>
    <col min="1" max="1" width="28" customWidth="1"/>
    <col min="2" max="2" width="58" customWidth="1"/>
    <col min="3" max="3" width="48" customWidth="1"/>
    <col min="4" max="4" width="60" customWidth="1"/>
  </cols>
  <sheetData>
    <row r="1" spans="1:22" ht="27.95" customHeight="1">
      <c r="A1" s="160" t="s">
        <v>1670</v>
      </c>
      <c r="B1" s="158"/>
      <c r="C1" s="158"/>
      <c r="D1" s="158"/>
      <c r="E1" s="158"/>
      <c r="F1" s="158"/>
      <c r="G1" s="158"/>
      <c r="H1" s="158"/>
      <c r="I1" s="158"/>
      <c r="J1" s="158"/>
      <c r="K1" s="158"/>
      <c r="L1" s="158"/>
      <c r="M1" s="158"/>
      <c r="N1" s="158"/>
      <c r="O1" s="158"/>
      <c r="P1" s="158"/>
      <c r="Q1" s="158"/>
      <c r="R1" s="158"/>
      <c r="S1" s="158"/>
      <c r="T1" s="158"/>
      <c r="U1" s="158"/>
      <c r="V1" s="158"/>
    </row>
    <row r="2" spans="1:22" ht="38.1" customHeight="1">
      <c r="A2" s="157" t="s">
        <v>1671</v>
      </c>
      <c r="B2" s="158"/>
      <c r="C2" s="158"/>
      <c r="D2" s="158"/>
      <c r="E2" s="158"/>
      <c r="F2" s="158"/>
      <c r="G2" s="158"/>
      <c r="H2" s="158"/>
      <c r="I2" s="158"/>
      <c r="J2" s="158"/>
      <c r="K2" s="158"/>
      <c r="L2" s="158"/>
      <c r="M2" s="158"/>
      <c r="N2" s="158"/>
      <c r="O2" s="158"/>
      <c r="P2" s="158"/>
      <c r="Q2" s="158"/>
      <c r="R2" s="158"/>
      <c r="S2" s="158"/>
      <c r="T2" s="158"/>
      <c r="U2" s="158"/>
      <c r="V2" s="158"/>
    </row>
    <row r="4" spans="1:22" ht="15">
      <c r="A4" s="4" t="s">
        <v>1672</v>
      </c>
      <c r="B4" s="4" t="s">
        <v>1673</v>
      </c>
      <c r="C4" s="4" t="s">
        <v>1674</v>
      </c>
      <c r="D4" s="4" t="s">
        <v>1675</v>
      </c>
    </row>
    <row r="5" spans="1:22" ht="28.5">
      <c r="A5" s="5" t="s">
        <v>1676</v>
      </c>
      <c r="B5" s="5" t="s">
        <v>1677</v>
      </c>
      <c r="C5" s="5" t="s">
        <v>1678</v>
      </c>
      <c r="D5" s="5" t="s">
        <v>1679</v>
      </c>
    </row>
    <row r="6" spans="1:22">
      <c r="A6" s="5" t="s">
        <v>1680</v>
      </c>
      <c r="B6" s="5" t="s">
        <v>1681</v>
      </c>
      <c r="C6" s="5" t="s">
        <v>1682</v>
      </c>
      <c r="D6" s="5" t="s">
        <v>1683</v>
      </c>
    </row>
    <row r="7" spans="1:22">
      <c r="A7" s="5" t="s">
        <v>1684</v>
      </c>
      <c r="B7" s="5" t="s">
        <v>1685</v>
      </c>
      <c r="C7" s="5" t="s">
        <v>1686</v>
      </c>
      <c r="D7" s="5" t="s">
        <v>1687</v>
      </c>
    </row>
    <row r="8" spans="1:22">
      <c r="A8" s="5" t="s">
        <v>1688</v>
      </c>
      <c r="B8" s="5" t="s">
        <v>1689</v>
      </c>
      <c r="C8" s="5" t="s">
        <v>1690</v>
      </c>
      <c r="D8" s="5" t="s">
        <v>1691</v>
      </c>
    </row>
    <row r="9" spans="1:22" ht="28.5">
      <c r="A9" s="5" t="s">
        <v>1692</v>
      </c>
      <c r="B9" s="5" t="s">
        <v>1693</v>
      </c>
      <c r="C9" s="5" t="s">
        <v>1694</v>
      </c>
      <c r="D9" s="5" t="s">
        <v>1695</v>
      </c>
    </row>
    <row r="10" spans="1:22">
      <c r="A10" s="5" t="s">
        <v>1696</v>
      </c>
      <c r="B10" s="5" t="s">
        <v>1697</v>
      </c>
      <c r="C10" s="5" t="s">
        <v>1698</v>
      </c>
      <c r="D10" s="5" t="s">
        <v>1699</v>
      </c>
    </row>
    <row r="11" spans="1:22">
      <c r="A11" s="5" t="s">
        <v>1700</v>
      </c>
      <c r="B11" s="5" t="s">
        <v>1701</v>
      </c>
      <c r="C11" s="5" t="s">
        <v>1702</v>
      </c>
      <c r="D11" s="5" t="s">
        <v>1703</v>
      </c>
    </row>
    <row r="12" spans="1:22">
      <c r="A12" s="5" t="s">
        <v>1704</v>
      </c>
      <c r="B12" s="5" t="s">
        <v>1705</v>
      </c>
      <c r="C12" s="5" t="s">
        <v>72</v>
      </c>
      <c r="D12" s="5" t="s">
        <v>1706</v>
      </c>
    </row>
    <row r="13" spans="1:22">
      <c r="A13" s="5" t="s">
        <v>1707</v>
      </c>
      <c r="B13" s="5" t="s">
        <v>1708</v>
      </c>
      <c r="C13" s="5" t="s">
        <v>1709</v>
      </c>
      <c r="D13" s="5" t="s">
        <v>1710</v>
      </c>
    </row>
    <row r="14" spans="1:22">
      <c r="A14" s="5" t="s">
        <v>1711</v>
      </c>
      <c r="B14" s="5" t="s">
        <v>1712</v>
      </c>
      <c r="C14" s="5" t="s">
        <v>1713</v>
      </c>
      <c r="D14" s="5" t="s">
        <v>1714</v>
      </c>
    </row>
    <row r="15" spans="1:22">
      <c r="A15" s="5" t="s">
        <v>1715</v>
      </c>
      <c r="B15" s="5" t="s">
        <v>1716</v>
      </c>
      <c r="C15" s="5" t="s">
        <v>1717</v>
      </c>
      <c r="D15" s="5" t="s">
        <v>1718</v>
      </c>
    </row>
    <row r="16" spans="1:22">
      <c r="A16" s="5" t="s">
        <v>1719</v>
      </c>
      <c r="B16" s="5" t="s">
        <v>1720</v>
      </c>
      <c r="C16" s="5" t="s">
        <v>1721</v>
      </c>
      <c r="D16" s="5" t="s">
        <v>1722</v>
      </c>
    </row>
    <row r="17" spans="1:4">
      <c r="A17" s="5" t="s">
        <v>1723</v>
      </c>
      <c r="B17" s="5" t="s">
        <v>1724</v>
      </c>
      <c r="C17" s="5" t="s">
        <v>1713</v>
      </c>
      <c r="D17" s="5" t="s">
        <v>1725</v>
      </c>
    </row>
    <row r="18" spans="1:4">
      <c r="A18" s="5" t="s">
        <v>1726</v>
      </c>
      <c r="B18" s="5" t="s">
        <v>1727</v>
      </c>
      <c r="C18" s="5" t="s">
        <v>1728</v>
      </c>
      <c r="D18" s="5" t="s">
        <v>1729</v>
      </c>
    </row>
    <row r="19" spans="1:4">
      <c r="A19" s="5" t="s">
        <v>1730</v>
      </c>
      <c r="B19" s="5" t="s">
        <v>1731</v>
      </c>
      <c r="C19" s="5" t="s">
        <v>93</v>
      </c>
      <c r="D19" s="5" t="s">
        <v>1732</v>
      </c>
    </row>
    <row r="20" spans="1:4">
      <c r="A20" s="5" t="s">
        <v>1733</v>
      </c>
      <c r="B20" s="5" t="s">
        <v>1734</v>
      </c>
      <c r="C20" s="5" t="s">
        <v>1735</v>
      </c>
      <c r="D20" s="5" t="s">
        <v>1736</v>
      </c>
    </row>
    <row r="21" spans="1:4">
      <c r="A21" s="5" t="s">
        <v>1737</v>
      </c>
      <c r="B21" s="5" t="s">
        <v>1738</v>
      </c>
      <c r="C21" s="5" t="s">
        <v>1739</v>
      </c>
      <c r="D21" s="5" t="s">
        <v>1740</v>
      </c>
    </row>
    <row r="22" spans="1:4">
      <c r="A22" s="5" t="s">
        <v>1741</v>
      </c>
      <c r="B22" s="5" t="s">
        <v>1742</v>
      </c>
      <c r="C22" s="5" t="s">
        <v>92</v>
      </c>
      <c r="D22" s="5" t="s">
        <v>1743</v>
      </c>
    </row>
    <row r="23" spans="1:4">
      <c r="A23" s="5" t="s">
        <v>1744</v>
      </c>
      <c r="B23" s="5" t="s">
        <v>1745</v>
      </c>
      <c r="C23" s="5" t="s">
        <v>92</v>
      </c>
      <c r="D23" s="5" t="s">
        <v>1746</v>
      </c>
    </row>
    <row r="24" spans="1:4">
      <c r="A24" s="5" t="s">
        <v>1747</v>
      </c>
      <c r="B24" s="5" t="s">
        <v>1748</v>
      </c>
      <c r="C24" s="5" t="s">
        <v>92</v>
      </c>
      <c r="D24" s="5" t="s">
        <v>1749</v>
      </c>
    </row>
    <row r="25" spans="1:4">
      <c r="A25" s="5" t="s">
        <v>1750</v>
      </c>
      <c r="B25" s="5" t="s">
        <v>1751</v>
      </c>
      <c r="C25" s="5" t="s">
        <v>92</v>
      </c>
      <c r="D25" s="5" t="s">
        <v>1752</v>
      </c>
    </row>
    <row r="26" spans="1:4">
      <c r="A26" s="5" t="s">
        <v>1753</v>
      </c>
      <c r="B26" s="5" t="s">
        <v>1754</v>
      </c>
      <c r="C26" s="5" t="s">
        <v>66</v>
      </c>
      <c r="D26" s="5" t="s">
        <v>1755</v>
      </c>
    </row>
    <row r="27" spans="1:4">
      <c r="A27" s="5" t="s">
        <v>1756</v>
      </c>
      <c r="B27" s="5" t="s">
        <v>1757</v>
      </c>
      <c r="C27" s="5" t="s">
        <v>1758</v>
      </c>
      <c r="D27" s="5" t="s">
        <v>1759</v>
      </c>
    </row>
    <row r="28" spans="1:4">
      <c r="A28" s="5" t="s">
        <v>1760</v>
      </c>
      <c r="B28" s="5" t="s">
        <v>1761</v>
      </c>
      <c r="C28" s="5" t="s">
        <v>1762</v>
      </c>
      <c r="D28" s="5" t="s">
        <v>1763</v>
      </c>
    </row>
    <row r="29" spans="1:4">
      <c r="A29" s="5" t="s">
        <v>1764</v>
      </c>
      <c r="B29" s="5" t="s">
        <v>1765</v>
      </c>
      <c r="C29" s="5" t="s">
        <v>78</v>
      </c>
      <c r="D29" s="5" t="s">
        <v>1766</v>
      </c>
    </row>
    <row r="30" spans="1:4" ht="28.5">
      <c r="A30" s="5" t="s">
        <v>1767</v>
      </c>
      <c r="B30" s="5" t="s">
        <v>1768</v>
      </c>
      <c r="C30" s="5" t="s">
        <v>78</v>
      </c>
      <c r="D30" s="5" t="s">
        <v>1769</v>
      </c>
    </row>
    <row r="31" spans="1:4">
      <c r="A31" s="5" t="s">
        <v>1770</v>
      </c>
      <c r="B31" s="5" t="s">
        <v>1771</v>
      </c>
      <c r="C31" s="5" t="s">
        <v>1772</v>
      </c>
      <c r="D31" s="5" t="s">
        <v>1773</v>
      </c>
    </row>
    <row r="32" spans="1:4" ht="28.5">
      <c r="A32" s="5" t="s">
        <v>1774</v>
      </c>
      <c r="B32" s="5" t="s">
        <v>1775</v>
      </c>
      <c r="C32" s="5" t="s">
        <v>1776</v>
      </c>
      <c r="D32" s="5" t="s">
        <v>1777</v>
      </c>
    </row>
    <row r="33" spans="1:4">
      <c r="A33" s="5" t="s">
        <v>1778</v>
      </c>
      <c r="B33" s="5" t="s">
        <v>1779</v>
      </c>
      <c r="C33" s="5" t="s">
        <v>1780</v>
      </c>
      <c r="D33" s="5" t="s">
        <v>1781</v>
      </c>
    </row>
    <row r="34" spans="1:4">
      <c r="A34" s="5" t="s">
        <v>1782</v>
      </c>
      <c r="B34" s="5" t="s">
        <v>1783</v>
      </c>
      <c r="C34" s="5" t="s">
        <v>69</v>
      </c>
      <c r="D34" s="5" t="s">
        <v>1784</v>
      </c>
    </row>
    <row r="35" spans="1:4">
      <c r="A35" s="5" t="s">
        <v>1785</v>
      </c>
      <c r="B35" s="5" t="s">
        <v>1786</v>
      </c>
      <c r="C35" s="5" t="s">
        <v>63</v>
      </c>
      <c r="D35" s="5" t="s">
        <v>1787</v>
      </c>
    </row>
    <row r="36" spans="1:4">
      <c r="A36" s="5" t="s">
        <v>1788</v>
      </c>
      <c r="B36" s="5" t="s">
        <v>1789</v>
      </c>
      <c r="C36" s="5" t="s">
        <v>63</v>
      </c>
      <c r="D36" s="5" t="s">
        <v>1790</v>
      </c>
    </row>
    <row r="37" spans="1:4">
      <c r="A37" s="5" t="s">
        <v>1791</v>
      </c>
      <c r="B37" s="5" t="s">
        <v>1792</v>
      </c>
      <c r="C37" s="5" t="s">
        <v>1793</v>
      </c>
      <c r="D37" s="5" t="s">
        <v>1794</v>
      </c>
    </row>
    <row r="38" spans="1:4" ht="28.5">
      <c r="A38" s="5" t="s">
        <v>1795</v>
      </c>
      <c r="B38" s="5" t="s">
        <v>1796</v>
      </c>
      <c r="C38" s="5" t="s">
        <v>1797</v>
      </c>
      <c r="D38" s="5" t="s">
        <v>1798</v>
      </c>
    </row>
    <row r="39" spans="1:4" ht="28.5">
      <c r="A39" s="5" t="s">
        <v>1799</v>
      </c>
      <c r="B39" s="5" t="s">
        <v>1800</v>
      </c>
      <c r="C39" s="5" t="s">
        <v>1801</v>
      </c>
      <c r="D39" s="5" t="s">
        <v>1802</v>
      </c>
    </row>
    <row r="40" spans="1:4" ht="28.5">
      <c r="A40" s="5" t="s">
        <v>1803</v>
      </c>
      <c r="B40" s="5" t="s">
        <v>1804</v>
      </c>
      <c r="C40" s="5" t="s">
        <v>57</v>
      </c>
      <c r="D40" s="5" t="s">
        <v>1805</v>
      </c>
    </row>
    <row r="41" spans="1:4">
      <c r="A41" s="5" t="s">
        <v>1806</v>
      </c>
      <c r="B41" s="5" t="s">
        <v>1807</v>
      </c>
      <c r="C41" s="5" t="s">
        <v>1808</v>
      </c>
      <c r="D41" s="5" t="s">
        <v>1809</v>
      </c>
    </row>
    <row r="42" spans="1:4">
      <c r="A42" s="5" t="s">
        <v>1810</v>
      </c>
      <c r="B42" s="5" t="s">
        <v>1811</v>
      </c>
      <c r="C42" s="5" t="s">
        <v>1812</v>
      </c>
      <c r="D42" s="5" t="s">
        <v>1813</v>
      </c>
    </row>
  </sheetData>
  <mergeCells count="2">
    <mergeCell ref="A2:V2"/>
    <mergeCell ref="A1:V1"/>
  </mergeCell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20.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300-000000000000}">
  <sheetPr>
    <tabColor rgb="FFED7D31"/>
  </sheetPr>
  <dimension ref="A1:AT24"/>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1814</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1815</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57">
      <c r="A5" s="7" t="s">
        <v>1851</v>
      </c>
      <c r="B5" s="7" t="s">
        <v>998</v>
      </c>
      <c r="C5" s="7" t="s">
        <v>1852</v>
      </c>
      <c r="D5" s="7" t="s">
        <v>1853</v>
      </c>
      <c r="E5" s="7" t="s">
        <v>1854</v>
      </c>
      <c r="F5" s="7" t="s">
        <v>1855</v>
      </c>
      <c r="G5" s="7">
        <v>3</v>
      </c>
      <c r="H5" s="153"/>
      <c r="I5" s="8" t="str">
        <f t="shared" ref="I5:I24" si="0">IF($H5="","",IF($H5="N/A","",VALUE($H5)/5*$G5))</f>
        <v/>
      </c>
      <c r="J5" s="8" t="str">
        <f t="shared" ref="J5:J24" si="1">IF(OR($H5="",$H5="N/A"),"",$G5)</f>
        <v/>
      </c>
      <c r="K5" s="8" t="str">
        <f t="shared" ref="K5:K24" si="2">IF(OR($H5="",$H5="N/A"),"",$J5-$I5)</f>
        <v/>
      </c>
      <c r="L5" s="7" t="str">
        <f t="shared" ref="L5:L24" si="3">IF($H5="","",IF($H5="N/A","N/A",IF(VALUE($H5)&lt;=1,"Critical",IF(VALUE($H5)&lt;=2,"High",IF(VALUE($H5)&lt;=3,"Medium",IF(VALUE($H5)&lt;=4,"Low","Resilient"))))))</f>
        <v/>
      </c>
      <c r="M5" s="7" t="s">
        <v>1856</v>
      </c>
      <c r="N5" s="7" t="s">
        <v>1857</v>
      </c>
      <c r="O5" s="7" t="s">
        <v>1858</v>
      </c>
      <c r="P5" s="7" t="s">
        <v>1859</v>
      </c>
      <c r="Q5" s="7" t="s">
        <v>1860</v>
      </c>
      <c r="R5" s="7" t="s">
        <v>1861</v>
      </c>
      <c r="S5" s="7" t="s">
        <v>1862</v>
      </c>
      <c r="T5" s="7" t="s">
        <v>1863</v>
      </c>
      <c r="U5" s="7"/>
      <c r="V5" s="7" t="s">
        <v>1864</v>
      </c>
      <c r="W5" s="14">
        <v>4</v>
      </c>
      <c r="X5" s="14">
        <v>5</v>
      </c>
      <c r="Y5" s="14">
        <v>5</v>
      </c>
      <c r="AA5" t="s">
        <v>998</v>
      </c>
      <c r="AB5" s="13">
        <f>COUNTIF($B$5:$B$24,$AA5)</f>
        <v>7</v>
      </c>
      <c r="AC5" s="15">
        <f>IFERROR(SUMPRODUCT(($B$5:$B$24=$AA5)*($H$5:$H$24&lt;&gt;"")*($H$5:$H$24&lt;&gt;"N/A")*IFERROR(VALUE($H$5:$H$24),0))/SUMPRODUCT(($B$5:$B$24=$AA5)*($H$5:$H$24&lt;&gt;"")*($H$5:$H$24&lt;&gt;"N/A")),0)</f>
        <v>0</v>
      </c>
      <c r="AD5" s="16">
        <f>AC5/5</f>
        <v>0</v>
      </c>
      <c r="AE5" s="13">
        <f>COUNTIFS($B$5:$B$24,$AA5,$L$5:$L$24,"Critical")+COUNTIFS($B$5:$B$24,$AA5,$L$5:$L$24,"High")</f>
        <v>0</v>
      </c>
      <c r="AF5" s="15">
        <f>5-AC5</f>
        <v>5</v>
      </c>
      <c r="AG5" s="13">
        <f>COUNTIFS($B$5:$B$24,$AA5,$H$5:$H$24,"&lt;&gt;")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4" si="4">IF(OR($H5="",$H5="N/A"),"",ROUND(VALUE($H5)*$AJ5*$AK5,2))</f>
        <v/>
      </c>
      <c r="AM5" s="48" t="str">
        <f t="shared" ref="AM5:AM24" si="5">IF($AL5="","",ROUND($AL5/5*100,1))</f>
        <v/>
      </c>
      <c r="AN5" s="48">
        <f>IFERROR(SUMIFS(_TECH_Industry_Templates!$D:$D,_TECH_Industry_Templates!$A:$A,'Company Profile'!$B$9,_TECH_Industry_Templates!$B:$B,"Company Geography"),"")</f>
        <v>3.5</v>
      </c>
      <c r="AO5" s="48" t="str">
        <f t="shared" ref="AO5:AO24" si="6">IF($AL5="","",MAX(0,ROUND($AN5-$AL5,2)))</f>
        <v/>
      </c>
      <c r="AP5" s="48">
        <f>IFERROR(SUMIFS(_TECH_Industry_Templates!$E:$E,_TECH_Industry_Templates!$A:$A,'Company Profile'!$B$9,_TECH_Industry_Templates!$B:$B,"Company Geography"),1)</f>
        <v>1</v>
      </c>
      <c r="AQ5" s="48" t="str">
        <f t="shared" ref="AQ5:AQ24" si="7">IF($AO5="","",ROUND($AO5*$AP5*($G5/5),2))</f>
        <v/>
      </c>
      <c r="AR5" s="48" t="str">
        <f t="shared" ref="AR5:AR24" si="8">IF($AO5="","",IF($AO5&gt;=2,"Critical industry gap",IF($AO5&gt;=1,"High industry gap",IF($AO5&gt;=0.5,"Moderate industry gap","Within target"))))</f>
        <v/>
      </c>
      <c r="AS5" s="11">
        <f t="shared" ref="AS5:AS24" si="9">IF(OR($H5="",$H5="N/A"),0,VALUE($H5)*(($AJ5+$AK5)/2))</f>
        <v>0</v>
      </c>
      <c r="AT5" s="11">
        <f t="shared" ref="AT5:AT24" si="10">IF(OR($H5="",$H5="N/A"),0,($AJ5+$AK5)/2)</f>
        <v>0</v>
      </c>
    </row>
    <row r="6" spans="1:46" ht="57">
      <c r="A6" s="7" t="s">
        <v>1865</v>
      </c>
      <c r="B6" s="7" t="s">
        <v>998</v>
      </c>
      <c r="C6" s="7" t="s">
        <v>1866</v>
      </c>
      <c r="D6" s="7" t="s">
        <v>1853</v>
      </c>
      <c r="E6" s="7" t="s">
        <v>1854</v>
      </c>
      <c r="F6" s="7" t="s">
        <v>1867</v>
      </c>
      <c r="G6" s="7">
        <v>5</v>
      </c>
      <c r="H6" s="153"/>
      <c r="I6" s="8" t="str">
        <f t="shared" si="0"/>
        <v/>
      </c>
      <c r="J6" s="8" t="str">
        <f t="shared" si="1"/>
        <v/>
      </c>
      <c r="K6" s="8" t="str">
        <f t="shared" si="2"/>
        <v/>
      </c>
      <c r="L6" s="7" t="str">
        <f t="shared" si="3"/>
        <v/>
      </c>
      <c r="M6" s="7" t="s">
        <v>1868</v>
      </c>
      <c r="N6" s="7" t="s">
        <v>1869</v>
      </c>
      <c r="O6" s="7" t="s">
        <v>1870</v>
      </c>
      <c r="P6" s="7" t="s">
        <v>1871</v>
      </c>
      <c r="Q6" s="7" t="s">
        <v>1872</v>
      </c>
      <c r="R6" s="7" t="s">
        <v>1873</v>
      </c>
      <c r="S6" s="7" t="s">
        <v>1862</v>
      </c>
      <c r="T6" s="7" t="s">
        <v>1863</v>
      </c>
      <c r="U6" s="7"/>
      <c r="V6" s="7" t="s">
        <v>1874</v>
      </c>
      <c r="W6" s="14">
        <v>4</v>
      </c>
      <c r="X6" s="14">
        <v>5</v>
      </c>
      <c r="Y6" s="14">
        <v>5</v>
      </c>
      <c r="AA6" t="s">
        <v>1016</v>
      </c>
      <c r="AB6" s="13">
        <f>COUNTIF($B$5:$B$24,$AA6)</f>
        <v>7</v>
      </c>
      <c r="AC6" s="15">
        <f>IFERROR(SUMPRODUCT(($B$5:$B$24=$AA6)*($H$5:$H$24&lt;&gt;"")*($H$5:$H$24&lt;&gt;"N/A")*IFERROR(VALUE($H$5:$H$24),0))/SUMPRODUCT(($B$5:$B$24=$AA6)*($H$5:$H$24&lt;&gt;"")*($H$5:$H$24&lt;&gt;"N/A")),0)</f>
        <v>0</v>
      </c>
      <c r="AD6" s="16">
        <f>AC6/5</f>
        <v>0</v>
      </c>
      <c r="AE6" s="13">
        <f>COUNTIFS($B$5:$B$24,$AA6,$L$5:$L$24,"Critical")+COUNTIFS($B$5:$B$24,$AA6,$L$5:$L$24,"High")</f>
        <v>0</v>
      </c>
      <c r="AF6" s="15">
        <f>5-AC6</f>
        <v>5</v>
      </c>
      <c r="AG6" s="13">
        <f>COUNTIFS($B$5:$B$24,$AA6,$H$5:$H$24,"&lt;&gt;")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Profile'!$B$9,_TECH_Industry_Templates!$B:$B,"Company Geography"),"")</f>
        <v>3.5</v>
      </c>
      <c r="AO6" s="48" t="str">
        <f t="shared" si="6"/>
        <v/>
      </c>
      <c r="AP6" s="48">
        <f>IFERROR(SUMIFS(_TECH_Industry_Templates!$E:$E,_TECH_Industry_Templates!$A:$A,'Company Profile'!$B$9,_TECH_Industry_Templates!$B:$B,"Company Geography"),1)</f>
        <v>1</v>
      </c>
      <c r="AQ6" s="48" t="str">
        <f t="shared" si="7"/>
        <v/>
      </c>
      <c r="AR6" s="48" t="str">
        <f t="shared" si="8"/>
        <v/>
      </c>
      <c r="AS6" s="11">
        <f t="shared" si="9"/>
        <v>0</v>
      </c>
      <c r="AT6" s="11">
        <f t="shared" si="10"/>
        <v>0</v>
      </c>
    </row>
    <row r="7" spans="1:46" ht="57">
      <c r="A7" s="7" t="s">
        <v>1875</v>
      </c>
      <c r="B7" s="7" t="s">
        <v>998</v>
      </c>
      <c r="C7" s="7" t="s">
        <v>1876</v>
      </c>
      <c r="D7" s="7" t="s">
        <v>1853</v>
      </c>
      <c r="E7" s="7" t="s">
        <v>1854</v>
      </c>
      <c r="F7" s="7" t="s">
        <v>1877</v>
      </c>
      <c r="G7" s="7">
        <v>5</v>
      </c>
      <c r="H7" s="153"/>
      <c r="I7" s="8" t="str">
        <f t="shared" si="0"/>
        <v/>
      </c>
      <c r="J7" s="8" t="str">
        <f t="shared" si="1"/>
        <v/>
      </c>
      <c r="K7" s="8" t="str">
        <f t="shared" si="2"/>
        <v/>
      </c>
      <c r="L7" s="7" t="str">
        <f t="shared" si="3"/>
        <v/>
      </c>
      <c r="M7" s="7" t="s">
        <v>1878</v>
      </c>
      <c r="N7" s="7" t="s">
        <v>1879</v>
      </c>
      <c r="O7" s="7" t="s">
        <v>1880</v>
      </c>
      <c r="P7" s="7" t="s">
        <v>1881</v>
      </c>
      <c r="Q7" s="7" t="s">
        <v>1882</v>
      </c>
      <c r="R7" s="7" t="s">
        <v>1883</v>
      </c>
      <c r="S7" s="7" t="s">
        <v>1862</v>
      </c>
      <c r="T7" s="7" t="s">
        <v>1863</v>
      </c>
      <c r="U7" s="7"/>
      <c r="V7" s="7" t="s">
        <v>1884</v>
      </c>
      <c r="W7" s="14">
        <v>4</v>
      </c>
      <c r="X7" s="14">
        <v>5</v>
      </c>
      <c r="Y7" s="14">
        <v>5</v>
      </c>
      <c r="AA7" t="s">
        <v>1024</v>
      </c>
      <c r="AB7" s="13">
        <f>COUNTIF($B$5:$B$24,$AA7)</f>
        <v>6</v>
      </c>
      <c r="AC7" s="15">
        <f>IFERROR(SUMPRODUCT(($B$5:$B$24=$AA7)*($H$5:$H$24&lt;&gt;"")*($H$5:$H$24&lt;&gt;"N/A")*IFERROR(VALUE($H$5:$H$24),0))/SUMPRODUCT(($B$5:$B$24=$AA7)*($H$5:$H$24&lt;&gt;"")*($H$5:$H$24&lt;&gt;"N/A")),0)</f>
        <v>0</v>
      </c>
      <c r="AD7" s="16">
        <f>AC7/5</f>
        <v>0</v>
      </c>
      <c r="AE7" s="13">
        <f>COUNTIFS($B$5:$B$24,$AA7,$L$5:$L$24,"Critical")+COUNTIFS($B$5:$B$24,$AA7,$L$5:$L$24,"High")</f>
        <v>0</v>
      </c>
      <c r="AF7" s="15">
        <f>5-AC7</f>
        <v>5</v>
      </c>
      <c r="AG7" s="13">
        <f>COUNTIFS($B$5:$B$24,$AA7,$H$5:$H$24,"&lt;&gt;")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Profile'!$B$9,_TECH_Industry_Templates!$B:$B,"Company Geography"),"")</f>
        <v>3.5</v>
      </c>
      <c r="AO7" s="48" t="str">
        <f t="shared" si="6"/>
        <v/>
      </c>
      <c r="AP7" s="48">
        <f>IFERROR(SUMIFS(_TECH_Industry_Templates!$E:$E,_TECH_Industry_Templates!$A:$A,'Company Profile'!$B$9,_TECH_Industry_Templates!$B:$B,"Company Geography"),1)</f>
        <v>1</v>
      </c>
      <c r="AQ7" s="48" t="str">
        <f t="shared" si="7"/>
        <v/>
      </c>
      <c r="AR7" s="48" t="str">
        <f t="shared" si="8"/>
        <v/>
      </c>
      <c r="AS7" s="11">
        <f t="shared" si="9"/>
        <v>0</v>
      </c>
      <c r="AT7" s="11">
        <f t="shared" si="10"/>
        <v>0</v>
      </c>
    </row>
    <row r="8" spans="1:46" ht="57">
      <c r="A8" s="7" t="s">
        <v>1885</v>
      </c>
      <c r="B8" s="7" t="s">
        <v>998</v>
      </c>
      <c r="C8" s="7" t="s">
        <v>1886</v>
      </c>
      <c r="D8" s="7" t="s">
        <v>1853</v>
      </c>
      <c r="E8" s="7" t="s">
        <v>1854</v>
      </c>
      <c r="F8" s="7" t="s">
        <v>1887</v>
      </c>
      <c r="G8" s="7">
        <v>4</v>
      </c>
      <c r="H8" s="153"/>
      <c r="I8" s="8" t="str">
        <f t="shared" si="0"/>
        <v/>
      </c>
      <c r="J8" s="8" t="str">
        <f t="shared" si="1"/>
        <v/>
      </c>
      <c r="K8" s="8" t="str">
        <f t="shared" si="2"/>
        <v/>
      </c>
      <c r="L8" s="7" t="str">
        <f t="shared" si="3"/>
        <v/>
      </c>
      <c r="M8" s="7" t="s">
        <v>1888</v>
      </c>
      <c r="N8" s="7" t="s">
        <v>1889</v>
      </c>
      <c r="O8" s="7" t="s">
        <v>1890</v>
      </c>
      <c r="P8" s="7" t="s">
        <v>1891</v>
      </c>
      <c r="Q8" s="7" t="s">
        <v>1892</v>
      </c>
      <c r="R8" s="7" t="s">
        <v>1893</v>
      </c>
      <c r="S8" s="7" t="s">
        <v>1862</v>
      </c>
      <c r="T8" s="7" t="s">
        <v>1863</v>
      </c>
      <c r="U8" s="7"/>
      <c r="V8" s="7" t="s">
        <v>1894</v>
      </c>
      <c r="W8" s="14">
        <v>4</v>
      </c>
      <c r="X8" s="14">
        <v>5</v>
      </c>
      <c r="Y8" s="14">
        <v>5</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Profile'!$B$9,_TECH_Industry_Templates!$B:$B,"Company Geography"),"")</f>
        <v>3.5</v>
      </c>
      <c r="AO8" s="48" t="str">
        <f t="shared" si="6"/>
        <v/>
      </c>
      <c r="AP8" s="48">
        <f>IFERROR(SUMIFS(_TECH_Industry_Templates!$E:$E,_TECH_Industry_Templates!$A:$A,'Company Profile'!$B$9,_TECH_Industry_Templates!$B:$B,"Company Geography"),1)</f>
        <v>1</v>
      </c>
      <c r="AQ8" s="48" t="str">
        <f t="shared" si="7"/>
        <v/>
      </c>
      <c r="AR8" s="48" t="str">
        <f t="shared" si="8"/>
        <v/>
      </c>
      <c r="AS8" s="11">
        <f t="shared" si="9"/>
        <v>0</v>
      </c>
      <c r="AT8" s="11">
        <f t="shared" si="10"/>
        <v>0</v>
      </c>
    </row>
    <row r="9" spans="1:46" ht="71.25">
      <c r="A9" s="7" t="s">
        <v>1895</v>
      </c>
      <c r="B9" s="7" t="s">
        <v>998</v>
      </c>
      <c r="C9" s="7" t="s">
        <v>1896</v>
      </c>
      <c r="D9" s="7" t="s">
        <v>1853</v>
      </c>
      <c r="E9" s="7" t="s">
        <v>1854</v>
      </c>
      <c r="F9" s="7" t="s">
        <v>1897</v>
      </c>
      <c r="G9" s="7">
        <v>5</v>
      </c>
      <c r="H9" s="153"/>
      <c r="I9" s="8" t="str">
        <f t="shared" si="0"/>
        <v/>
      </c>
      <c r="J9" s="8" t="str">
        <f t="shared" si="1"/>
        <v/>
      </c>
      <c r="K9" s="8" t="str">
        <f t="shared" si="2"/>
        <v/>
      </c>
      <c r="L9" s="7" t="str">
        <f t="shared" si="3"/>
        <v/>
      </c>
      <c r="M9" s="7" t="s">
        <v>1898</v>
      </c>
      <c r="N9" s="7" t="s">
        <v>1899</v>
      </c>
      <c r="O9" s="7" t="s">
        <v>1900</v>
      </c>
      <c r="P9" s="7" t="s">
        <v>1901</v>
      </c>
      <c r="Q9" s="7" t="s">
        <v>1902</v>
      </c>
      <c r="R9" s="7" t="s">
        <v>1903</v>
      </c>
      <c r="S9" s="7" t="s">
        <v>1862</v>
      </c>
      <c r="T9" s="7" t="s">
        <v>1863</v>
      </c>
      <c r="U9" s="7"/>
      <c r="V9" s="7" t="s">
        <v>1904</v>
      </c>
      <c r="W9" s="14">
        <v>5</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Profile'!$B$9,_TECH_Industry_Templates!$B:$B,"Company Geography"),"")</f>
        <v>3.5</v>
      </c>
      <c r="AO9" s="48" t="str">
        <f t="shared" si="6"/>
        <v/>
      </c>
      <c r="AP9" s="48">
        <f>IFERROR(SUMIFS(_TECH_Industry_Templates!$E:$E,_TECH_Industry_Templates!$A:$A,'Company Profile'!$B$9,_TECH_Industry_Templates!$B:$B,"Company Geography"),1)</f>
        <v>1</v>
      </c>
      <c r="AQ9" s="48" t="str">
        <f t="shared" si="7"/>
        <v/>
      </c>
      <c r="AR9" s="48" t="str">
        <f t="shared" si="8"/>
        <v/>
      </c>
      <c r="AS9" s="11">
        <f t="shared" si="9"/>
        <v>0</v>
      </c>
      <c r="AT9" s="11">
        <f t="shared" si="10"/>
        <v>0</v>
      </c>
    </row>
    <row r="10" spans="1:46" ht="57">
      <c r="A10" s="7" t="s">
        <v>1905</v>
      </c>
      <c r="B10" s="7" t="s">
        <v>998</v>
      </c>
      <c r="C10" s="7" t="s">
        <v>1906</v>
      </c>
      <c r="D10" s="7" t="s">
        <v>1853</v>
      </c>
      <c r="E10" s="7" t="s">
        <v>1854</v>
      </c>
      <c r="F10" s="7" t="s">
        <v>1907</v>
      </c>
      <c r="G10" s="7">
        <v>4</v>
      </c>
      <c r="H10" s="153"/>
      <c r="I10" s="8" t="str">
        <f t="shared" si="0"/>
        <v/>
      </c>
      <c r="J10" s="8" t="str">
        <f t="shared" si="1"/>
        <v/>
      </c>
      <c r="K10" s="8" t="str">
        <f t="shared" si="2"/>
        <v/>
      </c>
      <c r="L10" s="7" t="str">
        <f t="shared" si="3"/>
        <v/>
      </c>
      <c r="M10" s="7" t="s">
        <v>1908</v>
      </c>
      <c r="N10" s="7" t="s">
        <v>1909</v>
      </c>
      <c r="O10" s="7" t="s">
        <v>1910</v>
      </c>
      <c r="P10" s="7" t="s">
        <v>1911</v>
      </c>
      <c r="Q10" s="7" t="s">
        <v>1912</v>
      </c>
      <c r="R10" s="7" t="s">
        <v>1913</v>
      </c>
      <c r="S10" s="7" t="s">
        <v>1862</v>
      </c>
      <c r="T10" s="7" t="s">
        <v>1863</v>
      </c>
      <c r="U10" s="7"/>
      <c r="V10" s="7" t="s">
        <v>1914</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Profile'!$B$9,_TECH_Industry_Templates!$B:$B,"Company Geography"),"")</f>
        <v>3.5</v>
      </c>
      <c r="AO10" s="48" t="str">
        <f t="shared" si="6"/>
        <v/>
      </c>
      <c r="AP10" s="48">
        <f>IFERROR(SUMIFS(_TECH_Industry_Templates!$E:$E,_TECH_Industry_Templates!$A:$A,'Company Profile'!$B$9,_TECH_Industry_Templates!$B:$B,"Company Geography"),1)</f>
        <v>1</v>
      </c>
      <c r="AQ10" s="48" t="str">
        <f t="shared" si="7"/>
        <v/>
      </c>
      <c r="AR10" s="48" t="str">
        <f t="shared" si="8"/>
        <v/>
      </c>
      <c r="AS10" s="11">
        <f t="shared" si="9"/>
        <v>0</v>
      </c>
      <c r="AT10" s="11">
        <f t="shared" si="10"/>
        <v>0</v>
      </c>
    </row>
    <row r="11" spans="1:46" ht="71.25">
      <c r="A11" s="7" t="s">
        <v>1915</v>
      </c>
      <c r="B11" s="7" t="s">
        <v>998</v>
      </c>
      <c r="C11" s="7" t="s">
        <v>1916</v>
      </c>
      <c r="D11" s="7" t="s">
        <v>1853</v>
      </c>
      <c r="E11" s="7" t="s">
        <v>1854</v>
      </c>
      <c r="F11" s="7" t="s">
        <v>1917</v>
      </c>
      <c r="G11" s="7">
        <v>5</v>
      </c>
      <c r="H11" s="153"/>
      <c r="I11" s="8" t="str">
        <f t="shared" si="0"/>
        <v/>
      </c>
      <c r="J11" s="8" t="str">
        <f t="shared" si="1"/>
        <v/>
      </c>
      <c r="K11" s="8" t="str">
        <f t="shared" si="2"/>
        <v/>
      </c>
      <c r="L11" s="7" t="str">
        <f t="shared" si="3"/>
        <v/>
      </c>
      <c r="M11" s="7" t="s">
        <v>1918</v>
      </c>
      <c r="N11" s="7" t="s">
        <v>1919</v>
      </c>
      <c r="O11" s="7" t="s">
        <v>1920</v>
      </c>
      <c r="P11" s="7" t="s">
        <v>1921</v>
      </c>
      <c r="Q11" s="7" t="s">
        <v>1922</v>
      </c>
      <c r="R11" s="7" t="s">
        <v>1923</v>
      </c>
      <c r="S11" s="7" t="s">
        <v>1862</v>
      </c>
      <c r="T11" s="7" t="s">
        <v>1863</v>
      </c>
      <c r="U11" s="7"/>
      <c r="V11" s="7" t="s">
        <v>1924</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Profile'!$B$9,_TECH_Industry_Templates!$B:$B,"Company Geography"),"")</f>
        <v>3.5</v>
      </c>
      <c r="AO11" s="48" t="str">
        <f t="shared" si="6"/>
        <v/>
      </c>
      <c r="AP11" s="48">
        <f>IFERROR(SUMIFS(_TECH_Industry_Templates!$E:$E,_TECH_Industry_Templates!$A:$A,'Company Profile'!$B$9,_TECH_Industry_Templates!$B:$B,"Company Geography"),1)</f>
        <v>1</v>
      </c>
      <c r="AQ11" s="48" t="str">
        <f t="shared" si="7"/>
        <v/>
      </c>
      <c r="AR11" s="48" t="str">
        <f t="shared" si="8"/>
        <v/>
      </c>
      <c r="AS11" s="11">
        <f t="shared" si="9"/>
        <v>0</v>
      </c>
      <c r="AT11" s="11">
        <f t="shared" si="10"/>
        <v>0</v>
      </c>
    </row>
    <row r="12" spans="1:46" ht="57">
      <c r="A12" s="7" t="s">
        <v>1925</v>
      </c>
      <c r="B12" s="7" t="s">
        <v>1016</v>
      </c>
      <c r="C12" s="7" t="s">
        <v>1926</v>
      </c>
      <c r="D12" s="7" t="s">
        <v>1853</v>
      </c>
      <c r="E12" s="7" t="s">
        <v>1854</v>
      </c>
      <c r="F12" s="7" t="s">
        <v>1927</v>
      </c>
      <c r="G12" s="7">
        <v>5</v>
      </c>
      <c r="H12" s="153"/>
      <c r="I12" s="8" t="str">
        <f t="shared" si="0"/>
        <v/>
      </c>
      <c r="J12" s="8" t="str">
        <f t="shared" si="1"/>
        <v/>
      </c>
      <c r="K12" s="8" t="str">
        <f t="shared" si="2"/>
        <v/>
      </c>
      <c r="L12" s="7" t="str">
        <f t="shared" si="3"/>
        <v/>
      </c>
      <c r="M12" s="7" t="s">
        <v>1928</v>
      </c>
      <c r="N12" s="7" t="s">
        <v>1929</v>
      </c>
      <c r="O12" s="7" t="s">
        <v>1930</v>
      </c>
      <c r="P12" s="7" t="s">
        <v>1931</v>
      </c>
      <c r="Q12" s="7" t="s">
        <v>1932</v>
      </c>
      <c r="R12" s="7" t="s">
        <v>1933</v>
      </c>
      <c r="S12" s="7" t="s">
        <v>1862</v>
      </c>
      <c r="T12" s="7" t="s">
        <v>1863</v>
      </c>
      <c r="U12" s="7"/>
      <c r="V12" s="7" t="s">
        <v>1934</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Profile'!$B$9,_TECH_Industry_Templates!$B:$B,"Company Geography"),"")</f>
        <v>3.5</v>
      </c>
      <c r="AO12" s="48" t="str">
        <f t="shared" si="6"/>
        <v/>
      </c>
      <c r="AP12" s="48">
        <f>IFERROR(SUMIFS(_TECH_Industry_Templates!$E:$E,_TECH_Industry_Templates!$A:$A,'Company Profile'!$B$9,_TECH_Industry_Templates!$B:$B,"Company Geography"),1)</f>
        <v>1</v>
      </c>
      <c r="AQ12" s="48" t="str">
        <f t="shared" si="7"/>
        <v/>
      </c>
      <c r="AR12" s="48" t="str">
        <f t="shared" si="8"/>
        <v/>
      </c>
      <c r="AS12" s="11">
        <f t="shared" si="9"/>
        <v>0</v>
      </c>
      <c r="AT12" s="11">
        <f t="shared" si="10"/>
        <v>0</v>
      </c>
    </row>
    <row r="13" spans="1:46" ht="71.25">
      <c r="A13" s="7" t="s">
        <v>1935</v>
      </c>
      <c r="B13" s="7" t="s">
        <v>1016</v>
      </c>
      <c r="C13" s="7" t="s">
        <v>1936</v>
      </c>
      <c r="D13" s="7" t="s">
        <v>1853</v>
      </c>
      <c r="E13" s="7" t="s">
        <v>1854</v>
      </c>
      <c r="F13" s="7" t="s">
        <v>1937</v>
      </c>
      <c r="G13" s="7">
        <v>5</v>
      </c>
      <c r="H13" s="153"/>
      <c r="I13" s="8" t="str">
        <f t="shared" si="0"/>
        <v/>
      </c>
      <c r="J13" s="8" t="str">
        <f t="shared" si="1"/>
        <v/>
      </c>
      <c r="K13" s="8" t="str">
        <f t="shared" si="2"/>
        <v/>
      </c>
      <c r="L13" s="7" t="str">
        <f t="shared" si="3"/>
        <v/>
      </c>
      <c r="M13" s="7" t="s">
        <v>1938</v>
      </c>
      <c r="N13" s="7" t="s">
        <v>1939</v>
      </c>
      <c r="O13" s="7" t="s">
        <v>1940</v>
      </c>
      <c r="P13" s="7" t="s">
        <v>1941</v>
      </c>
      <c r="Q13" s="7" t="s">
        <v>1942</v>
      </c>
      <c r="R13" s="7" t="s">
        <v>1943</v>
      </c>
      <c r="S13" s="7" t="s">
        <v>1862</v>
      </c>
      <c r="T13" s="7" t="s">
        <v>1863</v>
      </c>
      <c r="U13" s="7"/>
      <c r="V13" s="7" t="s">
        <v>1944</v>
      </c>
      <c r="W13" s="14">
        <v>5</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Profile'!$B$9,_TECH_Industry_Templates!$B:$B,"Company Geography"),"")</f>
        <v>3.5</v>
      </c>
      <c r="AO13" s="48" t="str">
        <f t="shared" si="6"/>
        <v/>
      </c>
      <c r="AP13" s="48">
        <f>IFERROR(SUMIFS(_TECH_Industry_Templates!$E:$E,_TECH_Industry_Templates!$A:$A,'Company Profile'!$B$9,_TECH_Industry_Templates!$B:$B,"Company Geography"),1)</f>
        <v>1</v>
      </c>
      <c r="AQ13" s="48" t="str">
        <f t="shared" si="7"/>
        <v/>
      </c>
      <c r="AR13" s="48" t="str">
        <f t="shared" si="8"/>
        <v/>
      </c>
      <c r="AS13" s="11">
        <f t="shared" si="9"/>
        <v>0</v>
      </c>
      <c r="AT13" s="11">
        <f t="shared" si="10"/>
        <v>0</v>
      </c>
    </row>
    <row r="14" spans="1:46" ht="71.25">
      <c r="A14" s="7" t="s">
        <v>1945</v>
      </c>
      <c r="B14" s="7" t="s">
        <v>1016</v>
      </c>
      <c r="C14" s="7" t="s">
        <v>1946</v>
      </c>
      <c r="D14" s="7" t="s">
        <v>1853</v>
      </c>
      <c r="E14" s="7" t="s">
        <v>1854</v>
      </c>
      <c r="F14" s="7" t="s">
        <v>1947</v>
      </c>
      <c r="G14" s="7">
        <v>4</v>
      </c>
      <c r="H14" s="153"/>
      <c r="I14" s="8" t="str">
        <f t="shared" si="0"/>
        <v/>
      </c>
      <c r="J14" s="8" t="str">
        <f t="shared" si="1"/>
        <v/>
      </c>
      <c r="K14" s="8" t="str">
        <f t="shared" si="2"/>
        <v/>
      </c>
      <c r="L14" s="7" t="str">
        <f t="shared" si="3"/>
        <v/>
      </c>
      <c r="M14" s="7" t="s">
        <v>1948</v>
      </c>
      <c r="N14" s="7" t="s">
        <v>1949</v>
      </c>
      <c r="O14" s="7" t="s">
        <v>1950</v>
      </c>
      <c r="P14" s="7" t="s">
        <v>1951</v>
      </c>
      <c r="Q14" s="7" t="s">
        <v>1952</v>
      </c>
      <c r="R14" s="7" t="s">
        <v>1953</v>
      </c>
      <c r="S14" s="7" t="s">
        <v>1862</v>
      </c>
      <c r="T14" s="7" t="s">
        <v>1863</v>
      </c>
      <c r="U14" s="7"/>
      <c r="V14" s="7" t="s">
        <v>1954</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Profile'!$B$9,_TECH_Industry_Templates!$B:$B,"Company Geography"),"")</f>
        <v>3.5</v>
      </c>
      <c r="AO14" s="48" t="str">
        <f t="shared" si="6"/>
        <v/>
      </c>
      <c r="AP14" s="48">
        <f>IFERROR(SUMIFS(_TECH_Industry_Templates!$E:$E,_TECH_Industry_Templates!$A:$A,'Company Profile'!$B$9,_TECH_Industry_Templates!$B:$B,"Company Geography"),1)</f>
        <v>1</v>
      </c>
      <c r="AQ14" s="48" t="str">
        <f t="shared" si="7"/>
        <v/>
      </c>
      <c r="AR14" s="48" t="str">
        <f t="shared" si="8"/>
        <v/>
      </c>
      <c r="AS14" s="11">
        <f t="shared" si="9"/>
        <v>0</v>
      </c>
      <c r="AT14" s="11">
        <f t="shared" si="10"/>
        <v>0</v>
      </c>
    </row>
    <row r="15" spans="1:46" ht="57">
      <c r="A15" s="7" t="s">
        <v>1955</v>
      </c>
      <c r="B15" s="7" t="s">
        <v>1016</v>
      </c>
      <c r="C15" s="7" t="s">
        <v>1956</v>
      </c>
      <c r="D15" s="7" t="s">
        <v>1853</v>
      </c>
      <c r="E15" s="7" t="s">
        <v>1854</v>
      </c>
      <c r="F15" s="7" t="s">
        <v>1957</v>
      </c>
      <c r="G15" s="7">
        <v>5</v>
      </c>
      <c r="H15" s="153"/>
      <c r="I15" s="8" t="str">
        <f t="shared" si="0"/>
        <v/>
      </c>
      <c r="J15" s="8" t="str">
        <f t="shared" si="1"/>
        <v/>
      </c>
      <c r="K15" s="8" t="str">
        <f t="shared" si="2"/>
        <v/>
      </c>
      <c r="L15" s="7" t="str">
        <f t="shared" si="3"/>
        <v/>
      </c>
      <c r="M15" s="7" t="s">
        <v>1958</v>
      </c>
      <c r="N15" s="7" t="s">
        <v>1959</v>
      </c>
      <c r="O15" s="7" t="s">
        <v>1960</v>
      </c>
      <c r="P15" s="7" t="s">
        <v>1961</v>
      </c>
      <c r="Q15" s="7" t="s">
        <v>1962</v>
      </c>
      <c r="R15" s="7" t="s">
        <v>1963</v>
      </c>
      <c r="S15" s="7" t="s">
        <v>1862</v>
      </c>
      <c r="T15" s="7" t="s">
        <v>1863</v>
      </c>
      <c r="U15" s="7"/>
      <c r="V15" s="7" t="s">
        <v>1964</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Profile'!$B$9,_TECH_Industry_Templates!$B:$B,"Company Geography"),"")</f>
        <v>3.5</v>
      </c>
      <c r="AO15" s="48" t="str">
        <f t="shared" si="6"/>
        <v/>
      </c>
      <c r="AP15" s="48">
        <f>IFERROR(SUMIFS(_TECH_Industry_Templates!$E:$E,_TECH_Industry_Templates!$A:$A,'Company Profile'!$B$9,_TECH_Industry_Templates!$B:$B,"Company Geography"),1)</f>
        <v>1</v>
      </c>
      <c r="AQ15" s="48" t="str">
        <f t="shared" si="7"/>
        <v/>
      </c>
      <c r="AR15" s="48" t="str">
        <f t="shared" si="8"/>
        <v/>
      </c>
      <c r="AS15" s="11">
        <f t="shared" si="9"/>
        <v>0</v>
      </c>
      <c r="AT15" s="11">
        <f t="shared" si="10"/>
        <v>0</v>
      </c>
    </row>
    <row r="16" spans="1:46" ht="57">
      <c r="A16" s="7" t="s">
        <v>1965</v>
      </c>
      <c r="B16" s="7" t="s">
        <v>1016</v>
      </c>
      <c r="C16" s="7" t="s">
        <v>1966</v>
      </c>
      <c r="D16" s="7" t="s">
        <v>1853</v>
      </c>
      <c r="E16" s="7" t="s">
        <v>1854</v>
      </c>
      <c r="F16" s="7" t="s">
        <v>1967</v>
      </c>
      <c r="G16" s="7">
        <v>5</v>
      </c>
      <c r="H16" s="153"/>
      <c r="I16" s="8" t="str">
        <f t="shared" si="0"/>
        <v/>
      </c>
      <c r="J16" s="8" t="str">
        <f t="shared" si="1"/>
        <v/>
      </c>
      <c r="K16" s="8" t="str">
        <f t="shared" si="2"/>
        <v/>
      </c>
      <c r="L16" s="7" t="str">
        <f t="shared" si="3"/>
        <v/>
      </c>
      <c r="M16" s="7" t="s">
        <v>1968</v>
      </c>
      <c r="N16" s="7" t="s">
        <v>1969</v>
      </c>
      <c r="O16" s="7" t="s">
        <v>1970</v>
      </c>
      <c r="P16" s="7" t="s">
        <v>1971</v>
      </c>
      <c r="Q16" s="7" t="s">
        <v>1972</v>
      </c>
      <c r="R16" s="7" t="s">
        <v>1973</v>
      </c>
      <c r="S16" s="7" t="s">
        <v>1862</v>
      </c>
      <c r="T16" s="7" t="s">
        <v>1863</v>
      </c>
      <c r="U16" s="7"/>
      <c r="V16" s="7" t="s">
        <v>1974</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Profile'!$B$9,_TECH_Industry_Templates!$B:$B,"Company Geography"),"")</f>
        <v>3.5</v>
      </c>
      <c r="AO16" s="48" t="str">
        <f t="shared" si="6"/>
        <v/>
      </c>
      <c r="AP16" s="48">
        <f>IFERROR(SUMIFS(_TECH_Industry_Templates!$E:$E,_TECH_Industry_Templates!$A:$A,'Company Profile'!$B$9,_TECH_Industry_Templates!$B:$B,"Company Geography"),1)</f>
        <v>1</v>
      </c>
      <c r="AQ16" s="48" t="str">
        <f t="shared" si="7"/>
        <v/>
      </c>
      <c r="AR16" s="48" t="str">
        <f t="shared" si="8"/>
        <v/>
      </c>
      <c r="AS16" s="11">
        <f t="shared" si="9"/>
        <v>0</v>
      </c>
      <c r="AT16" s="11">
        <f t="shared" si="10"/>
        <v>0</v>
      </c>
    </row>
    <row r="17" spans="1:46" ht="71.25">
      <c r="A17" s="7" t="s">
        <v>1975</v>
      </c>
      <c r="B17" s="7" t="s">
        <v>1016</v>
      </c>
      <c r="C17" s="7" t="s">
        <v>1976</v>
      </c>
      <c r="D17" s="7" t="s">
        <v>1853</v>
      </c>
      <c r="E17" s="7" t="s">
        <v>1854</v>
      </c>
      <c r="F17" s="7" t="s">
        <v>1977</v>
      </c>
      <c r="G17" s="7">
        <v>4</v>
      </c>
      <c r="H17" s="153"/>
      <c r="I17" s="8" t="str">
        <f t="shared" si="0"/>
        <v/>
      </c>
      <c r="J17" s="8" t="str">
        <f t="shared" si="1"/>
        <v/>
      </c>
      <c r="K17" s="8" t="str">
        <f t="shared" si="2"/>
        <v/>
      </c>
      <c r="L17" s="7" t="str">
        <f t="shared" si="3"/>
        <v/>
      </c>
      <c r="M17" s="7" t="s">
        <v>1978</v>
      </c>
      <c r="N17" s="7" t="s">
        <v>1979</v>
      </c>
      <c r="O17" s="7" t="s">
        <v>1980</v>
      </c>
      <c r="P17" s="7" t="s">
        <v>1981</v>
      </c>
      <c r="Q17" s="7" t="s">
        <v>1982</v>
      </c>
      <c r="R17" s="7" t="s">
        <v>1983</v>
      </c>
      <c r="S17" s="7" t="s">
        <v>1862</v>
      </c>
      <c r="T17" s="7" t="s">
        <v>1863</v>
      </c>
      <c r="U17" s="7"/>
      <c r="V17" s="7" t="s">
        <v>1984</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Profile'!$B$9,_TECH_Industry_Templates!$B:$B,"Company Geography"),"")</f>
        <v>3.5</v>
      </c>
      <c r="AO17" s="48" t="str">
        <f t="shared" si="6"/>
        <v/>
      </c>
      <c r="AP17" s="48">
        <f>IFERROR(SUMIFS(_TECH_Industry_Templates!$E:$E,_TECH_Industry_Templates!$A:$A,'Company Profile'!$B$9,_TECH_Industry_Templates!$B:$B,"Company Geography"),1)</f>
        <v>1</v>
      </c>
      <c r="AQ17" s="48" t="str">
        <f t="shared" si="7"/>
        <v/>
      </c>
      <c r="AR17" s="48" t="str">
        <f t="shared" si="8"/>
        <v/>
      </c>
      <c r="AS17" s="11">
        <f t="shared" si="9"/>
        <v>0</v>
      </c>
      <c r="AT17" s="11">
        <f t="shared" si="10"/>
        <v>0</v>
      </c>
    </row>
    <row r="18" spans="1:46" ht="57">
      <c r="A18" s="7" t="s">
        <v>1985</v>
      </c>
      <c r="B18" s="7" t="s">
        <v>1016</v>
      </c>
      <c r="C18" s="7" t="s">
        <v>1986</v>
      </c>
      <c r="D18" s="7" t="s">
        <v>1853</v>
      </c>
      <c r="E18" s="7" t="s">
        <v>1854</v>
      </c>
      <c r="F18" s="7" t="s">
        <v>1987</v>
      </c>
      <c r="G18" s="7">
        <v>5</v>
      </c>
      <c r="H18" s="153"/>
      <c r="I18" s="8" t="str">
        <f t="shared" si="0"/>
        <v/>
      </c>
      <c r="J18" s="8" t="str">
        <f t="shared" si="1"/>
        <v/>
      </c>
      <c r="K18" s="8" t="str">
        <f t="shared" si="2"/>
        <v/>
      </c>
      <c r="L18" s="7" t="str">
        <f t="shared" si="3"/>
        <v/>
      </c>
      <c r="M18" s="7" t="s">
        <v>1988</v>
      </c>
      <c r="N18" s="7" t="s">
        <v>1989</v>
      </c>
      <c r="O18" s="7" t="s">
        <v>1990</v>
      </c>
      <c r="P18" s="7" t="s">
        <v>1991</v>
      </c>
      <c r="Q18" s="7" t="s">
        <v>1992</v>
      </c>
      <c r="R18" s="7" t="s">
        <v>1993</v>
      </c>
      <c r="S18" s="7" t="s">
        <v>1862</v>
      </c>
      <c r="T18" s="7" t="s">
        <v>1863</v>
      </c>
      <c r="U18" s="7"/>
      <c r="V18" s="7" t="s">
        <v>1994</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Profile'!$B$9,_TECH_Industry_Templates!$B:$B,"Company Geography"),"")</f>
        <v>3.5</v>
      </c>
      <c r="AO18" s="48" t="str">
        <f t="shared" si="6"/>
        <v/>
      </c>
      <c r="AP18" s="48">
        <f>IFERROR(SUMIFS(_TECH_Industry_Templates!$E:$E,_TECH_Industry_Templates!$A:$A,'Company Profile'!$B$9,_TECH_Industry_Templates!$B:$B,"Company Geography"),1)</f>
        <v>1</v>
      </c>
      <c r="AQ18" s="48" t="str">
        <f t="shared" si="7"/>
        <v/>
      </c>
      <c r="AR18" s="48" t="str">
        <f t="shared" si="8"/>
        <v/>
      </c>
      <c r="AS18" s="11">
        <f t="shared" si="9"/>
        <v>0</v>
      </c>
      <c r="AT18" s="11">
        <f t="shared" si="10"/>
        <v>0</v>
      </c>
    </row>
    <row r="19" spans="1:46" ht="71.25">
      <c r="A19" s="7" t="s">
        <v>1995</v>
      </c>
      <c r="B19" s="7" t="s">
        <v>1024</v>
      </c>
      <c r="C19" s="7" t="s">
        <v>1996</v>
      </c>
      <c r="D19" s="7" t="s">
        <v>1853</v>
      </c>
      <c r="E19" s="7" t="s">
        <v>1854</v>
      </c>
      <c r="F19" s="7" t="s">
        <v>1997</v>
      </c>
      <c r="G19" s="7">
        <v>5</v>
      </c>
      <c r="H19" s="153"/>
      <c r="I19" s="8" t="str">
        <f t="shared" si="0"/>
        <v/>
      </c>
      <c r="J19" s="8" t="str">
        <f t="shared" si="1"/>
        <v/>
      </c>
      <c r="K19" s="8" t="str">
        <f t="shared" si="2"/>
        <v/>
      </c>
      <c r="L19" s="7" t="str">
        <f t="shared" si="3"/>
        <v/>
      </c>
      <c r="M19" s="7" t="s">
        <v>1998</v>
      </c>
      <c r="N19" s="7" t="s">
        <v>1999</v>
      </c>
      <c r="O19" s="7" t="s">
        <v>2000</v>
      </c>
      <c r="P19" s="7" t="s">
        <v>2001</v>
      </c>
      <c r="Q19" s="7" t="s">
        <v>2002</v>
      </c>
      <c r="R19" s="7" t="s">
        <v>2003</v>
      </c>
      <c r="S19" s="7" t="s">
        <v>1862</v>
      </c>
      <c r="T19" s="7" t="s">
        <v>1863</v>
      </c>
      <c r="U19" s="7"/>
      <c r="V19" s="7" t="s">
        <v>2004</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Profile'!$B$9,_TECH_Industry_Templates!$B:$B,"Company Geography"),"")</f>
        <v>3.5</v>
      </c>
      <c r="AO19" s="48" t="str">
        <f t="shared" si="6"/>
        <v/>
      </c>
      <c r="AP19" s="48">
        <f>IFERROR(SUMIFS(_TECH_Industry_Templates!$E:$E,_TECH_Industry_Templates!$A:$A,'Company Profile'!$B$9,_TECH_Industry_Templates!$B:$B,"Company Geography"),1)</f>
        <v>1</v>
      </c>
      <c r="AQ19" s="48" t="str">
        <f t="shared" si="7"/>
        <v/>
      </c>
      <c r="AR19" s="48" t="str">
        <f t="shared" si="8"/>
        <v/>
      </c>
      <c r="AS19" s="11">
        <f t="shared" si="9"/>
        <v>0</v>
      </c>
      <c r="AT19" s="11">
        <f t="shared" si="10"/>
        <v>0</v>
      </c>
    </row>
    <row r="20" spans="1:46" ht="57">
      <c r="A20" s="7" t="s">
        <v>2005</v>
      </c>
      <c r="B20" s="7" t="s">
        <v>1024</v>
      </c>
      <c r="C20" s="7" t="s">
        <v>2006</v>
      </c>
      <c r="D20" s="7" t="s">
        <v>1853</v>
      </c>
      <c r="E20" s="7" t="s">
        <v>1854</v>
      </c>
      <c r="F20" s="7" t="s">
        <v>2007</v>
      </c>
      <c r="G20" s="7">
        <v>5</v>
      </c>
      <c r="H20" s="153"/>
      <c r="I20" s="8" t="str">
        <f t="shared" si="0"/>
        <v/>
      </c>
      <c r="J20" s="8" t="str">
        <f t="shared" si="1"/>
        <v/>
      </c>
      <c r="K20" s="8" t="str">
        <f t="shared" si="2"/>
        <v/>
      </c>
      <c r="L20" s="7" t="str">
        <f t="shared" si="3"/>
        <v/>
      </c>
      <c r="M20" s="7" t="s">
        <v>2008</v>
      </c>
      <c r="N20" s="7" t="s">
        <v>2009</v>
      </c>
      <c r="O20" s="7" t="s">
        <v>2010</v>
      </c>
      <c r="P20" s="7" t="s">
        <v>2011</v>
      </c>
      <c r="Q20" s="7" t="s">
        <v>2012</v>
      </c>
      <c r="R20" s="7" t="s">
        <v>2013</v>
      </c>
      <c r="S20" s="7" t="s">
        <v>1862</v>
      </c>
      <c r="T20" s="7" t="s">
        <v>1863</v>
      </c>
      <c r="U20" s="7"/>
      <c r="V20" s="7" t="s">
        <v>2014</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Profile'!$B$9,_TECH_Industry_Templates!$B:$B,"Company Geography"),"")</f>
        <v>3.5</v>
      </c>
      <c r="AO20" s="48" t="str">
        <f t="shared" si="6"/>
        <v/>
      </c>
      <c r="AP20" s="48">
        <f>IFERROR(SUMIFS(_TECH_Industry_Templates!$E:$E,_TECH_Industry_Templates!$A:$A,'Company Profile'!$B$9,_TECH_Industry_Templates!$B:$B,"Company Geography"),1)</f>
        <v>1</v>
      </c>
      <c r="AQ20" s="48" t="str">
        <f t="shared" si="7"/>
        <v/>
      </c>
      <c r="AR20" s="48" t="str">
        <f t="shared" si="8"/>
        <v/>
      </c>
      <c r="AS20" s="11">
        <f t="shared" si="9"/>
        <v>0</v>
      </c>
      <c r="AT20" s="11">
        <f t="shared" si="10"/>
        <v>0</v>
      </c>
    </row>
    <row r="21" spans="1:46" ht="71.25">
      <c r="A21" s="7" t="s">
        <v>2015</v>
      </c>
      <c r="B21" s="7" t="s">
        <v>1024</v>
      </c>
      <c r="C21" s="7" t="s">
        <v>2016</v>
      </c>
      <c r="D21" s="7" t="s">
        <v>1853</v>
      </c>
      <c r="E21" s="7" t="s">
        <v>1854</v>
      </c>
      <c r="F21" s="7" t="s">
        <v>2017</v>
      </c>
      <c r="G21" s="7">
        <v>3</v>
      </c>
      <c r="H21" s="153"/>
      <c r="I21" s="8" t="str">
        <f t="shared" si="0"/>
        <v/>
      </c>
      <c r="J21" s="8" t="str">
        <f t="shared" si="1"/>
        <v/>
      </c>
      <c r="K21" s="8" t="str">
        <f t="shared" si="2"/>
        <v/>
      </c>
      <c r="L21" s="7" t="str">
        <f t="shared" si="3"/>
        <v/>
      </c>
      <c r="M21" s="7" t="s">
        <v>2018</v>
      </c>
      <c r="N21" s="7" t="s">
        <v>2019</v>
      </c>
      <c r="O21" s="7" t="s">
        <v>2020</v>
      </c>
      <c r="P21" s="7" t="s">
        <v>2021</v>
      </c>
      <c r="Q21" s="7" t="s">
        <v>2022</v>
      </c>
      <c r="R21" s="7" t="s">
        <v>2023</v>
      </c>
      <c r="S21" s="7" t="s">
        <v>1862</v>
      </c>
      <c r="T21" s="7" t="s">
        <v>1863</v>
      </c>
      <c r="U21" s="7"/>
      <c r="V21" s="7" t="s">
        <v>2024</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Profile'!$B$9,_TECH_Industry_Templates!$B:$B,"Company Geography"),"")</f>
        <v>3.5</v>
      </c>
      <c r="AO21" s="48" t="str">
        <f t="shared" si="6"/>
        <v/>
      </c>
      <c r="AP21" s="48">
        <f>IFERROR(SUMIFS(_TECH_Industry_Templates!$E:$E,_TECH_Industry_Templates!$A:$A,'Company Profile'!$B$9,_TECH_Industry_Templates!$B:$B,"Company Geography"),1)</f>
        <v>1</v>
      </c>
      <c r="AQ21" s="48" t="str">
        <f t="shared" si="7"/>
        <v/>
      </c>
      <c r="AR21" s="48" t="str">
        <f t="shared" si="8"/>
        <v/>
      </c>
      <c r="AS21" s="11">
        <f t="shared" si="9"/>
        <v>0</v>
      </c>
      <c r="AT21" s="11">
        <f t="shared" si="10"/>
        <v>0</v>
      </c>
    </row>
    <row r="22" spans="1:46" ht="57">
      <c r="A22" s="7" t="s">
        <v>2025</v>
      </c>
      <c r="B22" s="7" t="s">
        <v>1024</v>
      </c>
      <c r="C22" s="7" t="s">
        <v>2026</v>
      </c>
      <c r="D22" s="7" t="s">
        <v>1853</v>
      </c>
      <c r="E22" s="7" t="s">
        <v>1854</v>
      </c>
      <c r="F22" s="7" t="s">
        <v>2027</v>
      </c>
      <c r="G22" s="7">
        <v>4</v>
      </c>
      <c r="H22" s="153"/>
      <c r="I22" s="8" t="str">
        <f t="shared" si="0"/>
        <v/>
      </c>
      <c r="J22" s="8" t="str">
        <f t="shared" si="1"/>
        <v/>
      </c>
      <c r="K22" s="8" t="str">
        <f t="shared" si="2"/>
        <v/>
      </c>
      <c r="L22" s="7" t="str">
        <f t="shared" si="3"/>
        <v/>
      </c>
      <c r="M22" s="7" t="s">
        <v>2028</v>
      </c>
      <c r="N22" s="7" t="s">
        <v>2029</v>
      </c>
      <c r="O22" s="7" t="s">
        <v>2030</v>
      </c>
      <c r="P22" s="7" t="s">
        <v>2031</v>
      </c>
      <c r="Q22" s="7" t="s">
        <v>2032</v>
      </c>
      <c r="R22" s="7" t="s">
        <v>2033</v>
      </c>
      <c r="S22" s="7" t="s">
        <v>1862</v>
      </c>
      <c r="T22" s="7" t="s">
        <v>1863</v>
      </c>
      <c r="U22" s="7"/>
      <c r="V22" s="7" t="s">
        <v>2034</v>
      </c>
      <c r="W22" s="14">
        <v>5</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Profile'!$B$9,_TECH_Industry_Templates!$B:$B,"Company Geography"),"")</f>
        <v>3.5</v>
      </c>
      <c r="AO22" s="48" t="str">
        <f t="shared" si="6"/>
        <v/>
      </c>
      <c r="AP22" s="48">
        <f>IFERROR(SUMIFS(_TECH_Industry_Templates!$E:$E,_TECH_Industry_Templates!$A:$A,'Company Profile'!$B$9,_TECH_Industry_Templates!$B:$B,"Company Geography"),1)</f>
        <v>1</v>
      </c>
      <c r="AQ22" s="48" t="str">
        <f t="shared" si="7"/>
        <v/>
      </c>
      <c r="AR22" s="48" t="str">
        <f t="shared" si="8"/>
        <v/>
      </c>
      <c r="AS22" s="11">
        <f t="shared" si="9"/>
        <v>0</v>
      </c>
      <c r="AT22" s="11">
        <f t="shared" si="10"/>
        <v>0</v>
      </c>
    </row>
    <row r="23" spans="1:46" ht="71.25">
      <c r="A23" s="7" t="s">
        <v>2035</v>
      </c>
      <c r="B23" s="7" t="s">
        <v>1024</v>
      </c>
      <c r="C23" s="7" t="s">
        <v>2036</v>
      </c>
      <c r="D23" s="7" t="s">
        <v>1853</v>
      </c>
      <c r="E23" s="7" t="s">
        <v>1854</v>
      </c>
      <c r="F23" s="7" t="s">
        <v>2037</v>
      </c>
      <c r="G23" s="7">
        <v>4</v>
      </c>
      <c r="H23" s="153"/>
      <c r="I23" s="8" t="str">
        <f t="shared" si="0"/>
        <v/>
      </c>
      <c r="J23" s="8" t="str">
        <f t="shared" si="1"/>
        <v/>
      </c>
      <c r="K23" s="8" t="str">
        <f t="shared" si="2"/>
        <v/>
      </c>
      <c r="L23" s="7" t="str">
        <f t="shared" si="3"/>
        <v/>
      </c>
      <c r="M23" s="7" t="s">
        <v>2038</v>
      </c>
      <c r="N23" s="7" t="s">
        <v>2039</v>
      </c>
      <c r="O23" s="7" t="s">
        <v>2040</v>
      </c>
      <c r="P23" s="7" t="s">
        <v>2041</v>
      </c>
      <c r="Q23" s="7" t="s">
        <v>2042</v>
      </c>
      <c r="R23" s="7" t="s">
        <v>2043</v>
      </c>
      <c r="S23" s="7" t="s">
        <v>1862</v>
      </c>
      <c r="T23" s="7" t="s">
        <v>1863</v>
      </c>
      <c r="U23" s="7"/>
      <c r="V23" s="7" t="s">
        <v>2044</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Profile'!$B$9,_TECH_Industry_Templates!$B:$B,"Company Geography"),"")</f>
        <v>3.5</v>
      </c>
      <c r="AO23" s="48" t="str">
        <f t="shared" si="6"/>
        <v/>
      </c>
      <c r="AP23" s="48">
        <f>IFERROR(SUMIFS(_TECH_Industry_Templates!$E:$E,_TECH_Industry_Templates!$A:$A,'Company Profile'!$B$9,_TECH_Industry_Templates!$B:$B,"Company Geography"),1)</f>
        <v>1</v>
      </c>
      <c r="AQ23" s="48" t="str">
        <f t="shared" si="7"/>
        <v/>
      </c>
      <c r="AR23" s="48" t="str">
        <f t="shared" si="8"/>
        <v/>
      </c>
      <c r="AS23" s="11">
        <f t="shared" si="9"/>
        <v>0</v>
      </c>
      <c r="AT23" s="11">
        <f t="shared" si="10"/>
        <v>0</v>
      </c>
    </row>
    <row r="24" spans="1:46" ht="57">
      <c r="A24" s="7" t="s">
        <v>2045</v>
      </c>
      <c r="B24" s="7" t="s">
        <v>1024</v>
      </c>
      <c r="C24" s="7" t="s">
        <v>2046</v>
      </c>
      <c r="D24" s="7" t="s">
        <v>1853</v>
      </c>
      <c r="E24" s="7" t="s">
        <v>1854</v>
      </c>
      <c r="F24" s="7" t="s">
        <v>2047</v>
      </c>
      <c r="G24" s="7">
        <v>5</v>
      </c>
      <c r="H24" s="153"/>
      <c r="I24" s="8" t="str">
        <f t="shared" si="0"/>
        <v/>
      </c>
      <c r="J24" s="8" t="str">
        <f t="shared" si="1"/>
        <v/>
      </c>
      <c r="K24" s="8" t="str">
        <f t="shared" si="2"/>
        <v/>
      </c>
      <c r="L24" s="7" t="str">
        <f t="shared" si="3"/>
        <v/>
      </c>
      <c r="M24" s="7" t="s">
        <v>2048</v>
      </c>
      <c r="N24" s="7" t="s">
        <v>2049</v>
      </c>
      <c r="O24" s="7" t="s">
        <v>2050</v>
      </c>
      <c r="P24" s="7" t="s">
        <v>2051</v>
      </c>
      <c r="Q24" s="7" t="s">
        <v>2052</v>
      </c>
      <c r="R24" s="7" t="s">
        <v>2053</v>
      </c>
      <c r="S24" s="7" t="s">
        <v>1862</v>
      </c>
      <c r="T24" s="7" t="s">
        <v>1863</v>
      </c>
      <c r="U24" s="7"/>
      <c r="V24" s="7" t="s">
        <v>2054</v>
      </c>
      <c r="W24" s="14">
        <v>4</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Profile'!$B$9,_TECH_Industry_Templates!$B:$B,"Company Geography"),"")</f>
        <v>3.5</v>
      </c>
      <c r="AO24" s="48" t="str">
        <f t="shared" si="6"/>
        <v/>
      </c>
      <c r="AP24" s="48">
        <f>IFERROR(SUMIFS(_TECH_Industry_Templates!$E:$E,_TECH_Industry_Templates!$A:$A,'Company Profile'!$B$9,_TECH_Industry_Templates!$B:$B,"Company Geography"),1)</f>
        <v>1</v>
      </c>
      <c r="AQ24" s="48" t="str">
        <f t="shared" si="7"/>
        <v/>
      </c>
      <c r="AR24" s="48" t="str">
        <f t="shared" si="8"/>
        <v/>
      </c>
      <c r="AS24" s="11">
        <f t="shared" si="9"/>
        <v>0</v>
      </c>
      <c r="AT24" s="11">
        <f t="shared" si="10"/>
        <v>0</v>
      </c>
    </row>
  </sheetData>
  <mergeCells count="4">
    <mergeCell ref="A2:V2"/>
    <mergeCell ref="AA3:AG3"/>
    <mergeCell ref="A1:V1"/>
    <mergeCell ref="W3:Y3"/>
  </mergeCells>
  <conditionalFormatting sqref="H5:H24">
    <cfRule type="colorScale" priority="1">
      <colorScale>
        <cfvo type="min"/>
        <cfvo type="percentile" val="50"/>
        <cfvo type="max"/>
        <color rgb="FFF8696B"/>
        <color rgb="FFFFEB84"/>
        <color rgb="FF63BE7B"/>
      </colorScale>
    </cfRule>
  </conditionalFormatting>
  <conditionalFormatting sqref="L5:L24">
    <cfRule type="expression" dxfId="96" priority="2">
      <formula>$L5="Critical"</formula>
    </cfRule>
    <cfRule type="expression" dxfId="95" priority="3">
      <formula>$L5="High"</formula>
    </cfRule>
    <cfRule type="expression" dxfId="94" priority="4">
      <formula>$L5="Medium"</formula>
    </cfRule>
    <cfRule type="expression" dxfId="93" priority="5">
      <formula>$L5="Low"</formula>
    </cfRule>
    <cfRule type="expression" dxfId="92" priority="6">
      <formula>$L5="Resilient"</formula>
    </cfRule>
  </conditionalFormatting>
  <conditionalFormatting sqref="AC5:AC7">
    <cfRule type="colorScale" priority="7">
      <colorScale>
        <cfvo type="min"/>
        <cfvo type="percentile" val="50"/>
        <cfvo type="max"/>
        <color rgb="FFFEE2E2"/>
        <color rgb="FFFEF3C7"/>
        <color rgb="FFDCFCE7"/>
      </colorScale>
    </cfRule>
  </conditionalFormatting>
  <conditionalFormatting sqref="AD5:AD7">
    <cfRule type="dataBar" priority="8">
      <dataBar>
        <cfvo type="min"/>
        <cfvo type="max"/>
        <color rgb="FF2F75B5"/>
      </dataBar>
    </cfRule>
  </conditionalFormatting>
  <dataValidations count="4">
    <dataValidation type="list" sqref="H5:H24" ns2:uid="{00000000-0002-0000-1300-000000000000}">
      <formula1>"N/A,0,1,2,3,4,5"</formula1>
    </dataValidation>
    <dataValidation type="list" sqref="G5:G24" ns2:uid="{00000000-0002-0000-1300-000001000000}">
      <formula1>"1,2,3,4,5"</formula1>
    </dataValidation>
    <dataValidation type="list" sqref="W5:Y24" ns2:uid="{00000000-0002-0000-1300-000002000000}">
      <formula1>"0,1,2,3,4,5"</formula1>
    </dataValidation>
    <dataValidation type="list" allowBlank="1" sqref="AH5:AI24" ns2:uid="{00000000-0002-0000-13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1.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400-000000000000}">
  <sheetPr>
    <tabColor rgb="FFED7D31"/>
  </sheetPr>
  <dimension ref="A1:AT28"/>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2055</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2056</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2057</v>
      </c>
      <c r="B5" s="7" t="s">
        <v>1032</v>
      </c>
      <c r="C5" s="7" t="s">
        <v>2058</v>
      </c>
      <c r="D5" s="7" t="s">
        <v>2059</v>
      </c>
      <c r="E5" s="7" t="s">
        <v>2060</v>
      </c>
      <c r="F5" s="7" t="s">
        <v>2061</v>
      </c>
      <c r="G5" s="7">
        <v>4</v>
      </c>
      <c r="H5" s="153"/>
      <c r="I5" s="8" t="str">
        <f t="shared" ref="I5:I28" si="0">IF($H5="","",IF($H5="N/A","",VALUE($H5)/5*$G5))</f>
        <v/>
      </c>
      <c r="J5" s="8" t="str">
        <f t="shared" ref="J5:J28" si="1">IF(OR($H5="",$H5="N/A"),"",$G5)</f>
        <v/>
      </c>
      <c r="K5" s="8" t="str">
        <f t="shared" ref="K5:K28" si="2">IF(OR($H5="",$H5="N/A"),"",$J5-$I5)</f>
        <v/>
      </c>
      <c r="L5" s="7" t="str">
        <f t="shared" ref="L5:L28" si="3">IF($H5="","",IF($H5="N/A","N/A",IF(VALUE($H5)&lt;=1,"Critical",IF(VALUE($H5)&lt;=2,"High",IF(VALUE($H5)&lt;=3,"Medium",IF(VALUE($H5)&lt;=4,"Low","Resilient"))))))</f>
        <v/>
      </c>
      <c r="M5" s="7" t="s">
        <v>2062</v>
      </c>
      <c r="N5" s="7" t="s">
        <v>2063</v>
      </c>
      <c r="O5" s="7" t="s">
        <v>2064</v>
      </c>
      <c r="P5" s="7" t="s">
        <v>2065</v>
      </c>
      <c r="Q5" s="7" t="s">
        <v>2066</v>
      </c>
      <c r="R5" s="7" t="s">
        <v>2067</v>
      </c>
      <c r="S5" s="7" t="s">
        <v>2068</v>
      </c>
      <c r="T5" s="7" t="s">
        <v>2069</v>
      </c>
      <c r="U5" s="7"/>
      <c r="V5" s="7" t="s">
        <v>2070</v>
      </c>
      <c r="W5" s="14">
        <v>4</v>
      </c>
      <c r="X5" s="14">
        <v>5</v>
      </c>
      <c r="Y5" s="14">
        <v>5</v>
      </c>
      <c r="AA5" t="s">
        <v>1032</v>
      </c>
      <c r="AB5" s="13">
        <f>COUNTIF($B$5:$B$28,$AA5)</f>
        <v>6</v>
      </c>
      <c r="AC5" s="15">
        <f>IFERROR(SUMPRODUCT(($B$5:$B$28=$AA5)*($H$5:$H$28&lt;&gt;"")*($H$5:$H$28&lt;&gt;"N/A")*IFERROR(VALUE($H$5:$H$28),0))/SUMPRODUCT(($B$5:$B$28=$AA5)*($H$5:$H$28&lt;&gt;"")*($H$5:$H$28&lt;&gt;"N/A")),0)</f>
        <v>0</v>
      </c>
      <c r="AD5" s="16">
        <f>AC5/5</f>
        <v>0</v>
      </c>
      <c r="AE5" s="13">
        <f>COUNTIFS($B$5:$B$28,$AA5,$L$5:$L$28,"Critical")+COUNTIFS($B$5:$B$28,$AA5,$L$5:$L$28,"High")</f>
        <v>0</v>
      </c>
      <c r="AF5" s="15">
        <f>5-AC5</f>
        <v>5</v>
      </c>
      <c r="AG5" s="13">
        <f>COUNTIFS($B$5:$B$28,$AA5,$H$5:$H$28,"&lt;&gt;")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8" si="4">IF(OR($H5="",$H5="N/A"),"",ROUND(VALUE($H5)*$AJ5*$AK5,2))</f>
        <v/>
      </c>
      <c r="AM5" s="48" t="str">
        <f t="shared" ref="AM5:AM28" si="5">IF($AL5="","",ROUND($AL5/5*100,1))</f>
        <v/>
      </c>
      <c r="AN5" s="48">
        <f>IFERROR(SUMIFS(_TECH_Industry_Templates!$D:$D,_TECH_Industry_Templates!$A:$A,'Company Profile'!$B$9,_TECH_Industry_Templates!$B:$B,"Strategy GTM"),"")</f>
        <v>3.5</v>
      </c>
      <c r="AO5" s="48" t="str">
        <f t="shared" ref="AO5:AO28" si="6">IF($AL5="","",MAX(0,ROUND($AN5-$AL5,2)))</f>
        <v/>
      </c>
      <c r="AP5" s="48">
        <f>IFERROR(SUMIFS(_TECH_Industry_Templates!$E:$E,_TECH_Industry_Templates!$A:$A,'Company Profile'!$B$9,_TECH_Industry_Templates!$B:$B,"Strategy GTM"),1)</f>
        <v>1</v>
      </c>
      <c r="AQ5" s="48" t="str">
        <f t="shared" ref="AQ5:AQ28" si="7">IF($AO5="","",ROUND($AO5*$AP5*($G5/5),2))</f>
        <v/>
      </c>
      <c r="AR5" s="48" t="str">
        <f t="shared" ref="AR5:AR28" si="8">IF($AO5="","",IF($AO5&gt;=2,"Critical industry gap",IF($AO5&gt;=1,"High industry gap",IF($AO5&gt;=0.5,"Moderate industry gap","Within target"))))</f>
        <v/>
      </c>
      <c r="AS5" s="11">
        <f t="shared" ref="AS5:AS28" si="9">IF(OR($H5="",$H5="N/A"),0,VALUE($H5)*(($AJ5+$AK5)/2))</f>
        <v>0</v>
      </c>
      <c r="AT5" s="11">
        <f t="shared" ref="AT5:AT28" si="10">IF(OR($H5="",$H5="N/A"),0,($AJ5+$AK5)/2)</f>
        <v>0</v>
      </c>
    </row>
    <row r="6" spans="1:46" ht="57">
      <c r="A6" s="7" t="s">
        <v>2071</v>
      </c>
      <c r="B6" s="7" t="s">
        <v>1032</v>
      </c>
      <c r="C6" s="7" t="s">
        <v>2072</v>
      </c>
      <c r="D6" s="7" t="s">
        <v>2059</v>
      </c>
      <c r="E6" s="7" t="s">
        <v>2060</v>
      </c>
      <c r="F6" s="7" t="s">
        <v>2073</v>
      </c>
      <c r="G6" s="7">
        <v>3</v>
      </c>
      <c r="H6" s="153"/>
      <c r="I6" s="8" t="str">
        <f t="shared" si="0"/>
        <v/>
      </c>
      <c r="J6" s="8" t="str">
        <f t="shared" si="1"/>
        <v/>
      </c>
      <c r="K6" s="8" t="str">
        <f t="shared" si="2"/>
        <v/>
      </c>
      <c r="L6" s="7" t="str">
        <f t="shared" si="3"/>
        <v/>
      </c>
      <c r="M6" s="7" t="s">
        <v>2074</v>
      </c>
      <c r="N6" s="7" t="s">
        <v>2075</v>
      </c>
      <c r="O6" s="7" t="s">
        <v>2076</v>
      </c>
      <c r="P6" s="7" t="s">
        <v>2077</v>
      </c>
      <c r="Q6" s="7" t="s">
        <v>2078</v>
      </c>
      <c r="R6" s="7" t="s">
        <v>2079</v>
      </c>
      <c r="S6" s="7" t="s">
        <v>2068</v>
      </c>
      <c r="T6" s="7" t="s">
        <v>2069</v>
      </c>
      <c r="U6" s="7"/>
      <c r="V6" s="7" t="s">
        <v>2080</v>
      </c>
      <c r="W6" s="14">
        <v>4</v>
      </c>
      <c r="X6" s="14">
        <v>5</v>
      </c>
      <c r="Y6" s="14">
        <v>5</v>
      </c>
      <c r="AA6" t="s">
        <v>1048</v>
      </c>
      <c r="AB6" s="13">
        <f>COUNTIF($B$5:$B$28,$AA6)</f>
        <v>6</v>
      </c>
      <c r="AC6" s="15">
        <f>IFERROR(SUMPRODUCT(($B$5:$B$28=$AA6)*($H$5:$H$28&lt;&gt;"")*($H$5:$H$28&lt;&gt;"N/A")*IFERROR(VALUE($H$5:$H$28),0))/SUMPRODUCT(($B$5:$B$28=$AA6)*($H$5:$H$28&lt;&gt;"")*($H$5:$H$28&lt;&gt;"N/A")),0)</f>
        <v>0</v>
      </c>
      <c r="AD6" s="16">
        <f>AC6/5</f>
        <v>0</v>
      </c>
      <c r="AE6" s="13">
        <f>COUNTIFS($B$5:$B$28,$AA6,$L$5:$L$28,"Critical")+COUNTIFS($B$5:$B$28,$AA6,$L$5:$L$28,"High")</f>
        <v>0</v>
      </c>
      <c r="AF6" s="15">
        <f>5-AC6</f>
        <v>5</v>
      </c>
      <c r="AG6" s="13">
        <f>COUNTIFS($B$5:$B$28,$AA6,$H$5:$H$28,"&lt;&gt;")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Profile'!$B$9,_TECH_Industry_Templates!$B:$B,"Strategy GTM"),"")</f>
        <v>3.5</v>
      </c>
      <c r="AO6" s="48" t="str">
        <f t="shared" si="6"/>
        <v/>
      </c>
      <c r="AP6" s="48">
        <f>IFERROR(SUMIFS(_TECH_Industry_Templates!$E:$E,_TECH_Industry_Templates!$A:$A,'Company Profile'!$B$9,_TECH_Industry_Templates!$B:$B,"Strategy GTM"),1)</f>
        <v>1</v>
      </c>
      <c r="AQ6" s="48" t="str">
        <f t="shared" si="7"/>
        <v/>
      </c>
      <c r="AR6" s="48" t="str">
        <f t="shared" si="8"/>
        <v/>
      </c>
      <c r="AS6" s="11">
        <f t="shared" si="9"/>
        <v>0</v>
      </c>
      <c r="AT6" s="11">
        <f t="shared" si="10"/>
        <v>0</v>
      </c>
    </row>
    <row r="7" spans="1:46" ht="71.25">
      <c r="A7" s="7" t="s">
        <v>2081</v>
      </c>
      <c r="B7" s="7" t="s">
        <v>1032</v>
      </c>
      <c r="C7" s="7" t="s">
        <v>2082</v>
      </c>
      <c r="D7" s="7" t="s">
        <v>2059</v>
      </c>
      <c r="E7" s="7" t="s">
        <v>2060</v>
      </c>
      <c r="F7" s="7" t="s">
        <v>2083</v>
      </c>
      <c r="G7" s="7">
        <v>5</v>
      </c>
      <c r="H7" s="153"/>
      <c r="I7" s="8" t="str">
        <f t="shared" si="0"/>
        <v/>
      </c>
      <c r="J7" s="8" t="str">
        <f t="shared" si="1"/>
        <v/>
      </c>
      <c r="K7" s="8" t="str">
        <f t="shared" si="2"/>
        <v/>
      </c>
      <c r="L7" s="7" t="str">
        <f t="shared" si="3"/>
        <v/>
      </c>
      <c r="M7" s="7" t="s">
        <v>2084</v>
      </c>
      <c r="N7" s="7" t="s">
        <v>2085</v>
      </c>
      <c r="O7" s="7" t="s">
        <v>2086</v>
      </c>
      <c r="P7" s="7" t="s">
        <v>2087</v>
      </c>
      <c r="Q7" s="7" t="s">
        <v>2088</v>
      </c>
      <c r="R7" s="7" t="s">
        <v>2089</v>
      </c>
      <c r="S7" s="7" t="s">
        <v>2068</v>
      </c>
      <c r="T7" s="7" t="s">
        <v>2069</v>
      </c>
      <c r="U7" s="7"/>
      <c r="V7" s="7" t="s">
        <v>2090</v>
      </c>
      <c r="W7" s="14">
        <v>4</v>
      </c>
      <c r="X7" s="14">
        <v>5</v>
      </c>
      <c r="Y7" s="14">
        <v>5</v>
      </c>
      <c r="AA7" t="s">
        <v>1059</v>
      </c>
      <c r="AB7" s="13">
        <f>COUNTIF($B$5:$B$28,$AA7)</f>
        <v>6</v>
      </c>
      <c r="AC7" s="15">
        <f>IFERROR(SUMPRODUCT(($B$5:$B$28=$AA7)*($H$5:$H$28&lt;&gt;"")*($H$5:$H$28&lt;&gt;"N/A")*IFERROR(VALUE($H$5:$H$28),0))/SUMPRODUCT(($B$5:$B$28=$AA7)*($H$5:$H$28&lt;&gt;"")*($H$5:$H$28&lt;&gt;"N/A")),0)</f>
        <v>0</v>
      </c>
      <c r="AD7" s="16">
        <f>AC7/5</f>
        <v>0</v>
      </c>
      <c r="AE7" s="13">
        <f>COUNTIFS($B$5:$B$28,$AA7,$L$5:$L$28,"Critical")+COUNTIFS($B$5:$B$28,$AA7,$L$5:$L$28,"High")</f>
        <v>0</v>
      </c>
      <c r="AF7" s="15">
        <f>5-AC7</f>
        <v>5</v>
      </c>
      <c r="AG7" s="13">
        <f>COUNTIFS($B$5:$B$28,$AA7,$H$5:$H$28,"&lt;&gt;")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Profile'!$B$9,_TECH_Industry_Templates!$B:$B,"Strategy GTM"),"")</f>
        <v>3.5</v>
      </c>
      <c r="AO7" s="48" t="str">
        <f t="shared" si="6"/>
        <v/>
      </c>
      <c r="AP7" s="48">
        <f>IFERROR(SUMIFS(_TECH_Industry_Templates!$E:$E,_TECH_Industry_Templates!$A:$A,'Company Profile'!$B$9,_TECH_Industry_Templates!$B:$B,"Strategy GTM"),1)</f>
        <v>1</v>
      </c>
      <c r="AQ7" s="48" t="str">
        <f t="shared" si="7"/>
        <v/>
      </c>
      <c r="AR7" s="48" t="str">
        <f t="shared" si="8"/>
        <v/>
      </c>
      <c r="AS7" s="11">
        <f t="shared" si="9"/>
        <v>0</v>
      </c>
      <c r="AT7" s="11">
        <f t="shared" si="10"/>
        <v>0</v>
      </c>
    </row>
    <row r="8" spans="1:46" ht="71.25">
      <c r="A8" s="7" t="s">
        <v>2091</v>
      </c>
      <c r="B8" s="7" t="s">
        <v>1032</v>
      </c>
      <c r="C8" s="7" t="s">
        <v>2092</v>
      </c>
      <c r="D8" s="7" t="s">
        <v>2059</v>
      </c>
      <c r="E8" s="7" t="s">
        <v>2060</v>
      </c>
      <c r="F8" s="7" t="s">
        <v>2093</v>
      </c>
      <c r="G8" s="7">
        <v>4</v>
      </c>
      <c r="H8" s="153"/>
      <c r="I8" s="8" t="str">
        <f t="shared" si="0"/>
        <v/>
      </c>
      <c r="J8" s="8" t="str">
        <f t="shared" si="1"/>
        <v/>
      </c>
      <c r="K8" s="8" t="str">
        <f t="shared" si="2"/>
        <v/>
      </c>
      <c r="L8" s="7" t="str">
        <f t="shared" si="3"/>
        <v/>
      </c>
      <c r="M8" s="7" t="s">
        <v>2094</v>
      </c>
      <c r="N8" s="7" t="s">
        <v>2095</v>
      </c>
      <c r="O8" s="7" t="s">
        <v>2096</v>
      </c>
      <c r="P8" s="7" t="s">
        <v>2097</v>
      </c>
      <c r="Q8" s="7" t="s">
        <v>2098</v>
      </c>
      <c r="R8" s="7" t="s">
        <v>2099</v>
      </c>
      <c r="S8" s="7" t="s">
        <v>2068</v>
      </c>
      <c r="T8" s="7" t="s">
        <v>2069</v>
      </c>
      <c r="U8" s="7"/>
      <c r="V8" s="7" t="s">
        <v>2100</v>
      </c>
      <c r="W8" s="14">
        <v>4</v>
      </c>
      <c r="X8" s="14">
        <v>5</v>
      </c>
      <c r="Y8" s="14">
        <v>5</v>
      </c>
      <c r="AA8" t="s">
        <v>1067</v>
      </c>
      <c r="AB8" s="13">
        <f>COUNTIF($B$5:$B$28,$AA8)</f>
        <v>6</v>
      </c>
      <c r="AC8" s="15">
        <f>IFERROR(SUMPRODUCT(($B$5:$B$28=$AA8)*($H$5:$H$28&lt;&gt;"")*($H$5:$H$28&lt;&gt;"N/A")*IFERROR(VALUE($H$5:$H$28),0))/SUMPRODUCT(($B$5:$B$28=$AA8)*($H$5:$H$28&lt;&gt;"")*($H$5:$H$28&lt;&gt;"N/A")),0)</f>
        <v>0</v>
      </c>
      <c r="AD8" s="16">
        <f>AC8/5</f>
        <v>0</v>
      </c>
      <c r="AE8" s="13">
        <f>COUNTIFS($B$5:$B$28,$AA8,$L$5:$L$28,"Critical")+COUNTIFS($B$5:$B$28,$AA8,$L$5:$L$28,"High")</f>
        <v>0</v>
      </c>
      <c r="AF8" s="15">
        <f>5-AC8</f>
        <v>5</v>
      </c>
      <c r="AG8" s="13">
        <f>COUNTIFS($B$5:$B$28,$AA8,$H$5:$H$28,"&lt;&gt;")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Profile'!$B$9,_TECH_Industry_Templates!$B:$B,"Strategy GTM"),"")</f>
        <v>3.5</v>
      </c>
      <c r="AO8" s="48" t="str">
        <f t="shared" si="6"/>
        <v/>
      </c>
      <c r="AP8" s="48">
        <f>IFERROR(SUMIFS(_TECH_Industry_Templates!$E:$E,_TECH_Industry_Templates!$A:$A,'Company Profile'!$B$9,_TECH_Industry_Templates!$B:$B,"Strategy GTM"),1)</f>
        <v>1</v>
      </c>
      <c r="AQ8" s="48" t="str">
        <f t="shared" si="7"/>
        <v/>
      </c>
      <c r="AR8" s="48" t="str">
        <f t="shared" si="8"/>
        <v/>
      </c>
      <c r="AS8" s="11">
        <f t="shared" si="9"/>
        <v>0</v>
      </c>
      <c r="AT8" s="11">
        <f t="shared" si="10"/>
        <v>0</v>
      </c>
    </row>
    <row r="9" spans="1:46" ht="71.25">
      <c r="A9" s="7" t="s">
        <v>2101</v>
      </c>
      <c r="B9" s="7" t="s">
        <v>1032</v>
      </c>
      <c r="C9" s="7" t="s">
        <v>2102</v>
      </c>
      <c r="D9" s="7" t="s">
        <v>2059</v>
      </c>
      <c r="E9" s="7" t="s">
        <v>2060</v>
      </c>
      <c r="F9" s="7" t="s">
        <v>2103</v>
      </c>
      <c r="G9" s="7">
        <v>5</v>
      </c>
      <c r="H9" s="153"/>
      <c r="I9" s="8" t="str">
        <f t="shared" si="0"/>
        <v/>
      </c>
      <c r="J9" s="8" t="str">
        <f t="shared" si="1"/>
        <v/>
      </c>
      <c r="K9" s="8" t="str">
        <f t="shared" si="2"/>
        <v/>
      </c>
      <c r="L9" s="7" t="str">
        <f t="shared" si="3"/>
        <v/>
      </c>
      <c r="M9" s="7" t="s">
        <v>2104</v>
      </c>
      <c r="N9" s="7" t="s">
        <v>2105</v>
      </c>
      <c r="O9" s="7" t="s">
        <v>2106</v>
      </c>
      <c r="P9" s="7" t="s">
        <v>2107</v>
      </c>
      <c r="Q9" s="7" t="s">
        <v>2108</v>
      </c>
      <c r="R9" s="7" t="s">
        <v>2109</v>
      </c>
      <c r="S9" s="7" t="s">
        <v>2068</v>
      </c>
      <c r="T9" s="7" t="s">
        <v>2069</v>
      </c>
      <c r="U9" s="7"/>
      <c r="V9" s="7" t="s">
        <v>2110</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Profile'!$B$9,_TECH_Industry_Templates!$B:$B,"Strategy GTM"),"")</f>
        <v>3.5</v>
      </c>
      <c r="AO9" s="48" t="str">
        <f t="shared" si="6"/>
        <v/>
      </c>
      <c r="AP9" s="48">
        <f>IFERROR(SUMIFS(_TECH_Industry_Templates!$E:$E,_TECH_Industry_Templates!$A:$A,'Company Profile'!$B$9,_TECH_Industry_Templates!$B:$B,"Strategy GTM"),1)</f>
        <v>1</v>
      </c>
      <c r="AQ9" s="48" t="str">
        <f t="shared" si="7"/>
        <v/>
      </c>
      <c r="AR9" s="48" t="str">
        <f t="shared" si="8"/>
        <v/>
      </c>
      <c r="AS9" s="11">
        <f t="shared" si="9"/>
        <v>0</v>
      </c>
      <c r="AT9" s="11">
        <f t="shared" si="10"/>
        <v>0</v>
      </c>
    </row>
    <row r="10" spans="1:46" ht="71.25">
      <c r="A10" s="7" t="s">
        <v>2111</v>
      </c>
      <c r="B10" s="7" t="s">
        <v>1032</v>
      </c>
      <c r="C10" s="7" t="s">
        <v>2112</v>
      </c>
      <c r="D10" s="7" t="s">
        <v>2059</v>
      </c>
      <c r="E10" s="7" t="s">
        <v>2060</v>
      </c>
      <c r="F10" s="7" t="s">
        <v>2113</v>
      </c>
      <c r="G10" s="7">
        <v>4</v>
      </c>
      <c r="H10" s="153"/>
      <c r="I10" s="8" t="str">
        <f t="shared" si="0"/>
        <v/>
      </c>
      <c r="J10" s="8" t="str">
        <f t="shared" si="1"/>
        <v/>
      </c>
      <c r="K10" s="8" t="str">
        <f t="shared" si="2"/>
        <v/>
      </c>
      <c r="L10" s="7" t="str">
        <f t="shared" si="3"/>
        <v/>
      </c>
      <c r="M10" s="7" t="s">
        <v>2114</v>
      </c>
      <c r="N10" s="7" t="s">
        <v>2115</v>
      </c>
      <c r="O10" s="7" t="s">
        <v>2116</v>
      </c>
      <c r="P10" s="7" t="s">
        <v>2117</v>
      </c>
      <c r="Q10" s="7" t="s">
        <v>2118</v>
      </c>
      <c r="R10" s="7" t="s">
        <v>2119</v>
      </c>
      <c r="S10" s="7" t="s">
        <v>2068</v>
      </c>
      <c r="T10" s="7" t="s">
        <v>2069</v>
      </c>
      <c r="U10" s="7"/>
      <c r="V10" s="7" t="s">
        <v>2120</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Profile'!$B$9,_TECH_Industry_Templates!$B:$B,"Strategy GTM"),"")</f>
        <v>3.5</v>
      </c>
      <c r="AO10" s="48" t="str">
        <f t="shared" si="6"/>
        <v/>
      </c>
      <c r="AP10" s="48">
        <f>IFERROR(SUMIFS(_TECH_Industry_Templates!$E:$E,_TECH_Industry_Templates!$A:$A,'Company Profile'!$B$9,_TECH_Industry_Templates!$B:$B,"Strategy GTM"),1)</f>
        <v>1</v>
      </c>
      <c r="AQ10" s="48" t="str">
        <f t="shared" si="7"/>
        <v/>
      </c>
      <c r="AR10" s="48" t="str">
        <f t="shared" si="8"/>
        <v/>
      </c>
      <c r="AS10" s="11">
        <f t="shared" si="9"/>
        <v>0</v>
      </c>
      <c r="AT10" s="11">
        <f t="shared" si="10"/>
        <v>0</v>
      </c>
    </row>
    <row r="11" spans="1:46" ht="71.25">
      <c r="A11" s="7" t="s">
        <v>2121</v>
      </c>
      <c r="B11" s="7" t="s">
        <v>1048</v>
      </c>
      <c r="C11" s="7" t="s">
        <v>2122</v>
      </c>
      <c r="D11" s="7" t="s">
        <v>2059</v>
      </c>
      <c r="E11" s="7" t="s">
        <v>2060</v>
      </c>
      <c r="F11" s="7" t="s">
        <v>2123</v>
      </c>
      <c r="G11" s="7">
        <v>4</v>
      </c>
      <c r="H11" s="153"/>
      <c r="I11" s="8" t="str">
        <f t="shared" si="0"/>
        <v/>
      </c>
      <c r="J11" s="8" t="str">
        <f t="shared" si="1"/>
        <v/>
      </c>
      <c r="K11" s="8" t="str">
        <f t="shared" si="2"/>
        <v/>
      </c>
      <c r="L11" s="7" t="str">
        <f t="shared" si="3"/>
        <v/>
      </c>
      <c r="M11" s="7" t="s">
        <v>2124</v>
      </c>
      <c r="N11" s="7" t="s">
        <v>2125</v>
      </c>
      <c r="O11" s="7" t="s">
        <v>2126</v>
      </c>
      <c r="P11" s="7" t="s">
        <v>2127</v>
      </c>
      <c r="Q11" s="7" t="s">
        <v>2128</v>
      </c>
      <c r="R11" s="7" t="s">
        <v>2129</v>
      </c>
      <c r="S11" s="7" t="s">
        <v>2068</v>
      </c>
      <c r="T11" s="7" t="s">
        <v>2069</v>
      </c>
      <c r="U11" s="7"/>
      <c r="V11" s="7" t="s">
        <v>2130</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Profile'!$B$9,_TECH_Industry_Templates!$B:$B,"Strategy GTM"),"")</f>
        <v>3.5</v>
      </c>
      <c r="AO11" s="48" t="str">
        <f t="shared" si="6"/>
        <v/>
      </c>
      <c r="AP11" s="48">
        <f>IFERROR(SUMIFS(_TECH_Industry_Templates!$E:$E,_TECH_Industry_Templates!$A:$A,'Company Profile'!$B$9,_TECH_Industry_Templates!$B:$B,"Strategy GTM"),1)</f>
        <v>1</v>
      </c>
      <c r="AQ11" s="48" t="str">
        <f t="shared" si="7"/>
        <v/>
      </c>
      <c r="AR11" s="48" t="str">
        <f t="shared" si="8"/>
        <v/>
      </c>
      <c r="AS11" s="11">
        <f t="shared" si="9"/>
        <v>0</v>
      </c>
      <c r="AT11" s="11">
        <f t="shared" si="10"/>
        <v>0</v>
      </c>
    </row>
    <row r="12" spans="1:46" ht="71.25">
      <c r="A12" s="7" t="s">
        <v>2131</v>
      </c>
      <c r="B12" s="7" t="s">
        <v>1048</v>
      </c>
      <c r="C12" s="7" t="s">
        <v>2132</v>
      </c>
      <c r="D12" s="7" t="s">
        <v>2059</v>
      </c>
      <c r="E12" s="7" t="s">
        <v>2060</v>
      </c>
      <c r="F12" s="7" t="s">
        <v>2133</v>
      </c>
      <c r="G12" s="7">
        <v>3</v>
      </c>
      <c r="H12" s="153"/>
      <c r="I12" s="8" t="str">
        <f t="shared" si="0"/>
        <v/>
      </c>
      <c r="J12" s="8" t="str">
        <f t="shared" si="1"/>
        <v/>
      </c>
      <c r="K12" s="8" t="str">
        <f t="shared" si="2"/>
        <v/>
      </c>
      <c r="L12" s="7" t="str">
        <f t="shared" si="3"/>
        <v/>
      </c>
      <c r="M12" s="7" t="s">
        <v>2134</v>
      </c>
      <c r="N12" s="7" t="s">
        <v>2135</v>
      </c>
      <c r="O12" s="7" t="s">
        <v>2136</v>
      </c>
      <c r="P12" s="7" t="s">
        <v>2137</v>
      </c>
      <c r="Q12" s="7" t="s">
        <v>2138</v>
      </c>
      <c r="R12" s="7" t="s">
        <v>2139</v>
      </c>
      <c r="S12" s="7" t="s">
        <v>2068</v>
      </c>
      <c r="T12" s="7" t="s">
        <v>2069</v>
      </c>
      <c r="U12" s="7"/>
      <c r="V12" s="7" t="s">
        <v>2140</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Profile'!$B$9,_TECH_Industry_Templates!$B:$B,"Strategy GTM"),"")</f>
        <v>3.5</v>
      </c>
      <c r="AO12" s="48" t="str">
        <f t="shared" si="6"/>
        <v/>
      </c>
      <c r="AP12" s="48">
        <f>IFERROR(SUMIFS(_TECH_Industry_Templates!$E:$E,_TECH_Industry_Templates!$A:$A,'Company Profile'!$B$9,_TECH_Industry_Templates!$B:$B,"Strategy GTM"),1)</f>
        <v>1</v>
      </c>
      <c r="AQ12" s="48" t="str">
        <f t="shared" si="7"/>
        <v/>
      </c>
      <c r="AR12" s="48" t="str">
        <f t="shared" si="8"/>
        <v/>
      </c>
      <c r="AS12" s="11">
        <f t="shared" si="9"/>
        <v>0</v>
      </c>
      <c r="AT12" s="11">
        <f t="shared" si="10"/>
        <v>0</v>
      </c>
    </row>
    <row r="13" spans="1:46" ht="71.25">
      <c r="A13" s="7" t="s">
        <v>2141</v>
      </c>
      <c r="B13" s="7" t="s">
        <v>1048</v>
      </c>
      <c r="C13" s="7" t="s">
        <v>2142</v>
      </c>
      <c r="D13" s="7" t="s">
        <v>2059</v>
      </c>
      <c r="E13" s="7" t="s">
        <v>2060</v>
      </c>
      <c r="F13" s="7" t="s">
        <v>2143</v>
      </c>
      <c r="G13" s="7">
        <v>4</v>
      </c>
      <c r="H13" s="153"/>
      <c r="I13" s="8" t="str">
        <f t="shared" si="0"/>
        <v/>
      </c>
      <c r="J13" s="8" t="str">
        <f t="shared" si="1"/>
        <v/>
      </c>
      <c r="K13" s="8" t="str">
        <f t="shared" si="2"/>
        <v/>
      </c>
      <c r="L13" s="7" t="str">
        <f t="shared" si="3"/>
        <v/>
      </c>
      <c r="M13" s="7" t="s">
        <v>2144</v>
      </c>
      <c r="N13" s="7" t="s">
        <v>2145</v>
      </c>
      <c r="O13" s="7" t="s">
        <v>2146</v>
      </c>
      <c r="P13" s="7" t="s">
        <v>2147</v>
      </c>
      <c r="Q13" s="7" t="s">
        <v>2148</v>
      </c>
      <c r="R13" s="7" t="s">
        <v>2149</v>
      </c>
      <c r="S13" s="7" t="s">
        <v>2068</v>
      </c>
      <c r="T13" s="7" t="s">
        <v>2069</v>
      </c>
      <c r="U13" s="7"/>
      <c r="V13" s="7" t="s">
        <v>2150</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Profile'!$B$9,_TECH_Industry_Templates!$B:$B,"Strategy GTM"),"")</f>
        <v>3.5</v>
      </c>
      <c r="AO13" s="48" t="str">
        <f t="shared" si="6"/>
        <v/>
      </c>
      <c r="AP13" s="48">
        <f>IFERROR(SUMIFS(_TECH_Industry_Templates!$E:$E,_TECH_Industry_Templates!$A:$A,'Company Profile'!$B$9,_TECH_Industry_Templates!$B:$B,"Strategy GTM"),1)</f>
        <v>1</v>
      </c>
      <c r="AQ13" s="48" t="str">
        <f t="shared" si="7"/>
        <v/>
      </c>
      <c r="AR13" s="48" t="str">
        <f t="shared" si="8"/>
        <v/>
      </c>
      <c r="AS13" s="11">
        <f t="shared" si="9"/>
        <v>0</v>
      </c>
      <c r="AT13" s="11">
        <f t="shared" si="10"/>
        <v>0</v>
      </c>
    </row>
    <row r="14" spans="1:46" ht="71.25">
      <c r="A14" s="7" t="s">
        <v>2151</v>
      </c>
      <c r="B14" s="7" t="s">
        <v>1048</v>
      </c>
      <c r="C14" s="7" t="s">
        <v>2152</v>
      </c>
      <c r="D14" s="7" t="s">
        <v>2059</v>
      </c>
      <c r="E14" s="7" t="s">
        <v>2060</v>
      </c>
      <c r="F14" s="7" t="s">
        <v>2153</v>
      </c>
      <c r="G14" s="7">
        <v>5</v>
      </c>
      <c r="H14" s="153"/>
      <c r="I14" s="8" t="str">
        <f t="shared" si="0"/>
        <v/>
      </c>
      <c r="J14" s="8" t="str">
        <f t="shared" si="1"/>
        <v/>
      </c>
      <c r="K14" s="8" t="str">
        <f t="shared" si="2"/>
        <v/>
      </c>
      <c r="L14" s="7" t="str">
        <f t="shared" si="3"/>
        <v/>
      </c>
      <c r="M14" s="7" t="s">
        <v>2154</v>
      </c>
      <c r="N14" s="7" t="s">
        <v>2155</v>
      </c>
      <c r="O14" s="7" t="s">
        <v>2156</v>
      </c>
      <c r="P14" s="7" t="s">
        <v>2157</v>
      </c>
      <c r="Q14" s="7" t="s">
        <v>2158</v>
      </c>
      <c r="R14" s="7" t="s">
        <v>2159</v>
      </c>
      <c r="S14" s="7" t="s">
        <v>2068</v>
      </c>
      <c r="T14" s="7" t="s">
        <v>2069</v>
      </c>
      <c r="U14" s="7"/>
      <c r="V14" s="7" t="s">
        <v>2160</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Profile'!$B$9,_TECH_Industry_Templates!$B:$B,"Strategy GTM"),"")</f>
        <v>3.5</v>
      </c>
      <c r="AO14" s="48" t="str">
        <f t="shared" si="6"/>
        <v/>
      </c>
      <c r="AP14" s="48">
        <f>IFERROR(SUMIFS(_TECH_Industry_Templates!$E:$E,_TECH_Industry_Templates!$A:$A,'Company Profile'!$B$9,_TECH_Industry_Templates!$B:$B,"Strategy GTM"),1)</f>
        <v>1</v>
      </c>
      <c r="AQ14" s="48" t="str">
        <f t="shared" si="7"/>
        <v/>
      </c>
      <c r="AR14" s="48" t="str">
        <f t="shared" si="8"/>
        <v/>
      </c>
      <c r="AS14" s="11">
        <f t="shared" si="9"/>
        <v>0</v>
      </c>
      <c r="AT14" s="11">
        <f t="shared" si="10"/>
        <v>0</v>
      </c>
    </row>
    <row r="15" spans="1:46" ht="71.25">
      <c r="A15" s="7" t="s">
        <v>2161</v>
      </c>
      <c r="B15" s="7" t="s">
        <v>1048</v>
      </c>
      <c r="C15" s="7" t="s">
        <v>2162</v>
      </c>
      <c r="D15" s="7" t="s">
        <v>2059</v>
      </c>
      <c r="E15" s="7" t="s">
        <v>2060</v>
      </c>
      <c r="F15" s="7" t="s">
        <v>2163</v>
      </c>
      <c r="G15" s="7">
        <v>3</v>
      </c>
      <c r="H15" s="153"/>
      <c r="I15" s="8" t="str">
        <f t="shared" si="0"/>
        <v/>
      </c>
      <c r="J15" s="8" t="str">
        <f t="shared" si="1"/>
        <v/>
      </c>
      <c r="K15" s="8" t="str">
        <f t="shared" si="2"/>
        <v/>
      </c>
      <c r="L15" s="7" t="str">
        <f t="shared" si="3"/>
        <v/>
      </c>
      <c r="M15" s="7" t="s">
        <v>2164</v>
      </c>
      <c r="N15" s="7" t="s">
        <v>2165</v>
      </c>
      <c r="O15" s="7" t="s">
        <v>2166</v>
      </c>
      <c r="P15" s="7" t="s">
        <v>2167</v>
      </c>
      <c r="Q15" s="7" t="s">
        <v>2168</v>
      </c>
      <c r="R15" s="7" t="s">
        <v>2169</v>
      </c>
      <c r="S15" s="7" t="s">
        <v>2068</v>
      </c>
      <c r="T15" s="7" t="s">
        <v>2069</v>
      </c>
      <c r="U15" s="7"/>
      <c r="V15" s="7" t="s">
        <v>2170</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Profile'!$B$9,_TECH_Industry_Templates!$B:$B,"Strategy GTM"),"")</f>
        <v>3.5</v>
      </c>
      <c r="AO15" s="48" t="str">
        <f t="shared" si="6"/>
        <v/>
      </c>
      <c r="AP15" s="48">
        <f>IFERROR(SUMIFS(_TECH_Industry_Templates!$E:$E,_TECH_Industry_Templates!$A:$A,'Company Profile'!$B$9,_TECH_Industry_Templates!$B:$B,"Strategy GTM"),1)</f>
        <v>1</v>
      </c>
      <c r="AQ15" s="48" t="str">
        <f t="shared" si="7"/>
        <v/>
      </c>
      <c r="AR15" s="48" t="str">
        <f t="shared" si="8"/>
        <v/>
      </c>
      <c r="AS15" s="11">
        <f t="shared" si="9"/>
        <v>0</v>
      </c>
      <c r="AT15" s="11">
        <f t="shared" si="10"/>
        <v>0</v>
      </c>
    </row>
    <row r="16" spans="1:46" ht="71.25">
      <c r="A16" s="7" t="s">
        <v>2171</v>
      </c>
      <c r="B16" s="7" t="s">
        <v>1048</v>
      </c>
      <c r="C16" s="7" t="s">
        <v>2172</v>
      </c>
      <c r="D16" s="7" t="s">
        <v>2059</v>
      </c>
      <c r="E16" s="7" t="s">
        <v>2060</v>
      </c>
      <c r="F16" s="7" t="s">
        <v>2173</v>
      </c>
      <c r="G16" s="7">
        <v>4</v>
      </c>
      <c r="H16" s="153"/>
      <c r="I16" s="8" t="str">
        <f t="shared" si="0"/>
        <v/>
      </c>
      <c r="J16" s="8" t="str">
        <f t="shared" si="1"/>
        <v/>
      </c>
      <c r="K16" s="8" t="str">
        <f t="shared" si="2"/>
        <v/>
      </c>
      <c r="L16" s="7" t="str">
        <f t="shared" si="3"/>
        <v/>
      </c>
      <c r="M16" s="7" t="s">
        <v>2174</v>
      </c>
      <c r="N16" s="7" t="s">
        <v>2175</v>
      </c>
      <c r="O16" s="7" t="s">
        <v>2176</v>
      </c>
      <c r="P16" s="7" t="s">
        <v>2177</v>
      </c>
      <c r="Q16" s="7" t="s">
        <v>2178</v>
      </c>
      <c r="R16" s="7" t="s">
        <v>2179</v>
      </c>
      <c r="S16" s="7" t="s">
        <v>2068</v>
      </c>
      <c r="T16" s="7" t="s">
        <v>2069</v>
      </c>
      <c r="U16" s="7"/>
      <c r="V16" s="7" t="s">
        <v>2180</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Profile'!$B$9,_TECH_Industry_Templates!$B:$B,"Strategy GTM"),"")</f>
        <v>3.5</v>
      </c>
      <c r="AO16" s="48" t="str">
        <f t="shared" si="6"/>
        <v/>
      </c>
      <c r="AP16" s="48">
        <f>IFERROR(SUMIFS(_TECH_Industry_Templates!$E:$E,_TECH_Industry_Templates!$A:$A,'Company Profile'!$B$9,_TECH_Industry_Templates!$B:$B,"Strategy GTM"),1)</f>
        <v>1</v>
      </c>
      <c r="AQ16" s="48" t="str">
        <f t="shared" si="7"/>
        <v/>
      </c>
      <c r="AR16" s="48" t="str">
        <f t="shared" si="8"/>
        <v/>
      </c>
      <c r="AS16" s="11">
        <f t="shared" si="9"/>
        <v>0</v>
      </c>
      <c r="AT16" s="11">
        <f t="shared" si="10"/>
        <v>0</v>
      </c>
    </row>
    <row r="17" spans="1:46" ht="71.25">
      <c r="A17" s="7" t="s">
        <v>2181</v>
      </c>
      <c r="B17" s="7" t="s">
        <v>1059</v>
      </c>
      <c r="C17" s="7" t="s">
        <v>2182</v>
      </c>
      <c r="D17" s="7" t="s">
        <v>2059</v>
      </c>
      <c r="E17" s="7" t="s">
        <v>2060</v>
      </c>
      <c r="F17" s="7" t="s">
        <v>2183</v>
      </c>
      <c r="G17" s="7">
        <v>5</v>
      </c>
      <c r="H17" s="153"/>
      <c r="I17" s="8" t="str">
        <f t="shared" si="0"/>
        <v/>
      </c>
      <c r="J17" s="8" t="str">
        <f t="shared" si="1"/>
        <v/>
      </c>
      <c r="K17" s="8" t="str">
        <f t="shared" si="2"/>
        <v/>
      </c>
      <c r="L17" s="7" t="str">
        <f t="shared" si="3"/>
        <v/>
      </c>
      <c r="M17" s="7" t="s">
        <v>2184</v>
      </c>
      <c r="N17" s="7" t="s">
        <v>2185</v>
      </c>
      <c r="O17" s="7" t="s">
        <v>2186</v>
      </c>
      <c r="P17" s="7" t="s">
        <v>2187</v>
      </c>
      <c r="Q17" s="7" t="s">
        <v>2188</v>
      </c>
      <c r="R17" s="7" t="s">
        <v>2189</v>
      </c>
      <c r="S17" s="7" t="s">
        <v>2068</v>
      </c>
      <c r="T17" s="7" t="s">
        <v>2069</v>
      </c>
      <c r="U17" s="7"/>
      <c r="V17" s="7" t="s">
        <v>2190</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Profile'!$B$9,_TECH_Industry_Templates!$B:$B,"Strategy GTM"),"")</f>
        <v>3.5</v>
      </c>
      <c r="AO17" s="48" t="str">
        <f t="shared" si="6"/>
        <v/>
      </c>
      <c r="AP17" s="48">
        <f>IFERROR(SUMIFS(_TECH_Industry_Templates!$E:$E,_TECH_Industry_Templates!$A:$A,'Company Profile'!$B$9,_TECH_Industry_Templates!$B:$B,"Strategy GTM"),1)</f>
        <v>1</v>
      </c>
      <c r="AQ17" s="48" t="str">
        <f t="shared" si="7"/>
        <v/>
      </c>
      <c r="AR17" s="48" t="str">
        <f t="shared" si="8"/>
        <v/>
      </c>
      <c r="AS17" s="11">
        <f t="shared" si="9"/>
        <v>0</v>
      </c>
      <c r="AT17" s="11">
        <f t="shared" si="10"/>
        <v>0</v>
      </c>
    </row>
    <row r="18" spans="1:46" ht="71.25">
      <c r="A18" s="7" t="s">
        <v>2191</v>
      </c>
      <c r="B18" s="7" t="s">
        <v>1059</v>
      </c>
      <c r="C18" s="7" t="s">
        <v>2192</v>
      </c>
      <c r="D18" s="7" t="s">
        <v>2059</v>
      </c>
      <c r="E18" s="7" t="s">
        <v>2060</v>
      </c>
      <c r="F18" s="7" t="s">
        <v>2193</v>
      </c>
      <c r="G18" s="7">
        <v>3</v>
      </c>
      <c r="H18" s="153"/>
      <c r="I18" s="8" t="str">
        <f t="shared" si="0"/>
        <v/>
      </c>
      <c r="J18" s="8" t="str">
        <f t="shared" si="1"/>
        <v/>
      </c>
      <c r="K18" s="8" t="str">
        <f t="shared" si="2"/>
        <v/>
      </c>
      <c r="L18" s="7" t="str">
        <f t="shared" si="3"/>
        <v/>
      </c>
      <c r="M18" s="7" t="s">
        <v>2194</v>
      </c>
      <c r="N18" s="7" t="s">
        <v>2195</v>
      </c>
      <c r="O18" s="7" t="s">
        <v>2196</v>
      </c>
      <c r="P18" s="7" t="s">
        <v>2197</v>
      </c>
      <c r="Q18" s="7" t="s">
        <v>2198</v>
      </c>
      <c r="R18" s="7" t="s">
        <v>2199</v>
      </c>
      <c r="S18" s="7" t="s">
        <v>2068</v>
      </c>
      <c r="T18" s="7" t="s">
        <v>2069</v>
      </c>
      <c r="U18" s="7"/>
      <c r="V18" s="7" t="s">
        <v>2200</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Profile'!$B$9,_TECH_Industry_Templates!$B:$B,"Strategy GTM"),"")</f>
        <v>3.5</v>
      </c>
      <c r="AO18" s="48" t="str">
        <f t="shared" si="6"/>
        <v/>
      </c>
      <c r="AP18" s="48">
        <f>IFERROR(SUMIFS(_TECH_Industry_Templates!$E:$E,_TECH_Industry_Templates!$A:$A,'Company Profile'!$B$9,_TECH_Industry_Templates!$B:$B,"Strategy GTM"),1)</f>
        <v>1</v>
      </c>
      <c r="AQ18" s="48" t="str">
        <f t="shared" si="7"/>
        <v/>
      </c>
      <c r="AR18" s="48" t="str">
        <f t="shared" si="8"/>
        <v/>
      </c>
      <c r="AS18" s="11">
        <f t="shared" si="9"/>
        <v>0</v>
      </c>
      <c r="AT18" s="11">
        <f t="shared" si="10"/>
        <v>0</v>
      </c>
    </row>
    <row r="19" spans="1:46" ht="71.25">
      <c r="A19" s="7" t="s">
        <v>2201</v>
      </c>
      <c r="B19" s="7" t="s">
        <v>1059</v>
      </c>
      <c r="C19" s="7" t="s">
        <v>2202</v>
      </c>
      <c r="D19" s="7" t="s">
        <v>2059</v>
      </c>
      <c r="E19" s="7" t="s">
        <v>2060</v>
      </c>
      <c r="F19" s="7" t="s">
        <v>2203</v>
      </c>
      <c r="G19" s="7">
        <v>5</v>
      </c>
      <c r="H19" s="153"/>
      <c r="I19" s="8" t="str">
        <f t="shared" si="0"/>
        <v/>
      </c>
      <c r="J19" s="8" t="str">
        <f t="shared" si="1"/>
        <v/>
      </c>
      <c r="K19" s="8" t="str">
        <f t="shared" si="2"/>
        <v/>
      </c>
      <c r="L19" s="7" t="str">
        <f t="shared" si="3"/>
        <v/>
      </c>
      <c r="M19" s="7" t="s">
        <v>2204</v>
      </c>
      <c r="N19" s="7" t="s">
        <v>2205</v>
      </c>
      <c r="O19" s="7" t="s">
        <v>2206</v>
      </c>
      <c r="P19" s="7" t="s">
        <v>2207</v>
      </c>
      <c r="Q19" s="7" t="s">
        <v>2208</v>
      </c>
      <c r="R19" s="7" t="s">
        <v>2209</v>
      </c>
      <c r="S19" s="7" t="s">
        <v>2068</v>
      </c>
      <c r="T19" s="7" t="s">
        <v>2069</v>
      </c>
      <c r="U19" s="7"/>
      <c r="V19" s="7" t="s">
        <v>2210</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Profile'!$B$9,_TECH_Industry_Templates!$B:$B,"Strategy GTM"),"")</f>
        <v>3.5</v>
      </c>
      <c r="AO19" s="48" t="str">
        <f t="shared" si="6"/>
        <v/>
      </c>
      <c r="AP19" s="48">
        <f>IFERROR(SUMIFS(_TECH_Industry_Templates!$E:$E,_TECH_Industry_Templates!$A:$A,'Company Profile'!$B$9,_TECH_Industry_Templates!$B:$B,"Strategy GTM"),1)</f>
        <v>1</v>
      </c>
      <c r="AQ19" s="48" t="str">
        <f t="shared" si="7"/>
        <v/>
      </c>
      <c r="AR19" s="48" t="str">
        <f t="shared" si="8"/>
        <v/>
      </c>
      <c r="AS19" s="11">
        <f t="shared" si="9"/>
        <v>0</v>
      </c>
      <c r="AT19" s="11">
        <f t="shared" si="10"/>
        <v>0</v>
      </c>
    </row>
    <row r="20" spans="1:46" ht="71.25">
      <c r="A20" s="7" t="s">
        <v>2211</v>
      </c>
      <c r="B20" s="7" t="s">
        <v>1059</v>
      </c>
      <c r="C20" s="7" t="s">
        <v>2212</v>
      </c>
      <c r="D20" s="7" t="s">
        <v>2059</v>
      </c>
      <c r="E20" s="7" t="s">
        <v>2060</v>
      </c>
      <c r="F20" s="7" t="s">
        <v>2213</v>
      </c>
      <c r="G20" s="7">
        <v>5</v>
      </c>
      <c r="H20" s="153"/>
      <c r="I20" s="8" t="str">
        <f t="shared" si="0"/>
        <v/>
      </c>
      <c r="J20" s="8" t="str">
        <f t="shared" si="1"/>
        <v/>
      </c>
      <c r="K20" s="8" t="str">
        <f t="shared" si="2"/>
        <v/>
      </c>
      <c r="L20" s="7" t="str">
        <f t="shared" si="3"/>
        <v/>
      </c>
      <c r="M20" s="7" t="s">
        <v>2214</v>
      </c>
      <c r="N20" s="7" t="s">
        <v>2215</v>
      </c>
      <c r="O20" s="7" t="s">
        <v>2216</v>
      </c>
      <c r="P20" s="7" t="s">
        <v>2217</v>
      </c>
      <c r="Q20" s="7" t="s">
        <v>2218</v>
      </c>
      <c r="R20" s="7" t="s">
        <v>2219</v>
      </c>
      <c r="S20" s="7" t="s">
        <v>2068</v>
      </c>
      <c r="T20" s="7" t="s">
        <v>2069</v>
      </c>
      <c r="U20" s="7"/>
      <c r="V20" s="7" t="s">
        <v>2220</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Profile'!$B$9,_TECH_Industry_Templates!$B:$B,"Strategy GTM"),"")</f>
        <v>3.5</v>
      </c>
      <c r="AO20" s="48" t="str">
        <f t="shared" si="6"/>
        <v/>
      </c>
      <c r="AP20" s="48">
        <f>IFERROR(SUMIFS(_TECH_Industry_Templates!$E:$E,_TECH_Industry_Templates!$A:$A,'Company Profile'!$B$9,_TECH_Industry_Templates!$B:$B,"Strategy GTM"),1)</f>
        <v>1</v>
      </c>
      <c r="AQ20" s="48" t="str">
        <f t="shared" si="7"/>
        <v/>
      </c>
      <c r="AR20" s="48" t="str">
        <f t="shared" si="8"/>
        <v/>
      </c>
      <c r="AS20" s="11">
        <f t="shared" si="9"/>
        <v>0</v>
      </c>
      <c r="AT20" s="11">
        <f t="shared" si="10"/>
        <v>0</v>
      </c>
    </row>
    <row r="21" spans="1:46" ht="71.25">
      <c r="A21" s="7" t="s">
        <v>2221</v>
      </c>
      <c r="B21" s="7" t="s">
        <v>1059</v>
      </c>
      <c r="C21" s="7" t="s">
        <v>2222</v>
      </c>
      <c r="D21" s="7" t="s">
        <v>2059</v>
      </c>
      <c r="E21" s="7" t="s">
        <v>2060</v>
      </c>
      <c r="F21" s="7" t="s">
        <v>2223</v>
      </c>
      <c r="G21" s="7">
        <v>5</v>
      </c>
      <c r="H21" s="153"/>
      <c r="I21" s="8" t="str">
        <f t="shared" si="0"/>
        <v/>
      </c>
      <c r="J21" s="8" t="str">
        <f t="shared" si="1"/>
        <v/>
      </c>
      <c r="K21" s="8" t="str">
        <f t="shared" si="2"/>
        <v/>
      </c>
      <c r="L21" s="7" t="str">
        <f t="shared" si="3"/>
        <v/>
      </c>
      <c r="M21" s="7" t="s">
        <v>2224</v>
      </c>
      <c r="N21" s="7" t="s">
        <v>2225</v>
      </c>
      <c r="O21" s="7" t="s">
        <v>2226</v>
      </c>
      <c r="P21" s="7" t="s">
        <v>2227</v>
      </c>
      <c r="Q21" s="7" t="s">
        <v>2228</v>
      </c>
      <c r="R21" s="7" t="s">
        <v>2229</v>
      </c>
      <c r="S21" s="7" t="s">
        <v>2068</v>
      </c>
      <c r="T21" s="7" t="s">
        <v>2069</v>
      </c>
      <c r="U21" s="7"/>
      <c r="V21" s="7" t="s">
        <v>2230</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Profile'!$B$9,_TECH_Industry_Templates!$B:$B,"Strategy GTM"),"")</f>
        <v>3.5</v>
      </c>
      <c r="AO21" s="48" t="str">
        <f t="shared" si="6"/>
        <v/>
      </c>
      <c r="AP21" s="48">
        <f>IFERROR(SUMIFS(_TECH_Industry_Templates!$E:$E,_TECH_Industry_Templates!$A:$A,'Company Profile'!$B$9,_TECH_Industry_Templates!$B:$B,"Strategy GTM"),1)</f>
        <v>1</v>
      </c>
      <c r="AQ21" s="48" t="str">
        <f t="shared" si="7"/>
        <v/>
      </c>
      <c r="AR21" s="48" t="str">
        <f t="shared" si="8"/>
        <v/>
      </c>
      <c r="AS21" s="11">
        <f t="shared" si="9"/>
        <v>0</v>
      </c>
      <c r="AT21" s="11">
        <f t="shared" si="10"/>
        <v>0</v>
      </c>
    </row>
    <row r="22" spans="1:46" ht="71.25">
      <c r="A22" s="7" t="s">
        <v>2231</v>
      </c>
      <c r="B22" s="7" t="s">
        <v>1059</v>
      </c>
      <c r="C22" s="7" t="s">
        <v>2232</v>
      </c>
      <c r="D22" s="7" t="s">
        <v>2059</v>
      </c>
      <c r="E22" s="7" t="s">
        <v>2060</v>
      </c>
      <c r="F22" s="7" t="s">
        <v>2233</v>
      </c>
      <c r="G22" s="7">
        <v>5</v>
      </c>
      <c r="H22" s="153"/>
      <c r="I22" s="8" t="str">
        <f t="shared" si="0"/>
        <v/>
      </c>
      <c r="J22" s="8" t="str">
        <f t="shared" si="1"/>
        <v/>
      </c>
      <c r="K22" s="8" t="str">
        <f t="shared" si="2"/>
        <v/>
      </c>
      <c r="L22" s="7" t="str">
        <f t="shared" si="3"/>
        <v/>
      </c>
      <c r="M22" s="7" t="s">
        <v>2234</v>
      </c>
      <c r="N22" s="7" t="s">
        <v>2235</v>
      </c>
      <c r="O22" s="7" t="s">
        <v>2236</v>
      </c>
      <c r="P22" s="7" t="s">
        <v>2237</v>
      </c>
      <c r="Q22" s="7" t="s">
        <v>2238</v>
      </c>
      <c r="R22" s="7" t="s">
        <v>2239</v>
      </c>
      <c r="S22" s="7" t="s">
        <v>2068</v>
      </c>
      <c r="T22" s="7" t="s">
        <v>2069</v>
      </c>
      <c r="U22" s="7"/>
      <c r="V22" s="7" t="s">
        <v>2240</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Profile'!$B$9,_TECH_Industry_Templates!$B:$B,"Strategy GTM"),"")</f>
        <v>3.5</v>
      </c>
      <c r="AO22" s="48" t="str">
        <f t="shared" si="6"/>
        <v/>
      </c>
      <c r="AP22" s="48">
        <f>IFERROR(SUMIFS(_TECH_Industry_Templates!$E:$E,_TECH_Industry_Templates!$A:$A,'Company Profile'!$B$9,_TECH_Industry_Templates!$B:$B,"Strategy GTM"),1)</f>
        <v>1</v>
      </c>
      <c r="AQ22" s="48" t="str">
        <f t="shared" si="7"/>
        <v/>
      </c>
      <c r="AR22" s="48" t="str">
        <f t="shared" si="8"/>
        <v/>
      </c>
      <c r="AS22" s="11">
        <f t="shared" si="9"/>
        <v>0</v>
      </c>
      <c r="AT22" s="11">
        <f t="shared" si="10"/>
        <v>0</v>
      </c>
    </row>
    <row r="23" spans="1:46" ht="71.25">
      <c r="A23" s="7" t="s">
        <v>2241</v>
      </c>
      <c r="B23" s="7" t="s">
        <v>1067</v>
      </c>
      <c r="C23" s="7" t="s">
        <v>2242</v>
      </c>
      <c r="D23" s="7" t="s">
        <v>2059</v>
      </c>
      <c r="E23" s="7" t="s">
        <v>2060</v>
      </c>
      <c r="F23" s="7" t="s">
        <v>2243</v>
      </c>
      <c r="G23" s="7">
        <v>5</v>
      </c>
      <c r="H23" s="153"/>
      <c r="I23" s="8" t="str">
        <f t="shared" si="0"/>
        <v/>
      </c>
      <c r="J23" s="8" t="str">
        <f t="shared" si="1"/>
        <v/>
      </c>
      <c r="K23" s="8" t="str">
        <f t="shared" si="2"/>
        <v/>
      </c>
      <c r="L23" s="7" t="str">
        <f t="shared" si="3"/>
        <v/>
      </c>
      <c r="M23" s="7" t="s">
        <v>2244</v>
      </c>
      <c r="N23" s="7" t="s">
        <v>2245</v>
      </c>
      <c r="O23" s="7" t="s">
        <v>2246</v>
      </c>
      <c r="P23" s="7" t="s">
        <v>2247</v>
      </c>
      <c r="Q23" s="7" t="s">
        <v>2248</v>
      </c>
      <c r="R23" s="7" t="s">
        <v>2249</v>
      </c>
      <c r="S23" s="7" t="s">
        <v>2068</v>
      </c>
      <c r="T23" s="7" t="s">
        <v>2069</v>
      </c>
      <c r="U23" s="7"/>
      <c r="V23" s="7" t="s">
        <v>2250</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Profile'!$B$9,_TECH_Industry_Templates!$B:$B,"Strategy GTM"),"")</f>
        <v>3.5</v>
      </c>
      <c r="AO23" s="48" t="str">
        <f t="shared" si="6"/>
        <v/>
      </c>
      <c r="AP23" s="48">
        <f>IFERROR(SUMIFS(_TECH_Industry_Templates!$E:$E,_TECH_Industry_Templates!$A:$A,'Company Profile'!$B$9,_TECH_Industry_Templates!$B:$B,"Strategy GTM"),1)</f>
        <v>1</v>
      </c>
      <c r="AQ23" s="48" t="str">
        <f t="shared" si="7"/>
        <v/>
      </c>
      <c r="AR23" s="48" t="str">
        <f t="shared" si="8"/>
        <v/>
      </c>
      <c r="AS23" s="11">
        <f t="shared" si="9"/>
        <v>0</v>
      </c>
      <c r="AT23" s="11">
        <f t="shared" si="10"/>
        <v>0</v>
      </c>
    </row>
    <row r="24" spans="1:46" ht="71.25">
      <c r="A24" s="7" t="s">
        <v>2251</v>
      </c>
      <c r="B24" s="7" t="s">
        <v>1067</v>
      </c>
      <c r="C24" s="7" t="s">
        <v>2252</v>
      </c>
      <c r="D24" s="7" t="s">
        <v>2059</v>
      </c>
      <c r="E24" s="7" t="s">
        <v>2060</v>
      </c>
      <c r="F24" s="7" t="s">
        <v>2253</v>
      </c>
      <c r="G24" s="7">
        <v>4</v>
      </c>
      <c r="H24" s="153"/>
      <c r="I24" s="8" t="str">
        <f t="shared" si="0"/>
        <v/>
      </c>
      <c r="J24" s="8" t="str">
        <f t="shared" si="1"/>
        <v/>
      </c>
      <c r="K24" s="8" t="str">
        <f t="shared" si="2"/>
        <v/>
      </c>
      <c r="L24" s="7" t="str">
        <f t="shared" si="3"/>
        <v/>
      </c>
      <c r="M24" s="7" t="s">
        <v>2254</v>
      </c>
      <c r="N24" s="7" t="s">
        <v>2255</v>
      </c>
      <c r="O24" s="7" t="s">
        <v>2256</v>
      </c>
      <c r="P24" s="7" t="s">
        <v>2257</v>
      </c>
      <c r="Q24" s="7" t="s">
        <v>2258</v>
      </c>
      <c r="R24" s="7" t="s">
        <v>2259</v>
      </c>
      <c r="S24" s="7" t="s">
        <v>2068</v>
      </c>
      <c r="T24" s="7" t="s">
        <v>2069</v>
      </c>
      <c r="U24" s="7"/>
      <c r="V24" s="7" t="s">
        <v>2260</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Profile'!$B$9,_TECH_Industry_Templates!$B:$B,"Strategy GTM"),"")</f>
        <v>3.5</v>
      </c>
      <c r="AO24" s="48" t="str">
        <f t="shared" si="6"/>
        <v/>
      </c>
      <c r="AP24" s="48">
        <f>IFERROR(SUMIFS(_TECH_Industry_Templates!$E:$E,_TECH_Industry_Templates!$A:$A,'Company Profile'!$B$9,_TECH_Industry_Templates!$B:$B,"Strategy GTM"),1)</f>
        <v>1</v>
      </c>
      <c r="AQ24" s="48" t="str">
        <f t="shared" si="7"/>
        <v/>
      </c>
      <c r="AR24" s="48" t="str">
        <f t="shared" si="8"/>
        <v/>
      </c>
      <c r="AS24" s="11">
        <f t="shared" si="9"/>
        <v>0</v>
      </c>
      <c r="AT24" s="11">
        <f t="shared" si="10"/>
        <v>0</v>
      </c>
    </row>
    <row r="25" spans="1:46" ht="71.25">
      <c r="A25" s="7" t="s">
        <v>2261</v>
      </c>
      <c r="B25" s="7" t="s">
        <v>1067</v>
      </c>
      <c r="C25" s="7" t="s">
        <v>2262</v>
      </c>
      <c r="D25" s="7" t="s">
        <v>2059</v>
      </c>
      <c r="E25" s="7" t="s">
        <v>2060</v>
      </c>
      <c r="F25" s="7" t="s">
        <v>2263</v>
      </c>
      <c r="G25" s="7">
        <v>4</v>
      </c>
      <c r="H25" s="153"/>
      <c r="I25" s="8" t="str">
        <f t="shared" si="0"/>
        <v/>
      </c>
      <c r="J25" s="8" t="str">
        <f t="shared" si="1"/>
        <v/>
      </c>
      <c r="K25" s="8" t="str">
        <f t="shared" si="2"/>
        <v/>
      </c>
      <c r="L25" s="7" t="str">
        <f t="shared" si="3"/>
        <v/>
      </c>
      <c r="M25" s="7" t="s">
        <v>2264</v>
      </c>
      <c r="N25" s="7" t="s">
        <v>2265</v>
      </c>
      <c r="O25" s="7" t="s">
        <v>2266</v>
      </c>
      <c r="P25" s="7" t="s">
        <v>2267</v>
      </c>
      <c r="Q25" s="7" t="s">
        <v>2268</v>
      </c>
      <c r="R25" s="7" t="s">
        <v>2269</v>
      </c>
      <c r="S25" s="7" t="s">
        <v>2068</v>
      </c>
      <c r="T25" s="7" t="s">
        <v>2069</v>
      </c>
      <c r="U25" s="7"/>
      <c r="V25" s="7" t="s">
        <v>2270</v>
      </c>
      <c r="W25" s="14">
        <v>4</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Profile'!$B$9,_TECH_Industry_Templates!$B:$B,"Strategy GTM"),"")</f>
        <v>3.5</v>
      </c>
      <c r="AO25" s="48" t="str">
        <f t="shared" si="6"/>
        <v/>
      </c>
      <c r="AP25" s="48">
        <f>IFERROR(SUMIFS(_TECH_Industry_Templates!$E:$E,_TECH_Industry_Templates!$A:$A,'Company Profile'!$B$9,_TECH_Industry_Templates!$B:$B,"Strategy GTM"),1)</f>
        <v>1</v>
      </c>
      <c r="AQ25" s="48" t="str">
        <f t="shared" si="7"/>
        <v/>
      </c>
      <c r="AR25" s="48" t="str">
        <f t="shared" si="8"/>
        <v/>
      </c>
      <c r="AS25" s="11">
        <f t="shared" si="9"/>
        <v>0</v>
      </c>
      <c r="AT25" s="11">
        <f t="shared" si="10"/>
        <v>0</v>
      </c>
    </row>
    <row r="26" spans="1:46" ht="57">
      <c r="A26" s="7" t="s">
        <v>2271</v>
      </c>
      <c r="B26" s="7" t="s">
        <v>1067</v>
      </c>
      <c r="C26" s="7" t="s">
        <v>2272</v>
      </c>
      <c r="D26" s="7" t="s">
        <v>2059</v>
      </c>
      <c r="E26" s="7" t="s">
        <v>2060</v>
      </c>
      <c r="F26" s="7" t="s">
        <v>2273</v>
      </c>
      <c r="G26" s="7">
        <v>5</v>
      </c>
      <c r="H26" s="153"/>
      <c r="I26" s="8" t="str">
        <f t="shared" si="0"/>
        <v/>
      </c>
      <c r="J26" s="8" t="str">
        <f t="shared" si="1"/>
        <v/>
      </c>
      <c r="K26" s="8" t="str">
        <f t="shared" si="2"/>
        <v/>
      </c>
      <c r="L26" s="7" t="str">
        <f t="shared" si="3"/>
        <v/>
      </c>
      <c r="M26" s="7" t="s">
        <v>2274</v>
      </c>
      <c r="N26" s="7" t="s">
        <v>2275</v>
      </c>
      <c r="O26" s="7" t="s">
        <v>2276</v>
      </c>
      <c r="P26" s="7" t="s">
        <v>2277</v>
      </c>
      <c r="Q26" s="7" t="s">
        <v>2278</v>
      </c>
      <c r="R26" s="7" t="s">
        <v>2279</v>
      </c>
      <c r="S26" s="7" t="s">
        <v>2068</v>
      </c>
      <c r="T26" s="7" t="s">
        <v>2069</v>
      </c>
      <c r="U26" s="7"/>
      <c r="V26" s="7" t="s">
        <v>2280</v>
      </c>
      <c r="W26" s="14">
        <v>4</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Profile'!$B$9,_TECH_Industry_Templates!$B:$B,"Strategy GTM"),"")</f>
        <v>3.5</v>
      </c>
      <c r="AO26" s="48" t="str">
        <f t="shared" si="6"/>
        <v/>
      </c>
      <c r="AP26" s="48">
        <f>IFERROR(SUMIFS(_TECH_Industry_Templates!$E:$E,_TECH_Industry_Templates!$A:$A,'Company Profile'!$B$9,_TECH_Industry_Templates!$B:$B,"Strategy GTM"),1)</f>
        <v>1</v>
      </c>
      <c r="AQ26" s="48" t="str">
        <f t="shared" si="7"/>
        <v/>
      </c>
      <c r="AR26" s="48" t="str">
        <f t="shared" si="8"/>
        <v/>
      </c>
      <c r="AS26" s="11">
        <f t="shared" si="9"/>
        <v>0</v>
      </c>
      <c r="AT26" s="11">
        <f t="shared" si="10"/>
        <v>0</v>
      </c>
    </row>
    <row r="27" spans="1:46" ht="71.25">
      <c r="A27" s="7" t="s">
        <v>2281</v>
      </c>
      <c r="B27" s="7" t="s">
        <v>1067</v>
      </c>
      <c r="C27" s="7" t="s">
        <v>2282</v>
      </c>
      <c r="D27" s="7" t="s">
        <v>2059</v>
      </c>
      <c r="E27" s="7" t="s">
        <v>2060</v>
      </c>
      <c r="F27" s="7" t="s">
        <v>2283</v>
      </c>
      <c r="G27" s="7">
        <v>4</v>
      </c>
      <c r="H27" s="153"/>
      <c r="I27" s="8" t="str">
        <f t="shared" si="0"/>
        <v/>
      </c>
      <c r="J27" s="8" t="str">
        <f t="shared" si="1"/>
        <v/>
      </c>
      <c r="K27" s="8" t="str">
        <f t="shared" si="2"/>
        <v/>
      </c>
      <c r="L27" s="7" t="str">
        <f t="shared" si="3"/>
        <v/>
      </c>
      <c r="M27" s="7" t="s">
        <v>2284</v>
      </c>
      <c r="N27" s="7" t="s">
        <v>2285</v>
      </c>
      <c r="O27" s="7" t="s">
        <v>2286</v>
      </c>
      <c r="P27" s="7" t="s">
        <v>2287</v>
      </c>
      <c r="Q27" s="7" t="s">
        <v>2288</v>
      </c>
      <c r="R27" s="7" t="s">
        <v>2289</v>
      </c>
      <c r="S27" s="7" t="s">
        <v>2068</v>
      </c>
      <c r="T27" s="7" t="s">
        <v>2069</v>
      </c>
      <c r="U27" s="7"/>
      <c r="V27" s="7" t="s">
        <v>2290</v>
      </c>
      <c r="W27" s="14">
        <v>4</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Profile'!$B$9,_TECH_Industry_Templates!$B:$B,"Strategy GTM"),"")</f>
        <v>3.5</v>
      </c>
      <c r="AO27" s="48" t="str">
        <f t="shared" si="6"/>
        <v/>
      </c>
      <c r="AP27" s="48">
        <f>IFERROR(SUMIFS(_TECH_Industry_Templates!$E:$E,_TECH_Industry_Templates!$A:$A,'Company Profile'!$B$9,_TECH_Industry_Templates!$B:$B,"Strategy GTM"),1)</f>
        <v>1</v>
      </c>
      <c r="AQ27" s="48" t="str">
        <f t="shared" si="7"/>
        <v/>
      </c>
      <c r="AR27" s="48" t="str">
        <f t="shared" si="8"/>
        <v/>
      </c>
      <c r="AS27" s="11">
        <f t="shared" si="9"/>
        <v>0</v>
      </c>
      <c r="AT27" s="11">
        <f t="shared" si="10"/>
        <v>0</v>
      </c>
    </row>
    <row r="28" spans="1:46" ht="71.25">
      <c r="A28" s="7" t="s">
        <v>2291</v>
      </c>
      <c r="B28" s="7" t="s">
        <v>1067</v>
      </c>
      <c r="C28" s="7" t="s">
        <v>2292</v>
      </c>
      <c r="D28" s="7" t="s">
        <v>2059</v>
      </c>
      <c r="E28" s="7" t="s">
        <v>2060</v>
      </c>
      <c r="F28" s="7" t="s">
        <v>2293</v>
      </c>
      <c r="G28" s="7">
        <v>4</v>
      </c>
      <c r="H28" s="153"/>
      <c r="I28" s="8" t="str">
        <f t="shared" si="0"/>
        <v/>
      </c>
      <c r="J28" s="8" t="str">
        <f t="shared" si="1"/>
        <v/>
      </c>
      <c r="K28" s="8" t="str">
        <f t="shared" si="2"/>
        <v/>
      </c>
      <c r="L28" s="7" t="str">
        <f t="shared" si="3"/>
        <v/>
      </c>
      <c r="M28" s="7" t="s">
        <v>2294</v>
      </c>
      <c r="N28" s="7" t="s">
        <v>2295</v>
      </c>
      <c r="O28" s="7" t="s">
        <v>2296</v>
      </c>
      <c r="P28" s="7" t="s">
        <v>2297</v>
      </c>
      <c r="Q28" s="7" t="s">
        <v>2298</v>
      </c>
      <c r="R28" s="7" t="s">
        <v>2299</v>
      </c>
      <c r="S28" s="7" t="s">
        <v>2068</v>
      </c>
      <c r="T28" s="7" t="s">
        <v>2069</v>
      </c>
      <c r="U28" s="7"/>
      <c r="V28" s="7" t="s">
        <v>2300</v>
      </c>
      <c r="W28" s="14">
        <v>4</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Profile'!$B$9,_TECH_Industry_Templates!$B:$B,"Strategy GTM"),"")</f>
        <v>3.5</v>
      </c>
      <c r="AO28" s="48" t="str">
        <f t="shared" si="6"/>
        <v/>
      </c>
      <c r="AP28" s="48">
        <f>IFERROR(SUMIFS(_TECH_Industry_Templates!$E:$E,_TECH_Industry_Templates!$A:$A,'Company Profile'!$B$9,_TECH_Industry_Templates!$B:$B,"Strategy GTM"),1)</f>
        <v>1</v>
      </c>
      <c r="AQ28" s="48" t="str">
        <f t="shared" si="7"/>
        <v/>
      </c>
      <c r="AR28" s="48" t="str">
        <f t="shared" si="8"/>
        <v/>
      </c>
      <c r="AS28" s="11">
        <f t="shared" si="9"/>
        <v>0</v>
      </c>
      <c r="AT28" s="11">
        <f t="shared" si="10"/>
        <v>0</v>
      </c>
    </row>
  </sheetData>
  <mergeCells count="4">
    <mergeCell ref="A2:V2"/>
    <mergeCell ref="AA3:AG3"/>
    <mergeCell ref="A1:V1"/>
    <mergeCell ref="W3:Y3"/>
  </mergeCells>
  <conditionalFormatting sqref="H5:H28">
    <cfRule type="colorScale" priority="1">
      <colorScale>
        <cfvo type="min"/>
        <cfvo type="percentile" val="50"/>
        <cfvo type="max"/>
        <color rgb="FFF8696B"/>
        <color rgb="FFFFEB84"/>
        <color rgb="FF63BE7B"/>
      </colorScale>
    </cfRule>
  </conditionalFormatting>
  <conditionalFormatting sqref="L5:L28">
    <cfRule type="expression" dxfId="91" priority="2">
      <formula>$L5="Critical"</formula>
    </cfRule>
    <cfRule type="expression" dxfId="90" priority="3">
      <formula>$L5="High"</formula>
    </cfRule>
    <cfRule type="expression" dxfId="89" priority="4">
      <formula>$L5="Medium"</formula>
    </cfRule>
    <cfRule type="expression" dxfId="88" priority="5">
      <formula>$L5="Low"</formula>
    </cfRule>
    <cfRule type="expression" dxfId="87"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8" ns2:uid="{00000000-0002-0000-1400-000000000000}">
      <formula1>"N/A,0,1,2,3,4,5"</formula1>
    </dataValidation>
    <dataValidation type="list" sqref="G5:G28" ns2:uid="{00000000-0002-0000-1400-000001000000}">
      <formula1>"1,2,3,4,5"</formula1>
    </dataValidation>
    <dataValidation type="list" sqref="W5:Y28" ns2:uid="{00000000-0002-0000-1400-000002000000}">
      <formula1>"0,1,2,3,4,5"</formula1>
    </dataValidation>
    <dataValidation type="list" allowBlank="1" sqref="AH5:AI28" ns2:uid="{00000000-0002-0000-14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2.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500-000000000000}">
  <sheetPr>
    <tabColor rgb="FFED7D31"/>
  </sheetPr>
  <dimension ref="A1:AT23"/>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2301</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2302</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2303</v>
      </c>
      <c r="B5" s="7" t="s">
        <v>1075</v>
      </c>
      <c r="C5" s="7" t="s">
        <v>2304</v>
      </c>
      <c r="D5" s="7" t="s">
        <v>2305</v>
      </c>
      <c r="E5" s="7" t="s">
        <v>2306</v>
      </c>
      <c r="F5" s="7" t="s">
        <v>2307</v>
      </c>
      <c r="G5" s="7">
        <v>5</v>
      </c>
      <c r="H5" s="153"/>
      <c r="I5" s="8" t="str">
        <f t="shared" ref="I5:I23" si="0">IF($H5="","",IF($H5="N/A","",VALUE($H5)/5*$G5))</f>
        <v/>
      </c>
      <c r="J5" s="8" t="str">
        <f t="shared" ref="J5:J23" si="1">IF(OR($H5="",$H5="N/A"),"",$G5)</f>
        <v/>
      </c>
      <c r="K5" s="8" t="str">
        <f t="shared" ref="K5:K23" si="2">IF(OR($H5="",$H5="N/A"),"",$J5-$I5)</f>
        <v/>
      </c>
      <c r="L5" s="7" t="str">
        <f t="shared" ref="L5:L23" si="3">IF($H5="","",IF($H5="N/A","N/A",IF(VALUE($H5)&lt;=1,"Critical",IF(VALUE($H5)&lt;=2,"High",IF(VALUE($H5)&lt;=3,"Medium",IF(VALUE($H5)&lt;=4,"Low","Resilient"))))))</f>
        <v/>
      </c>
      <c r="M5" s="7" t="s">
        <v>2308</v>
      </c>
      <c r="N5" s="7" t="s">
        <v>2309</v>
      </c>
      <c r="O5" s="7" t="s">
        <v>2310</v>
      </c>
      <c r="P5" s="7" t="s">
        <v>2311</v>
      </c>
      <c r="Q5" s="7" t="s">
        <v>2312</v>
      </c>
      <c r="R5" s="7" t="s">
        <v>2313</v>
      </c>
      <c r="S5" s="7" t="s">
        <v>2314</v>
      </c>
      <c r="T5" s="7" t="s">
        <v>1863</v>
      </c>
      <c r="U5" s="7"/>
      <c r="V5" s="7" t="s">
        <v>2315</v>
      </c>
      <c r="W5" s="14">
        <v>4</v>
      </c>
      <c r="X5" s="14">
        <v>5</v>
      </c>
      <c r="Y5" s="14">
        <v>5</v>
      </c>
      <c r="AA5" t="s">
        <v>1075</v>
      </c>
      <c r="AB5" s="13">
        <f>COUNTIF($B$5:$B$23,$AA5)</f>
        <v>6</v>
      </c>
      <c r="AC5" s="15">
        <f>IFERROR(SUMPRODUCT(($B$5:$B$23=$AA5)*($H$5:$H$23&lt;&gt;"")*($H$5:$H$23&lt;&gt;"N/A")*IFERROR(VALUE($H$5:$H$23),0))/SUMPRODUCT(($B$5:$B$23=$AA5)*($H$5:$H$23&lt;&gt;"")*($H$5:$H$23&lt;&gt;"N/A")),0)</f>
        <v>0</v>
      </c>
      <c r="AD5" s="16">
        <f>AC5/5</f>
        <v>0</v>
      </c>
      <c r="AE5" s="13">
        <f>COUNTIFS($B$5:$B$23,$AA5,$L$5:$L$23,"Critical")+COUNTIFS($B$5:$B$23,$AA5,$L$5:$L$23,"High")</f>
        <v>0</v>
      </c>
      <c r="AF5" s="15">
        <f>5-AC5</f>
        <v>5</v>
      </c>
      <c r="AG5" s="13">
        <f>COUNTIFS($B$5:$B$23,$AA5,$H$5:$H$23,"&lt;&gt;")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3" si="4">IF(OR($H5="",$H5="N/A"),"",ROUND(VALUE($H5)*$AJ5*$AK5,2))</f>
        <v/>
      </c>
      <c r="AM5" s="48" t="str">
        <f t="shared" ref="AM5:AM23" si="5">IF($AL5="","",ROUND($AL5/5*100,1))</f>
        <v/>
      </c>
      <c r="AN5" s="48">
        <f>IFERROR(SUMIFS(_TECH_Industry_Templates!$D:$D,_TECH_Industry_Templates!$A:$A,'Company Profile'!$B$9,_TECH_Industry_Templates!$B:$B,"Governance Crisis"),"")</f>
        <v>4</v>
      </c>
      <c r="AO5" s="48" t="str">
        <f t="shared" ref="AO5:AO23" si="6">IF($AL5="","",MAX(0,ROUND($AN5-$AL5,2)))</f>
        <v/>
      </c>
      <c r="AP5" s="48">
        <f>IFERROR(SUMIFS(_TECH_Industry_Templates!$E:$E,_TECH_Industry_Templates!$A:$A,'Company Profile'!$B$9,_TECH_Industry_Templates!$B:$B,"Governance Crisis"),1)</f>
        <v>1.1499999999999999</v>
      </c>
      <c r="AQ5" s="48" t="str">
        <f t="shared" ref="AQ5:AQ23" si="7">IF($AO5="","",ROUND($AO5*$AP5*($G5/5),2))</f>
        <v/>
      </c>
      <c r="AR5" s="48" t="str">
        <f t="shared" ref="AR5:AR23" si="8">IF($AO5="","",IF($AO5&gt;=2,"Critical industry gap",IF($AO5&gt;=1,"High industry gap",IF($AO5&gt;=0.5,"Moderate industry gap","Within target"))))</f>
        <v/>
      </c>
      <c r="AS5" s="11">
        <f t="shared" ref="AS5:AS23" si="9">IF(OR($H5="",$H5="N/A"),0,VALUE($H5)*(($AJ5+$AK5)/2))</f>
        <v>0</v>
      </c>
      <c r="AT5" s="11">
        <f t="shared" ref="AT5:AT23" si="10">IF(OR($H5="",$H5="N/A"),0,($AJ5+$AK5)/2)</f>
        <v>0</v>
      </c>
    </row>
    <row r="6" spans="1:46" ht="57">
      <c r="A6" s="7" t="s">
        <v>2316</v>
      </c>
      <c r="B6" s="7" t="s">
        <v>1075</v>
      </c>
      <c r="C6" s="7" t="s">
        <v>2317</v>
      </c>
      <c r="D6" s="7" t="s">
        <v>2305</v>
      </c>
      <c r="E6" s="7" t="s">
        <v>2306</v>
      </c>
      <c r="F6" s="7" t="s">
        <v>2318</v>
      </c>
      <c r="G6" s="7">
        <v>5</v>
      </c>
      <c r="H6" s="153"/>
      <c r="I6" s="8" t="str">
        <f t="shared" si="0"/>
        <v/>
      </c>
      <c r="J6" s="8" t="str">
        <f t="shared" si="1"/>
        <v/>
      </c>
      <c r="K6" s="8" t="str">
        <f t="shared" si="2"/>
        <v/>
      </c>
      <c r="L6" s="7" t="str">
        <f t="shared" si="3"/>
        <v/>
      </c>
      <c r="M6" s="7" t="s">
        <v>2319</v>
      </c>
      <c r="N6" s="7" t="s">
        <v>2320</v>
      </c>
      <c r="O6" s="7" t="s">
        <v>2321</v>
      </c>
      <c r="P6" s="7" t="s">
        <v>2322</v>
      </c>
      <c r="Q6" s="7" t="s">
        <v>2323</v>
      </c>
      <c r="R6" s="7" t="s">
        <v>2324</v>
      </c>
      <c r="S6" s="7" t="s">
        <v>2314</v>
      </c>
      <c r="T6" s="7" t="s">
        <v>1863</v>
      </c>
      <c r="U6" s="7"/>
      <c r="V6" s="7" t="s">
        <v>2325</v>
      </c>
      <c r="W6" s="14">
        <v>4</v>
      </c>
      <c r="X6" s="14">
        <v>5</v>
      </c>
      <c r="Y6" s="14">
        <v>5</v>
      </c>
      <c r="AA6" t="s">
        <v>1084</v>
      </c>
      <c r="AB6" s="13">
        <f>COUNTIF($B$5:$B$23,$AA6)</f>
        <v>7</v>
      </c>
      <c r="AC6" s="15">
        <f>IFERROR(SUMPRODUCT(($B$5:$B$23=$AA6)*($H$5:$H$23&lt;&gt;"")*($H$5:$H$23&lt;&gt;"N/A")*IFERROR(VALUE($H$5:$H$23),0))/SUMPRODUCT(($B$5:$B$23=$AA6)*($H$5:$H$23&lt;&gt;"")*($H$5:$H$23&lt;&gt;"N/A")),0)</f>
        <v>0</v>
      </c>
      <c r="AD6" s="16">
        <f>AC6/5</f>
        <v>0</v>
      </c>
      <c r="AE6" s="13">
        <f>COUNTIFS($B$5:$B$23,$AA6,$L$5:$L$23,"Critical")+COUNTIFS($B$5:$B$23,$AA6,$L$5:$L$23,"High")</f>
        <v>0</v>
      </c>
      <c r="AF6" s="15">
        <f>5-AC6</f>
        <v>5</v>
      </c>
      <c r="AG6" s="13">
        <f>COUNTIFS($B$5:$B$23,$AA6,$H$5:$H$23,"&lt;&gt;")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Profile'!$B$9,_TECH_Industry_Templates!$B:$B,"Governance Crisis"),"")</f>
        <v>4</v>
      </c>
      <c r="AO6" s="48" t="str">
        <f t="shared" si="6"/>
        <v/>
      </c>
      <c r="AP6" s="48">
        <f>IFERROR(SUMIFS(_TECH_Industry_Templates!$E:$E,_TECH_Industry_Templates!$A:$A,'Company Profile'!$B$9,_TECH_Industry_Templates!$B:$B,"Governance Crisis"),1)</f>
        <v>1.1499999999999999</v>
      </c>
      <c r="AQ6" s="48" t="str">
        <f t="shared" si="7"/>
        <v/>
      </c>
      <c r="AR6" s="48" t="str">
        <f t="shared" si="8"/>
        <v/>
      </c>
      <c r="AS6" s="11">
        <f t="shared" si="9"/>
        <v>0</v>
      </c>
      <c r="AT6" s="11">
        <f t="shared" si="10"/>
        <v>0</v>
      </c>
    </row>
    <row r="7" spans="1:46" ht="71.25">
      <c r="A7" s="7" t="s">
        <v>2326</v>
      </c>
      <c r="B7" s="7" t="s">
        <v>1075</v>
      </c>
      <c r="C7" s="7" t="s">
        <v>2327</v>
      </c>
      <c r="D7" s="7" t="s">
        <v>2305</v>
      </c>
      <c r="E7" s="7" t="s">
        <v>2306</v>
      </c>
      <c r="F7" s="7" t="s">
        <v>2328</v>
      </c>
      <c r="G7" s="7">
        <v>5</v>
      </c>
      <c r="H7" s="153"/>
      <c r="I7" s="8" t="str">
        <f t="shared" si="0"/>
        <v/>
      </c>
      <c r="J7" s="8" t="str">
        <f t="shared" si="1"/>
        <v/>
      </c>
      <c r="K7" s="8" t="str">
        <f t="shared" si="2"/>
        <v/>
      </c>
      <c r="L7" s="7" t="str">
        <f t="shared" si="3"/>
        <v/>
      </c>
      <c r="M7" s="7" t="s">
        <v>2329</v>
      </c>
      <c r="N7" s="7" t="s">
        <v>2330</v>
      </c>
      <c r="O7" s="7" t="s">
        <v>2331</v>
      </c>
      <c r="P7" s="7" t="s">
        <v>2332</v>
      </c>
      <c r="Q7" s="7" t="s">
        <v>2333</v>
      </c>
      <c r="R7" s="7" t="s">
        <v>2334</v>
      </c>
      <c r="S7" s="7" t="s">
        <v>2314</v>
      </c>
      <c r="T7" s="7" t="s">
        <v>1863</v>
      </c>
      <c r="U7" s="7"/>
      <c r="V7" s="7" t="s">
        <v>2335</v>
      </c>
      <c r="W7" s="14">
        <v>4</v>
      </c>
      <c r="X7" s="14">
        <v>5</v>
      </c>
      <c r="Y7" s="14">
        <v>5</v>
      </c>
      <c r="AA7" t="s">
        <v>1092</v>
      </c>
      <c r="AB7" s="13">
        <f>COUNTIF($B$5:$B$23,$AA7)</f>
        <v>6</v>
      </c>
      <c r="AC7" s="15">
        <f>IFERROR(SUMPRODUCT(($B$5:$B$23=$AA7)*($H$5:$H$23&lt;&gt;"")*($H$5:$H$23&lt;&gt;"N/A")*IFERROR(VALUE($H$5:$H$23),0))/SUMPRODUCT(($B$5:$B$23=$AA7)*($H$5:$H$23&lt;&gt;"")*($H$5:$H$23&lt;&gt;"N/A")),0)</f>
        <v>0</v>
      </c>
      <c r="AD7" s="16">
        <f>AC7/5</f>
        <v>0</v>
      </c>
      <c r="AE7" s="13">
        <f>COUNTIFS($B$5:$B$23,$AA7,$L$5:$L$23,"Critical")+COUNTIFS($B$5:$B$23,$AA7,$L$5:$L$23,"High")</f>
        <v>0</v>
      </c>
      <c r="AF7" s="15">
        <f>5-AC7</f>
        <v>5</v>
      </c>
      <c r="AG7" s="13">
        <f>COUNTIFS($B$5:$B$23,$AA7,$H$5:$H$23,"&lt;&gt;")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Profile'!$B$9,_TECH_Industry_Templates!$B:$B,"Governance Crisis"),"")</f>
        <v>4</v>
      </c>
      <c r="AO7" s="48" t="str">
        <f t="shared" si="6"/>
        <v/>
      </c>
      <c r="AP7" s="48">
        <f>IFERROR(SUMIFS(_TECH_Industry_Templates!$E:$E,_TECH_Industry_Templates!$A:$A,'Company Profile'!$B$9,_TECH_Industry_Templates!$B:$B,"Governance Crisis"),1)</f>
        <v>1.1499999999999999</v>
      </c>
      <c r="AQ7" s="48" t="str">
        <f t="shared" si="7"/>
        <v/>
      </c>
      <c r="AR7" s="48" t="str">
        <f t="shared" si="8"/>
        <v/>
      </c>
      <c r="AS7" s="11">
        <f t="shared" si="9"/>
        <v>0</v>
      </c>
      <c r="AT7" s="11">
        <f t="shared" si="10"/>
        <v>0</v>
      </c>
    </row>
    <row r="8" spans="1:46" ht="71.25">
      <c r="A8" s="7" t="s">
        <v>2336</v>
      </c>
      <c r="B8" s="7" t="s">
        <v>1075</v>
      </c>
      <c r="C8" s="7" t="s">
        <v>2337</v>
      </c>
      <c r="D8" s="7" t="s">
        <v>2305</v>
      </c>
      <c r="E8" s="7" t="s">
        <v>2306</v>
      </c>
      <c r="F8" s="7" t="s">
        <v>2338</v>
      </c>
      <c r="G8" s="7">
        <v>5</v>
      </c>
      <c r="H8" s="153"/>
      <c r="I8" s="8" t="str">
        <f t="shared" si="0"/>
        <v/>
      </c>
      <c r="J8" s="8" t="str">
        <f t="shared" si="1"/>
        <v/>
      </c>
      <c r="K8" s="8" t="str">
        <f t="shared" si="2"/>
        <v/>
      </c>
      <c r="L8" s="7" t="str">
        <f t="shared" si="3"/>
        <v/>
      </c>
      <c r="M8" s="7" t="s">
        <v>2339</v>
      </c>
      <c r="N8" s="7" t="s">
        <v>2340</v>
      </c>
      <c r="O8" s="7" t="s">
        <v>2341</v>
      </c>
      <c r="P8" s="7" t="s">
        <v>2342</v>
      </c>
      <c r="Q8" s="7" t="s">
        <v>2343</v>
      </c>
      <c r="R8" s="7" t="s">
        <v>2344</v>
      </c>
      <c r="S8" s="7" t="s">
        <v>2314</v>
      </c>
      <c r="T8" s="7" t="s">
        <v>1863</v>
      </c>
      <c r="U8" s="7"/>
      <c r="V8" s="7" t="s">
        <v>2345</v>
      </c>
      <c r="W8" s="14">
        <v>4</v>
      </c>
      <c r="X8" s="14">
        <v>5</v>
      </c>
      <c r="Y8" s="14">
        <v>5</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Profile'!$B$9,_TECH_Industry_Templates!$B:$B,"Governance Crisis"),"")</f>
        <v>4</v>
      </c>
      <c r="AO8" s="48" t="str">
        <f t="shared" si="6"/>
        <v/>
      </c>
      <c r="AP8" s="48">
        <f>IFERROR(SUMIFS(_TECH_Industry_Templates!$E:$E,_TECH_Industry_Templates!$A:$A,'Company Profile'!$B$9,_TECH_Industry_Templates!$B:$B,"Governance Crisis"),1)</f>
        <v>1.1499999999999999</v>
      </c>
      <c r="AQ8" s="48" t="str">
        <f t="shared" si="7"/>
        <v/>
      </c>
      <c r="AR8" s="48" t="str">
        <f t="shared" si="8"/>
        <v/>
      </c>
      <c r="AS8" s="11">
        <f t="shared" si="9"/>
        <v>0</v>
      </c>
      <c r="AT8" s="11">
        <f t="shared" si="10"/>
        <v>0</v>
      </c>
    </row>
    <row r="9" spans="1:46" ht="57">
      <c r="A9" s="7" t="s">
        <v>2346</v>
      </c>
      <c r="B9" s="7" t="s">
        <v>1075</v>
      </c>
      <c r="C9" s="7" t="s">
        <v>2347</v>
      </c>
      <c r="D9" s="7" t="s">
        <v>2305</v>
      </c>
      <c r="E9" s="7" t="s">
        <v>2306</v>
      </c>
      <c r="F9" s="7" t="s">
        <v>2348</v>
      </c>
      <c r="G9" s="7">
        <v>5</v>
      </c>
      <c r="H9" s="153"/>
      <c r="I9" s="8" t="str">
        <f t="shared" si="0"/>
        <v/>
      </c>
      <c r="J9" s="8" t="str">
        <f t="shared" si="1"/>
        <v/>
      </c>
      <c r="K9" s="8" t="str">
        <f t="shared" si="2"/>
        <v/>
      </c>
      <c r="L9" s="7" t="str">
        <f t="shared" si="3"/>
        <v/>
      </c>
      <c r="M9" s="7" t="s">
        <v>2349</v>
      </c>
      <c r="N9" s="7" t="s">
        <v>2350</v>
      </c>
      <c r="O9" s="7" t="s">
        <v>2351</v>
      </c>
      <c r="P9" s="7" t="s">
        <v>2352</v>
      </c>
      <c r="Q9" s="7" t="s">
        <v>2353</v>
      </c>
      <c r="R9" s="7" t="s">
        <v>2354</v>
      </c>
      <c r="S9" s="7" t="s">
        <v>2314</v>
      </c>
      <c r="T9" s="7" t="s">
        <v>1863</v>
      </c>
      <c r="U9" s="7"/>
      <c r="V9" s="7" t="s">
        <v>2355</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Profile'!$B$9,_TECH_Industry_Templates!$B:$B,"Governance Crisis"),"")</f>
        <v>4</v>
      </c>
      <c r="AO9" s="48" t="str">
        <f t="shared" si="6"/>
        <v/>
      </c>
      <c r="AP9" s="48">
        <f>IFERROR(SUMIFS(_TECH_Industry_Templates!$E:$E,_TECH_Industry_Templates!$A:$A,'Company Profile'!$B$9,_TECH_Industry_Templates!$B:$B,"Governance Crisis"),1)</f>
        <v>1.1499999999999999</v>
      </c>
      <c r="AQ9" s="48" t="str">
        <f t="shared" si="7"/>
        <v/>
      </c>
      <c r="AR9" s="48" t="str">
        <f t="shared" si="8"/>
        <v/>
      </c>
      <c r="AS9" s="11">
        <f t="shared" si="9"/>
        <v>0</v>
      </c>
      <c r="AT9" s="11">
        <f t="shared" si="10"/>
        <v>0</v>
      </c>
    </row>
    <row r="10" spans="1:46" ht="57">
      <c r="A10" s="7" t="s">
        <v>2356</v>
      </c>
      <c r="B10" s="7" t="s">
        <v>1075</v>
      </c>
      <c r="C10" s="7" t="s">
        <v>2357</v>
      </c>
      <c r="D10" s="7" t="s">
        <v>2305</v>
      </c>
      <c r="E10" s="7" t="s">
        <v>2306</v>
      </c>
      <c r="F10" s="7" t="s">
        <v>2358</v>
      </c>
      <c r="G10" s="7">
        <v>3</v>
      </c>
      <c r="H10" s="153"/>
      <c r="I10" s="8" t="str">
        <f t="shared" si="0"/>
        <v/>
      </c>
      <c r="J10" s="8" t="str">
        <f t="shared" si="1"/>
        <v/>
      </c>
      <c r="K10" s="8" t="str">
        <f t="shared" si="2"/>
        <v/>
      </c>
      <c r="L10" s="7" t="str">
        <f t="shared" si="3"/>
        <v/>
      </c>
      <c r="M10" s="7" t="s">
        <v>2359</v>
      </c>
      <c r="N10" s="7" t="s">
        <v>2360</v>
      </c>
      <c r="O10" s="7" t="s">
        <v>2361</v>
      </c>
      <c r="P10" s="7" t="s">
        <v>2362</v>
      </c>
      <c r="Q10" s="7" t="s">
        <v>2363</v>
      </c>
      <c r="R10" s="7" t="s">
        <v>2364</v>
      </c>
      <c r="S10" s="7" t="s">
        <v>2314</v>
      </c>
      <c r="T10" s="7" t="s">
        <v>1863</v>
      </c>
      <c r="U10" s="7"/>
      <c r="V10" s="7" t="s">
        <v>2365</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Profile'!$B$9,_TECH_Industry_Templates!$B:$B,"Governance Crisis"),"")</f>
        <v>4</v>
      </c>
      <c r="AO10" s="48" t="str">
        <f t="shared" si="6"/>
        <v/>
      </c>
      <c r="AP10" s="48">
        <f>IFERROR(SUMIFS(_TECH_Industry_Templates!$E:$E,_TECH_Industry_Templates!$A:$A,'Company Profile'!$B$9,_TECH_Industry_Templates!$B:$B,"Governance Crisis"),1)</f>
        <v>1.1499999999999999</v>
      </c>
      <c r="AQ10" s="48" t="str">
        <f t="shared" si="7"/>
        <v/>
      </c>
      <c r="AR10" s="48" t="str">
        <f t="shared" si="8"/>
        <v/>
      </c>
      <c r="AS10" s="11">
        <f t="shared" si="9"/>
        <v>0</v>
      </c>
      <c r="AT10" s="11">
        <f t="shared" si="10"/>
        <v>0</v>
      </c>
    </row>
    <row r="11" spans="1:46" ht="71.25">
      <c r="A11" s="7" t="s">
        <v>2366</v>
      </c>
      <c r="B11" s="7" t="s">
        <v>1084</v>
      </c>
      <c r="C11" s="7" t="s">
        <v>2367</v>
      </c>
      <c r="D11" s="7" t="s">
        <v>2305</v>
      </c>
      <c r="E11" s="7" t="s">
        <v>2306</v>
      </c>
      <c r="F11" s="7" t="s">
        <v>2368</v>
      </c>
      <c r="G11" s="7">
        <v>5</v>
      </c>
      <c r="H11" s="153"/>
      <c r="I11" s="8" t="str">
        <f t="shared" si="0"/>
        <v/>
      </c>
      <c r="J11" s="8" t="str">
        <f t="shared" si="1"/>
        <v/>
      </c>
      <c r="K11" s="8" t="str">
        <f t="shared" si="2"/>
        <v/>
      </c>
      <c r="L11" s="7" t="str">
        <f t="shared" si="3"/>
        <v/>
      </c>
      <c r="M11" s="7" t="s">
        <v>2369</v>
      </c>
      <c r="N11" s="7" t="s">
        <v>2370</v>
      </c>
      <c r="O11" s="7" t="s">
        <v>2371</v>
      </c>
      <c r="P11" s="7" t="s">
        <v>2372</v>
      </c>
      <c r="Q11" s="7" t="s">
        <v>2373</v>
      </c>
      <c r="R11" s="7" t="s">
        <v>2374</v>
      </c>
      <c r="S11" s="7" t="s">
        <v>2314</v>
      </c>
      <c r="T11" s="7" t="s">
        <v>1863</v>
      </c>
      <c r="U11" s="7"/>
      <c r="V11" s="7" t="s">
        <v>2375</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Profile'!$B$9,_TECH_Industry_Templates!$B:$B,"Governance Crisis"),"")</f>
        <v>4</v>
      </c>
      <c r="AO11" s="48" t="str">
        <f t="shared" si="6"/>
        <v/>
      </c>
      <c r="AP11" s="48">
        <f>IFERROR(SUMIFS(_TECH_Industry_Templates!$E:$E,_TECH_Industry_Templates!$A:$A,'Company Profile'!$B$9,_TECH_Industry_Templates!$B:$B,"Governance Crisis"),1)</f>
        <v>1.1499999999999999</v>
      </c>
      <c r="AQ11" s="48" t="str">
        <f t="shared" si="7"/>
        <v/>
      </c>
      <c r="AR11" s="48" t="str">
        <f t="shared" si="8"/>
        <v/>
      </c>
      <c r="AS11" s="11">
        <f t="shared" si="9"/>
        <v>0</v>
      </c>
      <c r="AT11" s="11">
        <f t="shared" si="10"/>
        <v>0</v>
      </c>
    </row>
    <row r="12" spans="1:46" ht="71.25">
      <c r="A12" s="7" t="s">
        <v>2376</v>
      </c>
      <c r="B12" s="7" t="s">
        <v>1084</v>
      </c>
      <c r="C12" s="7" t="s">
        <v>2377</v>
      </c>
      <c r="D12" s="7" t="s">
        <v>2305</v>
      </c>
      <c r="E12" s="7" t="s">
        <v>2306</v>
      </c>
      <c r="F12" s="7" t="s">
        <v>2378</v>
      </c>
      <c r="G12" s="7">
        <v>5</v>
      </c>
      <c r="H12" s="153"/>
      <c r="I12" s="8" t="str">
        <f t="shared" si="0"/>
        <v/>
      </c>
      <c r="J12" s="8" t="str">
        <f t="shared" si="1"/>
        <v/>
      </c>
      <c r="K12" s="8" t="str">
        <f t="shared" si="2"/>
        <v/>
      </c>
      <c r="L12" s="7" t="str">
        <f t="shared" si="3"/>
        <v/>
      </c>
      <c r="M12" s="7" t="s">
        <v>2379</v>
      </c>
      <c r="N12" s="7" t="s">
        <v>2380</v>
      </c>
      <c r="O12" s="7" t="s">
        <v>2381</v>
      </c>
      <c r="P12" s="7" t="s">
        <v>2382</v>
      </c>
      <c r="Q12" s="7" t="s">
        <v>2383</v>
      </c>
      <c r="R12" s="7" t="s">
        <v>2384</v>
      </c>
      <c r="S12" s="7" t="s">
        <v>2314</v>
      </c>
      <c r="T12" s="7" t="s">
        <v>1863</v>
      </c>
      <c r="U12" s="7"/>
      <c r="V12" s="7" t="s">
        <v>2385</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Profile'!$B$9,_TECH_Industry_Templates!$B:$B,"Governance Crisis"),"")</f>
        <v>4</v>
      </c>
      <c r="AO12" s="48" t="str">
        <f t="shared" si="6"/>
        <v/>
      </c>
      <c r="AP12" s="48">
        <f>IFERROR(SUMIFS(_TECH_Industry_Templates!$E:$E,_TECH_Industry_Templates!$A:$A,'Company Profile'!$B$9,_TECH_Industry_Templates!$B:$B,"Governance Crisis"),1)</f>
        <v>1.1499999999999999</v>
      </c>
      <c r="AQ12" s="48" t="str">
        <f t="shared" si="7"/>
        <v/>
      </c>
      <c r="AR12" s="48" t="str">
        <f t="shared" si="8"/>
        <v/>
      </c>
      <c r="AS12" s="11">
        <f t="shared" si="9"/>
        <v>0</v>
      </c>
      <c r="AT12" s="11">
        <f t="shared" si="10"/>
        <v>0</v>
      </c>
    </row>
    <row r="13" spans="1:46" ht="71.25">
      <c r="A13" s="7" t="s">
        <v>2386</v>
      </c>
      <c r="B13" s="7" t="s">
        <v>1084</v>
      </c>
      <c r="C13" s="7" t="s">
        <v>2387</v>
      </c>
      <c r="D13" s="7" t="s">
        <v>2305</v>
      </c>
      <c r="E13" s="7" t="s">
        <v>2306</v>
      </c>
      <c r="F13" s="7" t="s">
        <v>2388</v>
      </c>
      <c r="G13" s="7">
        <v>5</v>
      </c>
      <c r="H13" s="153"/>
      <c r="I13" s="8" t="str">
        <f t="shared" si="0"/>
        <v/>
      </c>
      <c r="J13" s="8" t="str">
        <f t="shared" si="1"/>
        <v/>
      </c>
      <c r="K13" s="8" t="str">
        <f t="shared" si="2"/>
        <v/>
      </c>
      <c r="L13" s="7" t="str">
        <f t="shared" si="3"/>
        <v/>
      </c>
      <c r="M13" s="7" t="s">
        <v>2389</v>
      </c>
      <c r="N13" s="7" t="s">
        <v>2390</v>
      </c>
      <c r="O13" s="7" t="s">
        <v>2391</v>
      </c>
      <c r="P13" s="7" t="s">
        <v>2392</v>
      </c>
      <c r="Q13" s="7" t="s">
        <v>2393</v>
      </c>
      <c r="R13" s="7" t="s">
        <v>2394</v>
      </c>
      <c r="S13" s="7" t="s">
        <v>2314</v>
      </c>
      <c r="T13" s="7" t="s">
        <v>1863</v>
      </c>
      <c r="U13" s="7"/>
      <c r="V13" s="7" t="s">
        <v>2395</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Profile'!$B$9,_TECH_Industry_Templates!$B:$B,"Governance Crisis"),"")</f>
        <v>4</v>
      </c>
      <c r="AO13" s="48" t="str">
        <f t="shared" si="6"/>
        <v/>
      </c>
      <c r="AP13" s="48">
        <f>IFERROR(SUMIFS(_TECH_Industry_Templates!$E:$E,_TECH_Industry_Templates!$A:$A,'Company Profile'!$B$9,_TECH_Industry_Templates!$B:$B,"Governance Crisis"),1)</f>
        <v>1.1499999999999999</v>
      </c>
      <c r="AQ13" s="48" t="str">
        <f t="shared" si="7"/>
        <v/>
      </c>
      <c r="AR13" s="48" t="str">
        <f t="shared" si="8"/>
        <v/>
      </c>
      <c r="AS13" s="11">
        <f t="shared" si="9"/>
        <v>0</v>
      </c>
      <c r="AT13" s="11">
        <f t="shared" si="10"/>
        <v>0</v>
      </c>
    </row>
    <row r="14" spans="1:46" ht="71.25">
      <c r="A14" s="7" t="s">
        <v>2396</v>
      </c>
      <c r="B14" s="7" t="s">
        <v>1084</v>
      </c>
      <c r="C14" s="7" t="s">
        <v>2397</v>
      </c>
      <c r="D14" s="7" t="s">
        <v>2305</v>
      </c>
      <c r="E14" s="7" t="s">
        <v>2306</v>
      </c>
      <c r="F14" s="7" t="s">
        <v>2398</v>
      </c>
      <c r="G14" s="7">
        <v>5</v>
      </c>
      <c r="H14" s="153"/>
      <c r="I14" s="8" t="str">
        <f t="shared" si="0"/>
        <v/>
      </c>
      <c r="J14" s="8" t="str">
        <f t="shared" si="1"/>
        <v/>
      </c>
      <c r="K14" s="8" t="str">
        <f t="shared" si="2"/>
        <v/>
      </c>
      <c r="L14" s="7" t="str">
        <f t="shared" si="3"/>
        <v/>
      </c>
      <c r="M14" s="7" t="s">
        <v>2399</v>
      </c>
      <c r="N14" s="7" t="s">
        <v>2400</v>
      </c>
      <c r="O14" s="7" t="s">
        <v>2401</v>
      </c>
      <c r="P14" s="7" t="s">
        <v>2402</v>
      </c>
      <c r="Q14" s="7" t="s">
        <v>2403</v>
      </c>
      <c r="R14" s="7" t="s">
        <v>2404</v>
      </c>
      <c r="S14" s="7" t="s">
        <v>2314</v>
      </c>
      <c r="T14" s="7" t="s">
        <v>1863</v>
      </c>
      <c r="U14" s="7"/>
      <c r="V14" s="7" t="s">
        <v>2405</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Profile'!$B$9,_TECH_Industry_Templates!$B:$B,"Governance Crisis"),"")</f>
        <v>4</v>
      </c>
      <c r="AO14" s="48" t="str">
        <f t="shared" si="6"/>
        <v/>
      </c>
      <c r="AP14" s="48">
        <f>IFERROR(SUMIFS(_TECH_Industry_Templates!$E:$E,_TECH_Industry_Templates!$A:$A,'Company Profile'!$B$9,_TECH_Industry_Templates!$B:$B,"Governance Crisis"),1)</f>
        <v>1.1499999999999999</v>
      </c>
      <c r="AQ14" s="48" t="str">
        <f t="shared" si="7"/>
        <v/>
      </c>
      <c r="AR14" s="48" t="str">
        <f t="shared" si="8"/>
        <v/>
      </c>
      <c r="AS14" s="11">
        <f t="shared" si="9"/>
        <v>0</v>
      </c>
      <c r="AT14" s="11">
        <f t="shared" si="10"/>
        <v>0</v>
      </c>
    </row>
    <row r="15" spans="1:46" ht="71.25">
      <c r="A15" s="7" t="s">
        <v>2406</v>
      </c>
      <c r="B15" s="7" t="s">
        <v>1084</v>
      </c>
      <c r="C15" s="7" t="s">
        <v>2407</v>
      </c>
      <c r="D15" s="7" t="s">
        <v>2305</v>
      </c>
      <c r="E15" s="7" t="s">
        <v>2306</v>
      </c>
      <c r="F15" s="7" t="s">
        <v>2408</v>
      </c>
      <c r="G15" s="7">
        <v>5</v>
      </c>
      <c r="H15" s="153"/>
      <c r="I15" s="8" t="str">
        <f t="shared" si="0"/>
        <v/>
      </c>
      <c r="J15" s="8" t="str">
        <f t="shared" si="1"/>
        <v/>
      </c>
      <c r="K15" s="8" t="str">
        <f t="shared" si="2"/>
        <v/>
      </c>
      <c r="L15" s="7" t="str">
        <f t="shared" si="3"/>
        <v/>
      </c>
      <c r="M15" s="7" t="s">
        <v>2409</v>
      </c>
      <c r="N15" s="7" t="s">
        <v>2410</v>
      </c>
      <c r="O15" s="7" t="s">
        <v>2411</v>
      </c>
      <c r="P15" s="7" t="s">
        <v>2412</v>
      </c>
      <c r="Q15" s="7" t="s">
        <v>2413</v>
      </c>
      <c r="R15" s="7" t="s">
        <v>2414</v>
      </c>
      <c r="S15" s="7" t="s">
        <v>2314</v>
      </c>
      <c r="T15" s="7" t="s">
        <v>1863</v>
      </c>
      <c r="U15" s="7"/>
      <c r="V15" s="7" t="s">
        <v>2415</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Profile'!$B$9,_TECH_Industry_Templates!$B:$B,"Governance Crisis"),"")</f>
        <v>4</v>
      </c>
      <c r="AO15" s="48" t="str">
        <f t="shared" si="6"/>
        <v/>
      </c>
      <c r="AP15" s="48">
        <f>IFERROR(SUMIFS(_TECH_Industry_Templates!$E:$E,_TECH_Industry_Templates!$A:$A,'Company Profile'!$B$9,_TECH_Industry_Templates!$B:$B,"Governance Crisis"),1)</f>
        <v>1.1499999999999999</v>
      </c>
      <c r="AQ15" s="48" t="str">
        <f t="shared" si="7"/>
        <v/>
      </c>
      <c r="AR15" s="48" t="str">
        <f t="shared" si="8"/>
        <v/>
      </c>
      <c r="AS15" s="11">
        <f t="shared" si="9"/>
        <v>0</v>
      </c>
      <c r="AT15" s="11">
        <f t="shared" si="10"/>
        <v>0</v>
      </c>
    </row>
    <row r="16" spans="1:46" ht="85.5">
      <c r="A16" s="7" t="s">
        <v>2416</v>
      </c>
      <c r="B16" s="7" t="s">
        <v>1084</v>
      </c>
      <c r="C16" s="7" t="s">
        <v>2417</v>
      </c>
      <c r="D16" s="7" t="s">
        <v>2305</v>
      </c>
      <c r="E16" s="7" t="s">
        <v>2306</v>
      </c>
      <c r="F16" s="7" t="s">
        <v>2418</v>
      </c>
      <c r="G16" s="7">
        <v>5</v>
      </c>
      <c r="H16" s="153"/>
      <c r="I16" s="8" t="str">
        <f t="shared" si="0"/>
        <v/>
      </c>
      <c r="J16" s="8" t="str">
        <f t="shared" si="1"/>
        <v/>
      </c>
      <c r="K16" s="8" t="str">
        <f t="shared" si="2"/>
        <v/>
      </c>
      <c r="L16" s="7" t="str">
        <f t="shared" si="3"/>
        <v/>
      </c>
      <c r="M16" s="7" t="s">
        <v>2419</v>
      </c>
      <c r="N16" s="7" t="s">
        <v>2420</v>
      </c>
      <c r="O16" s="7" t="s">
        <v>2421</v>
      </c>
      <c r="P16" s="7" t="s">
        <v>2422</v>
      </c>
      <c r="Q16" s="7" t="s">
        <v>2423</v>
      </c>
      <c r="R16" s="7" t="s">
        <v>2424</v>
      </c>
      <c r="S16" s="7" t="s">
        <v>2314</v>
      </c>
      <c r="T16" s="7" t="s">
        <v>1863</v>
      </c>
      <c r="U16" s="7"/>
      <c r="V16" s="7" t="s">
        <v>2425</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Profile'!$B$9,_TECH_Industry_Templates!$B:$B,"Governance Crisis"),"")</f>
        <v>4</v>
      </c>
      <c r="AO16" s="48" t="str">
        <f t="shared" si="6"/>
        <v/>
      </c>
      <c r="AP16" s="48">
        <f>IFERROR(SUMIFS(_TECH_Industry_Templates!$E:$E,_TECH_Industry_Templates!$A:$A,'Company Profile'!$B$9,_TECH_Industry_Templates!$B:$B,"Governance Crisis"),1)</f>
        <v>1.1499999999999999</v>
      </c>
      <c r="AQ16" s="48" t="str">
        <f t="shared" si="7"/>
        <v/>
      </c>
      <c r="AR16" s="48" t="str">
        <f t="shared" si="8"/>
        <v/>
      </c>
      <c r="AS16" s="11">
        <f t="shared" si="9"/>
        <v>0</v>
      </c>
      <c r="AT16" s="11">
        <f t="shared" si="10"/>
        <v>0</v>
      </c>
    </row>
    <row r="17" spans="1:46" ht="71.25">
      <c r="A17" s="7" t="s">
        <v>2426</v>
      </c>
      <c r="B17" s="7" t="s">
        <v>1084</v>
      </c>
      <c r="C17" s="7" t="s">
        <v>2427</v>
      </c>
      <c r="D17" s="7" t="s">
        <v>2305</v>
      </c>
      <c r="E17" s="7" t="s">
        <v>2306</v>
      </c>
      <c r="F17" s="7" t="s">
        <v>2428</v>
      </c>
      <c r="G17" s="7">
        <v>5</v>
      </c>
      <c r="H17" s="153"/>
      <c r="I17" s="8" t="str">
        <f t="shared" si="0"/>
        <v/>
      </c>
      <c r="J17" s="8" t="str">
        <f t="shared" si="1"/>
        <v/>
      </c>
      <c r="K17" s="8" t="str">
        <f t="shared" si="2"/>
        <v/>
      </c>
      <c r="L17" s="7" t="str">
        <f t="shared" si="3"/>
        <v/>
      </c>
      <c r="M17" s="7" t="s">
        <v>2429</v>
      </c>
      <c r="N17" s="7" t="s">
        <v>2430</v>
      </c>
      <c r="O17" s="7" t="s">
        <v>2431</v>
      </c>
      <c r="P17" s="7" t="s">
        <v>2432</v>
      </c>
      <c r="Q17" s="7" t="s">
        <v>2433</v>
      </c>
      <c r="R17" s="7" t="s">
        <v>2434</v>
      </c>
      <c r="S17" s="7" t="s">
        <v>2314</v>
      </c>
      <c r="T17" s="7" t="s">
        <v>1863</v>
      </c>
      <c r="U17" s="7"/>
      <c r="V17" s="7" t="s">
        <v>2435</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Profile'!$B$9,_TECH_Industry_Templates!$B:$B,"Governance Crisis"),"")</f>
        <v>4</v>
      </c>
      <c r="AO17" s="48" t="str">
        <f t="shared" si="6"/>
        <v/>
      </c>
      <c r="AP17" s="48">
        <f>IFERROR(SUMIFS(_TECH_Industry_Templates!$E:$E,_TECH_Industry_Templates!$A:$A,'Company Profile'!$B$9,_TECH_Industry_Templates!$B:$B,"Governance Crisis"),1)</f>
        <v>1.1499999999999999</v>
      </c>
      <c r="AQ17" s="48" t="str">
        <f t="shared" si="7"/>
        <v/>
      </c>
      <c r="AR17" s="48" t="str">
        <f t="shared" si="8"/>
        <v/>
      </c>
      <c r="AS17" s="11">
        <f t="shared" si="9"/>
        <v>0</v>
      </c>
      <c r="AT17" s="11">
        <f t="shared" si="10"/>
        <v>0</v>
      </c>
    </row>
    <row r="18" spans="1:46" ht="71.25">
      <c r="A18" s="7" t="s">
        <v>2436</v>
      </c>
      <c r="B18" s="7" t="s">
        <v>1092</v>
      </c>
      <c r="C18" s="7" t="s">
        <v>2437</v>
      </c>
      <c r="D18" s="7" t="s">
        <v>2305</v>
      </c>
      <c r="E18" s="7" t="s">
        <v>2306</v>
      </c>
      <c r="F18" s="7" t="s">
        <v>2438</v>
      </c>
      <c r="G18" s="7">
        <v>5</v>
      </c>
      <c r="H18" s="153"/>
      <c r="I18" s="8" t="str">
        <f t="shared" si="0"/>
        <v/>
      </c>
      <c r="J18" s="8" t="str">
        <f t="shared" si="1"/>
        <v/>
      </c>
      <c r="K18" s="8" t="str">
        <f t="shared" si="2"/>
        <v/>
      </c>
      <c r="L18" s="7" t="str">
        <f t="shared" si="3"/>
        <v/>
      </c>
      <c r="M18" s="7" t="s">
        <v>2439</v>
      </c>
      <c r="N18" s="7" t="s">
        <v>2440</v>
      </c>
      <c r="O18" s="7" t="s">
        <v>2441</v>
      </c>
      <c r="P18" s="7" t="s">
        <v>2442</v>
      </c>
      <c r="Q18" s="7" t="s">
        <v>2443</v>
      </c>
      <c r="R18" s="7" t="s">
        <v>2444</v>
      </c>
      <c r="S18" s="7" t="s">
        <v>2314</v>
      </c>
      <c r="T18" s="7" t="s">
        <v>1863</v>
      </c>
      <c r="U18" s="7"/>
      <c r="V18" s="7" t="s">
        <v>2445</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Profile'!$B$9,_TECH_Industry_Templates!$B:$B,"Governance Crisis"),"")</f>
        <v>4</v>
      </c>
      <c r="AO18" s="48" t="str">
        <f t="shared" si="6"/>
        <v/>
      </c>
      <c r="AP18" s="48">
        <f>IFERROR(SUMIFS(_TECH_Industry_Templates!$E:$E,_TECH_Industry_Templates!$A:$A,'Company Profile'!$B$9,_TECH_Industry_Templates!$B:$B,"Governance Crisis"),1)</f>
        <v>1.1499999999999999</v>
      </c>
      <c r="AQ18" s="48" t="str">
        <f t="shared" si="7"/>
        <v/>
      </c>
      <c r="AR18" s="48" t="str">
        <f t="shared" si="8"/>
        <v/>
      </c>
      <c r="AS18" s="11">
        <f t="shared" si="9"/>
        <v>0</v>
      </c>
      <c r="AT18" s="11">
        <f t="shared" si="10"/>
        <v>0</v>
      </c>
    </row>
    <row r="19" spans="1:46" ht="71.25">
      <c r="A19" s="7" t="s">
        <v>2446</v>
      </c>
      <c r="B19" s="7" t="s">
        <v>1092</v>
      </c>
      <c r="C19" s="7" t="s">
        <v>2447</v>
      </c>
      <c r="D19" s="7" t="s">
        <v>2305</v>
      </c>
      <c r="E19" s="7" t="s">
        <v>2306</v>
      </c>
      <c r="F19" s="7" t="s">
        <v>2448</v>
      </c>
      <c r="G19" s="7">
        <v>5</v>
      </c>
      <c r="H19" s="153"/>
      <c r="I19" s="8" t="str">
        <f t="shared" si="0"/>
        <v/>
      </c>
      <c r="J19" s="8" t="str">
        <f t="shared" si="1"/>
        <v/>
      </c>
      <c r="K19" s="8" t="str">
        <f t="shared" si="2"/>
        <v/>
      </c>
      <c r="L19" s="7" t="str">
        <f t="shared" si="3"/>
        <v/>
      </c>
      <c r="M19" s="7" t="s">
        <v>2449</v>
      </c>
      <c r="N19" s="7" t="s">
        <v>2450</v>
      </c>
      <c r="O19" s="7" t="s">
        <v>2451</v>
      </c>
      <c r="P19" s="7" t="s">
        <v>2452</v>
      </c>
      <c r="Q19" s="7" t="s">
        <v>2453</v>
      </c>
      <c r="R19" s="7" t="s">
        <v>2454</v>
      </c>
      <c r="S19" s="7" t="s">
        <v>2314</v>
      </c>
      <c r="T19" s="7" t="s">
        <v>1863</v>
      </c>
      <c r="U19" s="7"/>
      <c r="V19" s="7" t="s">
        <v>2455</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Profile'!$B$9,_TECH_Industry_Templates!$B:$B,"Governance Crisis"),"")</f>
        <v>4</v>
      </c>
      <c r="AO19" s="48" t="str">
        <f t="shared" si="6"/>
        <v/>
      </c>
      <c r="AP19" s="48">
        <f>IFERROR(SUMIFS(_TECH_Industry_Templates!$E:$E,_TECH_Industry_Templates!$A:$A,'Company Profile'!$B$9,_TECH_Industry_Templates!$B:$B,"Governance Crisis"),1)</f>
        <v>1.1499999999999999</v>
      </c>
      <c r="AQ19" s="48" t="str">
        <f t="shared" si="7"/>
        <v/>
      </c>
      <c r="AR19" s="48" t="str">
        <f t="shared" si="8"/>
        <v/>
      </c>
      <c r="AS19" s="11">
        <f t="shared" si="9"/>
        <v>0</v>
      </c>
      <c r="AT19" s="11">
        <f t="shared" si="10"/>
        <v>0</v>
      </c>
    </row>
    <row r="20" spans="1:46" ht="71.25">
      <c r="A20" s="7" t="s">
        <v>2456</v>
      </c>
      <c r="B20" s="7" t="s">
        <v>1092</v>
      </c>
      <c r="C20" s="7" t="s">
        <v>2457</v>
      </c>
      <c r="D20" s="7" t="s">
        <v>2305</v>
      </c>
      <c r="E20" s="7" t="s">
        <v>2306</v>
      </c>
      <c r="F20" s="7" t="s">
        <v>2458</v>
      </c>
      <c r="G20" s="7">
        <v>5</v>
      </c>
      <c r="H20" s="153"/>
      <c r="I20" s="8" t="str">
        <f t="shared" si="0"/>
        <v/>
      </c>
      <c r="J20" s="8" t="str">
        <f t="shared" si="1"/>
        <v/>
      </c>
      <c r="K20" s="8" t="str">
        <f t="shared" si="2"/>
        <v/>
      </c>
      <c r="L20" s="7" t="str">
        <f t="shared" si="3"/>
        <v/>
      </c>
      <c r="M20" s="7" t="s">
        <v>2459</v>
      </c>
      <c r="N20" s="7" t="s">
        <v>2460</v>
      </c>
      <c r="O20" s="7" t="s">
        <v>2461</v>
      </c>
      <c r="P20" s="7" t="s">
        <v>2462</v>
      </c>
      <c r="Q20" s="7" t="s">
        <v>2463</v>
      </c>
      <c r="R20" s="7" t="s">
        <v>2464</v>
      </c>
      <c r="S20" s="7" t="s">
        <v>2314</v>
      </c>
      <c r="T20" s="7" t="s">
        <v>1863</v>
      </c>
      <c r="U20" s="7"/>
      <c r="V20" s="7" t="s">
        <v>2465</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Profile'!$B$9,_TECH_Industry_Templates!$B:$B,"Governance Crisis"),"")</f>
        <v>4</v>
      </c>
      <c r="AO20" s="48" t="str">
        <f t="shared" si="6"/>
        <v/>
      </c>
      <c r="AP20" s="48">
        <f>IFERROR(SUMIFS(_TECH_Industry_Templates!$E:$E,_TECH_Industry_Templates!$A:$A,'Company Profile'!$B$9,_TECH_Industry_Templates!$B:$B,"Governance Crisis"),1)</f>
        <v>1.1499999999999999</v>
      </c>
      <c r="AQ20" s="48" t="str">
        <f t="shared" si="7"/>
        <v/>
      </c>
      <c r="AR20" s="48" t="str">
        <f t="shared" si="8"/>
        <v/>
      </c>
      <c r="AS20" s="11">
        <f t="shared" si="9"/>
        <v>0</v>
      </c>
      <c r="AT20" s="11">
        <f t="shared" si="10"/>
        <v>0</v>
      </c>
    </row>
    <row r="21" spans="1:46" ht="71.25">
      <c r="A21" s="7" t="s">
        <v>2466</v>
      </c>
      <c r="B21" s="7" t="s">
        <v>1092</v>
      </c>
      <c r="C21" s="7" t="s">
        <v>2467</v>
      </c>
      <c r="D21" s="7" t="s">
        <v>2305</v>
      </c>
      <c r="E21" s="7" t="s">
        <v>2306</v>
      </c>
      <c r="F21" s="7" t="s">
        <v>2468</v>
      </c>
      <c r="G21" s="7">
        <v>5</v>
      </c>
      <c r="H21" s="153"/>
      <c r="I21" s="8" t="str">
        <f t="shared" si="0"/>
        <v/>
      </c>
      <c r="J21" s="8" t="str">
        <f t="shared" si="1"/>
        <v/>
      </c>
      <c r="K21" s="8" t="str">
        <f t="shared" si="2"/>
        <v/>
      </c>
      <c r="L21" s="7" t="str">
        <f t="shared" si="3"/>
        <v/>
      </c>
      <c r="M21" s="7" t="s">
        <v>2469</v>
      </c>
      <c r="N21" s="7" t="s">
        <v>2470</v>
      </c>
      <c r="O21" s="7" t="s">
        <v>2471</v>
      </c>
      <c r="P21" s="7" t="s">
        <v>2472</v>
      </c>
      <c r="Q21" s="7" t="s">
        <v>2473</v>
      </c>
      <c r="R21" s="7" t="s">
        <v>2474</v>
      </c>
      <c r="S21" s="7" t="s">
        <v>2314</v>
      </c>
      <c r="T21" s="7" t="s">
        <v>1863</v>
      </c>
      <c r="U21" s="7"/>
      <c r="V21" s="7" t="s">
        <v>2475</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Profile'!$B$9,_TECH_Industry_Templates!$B:$B,"Governance Crisis"),"")</f>
        <v>4</v>
      </c>
      <c r="AO21" s="48" t="str">
        <f t="shared" si="6"/>
        <v/>
      </c>
      <c r="AP21" s="48">
        <f>IFERROR(SUMIFS(_TECH_Industry_Templates!$E:$E,_TECH_Industry_Templates!$A:$A,'Company Profile'!$B$9,_TECH_Industry_Templates!$B:$B,"Governance Crisis"),1)</f>
        <v>1.1499999999999999</v>
      </c>
      <c r="AQ21" s="48" t="str">
        <f t="shared" si="7"/>
        <v/>
      </c>
      <c r="AR21" s="48" t="str">
        <f t="shared" si="8"/>
        <v/>
      </c>
      <c r="AS21" s="11">
        <f t="shared" si="9"/>
        <v>0</v>
      </c>
      <c r="AT21" s="11">
        <f t="shared" si="10"/>
        <v>0</v>
      </c>
    </row>
    <row r="22" spans="1:46" ht="57">
      <c r="A22" s="7" t="s">
        <v>2476</v>
      </c>
      <c r="B22" s="7" t="s">
        <v>1092</v>
      </c>
      <c r="C22" s="7" t="s">
        <v>2477</v>
      </c>
      <c r="D22" s="7" t="s">
        <v>2305</v>
      </c>
      <c r="E22" s="7" t="s">
        <v>2306</v>
      </c>
      <c r="F22" s="7" t="s">
        <v>2478</v>
      </c>
      <c r="G22" s="7">
        <v>3</v>
      </c>
      <c r="H22" s="153"/>
      <c r="I22" s="8" t="str">
        <f t="shared" si="0"/>
        <v/>
      </c>
      <c r="J22" s="8" t="str">
        <f t="shared" si="1"/>
        <v/>
      </c>
      <c r="K22" s="8" t="str">
        <f t="shared" si="2"/>
        <v/>
      </c>
      <c r="L22" s="7" t="str">
        <f t="shared" si="3"/>
        <v/>
      </c>
      <c r="M22" s="7" t="s">
        <v>2479</v>
      </c>
      <c r="N22" s="7" t="s">
        <v>2480</v>
      </c>
      <c r="O22" s="7" t="s">
        <v>2481</v>
      </c>
      <c r="P22" s="7" t="s">
        <v>2482</v>
      </c>
      <c r="Q22" s="7" t="s">
        <v>2483</v>
      </c>
      <c r="R22" s="7" t="s">
        <v>2484</v>
      </c>
      <c r="S22" s="7" t="s">
        <v>2314</v>
      </c>
      <c r="T22" s="7" t="s">
        <v>1863</v>
      </c>
      <c r="U22" s="7"/>
      <c r="V22" s="7" t="s">
        <v>2485</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Profile'!$B$9,_TECH_Industry_Templates!$B:$B,"Governance Crisis"),"")</f>
        <v>4</v>
      </c>
      <c r="AO22" s="48" t="str">
        <f t="shared" si="6"/>
        <v/>
      </c>
      <c r="AP22" s="48">
        <f>IFERROR(SUMIFS(_TECH_Industry_Templates!$E:$E,_TECH_Industry_Templates!$A:$A,'Company Profile'!$B$9,_TECH_Industry_Templates!$B:$B,"Governance Crisis"),1)</f>
        <v>1.1499999999999999</v>
      </c>
      <c r="AQ22" s="48" t="str">
        <f t="shared" si="7"/>
        <v/>
      </c>
      <c r="AR22" s="48" t="str">
        <f t="shared" si="8"/>
        <v/>
      </c>
      <c r="AS22" s="11">
        <f t="shared" si="9"/>
        <v>0</v>
      </c>
      <c r="AT22" s="11">
        <f t="shared" si="10"/>
        <v>0</v>
      </c>
    </row>
    <row r="23" spans="1:46" ht="71.25">
      <c r="A23" s="7" t="s">
        <v>2486</v>
      </c>
      <c r="B23" s="7" t="s">
        <v>1092</v>
      </c>
      <c r="C23" s="7" t="s">
        <v>2487</v>
      </c>
      <c r="D23" s="7" t="s">
        <v>2305</v>
      </c>
      <c r="E23" s="7" t="s">
        <v>2306</v>
      </c>
      <c r="F23" s="7" t="s">
        <v>2488</v>
      </c>
      <c r="G23" s="7">
        <v>5</v>
      </c>
      <c r="H23" s="153"/>
      <c r="I23" s="8" t="str">
        <f t="shared" si="0"/>
        <v/>
      </c>
      <c r="J23" s="8" t="str">
        <f t="shared" si="1"/>
        <v/>
      </c>
      <c r="K23" s="8" t="str">
        <f t="shared" si="2"/>
        <v/>
      </c>
      <c r="L23" s="7" t="str">
        <f t="shared" si="3"/>
        <v/>
      </c>
      <c r="M23" s="7" t="s">
        <v>2489</v>
      </c>
      <c r="N23" s="7" t="s">
        <v>2490</v>
      </c>
      <c r="O23" s="7" t="s">
        <v>2491</v>
      </c>
      <c r="P23" s="7" t="s">
        <v>2492</v>
      </c>
      <c r="Q23" s="7" t="s">
        <v>2493</v>
      </c>
      <c r="R23" s="7" t="s">
        <v>2494</v>
      </c>
      <c r="S23" s="7" t="s">
        <v>2314</v>
      </c>
      <c r="T23" s="7" t="s">
        <v>1863</v>
      </c>
      <c r="U23" s="7"/>
      <c r="V23" s="7" t="s">
        <v>2495</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Profile'!$B$9,_TECH_Industry_Templates!$B:$B,"Governance Crisis"),"")</f>
        <v>4</v>
      </c>
      <c r="AO23" s="48" t="str">
        <f t="shared" si="6"/>
        <v/>
      </c>
      <c r="AP23" s="48">
        <f>IFERROR(SUMIFS(_TECH_Industry_Templates!$E:$E,_TECH_Industry_Templates!$A:$A,'Company Profile'!$B$9,_TECH_Industry_Templates!$B:$B,"Governance Crisis"),1)</f>
        <v>1.1499999999999999</v>
      </c>
      <c r="AQ23" s="48" t="str">
        <f t="shared" si="7"/>
        <v/>
      </c>
      <c r="AR23" s="48" t="str">
        <f t="shared" si="8"/>
        <v/>
      </c>
      <c r="AS23" s="11">
        <f t="shared" si="9"/>
        <v>0</v>
      </c>
      <c r="AT23" s="11">
        <f t="shared" si="10"/>
        <v>0</v>
      </c>
    </row>
  </sheetData>
  <mergeCells count="4">
    <mergeCell ref="A2:V2"/>
    <mergeCell ref="AA3:AG3"/>
    <mergeCell ref="A1:V1"/>
    <mergeCell ref="W3:Y3"/>
  </mergeCells>
  <conditionalFormatting sqref="H5:H23">
    <cfRule type="colorScale" priority="1">
      <colorScale>
        <cfvo type="min"/>
        <cfvo type="percentile" val="50"/>
        <cfvo type="max"/>
        <color rgb="FFF8696B"/>
        <color rgb="FFFFEB84"/>
        <color rgb="FF63BE7B"/>
      </colorScale>
    </cfRule>
  </conditionalFormatting>
  <conditionalFormatting sqref="L5:L23">
    <cfRule type="expression" dxfId="86" priority="2">
      <formula>$L5="Critical"</formula>
    </cfRule>
    <cfRule type="expression" dxfId="85" priority="3">
      <formula>$L5="High"</formula>
    </cfRule>
    <cfRule type="expression" dxfId="84" priority="4">
      <formula>$L5="Medium"</formula>
    </cfRule>
    <cfRule type="expression" dxfId="83" priority="5">
      <formula>$L5="Low"</formula>
    </cfRule>
    <cfRule type="expression" dxfId="82" priority="6">
      <formula>$L5="Resilient"</formula>
    </cfRule>
  </conditionalFormatting>
  <conditionalFormatting sqref="AC5:AC7">
    <cfRule type="colorScale" priority="7">
      <colorScale>
        <cfvo type="min"/>
        <cfvo type="percentile" val="50"/>
        <cfvo type="max"/>
        <color rgb="FFFEE2E2"/>
        <color rgb="FFFEF3C7"/>
        <color rgb="FFDCFCE7"/>
      </colorScale>
    </cfRule>
  </conditionalFormatting>
  <conditionalFormatting sqref="AD5:AD7">
    <cfRule type="dataBar" priority="8">
      <dataBar>
        <cfvo type="min"/>
        <cfvo type="max"/>
        <color rgb="FF2F75B5"/>
      </dataBar>
    </cfRule>
  </conditionalFormatting>
  <dataValidations count="4">
    <dataValidation type="list" sqref="H5:H23" ns2:uid="{00000000-0002-0000-1500-000000000000}">
      <formula1>"N/A,0,1,2,3,4,5"</formula1>
    </dataValidation>
    <dataValidation type="list" sqref="G5:G23" ns2:uid="{00000000-0002-0000-1500-000001000000}">
      <formula1>"1,2,3,4,5"</formula1>
    </dataValidation>
    <dataValidation type="list" sqref="W5:Y23" ns2:uid="{00000000-0002-0000-1500-000002000000}">
      <formula1>"0,1,2,3,4,5"</formula1>
    </dataValidation>
    <dataValidation type="list" allowBlank="1" sqref="AH5:AI23" ns2:uid="{00000000-0002-0000-15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3.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600-000000000000}">
  <sheetPr>
    <tabColor rgb="FFED7D31"/>
  </sheetPr>
  <dimension ref="A1:AT28"/>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2496</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2497</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2498</v>
      </c>
      <c r="B5" s="7" t="s">
        <v>1100</v>
      </c>
      <c r="C5" s="7" t="s">
        <v>2499</v>
      </c>
      <c r="D5" s="7" t="s">
        <v>2500</v>
      </c>
      <c r="E5" s="7" t="s">
        <v>2501</v>
      </c>
      <c r="F5" s="7" t="s">
        <v>2502</v>
      </c>
      <c r="G5" s="7">
        <v>5</v>
      </c>
      <c r="H5" s="153"/>
      <c r="I5" s="8" t="str">
        <f t="shared" ref="I5:I28" si="0">IF($H5="","",IF($H5="N/A","",VALUE($H5)/5*$G5))</f>
        <v/>
      </c>
      <c r="J5" s="8" t="str">
        <f t="shared" ref="J5:J28" si="1">IF(OR($H5="",$H5="N/A"),"",$G5)</f>
        <v/>
      </c>
      <c r="K5" s="8" t="str">
        <f t="shared" ref="K5:K28" si="2">IF(OR($H5="",$H5="N/A"),"",$J5-$I5)</f>
        <v/>
      </c>
      <c r="L5" s="7" t="str">
        <f t="shared" ref="L5:L28" si="3">IF($H5="","",IF($H5="N/A","N/A",IF(VALUE($H5)&lt;=1,"Critical",IF(VALUE($H5)&lt;=2,"High",IF(VALUE($H5)&lt;=3,"Medium",IF(VALUE($H5)&lt;=4,"Low","Resilient"))))))</f>
        <v/>
      </c>
      <c r="M5" s="7" t="s">
        <v>2503</v>
      </c>
      <c r="N5" s="7" t="s">
        <v>2504</v>
      </c>
      <c r="O5" s="7" t="s">
        <v>2505</v>
      </c>
      <c r="P5" s="7" t="s">
        <v>2506</v>
      </c>
      <c r="Q5" s="7" t="s">
        <v>2507</v>
      </c>
      <c r="R5" s="7" t="s">
        <v>2508</v>
      </c>
      <c r="S5" s="7" t="s">
        <v>2509</v>
      </c>
      <c r="T5" s="7" t="s">
        <v>2510</v>
      </c>
      <c r="U5" s="7"/>
      <c r="V5" s="7" t="s">
        <v>2511</v>
      </c>
      <c r="W5" s="14">
        <v>4</v>
      </c>
      <c r="X5" s="14">
        <v>5</v>
      </c>
      <c r="Y5" s="14">
        <v>5</v>
      </c>
      <c r="AA5" t="s">
        <v>1100</v>
      </c>
      <c r="AB5" s="13">
        <f>COUNTIF($B$5:$B$28,$AA5)</f>
        <v>6</v>
      </c>
      <c r="AC5" s="15">
        <f>IFERROR(SUMPRODUCT(($B$5:$B$28=$AA5)*($H$5:$H$28&lt;&gt;"")*($H$5:$H$28&lt;&gt;"N/A")*IFERROR(VALUE($H$5:$H$28),0))/SUMPRODUCT(($B$5:$B$28=$AA5)*($H$5:$H$28&lt;&gt;"")*($H$5:$H$28&lt;&gt;"N/A")),0)</f>
        <v>0</v>
      </c>
      <c r="AD5" s="16">
        <f>AC5/5</f>
        <v>0</v>
      </c>
      <c r="AE5" s="13">
        <f>COUNTIFS($B$5:$B$28,$AA5,$L$5:$L$28,"Critical")+COUNTIFS($B$5:$B$28,$AA5,$L$5:$L$28,"High")</f>
        <v>0</v>
      </c>
      <c r="AF5" s="15">
        <f>5-AC5</f>
        <v>5</v>
      </c>
      <c r="AG5" s="13">
        <f>COUNTIFS($B$5:$B$28,$AA5,$H$5:$H$28,"&lt;&gt;")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8" si="4">IF(OR($H5="",$H5="N/A"),"",ROUND(VALUE($H5)*$AJ5*$AK5,2))</f>
        <v/>
      </c>
      <c r="AM5" s="48" t="str">
        <f t="shared" ref="AM5:AM28" si="5">IF($AL5="","",ROUND($AL5/5*100,1))</f>
        <v/>
      </c>
      <c r="AN5" s="48">
        <f>IFERROR(SUMIFS(_TECH_Industry_Templates!$D:$D,_TECH_Industry_Templates!$A:$A,'Company Profile'!$B$9,_TECH_Industry_Templates!$B:$B,"HR Workforce"),"")</f>
        <v>4</v>
      </c>
      <c r="AO5" s="48" t="str">
        <f t="shared" ref="AO5:AO28" si="6">IF($AL5="","",MAX(0,ROUND($AN5-$AL5,2)))</f>
        <v/>
      </c>
      <c r="AP5" s="48">
        <f>IFERROR(SUMIFS(_TECH_Industry_Templates!$E:$E,_TECH_Industry_Templates!$A:$A,'Company Profile'!$B$9,_TECH_Industry_Templates!$B:$B,"HR Workforce"),1)</f>
        <v>1.25</v>
      </c>
      <c r="AQ5" s="48" t="str">
        <f t="shared" ref="AQ5:AQ28" si="7">IF($AO5="","",ROUND($AO5*$AP5*($G5/5),2))</f>
        <v/>
      </c>
      <c r="AR5" s="48" t="str">
        <f t="shared" ref="AR5:AR28" si="8">IF($AO5="","",IF($AO5&gt;=2,"Critical industry gap",IF($AO5&gt;=1,"High industry gap",IF($AO5&gt;=0.5,"Moderate industry gap","Within target"))))</f>
        <v/>
      </c>
      <c r="AS5" s="11">
        <f t="shared" ref="AS5:AS28" si="9">IF(OR($H5="",$H5="N/A"),0,VALUE($H5)*(($AJ5+$AK5)/2))</f>
        <v>0</v>
      </c>
      <c r="AT5" s="11">
        <f t="shared" ref="AT5:AT28" si="10">IF(OR($H5="",$H5="N/A"),0,($AJ5+$AK5)/2)</f>
        <v>0</v>
      </c>
    </row>
    <row r="6" spans="1:46" ht="71.25">
      <c r="A6" s="7" t="s">
        <v>2512</v>
      </c>
      <c r="B6" s="7" t="s">
        <v>1100</v>
      </c>
      <c r="C6" s="7" t="s">
        <v>2513</v>
      </c>
      <c r="D6" s="7" t="s">
        <v>2500</v>
      </c>
      <c r="E6" s="7" t="s">
        <v>2501</v>
      </c>
      <c r="F6" s="7" t="s">
        <v>2514</v>
      </c>
      <c r="G6" s="7">
        <v>5</v>
      </c>
      <c r="H6" s="153"/>
      <c r="I6" s="8" t="str">
        <f t="shared" si="0"/>
        <v/>
      </c>
      <c r="J6" s="8" t="str">
        <f t="shared" si="1"/>
        <v/>
      </c>
      <c r="K6" s="8" t="str">
        <f t="shared" si="2"/>
        <v/>
      </c>
      <c r="L6" s="7" t="str">
        <f t="shared" si="3"/>
        <v/>
      </c>
      <c r="M6" s="7" t="s">
        <v>2515</v>
      </c>
      <c r="N6" s="7" t="s">
        <v>2516</v>
      </c>
      <c r="O6" s="7" t="s">
        <v>2517</v>
      </c>
      <c r="P6" s="7" t="s">
        <v>2518</v>
      </c>
      <c r="Q6" s="7" t="s">
        <v>2519</v>
      </c>
      <c r="R6" s="7" t="s">
        <v>2520</v>
      </c>
      <c r="S6" s="7" t="s">
        <v>2509</v>
      </c>
      <c r="T6" s="7" t="s">
        <v>2510</v>
      </c>
      <c r="U6" s="7"/>
      <c r="V6" s="7" t="s">
        <v>2521</v>
      </c>
      <c r="W6" s="14">
        <v>4</v>
      </c>
      <c r="X6" s="14">
        <v>5</v>
      </c>
      <c r="Y6" s="14">
        <v>5</v>
      </c>
      <c r="AA6" t="s">
        <v>1113</v>
      </c>
      <c r="AB6" s="13">
        <f>COUNTIF($B$5:$B$28,$AA6)</f>
        <v>6</v>
      </c>
      <c r="AC6" s="15">
        <f>IFERROR(SUMPRODUCT(($B$5:$B$28=$AA6)*($H$5:$H$28&lt;&gt;"")*($H$5:$H$28&lt;&gt;"N/A")*IFERROR(VALUE($H$5:$H$28),0))/SUMPRODUCT(($B$5:$B$28=$AA6)*($H$5:$H$28&lt;&gt;"")*($H$5:$H$28&lt;&gt;"N/A")),0)</f>
        <v>0</v>
      </c>
      <c r="AD6" s="16">
        <f>AC6/5</f>
        <v>0</v>
      </c>
      <c r="AE6" s="13">
        <f>COUNTIFS($B$5:$B$28,$AA6,$L$5:$L$28,"Critical")+COUNTIFS($B$5:$B$28,$AA6,$L$5:$L$28,"High")</f>
        <v>0</v>
      </c>
      <c r="AF6" s="15">
        <f>5-AC6</f>
        <v>5</v>
      </c>
      <c r="AG6" s="13">
        <f>COUNTIFS($B$5:$B$28,$AA6,$H$5:$H$28,"&lt;&gt;")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Profile'!$B$9,_TECH_Industry_Templates!$B:$B,"HR Workforce"),"")</f>
        <v>4</v>
      </c>
      <c r="AO6" s="48" t="str">
        <f t="shared" si="6"/>
        <v/>
      </c>
      <c r="AP6" s="48">
        <f>IFERROR(SUMIFS(_TECH_Industry_Templates!$E:$E,_TECH_Industry_Templates!$A:$A,'Company Profile'!$B$9,_TECH_Industry_Templates!$B:$B,"HR Workforce"),1)</f>
        <v>1.25</v>
      </c>
      <c r="AQ6" s="48" t="str">
        <f t="shared" si="7"/>
        <v/>
      </c>
      <c r="AR6" s="48" t="str">
        <f t="shared" si="8"/>
        <v/>
      </c>
      <c r="AS6" s="11">
        <f t="shared" si="9"/>
        <v>0</v>
      </c>
      <c r="AT6" s="11">
        <f t="shared" si="10"/>
        <v>0</v>
      </c>
    </row>
    <row r="7" spans="1:46" ht="71.25">
      <c r="A7" s="7" t="s">
        <v>2522</v>
      </c>
      <c r="B7" s="7" t="s">
        <v>1100</v>
      </c>
      <c r="C7" s="7" t="s">
        <v>2523</v>
      </c>
      <c r="D7" s="7" t="s">
        <v>2500</v>
      </c>
      <c r="E7" s="7" t="s">
        <v>2501</v>
      </c>
      <c r="F7" s="7" t="s">
        <v>2524</v>
      </c>
      <c r="G7" s="7">
        <v>5</v>
      </c>
      <c r="H7" s="153"/>
      <c r="I7" s="8" t="str">
        <f t="shared" si="0"/>
        <v/>
      </c>
      <c r="J7" s="8" t="str">
        <f t="shared" si="1"/>
        <v/>
      </c>
      <c r="K7" s="8" t="str">
        <f t="shared" si="2"/>
        <v/>
      </c>
      <c r="L7" s="7" t="str">
        <f t="shared" si="3"/>
        <v/>
      </c>
      <c r="M7" s="7" t="s">
        <v>2525</v>
      </c>
      <c r="N7" s="7" t="s">
        <v>2526</v>
      </c>
      <c r="O7" s="7" t="s">
        <v>2527</v>
      </c>
      <c r="P7" s="7" t="s">
        <v>2528</v>
      </c>
      <c r="Q7" s="7" t="s">
        <v>2529</v>
      </c>
      <c r="R7" s="7" t="s">
        <v>2530</v>
      </c>
      <c r="S7" s="7" t="s">
        <v>2509</v>
      </c>
      <c r="T7" s="7" t="s">
        <v>2510</v>
      </c>
      <c r="U7" s="7"/>
      <c r="V7" s="7" t="s">
        <v>2531</v>
      </c>
      <c r="W7" s="14">
        <v>4</v>
      </c>
      <c r="X7" s="14">
        <v>5</v>
      </c>
      <c r="Y7" s="14">
        <v>5</v>
      </c>
      <c r="AA7" t="s">
        <v>1121</v>
      </c>
      <c r="AB7" s="13">
        <f>COUNTIF($B$5:$B$28,$AA7)</f>
        <v>7</v>
      </c>
      <c r="AC7" s="15">
        <f>IFERROR(SUMPRODUCT(($B$5:$B$28=$AA7)*($H$5:$H$28&lt;&gt;"")*($H$5:$H$28&lt;&gt;"N/A")*IFERROR(VALUE($H$5:$H$28),0))/SUMPRODUCT(($B$5:$B$28=$AA7)*($H$5:$H$28&lt;&gt;"")*($H$5:$H$28&lt;&gt;"N/A")),0)</f>
        <v>0</v>
      </c>
      <c r="AD7" s="16">
        <f>AC7/5</f>
        <v>0</v>
      </c>
      <c r="AE7" s="13">
        <f>COUNTIFS($B$5:$B$28,$AA7,$L$5:$L$28,"Critical")+COUNTIFS($B$5:$B$28,$AA7,$L$5:$L$28,"High")</f>
        <v>0</v>
      </c>
      <c r="AF7" s="15">
        <f>5-AC7</f>
        <v>5</v>
      </c>
      <c r="AG7" s="13">
        <f>COUNTIFS($B$5:$B$28,$AA7,$H$5:$H$28,"&lt;&gt;")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Profile'!$B$9,_TECH_Industry_Templates!$B:$B,"HR Workforce"),"")</f>
        <v>4</v>
      </c>
      <c r="AO7" s="48" t="str">
        <f t="shared" si="6"/>
        <v/>
      </c>
      <c r="AP7" s="48">
        <f>IFERROR(SUMIFS(_TECH_Industry_Templates!$E:$E,_TECH_Industry_Templates!$A:$A,'Company Profile'!$B$9,_TECH_Industry_Templates!$B:$B,"HR Workforce"),1)</f>
        <v>1.25</v>
      </c>
      <c r="AQ7" s="48" t="str">
        <f t="shared" si="7"/>
        <v/>
      </c>
      <c r="AR7" s="48" t="str">
        <f t="shared" si="8"/>
        <v/>
      </c>
      <c r="AS7" s="11">
        <f t="shared" si="9"/>
        <v>0</v>
      </c>
      <c r="AT7" s="11">
        <f t="shared" si="10"/>
        <v>0</v>
      </c>
    </row>
    <row r="8" spans="1:46" ht="71.25">
      <c r="A8" s="7" t="s">
        <v>2532</v>
      </c>
      <c r="B8" s="7" t="s">
        <v>1100</v>
      </c>
      <c r="C8" s="7" t="s">
        <v>2533</v>
      </c>
      <c r="D8" s="7" t="s">
        <v>2500</v>
      </c>
      <c r="E8" s="7" t="s">
        <v>2501</v>
      </c>
      <c r="F8" s="7" t="s">
        <v>2534</v>
      </c>
      <c r="G8" s="7">
        <v>5</v>
      </c>
      <c r="H8" s="153"/>
      <c r="I8" s="8" t="str">
        <f t="shared" si="0"/>
        <v/>
      </c>
      <c r="J8" s="8" t="str">
        <f t="shared" si="1"/>
        <v/>
      </c>
      <c r="K8" s="8" t="str">
        <f t="shared" si="2"/>
        <v/>
      </c>
      <c r="L8" s="7" t="str">
        <f t="shared" si="3"/>
        <v/>
      </c>
      <c r="M8" s="7" t="s">
        <v>2535</v>
      </c>
      <c r="N8" s="7" t="s">
        <v>2536</v>
      </c>
      <c r="O8" s="7" t="s">
        <v>2537</v>
      </c>
      <c r="P8" s="7" t="s">
        <v>2538</v>
      </c>
      <c r="Q8" s="7" t="s">
        <v>2539</v>
      </c>
      <c r="R8" s="7" t="s">
        <v>2540</v>
      </c>
      <c r="S8" s="7" t="s">
        <v>2509</v>
      </c>
      <c r="T8" s="7" t="s">
        <v>2510</v>
      </c>
      <c r="U8" s="7"/>
      <c r="V8" s="7" t="s">
        <v>2541</v>
      </c>
      <c r="W8" s="14">
        <v>5</v>
      </c>
      <c r="X8" s="14">
        <v>5</v>
      </c>
      <c r="Y8" s="14">
        <v>5</v>
      </c>
      <c r="AA8" t="s">
        <v>1129</v>
      </c>
      <c r="AB8" s="13">
        <f>COUNTIF($B$5:$B$28,$AA8)</f>
        <v>5</v>
      </c>
      <c r="AC8" s="15">
        <f>IFERROR(SUMPRODUCT(($B$5:$B$28=$AA8)*($H$5:$H$28&lt;&gt;"")*($H$5:$H$28&lt;&gt;"N/A")*IFERROR(VALUE($H$5:$H$28),0))/SUMPRODUCT(($B$5:$B$28=$AA8)*($H$5:$H$28&lt;&gt;"")*($H$5:$H$28&lt;&gt;"N/A")),0)</f>
        <v>0</v>
      </c>
      <c r="AD8" s="16">
        <f>AC8/5</f>
        <v>0</v>
      </c>
      <c r="AE8" s="13">
        <f>COUNTIFS($B$5:$B$28,$AA8,$L$5:$L$28,"Critical")+COUNTIFS($B$5:$B$28,$AA8,$L$5:$L$28,"High")</f>
        <v>0</v>
      </c>
      <c r="AF8" s="15">
        <f>5-AC8</f>
        <v>5</v>
      </c>
      <c r="AG8" s="13">
        <f>COUNTIFS($B$5:$B$28,$AA8,$H$5:$H$28,"&lt;&gt;")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Profile'!$B$9,_TECH_Industry_Templates!$B:$B,"HR Workforce"),"")</f>
        <v>4</v>
      </c>
      <c r="AO8" s="48" t="str">
        <f t="shared" si="6"/>
        <v/>
      </c>
      <c r="AP8" s="48">
        <f>IFERROR(SUMIFS(_TECH_Industry_Templates!$E:$E,_TECH_Industry_Templates!$A:$A,'Company Profile'!$B$9,_TECH_Industry_Templates!$B:$B,"HR Workforce"),1)</f>
        <v>1.25</v>
      </c>
      <c r="AQ8" s="48" t="str">
        <f t="shared" si="7"/>
        <v/>
      </c>
      <c r="AR8" s="48" t="str">
        <f t="shared" si="8"/>
        <v/>
      </c>
      <c r="AS8" s="11">
        <f t="shared" si="9"/>
        <v>0</v>
      </c>
      <c r="AT8" s="11">
        <f t="shared" si="10"/>
        <v>0</v>
      </c>
    </row>
    <row r="9" spans="1:46" ht="71.25">
      <c r="A9" s="7" t="s">
        <v>2542</v>
      </c>
      <c r="B9" s="7" t="s">
        <v>1100</v>
      </c>
      <c r="C9" s="7" t="s">
        <v>2543</v>
      </c>
      <c r="D9" s="7" t="s">
        <v>2500</v>
      </c>
      <c r="E9" s="7" t="s">
        <v>2501</v>
      </c>
      <c r="F9" s="7" t="s">
        <v>2544</v>
      </c>
      <c r="G9" s="7">
        <v>5</v>
      </c>
      <c r="H9" s="153"/>
      <c r="I9" s="8" t="str">
        <f t="shared" si="0"/>
        <v/>
      </c>
      <c r="J9" s="8" t="str">
        <f t="shared" si="1"/>
        <v/>
      </c>
      <c r="K9" s="8" t="str">
        <f t="shared" si="2"/>
        <v/>
      </c>
      <c r="L9" s="7" t="str">
        <f t="shared" si="3"/>
        <v/>
      </c>
      <c r="M9" s="7" t="s">
        <v>2545</v>
      </c>
      <c r="N9" s="7" t="s">
        <v>2546</v>
      </c>
      <c r="O9" s="7" t="s">
        <v>2547</v>
      </c>
      <c r="P9" s="7" t="s">
        <v>2548</v>
      </c>
      <c r="Q9" s="7" t="s">
        <v>2549</v>
      </c>
      <c r="R9" s="7" t="s">
        <v>2550</v>
      </c>
      <c r="S9" s="7" t="s">
        <v>2509</v>
      </c>
      <c r="T9" s="7" t="s">
        <v>2510</v>
      </c>
      <c r="U9" s="7"/>
      <c r="V9" s="7" t="s">
        <v>2551</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Profile'!$B$9,_TECH_Industry_Templates!$B:$B,"HR Workforce"),"")</f>
        <v>4</v>
      </c>
      <c r="AO9" s="48" t="str">
        <f t="shared" si="6"/>
        <v/>
      </c>
      <c r="AP9" s="48">
        <f>IFERROR(SUMIFS(_TECH_Industry_Templates!$E:$E,_TECH_Industry_Templates!$A:$A,'Company Profile'!$B$9,_TECH_Industry_Templates!$B:$B,"HR Workforce"),1)</f>
        <v>1.25</v>
      </c>
      <c r="AQ9" s="48" t="str">
        <f t="shared" si="7"/>
        <v/>
      </c>
      <c r="AR9" s="48" t="str">
        <f t="shared" si="8"/>
        <v/>
      </c>
      <c r="AS9" s="11">
        <f t="shared" si="9"/>
        <v>0</v>
      </c>
      <c r="AT9" s="11">
        <f t="shared" si="10"/>
        <v>0</v>
      </c>
    </row>
    <row r="10" spans="1:46" ht="57">
      <c r="A10" s="7" t="s">
        <v>2552</v>
      </c>
      <c r="B10" s="7" t="s">
        <v>1100</v>
      </c>
      <c r="C10" s="7" t="s">
        <v>2553</v>
      </c>
      <c r="D10" s="7" t="s">
        <v>2500</v>
      </c>
      <c r="E10" s="7" t="s">
        <v>2501</v>
      </c>
      <c r="F10" s="7" t="s">
        <v>2554</v>
      </c>
      <c r="G10" s="7">
        <v>3</v>
      </c>
      <c r="H10" s="153"/>
      <c r="I10" s="8" t="str">
        <f t="shared" si="0"/>
        <v/>
      </c>
      <c r="J10" s="8" t="str">
        <f t="shared" si="1"/>
        <v/>
      </c>
      <c r="K10" s="8" t="str">
        <f t="shared" si="2"/>
        <v/>
      </c>
      <c r="L10" s="7" t="str">
        <f t="shared" si="3"/>
        <v/>
      </c>
      <c r="M10" s="7" t="s">
        <v>2555</v>
      </c>
      <c r="N10" s="7" t="s">
        <v>2556</v>
      </c>
      <c r="O10" s="7" t="s">
        <v>2557</v>
      </c>
      <c r="P10" s="7" t="s">
        <v>2558</v>
      </c>
      <c r="Q10" s="7" t="s">
        <v>2559</v>
      </c>
      <c r="R10" s="7" t="s">
        <v>2560</v>
      </c>
      <c r="S10" s="7" t="s">
        <v>2509</v>
      </c>
      <c r="T10" s="7" t="s">
        <v>2510</v>
      </c>
      <c r="U10" s="7"/>
      <c r="V10" s="7" t="s">
        <v>2561</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Profile'!$B$9,_TECH_Industry_Templates!$B:$B,"HR Workforce"),"")</f>
        <v>4</v>
      </c>
      <c r="AO10" s="48" t="str">
        <f t="shared" si="6"/>
        <v/>
      </c>
      <c r="AP10" s="48">
        <f>IFERROR(SUMIFS(_TECH_Industry_Templates!$E:$E,_TECH_Industry_Templates!$A:$A,'Company Profile'!$B$9,_TECH_Industry_Templates!$B:$B,"HR Workforce"),1)</f>
        <v>1.25</v>
      </c>
      <c r="AQ10" s="48" t="str">
        <f t="shared" si="7"/>
        <v/>
      </c>
      <c r="AR10" s="48" t="str">
        <f t="shared" si="8"/>
        <v/>
      </c>
      <c r="AS10" s="11">
        <f t="shared" si="9"/>
        <v>0</v>
      </c>
      <c r="AT10" s="11">
        <f t="shared" si="10"/>
        <v>0</v>
      </c>
    </row>
    <row r="11" spans="1:46" ht="71.25">
      <c r="A11" s="7" t="s">
        <v>2562</v>
      </c>
      <c r="B11" s="7" t="s">
        <v>1113</v>
      </c>
      <c r="C11" s="7" t="s">
        <v>2563</v>
      </c>
      <c r="D11" s="7" t="s">
        <v>2500</v>
      </c>
      <c r="E11" s="7" t="s">
        <v>2501</v>
      </c>
      <c r="F11" s="7" t="s">
        <v>2564</v>
      </c>
      <c r="G11" s="7">
        <v>5</v>
      </c>
      <c r="H11" s="153"/>
      <c r="I11" s="8" t="str">
        <f t="shared" si="0"/>
        <v/>
      </c>
      <c r="J11" s="8" t="str">
        <f t="shared" si="1"/>
        <v/>
      </c>
      <c r="K11" s="8" t="str">
        <f t="shared" si="2"/>
        <v/>
      </c>
      <c r="L11" s="7" t="str">
        <f t="shared" si="3"/>
        <v/>
      </c>
      <c r="M11" s="7" t="s">
        <v>2565</v>
      </c>
      <c r="N11" s="7" t="s">
        <v>2566</v>
      </c>
      <c r="O11" s="7" t="s">
        <v>2567</v>
      </c>
      <c r="P11" s="7" t="s">
        <v>2568</v>
      </c>
      <c r="Q11" s="7" t="s">
        <v>2569</v>
      </c>
      <c r="R11" s="7" t="s">
        <v>2570</v>
      </c>
      <c r="S11" s="7" t="s">
        <v>2509</v>
      </c>
      <c r="T11" s="7" t="s">
        <v>2510</v>
      </c>
      <c r="U11" s="7"/>
      <c r="V11" s="7" t="s">
        <v>2571</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Profile'!$B$9,_TECH_Industry_Templates!$B:$B,"HR Workforce"),"")</f>
        <v>4</v>
      </c>
      <c r="AO11" s="48" t="str">
        <f t="shared" si="6"/>
        <v/>
      </c>
      <c r="AP11" s="48">
        <f>IFERROR(SUMIFS(_TECH_Industry_Templates!$E:$E,_TECH_Industry_Templates!$A:$A,'Company Profile'!$B$9,_TECH_Industry_Templates!$B:$B,"HR Workforce"),1)</f>
        <v>1.25</v>
      </c>
      <c r="AQ11" s="48" t="str">
        <f t="shared" si="7"/>
        <v/>
      </c>
      <c r="AR11" s="48" t="str">
        <f t="shared" si="8"/>
        <v/>
      </c>
      <c r="AS11" s="11">
        <f t="shared" si="9"/>
        <v>0</v>
      </c>
      <c r="AT11" s="11">
        <f t="shared" si="10"/>
        <v>0</v>
      </c>
    </row>
    <row r="12" spans="1:46" ht="57">
      <c r="A12" s="7" t="s">
        <v>2572</v>
      </c>
      <c r="B12" s="7" t="s">
        <v>1113</v>
      </c>
      <c r="C12" s="7" t="s">
        <v>2573</v>
      </c>
      <c r="D12" s="7" t="s">
        <v>2500</v>
      </c>
      <c r="E12" s="7" t="s">
        <v>2501</v>
      </c>
      <c r="F12" s="7" t="s">
        <v>2574</v>
      </c>
      <c r="G12" s="7">
        <v>5</v>
      </c>
      <c r="H12" s="153"/>
      <c r="I12" s="8" t="str">
        <f t="shared" si="0"/>
        <v/>
      </c>
      <c r="J12" s="8" t="str">
        <f t="shared" si="1"/>
        <v/>
      </c>
      <c r="K12" s="8" t="str">
        <f t="shared" si="2"/>
        <v/>
      </c>
      <c r="L12" s="7" t="str">
        <f t="shared" si="3"/>
        <v/>
      </c>
      <c r="M12" s="7" t="s">
        <v>2575</v>
      </c>
      <c r="N12" s="7" t="s">
        <v>2576</v>
      </c>
      <c r="O12" s="7" t="s">
        <v>2577</v>
      </c>
      <c r="P12" s="7" t="s">
        <v>2578</v>
      </c>
      <c r="Q12" s="7" t="s">
        <v>2579</v>
      </c>
      <c r="R12" s="7" t="s">
        <v>2580</v>
      </c>
      <c r="S12" s="7" t="s">
        <v>2509</v>
      </c>
      <c r="T12" s="7" t="s">
        <v>2510</v>
      </c>
      <c r="U12" s="7"/>
      <c r="V12" s="7" t="s">
        <v>2581</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Profile'!$B$9,_TECH_Industry_Templates!$B:$B,"HR Workforce"),"")</f>
        <v>4</v>
      </c>
      <c r="AO12" s="48" t="str">
        <f t="shared" si="6"/>
        <v/>
      </c>
      <c r="AP12" s="48">
        <f>IFERROR(SUMIFS(_TECH_Industry_Templates!$E:$E,_TECH_Industry_Templates!$A:$A,'Company Profile'!$B$9,_TECH_Industry_Templates!$B:$B,"HR Workforce"),1)</f>
        <v>1.25</v>
      </c>
      <c r="AQ12" s="48" t="str">
        <f t="shared" si="7"/>
        <v/>
      </c>
      <c r="AR12" s="48" t="str">
        <f t="shared" si="8"/>
        <v/>
      </c>
      <c r="AS12" s="11">
        <f t="shared" si="9"/>
        <v>0</v>
      </c>
      <c r="AT12" s="11">
        <f t="shared" si="10"/>
        <v>0</v>
      </c>
    </row>
    <row r="13" spans="1:46" ht="57">
      <c r="A13" s="7" t="s">
        <v>2582</v>
      </c>
      <c r="B13" s="7" t="s">
        <v>1113</v>
      </c>
      <c r="C13" s="7" t="s">
        <v>2583</v>
      </c>
      <c r="D13" s="7" t="s">
        <v>2500</v>
      </c>
      <c r="E13" s="7" t="s">
        <v>2501</v>
      </c>
      <c r="F13" s="7" t="s">
        <v>2584</v>
      </c>
      <c r="G13" s="7">
        <v>5</v>
      </c>
      <c r="H13" s="153"/>
      <c r="I13" s="8" t="str">
        <f t="shared" si="0"/>
        <v/>
      </c>
      <c r="J13" s="8" t="str">
        <f t="shared" si="1"/>
        <v/>
      </c>
      <c r="K13" s="8" t="str">
        <f t="shared" si="2"/>
        <v/>
      </c>
      <c r="L13" s="7" t="str">
        <f t="shared" si="3"/>
        <v/>
      </c>
      <c r="M13" s="7" t="s">
        <v>2585</v>
      </c>
      <c r="N13" s="7" t="s">
        <v>2586</v>
      </c>
      <c r="O13" s="7" t="s">
        <v>2587</v>
      </c>
      <c r="P13" s="7" t="s">
        <v>2588</v>
      </c>
      <c r="Q13" s="7" t="s">
        <v>2589</v>
      </c>
      <c r="R13" s="7" t="s">
        <v>2590</v>
      </c>
      <c r="S13" s="7" t="s">
        <v>2509</v>
      </c>
      <c r="T13" s="7" t="s">
        <v>2510</v>
      </c>
      <c r="U13" s="7"/>
      <c r="V13" s="7" t="s">
        <v>2591</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Profile'!$B$9,_TECH_Industry_Templates!$B:$B,"HR Workforce"),"")</f>
        <v>4</v>
      </c>
      <c r="AO13" s="48" t="str">
        <f t="shared" si="6"/>
        <v/>
      </c>
      <c r="AP13" s="48">
        <f>IFERROR(SUMIFS(_TECH_Industry_Templates!$E:$E,_TECH_Industry_Templates!$A:$A,'Company Profile'!$B$9,_TECH_Industry_Templates!$B:$B,"HR Workforce"),1)</f>
        <v>1.25</v>
      </c>
      <c r="AQ13" s="48" t="str">
        <f t="shared" si="7"/>
        <v/>
      </c>
      <c r="AR13" s="48" t="str">
        <f t="shared" si="8"/>
        <v/>
      </c>
      <c r="AS13" s="11">
        <f t="shared" si="9"/>
        <v>0</v>
      </c>
      <c r="AT13" s="11">
        <f t="shared" si="10"/>
        <v>0</v>
      </c>
    </row>
    <row r="14" spans="1:46" ht="71.25">
      <c r="A14" s="7" t="s">
        <v>2592</v>
      </c>
      <c r="B14" s="7" t="s">
        <v>1113</v>
      </c>
      <c r="C14" s="7" t="s">
        <v>2593</v>
      </c>
      <c r="D14" s="7" t="s">
        <v>2500</v>
      </c>
      <c r="E14" s="7" t="s">
        <v>2501</v>
      </c>
      <c r="F14" s="7" t="s">
        <v>2594</v>
      </c>
      <c r="G14" s="7">
        <v>5</v>
      </c>
      <c r="H14" s="153"/>
      <c r="I14" s="8" t="str">
        <f t="shared" si="0"/>
        <v/>
      </c>
      <c r="J14" s="8" t="str">
        <f t="shared" si="1"/>
        <v/>
      </c>
      <c r="K14" s="8" t="str">
        <f t="shared" si="2"/>
        <v/>
      </c>
      <c r="L14" s="7" t="str">
        <f t="shared" si="3"/>
        <v/>
      </c>
      <c r="M14" s="7" t="s">
        <v>2595</v>
      </c>
      <c r="N14" s="7" t="s">
        <v>2596</v>
      </c>
      <c r="O14" s="7" t="s">
        <v>2597</v>
      </c>
      <c r="P14" s="7" t="s">
        <v>2598</v>
      </c>
      <c r="Q14" s="7" t="s">
        <v>2599</v>
      </c>
      <c r="R14" s="7" t="s">
        <v>2600</v>
      </c>
      <c r="S14" s="7" t="s">
        <v>2509</v>
      </c>
      <c r="T14" s="7" t="s">
        <v>2510</v>
      </c>
      <c r="U14" s="7"/>
      <c r="V14" s="7" t="s">
        <v>2601</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Profile'!$B$9,_TECH_Industry_Templates!$B:$B,"HR Workforce"),"")</f>
        <v>4</v>
      </c>
      <c r="AO14" s="48" t="str">
        <f t="shared" si="6"/>
        <v/>
      </c>
      <c r="AP14" s="48">
        <f>IFERROR(SUMIFS(_TECH_Industry_Templates!$E:$E,_TECH_Industry_Templates!$A:$A,'Company Profile'!$B$9,_TECH_Industry_Templates!$B:$B,"HR Workforce"),1)</f>
        <v>1.25</v>
      </c>
      <c r="AQ14" s="48" t="str">
        <f t="shared" si="7"/>
        <v/>
      </c>
      <c r="AR14" s="48" t="str">
        <f t="shared" si="8"/>
        <v/>
      </c>
      <c r="AS14" s="11">
        <f t="shared" si="9"/>
        <v>0</v>
      </c>
      <c r="AT14" s="11">
        <f t="shared" si="10"/>
        <v>0</v>
      </c>
    </row>
    <row r="15" spans="1:46" ht="71.25">
      <c r="A15" s="7" t="s">
        <v>2602</v>
      </c>
      <c r="B15" s="7" t="s">
        <v>1113</v>
      </c>
      <c r="C15" s="7" t="s">
        <v>2603</v>
      </c>
      <c r="D15" s="7" t="s">
        <v>2500</v>
      </c>
      <c r="E15" s="7" t="s">
        <v>2501</v>
      </c>
      <c r="F15" s="7" t="s">
        <v>2604</v>
      </c>
      <c r="G15" s="7">
        <v>5</v>
      </c>
      <c r="H15" s="153"/>
      <c r="I15" s="8" t="str">
        <f t="shared" si="0"/>
        <v/>
      </c>
      <c r="J15" s="8" t="str">
        <f t="shared" si="1"/>
        <v/>
      </c>
      <c r="K15" s="8" t="str">
        <f t="shared" si="2"/>
        <v/>
      </c>
      <c r="L15" s="7" t="str">
        <f t="shared" si="3"/>
        <v/>
      </c>
      <c r="M15" s="7" t="s">
        <v>2605</v>
      </c>
      <c r="N15" s="7" t="s">
        <v>2606</v>
      </c>
      <c r="O15" s="7" t="s">
        <v>2607</v>
      </c>
      <c r="P15" s="7" t="s">
        <v>2608</v>
      </c>
      <c r="Q15" s="7" t="s">
        <v>2609</v>
      </c>
      <c r="R15" s="7" t="s">
        <v>2610</v>
      </c>
      <c r="S15" s="7" t="s">
        <v>2509</v>
      </c>
      <c r="T15" s="7" t="s">
        <v>2510</v>
      </c>
      <c r="U15" s="7"/>
      <c r="V15" s="7" t="s">
        <v>2611</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Profile'!$B$9,_TECH_Industry_Templates!$B:$B,"HR Workforce"),"")</f>
        <v>4</v>
      </c>
      <c r="AO15" s="48" t="str">
        <f t="shared" si="6"/>
        <v/>
      </c>
      <c r="AP15" s="48">
        <f>IFERROR(SUMIFS(_TECH_Industry_Templates!$E:$E,_TECH_Industry_Templates!$A:$A,'Company Profile'!$B$9,_TECH_Industry_Templates!$B:$B,"HR Workforce"),1)</f>
        <v>1.25</v>
      </c>
      <c r="AQ15" s="48" t="str">
        <f t="shared" si="7"/>
        <v/>
      </c>
      <c r="AR15" s="48" t="str">
        <f t="shared" si="8"/>
        <v/>
      </c>
      <c r="AS15" s="11">
        <f t="shared" si="9"/>
        <v>0</v>
      </c>
      <c r="AT15" s="11">
        <f t="shared" si="10"/>
        <v>0</v>
      </c>
    </row>
    <row r="16" spans="1:46" ht="71.25">
      <c r="A16" s="7" t="s">
        <v>2612</v>
      </c>
      <c r="B16" s="7" t="s">
        <v>1113</v>
      </c>
      <c r="C16" s="7" t="s">
        <v>2613</v>
      </c>
      <c r="D16" s="7" t="s">
        <v>2500</v>
      </c>
      <c r="E16" s="7" t="s">
        <v>2501</v>
      </c>
      <c r="F16" s="7" t="s">
        <v>2614</v>
      </c>
      <c r="G16" s="7">
        <v>5</v>
      </c>
      <c r="H16" s="153"/>
      <c r="I16" s="8" t="str">
        <f t="shared" si="0"/>
        <v/>
      </c>
      <c r="J16" s="8" t="str">
        <f t="shared" si="1"/>
        <v/>
      </c>
      <c r="K16" s="8" t="str">
        <f t="shared" si="2"/>
        <v/>
      </c>
      <c r="L16" s="7" t="str">
        <f t="shared" si="3"/>
        <v/>
      </c>
      <c r="M16" s="7" t="s">
        <v>2615</v>
      </c>
      <c r="N16" s="7" t="s">
        <v>2616</v>
      </c>
      <c r="O16" s="7" t="s">
        <v>2617</v>
      </c>
      <c r="P16" s="7" t="s">
        <v>2618</v>
      </c>
      <c r="Q16" s="7" t="s">
        <v>2619</v>
      </c>
      <c r="R16" s="7" t="s">
        <v>2620</v>
      </c>
      <c r="S16" s="7" t="s">
        <v>2509</v>
      </c>
      <c r="T16" s="7" t="s">
        <v>2510</v>
      </c>
      <c r="U16" s="7"/>
      <c r="V16" s="7" t="s">
        <v>2621</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Profile'!$B$9,_TECH_Industry_Templates!$B:$B,"HR Workforce"),"")</f>
        <v>4</v>
      </c>
      <c r="AO16" s="48" t="str">
        <f t="shared" si="6"/>
        <v/>
      </c>
      <c r="AP16" s="48">
        <f>IFERROR(SUMIFS(_TECH_Industry_Templates!$E:$E,_TECH_Industry_Templates!$A:$A,'Company Profile'!$B$9,_TECH_Industry_Templates!$B:$B,"HR Workforce"),1)</f>
        <v>1.25</v>
      </c>
      <c r="AQ16" s="48" t="str">
        <f t="shared" si="7"/>
        <v/>
      </c>
      <c r="AR16" s="48" t="str">
        <f t="shared" si="8"/>
        <v/>
      </c>
      <c r="AS16" s="11">
        <f t="shared" si="9"/>
        <v>0</v>
      </c>
      <c r="AT16" s="11">
        <f t="shared" si="10"/>
        <v>0</v>
      </c>
    </row>
    <row r="17" spans="1:46" ht="71.25">
      <c r="A17" s="7" t="s">
        <v>2622</v>
      </c>
      <c r="B17" s="7" t="s">
        <v>1121</v>
      </c>
      <c r="C17" s="7" t="s">
        <v>2623</v>
      </c>
      <c r="D17" s="7" t="s">
        <v>2500</v>
      </c>
      <c r="E17" s="7" t="s">
        <v>2501</v>
      </c>
      <c r="F17" s="7" t="s">
        <v>2624</v>
      </c>
      <c r="G17" s="7">
        <v>4</v>
      </c>
      <c r="H17" s="153"/>
      <c r="I17" s="8" t="str">
        <f t="shared" si="0"/>
        <v/>
      </c>
      <c r="J17" s="8" t="str">
        <f t="shared" si="1"/>
        <v/>
      </c>
      <c r="K17" s="8" t="str">
        <f t="shared" si="2"/>
        <v/>
      </c>
      <c r="L17" s="7" t="str">
        <f t="shared" si="3"/>
        <v/>
      </c>
      <c r="M17" s="7" t="s">
        <v>2625</v>
      </c>
      <c r="N17" s="7" t="s">
        <v>2626</v>
      </c>
      <c r="O17" s="7" t="s">
        <v>2627</v>
      </c>
      <c r="P17" s="7" t="s">
        <v>2628</v>
      </c>
      <c r="Q17" s="7" t="s">
        <v>2629</v>
      </c>
      <c r="R17" s="7" t="s">
        <v>2630</v>
      </c>
      <c r="S17" s="7" t="s">
        <v>2509</v>
      </c>
      <c r="T17" s="7" t="s">
        <v>2510</v>
      </c>
      <c r="U17" s="7"/>
      <c r="V17" s="7" t="s">
        <v>2631</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Profile'!$B$9,_TECH_Industry_Templates!$B:$B,"HR Workforce"),"")</f>
        <v>4</v>
      </c>
      <c r="AO17" s="48" t="str">
        <f t="shared" si="6"/>
        <v/>
      </c>
      <c r="AP17" s="48">
        <f>IFERROR(SUMIFS(_TECH_Industry_Templates!$E:$E,_TECH_Industry_Templates!$A:$A,'Company Profile'!$B$9,_TECH_Industry_Templates!$B:$B,"HR Workforce"),1)</f>
        <v>1.25</v>
      </c>
      <c r="AQ17" s="48" t="str">
        <f t="shared" si="7"/>
        <v/>
      </c>
      <c r="AR17" s="48" t="str">
        <f t="shared" si="8"/>
        <v/>
      </c>
      <c r="AS17" s="11">
        <f t="shared" si="9"/>
        <v>0</v>
      </c>
      <c r="AT17" s="11">
        <f t="shared" si="10"/>
        <v>0</v>
      </c>
    </row>
    <row r="18" spans="1:46" ht="71.25">
      <c r="A18" s="7" t="s">
        <v>2632</v>
      </c>
      <c r="B18" s="7" t="s">
        <v>1121</v>
      </c>
      <c r="C18" s="7" t="s">
        <v>2633</v>
      </c>
      <c r="D18" s="7" t="s">
        <v>2500</v>
      </c>
      <c r="E18" s="7" t="s">
        <v>2501</v>
      </c>
      <c r="F18" s="7" t="s">
        <v>2634</v>
      </c>
      <c r="G18" s="7">
        <v>4</v>
      </c>
      <c r="H18" s="153"/>
      <c r="I18" s="8" t="str">
        <f t="shared" si="0"/>
        <v/>
      </c>
      <c r="J18" s="8" t="str">
        <f t="shared" si="1"/>
        <v/>
      </c>
      <c r="K18" s="8" t="str">
        <f t="shared" si="2"/>
        <v/>
      </c>
      <c r="L18" s="7" t="str">
        <f t="shared" si="3"/>
        <v/>
      </c>
      <c r="M18" s="7" t="s">
        <v>2635</v>
      </c>
      <c r="N18" s="7" t="s">
        <v>2636</v>
      </c>
      <c r="O18" s="7" t="s">
        <v>2637</v>
      </c>
      <c r="P18" s="7" t="s">
        <v>2638</v>
      </c>
      <c r="Q18" s="7" t="s">
        <v>2639</v>
      </c>
      <c r="R18" s="7" t="s">
        <v>2640</v>
      </c>
      <c r="S18" s="7" t="s">
        <v>2509</v>
      </c>
      <c r="T18" s="7" t="s">
        <v>2510</v>
      </c>
      <c r="U18" s="7"/>
      <c r="V18" s="7" t="s">
        <v>2641</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Profile'!$B$9,_TECH_Industry_Templates!$B:$B,"HR Workforce"),"")</f>
        <v>4</v>
      </c>
      <c r="AO18" s="48" t="str">
        <f t="shared" si="6"/>
        <v/>
      </c>
      <c r="AP18" s="48">
        <f>IFERROR(SUMIFS(_TECH_Industry_Templates!$E:$E,_TECH_Industry_Templates!$A:$A,'Company Profile'!$B$9,_TECH_Industry_Templates!$B:$B,"HR Workforce"),1)</f>
        <v>1.25</v>
      </c>
      <c r="AQ18" s="48" t="str">
        <f t="shared" si="7"/>
        <v/>
      </c>
      <c r="AR18" s="48" t="str">
        <f t="shared" si="8"/>
        <v/>
      </c>
      <c r="AS18" s="11">
        <f t="shared" si="9"/>
        <v>0</v>
      </c>
      <c r="AT18" s="11">
        <f t="shared" si="10"/>
        <v>0</v>
      </c>
    </row>
    <row r="19" spans="1:46" ht="57">
      <c r="A19" s="7" t="s">
        <v>2642</v>
      </c>
      <c r="B19" s="7" t="s">
        <v>1121</v>
      </c>
      <c r="C19" s="7" t="s">
        <v>2643</v>
      </c>
      <c r="D19" s="7" t="s">
        <v>2500</v>
      </c>
      <c r="E19" s="7" t="s">
        <v>2501</v>
      </c>
      <c r="F19" s="7" t="s">
        <v>2644</v>
      </c>
      <c r="G19" s="7">
        <v>5</v>
      </c>
      <c r="H19" s="153"/>
      <c r="I19" s="8" t="str">
        <f t="shared" si="0"/>
        <v/>
      </c>
      <c r="J19" s="8" t="str">
        <f t="shared" si="1"/>
        <v/>
      </c>
      <c r="K19" s="8" t="str">
        <f t="shared" si="2"/>
        <v/>
      </c>
      <c r="L19" s="7" t="str">
        <f t="shared" si="3"/>
        <v/>
      </c>
      <c r="M19" s="7" t="s">
        <v>2645</v>
      </c>
      <c r="N19" s="7" t="s">
        <v>2646</v>
      </c>
      <c r="O19" s="7" t="s">
        <v>2647</v>
      </c>
      <c r="P19" s="7" t="s">
        <v>2648</v>
      </c>
      <c r="Q19" s="7" t="s">
        <v>2649</v>
      </c>
      <c r="R19" s="7" t="s">
        <v>2650</v>
      </c>
      <c r="S19" s="7" t="s">
        <v>2509</v>
      </c>
      <c r="T19" s="7" t="s">
        <v>2510</v>
      </c>
      <c r="U19" s="7"/>
      <c r="V19" s="7" t="s">
        <v>2651</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Profile'!$B$9,_TECH_Industry_Templates!$B:$B,"HR Workforce"),"")</f>
        <v>4</v>
      </c>
      <c r="AO19" s="48" t="str">
        <f t="shared" si="6"/>
        <v/>
      </c>
      <c r="AP19" s="48">
        <f>IFERROR(SUMIFS(_TECH_Industry_Templates!$E:$E,_TECH_Industry_Templates!$A:$A,'Company Profile'!$B$9,_TECH_Industry_Templates!$B:$B,"HR Workforce"),1)</f>
        <v>1.25</v>
      </c>
      <c r="AQ19" s="48" t="str">
        <f t="shared" si="7"/>
        <v/>
      </c>
      <c r="AR19" s="48" t="str">
        <f t="shared" si="8"/>
        <v/>
      </c>
      <c r="AS19" s="11">
        <f t="shared" si="9"/>
        <v>0</v>
      </c>
      <c r="AT19" s="11">
        <f t="shared" si="10"/>
        <v>0</v>
      </c>
    </row>
    <row r="20" spans="1:46" ht="57">
      <c r="A20" s="7" t="s">
        <v>2652</v>
      </c>
      <c r="B20" s="7" t="s">
        <v>1121</v>
      </c>
      <c r="C20" s="7" t="s">
        <v>2653</v>
      </c>
      <c r="D20" s="7" t="s">
        <v>2500</v>
      </c>
      <c r="E20" s="7" t="s">
        <v>2501</v>
      </c>
      <c r="F20" s="7" t="s">
        <v>2654</v>
      </c>
      <c r="G20" s="7">
        <v>5</v>
      </c>
      <c r="H20" s="153"/>
      <c r="I20" s="8" t="str">
        <f t="shared" si="0"/>
        <v/>
      </c>
      <c r="J20" s="8" t="str">
        <f t="shared" si="1"/>
        <v/>
      </c>
      <c r="K20" s="8" t="str">
        <f t="shared" si="2"/>
        <v/>
      </c>
      <c r="L20" s="7" t="str">
        <f t="shared" si="3"/>
        <v/>
      </c>
      <c r="M20" s="7" t="s">
        <v>2655</v>
      </c>
      <c r="N20" s="7" t="s">
        <v>2656</v>
      </c>
      <c r="O20" s="7" t="s">
        <v>2657</v>
      </c>
      <c r="P20" s="7" t="s">
        <v>2658</v>
      </c>
      <c r="Q20" s="7" t="s">
        <v>2659</v>
      </c>
      <c r="R20" s="7" t="s">
        <v>2660</v>
      </c>
      <c r="S20" s="7" t="s">
        <v>2509</v>
      </c>
      <c r="T20" s="7" t="s">
        <v>2510</v>
      </c>
      <c r="U20" s="7"/>
      <c r="V20" s="7" t="s">
        <v>2661</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Profile'!$B$9,_TECH_Industry_Templates!$B:$B,"HR Workforce"),"")</f>
        <v>4</v>
      </c>
      <c r="AO20" s="48" t="str">
        <f t="shared" si="6"/>
        <v/>
      </c>
      <c r="AP20" s="48">
        <f>IFERROR(SUMIFS(_TECH_Industry_Templates!$E:$E,_TECH_Industry_Templates!$A:$A,'Company Profile'!$B$9,_TECH_Industry_Templates!$B:$B,"HR Workforce"),1)</f>
        <v>1.25</v>
      </c>
      <c r="AQ20" s="48" t="str">
        <f t="shared" si="7"/>
        <v/>
      </c>
      <c r="AR20" s="48" t="str">
        <f t="shared" si="8"/>
        <v/>
      </c>
      <c r="AS20" s="11">
        <f t="shared" si="9"/>
        <v>0</v>
      </c>
      <c r="AT20" s="11">
        <f t="shared" si="10"/>
        <v>0</v>
      </c>
    </row>
    <row r="21" spans="1:46" ht="71.25">
      <c r="A21" s="7" t="s">
        <v>2662</v>
      </c>
      <c r="B21" s="7" t="s">
        <v>1121</v>
      </c>
      <c r="C21" s="7" t="s">
        <v>2663</v>
      </c>
      <c r="D21" s="7" t="s">
        <v>2500</v>
      </c>
      <c r="E21" s="7" t="s">
        <v>2501</v>
      </c>
      <c r="F21" s="7" t="s">
        <v>2664</v>
      </c>
      <c r="G21" s="7">
        <v>5</v>
      </c>
      <c r="H21" s="153"/>
      <c r="I21" s="8" t="str">
        <f t="shared" si="0"/>
        <v/>
      </c>
      <c r="J21" s="8" t="str">
        <f t="shared" si="1"/>
        <v/>
      </c>
      <c r="K21" s="8" t="str">
        <f t="shared" si="2"/>
        <v/>
      </c>
      <c r="L21" s="7" t="str">
        <f t="shared" si="3"/>
        <v/>
      </c>
      <c r="M21" s="7" t="s">
        <v>2665</v>
      </c>
      <c r="N21" s="7" t="s">
        <v>2666</v>
      </c>
      <c r="O21" s="7" t="s">
        <v>2667</v>
      </c>
      <c r="P21" s="7" t="s">
        <v>2668</v>
      </c>
      <c r="Q21" s="7" t="s">
        <v>2669</v>
      </c>
      <c r="R21" s="7" t="s">
        <v>2670</v>
      </c>
      <c r="S21" s="7" t="s">
        <v>2509</v>
      </c>
      <c r="T21" s="7" t="s">
        <v>2510</v>
      </c>
      <c r="U21" s="7"/>
      <c r="V21" s="7" t="s">
        <v>2671</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Profile'!$B$9,_TECH_Industry_Templates!$B:$B,"HR Workforce"),"")</f>
        <v>4</v>
      </c>
      <c r="AO21" s="48" t="str">
        <f t="shared" si="6"/>
        <v/>
      </c>
      <c r="AP21" s="48">
        <f>IFERROR(SUMIFS(_TECH_Industry_Templates!$E:$E,_TECH_Industry_Templates!$A:$A,'Company Profile'!$B$9,_TECH_Industry_Templates!$B:$B,"HR Workforce"),1)</f>
        <v>1.25</v>
      </c>
      <c r="AQ21" s="48" t="str">
        <f t="shared" si="7"/>
        <v/>
      </c>
      <c r="AR21" s="48" t="str">
        <f t="shared" si="8"/>
        <v/>
      </c>
      <c r="AS21" s="11">
        <f t="shared" si="9"/>
        <v>0</v>
      </c>
      <c r="AT21" s="11">
        <f t="shared" si="10"/>
        <v>0</v>
      </c>
    </row>
    <row r="22" spans="1:46" ht="71.25">
      <c r="A22" s="7" t="s">
        <v>2672</v>
      </c>
      <c r="B22" s="7" t="s">
        <v>1121</v>
      </c>
      <c r="C22" s="7" t="s">
        <v>2673</v>
      </c>
      <c r="D22" s="7" t="s">
        <v>2500</v>
      </c>
      <c r="E22" s="7" t="s">
        <v>2501</v>
      </c>
      <c r="F22" s="7" t="s">
        <v>2674</v>
      </c>
      <c r="G22" s="7">
        <v>3</v>
      </c>
      <c r="H22" s="153"/>
      <c r="I22" s="8" t="str">
        <f t="shared" si="0"/>
        <v/>
      </c>
      <c r="J22" s="8" t="str">
        <f t="shared" si="1"/>
        <v/>
      </c>
      <c r="K22" s="8" t="str">
        <f t="shared" si="2"/>
        <v/>
      </c>
      <c r="L22" s="7" t="str">
        <f t="shared" si="3"/>
        <v/>
      </c>
      <c r="M22" s="7" t="s">
        <v>2675</v>
      </c>
      <c r="N22" s="7" t="s">
        <v>2676</v>
      </c>
      <c r="O22" s="7" t="s">
        <v>2677</v>
      </c>
      <c r="P22" s="7" t="s">
        <v>2678</v>
      </c>
      <c r="Q22" s="7" t="s">
        <v>2679</v>
      </c>
      <c r="R22" s="7" t="s">
        <v>2680</v>
      </c>
      <c r="S22" s="7" t="s">
        <v>2509</v>
      </c>
      <c r="T22" s="7" t="s">
        <v>2510</v>
      </c>
      <c r="U22" s="7"/>
      <c r="V22" s="7" t="s">
        <v>2681</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Profile'!$B$9,_TECH_Industry_Templates!$B:$B,"HR Workforce"),"")</f>
        <v>4</v>
      </c>
      <c r="AO22" s="48" t="str">
        <f t="shared" si="6"/>
        <v/>
      </c>
      <c r="AP22" s="48">
        <f>IFERROR(SUMIFS(_TECH_Industry_Templates!$E:$E,_TECH_Industry_Templates!$A:$A,'Company Profile'!$B$9,_TECH_Industry_Templates!$B:$B,"HR Workforce"),1)</f>
        <v>1.25</v>
      </c>
      <c r="AQ22" s="48" t="str">
        <f t="shared" si="7"/>
        <v/>
      </c>
      <c r="AR22" s="48" t="str">
        <f t="shared" si="8"/>
        <v/>
      </c>
      <c r="AS22" s="11">
        <f t="shared" si="9"/>
        <v>0</v>
      </c>
      <c r="AT22" s="11">
        <f t="shared" si="10"/>
        <v>0</v>
      </c>
    </row>
    <row r="23" spans="1:46" ht="57">
      <c r="A23" s="7" t="s">
        <v>2682</v>
      </c>
      <c r="B23" s="7" t="s">
        <v>1121</v>
      </c>
      <c r="C23" s="7" t="s">
        <v>2683</v>
      </c>
      <c r="D23" s="7" t="s">
        <v>2500</v>
      </c>
      <c r="E23" s="7" t="s">
        <v>2501</v>
      </c>
      <c r="F23" s="7" t="s">
        <v>2684</v>
      </c>
      <c r="G23" s="7">
        <v>5</v>
      </c>
      <c r="H23" s="153"/>
      <c r="I23" s="8" t="str">
        <f t="shared" si="0"/>
        <v/>
      </c>
      <c r="J23" s="8" t="str">
        <f t="shared" si="1"/>
        <v/>
      </c>
      <c r="K23" s="8" t="str">
        <f t="shared" si="2"/>
        <v/>
      </c>
      <c r="L23" s="7" t="str">
        <f t="shared" si="3"/>
        <v/>
      </c>
      <c r="M23" s="7" t="s">
        <v>2685</v>
      </c>
      <c r="N23" s="7" t="s">
        <v>2686</v>
      </c>
      <c r="O23" s="7" t="s">
        <v>2687</v>
      </c>
      <c r="P23" s="7" t="s">
        <v>2688</v>
      </c>
      <c r="Q23" s="7" t="s">
        <v>2689</v>
      </c>
      <c r="R23" s="7" t="s">
        <v>2690</v>
      </c>
      <c r="S23" s="7" t="s">
        <v>2509</v>
      </c>
      <c r="T23" s="7" t="s">
        <v>2510</v>
      </c>
      <c r="U23" s="7"/>
      <c r="V23" s="7" t="s">
        <v>2691</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Profile'!$B$9,_TECH_Industry_Templates!$B:$B,"HR Workforce"),"")</f>
        <v>4</v>
      </c>
      <c r="AO23" s="48" t="str">
        <f t="shared" si="6"/>
        <v/>
      </c>
      <c r="AP23" s="48">
        <f>IFERROR(SUMIFS(_TECH_Industry_Templates!$E:$E,_TECH_Industry_Templates!$A:$A,'Company Profile'!$B$9,_TECH_Industry_Templates!$B:$B,"HR Workforce"),1)</f>
        <v>1.25</v>
      </c>
      <c r="AQ23" s="48" t="str">
        <f t="shared" si="7"/>
        <v/>
      </c>
      <c r="AR23" s="48" t="str">
        <f t="shared" si="8"/>
        <v/>
      </c>
      <c r="AS23" s="11">
        <f t="shared" si="9"/>
        <v>0</v>
      </c>
      <c r="AT23" s="11">
        <f t="shared" si="10"/>
        <v>0</v>
      </c>
    </row>
    <row r="24" spans="1:46" ht="71.25">
      <c r="A24" s="7" t="s">
        <v>2692</v>
      </c>
      <c r="B24" s="7" t="s">
        <v>1129</v>
      </c>
      <c r="C24" s="7" t="s">
        <v>2693</v>
      </c>
      <c r="D24" s="7" t="s">
        <v>2500</v>
      </c>
      <c r="E24" s="7" t="s">
        <v>2501</v>
      </c>
      <c r="F24" s="7" t="s">
        <v>2694</v>
      </c>
      <c r="G24" s="7">
        <v>5</v>
      </c>
      <c r="H24" s="153"/>
      <c r="I24" s="8" t="str">
        <f t="shared" si="0"/>
        <v/>
      </c>
      <c r="J24" s="8" t="str">
        <f t="shared" si="1"/>
        <v/>
      </c>
      <c r="K24" s="8" t="str">
        <f t="shared" si="2"/>
        <v/>
      </c>
      <c r="L24" s="7" t="str">
        <f t="shared" si="3"/>
        <v/>
      </c>
      <c r="M24" s="7" t="s">
        <v>2695</v>
      </c>
      <c r="N24" s="7" t="s">
        <v>2696</v>
      </c>
      <c r="O24" s="7" t="s">
        <v>2697</v>
      </c>
      <c r="P24" s="7" t="s">
        <v>2698</v>
      </c>
      <c r="Q24" s="7" t="s">
        <v>2699</v>
      </c>
      <c r="R24" s="7" t="s">
        <v>2700</v>
      </c>
      <c r="S24" s="7" t="s">
        <v>2509</v>
      </c>
      <c r="T24" s="7" t="s">
        <v>2510</v>
      </c>
      <c r="U24" s="7"/>
      <c r="V24" s="7" t="s">
        <v>2701</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Profile'!$B$9,_TECH_Industry_Templates!$B:$B,"HR Workforce"),"")</f>
        <v>4</v>
      </c>
      <c r="AO24" s="48" t="str">
        <f t="shared" si="6"/>
        <v/>
      </c>
      <c r="AP24" s="48">
        <f>IFERROR(SUMIFS(_TECH_Industry_Templates!$E:$E,_TECH_Industry_Templates!$A:$A,'Company Profile'!$B$9,_TECH_Industry_Templates!$B:$B,"HR Workforce"),1)</f>
        <v>1.25</v>
      </c>
      <c r="AQ24" s="48" t="str">
        <f t="shared" si="7"/>
        <v/>
      </c>
      <c r="AR24" s="48" t="str">
        <f t="shared" si="8"/>
        <v/>
      </c>
      <c r="AS24" s="11">
        <f t="shared" si="9"/>
        <v>0</v>
      </c>
      <c r="AT24" s="11">
        <f t="shared" si="10"/>
        <v>0</v>
      </c>
    </row>
    <row r="25" spans="1:46" ht="57">
      <c r="A25" s="7" t="s">
        <v>2702</v>
      </c>
      <c r="B25" s="7" t="s">
        <v>1129</v>
      </c>
      <c r="C25" s="7" t="s">
        <v>2703</v>
      </c>
      <c r="D25" s="7" t="s">
        <v>2500</v>
      </c>
      <c r="E25" s="7" t="s">
        <v>2501</v>
      </c>
      <c r="F25" s="7" t="s">
        <v>2704</v>
      </c>
      <c r="G25" s="7">
        <v>4</v>
      </c>
      <c r="H25" s="153"/>
      <c r="I25" s="8" t="str">
        <f t="shared" si="0"/>
        <v/>
      </c>
      <c r="J25" s="8" t="str">
        <f t="shared" si="1"/>
        <v/>
      </c>
      <c r="K25" s="8" t="str">
        <f t="shared" si="2"/>
        <v/>
      </c>
      <c r="L25" s="7" t="str">
        <f t="shared" si="3"/>
        <v/>
      </c>
      <c r="M25" s="7" t="s">
        <v>2705</v>
      </c>
      <c r="N25" s="7" t="s">
        <v>2706</v>
      </c>
      <c r="O25" s="7" t="s">
        <v>2707</v>
      </c>
      <c r="P25" s="7" t="s">
        <v>2708</v>
      </c>
      <c r="Q25" s="7" t="s">
        <v>2709</v>
      </c>
      <c r="R25" s="7" t="s">
        <v>2710</v>
      </c>
      <c r="S25" s="7" t="s">
        <v>2509</v>
      </c>
      <c r="T25" s="7" t="s">
        <v>2510</v>
      </c>
      <c r="U25" s="7"/>
      <c r="V25" s="7" t="s">
        <v>2711</v>
      </c>
      <c r="W25" s="14">
        <v>4</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Profile'!$B$9,_TECH_Industry_Templates!$B:$B,"HR Workforce"),"")</f>
        <v>4</v>
      </c>
      <c r="AO25" s="48" t="str">
        <f t="shared" si="6"/>
        <v/>
      </c>
      <c r="AP25" s="48">
        <f>IFERROR(SUMIFS(_TECH_Industry_Templates!$E:$E,_TECH_Industry_Templates!$A:$A,'Company Profile'!$B$9,_TECH_Industry_Templates!$B:$B,"HR Workforce"),1)</f>
        <v>1.25</v>
      </c>
      <c r="AQ25" s="48" t="str">
        <f t="shared" si="7"/>
        <v/>
      </c>
      <c r="AR25" s="48" t="str">
        <f t="shared" si="8"/>
        <v/>
      </c>
      <c r="AS25" s="11">
        <f t="shared" si="9"/>
        <v>0</v>
      </c>
      <c r="AT25" s="11">
        <f t="shared" si="10"/>
        <v>0</v>
      </c>
    </row>
    <row r="26" spans="1:46" ht="71.25">
      <c r="A26" s="7" t="s">
        <v>2712</v>
      </c>
      <c r="B26" s="7" t="s">
        <v>1129</v>
      </c>
      <c r="C26" s="7" t="s">
        <v>2713</v>
      </c>
      <c r="D26" s="7" t="s">
        <v>2500</v>
      </c>
      <c r="E26" s="7" t="s">
        <v>2501</v>
      </c>
      <c r="F26" s="7" t="s">
        <v>2714</v>
      </c>
      <c r="G26" s="7">
        <v>4</v>
      </c>
      <c r="H26" s="153"/>
      <c r="I26" s="8" t="str">
        <f t="shared" si="0"/>
        <v/>
      </c>
      <c r="J26" s="8" t="str">
        <f t="shared" si="1"/>
        <v/>
      </c>
      <c r="K26" s="8" t="str">
        <f t="shared" si="2"/>
        <v/>
      </c>
      <c r="L26" s="7" t="str">
        <f t="shared" si="3"/>
        <v/>
      </c>
      <c r="M26" s="7" t="s">
        <v>2715</v>
      </c>
      <c r="N26" s="7" t="s">
        <v>2716</v>
      </c>
      <c r="O26" s="7" t="s">
        <v>2717</v>
      </c>
      <c r="P26" s="7" t="s">
        <v>2718</v>
      </c>
      <c r="Q26" s="7" t="s">
        <v>2719</v>
      </c>
      <c r="R26" s="7" t="s">
        <v>2720</v>
      </c>
      <c r="S26" s="7" t="s">
        <v>2509</v>
      </c>
      <c r="T26" s="7" t="s">
        <v>2510</v>
      </c>
      <c r="U26" s="7"/>
      <c r="V26" s="7" t="s">
        <v>2721</v>
      </c>
      <c r="W26" s="14">
        <v>4</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Profile'!$B$9,_TECH_Industry_Templates!$B:$B,"HR Workforce"),"")</f>
        <v>4</v>
      </c>
      <c r="AO26" s="48" t="str">
        <f t="shared" si="6"/>
        <v/>
      </c>
      <c r="AP26" s="48">
        <f>IFERROR(SUMIFS(_TECH_Industry_Templates!$E:$E,_TECH_Industry_Templates!$A:$A,'Company Profile'!$B$9,_TECH_Industry_Templates!$B:$B,"HR Workforce"),1)</f>
        <v>1.25</v>
      </c>
      <c r="AQ26" s="48" t="str">
        <f t="shared" si="7"/>
        <v/>
      </c>
      <c r="AR26" s="48" t="str">
        <f t="shared" si="8"/>
        <v/>
      </c>
      <c r="AS26" s="11">
        <f t="shared" si="9"/>
        <v>0</v>
      </c>
      <c r="AT26" s="11">
        <f t="shared" si="10"/>
        <v>0</v>
      </c>
    </row>
    <row r="27" spans="1:46" ht="57">
      <c r="A27" s="7" t="s">
        <v>2722</v>
      </c>
      <c r="B27" s="7" t="s">
        <v>1129</v>
      </c>
      <c r="C27" s="7" t="s">
        <v>2723</v>
      </c>
      <c r="D27" s="7" t="s">
        <v>2500</v>
      </c>
      <c r="E27" s="7" t="s">
        <v>2501</v>
      </c>
      <c r="F27" s="7" t="s">
        <v>2724</v>
      </c>
      <c r="G27" s="7">
        <v>4</v>
      </c>
      <c r="H27" s="153"/>
      <c r="I27" s="8" t="str">
        <f t="shared" si="0"/>
        <v/>
      </c>
      <c r="J27" s="8" t="str">
        <f t="shared" si="1"/>
        <v/>
      </c>
      <c r="K27" s="8" t="str">
        <f t="shared" si="2"/>
        <v/>
      </c>
      <c r="L27" s="7" t="str">
        <f t="shared" si="3"/>
        <v/>
      </c>
      <c r="M27" s="7" t="s">
        <v>2725</v>
      </c>
      <c r="N27" s="7" t="s">
        <v>2726</v>
      </c>
      <c r="O27" s="7" t="s">
        <v>2727</v>
      </c>
      <c r="P27" s="7" t="s">
        <v>2728</v>
      </c>
      <c r="Q27" s="7" t="s">
        <v>2729</v>
      </c>
      <c r="R27" s="7" t="s">
        <v>2730</v>
      </c>
      <c r="S27" s="7" t="s">
        <v>2509</v>
      </c>
      <c r="T27" s="7" t="s">
        <v>2510</v>
      </c>
      <c r="U27" s="7"/>
      <c r="V27" s="7" t="s">
        <v>2731</v>
      </c>
      <c r="W27" s="14">
        <v>4</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Profile'!$B$9,_TECH_Industry_Templates!$B:$B,"HR Workforce"),"")</f>
        <v>4</v>
      </c>
      <c r="AO27" s="48" t="str">
        <f t="shared" si="6"/>
        <v/>
      </c>
      <c r="AP27" s="48">
        <f>IFERROR(SUMIFS(_TECH_Industry_Templates!$E:$E,_TECH_Industry_Templates!$A:$A,'Company Profile'!$B$9,_TECH_Industry_Templates!$B:$B,"HR Workforce"),1)</f>
        <v>1.25</v>
      </c>
      <c r="AQ27" s="48" t="str">
        <f t="shared" si="7"/>
        <v/>
      </c>
      <c r="AR27" s="48" t="str">
        <f t="shared" si="8"/>
        <v/>
      </c>
      <c r="AS27" s="11">
        <f t="shared" si="9"/>
        <v>0</v>
      </c>
      <c r="AT27" s="11">
        <f t="shared" si="10"/>
        <v>0</v>
      </c>
    </row>
    <row r="28" spans="1:46" ht="71.25">
      <c r="A28" s="7" t="s">
        <v>2732</v>
      </c>
      <c r="B28" s="7" t="s">
        <v>1129</v>
      </c>
      <c r="C28" s="7" t="s">
        <v>2733</v>
      </c>
      <c r="D28" s="7" t="s">
        <v>2500</v>
      </c>
      <c r="E28" s="7" t="s">
        <v>2501</v>
      </c>
      <c r="F28" s="7" t="s">
        <v>2734</v>
      </c>
      <c r="G28" s="7">
        <v>3</v>
      </c>
      <c r="H28" s="153"/>
      <c r="I28" s="8" t="str">
        <f t="shared" si="0"/>
        <v/>
      </c>
      <c r="J28" s="8" t="str">
        <f t="shared" si="1"/>
        <v/>
      </c>
      <c r="K28" s="8" t="str">
        <f t="shared" si="2"/>
        <v/>
      </c>
      <c r="L28" s="7" t="str">
        <f t="shared" si="3"/>
        <v/>
      </c>
      <c r="M28" s="7" t="s">
        <v>2735</v>
      </c>
      <c r="N28" s="7" t="s">
        <v>2736</v>
      </c>
      <c r="O28" s="7" t="s">
        <v>2737</v>
      </c>
      <c r="P28" s="7" t="s">
        <v>2738</v>
      </c>
      <c r="Q28" s="7" t="s">
        <v>2739</v>
      </c>
      <c r="R28" s="7" t="s">
        <v>2740</v>
      </c>
      <c r="S28" s="7" t="s">
        <v>2509</v>
      </c>
      <c r="T28" s="7" t="s">
        <v>2510</v>
      </c>
      <c r="U28" s="7"/>
      <c r="V28" s="7" t="s">
        <v>2741</v>
      </c>
      <c r="W28" s="14">
        <v>4</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Profile'!$B$9,_TECH_Industry_Templates!$B:$B,"HR Workforce"),"")</f>
        <v>4</v>
      </c>
      <c r="AO28" s="48" t="str">
        <f t="shared" si="6"/>
        <v/>
      </c>
      <c r="AP28" s="48">
        <f>IFERROR(SUMIFS(_TECH_Industry_Templates!$E:$E,_TECH_Industry_Templates!$A:$A,'Company Profile'!$B$9,_TECH_Industry_Templates!$B:$B,"HR Workforce"),1)</f>
        <v>1.25</v>
      </c>
      <c r="AQ28" s="48" t="str">
        <f t="shared" si="7"/>
        <v/>
      </c>
      <c r="AR28" s="48" t="str">
        <f t="shared" si="8"/>
        <v/>
      </c>
      <c r="AS28" s="11">
        <f t="shared" si="9"/>
        <v>0</v>
      </c>
      <c r="AT28" s="11">
        <f t="shared" si="10"/>
        <v>0</v>
      </c>
    </row>
  </sheetData>
  <mergeCells count="4">
    <mergeCell ref="A2:V2"/>
    <mergeCell ref="AA3:AG3"/>
    <mergeCell ref="A1:V1"/>
    <mergeCell ref="W3:Y3"/>
  </mergeCells>
  <conditionalFormatting sqref="H5:H28">
    <cfRule type="colorScale" priority="1">
      <colorScale>
        <cfvo type="min"/>
        <cfvo type="percentile" val="50"/>
        <cfvo type="max"/>
        <color rgb="FFF8696B"/>
        <color rgb="FFFFEB84"/>
        <color rgb="FF63BE7B"/>
      </colorScale>
    </cfRule>
  </conditionalFormatting>
  <conditionalFormatting sqref="L5:L28">
    <cfRule type="expression" dxfId="81" priority="2">
      <formula>$L5="Critical"</formula>
    </cfRule>
    <cfRule type="expression" dxfId="80" priority="3">
      <formula>$L5="High"</formula>
    </cfRule>
    <cfRule type="expression" dxfId="79" priority="4">
      <formula>$L5="Medium"</formula>
    </cfRule>
    <cfRule type="expression" dxfId="78" priority="5">
      <formula>$L5="Low"</formula>
    </cfRule>
    <cfRule type="expression" dxfId="77"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8" ns2:uid="{00000000-0002-0000-1600-000000000000}">
      <formula1>"N/A,0,1,2,3,4,5"</formula1>
    </dataValidation>
    <dataValidation type="list" sqref="G5:G28" ns2:uid="{00000000-0002-0000-1600-000001000000}">
      <formula1>"1,2,3,4,5"</formula1>
    </dataValidation>
    <dataValidation type="list" sqref="W5:Y28" ns2:uid="{00000000-0002-0000-1600-000002000000}">
      <formula1>"0,1,2,3,4,5"</formula1>
    </dataValidation>
    <dataValidation type="list" allowBlank="1" sqref="AH5:AI28" ns2:uid="{00000000-0002-0000-16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700-000000000000}">
  <sheetPr>
    <tabColor rgb="FFED7D31"/>
  </sheetPr>
  <dimension ref="A1:AT28"/>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2742</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2743</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2744</v>
      </c>
      <c r="B5" s="7" t="s">
        <v>1137</v>
      </c>
      <c r="C5" s="7" t="s">
        <v>2745</v>
      </c>
      <c r="D5" s="7" t="s">
        <v>2746</v>
      </c>
      <c r="E5" s="7" t="s">
        <v>2747</v>
      </c>
      <c r="F5" s="7" t="s">
        <v>2748</v>
      </c>
      <c r="G5" s="7">
        <v>5</v>
      </c>
      <c r="H5" s="153"/>
      <c r="I5" s="8" t="str">
        <f t="shared" ref="I5:I28" si="0">IF($H5="","",IF($H5="N/A","",VALUE($H5)/5*$G5))</f>
        <v/>
      </c>
      <c r="J5" s="8" t="str">
        <f t="shared" ref="J5:J28" si="1">IF(OR($H5="",$H5="N/A"),"",$G5)</f>
        <v/>
      </c>
      <c r="K5" s="8" t="str">
        <f t="shared" ref="K5:K28" si="2">IF(OR($H5="",$H5="N/A"),"",$J5-$I5)</f>
        <v/>
      </c>
      <c r="L5" s="7" t="str">
        <f t="shared" ref="L5:L28" si="3">IF($H5="","",IF($H5="N/A","N/A",IF(VALUE($H5)&lt;=1,"Critical",IF(VALUE($H5)&lt;=2,"High",IF(VALUE($H5)&lt;=3,"Medium",IF(VALUE($H5)&lt;=4,"Low","Resilient"))))))</f>
        <v/>
      </c>
      <c r="M5" s="7" t="s">
        <v>2749</v>
      </c>
      <c r="N5" s="7" t="s">
        <v>2750</v>
      </c>
      <c r="O5" s="7" t="s">
        <v>2751</v>
      </c>
      <c r="P5" s="7" t="s">
        <v>2752</v>
      </c>
      <c r="Q5" s="7" t="s">
        <v>2753</v>
      </c>
      <c r="R5" s="7" t="s">
        <v>2754</v>
      </c>
      <c r="S5" s="7" t="s">
        <v>2755</v>
      </c>
      <c r="T5" s="7" t="s">
        <v>2756</v>
      </c>
      <c r="U5" s="7"/>
      <c r="V5" s="7" t="s">
        <v>2757</v>
      </c>
      <c r="W5" s="14">
        <v>4</v>
      </c>
      <c r="X5" s="14">
        <v>5</v>
      </c>
      <c r="Y5" s="14">
        <v>5</v>
      </c>
      <c r="AA5" t="s">
        <v>1137</v>
      </c>
      <c r="AB5" s="13">
        <f>COUNTIF($B$5:$B$28,$AA5)</f>
        <v>6</v>
      </c>
      <c r="AC5" s="15">
        <f>IFERROR(SUMPRODUCT(($B$5:$B$28=$AA5)*($H$5:$H$28&lt;&gt;"")*($H$5:$H$28&lt;&gt;"N/A")*IFERROR(VALUE($H$5:$H$28),0))/SUMPRODUCT(($B$5:$B$28=$AA5)*($H$5:$H$28&lt;&gt;"")*($H$5:$H$28&lt;&gt;"N/A")),0)</f>
        <v>0</v>
      </c>
      <c r="AD5" s="16">
        <f>AC5/5</f>
        <v>0</v>
      </c>
      <c r="AE5" s="13">
        <f>COUNTIFS($B$5:$B$28,$AA5,$L$5:$L$28,"Critical")+COUNTIFS($B$5:$B$28,$AA5,$L$5:$L$28,"High")</f>
        <v>0</v>
      </c>
      <c r="AF5" s="15">
        <f>5-AC5</f>
        <v>5</v>
      </c>
      <c r="AG5" s="13">
        <f>COUNTIFS($B$5:$B$28,$AA5,$H$5:$H$28,"&lt;&gt;")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8" si="4">IF(OR($H5="",$H5="N/A"),"",ROUND(VALUE($H5)*$AJ5*$AK5,2))</f>
        <v/>
      </c>
      <c r="AM5" s="48" t="str">
        <f t="shared" ref="AM5:AM28" si="5">IF($AL5="","",ROUND($AL5/5*100,1))</f>
        <v/>
      </c>
      <c r="AN5" s="48">
        <f>IFERROR(SUMIFS(_TECH_Industry_Templates!$D:$D,_TECH_Industry_Templates!$A:$A,'Company Profile'!$B$9,_TECH_Industry_Templates!$B:$B,"Finance Procurement"),"")</f>
        <v>3.5</v>
      </c>
      <c r="AO5" s="48" t="str">
        <f t="shared" ref="AO5:AO28" si="6">IF($AL5="","",MAX(0,ROUND($AN5-$AL5,2)))</f>
        <v/>
      </c>
      <c r="AP5" s="48">
        <f>IFERROR(SUMIFS(_TECH_Industry_Templates!$E:$E,_TECH_Industry_Templates!$A:$A,'Company Profile'!$B$9,_TECH_Industry_Templates!$B:$B,"Finance Procurement"),1)</f>
        <v>1</v>
      </c>
      <c r="AQ5" s="48" t="str">
        <f t="shared" ref="AQ5:AQ28" si="7">IF($AO5="","",ROUND($AO5*$AP5*($G5/5),2))</f>
        <v/>
      </c>
      <c r="AR5" s="48" t="str">
        <f t="shared" ref="AR5:AR28" si="8">IF($AO5="","",IF($AO5&gt;=2,"Critical industry gap",IF($AO5&gt;=1,"High industry gap",IF($AO5&gt;=0.5,"Moderate industry gap","Within target"))))</f>
        <v/>
      </c>
      <c r="AS5" s="11">
        <f t="shared" ref="AS5:AS28" si="9">IF(OR($H5="",$H5="N/A"),0,VALUE($H5)*(($AJ5+$AK5)/2))</f>
        <v>0</v>
      </c>
      <c r="AT5" s="11">
        <f t="shared" ref="AT5:AT28" si="10">IF(OR($H5="",$H5="N/A"),0,($AJ5+$AK5)/2)</f>
        <v>0</v>
      </c>
    </row>
    <row r="6" spans="1:46" ht="57">
      <c r="A6" s="7" t="s">
        <v>2758</v>
      </c>
      <c r="B6" s="7" t="s">
        <v>1137</v>
      </c>
      <c r="C6" s="7" t="s">
        <v>2759</v>
      </c>
      <c r="D6" s="7" t="s">
        <v>2746</v>
      </c>
      <c r="E6" s="7" t="s">
        <v>2747</v>
      </c>
      <c r="F6" s="7" t="s">
        <v>2760</v>
      </c>
      <c r="G6" s="7">
        <v>5</v>
      </c>
      <c r="H6" s="153"/>
      <c r="I6" s="8" t="str">
        <f t="shared" si="0"/>
        <v/>
      </c>
      <c r="J6" s="8" t="str">
        <f t="shared" si="1"/>
        <v/>
      </c>
      <c r="K6" s="8" t="str">
        <f t="shared" si="2"/>
        <v/>
      </c>
      <c r="L6" s="7" t="str">
        <f t="shared" si="3"/>
        <v/>
      </c>
      <c r="M6" s="7" t="s">
        <v>2761</v>
      </c>
      <c r="N6" s="7" t="s">
        <v>2762</v>
      </c>
      <c r="O6" s="7" t="s">
        <v>2763</v>
      </c>
      <c r="P6" s="7" t="s">
        <v>2764</v>
      </c>
      <c r="Q6" s="7" t="s">
        <v>2765</v>
      </c>
      <c r="R6" s="7" t="s">
        <v>2766</v>
      </c>
      <c r="S6" s="7" t="s">
        <v>2755</v>
      </c>
      <c r="T6" s="7" t="s">
        <v>2756</v>
      </c>
      <c r="U6" s="7"/>
      <c r="V6" s="7" t="s">
        <v>2767</v>
      </c>
      <c r="W6" s="14">
        <v>4</v>
      </c>
      <c r="X6" s="14">
        <v>5</v>
      </c>
      <c r="Y6" s="14">
        <v>5</v>
      </c>
      <c r="AA6" t="s">
        <v>1147</v>
      </c>
      <c r="AB6" s="13">
        <f>COUNTIF($B$5:$B$28,$AA6)</f>
        <v>6</v>
      </c>
      <c r="AC6" s="15">
        <f>IFERROR(SUMPRODUCT(($B$5:$B$28=$AA6)*($H$5:$H$28&lt;&gt;"")*($H$5:$H$28&lt;&gt;"N/A")*IFERROR(VALUE($H$5:$H$28),0))/SUMPRODUCT(($B$5:$B$28=$AA6)*($H$5:$H$28&lt;&gt;"")*($H$5:$H$28&lt;&gt;"N/A")),0)</f>
        <v>0</v>
      </c>
      <c r="AD6" s="16">
        <f>AC6/5</f>
        <v>0</v>
      </c>
      <c r="AE6" s="13">
        <f>COUNTIFS($B$5:$B$28,$AA6,$L$5:$L$28,"Critical")+COUNTIFS($B$5:$B$28,$AA6,$L$5:$L$28,"High")</f>
        <v>0</v>
      </c>
      <c r="AF6" s="15">
        <f>5-AC6</f>
        <v>5</v>
      </c>
      <c r="AG6" s="13">
        <f>COUNTIFS($B$5:$B$28,$AA6,$H$5:$H$28,"&lt;&gt;")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Profile'!$B$9,_TECH_Industry_Templates!$B:$B,"Finance Procurement"),"")</f>
        <v>3.5</v>
      </c>
      <c r="AO6" s="48" t="str">
        <f t="shared" si="6"/>
        <v/>
      </c>
      <c r="AP6" s="48">
        <f>IFERROR(SUMIFS(_TECH_Industry_Templates!$E:$E,_TECH_Industry_Templates!$A:$A,'Company Profile'!$B$9,_TECH_Industry_Templates!$B:$B,"Finance Procurement"),1)</f>
        <v>1</v>
      </c>
      <c r="AQ6" s="48" t="str">
        <f t="shared" si="7"/>
        <v/>
      </c>
      <c r="AR6" s="48" t="str">
        <f t="shared" si="8"/>
        <v/>
      </c>
      <c r="AS6" s="11">
        <f t="shared" si="9"/>
        <v>0</v>
      </c>
      <c r="AT6" s="11">
        <f t="shared" si="10"/>
        <v>0</v>
      </c>
    </row>
    <row r="7" spans="1:46" ht="71.25">
      <c r="A7" s="7" t="s">
        <v>2768</v>
      </c>
      <c r="B7" s="7" t="s">
        <v>1137</v>
      </c>
      <c r="C7" s="7" t="s">
        <v>2769</v>
      </c>
      <c r="D7" s="7" t="s">
        <v>2746</v>
      </c>
      <c r="E7" s="7" t="s">
        <v>2747</v>
      </c>
      <c r="F7" s="7" t="s">
        <v>2770</v>
      </c>
      <c r="G7" s="7">
        <v>3</v>
      </c>
      <c r="H7" s="153"/>
      <c r="I7" s="8" t="str">
        <f t="shared" si="0"/>
        <v/>
      </c>
      <c r="J7" s="8" t="str">
        <f t="shared" si="1"/>
        <v/>
      </c>
      <c r="K7" s="8" t="str">
        <f t="shared" si="2"/>
        <v/>
      </c>
      <c r="L7" s="7" t="str">
        <f t="shared" si="3"/>
        <v/>
      </c>
      <c r="M7" s="7" t="s">
        <v>2771</v>
      </c>
      <c r="N7" s="7" t="s">
        <v>2772</v>
      </c>
      <c r="O7" s="7" t="s">
        <v>2773</v>
      </c>
      <c r="P7" s="7" t="s">
        <v>2774</v>
      </c>
      <c r="Q7" s="7" t="s">
        <v>2775</v>
      </c>
      <c r="R7" s="7" t="s">
        <v>2776</v>
      </c>
      <c r="S7" s="7" t="s">
        <v>2755</v>
      </c>
      <c r="T7" s="7" t="s">
        <v>2756</v>
      </c>
      <c r="U7" s="7"/>
      <c r="V7" s="7" t="s">
        <v>2777</v>
      </c>
      <c r="W7" s="14">
        <v>4</v>
      </c>
      <c r="X7" s="14">
        <v>5</v>
      </c>
      <c r="Y7" s="14">
        <v>5</v>
      </c>
      <c r="AA7" t="s">
        <v>1158</v>
      </c>
      <c r="AB7" s="13">
        <f>COUNTIF($B$5:$B$28,$AA7)</f>
        <v>7</v>
      </c>
      <c r="AC7" s="15">
        <f>IFERROR(SUMPRODUCT(($B$5:$B$28=$AA7)*($H$5:$H$28&lt;&gt;"")*($H$5:$H$28&lt;&gt;"N/A")*IFERROR(VALUE($H$5:$H$28),0))/SUMPRODUCT(($B$5:$B$28=$AA7)*($H$5:$H$28&lt;&gt;"")*($H$5:$H$28&lt;&gt;"N/A")),0)</f>
        <v>0</v>
      </c>
      <c r="AD7" s="16">
        <f>AC7/5</f>
        <v>0</v>
      </c>
      <c r="AE7" s="13">
        <f>COUNTIFS($B$5:$B$28,$AA7,$L$5:$L$28,"Critical")+COUNTIFS($B$5:$B$28,$AA7,$L$5:$L$28,"High")</f>
        <v>0</v>
      </c>
      <c r="AF7" s="15">
        <f>5-AC7</f>
        <v>5</v>
      </c>
      <c r="AG7" s="13">
        <f>COUNTIFS($B$5:$B$28,$AA7,$H$5:$H$28,"&lt;&gt;")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Profile'!$B$9,_TECH_Industry_Templates!$B:$B,"Finance Procurement"),"")</f>
        <v>3.5</v>
      </c>
      <c r="AO7" s="48" t="str">
        <f t="shared" si="6"/>
        <v/>
      </c>
      <c r="AP7" s="48">
        <f>IFERROR(SUMIFS(_TECH_Industry_Templates!$E:$E,_TECH_Industry_Templates!$A:$A,'Company Profile'!$B$9,_TECH_Industry_Templates!$B:$B,"Finance Procurement"),1)</f>
        <v>1</v>
      </c>
      <c r="AQ7" s="48" t="str">
        <f t="shared" si="7"/>
        <v/>
      </c>
      <c r="AR7" s="48" t="str">
        <f t="shared" si="8"/>
        <v/>
      </c>
      <c r="AS7" s="11">
        <f t="shared" si="9"/>
        <v>0</v>
      </c>
      <c r="AT7" s="11">
        <f t="shared" si="10"/>
        <v>0</v>
      </c>
    </row>
    <row r="8" spans="1:46" ht="71.25">
      <c r="A8" s="7" t="s">
        <v>2778</v>
      </c>
      <c r="B8" s="7" t="s">
        <v>1137</v>
      </c>
      <c r="C8" s="7" t="s">
        <v>2779</v>
      </c>
      <c r="D8" s="7" t="s">
        <v>2746</v>
      </c>
      <c r="E8" s="7" t="s">
        <v>2747</v>
      </c>
      <c r="F8" s="7" t="s">
        <v>2780</v>
      </c>
      <c r="G8" s="7">
        <v>5</v>
      </c>
      <c r="H8" s="153"/>
      <c r="I8" s="8" t="str">
        <f t="shared" si="0"/>
        <v/>
      </c>
      <c r="J8" s="8" t="str">
        <f t="shared" si="1"/>
        <v/>
      </c>
      <c r="K8" s="8" t="str">
        <f t="shared" si="2"/>
        <v/>
      </c>
      <c r="L8" s="7" t="str">
        <f t="shared" si="3"/>
        <v/>
      </c>
      <c r="M8" s="7" t="s">
        <v>2781</v>
      </c>
      <c r="N8" s="7" t="s">
        <v>2782</v>
      </c>
      <c r="O8" s="7" t="s">
        <v>2783</v>
      </c>
      <c r="P8" s="7" t="s">
        <v>2784</v>
      </c>
      <c r="Q8" s="7" t="s">
        <v>2785</v>
      </c>
      <c r="R8" s="7" t="s">
        <v>2786</v>
      </c>
      <c r="S8" s="7" t="s">
        <v>2755</v>
      </c>
      <c r="T8" s="7" t="s">
        <v>2756</v>
      </c>
      <c r="U8" s="7"/>
      <c r="V8" s="7" t="s">
        <v>2787</v>
      </c>
      <c r="W8" s="14">
        <v>4</v>
      </c>
      <c r="X8" s="14">
        <v>5</v>
      </c>
      <c r="Y8" s="14">
        <v>5</v>
      </c>
      <c r="AA8" t="s">
        <v>1169</v>
      </c>
      <c r="AB8" s="13">
        <f>COUNTIF($B$5:$B$28,$AA8)</f>
        <v>5</v>
      </c>
      <c r="AC8" s="15">
        <f>IFERROR(SUMPRODUCT(($B$5:$B$28=$AA8)*($H$5:$H$28&lt;&gt;"")*($H$5:$H$28&lt;&gt;"N/A")*IFERROR(VALUE($H$5:$H$28),0))/SUMPRODUCT(($B$5:$B$28=$AA8)*($H$5:$H$28&lt;&gt;"")*($H$5:$H$28&lt;&gt;"N/A")),0)</f>
        <v>0</v>
      </c>
      <c r="AD8" s="16">
        <f>AC8/5</f>
        <v>0</v>
      </c>
      <c r="AE8" s="13">
        <f>COUNTIFS($B$5:$B$28,$AA8,$L$5:$L$28,"Critical")+COUNTIFS($B$5:$B$28,$AA8,$L$5:$L$28,"High")</f>
        <v>0</v>
      </c>
      <c r="AF8" s="15">
        <f>5-AC8</f>
        <v>5</v>
      </c>
      <c r="AG8" s="13">
        <f>COUNTIFS($B$5:$B$28,$AA8,$H$5:$H$28,"&lt;&gt;")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Profile'!$B$9,_TECH_Industry_Templates!$B:$B,"Finance Procurement"),"")</f>
        <v>3.5</v>
      </c>
      <c r="AO8" s="48" t="str">
        <f t="shared" si="6"/>
        <v/>
      </c>
      <c r="AP8" s="48">
        <f>IFERROR(SUMIFS(_TECH_Industry_Templates!$E:$E,_TECH_Industry_Templates!$A:$A,'Company Profile'!$B$9,_TECH_Industry_Templates!$B:$B,"Finance Procurement"),1)</f>
        <v>1</v>
      </c>
      <c r="AQ8" s="48" t="str">
        <f t="shared" si="7"/>
        <v/>
      </c>
      <c r="AR8" s="48" t="str">
        <f t="shared" si="8"/>
        <v/>
      </c>
      <c r="AS8" s="11">
        <f t="shared" si="9"/>
        <v>0</v>
      </c>
      <c r="AT8" s="11">
        <f t="shared" si="10"/>
        <v>0</v>
      </c>
    </row>
    <row r="9" spans="1:46" ht="57">
      <c r="A9" s="7" t="s">
        <v>2788</v>
      </c>
      <c r="B9" s="7" t="s">
        <v>1137</v>
      </c>
      <c r="C9" s="7" t="s">
        <v>2789</v>
      </c>
      <c r="D9" s="7" t="s">
        <v>2746</v>
      </c>
      <c r="E9" s="7" t="s">
        <v>2747</v>
      </c>
      <c r="F9" s="7" t="s">
        <v>2790</v>
      </c>
      <c r="G9" s="7">
        <v>3</v>
      </c>
      <c r="H9" s="153"/>
      <c r="I9" s="8" t="str">
        <f t="shared" si="0"/>
        <v/>
      </c>
      <c r="J9" s="8" t="str">
        <f t="shared" si="1"/>
        <v/>
      </c>
      <c r="K9" s="8" t="str">
        <f t="shared" si="2"/>
        <v/>
      </c>
      <c r="L9" s="7" t="str">
        <f t="shared" si="3"/>
        <v/>
      </c>
      <c r="M9" s="7" t="s">
        <v>2791</v>
      </c>
      <c r="N9" s="7" t="s">
        <v>2792</v>
      </c>
      <c r="O9" s="7" t="s">
        <v>2793</v>
      </c>
      <c r="P9" s="7" t="s">
        <v>2794</v>
      </c>
      <c r="Q9" s="7" t="s">
        <v>2795</v>
      </c>
      <c r="R9" s="7" t="s">
        <v>2796</v>
      </c>
      <c r="S9" s="7" t="s">
        <v>2755</v>
      </c>
      <c r="T9" s="7" t="s">
        <v>2756</v>
      </c>
      <c r="U9" s="7"/>
      <c r="V9" s="7" t="s">
        <v>2797</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Profile'!$B$9,_TECH_Industry_Templates!$B:$B,"Finance Procurement"),"")</f>
        <v>3.5</v>
      </c>
      <c r="AO9" s="48" t="str">
        <f t="shared" si="6"/>
        <v/>
      </c>
      <c r="AP9" s="48">
        <f>IFERROR(SUMIFS(_TECH_Industry_Templates!$E:$E,_TECH_Industry_Templates!$A:$A,'Company Profile'!$B$9,_TECH_Industry_Templates!$B:$B,"Finance Procurement"),1)</f>
        <v>1</v>
      </c>
      <c r="AQ9" s="48" t="str">
        <f t="shared" si="7"/>
        <v/>
      </c>
      <c r="AR9" s="48" t="str">
        <f t="shared" si="8"/>
        <v/>
      </c>
      <c r="AS9" s="11">
        <f t="shared" si="9"/>
        <v>0</v>
      </c>
      <c r="AT9" s="11">
        <f t="shared" si="10"/>
        <v>0</v>
      </c>
    </row>
    <row r="10" spans="1:46" ht="71.25">
      <c r="A10" s="7" t="s">
        <v>2798</v>
      </c>
      <c r="B10" s="7" t="s">
        <v>1137</v>
      </c>
      <c r="C10" s="7" t="s">
        <v>2799</v>
      </c>
      <c r="D10" s="7" t="s">
        <v>2746</v>
      </c>
      <c r="E10" s="7" t="s">
        <v>2747</v>
      </c>
      <c r="F10" s="7" t="s">
        <v>2800</v>
      </c>
      <c r="G10" s="7">
        <v>5</v>
      </c>
      <c r="H10" s="153"/>
      <c r="I10" s="8" t="str">
        <f t="shared" si="0"/>
        <v/>
      </c>
      <c r="J10" s="8" t="str">
        <f t="shared" si="1"/>
        <v/>
      </c>
      <c r="K10" s="8" t="str">
        <f t="shared" si="2"/>
        <v/>
      </c>
      <c r="L10" s="7" t="str">
        <f t="shared" si="3"/>
        <v/>
      </c>
      <c r="M10" s="7" t="s">
        <v>2801</v>
      </c>
      <c r="N10" s="7" t="s">
        <v>2802</v>
      </c>
      <c r="O10" s="7" t="s">
        <v>2803</v>
      </c>
      <c r="P10" s="7" t="s">
        <v>2804</v>
      </c>
      <c r="Q10" s="7" t="s">
        <v>2805</v>
      </c>
      <c r="R10" s="7" t="s">
        <v>2806</v>
      </c>
      <c r="S10" s="7" t="s">
        <v>2755</v>
      </c>
      <c r="T10" s="7" t="s">
        <v>2756</v>
      </c>
      <c r="U10" s="7"/>
      <c r="V10" s="7" t="s">
        <v>2807</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Profile'!$B$9,_TECH_Industry_Templates!$B:$B,"Finance Procurement"),"")</f>
        <v>3.5</v>
      </c>
      <c r="AO10" s="48" t="str">
        <f t="shared" si="6"/>
        <v/>
      </c>
      <c r="AP10" s="48">
        <f>IFERROR(SUMIFS(_TECH_Industry_Templates!$E:$E,_TECH_Industry_Templates!$A:$A,'Company Profile'!$B$9,_TECH_Industry_Templates!$B:$B,"Finance Procurement"),1)</f>
        <v>1</v>
      </c>
      <c r="AQ10" s="48" t="str">
        <f t="shared" si="7"/>
        <v/>
      </c>
      <c r="AR10" s="48" t="str">
        <f t="shared" si="8"/>
        <v/>
      </c>
      <c r="AS10" s="11">
        <f t="shared" si="9"/>
        <v>0</v>
      </c>
      <c r="AT10" s="11">
        <f t="shared" si="10"/>
        <v>0</v>
      </c>
    </row>
    <row r="11" spans="1:46" ht="71.25">
      <c r="A11" s="7" t="s">
        <v>2808</v>
      </c>
      <c r="B11" s="7" t="s">
        <v>1147</v>
      </c>
      <c r="C11" s="7" t="s">
        <v>2809</v>
      </c>
      <c r="D11" s="7" t="s">
        <v>2746</v>
      </c>
      <c r="E11" s="7" t="s">
        <v>2747</v>
      </c>
      <c r="F11" s="7" t="s">
        <v>2810</v>
      </c>
      <c r="G11" s="7">
        <v>3</v>
      </c>
      <c r="H11" s="153"/>
      <c r="I11" s="8" t="str">
        <f t="shared" si="0"/>
        <v/>
      </c>
      <c r="J11" s="8" t="str">
        <f t="shared" si="1"/>
        <v/>
      </c>
      <c r="K11" s="8" t="str">
        <f t="shared" si="2"/>
        <v/>
      </c>
      <c r="L11" s="7" t="str">
        <f t="shared" si="3"/>
        <v/>
      </c>
      <c r="M11" s="7" t="s">
        <v>2811</v>
      </c>
      <c r="N11" s="7" t="s">
        <v>2812</v>
      </c>
      <c r="O11" s="7" t="s">
        <v>2813</v>
      </c>
      <c r="P11" s="7" t="s">
        <v>2814</v>
      </c>
      <c r="Q11" s="7" t="s">
        <v>2815</v>
      </c>
      <c r="R11" s="7" t="s">
        <v>2816</v>
      </c>
      <c r="S11" s="7" t="s">
        <v>2755</v>
      </c>
      <c r="T11" s="7" t="s">
        <v>2756</v>
      </c>
      <c r="U11" s="7"/>
      <c r="V11" s="7" t="s">
        <v>2817</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Profile'!$B$9,_TECH_Industry_Templates!$B:$B,"Finance Procurement"),"")</f>
        <v>3.5</v>
      </c>
      <c r="AO11" s="48" t="str">
        <f t="shared" si="6"/>
        <v/>
      </c>
      <c r="AP11" s="48">
        <f>IFERROR(SUMIFS(_TECH_Industry_Templates!$E:$E,_TECH_Industry_Templates!$A:$A,'Company Profile'!$B$9,_TECH_Industry_Templates!$B:$B,"Finance Procurement"),1)</f>
        <v>1</v>
      </c>
      <c r="AQ11" s="48" t="str">
        <f t="shared" si="7"/>
        <v/>
      </c>
      <c r="AR11" s="48" t="str">
        <f t="shared" si="8"/>
        <v/>
      </c>
      <c r="AS11" s="11">
        <f t="shared" si="9"/>
        <v>0</v>
      </c>
      <c r="AT11" s="11">
        <f t="shared" si="10"/>
        <v>0</v>
      </c>
    </row>
    <row r="12" spans="1:46" ht="57">
      <c r="A12" s="7" t="s">
        <v>2818</v>
      </c>
      <c r="B12" s="7" t="s">
        <v>1147</v>
      </c>
      <c r="C12" s="7" t="s">
        <v>2819</v>
      </c>
      <c r="D12" s="7" t="s">
        <v>2746</v>
      </c>
      <c r="E12" s="7" t="s">
        <v>2747</v>
      </c>
      <c r="F12" s="7" t="s">
        <v>2820</v>
      </c>
      <c r="G12" s="7">
        <v>5</v>
      </c>
      <c r="H12" s="153"/>
      <c r="I12" s="8" t="str">
        <f t="shared" si="0"/>
        <v/>
      </c>
      <c r="J12" s="8" t="str">
        <f t="shared" si="1"/>
        <v/>
      </c>
      <c r="K12" s="8" t="str">
        <f t="shared" si="2"/>
        <v/>
      </c>
      <c r="L12" s="7" t="str">
        <f t="shared" si="3"/>
        <v/>
      </c>
      <c r="M12" s="7" t="s">
        <v>2821</v>
      </c>
      <c r="N12" s="7" t="s">
        <v>2822</v>
      </c>
      <c r="O12" s="7" t="s">
        <v>2823</v>
      </c>
      <c r="P12" s="7" t="s">
        <v>2824</v>
      </c>
      <c r="Q12" s="7" t="s">
        <v>2825</v>
      </c>
      <c r="R12" s="7" t="s">
        <v>2826</v>
      </c>
      <c r="S12" s="7" t="s">
        <v>2755</v>
      </c>
      <c r="T12" s="7" t="s">
        <v>2756</v>
      </c>
      <c r="U12" s="7"/>
      <c r="V12" s="7" t="s">
        <v>2827</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Profile'!$B$9,_TECH_Industry_Templates!$B:$B,"Finance Procurement"),"")</f>
        <v>3.5</v>
      </c>
      <c r="AO12" s="48" t="str">
        <f t="shared" si="6"/>
        <v/>
      </c>
      <c r="AP12" s="48">
        <f>IFERROR(SUMIFS(_TECH_Industry_Templates!$E:$E,_TECH_Industry_Templates!$A:$A,'Company Profile'!$B$9,_TECH_Industry_Templates!$B:$B,"Finance Procurement"),1)</f>
        <v>1</v>
      </c>
      <c r="AQ12" s="48" t="str">
        <f t="shared" si="7"/>
        <v/>
      </c>
      <c r="AR12" s="48" t="str">
        <f t="shared" si="8"/>
        <v/>
      </c>
      <c r="AS12" s="11">
        <f t="shared" si="9"/>
        <v>0</v>
      </c>
      <c r="AT12" s="11">
        <f t="shared" si="10"/>
        <v>0</v>
      </c>
    </row>
    <row r="13" spans="1:46" ht="71.25">
      <c r="A13" s="7" t="s">
        <v>2828</v>
      </c>
      <c r="B13" s="7" t="s">
        <v>1147</v>
      </c>
      <c r="C13" s="7" t="s">
        <v>2829</v>
      </c>
      <c r="D13" s="7" t="s">
        <v>2746</v>
      </c>
      <c r="E13" s="7" t="s">
        <v>2747</v>
      </c>
      <c r="F13" s="7" t="s">
        <v>2830</v>
      </c>
      <c r="G13" s="7">
        <v>5</v>
      </c>
      <c r="H13" s="153"/>
      <c r="I13" s="8" t="str">
        <f t="shared" si="0"/>
        <v/>
      </c>
      <c r="J13" s="8" t="str">
        <f t="shared" si="1"/>
        <v/>
      </c>
      <c r="K13" s="8" t="str">
        <f t="shared" si="2"/>
        <v/>
      </c>
      <c r="L13" s="7" t="str">
        <f t="shared" si="3"/>
        <v/>
      </c>
      <c r="M13" s="7" t="s">
        <v>2831</v>
      </c>
      <c r="N13" s="7" t="s">
        <v>2832</v>
      </c>
      <c r="O13" s="7" t="s">
        <v>2833</v>
      </c>
      <c r="P13" s="7" t="s">
        <v>2834</v>
      </c>
      <c r="Q13" s="7" t="s">
        <v>2835</v>
      </c>
      <c r="R13" s="7" t="s">
        <v>2836</v>
      </c>
      <c r="S13" s="7" t="s">
        <v>2755</v>
      </c>
      <c r="T13" s="7" t="s">
        <v>2756</v>
      </c>
      <c r="U13" s="7"/>
      <c r="V13" s="7" t="s">
        <v>2837</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Profile'!$B$9,_TECH_Industry_Templates!$B:$B,"Finance Procurement"),"")</f>
        <v>3.5</v>
      </c>
      <c r="AO13" s="48" t="str">
        <f t="shared" si="6"/>
        <v/>
      </c>
      <c r="AP13" s="48">
        <f>IFERROR(SUMIFS(_TECH_Industry_Templates!$E:$E,_TECH_Industry_Templates!$A:$A,'Company Profile'!$B$9,_TECH_Industry_Templates!$B:$B,"Finance Procurement"),1)</f>
        <v>1</v>
      </c>
      <c r="AQ13" s="48" t="str">
        <f t="shared" si="7"/>
        <v/>
      </c>
      <c r="AR13" s="48" t="str">
        <f t="shared" si="8"/>
        <v/>
      </c>
      <c r="AS13" s="11">
        <f t="shared" si="9"/>
        <v>0</v>
      </c>
      <c r="AT13" s="11">
        <f t="shared" si="10"/>
        <v>0</v>
      </c>
    </row>
    <row r="14" spans="1:46" ht="71.25">
      <c r="A14" s="7" t="s">
        <v>2838</v>
      </c>
      <c r="B14" s="7" t="s">
        <v>1147</v>
      </c>
      <c r="C14" s="7" t="s">
        <v>2839</v>
      </c>
      <c r="D14" s="7" t="s">
        <v>2746</v>
      </c>
      <c r="E14" s="7" t="s">
        <v>2747</v>
      </c>
      <c r="F14" s="7" t="s">
        <v>2840</v>
      </c>
      <c r="G14" s="7">
        <v>5</v>
      </c>
      <c r="H14" s="153"/>
      <c r="I14" s="8" t="str">
        <f t="shared" si="0"/>
        <v/>
      </c>
      <c r="J14" s="8" t="str">
        <f t="shared" si="1"/>
        <v/>
      </c>
      <c r="K14" s="8" t="str">
        <f t="shared" si="2"/>
        <v/>
      </c>
      <c r="L14" s="7" t="str">
        <f t="shared" si="3"/>
        <v/>
      </c>
      <c r="M14" s="7" t="s">
        <v>2841</v>
      </c>
      <c r="N14" s="7" t="s">
        <v>2842</v>
      </c>
      <c r="O14" s="7" t="s">
        <v>2843</v>
      </c>
      <c r="P14" s="7" t="s">
        <v>2844</v>
      </c>
      <c r="Q14" s="7" t="s">
        <v>2845</v>
      </c>
      <c r="R14" s="7" t="s">
        <v>2846</v>
      </c>
      <c r="S14" s="7" t="s">
        <v>2755</v>
      </c>
      <c r="T14" s="7" t="s">
        <v>2756</v>
      </c>
      <c r="U14" s="7"/>
      <c r="V14" s="7" t="s">
        <v>2847</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Profile'!$B$9,_TECH_Industry_Templates!$B:$B,"Finance Procurement"),"")</f>
        <v>3.5</v>
      </c>
      <c r="AO14" s="48" t="str">
        <f t="shared" si="6"/>
        <v/>
      </c>
      <c r="AP14" s="48">
        <f>IFERROR(SUMIFS(_TECH_Industry_Templates!$E:$E,_TECH_Industry_Templates!$A:$A,'Company Profile'!$B$9,_TECH_Industry_Templates!$B:$B,"Finance Procurement"),1)</f>
        <v>1</v>
      </c>
      <c r="AQ14" s="48" t="str">
        <f t="shared" si="7"/>
        <v/>
      </c>
      <c r="AR14" s="48" t="str">
        <f t="shared" si="8"/>
        <v/>
      </c>
      <c r="AS14" s="11">
        <f t="shared" si="9"/>
        <v>0</v>
      </c>
      <c r="AT14" s="11">
        <f t="shared" si="10"/>
        <v>0</v>
      </c>
    </row>
    <row r="15" spans="1:46" ht="71.25">
      <c r="A15" s="7" t="s">
        <v>2848</v>
      </c>
      <c r="B15" s="7" t="s">
        <v>1147</v>
      </c>
      <c r="C15" s="7" t="s">
        <v>2849</v>
      </c>
      <c r="D15" s="7" t="s">
        <v>2746</v>
      </c>
      <c r="E15" s="7" t="s">
        <v>2747</v>
      </c>
      <c r="F15" s="7" t="s">
        <v>2850</v>
      </c>
      <c r="G15" s="7">
        <v>5</v>
      </c>
      <c r="H15" s="153"/>
      <c r="I15" s="8" t="str">
        <f t="shared" si="0"/>
        <v/>
      </c>
      <c r="J15" s="8" t="str">
        <f t="shared" si="1"/>
        <v/>
      </c>
      <c r="K15" s="8" t="str">
        <f t="shared" si="2"/>
        <v/>
      </c>
      <c r="L15" s="7" t="str">
        <f t="shared" si="3"/>
        <v/>
      </c>
      <c r="M15" s="7" t="s">
        <v>2851</v>
      </c>
      <c r="N15" s="7" t="s">
        <v>2852</v>
      </c>
      <c r="O15" s="7" t="s">
        <v>2853</v>
      </c>
      <c r="P15" s="7" t="s">
        <v>2854</v>
      </c>
      <c r="Q15" s="7" t="s">
        <v>2855</v>
      </c>
      <c r="R15" s="7" t="s">
        <v>2856</v>
      </c>
      <c r="S15" s="7" t="s">
        <v>2755</v>
      </c>
      <c r="T15" s="7" t="s">
        <v>2756</v>
      </c>
      <c r="U15" s="7"/>
      <c r="V15" s="7" t="s">
        <v>2857</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Profile'!$B$9,_TECH_Industry_Templates!$B:$B,"Finance Procurement"),"")</f>
        <v>3.5</v>
      </c>
      <c r="AO15" s="48" t="str">
        <f t="shared" si="6"/>
        <v/>
      </c>
      <c r="AP15" s="48">
        <f>IFERROR(SUMIFS(_TECH_Industry_Templates!$E:$E,_TECH_Industry_Templates!$A:$A,'Company Profile'!$B$9,_TECH_Industry_Templates!$B:$B,"Finance Procurement"),1)</f>
        <v>1</v>
      </c>
      <c r="AQ15" s="48" t="str">
        <f t="shared" si="7"/>
        <v/>
      </c>
      <c r="AR15" s="48" t="str">
        <f t="shared" si="8"/>
        <v/>
      </c>
      <c r="AS15" s="11">
        <f t="shared" si="9"/>
        <v>0</v>
      </c>
      <c r="AT15" s="11">
        <f t="shared" si="10"/>
        <v>0</v>
      </c>
    </row>
    <row r="16" spans="1:46" ht="71.25">
      <c r="A16" s="7" t="s">
        <v>2858</v>
      </c>
      <c r="B16" s="7" t="s">
        <v>1147</v>
      </c>
      <c r="C16" s="7" t="s">
        <v>2859</v>
      </c>
      <c r="D16" s="7" t="s">
        <v>2746</v>
      </c>
      <c r="E16" s="7" t="s">
        <v>2747</v>
      </c>
      <c r="F16" s="7" t="s">
        <v>2860</v>
      </c>
      <c r="G16" s="7">
        <v>4</v>
      </c>
      <c r="H16" s="153"/>
      <c r="I16" s="8" t="str">
        <f t="shared" si="0"/>
        <v/>
      </c>
      <c r="J16" s="8" t="str">
        <f t="shared" si="1"/>
        <v/>
      </c>
      <c r="K16" s="8" t="str">
        <f t="shared" si="2"/>
        <v/>
      </c>
      <c r="L16" s="7" t="str">
        <f t="shared" si="3"/>
        <v/>
      </c>
      <c r="M16" s="7" t="s">
        <v>2861</v>
      </c>
      <c r="N16" s="7" t="s">
        <v>2862</v>
      </c>
      <c r="O16" s="7" t="s">
        <v>2863</v>
      </c>
      <c r="P16" s="7" t="s">
        <v>2864</v>
      </c>
      <c r="Q16" s="7" t="s">
        <v>2865</v>
      </c>
      <c r="R16" s="7" t="s">
        <v>2866</v>
      </c>
      <c r="S16" s="7" t="s">
        <v>2755</v>
      </c>
      <c r="T16" s="7" t="s">
        <v>2756</v>
      </c>
      <c r="U16" s="7"/>
      <c r="V16" s="7" t="s">
        <v>2867</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Profile'!$B$9,_TECH_Industry_Templates!$B:$B,"Finance Procurement"),"")</f>
        <v>3.5</v>
      </c>
      <c r="AO16" s="48" t="str">
        <f t="shared" si="6"/>
        <v/>
      </c>
      <c r="AP16" s="48">
        <f>IFERROR(SUMIFS(_TECH_Industry_Templates!$E:$E,_TECH_Industry_Templates!$A:$A,'Company Profile'!$B$9,_TECH_Industry_Templates!$B:$B,"Finance Procurement"),1)</f>
        <v>1</v>
      </c>
      <c r="AQ16" s="48" t="str">
        <f t="shared" si="7"/>
        <v/>
      </c>
      <c r="AR16" s="48" t="str">
        <f t="shared" si="8"/>
        <v/>
      </c>
      <c r="AS16" s="11">
        <f t="shared" si="9"/>
        <v>0</v>
      </c>
      <c r="AT16" s="11">
        <f t="shared" si="10"/>
        <v>0</v>
      </c>
    </row>
    <row r="17" spans="1:46" ht="71.25">
      <c r="A17" s="7" t="s">
        <v>2868</v>
      </c>
      <c r="B17" s="7" t="s">
        <v>1158</v>
      </c>
      <c r="C17" s="7" t="s">
        <v>2869</v>
      </c>
      <c r="D17" s="7" t="s">
        <v>2746</v>
      </c>
      <c r="E17" s="7" t="s">
        <v>2747</v>
      </c>
      <c r="F17" s="7" t="s">
        <v>2870</v>
      </c>
      <c r="G17" s="7">
        <v>3</v>
      </c>
      <c r="H17" s="153"/>
      <c r="I17" s="8" t="str">
        <f t="shared" si="0"/>
        <v/>
      </c>
      <c r="J17" s="8" t="str">
        <f t="shared" si="1"/>
        <v/>
      </c>
      <c r="K17" s="8" t="str">
        <f t="shared" si="2"/>
        <v/>
      </c>
      <c r="L17" s="7" t="str">
        <f t="shared" si="3"/>
        <v/>
      </c>
      <c r="M17" s="7" t="s">
        <v>2871</v>
      </c>
      <c r="N17" s="7" t="s">
        <v>2872</v>
      </c>
      <c r="O17" s="7" t="s">
        <v>2873</v>
      </c>
      <c r="P17" s="7" t="s">
        <v>2874</v>
      </c>
      <c r="Q17" s="7" t="s">
        <v>2875</v>
      </c>
      <c r="R17" s="7" t="s">
        <v>2876</v>
      </c>
      <c r="S17" s="7" t="s">
        <v>2755</v>
      </c>
      <c r="T17" s="7" t="s">
        <v>2756</v>
      </c>
      <c r="U17" s="7"/>
      <c r="V17" s="7" t="s">
        <v>2877</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Profile'!$B$9,_TECH_Industry_Templates!$B:$B,"Finance Procurement"),"")</f>
        <v>3.5</v>
      </c>
      <c r="AO17" s="48" t="str">
        <f t="shared" si="6"/>
        <v/>
      </c>
      <c r="AP17" s="48">
        <f>IFERROR(SUMIFS(_TECH_Industry_Templates!$E:$E,_TECH_Industry_Templates!$A:$A,'Company Profile'!$B$9,_TECH_Industry_Templates!$B:$B,"Finance Procurement"),1)</f>
        <v>1</v>
      </c>
      <c r="AQ17" s="48" t="str">
        <f t="shared" si="7"/>
        <v/>
      </c>
      <c r="AR17" s="48" t="str">
        <f t="shared" si="8"/>
        <v/>
      </c>
      <c r="AS17" s="11">
        <f t="shared" si="9"/>
        <v>0</v>
      </c>
      <c r="AT17" s="11">
        <f t="shared" si="10"/>
        <v>0</v>
      </c>
    </row>
    <row r="18" spans="1:46" ht="71.25">
      <c r="A18" s="7" t="s">
        <v>2878</v>
      </c>
      <c r="B18" s="7" t="s">
        <v>1158</v>
      </c>
      <c r="C18" s="7" t="s">
        <v>2879</v>
      </c>
      <c r="D18" s="7" t="s">
        <v>2746</v>
      </c>
      <c r="E18" s="7" t="s">
        <v>2747</v>
      </c>
      <c r="F18" s="7" t="s">
        <v>2880</v>
      </c>
      <c r="G18" s="7">
        <v>5</v>
      </c>
      <c r="H18" s="153"/>
      <c r="I18" s="8" t="str">
        <f t="shared" si="0"/>
        <v/>
      </c>
      <c r="J18" s="8" t="str">
        <f t="shared" si="1"/>
        <v/>
      </c>
      <c r="K18" s="8" t="str">
        <f t="shared" si="2"/>
        <v/>
      </c>
      <c r="L18" s="7" t="str">
        <f t="shared" si="3"/>
        <v/>
      </c>
      <c r="M18" s="7" t="s">
        <v>2881</v>
      </c>
      <c r="N18" s="7" t="s">
        <v>2882</v>
      </c>
      <c r="O18" s="7" t="s">
        <v>2883</v>
      </c>
      <c r="P18" s="7" t="s">
        <v>2884</v>
      </c>
      <c r="Q18" s="7" t="s">
        <v>2885</v>
      </c>
      <c r="R18" s="7" t="s">
        <v>2886</v>
      </c>
      <c r="S18" s="7" t="s">
        <v>2755</v>
      </c>
      <c r="T18" s="7" t="s">
        <v>2756</v>
      </c>
      <c r="U18" s="7"/>
      <c r="V18" s="7" t="s">
        <v>2887</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Profile'!$B$9,_TECH_Industry_Templates!$B:$B,"Finance Procurement"),"")</f>
        <v>3.5</v>
      </c>
      <c r="AO18" s="48" t="str">
        <f t="shared" si="6"/>
        <v/>
      </c>
      <c r="AP18" s="48">
        <f>IFERROR(SUMIFS(_TECH_Industry_Templates!$E:$E,_TECH_Industry_Templates!$A:$A,'Company Profile'!$B$9,_TECH_Industry_Templates!$B:$B,"Finance Procurement"),1)</f>
        <v>1</v>
      </c>
      <c r="AQ18" s="48" t="str">
        <f t="shared" si="7"/>
        <v/>
      </c>
      <c r="AR18" s="48" t="str">
        <f t="shared" si="8"/>
        <v/>
      </c>
      <c r="AS18" s="11">
        <f t="shared" si="9"/>
        <v>0</v>
      </c>
      <c r="AT18" s="11">
        <f t="shared" si="10"/>
        <v>0</v>
      </c>
    </row>
    <row r="19" spans="1:46" ht="57">
      <c r="A19" s="7" t="s">
        <v>2888</v>
      </c>
      <c r="B19" s="7" t="s">
        <v>1158</v>
      </c>
      <c r="C19" s="7" t="s">
        <v>2889</v>
      </c>
      <c r="D19" s="7" t="s">
        <v>2746</v>
      </c>
      <c r="E19" s="7" t="s">
        <v>2747</v>
      </c>
      <c r="F19" s="7" t="s">
        <v>2890</v>
      </c>
      <c r="G19" s="7">
        <v>5</v>
      </c>
      <c r="H19" s="153"/>
      <c r="I19" s="8" t="str">
        <f t="shared" si="0"/>
        <v/>
      </c>
      <c r="J19" s="8" t="str">
        <f t="shared" si="1"/>
        <v/>
      </c>
      <c r="K19" s="8" t="str">
        <f t="shared" si="2"/>
        <v/>
      </c>
      <c r="L19" s="7" t="str">
        <f t="shared" si="3"/>
        <v/>
      </c>
      <c r="M19" s="7" t="s">
        <v>2891</v>
      </c>
      <c r="N19" s="7" t="s">
        <v>2892</v>
      </c>
      <c r="O19" s="7" t="s">
        <v>2893</v>
      </c>
      <c r="P19" s="7" t="s">
        <v>2894</v>
      </c>
      <c r="Q19" s="7" t="s">
        <v>2895</v>
      </c>
      <c r="R19" s="7" t="s">
        <v>2896</v>
      </c>
      <c r="S19" s="7" t="s">
        <v>2755</v>
      </c>
      <c r="T19" s="7" t="s">
        <v>2756</v>
      </c>
      <c r="U19" s="7"/>
      <c r="V19" s="7" t="s">
        <v>2897</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Profile'!$B$9,_TECH_Industry_Templates!$B:$B,"Finance Procurement"),"")</f>
        <v>3.5</v>
      </c>
      <c r="AO19" s="48" t="str">
        <f t="shared" si="6"/>
        <v/>
      </c>
      <c r="AP19" s="48">
        <f>IFERROR(SUMIFS(_TECH_Industry_Templates!$E:$E,_TECH_Industry_Templates!$A:$A,'Company Profile'!$B$9,_TECH_Industry_Templates!$B:$B,"Finance Procurement"),1)</f>
        <v>1</v>
      </c>
      <c r="AQ19" s="48" t="str">
        <f t="shared" si="7"/>
        <v/>
      </c>
      <c r="AR19" s="48" t="str">
        <f t="shared" si="8"/>
        <v/>
      </c>
      <c r="AS19" s="11">
        <f t="shared" si="9"/>
        <v>0</v>
      </c>
      <c r="AT19" s="11">
        <f t="shared" si="10"/>
        <v>0</v>
      </c>
    </row>
    <row r="20" spans="1:46" ht="71.25">
      <c r="A20" s="7" t="s">
        <v>2898</v>
      </c>
      <c r="B20" s="7" t="s">
        <v>1158</v>
      </c>
      <c r="C20" s="7" t="s">
        <v>2899</v>
      </c>
      <c r="D20" s="7" t="s">
        <v>2746</v>
      </c>
      <c r="E20" s="7" t="s">
        <v>2747</v>
      </c>
      <c r="F20" s="7" t="s">
        <v>2900</v>
      </c>
      <c r="G20" s="7">
        <v>5</v>
      </c>
      <c r="H20" s="153"/>
      <c r="I20" s="8" t="str">
        <f t="shared" si="0"/>
        <v/>
      </c>
      <c r="J20" s="8" t="str">
        <f t="shared" si="1"/>
        <v/>
      </c>
      <c r="K20" s="8" t="str">
        <f t="shared" si="2"/>
        <v/>
      </c>
      <c r="L20" s="7" t="str">
        <f t="shared" si="3"/>
        <v/>
      </c>
      <c r="M20" s="7" t="s">
        <v>2901</v>
      </c>
      <c r="N20" s="7" t="s">
        <v>2902</v>
      </c>
      <c r="O20" s="7" t="s">
        <v>2903</v>
      </c>
      <c r="P20" s="7" t="s">
        <v>2904</v>
      </c>
      <c r="Q20" s="7" t="s">
        <v>2905</v>
      </c>
      <c r="R20" s="7" t="s">
        <v>2906</v>
      </c>
      <c r="S20" s="7" t="s">
        <v>2755</v>
      </c>
      <c r="T20" s="7" t="s">
        <v>2756</v>
      </c>
      <c r="U20" s="7"/>
      <c r="V20" s="7" t="s">
        <v>2907</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Profile'!$B$9,_TECH_Industry_Templates!$B:$B,"Finance Procurement"),"")</f>
        <v>3.5</v>
      </c>
      <c r="AO20" s="48" t="str">
        <f t="shared" si="6"/>
        <v/>
      </c>
      <c r="AP20" s="48">
        <f>IFERROR(SUMIFS(_TECH_Industry_Templates!$E:$E,_TECH_Industry_Templates!$A:$A,'Company Profile'!$B$9,_TECH_Industry_Templates!$B:$B,"Finance Procurement"),1)</f>
        <v>1</v>
      </c>
      <c r="AQ20" s="48" t="str">
        <f t="shared" si="7"/>
        <v/>
      </c>
      <c r="AR20" s="48" t="str">
        <f t="shared" si="8"/>
        <v/>
      </c>
      <c r="AS20" s="11">
        <f t="shared" si="9"/>
        <v>0</v>
      </c>
      <c r="AT20" s="11">
        <f t="shared" si="10"/>
        <v>0</v>
      </c>
    </row>
    <row r="21" spans="1:46" ht="71.25">
      <c r="A21" s="7" t="s">
        <v>2908</v>
      </c>
      <c r="B21" s="7" t="s">
        <v>1158</v>
      </c>
      <c r="C21" s="7" t="s">
        <v>2909</v>
      </c>
      <c r="D21" s="7" t="s">
        <v>2746</v>
      </c>
      <c r="E21" s="7" t="s">
        <v>2747</v>
      </c>
      <c r="F21" s="7" t="s">
        <v>2910</v>
      </c>
      <c r="G21" s="7">
        <v>5</v>
      </c>
      <c r="H21" s="153"/>
      <c r="I21" s="8" t="str">
        <f t="shared" si="0"/>
        <v/>
      </c>
      <c r="J21" s="8" t="str">
        <f t="shared" si="1"/>
        <v/>
      </c>
      <c r="K21" s="8" t="str">
        <f t="shared" si="2"/>
        <v/>
      </c>
      <c r="L21" s="7" t="str">
        <f t="shared" si="3"/>
        <v/>
      </c>
      <c r="M21" s="7" t="s">
        <v>2911</v>
      </c>
      <c r="N21" s="7" t="s">
        <v>2912</v>
      </c>
      <c r="O21" s="7" t="s">
        <v>2913</v>
      </c>
      <c r="P21" s="7" t="s">
        <v>2914</v>
      </c>
      <c r="Q21" s="7" t="s">
        <v>2915</v>
      </c>
      <c r="R21" s="7" t="s">
        <v>2916</v>
      </c>
      <c r="S21" s="7" t="s">
        <v>2755</v>
      </c>
      <c r="T21" s="7" t="s">
        <v>2756</v>
      </c>
      <c r="U21" s="7"/>
      <c r="V21" s="7" t="s">
        <v>2917</v>
      </c>
      <c r="W21" s="14">
        <v>5</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Profile'!$B$9,_TECH_Industry_Templates!$B:$B,"Finance Procurement"),"")</f>
        <v>3.5</v>
      </c>
      <c r="AO21" s="48" t="str">
        <f t="shared" si="6"/>
        <v/>
      </c>
      <c r="AP21" s="48">
        <f>IFERROR(SUMIFS(_TECH_Industry_Templates!$E:$E,_TECH_Industry_Templates!$A:$A,'Company Profile'!$B$9,_TECH_Industry_Templates!$B:$B,"Finance Procurement"),1)</f>
        <v>1</v>
      </c>
      <c r="AQ21" s="48" t="str">
        <f t="shared" si="7"/>
        <v/>
      </c>
      <c r="AR21" s="48" t="str">
        <f t="shared" si="8"/>
        <v/>
      </c>
      <c r="AS21" s="11">
        <f t="shared" si="9"/>
        <v>0</v>
      </c>
      <c r="AT21" s="11">
        <f t="shared" si="10"/>
        <v>0</v>
      </c>
    </row>
    <row r="22" spans="1:46" ht="71.25">
      <c r="A22" s="7" t="s">
        <v>2918</v>
      </c>
      <c r="B22" s="7" t="s">
        <v>1158</v>
      </c>
      <c r="C22" s="7" t="s">
        <v>2919</v>
      </c>
      <c r="D22" s="7" t="s">
        <v>2746</v>
      </c>
      <c r="E22" s="7" t="s">
        <v>2747</v>
      </c>
      <c r="F22" s="7" t="s">
        <v>2920</v>
      </c>
      <c r="G22" s="7">
        <v>3</v>
      </c>
      <c r="H22" s="153"/>
      <c r="I22" s="8" t="str">
        <f t="shared" si="0"/>
        <v/>
      </c>
      <c r="J22" s="8" t="str">
        <f t="shared" si="1"/>
        <v/>
      </c>
      <c r="K22" s="8" t="str">
        <f t="shared" si="2"/>
        <v/>
      </c>
      <c r="L22" s="7" t="str">
        <f t="shared" si="3"/>
        <v/>
      </c>
      <c r="M22" s="7" t="s">
        <v>2921</v>
      </c>
      <c r="N22" s="7" t="s">
        <v>2922</v>
      </c>
      <c r="O22" s="7" t="s">
        <v>2923</v>
      </c>
      <c r="P22" s="7" t="s">
        <v>2924</v>
      </c>
      <c r="Q22" s="7" t="s">
        <v>2925</v>
      </c>
      <c r="R22" s="7" t="s">
        <v>2926</v>
      </c>
      <c r="S22" s="7" t="s">
        <v>2755</v>
      </c>
      <c r="T22" s="7" t="s">
        <v>2756</v>
      </c>
      <c r="U22" s="7"/>
      <c r="V22" s="7" t="s">
        <v>2927</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Profile'!$B$9,_TECH_Industry_Templates!$B:$B,"Finance Procurement"),"")</f>
        <v>3.5</v>
      </c>
      <c r="AO22" s="48" t="str">
        <f t="shared" si="6"/>
        <v/>
      </c>
      <c r="AP22" s="48">
        <f>IFERROR(SUMIFS(_TECH_Industry_Templates!$E:$E,_TECH_Industry_Templates!$A:$A,'Company Profile'!$B$9,_TECH_Industry_Templates!$B:$B,"Finance Procurement"),1)</f>
        <v>1</v>
      </c>
      <c r="AQ22" s="48" t="str">
        <f t="shared" si="7"/>
        <v/>
      </c>
      <c r="AR22" s="48" t="str">
        <f t="shared" si="8"/>
        <v/>
      </c>
      <c r="AS22" s="11">
        <f t="shared" si="9"/>
        <v>0</v>
      </c>
      <c r="AT22" s="11">
        <f t="shared" si="10"/>
        <v>0</v>
      </c>
    </row>
    <row r="23" spans="1:46" ht="71.25">
      <c r="A23" s="7" t="s">
        <v>2928</v>
      </c>
      <c r="B23" s="7" t="s">
        <v>1158</v>
      </c>
      <c r="C23" s="7" t="s">
        <v>2929</v>
      </c>
      <c r="D23" s="7" t="s">
        <v>2746</v>
      </c>
      <c r="E23" s="7" t="s">
        <v>2747</v>
      </c>
      <c r="F23" s="7" t="s">
        <v>2930</v>
      </c>
      <c r="G23" s="7">
        <v>5</v>
      </c>
      <c r="H23" s="153"/>
      <c r="I23" s="8" t="str">
        <f t="shared" si="0"/>
        <v/>
      </c>
      <c r="J23" s="8" t="str">
        <f t="shared" si="1"/>
        <v/>
      </c>
      <c r="K23" s="8" t="str">
        <f t="shared" si="2"/>
        <v/>
      </c>
      <c r="L23" s="7" t="str">
        <f t="shared" si="3"/>
        <v/>
      </c>
      <c r="M23" s="7" t="s">
        <v>2931</v>
      </c>
      <c r="N23" s="7" t="s">
        <v>2932</v>
      </c>
      <c r="O23" s="7" t="s">
        <v>2933</v>
      </c>
      <c r="P23" s="7" t="s">
        <v>2934</v>
      </c>
      <c r="Q23" s="7" t="s">
        <v>2935</v>
      </c>
      <c r="R23" s="7" t="s">
        <v>2936</v>
      </c>
      <c r="S23" s="7" t="s">
        <v>2755</v>
      </c>
      <c r="T23" s="7" t="s">
        <v>2756</v>
      </c>
      <c r="U23" s="7"/>
      <c r="V23" s="7" t="s">
        <v>2937</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Profile'!$B$9,_TECH_Industry_Templates!$B:$B,"Finance Procurement"),"")</f>
        <v>3.5</v>
      </c>
      <c r="AO23" s="48" t="str">
        <f t="shared" si="6"/>
        <v/>
      </c>
      <c r="AP23" s="48">
        <f>IFERROR(SUMIFS(_TECH_Industry_Templates!$E:$E,_TECH_Industry_Templates!$A:$A,'Company Profile'!$B$9,_TECH_Industry_Templates!$B:$B,"Finance Procurement"),1)</f>
        <v>1</v>
      </c>
      <c r="AQ23" s="48" t="str">
        <f t="shared" si="7"/>
        <v/>
      </c>
      <c r="AR23" s="48" t="str">
        <f t="shared" si="8"/>
        <v/>
      </c>
      <c r="AS23" s="11">
        <f t="shared" si="9"/>
        <v>0</v>
      </c>
      <c r="AT23" s="11">
        <f t="shared" si="10"/>
        <v>0</v>
      </c>
    </row>
    <row r="24" spans="1:46" ht="57">
      <c r="A24" s="7" t="s">
        <v>2938</v>
      </c>
      <c r="B24" s="7" t="s">
        <v>1169</v>
      </c>
      <c r="C24" s="7" t="s">
        <v>2939</v>
      </c>
      <c r="D24" s="7" t="s">
        <v>2746</v>
      </c>
      <c r="E24" s="7" t="s">
        <v>2747</v>
      </c>
      <c r="F24" s="7" t="s">
        <v>2940</v>
      </c>
      <c r="G24" s="7">
        <v>4</v>
      </c>
      <c r="H24" s="153"/>
      <c r="I24" s="8" t="str">
        <f t="shared" si="0"/>
        <v/>
      </c>
      <c r="J24" s="8" t="str">
        <f t="shared" si="1"/>
        <v/>
      </c>
      <c r="K24" s="8" t="str">
        <f t="shared" si="2"/>
        <v/>
      </c>
      <c r="L24" s="7" t="str">
        <f t="shared" si="3"/>
        <v/>
      </c>
      <c r="M24" s="7" t="s">
        <v>2941</v>
      </c>
      <c r="N24" s="7" t="s">
        <v>2942</v>
      </c>
      <c r="O24" s="7" t="s">
        <v>2943</v>
      </c>
      <c r="P24" s="7" t="s">
        <v>2944</v>
      </c>
      <c r="Q24" s="7" t="s">
        <v>2945</v>
      </c>
      <c r="R24" s="7" t="s">
        <v>2946</v>
      </c>
      <c r="S24" s="7" t="s">
        <v>2755</v>
      </c>
      <c r="T24" s="7" t="s">
        <v>2756</v>
      </c>
      <c r="U24" s="7"/>
      <c r="V24" s="7" t="s">
        <v>2947</v>
      </c>
      <c r="W24" s="14">
        <v>4</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Profile'!$B$9,_TECH_Industry_Templates!$B:$B,"Finance Procurement"),"")</f>
        <v>3.5</v>
      </c>
      <c r="AO24" s="48" t="str">
        <f t="shared" si="6"/>
        <v/>
      </c>
      <c r="AP24" s="48">
        <f>IFERROR(SUMIFS(_TECH_Industry_Templates!$E:$E,_TECH_Industry_Templates!$A:$A,'Company Profile'!$B$9,_TECH_Industry_Templates!$B:$B,"Finance Procurement"),1)</f>
        <v>1</v>
      </c>
      <c r="AQ24" s="48" t="str">
        <f t="shared" si="7"/>
        <v/>
      </c>
      <c r="AR24" s="48" t="str">
        <f t="shared" si="8"/>
        <v/>
      </c>
      <c r="AS24" s="11">
        <f t="shared" si="9"/>
        <v>0</v>
      </c>
      <c r="AT24" s="11">
        <f t="shared" si="10"/>
        <v>0</v>
      </c>
    </row>
    <row r="25" spans="1:46" ht="57">
      <c r="A25" s="7" t="s">
        <v>2948</v>
      </c>
      <c r="B25" s="7" t="s">
        <v>1169</v>
      </c>
      <c r="C25" s="7" t="s">
        <v>2949</v>
      </c>
      <c r="D25" s="7" t="s">
        <v>2746</v>
      </c>
      <c r="E25" s="7" t="s">
        <v>2747</v>
      </c>
      <c r="F25" s="7" t="s">
        <v>2950</v>
      </c>
      <c r="G25" s="7">
        <v>5</v>
      </c>
      <c r="H25" s="153"/>
      <c r="I25" s="8" t="str">
        <f t="shared" si="0"/>
        <v/>
      </c>
      <c r="J25" s="8" t="str">
        <f t="shared" si="1"/>
        <v/>
      </c>
      <c r="K25" s="8" t="str">
        <f t="shared" si="2"/>
        <v/>
      </c>
      <c r="L25" s="7" t="str">
        <f t="shared" si="3"/>
        <v/>
      </c>
      <c r="M25" s="7" t="s">
        <v>2951</v>
      </c>
      <c r="N25" s="7" t="s">
        <v>2952</v>
      </c>
      <c r="O25" s="7" t="s">
        <v>2953</v>
      </c>
      <c r="P25" s="7" t="s">
        <v>2954</v>
      </c>
      <c r="Q25" s="7" t="s">
        <v>2955</v>
      </c>
      <c r="R25" s="7" t="s">
        <v>2956</v>
      </c>
      <c r="S25" s="7" t="s">
        <v>2755</v>
      </c>
      <c r="T25" s="7" t="s">
        <v>2756</v>
      </c>
      <c r="U25" s="7"/>
      <c r="V25" s="7" t="s">
        <v>2957</v>
      </c>
      <c r="W25" s="14">
        <v>4</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Profile'!$B$9,_TECH_Industry_Templates!$B:$B,"Finance Procurement"),"")</f>
        <v>3.5</v>
      </c>
      <c r="AO25" s="48" t="str">
        <f t="shared" si="6"/>
        <v/>
      </c>
      <c r="AP25" s="48">
        <f>IFERROR(SUMIFS(_TECH_Industry_Templates!$E:$E,_TECH_Industry_Templates!$A:$A,'Company Profile'!$B$9,_TECH_Industry_Templates!$B:$B,"Finance Procurement"),1)</f>
        <v>1</v>
      </c>
      <c r="AQ25" s="48" t="str">
        <f t="shared" si="7"/>
        <v/>
      </c>
      <c r="AR25" s="48" t="str">
        <f t="shared" si="8"/>
        <v/>
      </c>
      <c r="AS25" s="11">
        <f t="shared" si="9"/>
        <v>0</v>
      </c>
      <c r="AT25" s="11">
        <f t="shared" si="10"/>
        <v>0</v>
      </c>
    </row>
    <row r="26" spans="1:46" ht="71.25">
      <c r="A26" s="7" t="s">
        <v>2958</v>
      </c>
      <c r="B26" s="7" t="s">
        <v>1169</v>
      </c>
      <c r="C26" s="7" t="s">
        <v>2959</v>
      </c>
      <c r="D26" s="7" t="s">
        <v>2746</v>
      </c>
      <c r="E26" s="7" t="s">
        <v>2747</v>
      </c>
      <c r="F26" s="7" t="s">
        <v>2960</v>
      </c>
      <c r="G26" s="7">
        <v>5</v>
      </c>
      <c r="H26" s="153"/>
      <c r="I26" s="8" t="str">
        <f t="shared" si="0"/>
        <v/>
      </c>
      <c r="J26" s="8" t="str">
        <f t="shared" si="1"/>
        <v/>
      </c>
      <c r="K26" s="8" t="str">
        <f t="shared" si="2"/>
        <v/>
      </c>
      <c r="L26" s="7" t="str">
        <f t="shared" si="3"/>
        <v/>
      </c>
      <c r="M26" s="7" t="s">
        <v>2961</v>
      </c>
      <c r="N26" s="7" t="s">
        <v>2962</v>
      </c>
      <c r="O26" s="7" t="s">
        <v>2963</v>
      </c>
      <c r="P26" s="7" t="s">
        <v>2964</v>
      </c>
      <c r="Q26" s="7" t="s">
        <v>2965</v>
      </c>
      <c r="R26" s="7" t="s">
        <v>2966</v>
      </c>
      <c r="S26" s="7" t="s">
        <v>2755</v>
      </c>
      <c r="T26" s="7" t="s">
        <v>2756</v>
      </c>
      <c r="U26" s="7"/>
      <c r="V26" s="7" t="s">
        <v>2967</v>
      </c>
      <c r="W26" s="14">
        <v>5</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Profile'!$B$9,_TECH_Industry_Templates!$B:$B,"Finance Procurement"),"")</f>
        <v>3.5</v>
      </c>
      <c r="AO26" s="48" t="str">
        <f t="shared" si="6"/>
        <v/>
      </c>
      <c r="AP26" s="48">
        <f>IFERROR(SUMIFS(_TECH_Industry_Templates!$E:$E,_TECH_Industry_Templates!$A:$A,'Company Profile'!$B$9,_TECH_Industry_Templates!$B:$B,"Finance Procurement"),1)</f>
        <v>1</v>
      </c>
      <c r="AQ26" s="48" t="str">
        <f t="shared" si="7"/>
        <v/>
      </c>
      <c r="AR26" s="48" t="str">
        <f t="shared" si="8"/>
        <v/>
      </c>
      <c r="AS26" s="11">
        <f t="shared" si="9"/>
        <v>0</v>
      </c>
      <c r="AT26" s="11">
        <f t="shared" si="10"/>
        <v>0</v>
      </c>
    </row>
    <row r="27" spans="1:46" ht="57">
      <c r="A27" s="7" t="s">
        <v>2968</v>
      </c>
      <c r="B27" s="7" t="s">
        <v>1169</v>
      </c>
      <c r="C27" s="7" t="s">
        <v>2969</v>
      </c>
      <c r="D27" s="7" t="s">
        <v>2746</v>
      </c>
      <c r="E27" s="7" t="s">
        <v>2747</v>
      </c>
      <c r="F27" s="7" t="s">
        <v>2970</v>
      </c>
      <c r="G27" s="7">
        <v>5</v>
      </c>
      <c r="H27" s="153"/>
      <c r="I27" s="8" t="str">
        <f t="shared" si="0"/>
        <v/>
      </c>
      <c r="J27" s="8" t="str">
        <f t="shared" si="1"/>
        <v/>
      </c>
      <c r="K27" s="8" t="str">
        <f t="shared" si="2"/>
        <v/>
      </c>
      <c r="L27" s="7" t="str">
        <f t="shared" si="3"/>
        <v/>
      </c>
      <c r="M27" s="7" t="s">
        <v>2971</v>
      </c>
      <c r="N27" s="7" t="s">
        <v>2972</v>
      </c>
      <c r="O27" s="7" t="s">
        <v>2973</v>
      </c>
      <c r="P27" s="7" t="s">
        <v>2974</v>
      </c>
      <c r="Q27" s="7" t="s">
        <v>2975</v>
      </c>
      <c r="R27" s="7" t="s">
        <v>2976</v>
      </c>
      <c r="S27" s="7" t="s">
        <v>2755</v>
      </c>
      <c r="T27" s="7" t="s">
        <v>2756</v>
      </c>
      <c r="U27" s="7"/>
      <c r="V27" s="7" t="s">
        <v>2977</v>
      </c>
      <c r="W27" s="14">
        <v>4</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Profile'!$B$9,_TECH_Industry_Templates!$B:$B,"Finance Procurement"),"")</f>
        <v>3.5</v>
      </c>
      <c r="AO27" s="48" t="str">
        <f t="shared" si="6"/>
        <v/>
      </c>
      <c r="AP27" s="48">
        <f>IFERROR(SUMIFS(_TECH_Industry_Templates!$E:$E,_TECH_Industry_Templates!$A:$A,'Company Profile'!$B$9,_TECH_Industry_Templates!$B:$B,"Finance Procurement"),1)</f>
        <v>1</v>
      </c>
      <c r="AQ27" s="48" t="str">
        <f t="shared" si="7"/>
        <v/>
      </c>
      <c r="AR27" s="48" t="str">
        <f t="shared" si="8"/>
        <v/>
      </c>
      <c r="AS27" s="11">
        <f t="shared" si="9"/>
        <v>0</v>
      </c>
      <c r="AT27" s="11">
        <f t="shared" si="10"/>
        <v>0</v>
      </c>
    </row>
    <row r="28" spans="1:46" ht="57">
      <c r="A28" s="7" t="s">
        <v>2978</v>
      </c>
      <c r="B28" s="7" t="s">
        <v>1169</v>
      </c>
      <c r="C28" s="7" t="s">
        <v>2979</v>
      </c>
      <c r="D28" s="7" t="s">
        <v>2746</v>
      </c>
      <c r="E28" s="7" t="s">
        <v>2747</v>
      </c>
      <c r="F28" s="7" t="s">
        <v>2980</v>
      </c>
      <c r="G28" s="7">
        <v>5</v>
      </c>
      <c r="H28" s="153"/>
      <c r="I28" s="8" t="str">
        <f t="shared" si="0"/>
        <v/>
      </c>
      <c r="J28" s="8" t="str">
        <f t="shared" si="1"/>
        <v/>
      </c>
      <c r="K28" s="8" t="str">
        <f t="shared" si="2"/>
        <v/>
      </c>
      <c r="L28" s="7" t="str">
        <f t="shared" si="3"/>
        <v/>
      </c>
      <c r="M28" s="7" t="s">
        <v>2981</v>
      </c>
      <c r="N28" s="7" t="s">
        <v>2982</v>
      </c>
      <c r="O28" s="7" t="s">
        <v>2983</v>
      </c>
      <c r="P28" s="7" t="s">
        <v>2984</v>
      </c>
      <c r="Q28" s="7" t="s">
        <v>2985</v>
      </c>
      <c r="R28" s="7" t="s">
        <v>2986</v>
      </c>
      <c r="S28" s="7" t="s">
        <v>2755</v>
      </c>
      <c r="T28" s="7" t="s">
        <v>2756</v>
      </c>
      <c r="U28" s="7"/>
      <c r="V28" s="7" t="s">
        <v>2987</v>
      </c>
      <c r="W28" s="14">
        <v>4</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Profile'!$B$9,_TECH_Industry_Templates!$B:$B,"Finance Procurement"),"")</f>
        <v>3.5</v>
      </c>
      <c r="AO28" s="48" t="str">
        <f t="shared" si="6"/>
        <v/>
      </c>
      <c r="AP28" s="48">
        <f>IFERROR(SUMIFS(_TECH_Industry_Templates!$E:$E,_TECH_Industry_Templates!$A:$A,'Company Profile'!$B$9,_TECH_Industry_Templates!$B:$B,"Finance Procurement"),1)</f>
        <v>1</v>
      </c>
      <c r="AQ28" s="48" t="str">
        <f t="shared" si="7"/>
        <v/>
      </c>
      <c r="AR28" s="48" t="str">
        <f t="shared" si="8"/>
        <v/>
      </c>
      <c r="AS28" s="11">
        <f t="shared" si="9"/>
        <v>0</v>
      </c>
      <c r="AT28" s="11">
        <f t="shared" si="10"/>
        <v>0</v>
      </c>
    </row>
  </sheetData>
  <mergeCells count="4">
    <mergeCell ref="A2:V2"/>
    <mergeCell ref="AA3:AG3"/>
    <mergeCell ref="A1:V1"/>
    <mergeCell ref="W3:Y3"/>
  </mergeCells>
  <conditionalFormatting sqref="H5:H28">
    <cfRule type="colorScale" priority="1">
      <colorScale>
        <cfvo type="min"/>
        <cfvo type="percentile" val="50"/>
        <cfvo type="max"/>
        <color rgb="FFF8696B"/>
        <color rgb="FFFFEB84"/>
        <color rgb="FF63BE7B"/>
      </colorScale>
    </cfRule>
  </conditionalFormatting>
  <conditionalFormatting sqref="L5:L28">
    <cfRule type="expression" dxfId="76" priority="2">
      <formula>$L5="Critical"</formula>
    </cfRule>
    <cfRule type="expression" dxfId="75" priority="3">
      <formula>$L5="High"</formula>
    </cfRule>
    <cfRule type="expression" dxfId="74" priority="4">
      <formula>$L5="Medium"</formula>
    </cfRule>
    <cfRule type="expression" dxfId="73" priority="5">
      <formula>$L5="Low"</formula>
    </cfRule>
    <cfRule type="expression" dxfId="72"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8" ns2:uid="{00000000-0002-0000-1700-000000000000}">
      <formula1>"N/A,0,1,2,3,4,5"</formula1>
    </dataValidation>
    <dataValidation type="list" sqref="G5:G28" ns2:uid="{00000000-0002-0000-1700-000001000000}">
      <formula1>"1,2,3,4,5"</formula1>
    </dataValidation>
    <dataValidation type="list" sqref="W5:Y28" ns2:uid="{00000000-0002-0000-1700-000002000000}">
      <formula1>"0,1,2,3,4,5"</formula1>
    </dataValidation>
    <dataValidation type="list" allowBlank="1" sqref="AH5:AI28" ns2:uid="{00000000-0002-0000-17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5.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800-000000000000}">
  <sheetPr>
    <tabColor rgb="FFED7D31"/>
  </sheetPr>
  <dimension ref="A1:AT24"/>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2988</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2989</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2990</v>
      </c>
      <c r="B5" s="7" t="s">
        <v>1177</v>
      </c>
      <c r="C5" s="7" t="s">
        <v>2991</v>
      </c>
      <c r="D5" s="7" t="s">
        <v>2992</v>
      </c>
      <c r="E5" s="7" t="s">
        <v>2993</v>
      </c>
      <c r="F5" s="7" t="s">
        <v>2994</v>
      </c>
      <c r="G5" s="7">
        <v>4</v>
      </c>
      <c r="H5" s="153"/>
      <c r="I5" s="8" t="str">
        <f t="shared" ref="I5:I24" si="0">IF($H5="","",IF($H5="N/A","",VALUE($H5)/5*$G5))</f>
        <v/>
      </c>
      <c r="J5" s="8" t="str">
        <f t="shared" ref="J5:J24" si="1">IF(OR($H5="",$H5="N/A"),"",$G5)</f>
        <v/>
      </c>
      <c r="K5" s="8" t="str">
        <f t="shared" ref="K5:K24" si="2">IF(OR($H5="",$H5="N/A"),"",$J5-$I5)</f>
        <v/>
      </c>
      <c r="L5" s="7" t="str">
        <f t="shared" ref="L5:L24" si="3">IF($H5="","",IF($H5="N/A","N/A",IF(VALUE($H5)&lt;=1,"Critical",IF(VALUE($H5)&lt;=2,"High",IF(VALUE($H5)&lt;=3,"Medium",IF(VALUE($H5)&lt;=4,"Low","Resilient"))))))</f>
        <v/>
      </c>
      <c r="M5" s="7" t="s">
        <v>2995</v>
      </c>
      <c r="N5" s="7" t="s">
        <v>2996</v>
      </c>
      <c r="O5" s="7" t="s">
        <v>2997</v>
      </c>
      <c r="P5" s="7" t="s">
        <v>2998</v>
      </c>
      <c r="Q5" s="7" t="s">
        <v>2999</v>
      </c>
      <c r="R5" s="7" t="s">
        <v>3000</v>
      </c>
      <c r="S5" s="7" t="s">
        <v>3001</v>
      </c>
      <c r="T5" s="7" t="s">
        <v>3002</v>
      </c>
      <c r="U5" s="7"/>
      <c r="V5" s="7" t="s">
        <v>3003</v>
      </c>
      <c r="W5" s="14">
        <v>5</v>
      </c>
      <c r="X5" s="14">
        <v>5</v>
      </c>
      <c r="Y5" s="14">
        <v>5</v>
      </c>
      <c r="AA5" t="s">
        <v>1177</v>
      </c>
      <c r="AB5" s="13">
        <f>COUNTIF($B$5:$B$24,$AA5)</f>
        <v>6</v>
      </c>
      <c r="AC5" s="15">
        <f>IFERROR(SUMPRODUCT(($B$5:$B$24=$AA5)*($H$5:$H$24&lt;&gt;"")*($H$5:$H$24&lt;&gt;"N/A")*IFERROR(VALUE($H$5:$H$24),0))/SUMPRODUCT(($B$5:$B$24=$AA5)*($H$5:$H$24&lt;&gt;"")*($H$5:$H$24&lt;&gt;"N/A")),0)</f>
        <v>0</v>
      </c>
      <c r="AD5" s="16">
        <f>AC5/5</f>
        <v>0</v>
      </c>
      <c r="AE5" s="13">
        <f>COUNTIFS($B$5:$B$24,$AA5,$L$5:$L$24,"Critical")+COUNTIFS($B$5:$B$24,$AA5,$L$5:$L$24,"High")</f>
        <v>0</v>
      </c>
      <c r="AF5" s="15">
        <f>5-AC5</f>
        <v>5</v>
      </c>
      <c r="AG5" s="13">
        <f>COUNTIFS($B$5:$B$24,$AA5,$H$5:$H$24,"&lt;&gt;")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4" si="4">IF(OR($H5="",$H5="N/A"),"",ROUND(VALUE($H5)*$AJ5*$AK5,2))</f>
        <v/>
      </c>
      <c r="AM5" s="48" t="str">
        <f t="shared" ref="AM5:AM24" si="5">IF($AL5="","",ROUND($AL5/5*100,1))</f>
        <v/>
      </c>
      <c r="AN5" s="48">
        <f>IFERROR(SUMIFS(_TECH_Industry_Templates!$D:$D,_TECH_Industry_Templates!$A:$A,'Company Profile'!$B$9,_TECH_Industry_Templates!$B:$B,"Legal Risk"),"")</f>
        <v>3.5</v>
      </c>
      <c r="AO5" s="48" t="str">
        <f t="shared" ref="AO5:AO24" si="6">IF($AL5="","",MAX(0,ROUND($AN5-$AL5,2)))</f>
        <v/>
      </c>
      <c r="AP5" s="48">
        <f>IFERROR(SUMIFS(_TECH_Industry_Templates!$E:$E,_TECH_Industry_Templates!$A:$A,'Company Profile'!$B$9,_TECH_Industry_Templates!$B:$B,"Legal Risk"),1)</f>
        <v>1</v>
      </c>
      <c r="AQ5" s="48" t="str">
        <f t="shared" ref="AQ5:AQ24" si="7">IF($AO5="","",ROUND($AO5*$AP5*($G5/5),2))</f>
        <v/>
      </c>
      <c r="AR5" s="48" t="str">
        <f t="shared" ref="AR5:AR24" si="8">IF($AO5="","",IF($AO5&gt;=2,"Critical industry gap",IF($AO5&gt;=1,"High industry gap",IF($AO5&gt;=0.5,"Moderate industry gap","Within target"))))</f>
        <v/>
      </c>
      <c r="AS5" s="11">
        <f t="shared" ref="AS5:AS24" si="9">IF(OR($H5="",$H5="N/A"),0,VALUE($H5)*(($AJ5+$AK5)/2))</f>
        <v>0</v>
      </c>
      <c r="AT5" s="11">
        <f t="shared" ref="AT5:AT24" si="10">IF(OR($H5="",$H5="N/A"),0,($AJ5+$AK5)/2)</f>
        <v>0</v>
      </c>
    </row>
    <row r="6" spans="1:46" ht="71.25">
      <c r="A6" s="7" t="s">
        <v>3004</v>
      </c>
      <c r="B6" s="7" t="s">
        <v>1177</v>
      </c>
      <c r="C6" s="7" t="s">
        <v>3005</v>
      </c>
      <c r="D6" s="7" t="s">
        <v>2992</v>
      </c>
      <c r="E6" s="7" t="s">
        <v>2993</v>
      </c>
      <c r="F6" s="7" t="s">
        <v>3006</v>
      </c>
      <c r="G6" s="7">
        <v>5</v>
      </c>
      <c r="H6" s="153"/>
      <c r="I6" s="8" t="str">
        <f t="shared" si="0"/>
        <v/>
      </c>
      <c r="J6" s="8" t="str">
        <f t="shared" si="1"/>
        <v/>
      </c>
      <c r="K6" s="8" t="str">
        <f t="shared" si="2"/>
        <v/>
      </c>
      <c r="L6" s="7" t="str">
        <f t="shared" si="3"/>
        <v/>
      </c>
      <c r="M6" s="7" t="s">
        <v>3007</v>
      </c>
      <c r="N6" s="7" t="s">
        <v>3008</v>
      </c>
      <c r="O6" s="7" t="s">
        <v>3009</v>
      </c>
      <c r="P6" s="7" t="s">
        <v>3010</v>
      </c>
      <c r="Q6" s="7" t="s">
        <v>3011</v>
      </c>
      <c r="R6" s="7" t="s">
        <v>3012</v>
      </c>
      <c r="S6" s="7" t="s">
        <v>3001</v>
      </c>
      <c r="T6" s="7" t="s">
        <v>3002</v>
      </c>
      <c r="U6" s="7"/>
      <c r="V6" s="7" t="s">
        <v>3013</v>
      </c>
      <c r="W6" s="14">
        <v>5</v>
      </c>
      <c r="X6" s="14">
        <v>5</v>
      </c>
      <c r="Y6" s="14">
        <v>5</v>
      </c>
      <c r="AA6" t="s">
        <v>1187</v>
      </c>
      <c r="AB6" s="13">
        <f>COUNTIF($B$5:$B$24,$AA6)</f>
        <v>6</v>
      </c>
      <c r="AC6" s="15">
        <f>IFERROR(SUMPRODUCT(($B$5:$B$24=$AA6)*($H$5:$H$24&lt;&gt;"")*($H$5:$H$24&lt;&gt;"N/A")*IFERROR(VALUE($H$5:$H$24),0))/SUMPRODUCT(($B$5:$B$24=$AA6)*($H$5:$H$24&lt;&gt;"")*($H$5:$H$24&lt;&gt;"N/A")),0)</f>
        <v>0</v>
      </c>
      <c r="AD6" s="16">
        <f>AC6/5</f>
        <v>0</v>
      </c>
      <c r="AE6" s="13">
        <f>COUNTIFS($B$5:$B$24,$AA6,$L$5:$L$24,"Critical")+COUNTIFS($B$5:$B$24,$AA6,$L$5:$L$24,"High")</f>
        <v>0</v>
      </c>
      <c r="AF6" s="15">
        <f>5-AC6</f>
        <v>5</v>
      </c>
      <c r="AG6" s="13">
        <f>COUNTIFS($B$5:$B$24,$AA6,$H$5:$H$24,"&lt;&gt;")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Profile'!$B$9,_TECH_Industry_Templates!$B:$B,"Legal Risk"),"")</f>
        <v>3.5</v>
      </c>
      <c r="AO6" s="48" t="str">
        <f t="shared" si="6"/>
        <v/>
      </c>
      <c r="AP6" s="48">
        <f>IFERROR(SUMIFS(_TECH_Industry_Templates!$E:$E,_TECH_Industry_Templates!$A:$A,'Company Profile'!$B$9,_TECH_Industry_Templates!$B:$B,"Legal Risk"),1)</f>
        <v>1</v>
      </c>
      <c r="AQ6" s="48" t="str">
        <f t="shared" si="7"/>
        <v/>
      </c>
      <c r="AR6" s="48" t="str">
        <f t="shared" si="8"/>
        <v/>
      </c>
      <c r="AS6" s="11">
        <f t="shared" si="9"/>
        <v>0</v>
      </c>
      <c r="AT6" s="11">
        <f t="shared" si="10"/>
        <v>0</v>
      </c>
    </row>
    <row r="7" spans="1:46" ht="71.25">
      <c r="A7" s="7" t="s">
        <v>3014</v>
      </c>
      <c r="B7" s="7" t="s">
        <v>1177</v>
      </c>
      <c r="C7" s="7" t="s">
        <v>3015</v>
      </c>
      <c r="D7" s="7" t="s">
        <v>2992</v>
      </c>
      <c r="E7" s="7" t="s">
        <v>2993</v>
      </c>
      <c r="F7" s="7" t="s">
        <v>3016</v>
      </c>
      <c r="G7" s="7">
        <v>5</v>
      </c>
      <c r="H7" s="153"/>
      <c r="I7" s="8" t="str">
        <f t="shared" si="0"/>
        <v/>
      </c>
      <c r="J7" s="8" t="str">
        <f t="shared" si="1"/>
        <v/>
      </c>
      <c r="K7" s="8" t="str">
        <f t="shared" si="2"/>
        <v/>
      </c>
      <c r="L7" s="7" t="str">
        <f t="shared" si="3"/>
        <v/>
      </c>
      <c r="M7" s="7" t="s">
        <v>3017</v>
      </c>
      <c r="N7" s="7" t="s">
        <v>3018</v>
      </c>
      <c r="O7" s="7" t="s">
        <v>3019</v>
      </c>
      <c r="P7" s="7" t="s">
        <v>3020</v>
      </c>
      <c r="Q7" s="7" t="s">
        <v>3021</v>
      </c>
      <c r="R7" s="7" t="s">
        <v>3022</v>
      </c>
      <c r="S7" s="7" t="s">
        <v>3001</v>
      </c>
      <c r="T7" s="7" t="s">
        <v>3002</v>
      </c>
      <c r="U7" s="7"/>
      <c r="V7" s="7" t="s">
        <v>3023</v>
      </c>
      <c r="W7" s="14">
        <v>5</v>
      </c>
      <c r="X7" s="14">
        <v>5</v>
      </c>
      <c r="Y7" s="14">
        <v>5</v>
      </c>
      <c r="AA7" t="s">
        <v>1195</v>
      </c>
      <c r="AB7" s="13">
        <f>COUNTIF($B$5:$B$24,$AA7)</f>
        <v>6</v>
      </c>
      <c r="AC7" s="15">
        <f>IFERROR(SUMPRODUCT(($B$5:$B$24=$AA7)*($H$5:$H$24&lt;&gt;"")*($H$5:$H$24&lt;&gt;"N/A")*IFERROR(VALUE($H$5:$H$24),0))/SUMPRODUCT(($B$5:$B$24=$AA7)*($H$5:$H$24&lt;&gt;"")*($H$5:$H$24&lt;&gt;"N/A")),0)</f>
        <v>0</v>
      </c>
      <c r="AD7" s="16">
        <f>AC7/5</f>
        <v>0</v>
      </c>
      <c r="AE7" s="13">
        <f>COUNTIFS($B$5:$B$24,$AA7,$L$5:$L$24,"Critical")+COUNTIFS($B$5:$B$24,$AA7,$L$5:$L$24,"High")</f>
        <v>0</v>
      </c>
      <c r="AF7" s="15">
        <f>5-AC7</f>
        <v>5</v>
      </c>
      <c r="AG7" s="13">
        <f>COUNTIFS($B$5:$B$24,$AA7,$H$5:$H$24,"&lt;&gt;")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Profile'!$B$9,_TECH_Industry_Templates!$B:$B,"Legal Risk"),"")</f>
        <v>3.5</v>
      </c>
      <c r="AO7" s="48" t="str">
        <f t="shared" si="6"/>
        <v/>
      </c>
      <c r="AP7" s="48">
        <f>IFERROR(SUMIFS(_TECH_Industry_Templates!$E:$E,_TECH_Industry_Templates!$A:$A,'Company Profile'!$B$9,_TECH_Industry_Templates!$B:$B,"Legal Risk"),1)</f>
        <v>1</v>
      </c>
      <c r="AQ7" s="48" t="str">
        <f t="shared" si="7"/>
        <v/>
      </c>
      <c r="AR7" s="48" t="str">
        <f t="shared" si="8"/>
        <v/>
      </c>
      <c r="AS7" s="11">
        <f t="shared" si="9"/>
        <v>0</v>
      </c>
      <c r="AT7" s="11">
        <f t="shared" si="10"/>
        <v>0</v>
      </c>
    </row>
    <row r="8" spans="1:46" ht="71.25">
      <c r="A8" s="7" t="s">
        <v>3024</v>
      </c>
      <c r="B8" s="7" t="s">
        <v>1177</v>
      </c>
      <c r="C8" s="7" t="s">
        <v>3025</v>
      </c>
      <c r="D8" s="7" t="s">
        <v>2992</v>
      </c>
      <c r="E8" s="7" t="s">
        <v>2993</v>
      </c>
      <c r="F8" s="7" t="s">
        <v>3026</v>
      </c>
      <c r="G8" s="7">
        <v>3</v>
      </c>
      <c r="H8" s="153"/>
      <c r="I8" s="8" t="str">
        <f t="shared" si="0"/>
        <v/>
      </c>
      <c r="J8" s="8" t="str">
        <f t="shared" si="1"/>
        <v/>
      </c>
      <c r="K8" s="8" t="str">
        <f t="shared" si="2"/>
        <v/>
      </c>
      <c r="L8" s="7" t="str">
        <f t="shared" si="3"/>
        <v/>
      </c>
      <c r="M8" s="7" t="s">
        <v>3027</v>
      </c>
      <c r="N8" s="7" t="s">
        <v>3028</v>
      </c>
      <c r="O8" s="7" t="s">
        <v>3029</v>
      </c>
      <c r="P8" s="7" t="s">
        <v>3030</v>
      </c>
      <c r="Q8" s="7" t="s">
        <v>3031</v>
      </c>
      <c r="R8" s="7" t="s">
        <v>3032</v>
      </c>
      <c r="S8" s="7" t="s">
        <v>3001</v>
      </c>
      <c r="T8" s="7" t="s">
        <v>3002</v>
      </c>
      <c r="U8" s="7"/>
      <c r="V8" s="7" t="s">
        <v>3033</v>
      </c>
      <c r="W8" s="14">
        <v>5</v>
      </c>
      <c r="X8" s="14">
        <v>5</v>
      </c>
      <c r="Y8" s="14">
        <v>5</v>
      </c>
      <c r="AA8" t="s">
        <v>1203</v>
      </c>
      <c r="AB8" s="13">
        <f>COUNTIF($B$5:$B$24,$AA8)</f>
        <v>2</v>
      </c>
      <c r="AC8" s="15">
        <f>IFERROR(SUMPRODUCT(($B$5:$B$24=$AA8)*($H$5:$H$24&lt;&gt;"")*($H$5:$H$24&lt;&gt;"N/A")*IFERROR(VALUE($H$5:$H$24),0))/SUMPRODUCT(($B$5:$B$24=$AA8)*($H$5:$H$24&lt;&gt;"")*($H$5:$H$24&lt;&gt;"N/A")),0)</f>
        <v>0</v>
      </c>
      <c r="AD8" s="16">
        <f>AC8/5</f>
        <v>0</v>
      </c>
      <c r="AE8" s="13">
        <f>COUNTIFS($B$5:$B$24,$AA8,$L$5:$L$24,"Critical")+COUNTIFS($B$5:$B$24,$AA8,$L$5:$L$24,"High")</f>
        <v>0</v>
      </c>
      <c r="AF8" s="15">
        <f>5-AC8</f>
        <v>5</v>
      </c>
      <c r="AG8" s="13">
        <f>COUNTIFS($B$5:$B$24,$AA8,$H$5:$H$24,"&lt;&gt;")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Profile'!$B$9,_TECH_Industry_Templates!$B:$B,"Legal Risk"),"")</f>
        <v>3.5</v>
      </c>
      <c r="AO8" s="48" t="str">
        <f t="shared" si="6"/>
        <v/>
      </c>
      <c r="AP8" s="48">
        <f>IFERROR(SUMIFS(_TECH_Industry_Templates!$E:$E,_TECH_Industry_Templates!$A:$A,'Company Profile'!$B$9,_TECH_Industry_Templates!$B:$B,"Legal Risk"),1)</f>
        <v>1</v>
      </c>
      <c r="AQ8" s="48" t="str">
        <f t="shared" si="7"/>
        <v/>
      </c>
      <c r="AR8" s="48" t="str">
        <f t="shared" si="8"/>
        <v/>
      </c>
      <c r="AS8" s="11">
        <f t="shared" si="9"/>
        <v>0</v>
      </c>
      <c r="AT8" s="11">
        <f t="shared" si="10"/>
        <v>0</v>
      </c>
    </row>
    <row r="9" spans="1:46" ht="57">
      <c r="A9" s="7" t="s">
        <v>3034</v>
      </c>
      <c r="B9" s="7" t="s">
        <v>1177</v>
      </c>
      <c r="C9" s="7" t="s">
        <v>3035</v>
      </c>
      <c r="D9" s="7" t="s">
        <v>2992</v>
      </c>
      <c r="E9" s="7" t="s">
        <v>2993</v>
      </c>
      <c r="F9" s="7" t="s">
        <v>3036</v>
      </c>
      <c r="G9" s="7">
        <v>3</v>
      </c>
      <c r="H9" s="153"/>
      <c r="I9" s="8" t="str">
        <f t="shared" si="0"/>
        <v/>
      </c>
      <c r="J9" s="8" t="str">
        <f t="shared" si="1"/>
        <v/>
      </c>
      <c r="K9" s="8" t="str">
        <f t="shared" si="2"/>
        <v/>
      </c>
      <c r="L9" s="7" t="str">
        <f t="shared" si="3"/>
        <v/>
      </c>
      <c r="M9" s="7" t="s">
        <v>3037</v>
      </c>
      <c r="N9" s="7" t="s">
        <v>3038</v>
      </c>
      <c r="O9" s="7" t="s">
        <v>3039</v>
      </c>
      <c r="P9" s="7" t="s">
        <v>3040</v>
      </c>
      <c r="Q9" s="7" t="s">
        <v>3041</v>
      </c>
      <c r="R9" s="7" t="s">
        <v>3042</v>
      </c>
      <c r="S9" s="7" t="s">
        <v>3001</v>
      </c>
      <c r="T9" s="7" t="s">
        <v>3002</v>
      </c>
      <c r="U9" s="7"/>
      <c r="V9" s="7" t="s">
        <v>3043</v>
      </c>
      <c r="W9" s="14">
        <v>5</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Profile'!$B$9,_TECH_Industry_Templates!$B:$B,"Legal Risk"),"")</f>
        <v>3.5</v>
      </c>
      <c r="AO9" s="48" t="str">
        <f t="shared" si="6"/>
        <v/>
      </c>
      <c r="AP9" s="48">
        <f>IFERROR(SUMIFS(_TECH_Industry_Templates!$E:$E,_TECH_Industry_Templates!$A:$A,'Company Profile'!$B$9,_TECH_Industry_Templates!$B:$B,"Legal Risk"),1)</f>
        <v>1</v>
      </c>
      <c r="AQ9" s="48" t="str">
        <f t="shared" si="7"/>
        <v/>
      </c>
      <c r="AR9" s="48" t="str">
        <f t="shared" si="8"/>
        <v/>
      </c>
      <c r="AS9" s="11">
        <f t="shared" si="9"/>
        <v>0</v>
      </c>
      <c r="AT9" s="11">
        <f t="shared" si="10"/>
        <v>0</v>
      </c>
    </row>
    <row r="10" spans="1:46" ht="57">
      <c r="A10" s="7" t="s">
        <v>3044</v>
      </c>
      <c r="B10" s="7" t="s">
        <v>1177</v>
      </c>
      <c r="C10" s="7" t="s">
        <v>3045</v>
      </c>
      <c r="D10" s="7" t="s">
        <v>2992</v>
      </c>
      <c r="E10" s="7" t="s">
        <v>2993</v>
      </c>
      <c r="F10" s="7" t="s">
        <v>3046</v>
      </c>
      <c r="G10" s="7">
        <v>5</v>
      </c>
      <c r="H10" s="153"/>
      <c r="I10" s="8" t="str">
        <f t="shared" si="0"/>
        <v/>
      </c>
      <c r="J10" s="8" t="str">
        <f t="shared" si="1"/>
        <v/>
      </c>
      <c r="K10" s="8" t="str">
        <f t="shared" si="2"/>
        <v/>
      </c>
      <c r="L10" s="7" t="str">
        <f t="shared" si="3"/>
        <v/>
      </c>
      <c r="M10" s="7" t="s">
        <v>3047</v>
      </c>
      <c r="N10" s="7" t="s">
        <v>3048</v>
      </c>
      <c r="O10" s="7" t="s">
        <v>3049</v>
      </c>
      <c r="P10" s="7" t="s">
        <v>3050</v>
      </c>
      <c r="Q10" s="7" t="s">
        <v>3051</v>
      </c>
      <c r="R10" s="7" t="s">
        <v>3052</v>
      </c>
      <c r="S10" s="7" t="s">
        <v>3001</v>
      </c>
      <c r="T10" s="7" t="s">
        <v>3002</v>
      </c>
      <c r="U10" s="7"/>
      <c r="V10" s="7" t="s">
        <v>3053</v>
      </c>
      <c r="W10" s="14">
        <v>5</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Profile'!$B$9,_TECH_Industry_Templates!$B:$B,"Legal Risk"),"")</f>
        <v>3.5</v>
      </c>
      <c r="AO10" s="48" t="str">
        <f t="shared" si="6"/>
        <v/>
      </c>
      <c r="AP10" s="48">
        <f>IFERROR(SUMIFS(_TECH_Industry_Templates!$E:$E,_TECH_Industry_Templates!$A:$A,'Company Profile'!$B$9,_TECH_Industry_Templates!$B:$B,"Legal Risk"),1)</f>
        <v>1</v>
      </c>
      <c r="AQ10" s="48" t="str">
        <f t="shared" si="7"/>
        <v/>
      </c>
      <c r="AR10" s="48" t="str">
        <f t="shared" si="8"/>
        <v/>
      </c>
      <c r="AS10" s="11">
        <f t="shared" si="9"/>
        <v>0</v>
      </c>
      <c r="AT10" s="11">
        <f t="shared" si="10"/>
        <v>0</v>
      </c>
    </row>
    <row r="11" spans="1:46" ht="71.25">
      <c r="A11" s="7" t="s">
        <v>3054</v>
      </c>
      <c r="B11" s="7" t="s">
        <v>1187</v>
      </c>
      <c r="C11" s="7" t="s">
        <v>3055</v>
      </c>
      <c r="D11" s="7" t="s">
        <v>2992</v>
      </c>
      <c r="E11" s="7" t="s">
        <v>2993</v>
      </c>
      <c r="F11" s="7" t="s">
        <v>3056</v>
      </c>
      <c r="G11" s="7">
        <v>5</v>
      </c>
      <c r="H11" s="153"/>
      <c r="I11" s="8" t="str">
        <f t="shared" si="0"/>
        <v/>
      </c>
      <c r="J11" s="8" t="str">
        <f t="shared" si="1"/>
        <v/>
      </c>
      <c r="K11" s="8" t="str">
        <f t="shared" si="2"/>
        <v/>
      </c>
      <c r="L11" s="7" t="str">
        <f t="shared" si="3"/>
        <v/>
      </c>
      <c r="M11" s="7" t="s">
        <v>3057</v>
      </c>
      <c r="N11" s="7" t="s">
        <v>3058</v>
      </c>
      <c r="O11" s="7" t="s">
        <v>3059</v>
      </c>
      <c r="P11" s="7" t="s">
        <v>3060</v>
      </c>
      <c r="Q11" s="7" t="s">
        <v>3061</v>
      </c>
      <c r="R11" s="7" t="s">
        <v>3062</v>
      </c>
      <c r="S11" s="7" t="s">
        <v>3001</v>
      </c>
      <c r="T11" s="7" t="s">
        <v>3002</v>
      </c>
      <c r="U11" s="7"/>
      <c r="V11" s="7" t="s">
        <v>3063</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Profile'!$B$9,_TECH_Industry_Templates!$B:$B,"Legal Risk"),"")</f>
        <v>3.5</v>
      </c>
      <c r="AO11" s="48" t="str">
        <f t="shared" si="6"/>
        <v/>
      </c>
      <c r="AP11" s="48">
        <f>IFERROR(SUMIFS(_TECH_Industry_Templates!$E:$E,_TECH_Industry_Templates!$A:$A,'Company Profile'!$B$9,_TECH_Industry_Templates!$B:$B,"Legal Risk"),1)</f>
        <v>1</v>
      </c>
      <c r="AQ11" s="48" t="str">
        <f t="shared" si="7"/>
        <v/>
      </c>
      <c r="AR11" s="48" t="str">
        <f t="shared" si="8"/>
        <v/>
      </c>
      <c r="AS11" s="11">
        <f t="shared" si="9"/>
        <v>0</v>
      </c>
      <c r="AT11" s="11">
        <f t="shared" si="10"/>
        <v>0</v>
      </c>
    </row>
    <row r="12" spans="1:46" ht="71.25">
      <c r="A12" s="7" t="s">
        <v>3064</v>
      </c>
      <c r="B12" s="7" t="s">
        <v>1187</v>
      </c>
      <c r="C12" s="7" t="s">
        <v>3065</v>
      </c>
      <c r="D12" s="7" t="s">
        <v>2992</v>
      </c>
      <c r="E12" s="7" t="s">
        <v>2993</v>
      </c>
      <c r="F12" s="7" t="s">
        <v>3066</v>
      </c>
      <c r="G12" s="7">
        <v>5</v>
      </c>
      <c r="H12" s="153"/>
      <c r="I12" s="8" t="str">
        <f t="shared" si="0"/>
        <v/>
      </c>
      <c r="J12" s="8" t="str">
        <f t="shared" si="1"/>
        <v/>
      </c>
      <c r="K12" s="8" t="str">
        <f t="shared" si="2"/>
        <v/>
      </c>
      <c r="L12" s="7" t="str">
        <f t="shared" si="3"/>
        <v/>
      </c>
      <c r="M12" s="7" t="s">
        <v>3067</v>
      </c>
      <c r="N12" s="7" t="s">
        <v>3068</v>
      </c>
      <c r="O12" s="7" t="s">
        <v>3069</v>
      </c>
      <c r="P12" s="7" t="s">
        <v>3070</v>
      </c>
      <c r="Q12" s="7" t="s">
        <v>3071</v>
      </c>
      <c r="R12" s="7" t="s">
        <v>3072</v>
      </c>
      <c r="S12" s="7" t="s">
        <v>3001</v>
      </c>
      <c r="T12" s="7" t="s">
        <v>3002</v>
      </c>
      <c r="U12" s="7"/>
      <c r="V12" s="7" t="s">
        <v>3073</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Profile'!$B$9,_TECH_Industry_Templates!$B:$B,"Legal Risk"),"")</f>
        <v>3.5</v>
      </c>
      <c r="AO12" s="48" t="str">
        <f t="shared" si="6"/>
        <v/>
      </c>
      <c r="AP12" s="48">
        <f>IFERROR(SUMIFS(_TECH_Industry_Templates!$E:$E,_TECH_Industry_Templates!$A:$A,'Company Profile'!$B$9,_TECH_Industry_Templates!$B:$B,"Legal Risk"),1)</f>
        <v>1</v>
      </c>
      <c r="AQ12" s="48" t="str">
        <f t="shared" si="7"/>
        <v/>
      </c>
      <c r="AR12" s="48" t="str">
        <f t="shared" si="8"/>
        <v/>
      </c>
      <c r="AS12" s="11">
        <f t="shared" si="9"/>
        <v>0</v>
      </c>
      <c r="AT12" s="11">
        <f t="shared" si="10"/>
        <v>0</v>
      </c>
    </row>
    <row r="13" spans="1:46" ht="71.25">
      <c r="A13" s="7" t="s">
        <v>3074</v>
      </c>
      <c r="B13" s="7" t="s">
        <v>1187</v>
      </c>
      <c r="C13" s="7" t="s">
        <v>3075</v>
      </c>
      <c r="D13" s="7" t="s">
        <v>2992</v>
      </c>
      <c r="E13" s="7" t="s">
        <v>2993</v>
      </c>
      <c r="F13" s="7" t="s">
        <v>3076</v>
      </c>
      <c r="G13" s="7">
        <v>4</v>
      </c>
      <c r="H13" s="153"/>
      <c r="I13" s="8" t="str">
        <f t="shared" si="0"/>
        <v/>
      </c>
      <c r="J13" s="8" t="str">
        <f t="shared" si="1"/>
        <v/>
      </c>
      <c r="K13" s="8" t="str">
        <f t="shared" si="2"/>
        <v/>
      </c>
      <c r="L13" s="7" t="str">
        <f t="shared" si="3"/>
        <v/>
      </c>
      <c r="M13" s="7" t="s">
        <v>3077</v>
      </c>
      <c r="N13" s="7" t="s">
        <v>3078</v>
      </c>
      <c r="O13" s="7" t="s">
        <v>3079</v>
      </c>
      <c r="P13" s="7" t="s">
        <v>3080</v>
      </c>
      <c r="Q13" s="7" t="s">
        <v>3081</v>
      </c>
      <c r="R13" s="7" t="s">
        <v>3082</v>
      </c>
      <c r="S13" s="7" t="s">
        <v>3001</v>
      </c>
      <c r="T13" s="7" t="s">
        <v>3002</v>
      </c>
      <c r="U13" s="7"/>
      <c r="V13" s="7" t="s">
        <v>3083</v>
      </c>
      <c r="W13" s="14">
        <v>5</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Profile'!$B$9,_TECH_Industry_Templates!$B:$B,"Legal Risk"),"")</f>
        <v>3.5</v>
      </c>
      <c r="AO13" s="48" t="str">
        <f t="shared" si="6"/>
        <v/>
      </c>
      <c r="AP13" s="48">
        <f>IFERROR(SUMIFS(_TECH_Industry_Templates!$E:$E,_TECH_Industry_Templates!$A:$A,'Company Profile'!$B$9,_TECH_Industry_Templates!$B:$B,"Legal Risk"),1)</f>
        <v>1</v>
      </c>
      <c r="AQ13" s="48" t="str">
        <f t="shared" si="7"/>
        <v/>
      </c>
      <c r="AR13" s="48" t="str">
        <f t="shared" si="8"/>
        <v/>
      </c>
      <c r="AS13" s="11">
        <f t="shared" si="9"/>
        <v>0</v>
      </c>
      <c r="AT13" s="11">
        <f t="shared" si="10"/>
        <v>0</v>
      </c>
    </row>
    <row r="14" spans="1:46" ht="71.25">
      <c r="A14" s="7" t="s">
        <v>3084</v>
      </c>
      <c r="B14" s="7" t="s">
        <v>1187</v>
      </c>
      <c r="C14" s="7" t="s">
        <v>3085</v>
      </c>
      <c r="D14" s="7" t="s">
        <v>2992</v>
      </c>
      <c r="E14" s="7" t="s">
        <v>2993</v>
      </c>
      <c r="F14" s="7" t="s">
        <v>3086</v>
      </c>
      <c r="G14" s="7">
        <v>5</v>
      </c>
      <c r="H14" s="153"/>
      <c r="I14" s="8" t="str">
        <f t="shared" si="0"/>
        <v/>
      </c>
      <c r="J14" s="8" t="str">
        <f t="shared" si="1"/>
        <v/>
      </c>
      <c r="K14" s="8" t="str">
        <f t="shared" si="2"/>
        <v/>
      </c>
      <c r="L14" s="7" t="str">
        <f t="shared" si="3"/>
        <v/>
      </c>
      <c r="M14" s="7" t="s">
        <v>3087</v>
      </c>
      <c r="N14" s="7" t="s">
        <v>3088</v>
      </c>
      <c r="O14" s="7" t="s">
        <v>3089</v>
      </c>
      <c r="P14" s="7" t="s">
        <v>3090</v>
      </c>
      <c r="Q14" s="7" t="s">
        <v>3091</v>
      </c>
      <c r="R14" s="7" t="s">
        <v>3092</v>
      </c>
      <c r="S14" s="7" t="s">
        <v>3001</v>
      </c>
      <c r="T14" s="7" t="s">
        <v>3002</v>
      </c>
      <c r="U14" s="7"/>
      <c r="V14" s="7" t="s">
        <v>3093</v>
      </c>
      <c r="W14" s="14">
        <v>5</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Profile'!$B$9,_TECH_Industry_Templates!$B:$B,"Legal Risk"),"")</f>
        <v>3.5</v>
      </c>
      <c r="AO14" s="48" t="str">
        <f t="shared" si="6"/>
        <v/>
      </c>
      <c r="AP14" s="48">
        <f>IFERROR(SUMIFS(_TECH_Industry_Templates!$E:$E,_TECH_Industry_Templates!$A:$A,'Company Profile'!$B$9,_TECH_Industry_Templates!$B:$B,"Legal Risk"),1)</f>
        <v>1</v>
      </c>
      <c r="AQ14" s="48" t="str">
        <f t="shared" si="7"/>
        <v/>
      </c>
      <c r="AR14" s="48" t="str">
        <f t="shared" si="8"/>
        <v/>
      </c>
      <c r="AS14" s="11">
        <f t="shared" si="9"/>
        <v>0</v>
      </c>
      <c r="AT14" s="11">
        <f t="shared" si="10"/>
        <v>0</v>
      </c>
    </row>
    <row r="15" spans="1:46" ht="71.25">
      <c r="A15" s="7" t="s">
        <v>3094</v>
      </c>
      <c r="B15" s="7" t="s">
        <v>1187</v>
      </c>
      <c r="C15" s="7" t="s">
        <v>3095</v>
      </c>
      <c r="D15" s="7" t="s">
        <v>2992</v>
      </c>
      <c r="E15" s="7" t="s">
        <v>2993</v>
      </c>
      <c r="F15" s="7" t="s">
        <v>3096</v>
      </c>
      <c r="G15" s="7">
        <v>5</v>
      </c>
      <c r="H15" s="153"/>
      <c r="I15" s="8" t="str">
        <f t="shared" si="0"/>
        <v/>
      </c>
      <c r="J15" s="8" t="str">
        <f t="shared" si="1"/>
        <v/>
      </c>
      <c r="K15" s="8" t="str">
        <f t="shared" si="2"/>
        <v/>
      </c>
      <c r="L15" s="7" t="str">
        <f t="shared" si="3"/>
        <v/>
      </c>
      <c r="M15" s="7" t="s">
        <v>3097</v>
      </c>
      <c r="N15" s="7" t="s">
        <v>3098</v>
      </c>
      <c r="O15" s="7" t="s">
        <v>3099</v>
      </c>
      <c r="P15" s="7" t="s">
        <v>3100</v>
      </c>
      <c r="Q15" s="7" t="s">
        <v>3101</v>
      </c>
      <c r="R15" s="7" t="s">
        <v>3102</v>
      </c>
      <c r="S15" s="7" t="s">
        <v>3001</v>
      </c>
      <c r="T15" s="7" t="s">
        <v>3002</v>
      </c>
      <c r="U15" s="7"/>
      <c r="V15" s="7" t="s">
        <v>3103</v>
      </c>
      <c r="W15" s="14">
        <v>5</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Profile'!$B$9,_TECH_Industry_Templates!$B:$B,"Legal Risk"),"")</f>
        <v>3.5</v>
      </c>
      <c r="AO15" s="48" t="str">
        <f t="shared" si="6"/>
        <v/>
      </c>
      <c r="AP15" s="48">
        <f>IFERROR(SUMIFS(_TECH_Industry_Templates!$E:$E,_TECH_Industry_Templates!$A:$A,'Company Profile'!$B$9,_TECH_Industry_Templates!$B:$B,"Legal Risk"),1)</f>
        <v>1</v>
      </c>
      <c r="AQ15" s="48" t="str">
        <f t="shared" si="7"/>
        <v/>
      </c>
      <c r="AR15" s="48" t="str">
        <f t="shared" si="8"/>
        <v/>
      </c>
      <c r="AS15" s="11">
        <f t="shared" si="9"/>
        <v>0</v>
      </c>
      <c r="AT15" s="11">
        <f t="shared" si="10"/>
        <v>0</v>
      </c>
    </row>
    <row r="16" spans="1:46" ht="57">
      <c r="A16" s="7" t="s">
        <v>3104</v>
      </c>
      <c r="B16" s="7" t="s">
        <v>1187</v>
      </c>
      <c r="C16" s="7" t="s">
        <v>3105</v>
      </c>
      <c r="D16" s="7" t="s">
        <v>2992</v>
      </c>
      <c r="E16" s="7" t="s">
        <v>2993</v>
      </c>
      <c r="F16" s="7" t="s">
        <v>3106</v>
      </c>
      <c r="G16" s="7">
        <v>5</v>
      </c>
      <c r="H16" s="153"/>
      <c r="I16" s="8" t="str">
        <f t="shared" si="0"/>
        <v/>
      </c>
      <c r="J16" s="8" t="str">
        <f t="shared" si="1"/>
        <v/>
      </c>
      <c r="K16" s="8" t="str">
        <f t="shared" si="2"/>
        <v/>
      </c>
      <c r="L16" s="7" t="str">
        <f t="shared" si="3"/>
        <v/>
      </c>
      <c r="M16" s="7" t="s">
        <v>3107</v>
      </c>
      <c r="N16" s="7" t="s">
        <v>3108</v>
      </c>
      <c r="O16" s="7" t="s">
        <v>3109</v>
      </c>
      <c r="P16" s="7" t="s">
        <v>3110</v>
      </c>
      <c r="Q16" s="7" t="s">
        <v>3111</v>
      </c>
      <c r="R16" s="7" t="s">
        <v>3112</v>
      </c>
      <c r="S16" s="7" t="s">
        <v>3001</v>
      </c>
      <c r="T16" s="7" t="s">
        <v>3002</v>
      </c>
      <c r="U16" s="7"/>
      <c r="V16" s="7" t="s">
        <v>3113</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Profile'!$B$9,_TECH_Industry_Templates!$B:$B,"Legal Risk"),"")</f>
        <v>3.5</v>
      </c>
      <c r="AO16" s="48" t="str">
        <f t="shared" si="6"/>
        <v/>
      </c>
      <c r="AP16" s="48">
        <f>IFERROR(SUMIFS(_TECH_Industry_Templates!$E:$E,_TECH_Industry_Templates!$A:$A,'Company Profile'!$B$9,_TECH_Industry_Templates!$B:$B,"Legal Risk"),1)</f>
        <v>1</v>
      </c>
      <c r="AQ16" s="48" t="str">
        <f t="shared" si="7"/>
        <v/>
      </c>
      <c r="AR16" s="48" t="str">
        <f t="shared" si="8"/>
        <v/>
      </c>
      <c r="AS16" s="11">
        <f t="shared" si="9"/>
        <v>0</v>
      </c>
      <c r="AT16" s="11">
        <f t="shared" si="10"/>
        <v>0</v>
      </c>
    </row>
    <row r="17" spans="1:46" ht="71.25">
      <c r="A17" s="7" t="s">
        <v>3114</v>
      </c>
      <c r="B17" s="7" t="s">
        <v>1195</v>
      </c>
      <c r="C17" s="7" t="s">
        <v>3115</v>
      </c>
      <c r="D17" s="7" t="s">
        <v>2992</v>
      </c>
      <c r="E17" s="7" t="s">
        <v>2993</v>
      </c>
      <c r="F17" s="7" t="s">
        <v>3116</v>
      </c>
      <c r="G17" s="7">
        <v>5</v>
      </c>
      <c r="H17" s="153"/>
      <c r="I17" s="8" t="str">
        <f t="shared" si="0"/>
        <v/>
      </c>
      <c r="J17" s="8" t="str">
        <f t="shared" si="1"/>
        <v/>
      </c>
      <c r="K17" s="8" t="str">
        <f t="shared" si="2"/>
        <v/>
      </c>
      <c r="L17" s="7" t="str">
        <f t="shared" si="3"/>
        <v/>
      </c>
      <c r="M17" s="7" t="s">
        <v>3117</v>
      </c>
      <c r="N17" s="7" t="s">
        <v>3118</v>
      </c>
      <c r="O17" s="7" t="s">
        <v>3119</v>
      </c>
      <c r="P17" s="7" t="s">
        <v>3120</v>
      </c>
      <c r="Q17" s="7" t="s">
        <v>3121</v>
      </c>
      <c r="R17" s="7" t="s">
        <v>3122</v>
      </c>
      <c r="S17" s="7" t="s">
        <v>3001</v>
      </c>
      <c r="T17" s="7" t="s">
        <v>3002</v>
      </c>
      <c r="U17" s="7"/>
      <c r="V17" s="7" t="s">
        <v>3123</v>
      </c>
      <c r="W17" s="14">
        <v>5</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Profile'!$B$9,_TECH_Industry_Templates!$B:$B,"Legal Risk"),"")</f>
        <v>3.5</v>
      </c>
      <c r="AO17" s="48" t="str">
        <f t="shared" si="6"/>
        <v/>
      </c>
      <c r="AP17" s="48">
        <f>IFERROR(SUMIFS(_TECH_Industry_Templates!$E:$E,_TECH_Industry_Templates!$A:$A,'Company Profile'!$B$9,_TECH_Industry_Templates!$B:$B,"Legal Risk"),1)</f>
        <v>1</v>
      </c>
      <c r="AQ17" s="48" t="str">
        <f t="shared" si="7"/>
        <v/>
      </c>
      <c r="AR17" s="48" t="str">
        <f t="shared" si="8"/>
        <v/>
      </c>
      <c r="AS17" s="11">
        <f t="shared" si="9"/>
        <v>0</v>
      </c>
      <c r="AT17" s="11">
        <f t="shared" si="10"/>
        <v>0</v>
      </c>
    </row>
    <row r="18" spans="1:46" ht="71.25">
      <c r="A18" s="7" t="s">
        <v>3124</v>
      </c>
      <c r="B18" s="7" t="s">
        <v>1195</v>
      </c>
      <c r="C18" s="7" t="s">
        <v>3125</v>
      </c>
      <c r="D18" s="7" t="s">
        <v>2992</v>
      </c>
      <c r="E18" s="7" t="s">
        <v>2993</v>
      </c>
      <c r="F18" s="7" t="s">
        <v>3126</v>
      </c>
      <c r="G18" s="7">
        <v>4</v>
      </c>
      <c r="H18" s="153"/>
      <c r="I18" s="8" t="str">
        <f t="shared" si="0"/>
        <v/>
      </c>
      <c r="J18" s="8" t="str">
        <f t="shared" si="1"/>
        <v/>
      </c>
      <c r="K18" s="8" t="str">
        <f t="shared" si="2"/>
        <v/>
      </c>
      <c r="L18" s="7" t="str">
        <f t="shared" si="3"/>
        <v/>
      </c>
      <c r="M18" s="7" t="s">
        <v>3127</v>
      </c>
      <c r="N18" s="7" t="s">
        <v>3128</v>
      </c>
      <c r="O18" s="7" t="s">
        <v>3129</v>
      </c>
      <c r="P18" s="7" t="s">
        <v>3130</v>
      </c>
      <c r="Q18" s="7" t="s">
        <v>3131</v>
      </c>
      <c r="R18" s="7" t="s">
        <v>3132</v>
      </c>
      <c r="S18" s="7" t="s">
        <v>3001</v>
      </c>
      <c r="T18" s="7" t="s">
        <v>3002</v>
      </c>
      <c r="U18" s="7"/>
      <c r="V18" s="7" t="s">
        <v>3133</v>
      </c>
      <c r="W18" s="14">
        <v>5</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Profile'!$B$9,_TECH_Industry_Templates!$B:$B,"Legal Risk"),"")</f>
        <v>3.5</v>
      </c>
      <c r="AO18" s="48" t="str">
        <f t="shared" si="6"/>
        <v/>
      </c>
      <c r="AP18" s="48">
        <f>IFERROR(SUMIFS(_TECH_Industry_Templates!$E:$E,_TECH_Industry_Templates!$A:$A,'Company Profile'!$B$9,_TECH_Industry_Templates!$B:$B,"Legal Risk"),1)</f>
        <v>1</v>
      </c>
      <c r="AQ18" s="48" t="str">
        <f t="shared" si="7"/>
        <v/>
      </c>
      <c r="AR18" s="48" t="str">
        <f t="shared" si="8"/>
        <v/>
      </c>
      <c r="AS18" s="11">
        <f t="shared" si="9"/>
        <v>0</v>
      </c>
      <c r="AT18" s="11">
        <f t="shared" si="10"/>
        <v>0</v>
      </c>
    </row>
    <row r="19" spans="1:46" ht="71.25">
      <c r="A19" s="7" t="s">
        <v>3134</v>
      </c>
      <c r="B19" s="7" t="s">
        <v>1195</v>
      </c>
      <c r="C19" s="7" t="s">
        <v>3135</v>
      </c>
      <c r="D19" s="7" t="s">
        <v>2992</v>
      </c>
      <c r="E19" s="7" t="s">
        <v>2993</v>
      </c>
      <c r="F19" s="7" t="s">
        <v>3136</v>
      </c>
      <c r="G19" s="7">
        <v>5</v>
      </c>
      <c r="H19" s="153"/>
      <c r="I19" s="8" t="str">
        <f t="shared" si="0"/>
        <v/>
      </c>
      <c r="J19" s="8" t="str">
        <f t="shared" si="1"/>
        <v/>
      </c>
      <c r="K19" s="8" t="str">
        <f t="shared" si="2"/>
        <v/>
      </c>
      <c r="L19" s="7" t="str">
        <f t="shared" si="3"/>
        <v/>
      </c>
      <c r="M19" s="7" t="s">
        <v>3137</v>
      </c>
      <c r="N19" s="7" t="s">
        <v>3138</v>
      </c>
      <c r="O19" s="7" t="s">
        <v>3139</v>
      </c>
      <c r="P19" s="7" t="s">
        <v>3140</v>
      </c>
      <c r="Q19" s="7" t="s">
        <v>3141</v>
      </c>
      <c r="R19" s="7" t="s">
        <v>3142</v>
      </c>
      <c r="S19" s="7" t="s">
        <v>3001</v>
      </c>
      <c r="T19" s="7" t="s">
        <v>3002</v>
      </c>
      <c r="U19" s="7"/>
      <c r="V19" s="7" t="s">
        <v>3143</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Profile'!$B$9,_TECH_Industry_Templates!$B:$B,"Legal Risk"),"")</f>
        <v>3.5</v>
      </c>
      <c r="AO19" s="48" t="str">
        <f t="shared" si="6"/>
        <v/>
      </c>
      <c r="AP19" s="48">
        <f>IFERROR(SUMIFS(_TECH_Industry_Templates!$E:$E,_TECH_Industry_Templates!$A:$A,'Company Profile'!$B$9,_TECH_Industry_Templates!$B:$B,"Legal Risk"),1)</f>
        <v>1</v>
      </c>
      <c r="AQ19" s="48" t="str">
        <f t="shared" si="7"/>
        <v/>
      </c>
      <c r="AR19" s="48" t="str">
        <f t="shared" si="8"/>
        <v/>
      </c>
      <c r="AS19" s="11">
        <f t="shared" si="9"/>
        <v>0</v>
      </c>
      <c r="AT19" s="11">
        <f t="shared" si="10"/>
        <v>0</v>
      </c>
    </row>
    <row r="20" spans="1:46" ht="71.25">
      <c r="A20" s="7" t="s">
        <v>3144</v>
      </c>
      <c r="B20" s="7" t="s">
        <v>1195</v>
      </c>
      <c r="C20" s="7" t="s">
        <v>3145</v>
      </c>
      <c r="D20" s="7" t="s">
        <v>2992</v>
      </c>
      <c r="E20" s="7" t="s">
        <v>2993</v>
      </c>
      <c r="F20" s="7" t="s">
        <v>3146</v>
      </c>
      <c r="G20" s="7">
        <v>5</v>
      </c>
      <c r="H20" s="153"/>
      <c r="I20" s="8" t="str">
        <f t="shared" si="0"/>
        <v/>
      </c>
      <c r="J20" s="8" t="str">
        <f t="shared" si="1"/>
        <v/>
      </c>
      <c r="K20" s="8" t="str">
        <f t="shared" si="2"/>
        <v/>
      </c>
      <c r="L20" s="7" t="str">
        <f t="shared" si="3"/>
        <v/>
      </c>
      <c r="M20" s="7" t="s">
        <v>3147</v>
      </c>
      <c r="N20" s="7" t="s">
        <v>3148</v>
      </c>
      <c r="O20" s="7" t="s">
        <v>3149</v>
      </c>
      <c r="P20" s="7" t="s">
        <v>3150</v>
      </c>
      <c r="Q20" s="7" t="s">
        <v>3151</v>
      </c>
      <c r="R20" s="7" t="s">
        <v>3152</v>
      </c>
      <c r="S20" s="7" t="s">
        <v>3001</v>
      </c>
      <c r="T20" s="7" t="s">
        <v>3002</v>
      </c>
      <c r="U20" s="7"/>
      <c r="V20" s="7" t="s">
        <v>3153</v>
      </c>
      <c r="W20" s="14">
        <v>5</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Profile'!$B$9,_TECH_Industry_Templates!$B:$B,"Legal Risk"),"")</f>
        <v>3.5</v>
      </c>
      <c r="AO20" s="48" t="str">
        <f t="shared" si="6"/>
        <v/>
      </c>
      <c r="AP20" s="48">
        <f>IFERROR(SUMIFS(_TECH_Industry_Templates!$E:$E,_TECH_Industry_Templates!$A:$A,'Company Profile'!$B$9,_TECH_Industry_Templates!$B:$B,"Legal Risk"),1)</f>
        <v>1</v>
      </c>
      <c r="AQ20" s="48" t="str">
        <f t="shared" si="7"/>
        <v/>
      </c>
      <c r="AR20" s="48" t="str">
        <f t="shared" si="8"/>
        <v/>
      </c>
      <c r="AS20" s="11">
        <f t="shared" si="9"/>
        <v>0</v>
      </c>
      <c r="AT20" s="11">
        <f t="shared" si="10"/>
        <v>0</v>
      </c>
    </row>
    <row r="21" spans="1:46" ht="71.25">
      <c r="A21" s="7" t="s">
        <v>3154</v>
      </c>
      <c r="B21" s="7" t="s">
        <v>1195</v>
      </c>
      <c r="C21" s="7" t="s">
        <v>3155</v>
      </c>
      <c r="D21" s="7" t="s">
        <v>2992</v>
      </c>
      <c r="E21" s="7" t="s">
        <v>2993</v>
      </c>
      <c r="F21" s="7" t="s">
        <v>3156</v>
      </c>
      <c r="G21" s="7">
        <v>5</v>
      </c>
      <c r="H21" s="153"/>
      <c r="I21" s="8" t="str">
        <f t="shared" si="0"/>
        <v/>
      </c>
      <c r="J21" s="8" t="str">
        <f t="shared" si="1"/>
        <v/>
      </c>
      <c r="K21" s="8" t="str">
        <f t="shared" si="2"/>
        <v/>
      </c>
      <c r="L21" s="7" t="str">
        <f t="shared" si="3"/>
        <v/>
      </c>
      <c r="M21" s="7" t="s">
        <v>3157</v>
      </c>
      <c r="N21" s="7" t="s">
        <v>3158</v>
      </c>
      <c r="O21" s="7" t="s">
        <v>3159</v>
      </c>
      <c r="P21" s="7" t="s">
        <v>3160</v>
      </c>
      <c r="Q21" s="7" t="s">
        <v>3161</v>
      </c>
      <c r="R21" s="7" t="s">
        <v>3162</v>
      </c>
      <c r="S21" s="7" t="s">
        <v>3001</v>
      </c>
      <c r="T21" s="7" t="s">
        <v>3002</v>
      </c>
      <c r="U21" s="7"/>
      <c r="V21" s="7" t="s">
        <v>3163</v>
      </c>
      <c r="W21" s="14">
        <v>5</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Profile'!$B$9,_TECH_Industry_Templates!$B:$B,"Legal Risk"),"")</f>
        <v>3.5</v>
      </c>
      <c r="AO21" s="48" t="str">
        <f t="shared" si="6"/>
        <v/>
      </c>
      <c r="AP21" s="48">
        <f>IFERROR(SUMIFS(_TECH_Industry_Templates!$E:$E,_TECH_Industry_Templates!$A:$A,'Company Profile'!$B$9,_TECH_Industry_Templates!$B:$B,"Legal Risk"),1)</f>
        <v>1</v>
      </c>
      <c r="AQ21" s="48" t="str">
        <f t="shared" si="7"/>
        <v/>
      </c>
      <c r="AR21" s="48" t="str">
        <f t="shared" si="8"/>
        <v/>
      </c>
      <c r="AS21" s="11">
        <f t="shared" si="9"/>
        <v>0</v>
      </c>
      <c r="AT21" s="11">
        <f t="shared" si="10"/>
        <v>0</v>
      </c>
    </row>
    <row r="22" spans="1:46" ht="71.25">
      <c r="A22" s="7" t="s">
        <v>3164</v>
      </c>
      <c r="B22" s="7" t="s">
        <v>1195</v>
      </c>
      <c r="C22" s="7" t="s">
        <v>3165</v>
      </c>
      <c r="D22" s="7" t="s">
        <v>2992</v>
      </c>
      <c r="E22" s="7" t="s">
        <v>2993</v>
      </c>
      <c r="F22" s="7" t="s">
        <v>3166</v>
      </c>
      <c r="G22" s="7">
        <v>5</v>
      </c>
      <c r="H22" s="153"/>
      <c r="I22" s="8" t="str">
        <f t="shared" si="0"/>
        <v/>
      </c>
      <c r="J22" s="8" t="str">
        <f t="shared" si="1"/>
        <v/>
      </c>
      <c r="K22" s="8" t="str">
        <f t="shared" si="2"/>
        <v/>
      </c>
      <c r="L22" s="7" t="str">
        <f t="shared" si="3"/>
        <v/>
      </c>
      <c r="M22" s="7" t="s">
        <v>3167</v>
      </c>
      <c r="N22" s="7" t="s">
        <v>3168</v>
      </c>
      <c r="O22" s="7" t="s">
        <v>3169</v>
      </c>
      <c r="P22" s="7" t="s">
        <v>3170</v>
      </c>
      <c r="Q22" s="7" t="s">
        <v>3171</v>
      </c>
      <c r="R22" s="7" t="s">
        <v>3172</v>
      </c>
      <c r="S22" s="7" t="s">
        <v>3001</v>
      </c>
      <c r="T22" s="7" t="s">
        <v>3002</v>
      </c>
      <c r="U22" s="7"/>
      <c r="V22" s="7" t="s">
        <v>3173</v>
      </c>
      <c r="W22" s="14">
        <v>5</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Profile'!$B$9,_TECH_Industry_Templates!$B:$B,"Legal Risk"),"")</f>
        <v>3.5</v>
      </c>
      <c r="AO22" s="48" t="str">
        <f t="shared" si="6"/>
        <v/>
      </c>
      <c r="AP22" s="48">
        <f>IFERROR(SUMIFS(_TECH_Industry_Templates!$E:$E,_TECH_Industry_Templates!$A:$A,'Company Profile'!$B$9,_TECH_Industry_Templates!$B:$B,"Legal Risk"),1)</f>
        <v>1</v>
      </c>
      <c r="AQ22" s="48" t="str">
        <f t="shared" si="7"/>
        <v/>
      </c>
      <c r="AR22" s="48" t="str">
        <f t="shared" si="8"/>
        <v/>
      </c>
      <c r="AS22" s="11">
        <f t="shared" si="9"/>
        <v>0</v>
      </c>
      <c r="AT22" s="11">
        <f t="shared" si="10"/>
        <v>0</v>
      </c>
    </row>
    <row r="23" spans="1:46" ht="71.25">
      <c r="A23" s="7" t="s">
        <v>3174</v>
      </c>
      <c r="B23" s="7" t="s">
        <v>1203</v>
      </c>
      <c r="C23" s="7" t="s">
        <v>3175</v>
      </c>
      <c r="D23" s="7" t="s">
        <v>2992</v>
      </c>
      <c r="E23" s="7" t="s">
        <v>2993</v>
      </c>
      <c r="F23" s="7" t="s">
        <v>3176</v>
      </c>
      <c r="G23" s="7">
        <v>3</v>
      </c>
      <c r="H23" s="153"/>
      <c r="I23" s="8" t="str">
        <f t="shared" si="0"/>
        <v/>
      </c>
      <c r="J23" s="8" t="str">
        <f t="shared" si="1"/>
        <v/>
      </c>
      <c r="K23" s="8" t="str">
        <f t="shared" si="2"/>
        <v/>
      </c>
      <c r="L23" s="7" t="str">
        <f t="shared" si="3"/>
        <v/>
      </c>
      <c r="M23" s="7" t="s">
        <v>3177</v>
      </c>
      <c r="N23" s="7" t="s">
        <v>3178</v>
      </c>
      <c r="O23" s="7" t="s">
        <v>3179</v>
      </c>
      <c r="P23" s="7" t="s">
        <v>3180</v>
      </c>
      <c r="Q23" s="7" t="s">
        <v>3181</v>
      </c>
      <c r="R23" s="7" t="s">
        <v>3182</v>
      </c>
      <c r="S23" s="7" t="s">
        <v>3001</v>
      </c>
      <c r="T23" s="7" t="s">
        <v>3002</v>
      </c>
      <c r="U23" s="7"/>
      <c r="V23" s="7" t="s">
        <v>3183</v>
      </c>
      <c r="W23" s="14">
        <v>5</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Profile'!$B$9,_TECH_Industry_Templates!$B:$B,"Legal Risk"),"")</f>
        <v>3.5</v>
      </c>
      <c r="AO23" s="48" t="str">
        <f t="shared" si="6"/>
        <v/>
      </c>
      <c r="AP23" s="48">
        <f>IFERROR(SUMIFS(_TECH_Industry_Templates!$E:$E,_TECH_Industry_Templates!$A:$A,'Company Profile'!$B$9,_TECH_Industry_Templates!$B:$B,"Legal Risk"),1)</f>
        <v>1</v>
      </c>
      <c r="AQ23" s="48" t="str">
        <f t="shared" si="7"/>
        <v/>
      </c>
      <c r="AR23" s="48" t="str">
        <f t="shared" si="8"/>
        <v/>
      </c>
      <c r="AS23" s="11">
        <f t="shared" si="9"/>
        <v>0</v>
      </c>
      <c r="AT23" s="11">
        <f t="shared" si="10"/>
        <v>0</v>
      </c>
    </row>
    <row r="24" spans="1:46" ht="71.25">
      <c r="A24" s="7" t="s">
        <v>3184</v>
      </c>
      <c r="B24" s="7" t="s">
        <v>1203</v>
      </c>
      <c r="C24" s="7" t="s">
        <v>3185</v>
      </c>
      <c r="D24" s="7" t="s">
        <v>2992</v>
      </c>
      <c r="E24" s="7" t="s">
        <v>2993</v>
      </c>
      <c r="F24" s="7" t="s">
        <v>3186</v>
      </c>
      <c r="G24" s="7">
        <v>5</v>
      </c>
      <c r="H24" s="153"/>
      <c r="I24" s="8" t="str">
        <f t="shared" si="0"/>
        <v/>
      </c>
      <c r="J24" s="8" t="str">
        <f t="shared" si="1"/>
        <v/>
      </c>
      <c r="K24" s="8" t="str">
        <f t="shared" si="2"/>
        <v/>
      </c>
      <c r="L24" s="7" t="str">
        <f t="shared" si="3"/>
        <v/>
      </c>
      <c r="M24" s="7" t="s">
        <v>3187</v>
      </c>
      <c r="N24" s="7" t="s">
        <v>3188</v>
      </c>
      <c r="O24" s="7" t="s">
        <v>3189</v>
      </c>
      <c r="P24" s="7" t="s">
        <v>3190</v>
      </c>
      <c r="Q24" s="7" t="s">
        <v>3191</v>
      </c>
      <c r="R24" s="7" t="s">
        <v>3192</v>
      </c>
      <c r="S24" s="7" t="s">
        <v>3001</v>
      </c>
      <c r="T24" s="7" t="s">
        <v>3002</v>
      </c>
      <c r="U24" s="7"/>
      <c r="V24" s="7" t="s">
        <v>3193</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Profile'!$B$9,_TECH_Industry_Templates!$B:$B,"Legal Risk"),"")</f>
        <v>3.5</v>
      </c>
      <c r="AO24" s="48" t="str">
        <f t="shared" si="6"/>
        <v/>
      </c>
      <c r="AP24" s="48">
        <f>IFERROR(SUMIFS(_TECH_Industry_Templates!$E:$E,_TECH_Industry_Templates!$A:$A,'Company Profile'!$B$9,_TECH_Industry_Templates!$B:$B,"Legal Risk"),1)</f>
        <v>1</v>
      </c>
      <c r="AQ24" s="48" t="str">
        <f t="shared" si="7"/>
        <v/>
      </c>
      <c r="AR24" s="48" t="str">
        <f t="shared" si="8"/>
        <v/>
      </c>
      <c r="AS24" s="11">
        <f t="shared" si="9"/>
        <v>0</v>
      </c>
      <c r="AT24" s="11">
        <f t="shared" si="10"/>
        <v>0</v>
      </c>
    </row>
  </sheetData>
  <mergeCells count="4">
    <mergeCell ref="A2:V2"/>
    <mergeCell ref="AA3:AG3"/>
    <mergeCell ref="A1:V1"/>
    <mergeCell ref="W3:Y3"/>
  </mergeCells>
  <conditionalFormatting sqref="H5:H24">
    <cfRule type="colorScale" priority="1">
      <colorScale>
        <cfvo type="min"/>
        <cfvo type="percentile" val="50"/>
        <cfvo type="max"/>
        <color rgb="FFF8696B"/>
        <color rgb="FFFFEB84"/>
        <color rgb="FF63BE7B"/>
      </colorScale>
    </cfRule>
  </conditionalFormatting>
  <conditionalFormatting sqref="L5:L24">
    <cfRule type="expression" dxfId="71" priority="2">
      <formula>$L5="Critical"</formula>
    </cfRule>
    <cfRule type="expression" dxfId="70" priority="3">
      <formula>$L5="High"</formula>
    </cfRule>
    <cfRule type="expression" dxfId="69" priority="4">
      <formula>$L5="Medium"</formula>
    </cfRule>
    <cfRule type="expression" dxfId="68" priority="5">
      <formula>$L5="Low"</formula>
    </cfRule>
    <cfRule type="expression" dxfId="67"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4" ns2:uid="{00000000-0002-0000-1800-000000000000}">
      <formula1>"N/A,0,1,2,3,4,5"</formula1>
    </dataValidation>
    <dataValidation type="list" sqref="G5:G24" ns2:uid="{00000000-0002-0000-1800-000001000000}">
      <formula1>"1,2,3,4,5"</formula1>
    </dataValidation>
    <dataValidation type="list" sqref="W5:Y24" ns2:uid="{00000000-0002-0000-1800-000002000000}">
      <formula1>"0,1,2,3,4,5"</formula1>
    </dataValidation>
    <dataValidation type="list" allowBlank="1" sqref="AH5:AI24" ns2:uid="{00000000-0002-0000-18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900-000000000000}">
  <sheetPr>
    <tabColor rgb="FFED7D31"/>
  </sheetPr>
  <dimension ref="A1:AT32"/>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3194</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3195</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3196</v>
      </c>
      <c r="B5" s="7" t="s">
        <v>1211</v>
      </c>
      <c r="C5" s="7" t="s">
        <v>3197</v>
      </c>
      <c r="D5" s="7" t="s">
        <v>3198</v>
      </c>
      <c r="E5" s="7" t="s">
        <v>3199</v>
      </c>
      <c r="F5" s="7" t="s">
        <v>3200</v>
      </c>
      <c r="G5" s="7">
        <v>5</v>
      </c>
      <c r="H5" s="153"/>
      <c r="I5" s="8" t="str">
        <f t="shared" ref="I5:I32" si="0">IF($H5="","",IF($H5="N/A","",VALUE($H5)/5*$G5))</f>
        <v/>
      </c>
      <c r="J5" s="8" t="str">
        <f t="shared" ref="J5:J32" si="1">IF(OR($H5="",$H5="N/A"),"",$G5)</f>
        <v/>
      </c>
      <c r="K5" s="8" t="str">
        <f t="shared" ref="K5:K32" si="2">IF(OR($H5="",$H5="N/A"),"",$J5-$I5)</f>
        <v/>
      </c>
      <c r="L5" s="7" t="str">
        <f t="shared" ref="L5:L32" si="3">IF($H5="","",IF($H5="N/A","N/A",IF(VALUE($H5)&lt;=1,"Critical",IF(VALUE($H5)&lt;=2,"High",IF(VALUE($H5)&lt;=3,"Medium",IF(VALUE($H5)&lt;=4,"Low","Resilient"))))))</f>
        <v/>
      </c>
      <c r="M5" s="7" t="s">
        <v>3201</v>
      </c>
      <c r="N5" s="7" t="s">
        <v>3202</v>
      </c>
      <c r="O5" s="7" t="s">
        <v>3203</v>
      </c>
      <c r="P5" s="7" t="s">
        <v>3204</v>
      </c>
      <c r="Q5" s="7" t="s">
        <v>3205</v>
      </c>
      <c r="R5" s="7" t="s">
        <v>3206</v>
      </c>
      <c r="S5" s="7" t="s">
        <v>3207</v>
      </c>
      <c r="T5" s="7" t="s">
        <v>3208</v>
      </c>
      <c r="U5" s="7"/>
      <c r="V5" s="7" t="s">
        <v>3209</v>
      </c>
      <c r="W5" s="14">
        <v>4</v>
      </c>
      <c r="X5" s="14">
        <v>5</v>
      </c>
      <c r="Y5" s="14">
        <v>5</v>
      </c>
      <c r="AA5" t="s">
        <v>1211</v>
      </c>
      <c r="AB5" s="13">
        <f>COUNTIF($B$5:$B$32,$AA5)</f>
        <v>6</v>
      </c>
      <c r="AC5" s="15">
        <f>IFERROR(SUMPRODUCT(($B$5:$B$32=$AA5)*($H$5:$H$32&lt;&gt;"")*($H$5:$H$32&lt;&gt;"N/A")*IFERROR(VALUE($H$5:$H$32),0))/SUMPRODUCT(($B$5:$B$32=$AA5)*($H$5:$H$32&lt;&gt;"")*($H$5:$H$32&lt;&gt;"N/A")),0)</f>
        <v>0</v>
      </c>
      <c r="AD5" s="16">
        <f>AC5/5</f>
        <v>0</v>
      </c>
      <c r="AE5" s="13">
        <f>COUNTIFS($B$5:$B$32,$AA5,$L$5:$L$32,"Critical")+COUNTIFS($B$5:$B$32,$AA5,$L$5:$L$32,"High")</f>
        <v>0</v>
      </c>
      <c r="AF5" s="15">
        <f>5-AC5</f>
        <v>5</v>
      </c>
      <c r="AG5" s="13">
        <f>COUNTIFS($B$5:$B$32,$AA5,$H$5:$H$32,"&lt;&gt;")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32" si="4">IF(OR($H5="",$H5="N/A"),"",ROUND(VALUE($H5)*$AJ5*$AK5,2))</f>
        <v/>
      </c>
      <c r="AM5" s="48" t="str">
        <f t="shared" ref="AM5:AM32" si="5">IF($AL5="","",ROUND($AL5/5*100,1))</f>
        <v/>
      </c>
      <c r="AN5" s="48">
        <f>IFERROR(SUMIFS(_TECH_Industry_Templates!$D:$D,_TECH_Industry_Templates!$A:$A,'Company Profile'!$B$9,_TECH_Industry_Templates!$B:$B,"Physical Safety"),"")</f>
        <v>2.8</v>
      </c>
      <c r="AO5" s="48" t="str">
        <f t="shared" ref="AO5:AO32" si="6">IF($AL5="","",MAX(0,ROUND($AN5-$AL5,2)))</f>
        <v/>
      </c>
      <c r="AP5" s="48">
        <f>IFERROR(SUMIFS(_TECH_Industry_Templates!$E:$E,_TECH_Industry_Templates!$A:$A,'Company Profile'!$B$9,_TECH_Industry_Templates!$B:$B,"Physical Safety"),1)</f>
        <v>0.9</v>
      </c>
      <c r="AQ5" s="48" t="str">
        <f t="shared" ref="AQ5:AQ32" si="7">IF($AO5="","",ROUND($AO5*$AP5*($G5/5),2))</f>
        <v/>
      </c>
      <c r="AR5" s="48" t="str">
        <f t="shared" ref="AR5:AR32" si="8">IF($AO5="","",IF($AO5&gt;=2,"Critical industry gap",IF($AO5&gt;=1,"High industry gap",IF($AO5&gt;=0.5,"Moderate industry gap","Within target"))))</f>
        <v/>
      </c>
      <c r="AS5" s="11">
        <f t="shared" ref="AS5:AS32" si="9">IF(OR($H5="",$H5="N/A"),0,VALUE($H5)*(($AJ5+$AK5)/2))</f>
        <v>0</v>
      </c>
      <c r="AT5" s="11">
        <f t="shared" ref="AT5:AT32" si="10">IF(OR($H5="",$H5="N/A"),0,($AJ5+$AK5)/2)</f>
        <v>0</v>
      </c>
    </row>
    <row r="6" spans="1:46" ht="71.25">
      <c r="A6" s="7" t="s">
        <v>3210</v>
      </c>
      <c r="B6" s="7" t="s">
        <v>1211</v>
      </c>
      <c r="C6" s="7" t="s">
        <v>3211</v>
      </c>
      <c r="D6" s="7" t="s">
        <v>3198</v>
      </c>
      <c r="E6" s="7" t="s">
        <v>3199</v>
      </c>
      <c r="F6" s="7" t="s">
        <v>3212</v>
      </c>
      <c r="G6" s="7">
        <v>5</v>
      </c>
      <c r="H6" s="153"/>
      <c r="I6" s="8" t="str">
        <f t="shared" si="0"/>
        <v/>
      </c>
      <c r="J6" s="8" t="str">
        <f t="shared" si="1"/>
        <v/>
      </c>
      <c r="K6" s="8" t="str">
        <f t="shared" si="2"/>
        <v/>
      </c>
      <c r="L6" s="7" t="str">
        <f t="shared" si="3"/>
        <v/>
      </c>
      <c r="M6" s="7" t="s">
        <v>3213</v>
      </c>
      <c r="N6" s="7" t="s">
        <v>3214</v>
      </c>
      <c r="O6" s="7" t="s">
        <v>3215</v>
      </c>
      <c r="P6" s="7" t="s">
        <v>3216</v>
      </c>
      <c r="Q6" s="7" t="s">
        <v>3217</v>
      </c>
      <c r="R6" s="7" t="s">
        <v>3218</v>
      </c>
      <c r="S6" s="7" t="s">
        <v>3207</v>
      </c>
      <c r="T6" s="7" t="s">
        <v>3208</v>
      </c>
      <c r="U6" s="7"/>
      <c r="V6" s="7" t="s">
        <v>3219</v>
      </c>
      <c r="W6" s="14">
        <v>4</v>
      </c>
      <c r="X6" s="14">
        <v>5</v>
      </c>
      <c r="Y6" s="14">
        <v>5</v>
      </c>
      <c r="AA6" t="s">
        <v>1226</v>
      </c>
      <c r="AB6" s="13">
        <f>COUNTIF($B$5:$B$32,$AA6)</f>
        <v>6</v>
      </c>
      <c r="AC6" s="15">
        <f>IFERROR(SUMPRODUCT(($B$5:$B$32=$AA6)*($H$5:$H$32&lt;&gt;"")*($H$5:$H$32&lt;&gt;"N/A")*IFERROR(VALUE($H$5:$H$32),0))/SUMPRODUCT(($B$5:$B$32=$AA6)*($H$5:$H$32&lt;&gt;"")*($H$5:$H$32&lt;&gt;"N/A")),0)</f>
        <v>0</v>
      </c>
      <c r="AD6" s="16">
        <f>AC6/5</f>
        <v>0</v>
      </c>
      <c r="AE6" s="13">
        <f>COUNTIFS($B$5:$B$32,$AA6,$L$5:$L$32,"Critical")+COUNTIFS($B$5:$B$32,$AA6,$L$5:$L$32,"High")</f>
        <v>0</v>
      </c>
      <c r="AF6" s="15">
        <f>5-AC6</f>
        <v>5</v>
      </c>
      <c r="AG6" s="13">
        <f>COUNTIFS($B$5:$B$32,$AA6,$H$5:$H$32,"&lt;&gt;")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Profile'!$B$9,_TECH_Industry_Templates!$B:$B,"Physical Safety"),"")</f>
        <v>2.8</v>
      </c>
      <c r="AO6" s="48" t="str">
        <f t="shared" si="6"/>
        <v/>
      </c>
      <c r="AP6" s="48">
        <f>IFERROR(SUMIFS(_TECH_Industry_Templates!$E:$E,_TECH_Industry_Templates!$A:$A,'Company Profile'!$B$9,_TECH_Industry_Templates!$B:$B,"Physical Safety"),1)</f>
        <v>0.9</v>
      </c>
      <c r="AQ6" s="48" t="str">
        <f t="shared" si="7"/>
        <v/>
      </c>
      <c r="AR6" s="48" t="str">
        <f t="shared" si="8"/>
        <v/>
      </c>
      <c r="AS6" s="11">
        <f t="shared" si="9"/>
        <v>0</v>
      </c>
      <c r="AT6" s="11">
        <f t="shared" si="10"/>
        <v>0</v>
      </c>
    </row>
    <row r="7" spans="1:46" ht="57">
      <c r="A7" s="7" t="s">
        <v>3220</v>
      </c>
      <c r="B7" s="7" t="s">
        <v>1211</v>
      </c>
      <c r="C7" s="7" t="s">
        <v>3221</v>
      </c>
      <c r="D7" s="7" t="s">
        <v>3198</v>
      </c>
      <c r="E7" s="7" t="s">
        <v>3199</v>
      </c>
      <c r="F7" s="7" t="s">
        <v>3222</v>
      </c>
      <c r="G7" s="7">
        <v>5</v>
      </c>
      <c r="H7" s="153"/>
      <c r="I7" s="8" t="str">
        <f t="shared" si="0"/>
        <v/>
      </c>
      <c r="J7" s="8" t="str">
        <f t="shared" si="1"/>
        <v/>
      </c>
      <c r="K7" s="8" t="str">
        <f t="shared" si="2"/>
        <v/>
      </c>
      <c r="L7" s="7" t="str">
        <f t="shared" si="3"/>
        <v/>
      </c>
      <c r="M7" s="7" t="s">
        <v>3223</v>
      </c>
      <c r="N7" s="7" t="s">
        <v>3224</v>
      </c>
      <c r="O7" s="7" t="s">
        <v>3225</v>
      </c>
      <c r="P7" s="7" t="s">
        <v>3226</v>
      </c>
      <c r="Q7" s="7" t="s">
        <v>3227</v>
      </c>
      <c r="R7" s="7" t="s">
        <v>3228</v>
      </c>
      <c r="S7" s="7" t="s">
        <v>3207</v>
      </c>
      <c r="T7" s="7" t="s">
        <v>3208</v>
      </c>
      <c r="U7" s="7"/>
      <c r="V7" s="7" t="s">
        <v>3229</v>
      </c>
      <c r="W7" s="14">
        <v>4</v>
      </c>
      <c r="X7" s="14">
        <v>5</v>
      </c>
      <c r="Y7" s="14">
        <v>5</v>
      </c>
      <c r="AA7" t="s">
        <v>1234</v>
      </c>
      <c r="AB7" s="13">
        <f>COUNTIF($B$5:$B$32,$AA7)</f>
        <v>6</v>
      </c>
      <c r="AC7" s="15">
        <f>IFERROR(SUMPRODUCT(($B$5:$B$32=$AA7)*($H$5:$H$32&lt;&gt;"")*($H$5:$H$32&lt;&gt;"N/A")*IFERROR(VALUE($H$5:$H$32),0))/SUMPRODUCT(($B$5:$B$32=$AA7)*($H$5:$H$32&lt;&gt;"")*($H$5:$H$32&lt;&gt;"N/A")),0)</f>
        <v>0</v>
      </c>
      <c r="AD7" s="16">
        <f>AC7/5</f>
        <v>0</v>
      </c>
      <c r="AE7" s="13">
        <f>COUNTIFS($B$5:$B$32,$AA7,$L$5:$L$32,"Critical")+COUNTIFS($B$5:$B$32,$AA7,$L$5:$L$32,"High")</f>
        <v>0</v>
      </c>
      <c r="AF7" s="15">
        <f>5-AC7</f>
        <v>5</v>
      </c>
      <c r="AG7" s="13">
        <f>COUNTIFS($B$5:$B$32,$AA7,$H$5:$H$32,"&lt;&gt;")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Profile'!$B$9,_TECH_Industry_Templates!$B:$B,"Physical Safety"),"")</f>
        <v>2.8</v>
      </c>
      <c r="AO7" s="48" t="str">
        <f t="shared" si="6"/>
        <v/>
      </c>
      <c r="AP7" s="48">
        <f>IFERROR(SUMIFS(_TECH_Industry_Templates!$E:$E,_TECH_Industry_Templates!$A:$A,'Company Profile'!$B$9,_TECH_Industry_Templates!$B:$B,"Physical Safety"),1)</f>
        <v>0.9</v>
      </c>
      <c r="AQ7" s="48" t="str">
        <f t="shared" si="7"/>
        <v/>
      </c>
      <c r="AR7" s="48" t="str">
        <f t="shared" si="8"/>
        <v/>
      </c>
      <c r="AS7" s="11">
        <f t="shared" si="9"/>
        <v>0</v>
      </c>
      <c r="AT7" s="11">
        <f t="shared" si="10"/>
        <v>0</v>
      </c>
    </row>
    <row r="8" spans="1:46" ht="71.25">
      <c r="A8" s="7" t="s">
        <v>3230</v>
      </c>
      <c r="B8" s="7" t="s">
        <v>1211</v>
      </c>
      <c r="C8" s="7" t="s">
        <v>3231</v>
      </c>
      <c r="D8" s="7" t="s">
        <v>3198</v>
      </c>
      <c r="E8" s="7" t="s">
        <v>3199</v>
      </c>
      <c r="F8" s="7" t="s">
        <v>3232</v>
      </c>
      <c r="G8" s="7">
        <v>5</v>
      </c>
      <c r="H8" s="153"/>
      <c r="I8" s="8" t="str">
        <f t="shared" si="0"/>
        <v/>
      </c>
      <c r="J8" s="8" t="str">
        <f t="shared" si="1"/>
        <v/>
      </c>
      <c r="K8" s="8" t="str">
        <f t="shared" si="2"/>
        <v/>
      </c>
      <c r="L8" s="7" t="str">
        <f t="shared" si="3"/>
        <v/>
      </c>
      <c r="M8" s="7" t="s">
        <v>3233</v>
      </c>
      <c r="N8" s="7" t="s">
        <v>3234</v>
      </c>
      <c r="O8" s="7" t="s">
        <v>3235</v>
      </c>
      <c r="P8" s="7" t="s">
        <v>3236</v>
      </c>
      <c r="Q8" s="7" t="s">
        <v>3237</v>
      </c>
      <c r="R8" s="7" t="s">
        <v>3238</v>
      </c>
      <c r="S8" s="7" t="s">
        <v>3207</v>
      </c>
      <c r="T8" s="7" t="s">
        <v>3208</v>
      </c>
      <c r="U8" s="7"/>
      <c r="V8" s="7" t="s">
        <v>3239</v>
      </c>
      <c r="W8" s="14">
        <v>4</v>
      </c>
      <c r="X8" s="14">
        <v>5</v>
      </c>
      <c r="Y8" s="14">
        <v>5</v>
      </c>
      <c r="AA8" t="s">
        <v>1242</v>
      </c>
      <c r="AB8" s="13">
        <f>COUNTIF($B$5:$B$32,$AA8)</f>
        <v>5</v>
      </c>
      <c r="AC8" s="15">
        <f>IFERROR(SUMPRODUCT(($B$5:$B$32=$AA8)*($H$5:$H$32&lt;&gt;"")*($H$5:$H$32&lt;&gt;"N/A")*IFERROR(VALUE($H$5:$H$32),0))/SUMPRODUCT(($B$5:$B$32=$AA8)*($H$5:$H$32&lt;&gt;"")*($H$5:$H$32&lt;&gt;"N/A")),0)</f>
        <v>0</v>
      </c>
      <c r="AD8" s="16">
        <f>AC8/5</f>
        <v>0</v>
      </c>
      <c r="AE8" s="13">
        <f>COUNTIFS($B$5:$B$32,$AA8,$L$5:$L$32,"Critical")+COUNTIFS($B$5:$B$32,$AA8,$L$5:$L$32,"High")</f>
        <v>0</v>
      </c>
      <c r="AF8" s="15">
        <f>5-AC8</f>
        <v>5</v>
      </c>
      <c r="AG8" s="13">
        <f>COUNTIFS($B$5:$B$32,$AA8,$H$5:$H$32,"&lt;&gt;")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Profile'!$B$9,_TECH_Industry_Templates!$B:$B,"Physical Safety"),"")</f>
        <v>2.8</v>
      </c>
      <c r="AO8" s="48" t="str">
        <f t="shared" si="6"/>
        <v/>
      </c>
      <c r="AP8" s="48">
        <f>IFERROR(SUMIFS(_TECH_Industry_Templates!$E:$E,_TECH_Industry_Templates!$A:$A,'Company Profile'!$B$9,_TECH_Industry_Templates!$B:$B,"Physical Safety"),1)</f>
        <v>0.9</v>
      </c>
      <c r="AQ8" s="48" t="str">
        <f t="shared" si="7"/>
        <v/>
      </c>
      <c r="AR8" s="48" t="str">
        <f t="shared" si="8"/>
        <v/>
      </c>
      <c r="AS8" s="11">
        <f t="shared" si="9"/>
        <v>0</v>
      </c>
      <c r="AT8" s="11">
        <f t="shared" si="10"/>
        <v>0</v>
      </c>
    </row>
    <row r="9" spans="1:46" ht="57">
      <c r="A9" s="7" t="s">
        <v>3240</v>
      </c>
      <c r="B9" s="7" t="s">
        <v>1211</v>
      </c>
      <c r="C9" s="7" t="s">
        <v>3241</v>
      </c>
      <c r="D9" s="7" t="s">
        <v>3198</v>
      </c>
      <c r="E9" s="7" t="s">
        <v>3199</v>
      </c>
      <c r="F9" s="7" t="s">
        <v>3242</v>
      </c>
      <c r="G9" s="7">
        <v>5</v>
      </c>
      <c r="H9" s="153"/>
      <c r="I9" s="8" t="str">
        <f t="shared" si="0"/>
        <v/>
      </c>
      <c r="J9" s="8" t="str">
        <f t="shared" si="1"/>
        <v/>
      </c>
      <c r="K9" s="8" t="str">
        <f t="shared" si="2"/>
        <v/>
      </c>
      <c r="L9" s="7" t="str">
        <f t="shared" si="3"/>
        <v/>
      </c>
      <c r="M9" s="7" t="s">
        <v>3243</v>
      </c>
      <c r="N9" s="7" t="s">
        <v>3244</v>
      </c>
      <c r="O9" s="7" t="s">
        <v>3245</v>
      </c>
      <c r="P9" s="7" t="s">
        <v>3246</v>
      </c>
      <c r="Q9" s="7" t="s">
        <v>3247</v>
      </c>
      <c r="R9" s="7" t="s">
        <v>3248</v>
      </c>
      <c r="S9" s="7" t="s">
        <v>3207</v>
      </c>
      <c r="T9" s="7" t="s">
        <v>3208</v>
      </c>
      <c r="U9" s="7"/>
      <c r="V9" s="7" t="s">
        <v>3249</v>
      </c>
      <c r="W9" s="14">
        <v>4</v>
      </c>
      <c r="X9" s="14">
        <v>5</v>
      </c>
      <c r="Y9" s="14">
        <v>5</v>
      </c>
      <c r="AA9" t="s">
        <v>1250</v>
      </c>
      <c r="AB9" s="13">
        <f>COUNTIF($B$5:$B$32,$AA9)</f>
        <v>5</v>
      </c>
      <c r="AC9" s="15">
        <f>IFERROR(SUMPRODUCT(($B$5:$B$32=$AA9)*($H$5:$H$32&lt;&gt;"")*($H$5:$H$32&lt;&gt;"N/A")*IFERROR(VALUE($H$5:$H$32),0))/SUMPRODUCT(($B$5:$B$32=$AA9)*($H$5:$H$32&lt;&gt;"")*($H$5:$H$32&lt;&gt;"N/A")),0)</f>
        <v>0</v>
      </c>
      <c r="AD9" s="16">
        <f>AC9/5</f>
        <v>0</v>
      </c>
      <c r="AE9" s="13">
        <f>COUNTIFS($B$5:$B$32,$AA9,$L$5:$L$32,"Critical")+COUNTIFS($B$5:$B$32,$AA9,$L$5:$L$32,"High")</f>
        <v>0</v>
      </c>
      <c r="AF9" s="15">
        <f>5-AC9</f>
        <v>5</v>
      </c>
      <c r="AG9" s="13">
        <f>COUNTIFS($B$5:$B$32,$AA9,$H$5:$H$32,"&lt;&gt;")</f>
        <v>0</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Profile'!$B$9,_TECH_Industry_Templates!$B:$B,"Physical Safety"),"")</f>
        <v>2.8</v>
      </c>
      <c r="AO9" s="48" t="str">
        <f t="shared" si="6"/>
        <v/>
      </c>
      <c r="AP9" s="48">
        <f>IFERROR(SUMIFS(_TECH_Industry_Templates!$E:$E,_TECH_Industry_Templates!$A:$A,'Company Profile'!$B$9,_TECH_Industry_Templates!$B:$B,"Physical Safety"),1)</f>
        <v>0.9</v>
      </c>
      <c r="AQ9" s="48" t="str">
        <f t="shared" si="7"/>
        <v/>
      </c>
      <c r="AR9" s="48" t="str">
        <f t="shared" si="8"/>
        <v/>
      </c>
      <c r="AS9" s="11">
        <f t="shared" si="9"/>
        <v>0</v>
      </c>
      <c r="AT9" s="11">
        <f t="shared" si="10"/>
        <v>0</v>
      </c>
    </row>
    <row r="10" spans="1:46" ht="57">
      <c r="A10" s="7" t="s">
        <v>3250</v>
      </c>
      <c r="B10" s="7" t="s">
        <v>1211</v>
      </c>
      <c r="C10" s="7" t="s">
        <v>3251</v>
      </c>
      <c r="D10" s="7" t="s">
        <v>3198</v>
      </c>
      <c r="E10" s="7" t="s">
        <v>3199</v>
      </c>
      <c r="F10" s="7" t="s">
        <v>3252</v>
      </c>
      <c r="G10" s="7">
        <v>5</v>
      </c>
      <c r="H10" s="153"/>
      <c r="I10" s="8" t="str">
        <f t="shared" si="0"/>
        <v/>
      </c>
      <c r="J10" s="8" t="str">
        <f t="shared" si="1"/>
        <v/>
      </c>
      <c r="K10" s="8" t="str">
        <f t="shared" si="2"/>
        <v/>
      </c>
      <c r="L10" s="7" t="str">
        <f t="shared" si="3"/>
        <v/>
      </c>
      <c r="M10" s="7" t="s">
        <v>3253</v>
      </c>
      <c r="N10" s="7" t="s">
        <v>3254</v>
      </c>
      <c r="O10" s="7" t="s">
        <v>3255</v>
      </c>
      <c r="P10" s="7" t="s">
        <v>3256</v>
      </c>
      <c r="Q10" s="7" t="s">
        <v>3257</v>
      </c>
      <c r="R10" s="7" t="s">
        <v>3258</v>
      </c>
      <c r="S10" s="7" t="s">
        <v>3207</v>
      </c>
      <c r="T10" s="7" t="s">
        <v>3208</v>
      </c>
      <c r="U10" s="7"/>
      <c r="V10" s="7" t="s">
        <v>3259</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Profile'!$B$9,_TECH_Industry_Templates!$B:$B,"Physical Safety"),"")</f>
        <v>2.8</v>
      </c>
      <c r="AO10" s="48" t="str">
        <f t="shared" si="6"/>
        <v/>
      </c>
      <c r="AP10" s="48">
        <f>IFERROR(SUMIFS(_TECH_Industry_Templates!$E:$E,_TECH_Industry_Templates!$A:$A,'Company Profile'!$B$9,_TECH_Industry_Templates!$B:$B,"Physical Safety"),1)</f>
        <v>0.9</v>
      </c>
      <c r="AQ10" s="48" t="str">
        <f t="shared" si="7"/>
        <v/>
      </c>
      <c r="AR10" s="48" t="str">
        <f t="shared" si="8"/>
        <v/>
      </c>
      <c r="AS10" s="11">
        <f t="shared" si="9"/>
        <v>0</v>
      </c>
      <c r="AT10" s="11">
        <f t="shared" si="10"/>
        <v>0</v>
      </c>
    </row>
    <row r="11" spans="1:46" ht="71.25">
      <c r="A11" s="7" t="s">
        <v>3260</v>
      </c>
      <c r="B11" s="7" t="s">
        <v>1226</v>
      </c>
      <c r="C11" s="7" t="s">
        <v>3261</v>
      </c>
      <c r="D11" s="7" t="s">
        <v>3198</v>
      </c>
      <c r="E11" s="7" t="s">
        <v>3199</v>
      </c>
      <c r="F11" s="7" t="s">
        <v>3262</v>
      </c>
      <c r="G11" s="7">
        <v>5</v>
      </c>
      <c r="H11" s="153"/>
      <c r="I11" s="8" t="str">
        <f t="shared" si="0"/>
        <v/>
      </c>
      <c r="J11" s="8" t="str">
        <f t="shared" si="1"/>
        <v/>
      </c>
      <c r="K11" s="8" t="str">
        <f t="shared" si="2"/>
        <v/>
      </c>
      <c r="L11" s="7" t="str">
        <f t="shared" si="3"/>
        <v/>
      </c>
      <c r="M11" s="7" t="s">
        <v>3263</v>
      </c>
      <c r="N11" s="7" t="s">
        <v>3264</v>
      </c>
      <c r="O11" s="7" t="s">
        <v>3265</v>
      </c>
      <c r="P11" s="7" t="s">
        <v>3266</v>
      </c>
      <c r="Q11" s="7" t="s">
        <v>3267</v>
      </c>
      <c r="R11" s="7" t="s">
        <v>3268</v>
      </c>
      <c r="S11" s="7" t="s">
        <v>3207</v>
      </c>
      <c r="T11" s="7" t="s">
        <v>3208</v>
      </c>
      <c r="U11" s="7"/>
      <c r="V11" s="7" t="s">
        <v>3269</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Profile'!$B$9,_TECH_Industry_Templates!$B:$B,"Physical Safety"),"")</f>
        <v>2.8</v>
      </c>
      <c r="AO11" s="48" t="str">
        <f t="shared" si="6"/>
        <v/>
      </c>
      <c r="AP11" s="48">
        <f>IFERROR(SUMIFS(_TECH_Industry_Templates!$E:$E,_TECH_Industry_Templates!$A:$A,'Company Profile'!$B$9,_TECH_Industry_Templates!$B:$B,"Physical Safety"),1)</f>
        <v>0.9</v>
      </c>
      <c r="AQ11" s="48" t="str">
        <f t="shared" si="7"/>
        <v/>
      </c>
      <c r="AR11" s="48" t="str">
        <f t="shared" si="8"/>
        <v/>
      </c>
      <c r="AS11" s="11">
        <f t="shared" si="9"/>
        <v>0</v>
      </c>
      <c r="AT11" s="11">
        <f t="shared" si="10"/>
        <v>0</v>
      </c>
    </row>
    <row r="12" spans="1:46" ht="71.25">
      <c r="A12" s="7" t="s">
        <v>3270</v>
      </c>
      <c r="B12" s="7" t="s">
        <v>1226</v>
      </c>
      <c r="C12" s="7" t="s">
        <v>3271</v>
      </c>
      <c r="D12" s="7" t="s">
        <v>3198</v>
      </c>
      <c r="E12" s="7" t="s">
        <v>3199</v>
      </c>
      <c r="F12" s="7" t="s">
        <v>3272</v>
      </c>
      <c r="G12" s="7">
        <v>5</v>
      </c>
      <c r="H12" s="153"/>
      <c r="I12" s="8" t="str">
        <f t="shared" si="0"/>
        <v/>
      </c>
      <c r="J12" s="8" t="str">
        <f t="shared" si="1"/>
        <v/>
      </c>
      <c r="K12" s="8" t="str">
        <f t="shared" si="2"/>
        <v/>
      </c>
      <c r="L12" s="7" t="str">
        <f t="shared" si="3"/>
        <v/>
      </c>
      <c r="M12" s="7" t="s">
        <v>3273</v>
      </c>
      <c r="N12" s="7" t="s">
        <v>3274</v>
      </c>
      <c r="O12" s="7" t="s">
        <v>3275</v>
      </c>
      <c r="P12" s="7" t="s">
        <v>3276</v>
      </c>
      <c r="Q12" s="7" t="s">
        <v>3277</v>
      </c>
      <c r="R12" s="7" t="s">
        <v>3278</v>
      </c>
      <c r="S12" s="7" t="s">
        <v>3207</v>
      </c>
      <c r="T12" s="7" t="s">
        <v>3208</v>
      </c>
      <c r="U12" s="7"/>
      <c r="V12" s="7" t="s">
        <v>3279</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Profile'!$B$9,_TECH_Industry_Templates!$B:$B,"Physical Safety"),"")</f>
        <v>2.8</v>
      </c>
      <c r="AO12" s="48" t="str">
        <f t="shared" si="6"/>
        <v/>
      </c>
      <c r="AP12" s="48">
        <f>IFERROR(SUMIFS(_TECH_Industry_Templates!$E:$E,_TECH_Industry_Templates!$A:$A,'Company Profile'!$B$9,_TECH_Industry_Templates!$B:$B,"Physical Safety"),1)</f>
        <v>0.9</v>
      </c>
      <c r="AQ12" s="48" t="str">
        <f t="shared" si="7"/>
        <v/>
      </c>
      <c r="AR12" s="48" t="str">
        <f t="shared" si="8"/>
        <v/>
      </c>
      <c r="AS12" s="11">
        <f t="shared" si="9"/>
        <v>0</v>
      </c>
      <c r="AT12" s="11">
        <f t="shared" si="10"/>
        <v>0</v>
      </c>
    </row>
    <row r="13" spans="1:46" ht="71.25">
      <c r="A13" s="7" t="s">
        <v>3280</v>
      </c>
      <c r="B13" s="7" t="s">
        <v>1226</v>
      </c>
      <c r="C13" s="7" t="s">
        <v>3281</v>
      </c>
      <c r="D13" s="7" t="s">
        <v>3198</v>
      </c>
      <c r="E13" s="7" t="s">
        <v>3199</v>
      </c>
      <c r="F13" s="7" t="s">
        <v>3282</v>
      </c>
      <c r="G13" s="7">
        <v>4</v>
      </c>
      <c r="H13" s="153"/>
      <c r="I13" s="8" t="str">
        <f t="shared" si="0"/>
        <v/>
      </c>
      <c r="J13" s="8" t="str">
        <f t="shared" si="1"/>
        <v/>
      </c>
      <c r="K13" s="8" t="str">
        <f t="shared" si="2"/>
        <v/>
      </c>
      <c r="L13" s="7" t="str">
        <f t="shared" si="3"/>
        <v/>
      </c>
      <c r="M13" s="7" t="s">
        <v>3283</v>
      </c>
      <c r="N13" s="7" t="s">
        <v>3284</v>
      </c>
      <c r="O13" s="7" t="s">
        <v>3285</v>
      </c>
      <c r="P13" s="7" t="s">
        <v>3286</v>
      </c>
      <c r="Q13" s="7" t="s">
        <v>3287</v>
      </c>
      <c r="R13" s="7" t="s">
        <v>3288</v>
      </c>
      <c r="S13" s="7" t="s">
        <v>3207</v>
      </c>
      <c r="T13" s="7" t="s">
        <v>3208</v>
      </c>
      <c r="U13" s="7"/>
      <c r="V13" s="7" t="s">
        <v>3289</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Profile'!$B$9,_TECH_Industry_Templates!$B:$B,"Physical Safety"),"")</f>
        <v>2.8</v>
      </c>
      <c r="AO13" s="48" t="str">
        <f t="shared" si="6"/>
        <v/>
      </c>
      <c r="AP13" s="48">
        <f>IFERROR(SUMIFS(_TECH_Industry_Templates!$E:$E,_TECH_Industry_Templates!$A:$A,'Company Profile'!$B$9,_TECH_Industry_Templates!$B:$B,"Physical Safety"),1)</f>
        <v>0.9</v>
      </c>
      <c r="AQ13" s="48" t="str">
        <f t="shared" si="7"/>
        <v/>
      </c>
      <c r="AR13" s="48" t="str">
        <f t="shared" si="8"/>
        <v/>
      </c>
      <c r="AS13" s="11">
        <f t="shared" si="9"/>
        <v>0</v>
      </c>
      <c r="AT13" s="11">
        <f t="shared" si="10"/>
        <v>0</v>
      </c>
    </row>
    <row r="14" spans="1:46" ht="71.25">
      <c r="A14" s="7" t="s">
        <v>3290</v>
      </c>
      <c r="B14" s="7" t="s">
        <v>1226</v>
      </c>
      <c r="C14" s="7" t="s">
        <v>3291</v>
      </c>
      <c r="D14" s="7" t="s">
        <v>3198</v>
      </c>
      <c r="E14" s="7" t="s">
        <v>3199</v>
      </c>
      <c r="F14" s="7" t="s">
        <v>3292</v>
      </c>
      <c r="G14" s="7">
        <v>3</v>
      </c>
      <c r="H14" s="153"/>
      <c r="I14" s="8" t="str">
        <f t="shared" si="0"/>
        <v/>
      </c>
      <c r="J14" s="8" t="str">
        <f t="shared" si="1"/>
        <v/>
      </c>
      <c r="K14" s="8" t="str">
        <f t="shared" si="2"/>
        <v/>
      </c>
      <c r="L14" s="7" t="str">
        <f t="shared" si="3"/>
        <v/>
      </c>
      <c r="M14" s="7" t="s">
        <v>3293</v>
      </c>
      <c r="N14" s="7" t="s">
        <v>3294</v>
      </c>
      <c r="O14" s="7" t="s">
        <v>3295</v>
      </c>
      <c r="P14" s="7" t="s">
        <v>3296</v>
      </c>
      <c r="Q14" s="7" t="s">
        <v>3297</v>
      </c>
      <c r="R14" s="7" t="s">
        <v>3298</v>
      </c>
      <c r="S14" s="7" t="s">
        <v>3207</v>
      </c>
      <c r="T14" s="7" t="s">
        <v>3208</v>
      </c>
      <c r="U14" s="7"/>
      <c r="V14" s="7" t="s">
        <v>3299</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Profile'!$B$9,_TECH_Industry_Templates!$B:$B,"Physical Safety"),"")</f>
        <v>2.8</v>
      </c>
      <c r="AO14" s="48" t="str">
        <f t="shared" si="6"/>
        <v/>
      </c>
      <c r="AP14" s="48">
        <f>IFERROR(SUMIFS(_TECH_Industry_Templates!$E:$E,_TECH_Industry_Templates!$A:$A,'Company Profile'!$B$9,_TECH_Industry_Templates!$B:$B,"Physical Safety"),1)</f>
        <v>0.9</v>
      </c>
      <c r="AQ14" s="48" t="str">
        <f t="shared" si="7"/>
        <v/>
      </c>
      <c r="AR14" s="48" t="str">
        <f t="shared" si="8"/>
        <v/>
      </c>
      <c r="AS14" s="11">
        <f t="shared" si="9"/>
        <v>0</v>
      </c>
      <c r="AT14" s="11">
        <f t="shared" si="10"/>
        <v>0</v>
      </c>
    </row>
    <row r="15" spans="1:46" ht="57">
      <c r="A15" s="7" t="s">
        <v>3300</v>
      </c>
      <c r="B15" s="7" t="s">
        <v>1226</v>
      </c>
      <c r="C15" s="7" t="s">
        <v>3301</v>
      </c>
      <c r="D15" s="7" t="s">
        <v>3198</v>
      </c>
      <c r="E15" s="7" t="s">
        <v>3199</v>
      </c>
      <c r="F15" s="7" t="s">
        <v>3302</v>
      </c>
      <c r="G15" s="7">
        <v>3</v>
      </c>
      <c r="H15" s="153"/>
      <c r="I15" s="8" t="str">
        <f t="shared" si="0"/>
        <v/>
      </c>
      <c r="J15" s="8" t="str">
        <f t="shared" si="1"/>
        <v/>
      </c>
      <c r="K15" s="8" t="str">
        <f t="shared" si="2"/>
        <v/>
      </c>
      <c r="L15" s="7" t="str">
        <f t="shared" si="3"/>
        <v/>
      </c>
      <c r="M15" s="7" t="s">
        <v>3303</v>
      </c>
      <c r="N15" s="7" t="s">
        <v>3304</v>
      </c>
      <c r="O15" s="7" t="s">
        <v>3305</v>
      </c>
      <c r="P15" s="7" t="s">
        <v>3306</v>
      </c>
      <c r="Q15" s="7" t="s">
        <v>3307</v>
      </c>
      <c r="R15" s="7" t="s">
        <v>3308</v>
      </c>
      <c r="S15" s="7" t="s">
        <v>3207</v>
      </c>
      <c r="T15" s="7" t="s">
        <v>3208</v>
      </c>
      <c r="U15" s="7"/>
      <c r="V15" s="7" t="s">
        <v>3309</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Profile'!$B$9,_TECH_Industry_Templates!$B:$B,"Physical Safety"),"")</f>
        <v>2.8</v>
      </c>
      <c r="AO15" s="48" t="str">
        <f t="shared" si="6"/>
        <v/>
      </c>
      <c r="AP15" s="48">
        <f>IFERROR(SUMIFS(_TECH_Industry_Templates!$E:$E,_TECH_Industry_Templates!$A:$A,'Company Profile'!$B$9,_TECH_Industry_Templates!$B:$B,"Physical Safety"),1)</f>
        <v>0.9</v>
      </c>
      <c r="AQ15" s="48" t="str">
        <f t="shared" si="7"/>
        <v/>
      </c>
      <c r="AR15" s="48" t="str">
        <f t="shared" si="8"/>
        <v/>
      </c>
      <c r="AS15" s="11">
        <f t="shared" si="9"/>
        <v>0</v>
      </c>
      <c r="AT15" s="11">
        <f t="shared" si="10"/>
        <v>0</v>
      </c>
    </row>
    <row r="16" spans="1:46" ht="71.25">
      <c r="A16" s="7" t="s">
        <v>3310</v>
      </c>
      <c r="B16" s="7" t="s">
        <v>1226</v>
      </c>
      <c r="C16" s="7" t="s">
        <v>3311</v>
      </c>
      <c r="D16" s="7" t="s">
        <v>3198</v>
      </c>
      <c r="E16" s="7" t="s">
        <v>3199</v>
      </c>
      <c r="F16" s="7" t="s">
        <v>3312</v>
      </c>
      <c r="G16" s="7">
        <v>4</v>
      </c>
      <c r="H16" s="153"/>
      <c r="I16" s="8" t="str">
        <f t="shared" si="0"/>
        <v/>
      </c>
      <c r="J16" s="8" t="str">
        <f t="shared" si="1"/>
        <v/>
      </c>
      <c r="K16" s="8" t="str">
        <f t="shared" si="2"/>
        <v/>
      </c>
      <c r="L16" s="7" t="str">
        <f t="shared" si="3"/>
        <v/>
      </c>
      <c r="M16" s="7" t="s">
        <v>3313</v>
      </c>
      <c r="N16" s="7" t="s">
        <v>3314</v>
      </c>
      <c r="O16" s="7" t="s">
        <v>3315</v>
      </c>
      <c r="P16" s="7" t="s">
        <v>3316</v>
      </c>
      <c r="Q16" s="7" t="s">
        <v>3317</v>
      </c>
      <c r="R16" s="7" t="s">
        <v>3318</v>
      </c>
      <c r="S16" s="7" t="s">
        <v>3207</v>
      </c>
      <c r="T16" s="7" t="s">
        <v>3208</v>
      </c>
      <c r="U16" s="7"/>
      <c r="V16" s="7" t="s">
        <v>3319</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Profile'!$B$9,_TECH_Industry_Templates!$B:$B,"Physical Safety"),"")</f>
        <v>2.8</v>
      </c>
      <c r="AO16" s="48" t="str">
        <f t="shared" si="6"/>
        <v/>
      </c>
      <c r="AP16" s="48">
        <f>IFERROR(SUMIFS(_TECH_Industry_Templates!$E:$E,_TECH_Industry_Templates!$A:$A,'Company Profile'!$B$9,_TECH_Industry_Templates!$B:$B,"Physical Safety"),1)</f>
        <v>0.9</v>
      </c>
      <c r="AQ16" s="48" t="str">
        <f t="shared" si="7"/>
        <v/>
      </c>
      <c r="AR16" s="48" t="str">
        <f t="shared" si="8"/>
        <v/>
      </c>
      <c r="AS16" s="11">
        <f t="shared" si="9"/>
        <v>0</v>
      </c>
      <c r="AT16" s="11">
        <f t="shared" si="10"/>
        <v>0</v>
      </c>
    </row>
    <row r="17" spans="1:46" ht="85.5">
      <c r="A17" s="7" t="s">
        <v>3320</v>
      </c>
      <c r="B17" s="7" t="s">
        <v>1234</v>
      </c>
      <c r="C17" s="7" t="s">
        <v>3321</v>
      </c>
      <c r="D17" s="7" t="s">
        <v>3198</v>
      </c>
      <c r="E17" s="7" t="s">
        <v>3199</v>
      </c>
      <c r="F17" s="7" t="s">
        <v>3322</v>
      </c>
      <c r="G17" s="7">
        <v>3</v>
      </c>
      <c r="H17" s="153"/>
      <c r="I17" s="8" t="str">
        <f t="shared" si="0"/>
        <v/>
      </c>
      <c r="J17" s="8" t="str">
        <f t="shared" si="1"/>
        <v/>
      </c>
      <c r="K17" s="8" t="str">
        <f t="shared" si="2"/>
        <v/>
      </c>
      <c r="L17" s="7" t="str">
        <f t="shared" si="3"/>
        <v/>
      </c>
      <c r="M17" s="7" t="s">
        <v>3323</v>
      </c>
      <c r="N17" s="7" t="s">
        <v>3324</v>
      </c>
      <c r="O17" s="7" t="s">
        <v>3325</v>
      </c>
      <c r="P17" s="7" t="s">
        <v>3326</v>
      </c>
      <c r="Q17" s="7" t="s">
        <v>3327</v>
      </c>
      <c r="R17" s="7" t="s">
        <v>3328</v>
      </c>
      <c r="S17" s="7" t="s">
        <v>3207</v>
      </c>
      <c r="T17" s="7" t="s">
        <v>3208</v>
      </c>
      <c r="U17" s="7"/>
      <c r="V17" s="7" t="s">
        <v>3329</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Profile'!$B$9,_TECH_Industry_Templates!$B:$B,"Physical Safety"),"")</f>
        <v>2.8</v>
      </c>
      <c r="AO17" s="48" t="str">
        <f t="shared" si="6"/>
        <v/>
      </c>
      <c r="AP17" s="48">
        <f>IFERROR(SUMIFS(_TECH_Industry_Templates!$E:$E,_TECH_Industry_Templates!$A:$A,'Company Profile'!$B$9,_TECH_Industry_Templates!$B:$B,"Physical Safety"),1)</f>
        <v>0.9</v>
      </c>
      <c r="AQ17" s="48" t="str">
        <f t="shared" si="7"/>
        <v/>
      </c>
      <c r="AR17" s="48" t="str">
        <f t="shared" si="8"/>
        <v/>
      </c>
      <c r="AS17" s="11">
        <f t="shared" si="9"/>
        <v>0</v>
      </c>
      <c r="AT17" s="11">
        <f t="shared" si="10"/>
        <v>0</v>
      </c>
    </row>
    <row r="18" spans="1:46" ht="71.25">
      <c r="A18" s="7" t="s">
        <v>3330</v>
      </c>
      <c r="B18" s="7" t="s">
        <v>1234</v>
      </c>
      <c r="C18" s="7" t="s">
        <v>3331</v>
      </c>
      <c r="D18" s="7" t="s">
        <v>3198</v>
      </c>
      <c r="E18" s="7" t="s">
        <v>3199</v>
      </c>
      <c r="F18" s="7" t="s">
        <v>3332</v>
      </c>
      <c r="G18" s="7">
        <v>5</v>
      </c>
      <c r="H18" s="153"/>
      <c r="I18" s="8" t="str">
        <f t="shared" si="0"/>
        <v/>
      </c>
      <c r="J18" s="8" t="str">
        <f t="shared" si="1"/>
        <v/>
      </c>
      <c r="K18" s="8" t="str">
        <f t="shared" si="2"/>
        <v/>
      </c>
      <c r="L18" s="7" t="str">
        <f t="shared" si="3"/>
        <v/>
      </c>
      <c r="M18" s="7" t="s">
        <v>3333</v>
      </c>
      <c r="N18" s="7" t="s">
        <v>3334</v>
      </c>
      <c r="O18" s="7" t="s">
        <v>3335</v>
      </c>
      <c r="P18" s="7" t="s">
        <v>3336</v>
      </c>
      <c r="Q18" s="7" t="s">
        <v>3337</v>
      </c>
      <c r="R18" s="7" t="s">
        <v>3338</v>
      </c>
      <c r="S18" s="7" t="s">
        <v>3207</v>
      </c>
      <c r="T18" s="7" t="s">
        <v>3208</v>
      </c>
      <c r="U18" s="7"/>
      <c r="V18" s="7" t="s">
        <v>3339</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Profile'!$B$9,_TECH_Industry_Templates!$B:$B,"Physical Safety"),"")</f>
        <v>2.8</v>
      </c>
      <c r="AO18" s="48" t="str">
        <f t="shared" si="6"/>
        <v/>
      </c>
      <c r="AP18" s="48">
        <f>IFERROR(SUMIFS(_TECH_Industry_Templates!$E:$E,_TECH_Industry_Templates!$A:$A,'Company Profile'!$B$9,_TECH_Industry_Templates!$B:$B,"Physical Safety"),1)</f>
        <v>0.9</v>
      </c>
      <c r="AQ18" s="48" t="str">
        <f t="shared" si="7"/>
        <v/>
      </c>
      <c r="AR18" s="48" t="str">
        <f t="shared" si="8"/>
        <v/>
      </c>
      <c r="AS18" s="11">
        <f t="shared" si="9"/>
        <v>0</v>
      </c>
      <c r="AT18" s="11">
        <f t="shared" si="10"/>
        <v>0</v>
      </c>
    </row>
    <row r="19" spans="1:46" ht="71.25">
      <c r="A19" s="7" t="s">
        <v>3340</v>
      </c>
      <c r="B19" s="7" t="s">
        <v>1234</v>
      </c>
      <c r="C19" s="7" t="s">
        <v>3341</v>
      </c>
      <c r="D19" s="7" t="s">
        <v>3198</v>
      </c>
      <c r="E19" s="7" t="s">
        <v>3199</v>
      </c>
      <c r="F19" s="7" t="s">
        <v>3342</v>
      </c>
      <c r="G19" s="7">
        <v>3</v>
      </c>
      <c r="H19" s="153"/>
      <c r="I19" s="8" t="str">
        <f t="shared" si="0"/>
        <v/>
      </c>
      <c r="J19" s="8" t="str">
        <f t="shared" si="1"/>
        <v/>
      </c>
      <c r="K19" s="8" t="str">
        <f t="shared" si="2"/>
        <v/>
      </c>
      <c r="L19" s="7" t="str">
        <f t="shared" si="3"/>
        <v/>
      </c>
      <c r="M19" s="7" t="s">
        <v>3343</v>
      </c>
      <c r="N19" s="7" t="s">
        <v>3344</v>
      </c>
      <c r="O19" s="7" t="s">
        <v>3345</v>
      </c>
      <c r="P19" s="7" t="s">
        <v>3346</v>
      </c>
      <c r="Q19" s="7" t="s">
        <v>3347</v>
      </c>
      <c r="R19" s="7" t="s">
        <v>3348</v>
      </c>
      <c r="S19" s="7" t="s">
        <v>3207</v>
      </c>
      <c r="T19" s="7" t="s">
        <v>3208</v>
      </c>
      <c r="U19" s="7"/>
      <c r="V19" s="7" t="s">
        <v>3349</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Profile'!$B$9,_TECH_Industry_Templates!$B:$B,"Physical Safety"),"")</f>
        <v>2.8</v>
      </c>
      <c r="AO19" s="48" t="str">
        <f t="shared" si="6"/>
        <v/>
      </c>
      <c r="AP19" s="48">
        <f>IFERROR(SUMIFS(_TECH_Industry_Templates!$E:$E,_TECH_Industry_Templates!$A:$A,'Company Profile'!$B$9,_TECH_Industry_Templates!$B:$B,"Physical Safety"),1)</f>
        <v>0.9</v>
      </c>
      <c r="AQ19" s="48" t="str">
        <f t="shared" si="7"/>
        <v/>
      </c>
      <c r="AR19" s="48" t="str">
        <f t="shared" si="8"/>
        <v/>
      </c>
      <c r="AS19" s="11">
        <f t="shared" si="9"/>
        <v>0</v>
      </c>
      <c r="AT19" s="11">
        <f t="shared" si="10"/>
        <v>0</v>
      </c>
    </row>
    <row r="20" spans="1:46" ht="71.25">
      <c r="A20" s="7" t="s">
        <v>3350</v>
      </c>
      <c r="B20" s="7" t="s">
        <v>1234</v>
      </c>
      <c r="C20" s="7" t="s">
        <v>3351</v>
      </c>
      <c r="D20" s="7" t="s">
        <v>3198</v>
      </c>
      <c r="E20" s="7" t="s">
        <v>3199</v>
      </c>
      <c r="F20" s="7" t="s">
        <v>3352</v>
      </c>
      <c r="G20" s="7">
        <v>5</v>
      </c>
      <c r="H20" s="153"/>
      <c r="I20" s="8" t="str">
        <f t="shared" si="0"/>
        <v/>
      </c>
      <c r="J20" s="8" t="str">
        <f t="shared" si="1"/>
        <v/>
      </c>
      <c r="K20" s="8" t="str">
        <f t="shared" si="2"/>
        <v/>
      </c>
      <c r="L20" s="7" t="str">
        <f t="shared" si="3"/>
        <v/>
      </c>
      <c r="M20" s="7" t="s">
        <v>3353</v>
      </c>
      <c r="N20" s="7" t="s">
        <v>3354</v>
      </c>
      <c r="O20" s="7" t="s">
        <v>3355</v>
      </c>
      <c r="P20" s="7" t="s">
        <v>3356</v>
      </c>
      <c r="Q20" s="7" t="s">
        <v>3357</v>
      </c>
      <c r="R20" s="7" t="s">
        <v>3358</v>
      </c>
      <c r="S20" s="7" t="s">
        <v>3207</v>
      </c>
      <c r="T20" s="7" t="s">
        <v>3208</v>
      </c>
      <c r="U20" s="7"/>
      <c r="V20" s="7" t="s">
        <v>3359</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Profile'!$B$9,_TECH_Industry_Templates!$B:$B,"Physical Safety"),"")</f>
        <v>2.8</v>
      </c>
      <c r="AO20" s="48" t="str">
        <f t="shared" si="6"/>
        <v/>
      </c>
      <c r="AP20" s="48">
        <f>IFERROR(SUMIFS(_TECH_Industry_Templates!$E:$E,_TECH_Industry_Templates!$A:$A,'Company Profile'!$B$9,_TECH_Industry_Templates!$B:$B,"Physical Safety"),1)</f>
        <v>0.9</v>
      </c>
      <c r="AQ20" s="48" t="str">
        <f t="shared" si="7"/>
        <v/>
      </c>
      <c r="AR20" s="48" t="str">
        <f t="shared" si="8"/>
        <v/>
      </c>
      <c r="AS20" s="11">
        <f t="shared" si="9"/>
        <v>0</v>
      </c>
      <c r="AT20" s="11">
        <f t="shared" si="10"/>
        <v>0</v>
      </c>
    </row>
    <row r="21" spans="1:46" ht="57">
      <c r="A21" s="7" t="s">
        <v>3360</v>
      </c>
      <c r="B21" s="7" t="s">
        <v>1234</v>
      </c>
      <c r="C21" s="7" t="s">
        <v>3361</v>
      </c>
      <c r="D21" s="7" t="s">
        <v>3198</v>
      </c>
      <c r="E21" s="7" t="s">
        <v>3199</v>
      </c>
      <c r="F21" s="7" t="s">
        <v>3362</v>
      </c>
      <c r="G21" s="7">
        <v>3</v>
      </c>
      <c r="H21" s="153"/>
      <c r="I21" s="8" t="str">
        <f t="shared" si="0"/>
        <v/>
      </c>
      <c r="J21" s="8" t="str">
        <f t="shared" si="1"/>
        <v/>
      </c>
      <c r="K21" s="8" t="str">
        <f t="shared" si="2"/>
        <v/>
      </c>
      <c r="L21" s="7" t="str">
        <f t="shared" si="3"/>
        <v/>
      </c>
      <c r="M21" s="7" t="s">
        <v>3363</v>
      </c>
      <c r="N21" s="7" t="s">
        <v>3364</v>
      </c>
      <c r="O21" s="7" t="s">
        <v>3365</v>
      </c>
      <c r="P21" s="7" t="s">
        <v>3366</v>
      </c>
      <c r="Q21" s="7" t="s">
        <v>3367</v>
      </c>
      <c r="R21" s="7" t="s">
        <v>3368</v>
      </c>
      <c r="S21" s="7" t="s">
        <v>3207</v>
      </c>
      <c r="T21" s="7" t="s">
        <v>3208</v>
      </c>
      <c r="U21" s="7"/>
      <c r="V21" s="7" t="s">
        <v>3369</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Profile'!$B$9,_TECH_Industry_Templates!$B:$B,"Physical Safety"),"")</f>
        <v>2.8</v>
      </c>
      <c r="AO21" s="48" t="str">
        <f t="shared" si="6"/>
        <v/>
      </c>
      <c r="AP21" s="48">
        <f>IFERROR(SUMIFS(_TECH_Industry_Templates!$E:$E,_TECH_Industry_Templates!$A:$A,'Company Profile'!$B$9,_TECH_Industry_Templates!$B:$B,"Physical Safety"),1)</f>
        <v>0.9</v>
      </c>
      <c r="AQ21" s="48" t="str">
        <f t="shared" si="7"/>
        <v/>
      </c>
      <c r="AR21" s="48" t="str">
        <f t="shared" si="8"/>
        <v/>
      </c>
      <c r="AS21" s="11">
        <f t="shared" si="9"/>
        <v>0</v>
      </c>
      <c r="AT21" s="11">
        <f t="shared" si="10"/>
        <v>0</v>
      </c>
    </row>
    <row r="22" spans="1:46" ht="71.25">
      <c r="A22" s="7" t="s">
        <v>3370</v>
      </c>
      <c r="B22" s="7" t="s">
        <v>1234</v>
      </c>
      <c r="C22" s="7" t="s">
        <v>3371</v>
      </c>
      <c r="D22" s="7" t="s">
        <v>3198</v>
      </c>
      <c r="E22" s="7" t="s">
        <v>3199</v>
      </c>
      <c r="F22" s="7" t="s">
        <v>3372</v>
      </c>
      <c r="G22" s="7">
        <v>3</v>
      </c>
      <c r="H22" s="153"/>
      <c r="I22" s="8" t="str">
        <f t="shared" si="0"/>
        <v/>
      </c>
      <c r="J22" s="8" t="str">
        <f t="shared" si="1"/>
        <v/>
      </c>
      <c r="K22" s="8" t="str">
        <f t="shared" si="2"/>
        <v/>
      </c>
      <c r="L22" s="7" t="str">
        <f t="shared" si="3"/>
        <v/>
      </c>
      <c r="M22" s="7" t="s">
        <v>3373</v>
      </c>
      <c r="N22" s="7" t="s">
        <v>3374</v>
      </c>
      <c r="O22" s="7" t="s">
        <v>3375</v>
      </c>
      <c r="P22" s="7" t="s">
        <v>3376</v>
      </c>
      <c r="Q22" s="7" t="s">
        <v>3377</v>
      </c>
      <c r="R22" s="7" t="s">
        <v>3378</v>
      </c>
      <c r="S22" s="7" t="s">
        <v>3207</v>
      </c>
      <c r="T22" s="7" t="s">
        <v>3208</v>
      </c>
      <c r="U22" s="7"/>
      <c r="V22" s="7" t="s">
        <v>3379</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Profile'!$B$9,_TECH_Industry_Templates!$B:$B,"Physical Safety"),"")</f>
        <v>2.8</v>
      </c>
      <c r="AO22" s="48" t="str">
        <f t="shared" si="6"/>
        <v/>
      </c>
      <c r="AP22" s="48">
        <f>IFERROR(SUMIFS(_TECH_Industry_Templates!$E:$E,_TECH_Industry_Templates!$A:$A,'Company Profile'!$B$9,_TECH_Industry_Templates!$B:$B,"Physical Safety"),1)</f>
        <v>0.9</v>
      </c>
      <c r="AQ22" s="48" t="str">
        <f t="shared" si="7"/>
        <v/>
      </c>
      <c r="AR22" s="48" t="str">
        <f t="shared" si="8"/>
        <v/>
      </c>
      <c r="AS22" s="11">
        <f t="shared" si="9"/>
        <v>0</v>
      </c>
      <c r="AT22" s="11">
        <f t="shared" si="10"/>
        <v>0</v>
      </c>
    </row>
    <row r="23" spans="1:46" ht="71.25">
      <c r="A23" s="7" t="s">
        <v>3380</v>
      </c>
      <c r="B23" s="7" t="s">
        <v>1242</v>
      </c>
      <c r="C23" s="7" t="s">
        <v>3381</v>
      </c>
      <c r="D23" s="7" t="s">
        <v>3198</v>
      </c>
      <c r="E23" s="7" t="s">
        <v>3199</v>
      </c>
      <c r="F23" s="7" t="s">
        <v>3382</v>
      </c>
      <c r="G23" s="7">
        <v>4</v>
      </c>
      <c r="H23" s="153"/>
      <c r="I23" s="8" t="str">
        <f t="shared" si="0"/>
        <v/>
      </c>
      <c r="J23" s="8" t="str">
        <f t="shared" si="1"/>
        <v/>
      </c>
      <c r="K23" s="8" t="str">
        <f t="shared" si="2"/>
        <v/>
      </c>
      <c r="L23" s="7" t="str">
        <f t="shared" si="3"/>
        <v/>
      </c>
      <c r="M23" s="7" t="s">
        <v>3383</v>
      </c>
      <c r="N23" s="7" t="s">
        <v>3384</v>
      </c>
      <c r="O23" s="7" t="s">
        <v>3385</v>
      </c>
      <c r="P23" s="7" t="s">
        <v>3386</v>
      </c>
      <c r="Q23" s="7" t="s">
        <v>3387</v>
      </c>
      <c r="R23" s="7" t="s">
        <v>3388</v>
      </c>
      <c r="S23" s="7" t="s">
        <v>3207</v>
      </c>
      <c r="T23" s="7" t="s">
        <v>3208</v>
      </c>
      <c r="U23" s="7"/>
      <c r="V23" s="7" t="s">
        <v>3389</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Profile'!$B$9,_TECH_Industry_Templates!$B:$B,"Physical Safety"),"")</f>
        <v>2.8</v>
      </c>
      <c r="AO23" s="48" t="str">
        <f t="shared" si="6"/>
        <v/>
      </c>
      <c r="AP23" s="48">
        <f>IFERROR(SUMIFS(_TECH_Industry_Templates!$E:$E,_TECH_Industry_Templates!$A:$A,'Company Profile'!$B$9,_TECH_Industry_Templates!$B:$B,"Physical Safety"),1)</f>
        <v>0.9</v>
      </c>
      <c r="AQ23" s="48" t="str">
        <f t="shared" si="7"/>
        <v/>
      </c>
      <c r="AR23" s="48" t="str">
        <f t="shared" si="8"/>
        <v/>
      </c>
      <c r="AS23" s="11">
        <f t="shared" si="9"/>
        <v>0</v>
      </c>
      <c r="AT23" s="11">
        <f t="shared" si="10"/>
        <v>0</v>
      </c>
    </row>
    <row r="24" spans="1:46" ht="57">
      <c r="A24" s="7" t="s">
        <v>3390</v>
      </c>
      <c r="B24" s="7" t="s">
        <v>1242</v>
      </c>
      <c r="C24" s="7" t="s">
        <v>3391</v>
      </c>
      <c r="D24" s="7" t="s">
        <v>3198</v>
      </c>
      <c r="E24" s="7" t="s">
        <v>3199</v>
      </c>
      <c r="F24" s="7" t="s">
        <v>3392</v>
      </c>
      <c r="G24" s="7">
        <v>5</v>
      </c>
      <c r="H24" s="153"/>
      <c r="I24" s="8" t="str">
        <f t="shared" si="0"/>
        <v/>
      </c>
      <c r="J24" s="8" t="str">
        <f t="shared" si="1"/>
        <v/>
      </c>
      <c r="K24" s="8" t="str">
        <f t="shared" si="2"/>
        <v/>
      </c>
      <c r="L24" s="7" t="str">
        <f t="shared" si="3"/>
        <v/>
      </c>
      <c r="M24" s="7" t="s">
        <v>3393</v>
      </c>
      <c r="N24" s="7" t="s">
        <v>3394</v>
      </c>
      <c r="O24" s="7" t="s">
        <v>3395</v>
      </c>
      <c r="P24" s="7" t="s">
        <v>3396</v>
      </c>
      <c r="Q24" s="7" t="s">
        <v>3397</v>
      </c>
      <c r="R24" s="7" t="s">
        <v>3398</v>
      </c>
      <c r="S24" s="7" t="s">
        <v>3207</v>
      </c>
      <c r="T24" s="7" t="s">
        <v>3208</v>
      </c>
      <c r="U24" s="7"/>
      <c r="V24" s="7" t="s">
        <v>3399</v>
      </c>
      <c r="W24" s="14">
        <v>4</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Profile'!$B$9,_TECH_Industry_Templates!$B:$B,"Physical Safety"),"")</f>
        <v>2.8</v>
      </c>
      <c r="AO24" s="48" t="str">
        <f t="shared" si="6"/>
        <v/>
      </c>
      <c r="AP24" s="48">
        <f>IFERROR(SUMIFS(_TECH_Industry_Templates!$E:$E,_TECH_Industry_Templates!$A:$A,'Company Profile'!$B$9,_TECH_Industry_Templates!$B:$B,"Physical Safety"),1)</f>
        <v>0.9</v>
      </c>
      <c r="AQ24" s="48" t="str">
        <f t="shared" si="7"/>
        <v/>
      </c>
      <c r="AR24" s="48" t="str">
        <f t="shared" si="8"/>
        <v/>
      </c>
      <c r="AS24" s="11">
        <f t="shared" si="9"/>
        <v>0</v>
      </c>
      <c r="AT24" s="11">
        <f t="shared" si="10"/>
        <v>0</v>
      </c>
    </row>
    <row r="25" spans="1:46" ht="71.25">
      <c r="A25" s="7" t="s">
        <v>3400</v>
      </c>
      <c r="B25" s="7" t="s">
        <v>1242</v>
      </c>
      <c r="C25" s="7" t="s">
        <v>3401</v>
      </c>
      <c r="D25" s="7" t="s">
        <v>3198</v>
      </c>
      <c r="E25" s="7" t="s">
        <v>3199</v>
      </c>
      <c r="F25" s="7" t="s">
        <v>3402</v>
      </c>
      <c r="G25" s="7">
        <v>5</v>
      </c>
      <c r="H25" s="153"/>
      <c r="I25" s="8" t="str">
        <f t="shared" si="0"/>
        <v/>
      </c>
      <c r="J25" s="8" t="str">
        <f t="shared" si="1"/>
        <v/>
      </c>
      <c r="K25" s="8" t="str">
        <f t="shared" si="2"/>
        <v/>
      </c>
      <c r="L25" s="7" t="str">
        <f t="shared" si="3"/>
        <v/>
      </c>
      <c r="M25" s="7" t="s">
        <v>3403</v>
      </c>
      <c r="N25" s="7" t="s">
        <v>3404</v>
      </c>
      <c r="O25" s="7" t="s">
        <v>3405</v>
      </c>
      <c r="P25" s="7" t="s">
        <v>3406</v>
      </c>
      <c r="Q25" s="7" t="s">
        <v>3407</v>
      </c>
      <c r="R25" s="7" t="s">
        <v>3408</v>
      </c>
      <c r="S25" s="7" t="s">
        <v>3207</v>
      </c>
      <c r="T25" s="7" t="s">
        <v>3208</v>
      </c>
      <c r="U25" s="7"/>
      <c r="V25" s="7" t="s">
        <v>3409</v>
      </c>
      <c r="W25" s="14">
        <v>4</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Profile'!$B$9,_TECH_Industry_Templates!$B:$B,"Physical Safety"),"")</f>
        <v>2.8</v>
      </c>
      <c r="AO25" s="48" t="str">
        <f t="shared" si="6"/>
        <v/>
      </c>
      <c r="AP25" s="48">
        <f>IFERROR(SUMIFS(_TECH_Industry_Templates!$E:$E,_TECH_Industry_Templates!$A:$A,'Company Profile'!$B$9,_TECH_Industry_Templates!$B:$B,"Physical Safety"),1)</f>
        <v>0.9</v>
      </c>
      <c r="AQ25" s="48" t="str">
        <f t="shared" si="7"/>
        <v/>
      </c>
      <c r="AR25" s="48" t="str">
        <f t="shared" si="8"/>
        <v/>
      </c>
      <c r="AS25" s="11">
        <f t="shared" si="9"/>
        <v>0</v>
      </c>
      <c r="AT25" s="11">
        <f t="shared" si="10"/>
        <v>0</v>
      </c>
    </row>
    <row r="26" spans="1:46" ht="57">
      <c r="A26" s="7" t="s">
        <v>3410</v>
      </c>
      <c r="B26" s="7" t="s">
        <v>1242</v>
      </c>
      <c r="C26" s="7" t="s">
        <v>3411</v>
      </c>
      <c r="D26" s="7" t="s">
        <v>3198</v>
      </c>
      <c r="E26" s="7" t="s">
        <v>3199</v>
      </c>
      <c r="F26" s="7" t="s">
        <v>3412</v>
      </c>
      <c r="G26" s="7">
        <v>5</v>
      </c>
      <c r="H26" s="153"/>
      <c r="I26" s="8" t="str">
        <f t="shared" si="0"/>
        <v/>
      </c>
      <c r="J26" s="8" t="str">
        <f t="shared" si="1"/>
        <v/>
      </c>
      <c r="K26" s="8" t="str">
        <f t="shared" si="2"/>
        <v/>
      </c>
      <c r="L26" s="7" t="str">
        <f t="shared" si="3"/>
        <v/>
      </c>
      <c r="M26" s="7" t="s">
        <v>3413</v>
      </c>
      <c r="N26" s="7" t="s">
        <v>3414</v>
      </c>
      <c r="O26" s="7" t="s">
        <v>3415</v>
      </c>
      <c r="P26" s="7" t="s">
        <v>3416</v>
      </c>
      <c r="Q26" s="7" t="s">
        <v>3417</v>
      </c>
      <c r="R26" s="7" t="s">
        <v>3418</v>
      </c>
      <c r="S26" s="7" t="s">
        <v>3207</v>
      </c>
      <c r="T26" s="7" t="s">
        <v>3208</v>
      </c>
      <c r="U26" s="7"/>
      <c r="V26" s="7" t="s">
        <v>3419</v>
      </c>
      <c r="W26" s="14">
        <v>4</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Profile'!$B$9,_TECH_Industry_Templates!$B:$B,"Physical Safety"),"")</f>
        <v>2.8</v>
      </c>
      <c r="AO26" s="48" t="str">
        <f t="shared" si="6"/>
        <v/>
      </c>
      <c r="AP26" s="48">
        <f>IFERROR(SUMIFS(_TECH_Industry_Templates!$E:$E,_TECH_Industry_Templates!$A:$A,'Company Profile'!$B$9,_TECH_Industry_Templates!$B:$B,"Physical Safety"),1)</f>
        <v>0.9</v>
      </c>
      <c r="AQ26" s="48" t="str">
        <f t="shared" si="7"/>
        <v/>
      </c>
      <c r="AR26" s="48" t="str">
        <f t="shared" si="8"/>
        <v/>
      </c>
      <c r="AS26" s="11">
        <f t="shared" si="9"/>
        <v>0</v>
      </c>
      <c r="AT26" s="11">
        <f t="shared" si="10"/>
        <v>0</v>
      </c>
    </row>
    <row r="27" spans="1:46" ht="71.25">
      <c r="A27" s="7" t="s">
        <v>3420</v>
      </c>
      <c r="B27" s="7" t="s">
        <v>1242</v>
      </c>
      <c r="C27" s="7" t="s">
        <v>3421</v>
      </c>
      <c r="D27" s="7" t="s">
        <v>3198</v>
      </c>
      <c r="E27" s="7" t="s">
        <v>3199</v>
      </c>
      <c r="F27" s="7" t="s">
        <v>3422</v>
      </c>
      <c r="G27" s="7">
        <v>3</v>
      </c>
      <c r="H27" s="153"/>
      <c r="I27" s="8" t="str">
        <f t="shared" si="0"/>
        <v/>
      </c>
      <c r="J27" s="8" t="str">
        <f t="shared" si="1"/>
        <v/>
      </c>
      <c r="K27" s="8" t="str">
        <f t="shared" si="2"/>
        <v/>
      </c>
      <c r="L27" s="7" t="str">
        <f t="shared" si="3"/>
        <v/>
      </c>
      <c r="M27" s="7" t="s">
        <v>3423</v>
      </c>
      <c r="N27" s="7" t="s">
        <v>3424</v>
      </c>
      <c r="O27" s="7" t="s">
        <v>3425</v>
      </c>
      <c r="P27" s="7" t="s">
        <v>3426</v>
      </c>
      <c r="Q27" s="7" t="s">
        <v>3427</v>
      </c>
      <c r="R27" s="7" t="s">
        <v>3428</v>
      </c>
      <c r="S27" s="7" t="s">
        <v>3207</v>
      </c>
      <c r="T27" s="7" t="s">
        <v>3208</v>
      </c>
      <c r="U27" s="7"/>
      <c r="V27" s="7" t="s">
        <v>3429</v>
      </c>
      <c r="W27" s="14">
        <v>4</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Profile'!$B$9,_TECH_Industry_Templates!$B:$B,"Physical Safety"),"")</f>
        <v>2.8</v>
      </c>
      <c r="AO27" s="48" t="str">
        <f t="shared" si="6"/>
        <v/>
      </c>
      <c r="AP27" s="48">
        <f>IFERROR(SUMIFS(_TECH_Industry_Templates!$E:$E,_TECH_Industry_Templates!$A:$A,'Company Profile'!$B$9,_TECH_Industry_Templates!$B:$B,"Physical Safety"),1)</f>
        <v>0.9</v>
      </c>
      <c r="AQ27" s="48" t="str">
        <f t="shared" si="7"/>
        <v/>
      </c>
      <c r="AR27" s="48" t="str">
        <f t="shared" si="8"/>
        <v/>
      </c>
      <c r="AS27" s="11">
        <f t="shared" si="9"/>
        <v>0</v>
      </c>
      <c r="AT27" s="11">
        <f t="shared" si="10"/>
        <v>0</v>
      </c>
    </row>
    <row r="28" spans="1:46" ht="71.25">
      <c r="A28" s="7" t="s">
        <v>3430</v>
      </c>
      <c r="B28" s="7" t="s">
        <v>1250</v>
      </c>
      <c r="C28" s="7" t="s">
        <v>3431</v>
      </c>
      <c r="D28" s="7" t="s">
        <v>3198</v>
      </c>
      <c r="E28" s="7" t="s">
        <v>3199</v>
      </c>
      <c r="F28" s="7" t="s">
        <v>3432</v>
      </c>
      <c r="G28" s="7">
        <v>5</v>
      </c>
      <c r="H28" s="153"/>
      <c r="I28" s="8" t="str">
        <f t="shared" si="0"/>
        <v/>
      </c>
      <c r="J28" s="8" t="str">
        <f t="shared" si="1"/>
        <v/>
      </c>
      <c r="K28" s="8" t="str">
        <f t="shared" si="2"/>
        <v/>
      </c>
      <c r="L28" s="7" t="str">
        <f t="shared" si="3"/>
        <v/>
      </c>
      <c r="M28" s="7" t="s">
        <v>3433</v>
      </c>
      <c r="N28" s="7" t="s">
        <v>3434</v>
      </c>
      <c r="O28" s="7" t="s">
        <v>3435</v>
      </c>
      <c r="P28" s="7" t="s">
        <v>3436</v>
      </c>
      <c r="Q28" s="7" t="s">
        <v>3437</v>
      </c>
      <c r="R28" s="7" t="s">
        <v>3438</v>
      </c>
      <c r="S28" s="7" t="s">
        <v>3207</v>
      </c>
      <c r="T28" s="7" t="s">
        <v>3208</v>
      </c>
      <c r="U28" s="7"/>
      <c r="V28" s="7" t="s">
        <v>3439</v>
      </c>
      <c r="W28" s="14">
        <v>5</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Profile'!$B$9,_TECH_Industry_Templates!$B:$B,"Physical Safety"),"")</f>
        <v>2.8</v>
      </c>
      <c r="AO28" s="48" t="str">
        <f t="shared" si="6"/>
        <v/>
      </c>
      <c r="AP28" s="48">
        <f>IFERROR(SUMIFS(_TECH_Industry_Templates!$E:$E,_TECH_Industry_Templates!$A:$A,'Company Profile'!$B$9,_TECH_Industry_Templates!$B:$B,"Physical Safety"),1)</f>
        <v>0.9</v>
      </c>
      <c r="AQ28" s="48" t="str">
        <f t="shared" si="7"/>
        <v/>
      </c>
      <c r="AR28" s="48" t="str">
        <f t="shared" si="8"/>
        <v/>
      </c>
      <c r="AS28" s="11">
        <f t="shared" si="9"/>
        <v>0</v>
      </c>
      <c r="AT28" s="11">
        <f t="shared" si="10"/>
        <v>0</v>
      </c>
    </row>
    <row r="29" spans="1:46" ht="57">
      <c r="A29" s="7" t="s">
        <v>3440</v>
      </c>
      <c r="B29" s="7" t="s">
        <v>1250</v>
      </c>
      <c r="C29" s="7" t="s">
        <v>3441</v>
      </c>
      <c r="D29" s="7" t="s">
        <v>3198</v>
      </c>
      <c r="E29" s="7" t="s">
        <v>3199</v>
      </c>
      <c r="F29" s="7" t="s">
        <v>3442</v>
      </c>
      <c r="G29" s="7">
        <v>5</v>
      </c>
      <c r="H29" s="153"/>
      <c r="I29" s="8" t="str">
        <f t="shared" si="0"/>
        <v/>
      </c>
      <c r="J29" s="8" t="str">
        <f t="shared" si="1"/>
        <v/>
      </c>
      <c r="K29" s="8" t="str">
        <f t="shared" si="2"/>
        <v/>
      </c>
      <c r="L29" s="7" t="str">
        <f t="shared" si="3"/>
        <v/>
      </c>
      <c r="M29" s="7" t="s">
        <v>3443</v>
      </c>
      <c r="N29" s="7" t="s">
        <v>3444</v>
      </c>
      <c r="O29" s="7" t="s">
        <v>3445</v>
      </c>
      <c r="P29" s="7" t="s">
        <v>3446</v>
      </c>
      <c r="Q29" s="7" t="s">
        <v>3447</v>
      </c>
      <c r="R29" s="7" t="s">
        <v>3448</v>
      </c>
      <c r="S29" s="7" t="s">
        <v>3207</v>
      </c>
      <c r="T29" s="7" t="s">
        <v>3208</v>
      </c>
      <c r="U29" s="7"/>
      <c r="V29" s="7" t="s">
        <v>3449</v>
      </c>
      <c r="W29" s="14">
        <v>4</v>
      </c>
      <c r="X29" s="14">
        <v>5</v>
      </c>
      <c r="Y29" s="14">
        <v>5</v>
      </c>
      <c r="AH29" s="81"/>
      <c r="AI29" s="81"/>
      <c r="AJ29" s="48" t="str">
        <f>IF(OR($H29="",$H29="N/A"),"",IF($AH29="",VLOOKUP('Company Profile'!$B$40,_TECH_Scoring_Settings!$A$5:$B$8,2,FALSE),IFERROR(VLOOKUP($AH29,_TECH_Scoring_Settings!$A$5:$B$8,2,FALSE),0.9)))</f>
        <v/>
      </c>
      <c r="AK29" s="48" t="str">
        <f>IF(OR($H29="",$H29="N/A"),"",IF($AI29="",VLOOKUP('Company Profile'!$B$41,_TECH_Scoring_Settings!$A$5:$B$8,2,FALSE),IFERROR(VLOOKUP($AI29,_TECH_Scoring_Settings!$A$5:$B$8,2,FALSE),0.9)))</f>
        <v/>
      </c>
      <c r="AL29" s="48" t="str">
        <f t="shared" si="4"/>
        <v/>
      </c>
      <c r="AM29" s="48" t="str">
        <f t="shared" si="5"/>
        <v/>
      </c>
      <c r="AN29" s="48">
        <f>IFERROR(SUMIFS(_TECH_Industry_Templates!$D:$D,_TECH_Industry_Templates!$A:$A,'Company Profile'!$B$9,_TECH_Industry_Templates!$B:$B,"Physical Safety"),"")</f>
        <v>2.8</v>
      </c>
      <c r="AO29" s="48" t="str">
        <f t="shared" si="6"/>
        <v/>
      </c>
      <c r="AP29" s="48">
        <f>IFERROR(SUMIFS(_TECH_Industry_Templates!$E:$E,_TECH_Industry_Templates!$A:$A,'Company Profile'!$B$9,_TECH_Industry_Templates!$B:$B,"Physical Safety"),1)</f>
        <v>0.9</v>
      </c>
      <c r="AQ29" s="48" t="str">
        <f t="shared" si="7"/>
        <v/>
      </c>
      <c r="AR29" s="48" t="str">
        <f t="shared" si="8"/>
        <v/>
      </c>
      <c r="AS29" s="11">
        <f t="shared" si="9"/>
        <v>0</v>
      </c>
      <c r="AT29" s="11">
        <f t="shared" si="10"/>
        <v>0</v>
      </c>
    </row>
    <row r="30" spans="1:46" ht="57">
      <c r="A30" s="7" t="s">
        <v>3450</v>
      </c>
      <c r="B30" s="7" t="s">
        <v>1250</v>
      </c>
      <c r="C30" s="7" t="s">
        <v>3451</v>
      </c>
      <c r="D30" s="7" t="s">
        <v>3198</v>
      </c>
      <c r="E30" s="7" t="s">
        <v>3199</v>
      </c>
      <c r="F30" s="7" t="s">
        <v>3452</v>
      </c>
      <c r="G30" s="7">
        <v>5</v>
      </c>
      <c r="H30" s="153"/>
      <c r="I30" s="8" t="str">
        <f t="shared" si="0"/>
        <v/>
      </c>
      <c r="J30" s="8" t="str">
        <f t="shared" si="1"/>
        <v/>
      </c>
      <c r="K30" s="8" t="str">
        <f t="shared" si="2"/>
        <v/>
      </c>
      <c r="L30" s="7" t="str">
        <f t="shared" si="3"/>
        <v/>
      </c>
      <c r="M30" s="7" t="s">
        <v>3453</v>
      </c>
      <c r="N30" s="7" t="s">
        <v>3454</v>
      </c>
      <c r="O30" s="7" t="s">
        <v>3455</v>
      </c>
      <c r="P30" s="7" t="s">
        <v>3456</v>
      </c>
      <c r="Q30" s="7" t="s">
        <v>3457</v>
      </c>
      <c r="R30" s="7" t="s">
        <v>3458</v>
      </c>
      <c r="S30" s="7" t="s">
        <v>3207</v>
      </c>
      <c r="T30" s="7" t="s">
        <v>3208</v>
      </c>
      <c r="U30" s="7"/>
      <c r="V30" s="7" t="s">
        <v>3459</v>
      </c>
      <c r="W30" s="14">
        <v>5</v>
      </c>
      <c r="X30" s="14">
        <v>5</v>
      </c>
      <c r="Y30" s="14">
        <v>5</v>
      </c>
      <c r="AH30" s="81"/>
      <c r="AI30" s="81"/>
      <c r="AJ30" s="48" t="str">
        <f>IF(OR($H30="",$H30="N/A"),"",IF($AH30="",VLOOKUP('Company Profile'!$B$40,_TECH_Scoring_Settings!$A$5:$B$8,2,FALSE),IFERROR(VLOOKUP($AH30,_TECH_Scoring_Settings!$A$5:$B$8,2,FALSE),0.9)))</f>
        <v/>
      </c>
      <c r="AK30" s="48" t="str">
        <f>IF(OR($H30="",$H30="N/A"),"",IF($AI30="",VLOOKUP('Company Profile'!$B$41,_TECH_Scoring_Settings!$A$5:$B$8,2,FALSE),IFERROR(VLOOKUP($AI30,_TECH_Scoring_Settings!$A$5:$B$8,2,FALSE),0.9)))</f>
        <v/>
      </c>
      <c r="AL30" s="48" t="str">
        <f t="shared" si="4"/>
        <v/>
      </c>
      <c r="AM30" s="48" t="str">
        <f t="shared" si="5"/>
        <v/>
      </c>
      <c r="AN30" s="48">
        <f>IFERROR(SUMIFS(_TECH_Industry_Templates!$D:$D,_TECH_Industry_Templates!$A:$A,'Company Profile'!$B$9,_TECH_Industry_Templates!$B:$B,"Physical Safety"),"")</f>
        <v>2.8</v>
      </c>
      <c r="AO30" s="48" t="str">
        <f t="shared" si="6"/>
        <v/>
      </c>
      <c r="AP30" s="48">
        <f>IFERROR(SUMIFS(_TECH_Industry_Templates!$E:$E,_TECH_Industry_Templates!$A:$A,'Company Profile'!$B$9,_TECH_Industry_Templates!$B:$B,"Physical Safety"),1)</f>
        <v>0.9</v>
      </c>
      <c r="AQ30" s="48" t="str">
        <f t="shared" si="7"/>
        <v/>
      </c>
      <c r="AR30" s="48" t="str">
        <f t="shared" si="8"/>
        <v/>
      </c>
      <c r="AS30" s="11">
        <f t="shared" si="9"/>
        <v>0</v>
      </c>
      <c r="AT30" s="11">
        <f t="shared" si="10"/>
        <v>0</v>
      </c>
    </row>
    <row r="31" spans="1:46" ht="57">
      <c r="A31" s="7" t="s">
        <v>3460</v>
      </c>
      <c r="B31" s="7" t="s">
        <v>1250</v>
      </c>
      <c r="C31" s="7" t="s">
        <v>3461</v>
      </c>
      <c r="D31" s="7" t="s">
        <v>3198</v>
      </c>
      <c r="E31" s="7" t="s">
        <v>3199</v>
      </c>
      <c r="F31" s="7" t="s">
        <v>3462</v>
      </c>
      <c r="G31" s="7">
        <v>5</v>
      </c>
      <c r="H31" s="153"/>
      <c r="I31" s="8" t="str">
        <f t="shared" si="0"/>
        <v/>
      </c>
      <c r="J31" s="8" t="str">
        <f t="shared" si="1"/>
        <v/>
      </c>
      <c r="K31" s="8" t="str">
        <f t="shared" si="2"/>
        <v/>
      </c>
      <c r="L31" s="7" t="str">
        <f t="shared" si="3"/>
        <v/>
      </c>
      <c r="M31" s="7" t="s">
        <v>3463</v>
      </c>
      <c r="N31" s="7" t="s">
        <v>3464</v>
      </c>
      <c r="O31" s="7" t="s">
        <v>3465</v>
      </c>
      <c r="P31" s="7" t="s">
        <v>3466</v>
      </c>
      <c r="Q31" s="7" t="s">
        <v>3467</v>
      </c>
      <c r="R31" s="7" t="s">
        <v>3468</v>
      </c>
      <c r="S31" s="7" t="s">
        <v>3207</v>
      </c>
      <c r="T31" s="7" t="s">
        <v>3208</v>
      </c>
      <c r="U31" s="7"/>
      <c r="V31" s="7" t="s">
        <v>3469</v>
      </c>
      <c r="W31" s="14">
        <v>4</v>
      </c>
      <c r="X31" s="14">
        <v>5</v>
      </c>
      <c r="Y31" s="14">
        <v>5</v>
      </c>
      <c r="AH31" s="81"/>
      <c r="AI31" s="81"/>
      <c r="AJ31" s="48" t="str">
        <f>IF(OR($H31="",$H31="N/A"),"",IF($AH31="",VLOOKUP('Company Profile'!$B$40,_TECH_Scoring_Settings!$A$5:$B$8,2,FALSE),IFERROR(VLOOKUP($AH31,_TECH_Scoring_Settings!$A$5:$B$8,2,FALSE),0.9)))</f>
        <v/>
      </c>
      <c r="AK31" s="48" t="str">
        <f>IF(OR($H31="",$H31="N/A"),"",IF($AI31="",VLOOKUP('Company Profile'!$B$41,_TECH_Scoring_Settings!$A$5:$B$8,2,FALSE),IFERROR(VLOOKUP($AI31,_TECH_Scoring_Settings!$A$5:$B$8,2,FALSE),0.9)))</f>
        <v/>
      </c>
      <c r="AL31" s="48" t="str">
        <f t="shared" si="4"/>
        <v/>
      </c>
      <c r="AM31" s="48" t="str">
        <f t="shared" si="5"/>
        <v/>
      </c>
      <c r="AN31" s="48">
        <f>IFERROR(SUMIFS(_TECH_Industry_Templates!$D:$D,_TECH_Industry_Templates!$A:$A,'Company Profile'!$B$9,_TECH_Industry_Templates!$B:$B,"Physical Safety"),"")</f>
        <v>2.8</v>
      </c>
      <c r="AO31" s="48" t="str">
        <f t="shared" si="6"/>
        <v/>
      </c>
      <c r="AP31" s="48">
        <f>IFERROR(SUMIFS(_TECH_Industry_Templates!$E:$E,_TECH_Industry_Templates!$A:$A,'Company Profile'!$B$9,_TECH_Industry_Templates!$B:$B,"Physical Safety"),1)</f>
        <v>0.9</v>
      </c>
      <c r="AQ31" s="48" t="str">
        <f t="shared" si="7"/>
        <v/>
      </c>
      <c r="AR31" s="48" t="str">
        <f t="shared" si="8"/>
        <v/>
      </c>
      <c r="AS31" s="11">
        <f t="shared" si="9"/>
        <v>0</v>
      </c>
      <c r="AT31" s="11">
        <f t="shared" si="10"/>
        <v>0</v>
      </c>
    </row>
    <row r="32" spans="1:46" ht="71.25">
      <c r="A32" s="7" t="s">
        <v>3470</v>
      </c>
      <c r="B32" s="7" t="s">
        <v>1250</v>
      </c>
      <c r="C32" s="7" t="s">
        <v>3471</v>
      </c>
      <c r="D32" s="7" t="s">
        <v>3198</v>
      </c>
      <c r="E32" s="7" t="s">
        <v>3199</v>
      </c>
      <c r="F32" s="7" t="s">
        <v>3472</v>
      </c>
      <c r="G32" s="7">
        <v>5</v>
      </c>
      <c r="H32" s="153"/>
      <c r="I32" s="8" t="str">
        <f t="shared" si="0"/>
        <v/>
      </c>
      <c r="J32" s="8" t="str">
        <f t="shared" si="1"/>
        <v/>
      </c>
      <c r="K32" s="8" t="str">
        <f t="shared" si="2"/>
        <v/>
      </c>
      <c r="L32" s="7" t="str">
        <f t="shared" si="3"/>
        <v/>
      </c>
      <c r="M32" s="7" t="s">
        <v>3473</v>
      </c>
      <c r="N32" s="7" t="s">
        <v>3474</v>
      </c>
      <c r="O32" s="7" t="s">
        <v>3475</v>
      </c>
      <c r="P32" s="7" t="s">
        <v>3476</v>
      </c>
      <c r="Q32" s="7" t="s">
        <v>3477</v>
      </c>
      <c r="R32" s="7" t="s">
        <v>3478</v>
      </c>
      <c r="S32" s="7" t="s">
        <v>3207</v>
      </c>
      <c r="T32" s="7" t="s">
        <v>3208</v>
      </c>
      <c r="U32" s="7"/>
      <c r="V32" s="7" t="s">
        <v>3479</v>
      </c>
      <c r="W32" s="14">
        <v>4</v>
      </c>
      <c r="X32" s="14">
        <v>5</v>
      </c>
      <c r="Y32" s="14">
        <v>5</v>
      </c>
      <c r="AH32" s="81"/>
      <c r="AI32" s="81"/>
      <c r="AJ32" s="48" t="str">
        <f>IF(OR($H32="",$H32="N/A"),"",IF($AH32="",VLOOKUP('Company Profile'!$B$40,_TECH_Scoring_Settings!$A$5:$B$8,2,FALSE),IFERROR(VLOOKUP($AH32,_TECH_Scoring_Settings!$A$5:$B$8,2,FALSE),0.9)))</f>
        <v/>
      </c>
      <c r="AK32" s="48" t="str">
        <f>IF(OR($H32="",$H32="N/A"),"",IF($AI32="",VLOOKUP('Company Profile'!$B$41,_TECH_Scoring_Settings!$A$5:$B$8,2,FALSE),IFERROR(VLOOKUP($AI32,_TECH_Scoring_Settings!$A$5:$B$8,2,FALSE),0.9)))</f>
        <v/>
      </c>
      <c r="AL32" s="48" t="str">
        <f t="shared" si="4"/>
        <v/>
      </c>
      <c r="AM32" s="48" t="str">
        <f t="shared" si="5"/>
        <v/>
      </c>
      <c r="AN32" s="48">
        <f>IFERROR(SUMIFS(_TECH_Industry_Templates!$D:$D,_TECH_Industry_Templates!$A:$A,'Company Profile'!$B$9,_TECH_Industry_Templates!$B:$B,"Physical Safety"),"")</f>
        <v>2.8</v>
      </c>
      <c r="AO32" s="48" t="str">
        <f t="shared" si="6"/>
        <v/>
      </c>
      <c r="AP32" s="48">
        <f>IFERROR(SUMIFS(_TECH_Industry_Templates!$E:$E,_TECH_Industry_Templates!$A:$A,'Company Profile'!$B$9,_TECH_Industry_Templates!$B:$B,"Physical Safety"),1)</f>
        <v>0.9</v>
      </c>
      <c r="AQ32" s="48" t="str">
        <f t="shared" si="7"/>
        <v/>
      </c>
      <c r="AR32" s="48" t="str">
        <f t="shared" si="8"/>
        <v/>
      </c>
      <c r="AS32" s="11">
        <f t="shared" si="9"/>
        <v>0</v>
      </c>
      <c r="AT32" s="11">
        <f t="shared" si="10"/>
        <v>0</v>
      </c>
    </row>
  </sheetData>
  <mergeCells count="4">
    <mergeCell ref="A2:V2"/>
    <mergeCell ref="AA3:AG3"/>
    <mergeCell ref="A1:V1"/>
    <mergeCell ref="W3:Y3"/>
  </mergeCells>
  <conditionalFormatting sqref="H5:H32">
    <cfRule type="colorScale" priority="1">
      <colorScale>
        <cfvo type="min"/>
        <cfvo type="percentile" val="50"/>
        <cfvo type="max"/>
        <color rgb="FFF8696B"/>
        <color rgb="FFFFEB84"/>
        <color rgb="FF63BE7B"/>
      </colorScale>
    </cfRule>
  </conditionalFormatting>
  <conditionalFormatting sqref="L5:L32">
    <cfRule type="expression" dxfId="66" priority="2">
      <formula>$L5="Critical"</formula>
    </cfRule>
    <cfRule type="expression" dxfId="65" priority="3">
      <formula>$L5="High"</formula>
    </cfRule>
    <cfRule type="expression" dxfId="64" priority="4">
      <formula>$L5="Medium"</formula>
    </cfRule>
    <cfRule type="expression" dxfId="63" priority="5">
      <formula>$L5="Low"</formula>
    </cfRule>
    <cfRule type="expression" dxfId="62" priority="6">
      <formula>$L5="Resilient"</formula>
    </cfRule>
  </conditionalFormatting>
  <conditionalFormatting sqref="AC5:AC9">
    <cfRule type="colorScale" priority="7">
      <colorScale>
        <cfvo type="min"/>
        <cfvo type="percentile" val="50"/>
        <cfvo type="max"/>
        <color rgb="FFFEE2E2"/>
        <color rgb="FFFEF3C7"/>
        <color rgb="FFDCFCE7"/>
      </colorScale>
    </cfRule>
  </conditionalFormatting>
  <conditionalFormatting sqref="AD5:AD9">
    <cfRule type="dataBar" priority="8">
      <dataBar>
        <cfvo type="min"/>
        <cfvo type="max"/>
        <color rgb="FF2F75B5"/>
      </dataBar>
    </cfRule>
  </conditionalFormatting>
  <dataValidations count="4">
    <dataValidation type="list" sqref="H5:H32" ns2:uid="{00000000-0002-0000-1900-000000000000}">
      <formula1>"N/A,0,1,2,3,4,5"</formula1>
    </dataValidation>
    <dataValidation type="list" sqref="G5:G32" ns2:uid="{00000000-0002-0000-1900-000001000000}">
      <formula1>"1,2,3,4,5"</formula1>
    </dataValidation>
    <dataValidation type="list" sqref="W5:Y32" ns2:uid="{00000000-0002-0000-1900-000002000000}">
      <formula1>"0,1,2,3,4,5"</formula1>
    </dataValidation>
    <dataValidation type="list" allowBlank="1" sqref="AH5:AI32" ns2:uid="{00000000-0002-0000-19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7.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A00-000000000000}">
  <sheetPr>
    <tabColor rgb="FFED7D31"/>
  </sheetPr>
  <dimension ref="A1:AT28"/>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3480</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3481</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3482</v>
      </c>
      <c r="B5" s="7" t="s">
        <v>1258</v>
      </c>
      <c r="C5" s="7" t="s">
        <v>3483</v>
      </c>
      <c r="D5" s="7" t="s">
        <v>3484</v>
      </c>
      <c r="E5" s="7" t="s">
        <v>3485</v>
      </c>
      <c r="F5" s="7" t="s">
        <v>3486</v>
      </c>
      <c r="G5" s="7">
        <v>5</v>
      </c>
      <c r="H5" s="153"/>
      <c r="I5" s="8" t="str">
        <f t="shared" ref="I5:I28" si="0">IF($H5="","",IF($H5="N/A","",VALUE($H5)/5*$G5))</f>
        <v/>
      </c>
      <c r="J5" s="8" t="str">
        <f t="shared" ref="J5:J28" si="1">IF(OR($H5="",$H5="N/A"),"",$G5)</f>
        <v/>
      </c>
      <c r="K5" s="8" t="str">
        <f t="shared" ref="K5:K28" si="2">IF(OR($H5="",$H5="N/A"),"",$J5-$I5)</f>
        <v/>
      </c>
      <c r="L5" s="7" t="str">
        <f t="shared" ref="L5:L28" si="3">IF($H5="","",IF($H5="N/A","N/A",IF(VALUE($H5)&lt;=1,"Critical",IF(VALUE($H5)&lt;=2,"High",IF(VALUE($H5)&lt;=3,"Medium",IF(VALUE($H5)&lt;=4,"Low","Resilient"))))))</f>
        <v/>
      </c>
      <c r="M5" s="7" t="s">
        <v>3487</v>
      </c>
      <c r="N5" s="7" t="s">
        <v>3488</v>
      </c>
      <c r="O5" s="7" t="s">
        <v>3489</v>
      </c>
      <c r="P5" s="7" t="s">
        <v>3490</v>
      </c>
      <c r="Q5" s="7" t="s">
        <v>3491</v>
      </c>
      <c r="R5" s="7" t="s">
        <v>3492</v>
      </c>
      <c r="S5" s="7" t="s">
        <v>3493</v>
      </c>
      <c r="T5" s="7" t="s">
        <v>3494</v>
      </c>
      <c r="U5" s="7"/>
      <c r="V5" s="7" t="s">
        <v>3495</v>
      </c>
      <c r="W5" s="14">
        <v>4</v>
      </c>
      <c r="X5" s="14">
        <v>5</v>
      </c>
      <c r="Y5" s="14">
        <v>5</v>
      </c>
      <c r="AA5" t="s">
        <v>1258</v>
      </c>
      <c r="AB5" s="13">
        <f>COUNTIF($B$5:$B$28,$AA5)</f>
        <v>6</v>
      </c>
      <c r="AC5" s="15">
        <f>IFERROR(SUMPRODUCT(($B$5:$B$28=$AA5)*($H$5:$H$28&lt;&gt;"")*($H$5:$H$28&lt;&gt;"N/A")*IFERROR(VALUE($H$5:$H$28),0))/SUMPRODUCT(($B$5:$B$28=$AA5)*($H$5:$H$28&lt;&gt;"")*($H$5:$H$28&lt;&gt;"N/A")),0)</f>
        <v>0</v>
      </c>
      <c r="AD5" s="16">
        <f>AC5/5</f>
        <v>0</v>
      </c>
      <c r="AE5" s="13">
        <f>COUNTIFS($B$5:$B$28,$AA5,$L$5:$L$28,"Critical")+COUNTIFS($B$5:$B$28,$AA5,$L$5:$L$28,"High")</f>
        <v>0</v>
      </c>
      <c r="AF5" s="15">
        <f>5-AC5</f>
        <v>5</v>
      </c>
      <c r="AG5" s="13">
        <f>COUNTIFS($B$5:$B$28,$AA5,$H$5:$H$28,"&lt;&gt;")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8" si="4">IF(OR($H5="",$H5="N/A"),"",ROUND(VALUE($H5)*$AJ5*$AK5,2))</f>
        <v/>
      </c>
      <c r="AM5" s="48" t="str">
        <f t="shared" ref="AM5:AM28" si="5">IF($AL5="","",ROUND($AL5/5*100,1))</f>
        <v/>
      </c>
      <c r="AN5" s="48">
        <f>IFERROR(SUMIFS(_TECH_Industry_Templates!$D:$D,_TECH_Industry_Templates!$A:$A,'Company Profile'!$B$9,_TECH_Industry_Templates!$B:$B,"Delivery Ops"),"")</f>
        <v>4</v>
      </c>
      <c r="AO5" s="48" t="str">
        <f t="shared" ref="AO5:AO28" si="6">IF($AL5="","",MAX(0,ROUND($AN5-$AL5,2)))</f>
        <v/>
      </c>
      <c r="AP5" s="48">
        <f>IFERROR(SUMIFS(_TECH_Industry_Templates!$E:$E,_TECH_Industry_Templates!$A:$A,'Company Profile'!$B$9,_TECH_Industry_Templates!$B:$B,"Delivery Ops"),1)</f>
        <v>1.25</v>
      </c>
      <c r="AQ5" s="48" t="str">
        <f t="shared" ref="AQ5:AQ28" si="7">IF($AO5="","",ROUND($AO5*$AP5*($G5/5),2))</f>
        <v/>
      </c>
      <c r="AR5" s="48" t="str">
        <f t="shared" ref="AR5:AR28" si="8">IF($AO5="","",IF($AO5&gt;=2,"Critical industry gap",IF($AO5&gt;=1,"High industry gap",IF($AO5&gt;=0.5,"Moderate industry gap","Within target"))))</f>
        <v/>
      </c>
      <c r="AS5" s="11">
        <f t="shared" ref="AS5:AS28" si="9">IF(OR($H5="",$H5="N/A"),0,VALUE($H5)*(($AJ5+$AK5)/2))</f>
        <v>0</v>
      </c>
      <c r="AT5" s="11">
        <f t="shared" ref="AT5:AT28" si="10">IF(OR($H5="",$H5="N/A"),0,($AJ5+$AK5)/2)</f>
        <v>0</v>
      </c>
    </row>
    <row r="6" spans="1:46" ht="71.25">
      <c r="A6" s="7" t="s">
        <v>3496</v>
      </c>
      <c r="B6" s="7" t="s">
        <v>1258</v>
      </c>
      <c r="C6" s="7" t="s">
        <v>3497</v>
      </c>
      <c r="D6" s="7" t="s">
        <v>3484</v>
      </c>
      <c r="E6" s="7" t="s">
        <v>3485</v>
      </c>
      <c r="F6" s="7" t="s">
        <v>3498</v>
      </c>
      <c r="G6" s="7">
        <v>5</v>
      </c>
      <c r="H6" s="153"/>
      <c r="I6" s="8" t="str">
        <f t="shared" si="0"/>
        <v/>
      </c>
      <c r="J6" s="8" t="str">
        <f t="shared" si="1"/>
        <v/>
      </c>
      <c r="K6" s="8" t="str">
        <f t="shared" si="2"/>
        <v/>
      </c>
      <c r="L6" s="7" t="str">
        <f t="shared" si="3"/>
        <v/>
      </c>
      <c r="M6" s="7" t="s">
        <v>3499</v>
      </c>
      <c r="N6" s="7" t="s">
        <v>3500</v>
      </c>
      <c r="O6" s="7" t="s">
        <v>3501</v>
      </c>
      <c r="P6" s="7" t="s">
        <v>3502</v>
      </c>
      <c r="Q6" s="7" t="s">
        <v>3503</v>
      </c>
      <c r="R6" s="7" t="s">
        <v>3504</v>
      </c>
      <c r="S6" s="7" t="s">
        <v>3493</v>
      </c>
      <c r="T6" s="7" t="s">
        <v>3494</v>
      </c>
      <c r="U6" s="7"/>
      <c r="V6" s="7" t="s">
        <v>3505</v>
      </c>
      <c r="W6" s="14">
        <v>4</v>
      </c>
      <c r="X6" s="14">
        <v>5</v>
      </c>
      <c r="Y6" s="14">
        <v>5</v>
      </c>
      <c r="AA6" t="s">
        <v>1272</v>
      </c>
      <c r="AB6" s="13">
        <f>COUNTIF($B$5:$B$28,$AA6)</f>
        <v>6</v>
      </c>
      <c r="AC6" s="15">
        <f>IFERROR(SUMPRODUCT(($B$5:$B$28=$AA6)*($H$5:$H$28&lt;&gt;"")*($H$5:$H$28&lt;&gt;"N/A")*IFERROR(VALUE($H$5:$H$28),0))/SUMPRODUCT(($B$5:$B$28=$AA6)*($H$5:$H$28&lt;&gt;"")*($H$5:$H$28&lt;&gt;"N/A")),0)</f>
        <v>0</v>
      </c>
      <c r="AD6" s="16">
        <f>AC6/5</f>
        <v>0</v>
      </c>
      <c r="AE6" s="13">
        <f>COUNTIFS($B$5:$B$28,$AA6,$L$5:$L$28,"Critical")+COUNTIFS($B$5:$B$28,$AA6,$L$5:$L$28,"High")</f>
        <v>0</v>
      </c>
      <c r="AF6" s="15">
        <f>5-AC6</f>
        <v>5</v>
      </c>
      <c r="AG6" s="13">
        <f>COUNTIFS($B$5:$B$28,$AA6,$H$5:$H$28,"&lt;&gt;")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Profile'!$B$9,_TECH_Industry_Templates!$B:$B,"Delivery Ops"),"")</f>
        <v>4</v>
      </c>
      <c r="AO6" s="48" t="str">
        <f t="shared" si="6"/>
        <v/>
      </c>
      <c r="AP6" s="48">
        <f>IFERROR(SUMIFS(_TECH_Industry_Templates!$E:$E,_TECH_Industry_Templates!$A:$A,'Company Profile'!$B$9,_TECH_Industry_Templates!$B:$B,"Delivery Ops"),1)</f>
        <v>1.25</v>
      </c>
      <c r="AQ6" s="48" t="str">
        <f t="shared" si="7"/>
        <v/>
      </c>
      <c r="AR6" s="48" t="str">
        <f t="shared" si="8"/>
        <v/>
      </c>
      <c r="AS6" s="11">
        <f t="shared" si="9"/>
        <v>0</v>
      </c>
      <c r="AT6" s="11">
        <f t="shared" si="10"/>
        <v>0</v>
      </c>
    </row>
    <row r="7" spans="1:46" ht="71.25">
      <c r="A7" s="7" t="s">
        <v>3506</v>
      </c>
      <c r="B7" s="7" t="s">
        <v>1258</v>
      </c>
      <c r="C7" s="7" t="s">
        <v>3507</v>
      </c>
      <c r="D7" s="7" t="s">
        <v>3484</v>
      </c>
      <c r="E7" s="7" t="s">
        <v>3485</v>
      </c>
      <c r="F7" s="7" t="s">
        <v>3508</v>
      </c>
      <c r="G7" s="7">
        <v>4</v>
      </c>
      <c r="H7" s="153"/>
      <c r="I7" s="8" t="str">
        <f t="shared" si="0"/>
        <v/>
      </c>
      <c r="J7" s="8" t="str">
        <f t="shared" si="1"/>
        <v/>
      </c>
      <c r="K7" s="8" t="str">
        <f t="shared" si="2"/>
        <v/>
      </c>
      <c r="L7" s="7" t="str">
        <f t="shared" si="3"/>
        <v/>
      </c>
      <c r="M7" s="7" t="s">
        <v>3509</v>
      </c>
      <c r="N7" s="7" t="s">
        <v>3510</v>
      </c>
      <c r="O7" s="7" t="s">
        <v>3511</v>
      </c>
      <c r="P7" s="7" t="s">
        <v>3512</v>
      </c>
      <c r="Q7" s="7" t="s">
        <v>3513</v>
      </c>
      <c r="R7" s="7" t="s">
        <v>3514</v>
      </c>
      <c r="S7" s="7" t="s">
        <v>3493</v>
      </c>
      <c r="T7" s="7" t="s">
        <v>3494</v>
      </c>
      <c r="U7" s="7"/>
      <c r="V7" s="7" t="s">
        <v>3515</v>
      </c>
      <c r="W7" s="14">
        <v>4</v>
      </c>
      <c r="X7" s="14">
        <v>5</v>
      </c>
      <c r="Y7" s="14">
        <v>5</v>
      </c>
      <c r="AA7" t="s">
        <v>1280</v>
      </c>
      <c r="AB7" s="13">
        <f>COUNTIF($B$5:$B$28,$AA7)</f>
        <v>6</v>
      </c>
      <c r="AC7" s="15">
        <f>IFERROR(SUMPRODUCT(($B$5:$B$28=$AA7)*($H$5:$H$28&lt;&gt;"")*($H$5:$H$28&lt;&gt;"N/A")*IFERROR(VALUE($H$5:$H$28),0))/SUMPRODUCT(($B$5:$B$28=$AA7)*($H$5:$H$28&lt;&gt;"")*($H$5:$H$28&lt;&gt;"N/A")),0)</f>
        <v>0</v>
      </c>
      <c r="AD7" s="16">
        <f>AC7/5</f>
        <v>0</v>
      </c>
      <c r="AE7" s="13">
        <f>COUNTIFS($B$5:$B$28,$AA7,$L$5:$L$28,"Critical")+COUNTIFS($B$5:$B$28,$AA7,$L$5:$L$28,"High")</f>
        <v>0</v>
      </c>
      <c r="AF7" s="15">
        <f>5-AC7</f>
        <v>5</v>
      </c>
      <c r="AG7" s="13">
        <f>COUNTIFS($B$5:$B$28,$AA7,$H$5:$H$28,"&lt;&gt;")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Profile'!$B$9,_TECH_Industry_Templates!$B:$B,"Delivery Ops"),"")</f>
        <v>4</v>
      </c>
      <c r="AO7" s="48" t="str">
        <f t="shared" si="6"/>
        <v/>
      </c>
      <c r="AP7" s="48">
        <f>IFERROR(SUMIFS(_TECH_Industry_Templates!$E:$E,_TECH_Industry_Templates!$A:$A,'Company Profile'!$B$9,_TECH_Industry_Templates!$B:$B,"Delivery Ops"),1)</f>
        <v>1.25</v>
      </c>
      <c r="AQ7" s="48" t="str">
        <f t="shared" si="7"/>
        <v/>
      </c>
      <c r="AR7" s="48" t="str">
        <f t="shared" si="8"/>
        <v/>
      </c>
      <c r="AS7" s="11">
        <f t="shared" si="9"/>
        <v>0</v>
      </c>
      <c r="AT7" s="11">
        <f t="shared" si="10"/>
        <v>0</v>
      </c>
    </row>
    <row r="8" spans="1:46" ht="71.25">
      <c r="A8" s="7" t="s">
        <v>3516</v>
      </c>
      <c r="B8" s="7" t="s">
        <v>1258</v>
      </c>
      <c r="C8" s="7" t="s">
        <v>3517</v>
      </c>
      <c r="D8" s="7" t="s">
        <v>3484</v>
      </c>
      <c r="E8" s="7" t="s">
        <v>3485</v>
      </c>
      <c r="F8" s="7" t="s">
        <v>3518</v>
      </c>
      <c r="G8" s="7">
        <v>5</v>
      </c>
      <c r="H8" s="153"/>
      <c r="I8" s="8" t="str">
        <f t="shared" si="0"/>
        <v/>
      </c>
      <c r="J8" s="8" t="str">
        <f t="shared" si="1"/>
        <v/>
      </c>
      <c r="K8" s="8" t="str">
        <f t="shared" si="2"/>
        <v/>
      </c>
      <c r="L8" s="7" t="str">
        <f t="shared" si="3"/>
        <v/>
      </c>
      <c r="M8" s="7" t="s">
        <v>3519</v>
      </c>
      <c r="N8" s="7" t="s">
        <v>3520</v>
      </c>
      <c r="O8" s="7" t="s">
        <v>3521</v>
      </c>
      <c r="P8" s="7" t="s">
        <v>3522</v>
      </c>
      <c r="Q8" s="7" t="s">
        <v>3523</v>
      </c>
      <c r="R8" s="7" t="s">
        <v>3524</v>
      </c>
      <c r="S8" s="7" t="s">
        <v>3493</v>
      </c>
      <c r="T8" s="7" t="s">
        <v>3494</v>
      </c>
      <c r="U8" s="7"/>
      <c r="V8" s="7" t="s">
        <v>3525</v>
      </c>
      <c r="W8" s="14">
        <v>4</v>
      </c>
      <c r="X8" s="14">
        <v>5</v>
      </c>
      <c r="Y8" s="14">
        <v>5</v>
      </c>
      <c r="AA8" t="s">
        <v>1288</v>
      </c>
      <c r="AB8" s="13">
        <f>COUNTIF($B$5:$B$28,$AA8)</f>
        <v>6</v>
      </c>
      <c r="AC8" s="15">
        <f>IFERROR(SUMPRODUCT(($B$5:$B$28=$AA8)*($H$5:$H$28&lt;&gt;"")*($H$5:$H$28&lt;&gt;"N/A")*IFERROR(VALUE($H$5:$H$28),0))/SUMPRODUCT(($B$5:$B$28=$AA8)*($H$5:$H$28&lt;&gt;"")*($H$5:$H$28&lt;&gt;"N/A")),0)</f>
        <v>0</v>
      </c>
      <c r="AD8" s="16">
        <f>AC8/5</f>
        <v>0</v>
      </c>
      <c r="AE8" s="13">
        <f>COUNTIFS($B$5:$B$28,$AA8,$L$5:$L$28,"Critical")+COUNTIFS($B$5:$B$28,$AA8,$L$5:$L$28,"High")</f>
        <v>0</v>
      </c>
      <c r="AF8" s="15">
        <f>5-AC8</f>
        <v>5</v>
      </c>
      <c r="AG8" s="13">
        <f>COUNTIFS($B$5:$B$28,$AA8,$H$5:$H$28,"&lt;&gt;")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Profile'!$B$9,_TECH_Industry_Templates!$B:$B,"Delivery Ops"),"")</f>
        <v>4</v>
      </c>
      <c r="AO8" s="48" t="str">
        <f t="shared" si="6"/>
        <v/>
      </c>
      <c r="AP8" s="48">
        <f>IFERROR(SUMIFS(_TECH_Industry_Templates!$E:$E,_TECH_Industry_Templates!$A:$A,'Company Profile'!$B$9,_TECH_Industry_Templates!$B:$B,"Delivery Ops"),1)</f>
        <v>1.25</v>
      </c>
      <c r="AQ8" s="48" t="str">
        <f t="shared" si="7"/>
        <v/>
      </c>
      <c r="AR8" s="48" t="str">
        <f t="shared" si="8"/>
        <v/>
      </c>
      <c r="AS8" s="11">
        <f t="shared" si="9"/>
        <v>0</v>
      </c>
      <c r="AT8" s="11">
        <f t="shared" si="10"/>
        <v>0</v>
      </c>
    </row>
    <row r="9" spans="1:46" ht="57">
      <c r="A9" s="7" t="s">
        <v>3526</v>
      </c>
      <c r="B9" s="7" t="s">
        <v>1258</v>
      </c>
      <c r="C9" s="7" t="s">
        <v>3527</v>
      </c>
      <c r="D9" s="7" t="s">
        <v>3484</v>
      </c>
      <c r="E9" s="7" t="s">
        <v>3485</v>
      </c>
      <c r="F9" s="7" t="s">
        <v>3528</v>
      </c>
      <c r="G9" s="7">
        <v>4</v>
      </c>
      <c r="H9" s="153"/>
      <c r="I9" s="8" t="str">
        <f t="shared" si="0"/>
        <v/>
      </c>
      <c r="J9" s="8" t="str">
        <f t="shared" si="1"/>
        <v/>
      </c>
      <c r="K9" s="8" t="str">
        <f t="shared" si="2"/>
        <v/>
      </c>
      <c r="L9" s="7" t="str">
        <f t="shared" si="3"/>
        <v/>
      </c>
      <c r="M9" s="7" t="s">
        <v>3529</v>
      </c>
      <c r="N9" s="7" t="s">
        <v>3530</v>
      </c>
      <c r="O9" s="7" t="s">
        <v>3531</v>
      </c>
      <c r="P9" s="7" t="s">
        <v>3532</v>
      </c>
      <c r="Q9" s="7" t="s">
        <v>3533</v>
      </c>
      <c r="R9" s="7" t="s">
        <v>3534</v>
      </c>
      <c r="S9" s="7" t="s">
        <v>3493</v>
      </c>
      <c r="T9" s="7" t="s">
        <v>3494</v>
      </c>
      <c r="U9" s="7"/>
      <c r="V9" s="7" t="s">
        <v>3535</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Profile'!$B$9,_TECH_Industry_Templates!$B:$B,"Delivery Ops"),"")</f>
        <v>4</v>
      </c>
      <c r="AO9" s="48" t="str">
        <f t="shared" si="6"/>
        <v/>
      </c>
      <c r="AP9" s="48">
        <f>IFERROR(SUMIFS(_TECH_Industry_Templates!$E:$E,_TECH_Industry_Templates!$A:$A,'Company Profile'!$B$9,_TECH_Industry_Templates!$B:$B,"Delivery Ops"),1)</f>
        <v>1.25</v>
      </c>
      <c r="AQ9" s="48" t="str">
        <f t="shared" si="7"/>
        <v/>
      </c>
      <c r="AR9" s="48" t="str">
        <f t="shared" si="8"/>
        <v/>
      </c>
      <c r="AS9" s="11">
        <f t="shared" si="9"/>
        <v>0</v>
      </c>
      <c r="AT9" s="11">
        <f t="shared" si="10"/>
        <v>0</v>
      </c>
    </row>
    <row r="10" spans="1:46" ht="57">
      <c r="A10" s="7" t="s">
        <v>3536</v>
      </c>
      <c r="B10" s="7" t="s">
        <v>1258</v>
      </c>
      <c r="C10" s="7" t="s">
        <v>3537</v>
      </c>
      <c r="D10" s="7" t="s">
        <v>3484</v>
      </c>
      <c r="E10" s="7" t="s">
        <v>3485</v>
      </c>
      <c r="F10" s="7" t="s">
        <v>3538</v>
      </c>
      <c r="G10" s="7">
        <v>5</v>
      </c>
      <c r="H10" s="153"/>
      <c r="I10" s="8" t="str">
        <f t="shared" si="0"/>
        <v/>
      </c>
      <c r="J10" s="8" t="str">
        <f t="shared" si="1"/>
        <v/>
      </c>
      <c r="K10" s="8" t="str">
        <f t="shared" si="2"/>
        <v/>
      </c>
      <c r="L10" s="7" t="str">
        <f t="shared" si="3"/>
        <v/>
      </c>
      <c r="M10" s="7" t="s">
        <v>3539</v>
      </c>
      <c r="N10" s="7" t="s">
        <v>3540</v>
      </c>
      <c r="O10" s="7" t="s">
        <v>3541</v>
      </c>
      <c r="P10" s="7" t="s">
        <v>3542</v>
      </c>
      <c r="Q10" s="7" t="s">
        <v>3543</v>
      </c>
      <c r="R10" s="7" t="s">
        <v>3544</v>
      </c>
      <c r="S10" s="7" t="s">
        <v>3493</v>
      </c>
      <c r="T10" s="7" t="s">
        <v>3494</v>
      </c>
      <c r="U10" s="7"/>
      <c r="V10" s="7" t="s">
        <v>3545</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Profile'!$B$9,_TECH_Industry_Templates!$B:$B,"Delivery Ops"),"")</f>
        <v>4</v>
      </c>
      <c r="AO10" s="48" t="str">
        <f t="shared" si="6"/>
        <v/>
      </c>
      <c r="AP10" s="48">
        <f>IFERROR(SUMIFS(_TECH_Industry_Templates!$E:$E,_TECH_Industry_Templates!$A:$A,'Company Profile'!$B$9,_TECH_Industry_Templates!$B:$B,"Delivery Ops"),1)</f>
        <v>1.25</v>
      </c>
      <c r="AQ10" s="48" t="str">
        <f t="shared" si="7"/>
        <v/>
      </c>
      <c r="AR10" s="48" t="str">
        <f t="shared" si="8"/>
        <v/>
      </c>
      <c r="AS10" s="11">
        <f t="shared" si="9"/>
        <v>0</v>
      </c>
      <c r="AT10" s="11">
        <f t="shared" si="10"/>
        <v>0</v>
      </c>
    </row>
    <row r="11" spans="1:46" ht="71.25">
      <c r="A11" s="7" t="s">
        <v>3546</v>
      </c>
      <c r="B11" s="7" t="s">
        <v>1272</v>
      </c>
      <c r="C11" s="7" t="s">
        <v>3547</v>
      </c>
      <c r="D11" s="7" t="s">
        <v>3484</v>
      </c>
      <c r="E11" s="7" t="s">
        <v>3485</v>
      </c>
      <c r="F11" s="7" t="s">
        <v>3548</v>
      </c>
      <c r="G11" s="7">
        <v>5</v>
      </c>
      <c r="H11" s="153"/>
      <c r="I11" s="8" t="str">
        <f t="shared" si="0"/>
        <v/>
      </c>
      <c r="J11" s="8" t="str">
        <f t="shared" si="1"/>
        <v/>
      </c>
      <c r="K11" s="8" t="str">
        <f t="shared" si="2"/>
        <v/>
      </c>
      <c r="L11" s="7" t="str">
        <f t="shared" si="3"/>
        <v/>
      </c>
      <c r="M11" s="7" t="s">
        <v>3549</v>
      </c>
      <c r="N11" s="7" t="s">
        <v>3550</v>
      </c>
      <c r="O11" s="7" t="s">
        <v>3551</v>
      </c>
      <c r="P11" s="7" t="s">
        <v>3552</v>
      </c>
      <c r="Q11" s="7" t="s">
        <v>3553</v>
      </c>
      <c r="R11" s="7" t="s">
        <v>3554</v>
      </c>
      <c r="S11" s="7" t="s">
        <v>3493</v>
      </c>
      <c r="T11" s="7" t="s">
        <v>3494</v>
      </c>
      <c r="U11" s="7"/>
      <c r="V11" s="7" t="s">
        <v>3555</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Profile'!$B$9,_TECH_Industry_Templates!$B:$B,"Delivery Ops"),"")</f>
        <v>4</v>
      </c>
      <c r="AO11" s="48" t="str">
        <f t="shared" si="6"/>
        <v/>
      </c>
      <c r="AP11" s="48">
        <f>IFERROR(SUMIFS(_TECH_Industry_Templates!$E:$E,_TECH_Industry_Templates!$A:$A,'Company Profile'!$B$9,_TECH_Industry_Templates!$B:$B,"Delivery Ops"),1)</f>
        <v>1.25</v>
      </c>
      <c r="AQ11" s="48" t="str">
        <f t="shared" si="7"/>
        <v/>
      </c>
      <c r="AR11" s="48" t="str">
        <f t="shared" si="8"/>
        <v/>
      </c>
      <c r="AS11" s="11">
        <f t="shared" si="9"/>
        <v>0</v>
      </c>
      <c r="AT11" s="11">
        <f t="shared" si="10"/>
        <v>0</v>
      </c>
    </row>
    <row r="12" spans="1:46" ht="57">
      <c r="A12" s="7" t="s">
        <v>3556</v>
      </c>
      <c r="B12" s="7" t="s">
        <v>1272</v>
      </c>
      <c r="C12" s="7" t="s">
        <v>3557</v>
      </c>
      <c r="D12" s="7" t="s">
        <v>3484</v>
      </c>
      <c r="E12" s="7" t="s">
        <v>3485</v>
      </c>
      <c r="F12" s="7" t="s">
        <v>3558</v>
      </c>
      <c r="G12" s="7">
        <v>5</v>
      </c>
      <c r="H12" s="153"/>
      <c r="I12" s="8" t="str">
        <f t="shared" si="0"/>
        <v/>
      </c>
      <c r="J12" s="8" t="str">
        <f t="shared" si="1"/>
        <v/>
      </c>
      <c r="K12" s="8" t="str">
        <f t="shared" si="2"/>
        <v/>
      </c>
      <c r="L12" s="7" t="str">
        <f t="shared" si="3"/>
        <v/>
      </c>
      <c r="M12" s="7" t="s">
        <v>3559</v>
      </c>
      <c r="N12" s="7" t="s">
        <v>3560</v>
      </c>
      <c r="O12" s="7" t="s">
        <v>3561</v>
      </c>
      <c r="P12" s="7" t="s">
        <v>3562</v>
      </c>
      <c r="Q12" s="7" t="s">
        <v>3563</v>
      </c>
      <c r="R12" s="7" t="s">
        <v>3564</v>
      </c>
      <c r="S12" s="7" t="s">
        <v>3493</v>
      </c>
      <c r="T12" s="7" t="s">
        <v>3494</v>
      </c>
      <c r="U12" s="7"/>
      <c r="V12" s="7" t="s">
        <v>3565</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Profile'!$B$9,_TECH_Industry_Templates!$B:$B,"Delivery Ops"),"")</f>
        <v>4</v>
      </c>
      <c r="AO12" s="48" t="str">
        <f t="shared" si="6"/>
        <v/>
      </c>
      <c r="AP12" s="48">
        <f>IFERROR(SUMIFS(_TECH_Industry_Templates!$E:$E,_TECH_Industry_Templates!$A:$A,'Company Profile'!$B$9,_TECH_Industry_Templates!$B:$B,"Delivery Ops"),1)</f>
        <v>1.25</v>
      </c>
      <c r="AQ12" s="48" t="str">
        <f t="shared" si="7"/>
        <v/>
      </c>
      <c r="AR12" s="48" t="str">
        <f t="shared" si="8"/>
        <v/>
      </c>
      <c r="AS12" s="11">
        <f t="shared" si="9"/>
        <v>0</v>
      </c>
      <c r="AT12" s="11">
        <f t="shared" si="10"/>
        <v>0</v>
      </c>
    </row>
    <row r="13" spans="1:46" ht="57">
      <c r="A13" s="7" t="s">
        <v>3566</v>
      </c>
      <c r="B13" s="7" t="s">
        <v>1272</v>
      </c>
      <c r="C13" s="7" t="s">
        <v>3567</v>
      </c>
      <c r="D13" s="7" t="s">
        <v>3484</v>
      </c>
      <c r="E13" s="7" t="s">
        <v>3485</v>
      </c>
      <c r="F13" s="7" t="s">
        <v>3568</v>
      </c>
      <c r="G13" s="7">
        <v>3</v>
      </c>
      <c r="H13" s="153"/>
      <c r="I13" s="8" t="str">
        <f t="shared" si="0"/>
        <v/>
      </c>
      <c r="J13" s="8" t="str">
        <f t="shared" si="1"/>
        <v/>
      </c>
      <c r="K13" s="8" t="str">
        <f t="shared" si="2"/>
        <v/>
      </c>
      <c r="L13" s="7" t="str">
        <f t="shared" si="3"/>
        <v/>
      </c>
      <c r="M13" s="7" t="s">
        <v>3569</v>
      </c>
      <c r="N13" s="7" t="s">
        <v>3570</v>
      </c>
      <c r="O13" s="7" t="s">
        <v>3571</v>
      </c>
      <c r="P13" s="7" t="s">
        <v>3572</v>
      </c>
      <c r="Q13" s="7" t="s">
        <v>3573</v>
      </c>
      <c r="R13" s="7" t="s">
        <v>3574</v>
      </c>
      <c r="S13" s="7" t="s">
        <v>3493</v>
      </c>
      <c r="T13" s="7" t="s">
        <v>3494</v>
      </c>
      <c r="U13" s="7"/>
      <c r="V13" s="7" t="s">
        <v>3575</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Profile'!$B$9,_TECH_Industry_Templates!$B:$B,"Delivery Ops"),"")</f>
        <v>4</v>
      </c>
      <c r="AO13" s="48" t="str">
        <f t="shared" si="6"/>
        <v/>
      </c>
      <c r="AP13" s="48">
        <f>IFERROR(SUMIFS(_TECH_Industry_Templates!$E:$E,_TECH_Industry_Templates!$A:$A,'Company Profile'!$B$9,_TECH_Industry_Templates!$B:$B,"Delivery Ops"),1)</f>
        <v>1.25</v>
      </c>
      <c r="AQ13" s="48" t="str">
        <f t="shared" si="7"/>
        <v/>
      </c>
      <c r="AR13" s="48" t="str">
        <f t="shared" si="8"/>
        <v/>
      </c>
      <c r="AS13" s="11">
        <f t="shared" si="9"/>
        <v>0</v>
      </c>
      <c r="AT13" s="11">
        <f t="shared" si="10"/>
        <v>0</v>
      </c>
    </row>
    <row r="14" spans="1:46" ht="57">
      <c r="A14" s="7" t="s">
        <v>3576</v>
      </c>
      <c r="B14" s="7" t="s">
        <v>1272</v>
      </c>
      <c r="C14" s="7" t="s">
        <v>3577</v>
      </c>
      <c r="D14" s="7" t="s">
        <v>3484</v>
      </c>
      <c r="E14" s="7" t="s">
        <v>3485</v>
      </c>
      <c r="F14" s="7" t="s">
        <v>3578</v>
      </c>
      <c r="G14" s="7">
        <v>5</v>
      </c>
      <c r="H14" s="153"/>
      <c r="I14" s="8" t="str">
        <f t="shared" si="0"/>
        <v/>
      </c>
      <c r="J14" s="8" t="str">
        <f t="shared" si="1"/>
        <v/>
      </c>
      <c r="K14" s="8" t="str">
        <f t="shared" si="2"/>
        <v/>
      </c>
      <c r="L14" s="7" t="str">
        <f t="shared" si="3"/>
        <v/>
      </c>
      <c r="M14" s="7" t="s">
        <v>3579</v>
      </c>
      <c r="N14" s="7" t="s">
        <v>3580</v>
      </c>
      <c r="O14" s="7" t="s">
        <v>3581</v>
      </c>
      <c r="P14" s="7" t="s">
        <v>3582</v>
      </c>
      <c r="Q14" s="7" t="s">
        <v>3583</v>
      </c>
      <c r="R14" s="7" t="s">
        <v>3584</v>
      </c>
      <c r="S14" s="7" t="s">
        <v>3493</v>
      </c>
      <c r="T14" s="7" t="s">
        <v>3494</v>
      </c>
      <c r="U14" s="7"/>
      <c r="V14" s="7" t="s">
        <v>3585</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Profile'!$B$9,_TECH_Industry_Templates!$B:$B,"Delivery Ops"),"")</f>
        <v>4</v>
      </c>
      <c r="AO14" s="48" t="str">
        <f t="shared" si="6"/>
        <v/>
      </c>
      <c r="AP14" s="48">
        <f>IFERROR(SUMIFS(_TECH_Industry_Templates!$E:$E,_TECH_Industry_Templates!$A:$A,'Company Profile'!$B$9,_TECH_Industry_Templates!$B:$B,"Delivery Ops"),1)</f>
        <v>1.25</v>
      </c>
      <c r="AQ14" s="48" t="str">
        <f t="shared" si="7"/>
        <v/>
      </c>
      <c r="AR14" s="48" t="str">
        <f t="shared" si="8"/>
        <v/>
      </c>
      <c r="AS14" s="11">
        <f t="shared" si="9"/>
        <v>0</v>
      </c>
      <c r="AT14" s="11">
        <f t="shared" si="10"/>
        <v>0</v>
      </c>
    </row>
    <row r="15" spans="1:46" ht="57">
      <c r="A15" s="7" t="s">
        <v>3586</v>
      </c>
      <c r="B15" s="7" t="s">
        <v>1272</v>
      </c>
      <c r="C15" s="7" t="s">
        <v>3587</v>
      </c>
      <c r="D15" s="7" t="s">
        <v>3484</v>
      </c>
      <c r="E15" s="7" t="s">
        <v>3485</v>
      </c>
      <c r="F15" s="7" t="s">
        <v>3588</v>
      </c>
      <c r="G15" s="7">
        <v>5</v>
      </c>
      <c r="H15" s="153"/>
      <c r="I15" s="8" t="str">
        <f t="shared" si="0"/>
        <v/>
      </c>
      <c r="J15" s="8" t="str">
        <f t="shared" si="1"/>
        <v/>
      </c>
      <c r="K15" s="8" t="str">
        <f t="shared" si="2"/>
        <v/>
      </c>
      <c r="L15" s="7" t="str">
        <f t="shared" si="3"/>
        <v/>
      </c>
      <c r="M15" s="7" t="s">
        <v>3589</v>
      </c>
      <c r="N15" s="7" t="s">
        <v>3590</v>
      </c>
      <c r="O15" s="7" t="s">
        <v>3591</v>
      </c>
      <c r="P15" s="7" t="s">
        <v>3592</v>
      </c>
      <c r="Q15" s="7" t="s">
        <v>3593</v>
      </c>
      <c r="R15" s="7" t="s">
        <v>3594</v>
      </c>
      <c r="S15" s="7" t="s">
        <v>3493</v>
      </c>
      <c r="T15" s="7" t="s">
        <v>3494</v>
      </c>
      <c r="U15" s="7"/>
      <c r="V15" s="7" t="s">
        <v>3595</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Profile'!$B$9,_TECH_Industry_Templates!$B:$B,"Delivery Ops"),"")</f>
        <v>4</v>
      </c>
      <c r="AO15" s="48" t="str">
        <f t="shared" si="6"/>
        <v/>
      </c>
      <c r="AP15" s="48">
        <f>IFERROR(SUMIFS(_TECH_Industry_Templates!$E:$E,_TECH_Industry_Templates!$A:$A,'Company Profile'!$B$9,_TECH_Industry_Templates!$B:$B,"Delivery Ops"),1)</f>
        <v>1.25</v>
      </c>
      <c r="AQ15" s="48" t="str">
        <f t="shared" si="7"/>
        <v/>
      </c>
      <c r="AR15" s="48" t="str">
        <f t="shared" si="8"/>
        <v/>
      </c>
      <c r="AS15" s="11">
        <f t="shared" si="9"/>
        <v>0</v>
      </c>
      <c r="AT15" s="11">
        <f t="shared" si="10"/>
        <v>0</v>
      </c>
    </row>
    <row r="16" spans="1:46" ht="71.25">
      <c r="A16" s="7" t="s">
        <v>3596</v>
      </c>
      <c r="B16" s="7" t="s">
        <v>1272</v>
      </c>
      <c r="C16" s="7" t="s">
        <v>3597</v>
      </c>
      <c r="D16" s="7" t="s">
        <v>3484</v>
      </c>
      <c r="E16" s="7" t="s">
        <v>3485</v>
      </c>
      <c r="F16" s="7" t="s">
        <v>3598</v>
      </c>
      <c r="G16" s="7">
        <v>5</v>
      </c>
      <c r="H16" s="153"/>
      <c r="I16" s="8" t="str">
        <f t="shared" si="0"/>
        <v/>
      </c>
      <c r="J16" s="8" t="str">
        <f t="shared" si="1"/>
        <v/>
      </c>
      <c r="K16" s="8" t="str">
        <f t="shared" si="2"/>
        <v/>
      </c>
      <c r="L16" s="7" t="str">
        <f t="shared" si="3"/>
        <v/>
      </c>
      <c r="M16" s="7" t="s">
        <v>3599</v>
      </c>
      <c r="N16" s="7" t="s">
        <v>3600</v>
      </c>
      <c r="O16" s="7" t="s">
        <v>3601</v>
      </c>
      <c r="P16" s="7" t="s">
        <v>3602</v>
      </c>
      <c r="Q16" s="7" t="s">
        <v>3603</v>
      </c>
      <c r="R16" s="7" t="s">
        <v>3604</v>
      </c>
      <c r="S16" s="7" t="s">
        <v>3493</v>
      </c>
      <c r="T16" s="7" t="s">
        <v>3494</v>
      </c>
      <c r="U16" s="7"/>
      <c r="V16" s="7" t="s">
        <v>3605</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Profile'!$B$9,_TECH_Industry_Templates!$B:$B,"Delivery Ops"),"")</f>
        <v>4</v>
      </c>
      <c r="AO16" s="48" t="str">
        <f t="shared" si="6"/>
        <v/>
      </c>
      <c r="AP16" s="48">
        <f>IFERROR(SUMIFS(_TECH_Industry_Templates!$E:$E,_TECH_Industry_Templates!$A:$A,'Company Profile'!$B$9,_TECH_Industry_Templates!$B:$B,"Delivery Ops"),1)</f>
        <v>1.25</v>
      </c>
      <c r="AQ16" s="48" t="str">
        <f t="shared" si="7"/>
        <v/>
      </c>
      <c r="AR16" s="48" t="str">
        <f t="shared" si="8"/>
        <v/>
      </c>
      <c r="AS16" s="11">
        <f t="shared" si="9"/>
        <v>0</v>
      </c>
      <c r="AT16" s="11">
        <f t="shared" si="10"/>
        <v>0</v>
      </c>
    </row>
    <row r="17" spans="1:46" ht="57">
      <c r="A17" s="7" t="s">
        <v>3606</v>
      </c>
      <c r="B17" s="7" t="s">
        <v>1280</v>
      </c>
      <c r="C17" s="7" t="s">
        <v>3607</v>
      </c>
      <c r="D17" s="7" t="s">
        <v>3484</v>
      </c>
      <c r="E17" s="7" t="s">
        <v>3485</v>
      </c>
      <c r="F17" s="7" t="s">
        <v>3608</v>
      </c>
      <c r="G17" s="7">
        <v>5</v>
      </c>
      <c r="H17" s="153"/>
      <c r="I17" s="8" t="str">
        <f t="shared" si="0"/>
        <v/>
      </c>
      <c r="J17" s="8" t="str">
        <f t="shared" si="1"/>
        <v/>
      </c>
      <c r="K17" s="8" t="str">
        <f t="shared" si="2"/>
        <v/>
      </c>
      <c r="L17" s="7" t="str">
        <f t="shared" si="3"/>
        <v/>
      </c>
      <c r="M17" s="7" t="s">
        <v>3609</v>
      </c>
      <c r="N17" s="7" t="s">
        <v>3610</v>
      </c>
      <c r="O17" s="7" t="s">
        <v>3611</v>
      </c>
      <c r="P17" s="7" t="s">
        <v>3612</v>
      </c>
      <c r="Q17" s="7" t="s">
        <v>3613</v>
      </c>
      <c r="R17" s="7" t="s">
        <v>3614</v>
      </c>
      <c r="S17" s="7" t="s">
        <v>3493</v>
      </c>
      <c r="T17" s="7" t="s">
        <v>3494</v>
      </c>
      <c r="U17" s="7"/>
      <c r="V17" s="7" t="s">
        <v>3615</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Profile'!$B$9,_TECH_Industry_Templates!$B:$B,"Delivery Ops"),"")</f>
        <v>4</v>
      </c>
      <c r="AO17" s="48" t="str">
        <f t="shared" si="6"/>
        <v/>
      </c>
      <c r="AP17" s="48">
        <f>IFERROR(SUMIFS(_TECH_Industry_Templates!$E:$E,_TECH_Industry_Templates!$A:$A,'Company Profile'!$B$9,_TECH_Industry_Templates!$B:$B,"Delivery Ops"),1)</f>
        <v>1.25</v>
      </c>
      <c r="AQ17" s="48" t="str">
        <f t="shared" si="7"/>
        <v/>
      </c>
      <c r="AR17" s="48" t="str">
        <f t="shared" si="8"/>
        <v/>
      </c>
      <c r="AS17" s="11">
        <f t="shared" si="9"/>
        <v>0</v>
      </c>
      <c r="AT17" s="11">
        <f t="shared" si="10"/>
        <v>0</v>
      </c>
    </row>
    <row r="18" spans="1:46" ht="57">
      <c r="A18" s="7" t="s">
        <v>3616</v>
      </c>
      <c r="B18" s="7" t="s">
        <v>1280</v>
      </c>
      <c r="C18" s="7" t="s">
        <v>3617</v>
      </c>
      <c r="D18" s="7" t="s">
        <v>3484</v>
      </c>
      <c r="E18" s="7" t="s">
        <v>3485</v>
      </c>
      <c r="F18" s="7" t="s">
        <v>3618</v>
      </c>
      <c r="G18" s="7">
        <v>4</v>
      </c>
      <c r="H18" s="153"/>
      <c r="I18" s="8" t="str">
        <f t="shared" si="0"/>
        <v/>
      </c>
      <c r="J18" s="8" t="str">
        <f t="shared" si="1"/>
        <v/>
      </c>
      <c r="K18" s="8" t="str">
        <f t="shared" si="2"/>
        <v/>
      </c>
      <c r="L18" s="7" t="str">
        <f t="shared" si="3"/>
        <v/>
      </c>
      <c r="M18" s="7" t="s">
        <v>3619</v>
      </c>
      <c r="N18" s="7" t="s">
        <v>3620</v>
      </c>
      <c r="O18" s="7" t="s">
        <v>3621</v>
      </c>
      <c r="P18" s="7" t="s">
        <v>3622</v>
      </c>
      <c r="Q18" s="7" t="s">
        <v>3623</v>
      </c>
      <c r="R18" s="7" t="s">
        <v>3624</v>
      </c>
      <c r="S18" s="7" t="s">
        <v>3493</v>
      </c>
      <c r="T18" s="7" t="s">
        <v>3494</v>
      </c>
      <c r="U18" s="7"/>
      <c r="V18" s="7" t="s">
        <v>3625</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Profile'!$B$9,_TECH_Industry_Templates!$B:$B,"Delivery Ops"),"")</f>
        <v>4</v>
      </c>
      <c r="AO18" s="48" t="str">
        <f t="shared" si="6"/>
        <v/>
      </c>
      <c r="AP18" s="48">
        <f>IFERROR(SUMIFS(_TECH_Industry_Templates!$E:$E,_TECH_Industry_Templates!$A:$A,'Company Profile'!$B$9,_TECH_Industry_Templates!$B:$B,"Delivery Ops"),1)</f>
        <v>1.25</v>
      </c>
      <c r="AQ18" s="48" t="str">
        <f t="shared" si="7"/>
        <v/>
      </c>
      <c r="AR18" s="48" t="str">
        <f t="shared" si="8"/>
        <v/>
      </c>
      <c r="AS18" s="11">
        <f t="shared" si="9"/>
        <v>0</v>
      </c>
      <c r="AT18" s="11">
        <f t="shared" si="10"/>
        <v>0</v>
      </c>
    </row>
    <row r="19" spans="1:46" ht="57">
      <c r="A19" s="7" t="s">
        <v>3626</v>
      </c>
      <c r="B19" s="7" t="s">
        <v>1280</v>
      </c>
      <c r="C19" s="7" t="s">
        <v>3627</v>
      </c>
      <c r="D19" s="7" t="s">
        <v>3484</v>
      </c>
      <c r="E19" s="7" t="s">
        <v>3485</v>
      </c>
      <c r="F19" s="7" t="s">
        <v>3628</v>
      </c>
      <c r="G19" s="7">
        <v>5</v>
      </c>
      <c r="H19" s="153"/>
      <c r="I19" s="8" t="str">
        <f t="shared" si="0"/>
        <v/>
      </c>
      <c r="J19" s="8" t="str">
        <f t="shared" si="1"/>
        <v/>
      </c>
      <c r="K19" s="8" t="str">
        <f t="shared" si="2"/>
        <v/>
      </c>
      <c r="L19" s="7" t="str">
        <f t="shared" si="3"/>
        <v/>
      </c>
      <c r="M19" s="7" t="s">
        <v>3629</v>
      </c>
      <c r="N19" s="7" t="s">
        <v>3630</v>
      </c>
      <c r="O19" s="7" t="s">
        <v>3631</v>
      </c>
      <c r="P19" s="7" t="s">
        <v>3632</v>
      </c>
      <c r="Q19" s="7" t="s">
        <v>3633</v>
      </c>
      <c r="R19" s="7" t="s">
        <v>3634</v>
      </c>
      <c r="S19" s="7" t="s">
        <v>3493</v>
      </c>
      <c r="T19" s="7" t="s">
        <v>3494</v>
      </c>
      <c r="U19" s="7"/>
      <c r="V19" s="7" t="s">
        <v>3635</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Profile'!$B$9,_TECH_Industry_Templates!$B:$B,"Delivery Ops"),"")</f>
        <v>4</v>
      </c>
      <c r="AO19" s="48" t="str">
        <f t="shared" si="6"/>
        <v/>
      </c>
      <c r="AP19" s="48">
        <f>IFERROR(SUMIFS(_TECH_Industry_Templates!$E:$E,_TECH_Industry_Templates!$A:$A,'Company Profile'!$B$9,_TECH_Industry_Templates!$B:$B,"Delivery Ops"),1)</f>
        <v>1.25</v>
      </c>
      <c r="AQ19" s="48" t="str">
        <f t="shared" si="7"/>
        <v/>
      </c>
      <c r="AR19" s="48" t="str">
        <f t="shared" si="8"/>
        <v/>
      </c>
      <c r="AS19" s="11">
        <f t="shared" si="9"/>
        <v>0</v>
      </c>
      <c r="AT19" s="11">
        <f t="shared" si="10"/>
        <v>0</v>
      </c>
    </row>
    <row r="20" spans="1:46" ht="57">
      <c r="A20" s="7" t="s">
        <v>3636</v>
      </c>
      <c r="B20" s="7" t="s">
        <v>1280</v>
      </c>
      <c r="C20" s="7" t="s">
        <v>3637</v>
      </c>
      <c r="D20" s="7" t="s">
        <v>3484</v>
      </c>
      <c r="E20" s="7" t="s">
        <v>3485</v>
      </c>
      <c r="F20" s="7" t="s">
        <v>3638</v>
      </c>
      <c r="G20" s="7">
        <v>4</v>
      </c>
      <c r="H20" s="153"/>
      <c r="I20" s="8" t="str">
        <f t="shared" si="0"/>
        <v/>
      </c>
      <c r="J20" s="8" t="str">
        <f t="shared" si="1"/>
        <v/>
      </c>
      <c r="K20" s="8" t="str">
        <f t="shared" si="2"/>
        <v/>
      </c>
      <c r="L20" s="7" t="str">
        <f t="shared" si="3"/>
        <v/>
      </c>
      <c r="M20" s="7" t="s">
        <v>3639</v>
      </c>
      <c r="N20" s="7" t="s">
        <v>3640</v>
      </c>
      <c r="O20" s="7" t="s">
        <v>3641</v>
      </c>
      <c r="P20" s="7" t="s">
        <v>3642</v>
      </c>
      <c r="Q20" s="7" t="s">
        <v>3643</v>
      </c>
      <c r="R20" s="7" t="s">
        <v>3644</v>
      </c>
      <c r="S20" s="7" t="s">
        <v>3493</v>
      </c>
      <c r="T20" s="7" t="s">
        <v>3494</v>
      </c>
      <c r="U20" s="7"/>
      <c r="V20" s="7" t="s">
        <v>3645</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Profile'!$B$9,_TECH_Industry_Templates!$B:$B,"Delivery Ops"),"")</f>
        <v>4</v>
      </c>
      <c r="AO20" s="48" t="str">
        <f t="shared" si="6"/>
        <v/>
      </c>
      <c r="AP20" s="48">
        <f>IFERROR(SUMIFS(_TECH_Industry_Templates!$E:$E,_TECH_Industry_Templates!$A:$A,'Company Profile'!$B$9,_TECH_Industry_Templates!$B:$B,"Delivery Ops"),1)</f>
        <v>1.25</v>
      </c>
      <c r="AQ20" s="48" t="str">
        <f t="shared" si="7"/>
        <v/>
      </c>
      <c r="AR20" s="48" t="str">
        <f t="shared" si="8"/>
        <v/>
      </c>
      <c r="AS20" s="11">
        <f t="shared" si="9"/>
        <v>0</v>
      </c>
      <c r="AT20" s="11">
        <f t="shared" si="10"/>
        <v>0</v>
      </c>
    </row>
    <row r="21" spans="1:46" ht="57">
      <c r="A21" s="7" t="s">
        <v>3646</v>
      </c>
      <c r="B21" s="7" t="s">
        <v>1280</v>
      </c>
      <c r="C21" s="7" t="s">
        <v>3647</v>
      </c>
      <c r="D21" s="7" t="s">
        <v>3484</v>
      </c>
      <c r="E21" s="7" t="s">
        <v>3485</v>
      </c>
      <c r="F21" s="7" t="s">
        <v>3648</v>
      </c>
      <c r="G21" s="7">
        <v>3</v>
      </c>
      <c r="H21" s="153"/>
      <c r="I21" s="8" t="str">
        <f t="shared" si="0"/>
        <v/>
      </c>
      <c r="J21" s="8" t="str">
        <f t="shared" si="1"/>
        <v/>
      </c>
      <c r="K21" s="8" t="str">
        <f t="shared" si="2"/>
        <v/>
      </c>
      <c r="L21" s="7" t="str">
        <f t="shared" si="3"/>
        <v/>
      </c>
      <c r="M21" s="7" t="s">
        <v>3649</v>
      </c>
      <c r="N21" s="7" t="s">
        <v>3650</v>
      </c>
      <c r="O21" s="7" t="s">
        <v>3651</v>
      </c>
      <c r="P21" s="7" t="s">
        <v>3652</v>
      </c>
      <c r="Q21" s="7" t="s">
        <v>3653</v>
      </c>
      <c r="R21" s="7" t="s">
        <v>3654</v>
      </c>
      <c r="S21" s="7" t="s">
        <v>3493</v>
      </c>
      <c r="T21" s="7" t="s">
        <v>3494</v>
      </c>
      <c r="U21" s="7"/>
      <c r="V21" s="7" t="s">
        <v>3655</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Profile'!$B$9,_TECH_Industry_Templates!$B:$B,"Delivery Ops"),"")</f>
        <v>4</v>
      </c>
      <c r="AO21" s="48" t="str">
        <f t="shared" si="6"/>
        <v/>
      </c>
      <c r="AP21" s="48">
        <f>IFERROR(SUMIFS(_TECH_Industry_Templates!$E:$E,_TECH_Industry_Templates!$A:$A,'Company Profile'!$B$9,_TECH_Industry_Templates!$B:$B,"Delivery Ops"),1)</f>
        <v>1.25</v>
      </c>
      <c r="AQ21" s="48" t="str">
        <f t="shared" si="7"/>
        <v/>
      </c>
      <c r="AR21" s="48" t="str">
        <f t="shared" si="8"/>
        <v/>
      </c>
      <c r="AS21" s="11">
        <f t="shared" si="9"/>
        <v>0</v>
      </c>
      <c r="AT21" s="11">
        <f t="shared" si="10"/>
        <v>0</v>
      </c>
    </row>
    <row r="22" spans="1:46" ht="57">
      <c r="A22" s="7" t="s">
        <v>3656</v>
      </c>
      <c r="B22" s="7" t="s">
        <v>1280</v>
      </c>
      <c r="C22" s="7" t="s">
        <v>3657</v>
      </c>
      <c r="D22" s="7" t="s">
        <v>3484</v>
      </c>
      <c r="E22" s="7" t="s">
        <v>3485</v>
      </c>
      <c r="F22" s="7" t="s">
        <v>3658</v>
      </c>
      <c r="G22" s="7">
        <v>3</v>
      </c>
      <c r="H22" s="153"/>
      <c r="I22" s="8" t="str">
        <f t="shared" si="0"/>
        <v/>
      </c>
      <c r="J22" s="8" t="str">
        <f t="shared" si="1"/>
        <v/>
      </c>
      <c r="K22" s="8" t="str">
        <f t="shared" si="2"/>
        <v/>
      </c>
      <c r="L22" s="7" t="str">
        <f t="shared" si="3"/>
        <v/>
      </c>
      <c r="M22" s="7" t="s">
        <v>3659</v>
      </c>
      <c r="N22" s="7" t="s">
        <v>3660</v>
      </c>
      <c r="O22" s="7" t="s">
        <v>3661</v>
      </c>
      <c r="P22" s="7" t="s">
        <v>3662</v>
      </c>
      <c r="Q22" s="7" t="s">
        <v>3663</v>
      </c>
      <c r="R22" s="7" t="s">
        <v>3664</v>
      </c>
      <c r="S22" s="7" t="s">
        <v>3493</v>
      </c>
      <c r="T22" s="7" t="s">
        <v>3494</v>
      </c>
      <c r="U22" s="7"/>
      <c r="V22" s="7" t="s">
        <v>3665</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Profile'!$B$9,_TECH_Industry_Templates!$B:$B,"Delivery Ops"),"")</f>
        <v>4</v>
      </c>
      <c r="AO22" s="48" t="str">
        <f t="shared" si="6"/>
        <v/>
      </c>
      <c r="AP22" s="48">
        <f>IFERROR(SUMIFS(_TECH_Industry_Templates!$E:$E,_TECH_Industry_Templates!$A:$A,'Company Profile'!$B$9,_TECH_Industry_Templates!$B:$B,"Delivery Ops"),1)</f>
        <v>1.25</v>
      </c>
      <c r="AQ22" s="48" t="str">
        <f t="shared" si="7"/>
        <v/>
      </c>
      <c r="AR22" s="48" t="str">
        <f t="shared" si="8"/>
        <v/>
      </c>
      <c r="AS22" s="11">
        <f t="shared" si="9"/>
        <v>0</v>
      </c>
      <c r="AT22" s="11">
        <f t="shared" si="10"/>
        <v>0</v>
      </c>
    </row>
    <row r="23" spans="1:46" ht="71.25">
      <c r="A23" s="7" t="s">
        <v>3666</v>
      </c>
      <c r="B23" s="7" t="s">
        <v>1288</v>
      </c>
      <c r="C23" s="7" t="s">
        <v>3667</v>
      </c>
      <c r="D23" s="7" t="s">
        <v>3484</v>
      </c>
      <c r="E23" s="7" t="s">
        <v>3485</v>
      </c>
      <c r="F23" s="7" t="s">
        <v>3668</v>
      </c>
      <c r="G23" s="7">
        <v>5</v>
      </c>
      <c r="H23" s="153"/>
      <c r="I23" s="8" t="str">
        <f t="shared" si="0"/>
        <v/>
      </c>
      <c r="J23" s="8" t="str">
        <f t="shared" si="1"/>
        <v/>
      </c>
      <c r="K23" s="8" t="str">
        <f t="shared" si="2"/>
        <v/>
      </c>
      <c r="L23" s="7" t="str">
        <f t="shared" si="3"/>
        <v/>
      </c>
      <c r="M23" s="7" t="s">
        <v>3669</v>
      </c>
      <c r="N23" s="7" t="s">
        <v>3670</v>
      </c>
      <c r="O23" s="7" t="s">
        <v>3671</v>
      </c>
      <c r="P23" s="7" t="s">
        <v>3672</v>
      </c>
      <c r="Q23" s="7" t="s">
        <v>3673</v>
      </c>
      <c r="R23" s="7" t="s">
        <v>3674</v>
      </c>
      <c r="S23" s="7" t="s">
        <v>3493</v>
      </c>
      <c r="T23" s="7" t="s">
        <v>3494</v>
      </c>
      <c r="U23" s="7"/>
      <c r="V23" s="7" t="s">
        <v>3675</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Profile'!$B$9,_TECH_Industry_Templates!$B:$B,"Delivery Ops"),"")</f>
        <v>4</v>
      </c>
      <c r="AO23" s="48" t="str">
        <f t="shared" si="6"/>
        <v/>
      </c>
      <c r="AP23" s="48">
        <f>IFERROR(SUMIFS(_TECH_Industry_Templates!$E:$E,_TECH_Industry_Templates!$A:$A,'Company Profile'!$B$9,_TECH_Industry_Templates!$B:$B,"Delivery Ops"),1)</f>
        <v>1.25</v>
      </c>
      <c r="AQ23" s="48" t="str">
        <f t="shared" si="7"/>
        <v/>
      </c>
      <c r="AR23" s="48" t="str">
        <f t="shared" si="8"/>
        <v/>
      </c>
      <c r="AS23" s="11">
        <f t="shared" si="9"/>
        <v>0</v>
      </c>
      <c r="AT23" s="11">
        <f t="shared" si="10"/>
        <v>0</v>
      </c>
    </row>
    <row r="24" spans="1:46" ht="71.25">
      <c r="A24" s="7" t="s">
        <v>3676</v>
      </c>
      <c r="B24" s="7" t="s">
        <v>1288</v>
      </c>
      <c r="C24" s="7" t="s">
        <v>3677</v>
      </c>
      <c r="D24" s="7" t="s">
        <v>3484</v>
      </c>
      <c r="E24" s="7" t="s">
        <v>3485</v>
      </c>
      <c r="F24" s="7" t="s">
        <v>3678</v>
      </c>
      <c r="G24" s="7">
        <v>5</v>
      </c>
      <c r="H24" s="153"/>
      <c r="I24" s="8" t="str">
        <f t="shared" si="0"/>
        <v/>
      </c>
      <c r="J24" s="8" t="str">
        <f t="shared" si="1"/>
        <v/>
      </c>
      <c r="K24" s="8" t="str">
        <f t="shared" si="2"/>
        <v/>
      </c>
      <c r="L24" s="7" t="str">
        <f t="shared" si="3"/>
        <v/>
      </c>
      <c r="M24" s="7" t="s">
        <v>3679</v>
      </c>
      <c r="N24" s="7" t="s">
        <v>3680</v>
      </c>
      <c r="O24" s="7" t="s">
        <v>3681</v>
      </c>
      <c r="P24" s="7" t="s">
        <v>3682</v>
      </c>
      <c r="Q24" s="7" t="s">
        <v>3683</v>
      </c>
      <c r="R24" s="7" t="s">
        <v>3684</v>
      </c>
      <c r="S24" s="7" t="s">
        <v>3493</v>
      </c>
      <c r="T24" s="7" t="s">
        <v>3494</v>
      </c>
      <c r="U24" s="7"/>
      <c r="V24" s="7" t="s">
        <v>3685</v>
      </c>
      <c r="W24" s="14">
        <v>4</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Profile'!$B$9,_TECH_Industry_Templates!$B:$B,"Delivery Ops"),"")</f>
        <v>4</v>
      </c>
      <c r="AO24" s="48" t="str">
        <f t="shared" si="6"/>
        <v/>
      </c>
      <c r="AP24" s="48">
        <f>IFERROR(SUMIFS(_TECH_Industry_Templates!$E:$E,_TECH_Industry_Templates!$A:$A,'Company Profile'!$B$9,_TECH_Industry_Templates!$B:$B,"Delivery Ops"),1)</f>
        <v>1.25</v>
      </c>
      <c r="AQ24" s="48" t="str">
        <f t="shared" si="7"/>
        <v/>
      </c>
      <c r="AR24" s="48" t="str">
        <f t="shared" si="8"/>
        <v/>
      </c>
      <c r="AS24" s="11">
        <f t="shared" si="9"/>
        <v>0</v>
      </c>
      <c r="AT24" s="11">
        <f t="shared" si="10"/>
        <v>0</v>
      </c>
    </row>
    <row r="25" spans="1:46" ht="71.25">
      <c r="A25" s="7" t="s">
        <v>3686</v>
      </c>
      <c r="B25" s="7" t="s">
        <v>1288</v>
      </c>
      <c r="C25" s="7" t="s">
        <v>3687</v>
      </c>
      <c r="D25" s="7" t="s">
        <v>3484</v>
      </c>
      <c r="E25" s="7" t="s">
        <v>3485</v>
      </c>
      <c r="F25" s="7" t="s">
        <v>3688</v>
      </c>
      <c r="G25" s="7">
        <v>4</v>
      </c>
      <c r="H25" s="153"/>
      <c r="I25" s="8" t="str">
        <f t="shared" si="0"/>
        <v/>
      </c>
      <c r="J25" s="8" t="str">
        <f t="shared" si="1"/>
        <v/>
      </c>
      <c r="K25" s="8" t="str">
        <f t="shared" si="2"/>
        <v/>
      </c>
      <c r="L25" s="7" t="str">
        <f t="shared" si="3"/>
        <v/>
      </c>
      <c r="M25" s="7" t="s">
        <v>3689</v>
      </c>
      <c r="N25" s="7" t="s">
        <v>3690</v>
      </c>
      <c r="O25" s="7" t="s">
        <v>3691</v>
      </c>
      <c r="P25" s="7" t="s">
        <v>3692</v>
      </c>
      <c r="Q25" s="7" t="s">
        <v>3693</v>
      </c>
      <c r="R25" s="7" t="s">
        <v>3694</v>
      </c>
      <c r="S25" s="7" t="s">
        <v>3493</v>
      </c>
      <c r="T25" s="7" t="s">
        <v>3494</v>
      </c>
      <c r="U25" s="7"/>
      <c r="V25" s="7" t="s">
        <v>3695</v>
      </c>
      <c r="W25" s="14">
        <v>4</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Profile'!$B$9,_TECH_Industry_Templates!$B:$B,"Delivery Ops"),"")</f>
        <v>4</v>
      </c>
      <c r="AO25" s="48" t="str">
        <f t="shared" si="6"/>
        <v/>
      </c>
      <c r="AP25" s="48">
        <f>IFERROR(SUMIFS(_TECH_Industry_Templates!$E:$E,_TECH_Industry_Templates!$A:$A,'Company Profile'!$B$9,_TECH_Industry_Templates!$B:$B,"Delivery Ops"),1)</f>
        <v>1.25</v>
      </c>
      <c r="AQ25" s="48" t="str">
        <f t="shared" si="7"/>
        <v/>
      </c>
      <c r="AR25" s="48" t="str">
        <f t="shared" si="8"/>
        <v/>
      </c>
      <c r="AS25" s="11">
        <f t="shared" si="9"/>
        <v>0</v>
      </c>
      <c r="AT25" s="11">
        <f t="shared" si="10"/>
        <v>0</v>
      </c>
    </row>
    <row r="26" spans="1:46" ht="57">
      <c r="A26" s="7" t="s">
        <v>3696</v>
      </c>
      <c r="B26" s="7" t="s">
        <v>1288</v>
      </c>
      <c r="C26" s="7" t="s">
        <v>3697</v>
      </c>
      <c r="D26" s="7" t="s">
        <v>3484</v>
      </c>
      <c r="E26" s="7" t="s">
        <v>3485</v>
      </c>
      <c r="F26" s="7" t="s">
        <v>3698</v>
      </c>
      <c r="G26" s="7">
        <v>5</v>
      </c>
      <c r="H26" s="153"/>
      <c r="I26" s="8" t="str">
        <f t="shared" si="0"/>
        <v/>
      </c>
      <c r="J26" s="8" t="str">
        <f t="shared" si="1"/>
        <v/>
      </c>
      <c r="K26" s="8" t="str">
        <f t="shared" si="2"/>
        <v/>
      </c>
      <c r="L26" s="7" t="str">
        <f t="shared" si="3"/>
        <v/>
      </c>
      <c r="M26" s="7" t="s">
        <v>3699</v>
      </c>
      <c r="N26" s="7" t="s">
        <v>3700</v>
      </c>
      <c r="O26" s="7" t="s">
        <v>3701</v>
      </c>
      <c r="P26" s="7" t="s">
        <v>3702</v>
      </c>
      <c r="Q26" s="7" t="s">
        <v>3703</v>
      </c>
      <c r="R26" s="7" t="s">
        <v>3704</v>
      </c>
      <c r="S26" s="7" t="s">
        <v>3493</v>
      </c>
      <c r="T26" s="7" t="s">
        <v>3494</v>
      </c>
      <c r="U26" s="7"/>
      <c r="V26" s="7" t="s">
        <v>3705</v>
      </c>
      <c r="W26" s="14">
        <v>4</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Profile'!$B$9,_TECH_Industry_Templates!$B:$B,"Delivery Ops"),"")</f>
        <v>4</v>
      </c>
      <c r="AO26" s="48" t="str">
        <f t="shared" si="6"/>
        <v/>
      </c>
      <c r="AP26" s="48">
        <f>IFERROR(SUMIFS(_TECH_Industry_Templates!$E:$E,_TECH_Industry_Templates!$A:$A,'Company Profile'!$B$9,_TECH_Industry_Templates!$B:$B,"Delivery Ops"),1)</f>
        <v>1.25</v>
      </c>
      <c r="AQ26" s="48" t="str">
        <f t="shared" si="7"/>
        <v/>
      </c>
      <c r="AR26" s="48" t="str">
        <f t="shared" si="8"/>
        <v/>
      </c>
      <c r="AS26" s="11">
        <f t="shared" si="9"/>
        <v>0</v>
      </c>
      <c r="AT26" s="11">
        <f t="shared" si="10"/>
        <v>0</v>
      </c>
    </row>
    <row r="27" spans="1:46" ht="57">
      <c r="A27" s="7" t="s">
        <v>3706</v>
      </c>
      <c r="B27" s="7" t="s">
        <v>1288</v>
      </c>
      <c r="C27" s="7" t="s">
        <v>3707</v>
      </c>
      <c r="D27" s="7" t="s">
        <v>3484</v>
      </c>
      <c r="E27" s="7" t="s">
        <v>3485</v>
      </c>
      <c r="F27" s="7" t="s">
        <v>3708</v>
      </c>
      <c r="G27" s="7">
        <v>5</v>
      </c>
      <c r="H27" s="153"/>
      <c r="I27" s="8" t="str">
        <f t="shared" si="0"/>
        <v/>
      </c>
      <c r="J27" s="8" t="str">
        <f t="shared" si="1"/>
        <v/>
      </c>
      <c r="K27" s="8" t="str">
        <f t="shared" si="2"/>
        <v/>
      </c>
      <c r="L27" s="7" t="str">
        <f t="shared" si="3"/>
        <v/>
      </c>
      <c r="M27" s="7" t="s">
        <v>3709</v>
      </c>
      <c r="N27" s="7" t="s">
        <v>3710</v>
      </c>
      <c r="O27" s="7" t="s">
        <v>3711</v>
      </c>
      <c r="P27" s="7" t="s">
        <v>3712</v>
      </c>
      <c r="Q27" s="7" t="s">
        <v>3713</v>
      </c>
      <c r="R27" s="7" t="s">
        <v>3714</v>
      </c>
      <c r="S27" s="7" t="s">
        <v>3493</v>
      </c>
      <c r="T27" s="7" t="s">
        <v>3494</v>
      </c>
      <c r="U27" s="7"/>
      <c r="V27" s="7" t="s">
        <v>3715</v>
      </c>
      <c r="W27" s="14">
        <v>4</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Profile'!$B$9,_TECH_Industry_Templates!$B:$B,"Delivery Ops"),"")</f>
        <v>4</v>
      </c>
      <c r="AO27" s="48" t="str">
        <f t="shared" si="6"/>
        <v/>
      </c>
      <c r="AP27" s="48">
        <f>IFERROR(SUMIFS(_TECH_Industry_Templates!$E:$E,_TECH_Industry_Templates!$A:$A,'Company Profile'!$B$9,_TECH_Industry_Templates!$B:$B,"Delivery Ops"),1)</f>
        <v>1.25</v>
      </c>
      <c r="AQ27" s="48" t="str">
        <f t="shared" si="7"/>
        <v/>
      </c>
      <c r="AR27" s="48" t="str">
        <f t="shared" si="8"/>
        <v/>
      </c>
      <c r="AS27" s="11">
        <f t="shared" si="9"/>
        <v>0</v>
      </c>
      <c r="AT27" s="11">
        <f t="shared" si="10"/>
        <v>0</v>
      </c>
    </row>
    <row r="28" spans="1:46" ht="57">
      <c r="A28" s="7" t="s">
        <v>3716</v>
      </c>
      <c r="B28" s="7" t="s">
        <v>1288</v>
      </c>
      <c r="C28" s="7" t="s">
        <v>3717</v>
      </c>
      <c r="D28" s="7" t="s">
        <v>3484</v>
      </c>
      <c r="E28" s="7" t="s">
        <v>3485</v>
      </c>
      <c r="F28" s="7" t="s">
        <v>3718</v>
      </c>
      <c r="G28" s="7">
        <v>5</v>
      </c>
      <c r="H28" s="153"/>
      <c r="I28" s="8" t="str">
        <f t="shared" si="0"/>
        <v/>
      </c>
      <c r="J28" s="8" t="str">
        <f t="shared" si="1"/>
        <v/>
      </c>
      <c r="K28" s="8" t="str">
        <f t="shared" si="2"/>
        <v/>
      </c>
      <c r="L28" s="7" t="str">
        <f t="shared" si="3"/>
        <v/>
      </c>
      <c r="M28" s="7" t="s">
        <v>3719</v>
      </c>
      <c r="N28" s="7" t="s">
        <v>3720</v>
      </c>
      <c r="O28" s="7" t="s">
        <v>3721</v>
      </c>
      <c r="P28" s="7" t="s">
        <v>3722</v>
      </c>
      <c r="Q28" s="7" t="s">
        <v>3723</v>
      </c>
      <c r="R28" s="7" t="s">
        <v>3724</v>
      </c>
      <c r="S28" s="7" t="s">
        <v>3493</v>
      </c>
      <c r="T28" s="7" t="s">
        <v>3494</v>
      </c>
      <c r="U28" s="7"/>
      <c r="V28" s="7" t="s">
        <v>3725</v>
      </c>
      <c r="W28" s="14">
        <v>4</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Profile'!$B$9,_TECH_Industry_Templates!$B:$B,"Delivery Ops"),"")</f>
        <v>4</v>
      </c>
      <c r="AO28" s="48" t="str">
        <f t="shared" si="6"/>
        <v/>
      </c>
      <c r="AP28" s="48">
        <f>IFERROR(SUMIFS(_TECH_Industry_Templates!$E:$E,_TECH_Industry_Templates!$A:$A,'Company Profile'!$B$9,_TECH_Industry_Templates!$B:$B,"Delivery Ops"),1)</f>
        <v>1.25</v>
      </c>
      <c r="AQ28" s="48" t="str">
        <f t="shared" si="7"/>
        <v/>
      </c>
      <c r="AR28" s="48" t="str">
        <f t="shared" si="8"/>
        <v/>
      </c>
      <c r="AS28" s="11">
        <f t="shared" si="9"/>
        <v>0</v>
      </c>
      <c r="AT28" s="11">
        <f t="shared" si="10"/>
        <v>0</v>
      </c>
    </row>
  </sheetData>
  <mergeCells count="4">
    <mergeCell ref="A2:V2"/>
    <mergeCell ref="AA3:AG3"/>
    <mergeCell ref="A1:V1"/>
    <mergeCell ref="W3:Y3"/>
  </mergeCells>
  <conditionalFormatting sqref="H5:H28">
    <cfRule type="colorScale" priority="1">
      <colorScale>
        <cfvo type="min"/>
        <cfvo type="percentile" val="50"/>
        <cfvo type="max"/>
        <color rgb="FFF8696B"/>
        <color rgb="FFFFEB84"/>
        <color rgb="FF63BE7B"/>
      </colorScale>
    </cfRule>
  </conditionalFormatting>
  <conditionalFormatting sqref="L5:L28">
    <cfRule type="expression" dxfId="61" priority="2">
      <formula>$L5="Critical"</formula>
    </cfRule>
    <cfRule type="expression" dxfId="60" priority="3">
      <formula>$L5="High"</formula>
    </cfRule>
    <cfRule type="expression" dxfId="59" priority="4">
      <formula>$L5="Medium"</formula>
    </cfRule>
    <cfRule type="expression" dxfId="58" priority="5">
      <formula>$L5="Low"</formula>
    </cfRule>
    <cfRule type="expression" dxfId="57"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8" ns2:uid="{00000000-0002-0000-1A00-000000000000}">
      <formula1>"N/A,0,1,2,3,4,5"</formula1>
    </dataValidation>
    <dataValidation type="list" sqref="G5:G28" ns2:uid="{00000000-0002-0000-1A00-000001000000}">
      <formula1>"1,2,3,4,5"</formula1>
    </dataValidation>
    <dataValidation type="list" sqref="W5:Y28" ns2:uid="{00000000-0002-0000-1A00-000002000000}">
      <formula1>"0,1,2,3,4,5"</formula1>
    </dataValidation>
    <dataValidation type="list" allowBlank="1" sqref="AH5:AI28" ns2:uid="{00000000-0002-0000-1A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8.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B00-000000000000}">
  <sheetPr>
    <tabColor rgb="FFED7D31"/>
  </sheetPr>
  <dimension ref="A1:AT29"/>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3726</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3727</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3728</v>
      </c>
      <c r="B5" s="7" t="s">
        <v>1296</v>
      </c>
      <c r="C5" s="7" t="s">
        <v>3729</v>
      </c>
      <c r="D5" s="7" t="s">
        <v>3730</v>
      </c>
      <c r="E5" s="7" t="s">
        <v>3731</v>
      </c>
      <c r="F5" s="7" t="s">
        <v>3732</v>
      </c>
      <c r="G5" s="7">
        <v>5</v>
      </c>
      <c r="H5" s="153"/>
      <c r="I5" s="8" t="str">
        <f t="shared" ref="I5:I29" si="0">IF($H5="","",IF($H5="N/A","",VALUE($H5)/5*$G5))</f>
        <v/>
      </c>
      <c r="J5" s="8" t="str">
        <f t="shared" ref="J5:J29" si="1">IF(OR($H5="",$H5="N/A"),"",$G5)</f>
        <v/>
      </c>
      <c r="K5" s="8" t="str">
        <f t="shared" ref="K5:K29" si="2">IF(OR($H5="",$H5="N/A"),"",$J5-$I5)</f>
        <v/>
      </c>
      <c r="L5" s="7" t="str">
        <f t="shared" ref="L5:L29" si="3">IF($H5="","",IF($H5="N/A","N/A",IF(VALUE($H5)&lt;=1,"Critical",IF(VALUE($H5)&lt;=2,"High",IF(VALUE($H5)&lt;=3,"Medium",IF(VALUE($H5)&lt;=4,"Low","Resilient"))))))</f>
        <v/>
      </c>
      <c r="M5" s="7" t="s">
        <v>3733</v>
      </c>
      <c r="N5" s="7" t="s">
        <v>3734</v>
      </c>
      <c r="O5" s="7" t="s">
        <v>3735</v>
      </c>
      <c r="P5" s="7" t="s">
        <v>3736</v>
      </c>
      <c r="Q5" s="7" t="s">
        <v>3737</v>
      </c>
      <c r="R5" s="7" t="s">
        <v>3738</v>
      </c>
      <c r="S5" s="7" t="s">
        <v>3739</v>
      </c>
      <c r="T5" s="7" t="s">
        <v>3740</v>
      </c>
      <c r="U5" s="7"/>
      <c r="V5" s="7" t="s">
        <v>3741</v>
      </c>
      <c r="W5" s="14">
        <v>4</v>
      </c>
      <c r="X5" s="14">
        <v>5</v>
      </c>
      <c r="Y5" s="14">
        <v>5</v>
      </c>
      <c r="AA5" t="s">
        <v>1296</v>
      </c>
      <c r="AB5" s="13">
        <f>COUNTIF($B$5:$B$29,$AA5)</f>
        <v>6</v>
      </c>
      <c r="AC5" s="15">
        <f>IFERROR(SUMPRODUCT(($B$5:$B$29=$AA5)*($H$5:$H$29&lt;&gt;"")*($H$5:$H$29&lt;&gt;"N/A")*IFERROR(VALUE($H$5:$H$29),0))/SUMPRODUCT(($B$5:$B$29=$AA5)*($H$5:$H$29&lt;&gt;"")*($H$5:$H$29&lt;&gt;"N/A")),0)</f>
        <v>0</v>
      </c>
      <c r="AD5" s="16">
        <f>AC5/5</f>
        <v>0</v>
      </c>
      <c r="AE5" s="13">
        <f>COUNTIFS($B$5:$B$29,$AA5,$L$5:$L$29,"Critical")+COUNTIFS($B$5:$B$29,$AA5,$L$5:$L$29,"High")</f>
        <v>0</v>
      </c>
      <c r="AF5" s="15">
        <f>5-AC5</f>
        <v>5</v>
      </c>
      <c r="AG5" s="13">
        <f>COUNTIFS($B$5:$B$29,$AA5,$H$5:$H$29,"&lt;&gt;")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9" si="4">IF(OR($H5="",$H5="N/A"),"",ROUND(VALUE($H5)*$AJ5*$AK5,2))</f>
        <v/>
      </c>
      <c r="AM5" s="48" t="str">
        <f t="shared" ref="AM5:AM29" si="5">IF($AL5="","",ROUND($AL5/5*100,1))</f>
        <v/>
      </c>
      <c r="AN5" s="48">
        <f>IFERROR(SUMIFS(_TECH_Industry_Templates!$D:$D,_TECH_Industry_Templates!$A:$A,'Company Profile'!$B$9,_TECH_Industry_Templates!$B:$B,"Supply Chain"),"")</f>
        <v>3.5</v>
      </c>
      <c r="AO5" s="48" t="str">
        <f t="shared" ref="AO5:AO29" si="6">IF($AL5="","",MAX(0,ROUND($AN5-$AL5,2)))</f>
        <v/>
      </c>
      <c r="AP5" s="48">
        <f>IFERROR(SUMIFS(_TECH_Industry_Templates!$E:$E,_TECH_Industry_Templates!$A:$A,'Company Profile'!$B$9,_TECH_Industry_Templates!$B:$B,"Supply Chain"),1)</f>
        <v>1</v>
      </c>
      <c r="AQ5" s="48" t="str">
        <f t="shared" ref="AQ5:AQ29" si="7">IF($AO5="","",ROUND($AO5*$AP5*($G5/5),2))</f>
        <v/>
      </c>
      <c r="AR5" s="48" t="str">
        <f t="shared" ref="AR5:AR29" si="8">IF($AO5="","",IF($AO5&gt;=2,"Critical industry gap",IF($AO5&gt;=1,"High industry gap",IF($AO5&gt;=0.5,"Moderate industry gap","Within target"))))</f>
        <v/>
      </c>
      <c r="AS5" s="11">
        <f t="shared" ref="AS5:AS29" si="9">IF(OR($H5="",$H5="N/A"),0,VALUE($H5)*(($AJ5+$AK5)/2))</f>
        <v>0</v>
      </c>
      <c r="AT5" s="11">
        <f t="shared" ref="AT5:AT29" si="10">IF(OR($H5="",$H5="N/A"),0,($AJ5+$AK5)/2)</f>
        <v>0</v>
      </c>
    </row>
    <row r="6" spans="1:46" ht="71.25">
      <c r="A6" s="7" t="s">
        <v>3742</v>
      </c>
      <c r="B6" s="7" t="s">
        <v>1296</v>
      </c>
      <c r="C6" s="7" t="s">
        <v>3743</v>
      </c>
      <c r="D6" s="7" t="s">
        <v>3730</v>
      </c>
      <c r="E6" s="7" t="s">
        <v>3731</v>
      </c>
      <c r="F6" s="7" t="s">
        <v>3744</v>
      </c>
      <c r="G6" s="7">
        <v>5</v>
      </c>
      <c r="H6" s="153"/>
      <c r="I6" s="8" t="str">
        <f t="shared" si="0"/>
        <v/>
      </c>
      <c r="J6" s="8" t="str">
        <f t="shared" si="1"/>
        <v/>
      </c>
      <c r="K6" s="8" t="str">
        <f t="shared" si="2"/>
        <v/>
      </c>
      <c r="L6" s="7" t="str">
        <f t="shared" si="3"/>
        <v/>
      </c>
      <c r="M6" s="7" t="s">
        <v>3745</v>
      </c>
      <c r="N6" s="7" t="s">
        <v>3746</v>
      </c>
      <c r="O6" s="7" t="s">
        <v>3747</v>
      </c>
      <c r="P6" s="7" t="s">
        <v>3748</v>
      </c>
      <c r="Q6" s="7" t="s">
        <v>3749</v>
      </c>
      <c r="R6" s="7" t="s">
        <v>3750</v>
      </c>
      <c r="S6" s="7" t="s">
        <v>3739</v>
      </c>
      <c r="T6" s="7" t="s">
        <v>3740</v>
      </c>
      <c r="U6" s="7"/>
      <c r="V6" s="7" t="s">
        <v>3751</v>
      </c>
      <c r="W6" s="14">
        <v>4</v>
      </c>
      <c r="X6" s="14">
        <v>5</v>
      </c>
      <c r="Y6" s="14">
        <v>5</v>
      </c>
      <c r="AA6" t="s">
        <v>1307</v>
      </c>
      <c r="AB6" s="13">
        <f>COUNTIF($B$5:$B$29,$AA6)</f>
        <v>6</v>
      </c>
      <c r="AC6" s="15">
        <f>IFERROR(SUMPRODUCT(($B$5:$B$29=$AA6)*($H$5:$H$29&lt;&gt;"")*($H$5:$H$29&lt;&gt;"N/A")*IFERROR(VALUE($H$5:$H$29),0))/SUMPRODUCT(($B$5:$B$29=$AA6)*($H$5:$H$29&lt;&gt;"")*($H$5:$H$29&lt;&gt;"N/A")),0)</f>
        <v>0</v>
      </c>
      <c r="AD6" s="16">
        <f>AC6/5</f>
        <v>0</v>
      </c>
      <c r="AE6" s="13">
        <f>COUNTIFS($B$5:$B$29,$AA6,$L$5:$L$29,"Critical")+COUNTIFS($B$5:$B$29,$AA6,$L$5:$L$29,"High")</f>
        <v>0</v>
      </c>
      <c r="AF6" s="15">
        <f>5-AC6</f>
        <v>5</v>
      </c>
      <c r="AG6" s="13">
        <f>COUNTIFS($B$5:$B$29,$AA6,$H$5:$H$29,"&lt;&gt;")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Profile'!$B$9,_TECH_Industry_Templates!$B:$B,"Supply Chain"),"")</f>
        <v>3.5</v>
      </c>
      <c r="AO6" s="48" t="str">
        <f t="shared" si="6"/>
        <v/>
      </c>
      <c r="AP6" s="48">
        <f>IFERROR(SUMIFS(_TECH_Industry_Templates!$E:$E,_TECH_Industry_Templates!$A:$A,'Company Profile'!$B$9,_TECH_Industry_Templates!$B:$B,"Supply Chain"),1)</f>
        <v>1</v>
      </c>
      <c r="AQ6" s="48" t="str">
        <f t="shared" si="7"/>
        <v/>
      </c>
      <c r="AR6" s="48" t="str">
        <f t="shared" si="8"/>
        <v/>
      </c>
      <c r="AS6" s="11">
        <f t="shared" si="9"/>
        <v>0</v>
      </c>
      <c r="AT6" s="11">
        <f t="shared" si="10"/>
        <v>0</v>
      </c>
    </row>
    <row r="7" spans="1:46" ht="71.25">
      <c r="A7" s="7" t="s">
        <v>3752</v>
      </c>
      <c r="B7" s="7" t="s">
        <v>1296</v>
      </c>
      <c r="C7" s="7" t="s">
        <v>3753</v>
      </c>
      <c r="D7" s="7" t="s">
        <v>3730</v>
      </c>
      <c r="E7" s="7" t="s">
        <v>3731</v>
      </c>
      <c r="F7" s="7" t="s">
        <v>3754</v>
      </c>
      <c r="G7" s="7">
        <v>5</v>
      </c>
      <c r="H7" s="153"/>
      <c r="I7" s="8" t="str">
        <f t="shared" si="0"/>
        <v/>
      </c>
      <c r="J7" s="8" t="str">
        <f t="shared" si="1"/>
        <v/>
      </c>
      <c r="K7" s="8" t="str">
        <f t="shared" si="2"/>
        <v/>
      </c>
      <c r="L7" s="7" t="str">
        <f t="shared" si="3"/>
        <v/>
      </c>
      <c r="M7" s="7" t="s">
        <v>3755</v>
      </c>
      <c r="N7" s="7" t="s">
        <v>3756</v>
      </c>
      <c r="O7" s="7" t="s">
        <v>3757</v>
      </c>
      <c r="P7" s="7" t="s">
        <v>3758</v>
      </c>
      <c r="Q7" s="7" t="s">
        <v>3759</v>
      </c>
      <c r="R7" s="7" t="s">
        <v>3760</v>
      </c>
      <c r="S7" s="7" t="s">
        <v>3739</v>
      </c>
      <c r="T7" s="7" t="s">
        <v>3740</v>
      </c>
      <c r="U7" s="7"/>
      <c r="V7" s="7" t="s">
        <v>3761</v>
      </c>
      <c r="W7" s="14">
        <v>4</v>
      </c>
      <c r="X7" s="14">
        <v>5</v>
      </c>
      <c r="Y7" s="14">
        <v>5</v>
      </c>
      <c r="AA7" t="s">
        <v>1315</v>
      </c>
      <c r="AB7" s="13">
        <f>COUNTIF($B$5:$B$29,$AA7)</f>
        <v>7</v>
      </c>
      <c r="AC7" s="15">
        <f>IFERROR(SUMPRODUCT(($B$5:$B$29=$AA7)*($H$5:$H$29&lt;&gt;"")*($H$5:$H$29&lt;&gt;"N/A")*IFERROR(VALUE($H$5:$H$29),0))/SUMPRODUCT(($B$5:$B$29=$AA7)*($H$5:$H$29&lt;&gt;"")*($H$5:$H$29&lt;&gt;"N/A")),0)</f>
        <v>0</v>
      </c>
      <c r="AD7" s="16">
        <f>AC7/5</f>
        <v>0</v>
      </c>
      <c r="AE7" s="13">
        <f>COUNTIFS($B$5:$B$29,$AA7,$L$5:$L$29,"Critical")+COUNTIFS($B$5:$B$29,$AA7,$L$5:$L$29,"High")</f>
        <v>0</v>
      </c>
      <c r="AF7" s="15">
        <f>5-AC7</f>
        <v>5</v>
      </c>
      <c r="AG7" s="13">
        <f>COUNTIFS($B$5:$B$29,$AA7,$H$5:$H$29,"&lt;&gt;")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Profile'!$B$9,_TECH_Industry_Templates!$B:$B,"Supply Chain"),"")</f>
        <v>3.5</v>
      </c>
      <c r="AO7" s="48" t="str">
        <f t="shared" si="6"/>
        <v/>
      </c>
      <c r="AP7" s="48">
        <f>IFERROR(SUMIFS(_TECH_Industry_Templates!$E:$E,_TECH_Industry_Templates!$A:$A,'Company Profile'!$B$9,_TECH_Industry_Templates!$B:$B,"Supply Chain"),1)</f>
        <v>1</v>
      </c>
      <c r="AQ7" s="48" t="str">
        <f t="shared" si="7"/>
        <v/>
      </c>
      <c r="AR7" s="48" t="str">
        <f t="shared" si="8"/>
        <v/>
      </c>
      <c r="AS7" s="11">
        <f t="shared" si="9"/>
        <v>0</v>
      </c>
      <c r="AT7" s="11">
        <f t="shared" si="10"/>
        <v>0</v>
      </c>
    </row>
    <row r="8" spans="1:46" ht="71.25">
      <c r="A8" s="7" t="s">
        <v>3762</v>
      </c>
      <c r="B8" s="7" t="s">
        <v>1296</v>
      </c>
      <c r="C8" s="7" t="s">
        <v>3763</v>
      </c>
      <c r="D8" s="7" t="s">
        <v>3730</v>
      </c>
      <c r="E8" s="7" t="s">
        <v>3731</v>
      </c>
      <c r="F8" s="7" t="s">
        <v>3764</v>
      </c>
      <c r="G8" s="7">
        <v>5</v>
      </c>
      <c r="H8" s="153"/>
      <c r="I8" s="8" t="str">
        <f t="shared" si="0"/>
        <v/>
      </c>
      <c r="J8" s="8" t="str">
        <f t="shared" si="1"/>
        <v/>
      </c>
      <c r="K8" s="8" t="str">
        <f t="shared" si="2"/>
        <v/>
      </c>
      <c r="L8" s="7" t="str">
        <f t="shared" si="3"/>
        <v/>
      </c>
      <c r="M8" s="7" t="s">
        <v>3765</v>
      </c>
      <c r="N8" s="7" t="s">
        <v>3766</v>
      </c>
      <c r="O8" s="7" t="s">
        <v>3767</v>
      </c>
      <c r="P8" s="7" t="s">
        <v>3768</v>
      </c>
      <c r="Q8" s="7" t="s">
        <v>3769</v>
      </c>
      <c r="R8" s="7" t="s">
        <v>3770</v>
      </c>
      <c r="S8" s="7" t="s">
        <v>3739</v>
      </c>
      <c r="T8" s="7" t="s">
        <v>3740</v>
      </c>
      <c r="U8" s="7"/>
      <c r="V8" s="7" t="s">
        <v>3771</v>
      </c>
      <c r="W8" s="14">
        <v>4</v>
      </c>
      <c r="X8" s="14">
        <v>5</v>
      </c>
      <c r="Y8" s="14">
        <v>5</v>
      </c>
      <c r="AA8" t="s">
        <v>1323</v>
      </c>
      <c r="AB8" s="13">
        <f>COUNTIF($B$5:$B$29,$AA8)</f>
        <v>6</v>
      </c>
      <c r="AC8" s="15">
        <f>IFERROR(SUMPRODUCT(($B$5:$B$29=$AA8)*($H$5:$H$29&lt;&gt;"")*($H$5:$H$29&lt;&gt;"N/A")*IFERROR(VALUE($H$5:$H$29),0))/SUMPRODUCT(($B$5:$B$29=$AA8)*($H$5:$H$29&lt;&gt;"")*($H$5:$H$29&lt;&gt;"N/A")),0)</f>
        <v>0</v>
      </c>
      <c r="AD8" s="16">
        <f>AC8/5</f>
        <v>0</v>
      </c>
      <c r="AE8" s="13">
        <f>COUNTIFS($B$5:$B$29,$AA8,$L$5:$L$29,"Critical")+COUNTIFS($B$5:$B$29,$AA8,$L$5:$L$29,"High")</f>
        <v>0</v>
      </c>
      <c r="AF8" s="15">
        <f>5-AC8</f>
        <v>5</v>
      </c>
      <c r="AG8" s="13">
        <f>COUNTIFS($B$5:$B$29,$AA8,$H$5:$H$29,"&lt;&gt;")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Profile'!$B$9,_TECH_Industry_Templates!$B:$B,"Supply Chain"),"")</f>
        <v>3.5</v>
      </c>
      <c r="AO8" s="48" t="str">
        <f t="shared" si="6"/>
        <v/>
      </c>
      <c r="AP8" s="48">
        <f>IFERROR(SUMIFS(_TECH_Industry_Templates!$E:$E,_TECH_Industry_Templates!$A:$A,'Company Profile'!$B$9,_TECH_Industry_Templates!$B:$B,"Supply Chain"),1)</f>
        <v>1</v>
      </c>
      <c r="AQ8" s="48" t="str">
        <f t="shared" si="7"/>
        <v/>
      </c>
      <c r="AR8" s="48" t="str">
        <f t="shared" si="8"/>
        <v/>
      </c>
      <c r="AS8" s="11">
        <f t="shared" si="9"/>
        <v>0</v>
      </c>
      <c r="AT8" s="11">
        <f t="shared" si="10"/>
        <v>0</v>
      </c>
    </row>
    <row r="9" spans="1:46" ht="71.25">
      <c r="A9" s="7" t="s">
        <v>3772</v>
      </c>
      <c r="B9" s="7" t="s">
        <v>1296</v>
      </c>
      <c r="C9" s="7" t="s">
        <v>3773</v>
      </c>
      <c r="D9" s="7" t="s">
        <v>3730</v>
      </c>
      <c r="E9" s="7" t="s">
        <v>3731</v>
      </c>
      <c r="F9" s="7" t="s">
        <v>3774</v>
      </c>
      <c r="G9" s="7">
        <v>5</v>
      </c>
      <c r="H9" s="153"/>
      <c r="I9" s="8" t="str">
        <f t="shared" si="0"/>
        <v/>
      </c>
      <c r="J9" s="8" t="str">
        <f t="shared" si="1"/>
        <v/>
      </c>
      <c r="K9" s="8" t="str">
        <f t="shared" si="2"/>
        <v/>
      </c>
      <c r="L9" s="7" t="str">
        <f t="shared" si="3"/>
        <v/>
      </c>
      <c r="M9" s="7" t="s">
        <v>3775</v>
      </c>
      <c r="N9" s="7" t="s">
        <v>3776</v>
      </c>
      <c r="O9" s="7" t="s">
        <v>3777</v>
      </c>
      <c r="P9" s="7" t="s">
        <v>3778</v>
      </c>
      <c r="Q9" s="7" t="s">
        <v>3779</v>
      </c>
      <c r="R9" s="7" t="s">
        <v>3780</v>
      </c>
      <c r="S9" s="7" t="s">
        <v>3739</v>
      </c>
      <c r="T9" s="7" t="s">
        <v>3740</v>
      </c>
      <c r="U9" s="7"/>
      <c r="V9" s="7" t="s">
        <v>3781</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Profile'!$B$9,_TECH_Industry_Templates!$B:$B,"Supply Chain"),"")</f>
        <v>3.5</v>
      </c>
      <c r="AO9" s="48" t="str">
        <f t="shared" si="6"/>
        <v/>
      </c>
      <c r="AP9" s="48">
        <f>IFERROR(SUMIFS(_TECH_Industry_Templates!$E:$E,_TECH_Industry_Templates!$A:$A,'Company Profile'!$B$9,_TECH_Industry_Templates!$B:$B,"Supply Chain"),1)</f>
        <v>1</v>
      </c>
      <c r="AQ9" s="48" t="str">
        <f t="shared" si="7"/>
        <v/>
      </c>
      <c r="AR9" s="48" t="str">
        <f t="shared" si="8"/>
        <v/>
      </c>
      <c r="AS9" s="11">
        <f t="shared" si="9"/>
        <v>0</v>
      </c>
      <c r="AT9" s="11">
        <f t="shared" si="10"/>
        <v>0</v>
      </c>
    </row>
    <row r="10" spans="1:46" ht="71.25">
      <c r="A10" s="7" t="s">
        <v>3782</v>
      </c>
      <c r="B10" s="7" t="s">
        <v>1296</v>
      </c>
      <c r="C10" s="7" t="s">
        <v>3783</v>
      </c>
      <c r="D10" s="7" t="s">
        <v>3730</v>
      </c>
      <c r="E10" s="7" t="s">
        <v>3731</v>
      </c>
      <c r="F10" s="7" t="s">
        <v>3784</v>
      </c>
      <c r="G10" s="7">
        <v>5</v>
      </c>
      <c r="H10" s="153"/>
      <c r="I10" s="8" t="str">
        <f t="shared" si="0"/>
        <v/>
      </c>
      <c r="J10" s="8" t="str">
        <f t="shared" si="1"/>
        <v/>
      </c>
      <c r="K10" s="8" t="str">
        <f t="shared" si="2"/>
        <v/>
      </c>
      <c r="L10" s="7" t="str">
        <f t="shared" si="3"/>
        <v/>
      </c>
      <c r="M10" s="7" t="s">
        <v>3785</v>
      </c>
      <c r="N10" s="7" t="s">
        <v>3786</v>
      </c>
      <c r="O10" s="7" t="s">
        <v>3787</v>
      </c>
      <c r="P10" s="7" t="s">
        <v>3788</v>
      </c>
      <c r="Q10" s="7" t="s">
        <v>3789</v>
      </c>
      <c r="R10" s="7" t="s">
        <v>3790</v>
      </c>
      <c r="S10" s="7" t="s">
        <v>3739</v>
      </c>
      <c r="T10" s="7" t="s">
        <v>3740</v>
      </c>
      <c r="U10" s="7"/>
      <c r="V10" s="7" t="s">
        <v>3791</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Profile'!$B$9,_TECH_Industry_Templates!$B:$B,"Supply Chain"),"")</f>
        <v>3.5</v>
      </c>
      <c r="AO10" s="48" t="str">
        <f t="shared" si="6"/>
        <v/>
      </c>
      <c r="AP10" s="48">
        <f>IFERROR(SUMIFS(_TECH_Industry_Templates!$E:$E,_TECH_Industry_Templates!$A:$A,'Company Profile'!$B$9,_TECH_Industry_Templates!$B:$B,"Supply Chain"),1)</f>
        <v>1</v>
      </c>
      <c r="AQ10" s="48" t="str">
        <f t="shared" si="7"/>
        <v/>
      </c>
      <c r="AR10" s="48" t="str">
        <f t="shared" si="8"/>
        <v/>
      </c>
      <c r="AS10" s="11">
        <f t="shared" si="9"/>
        <v>0</v>
      </c>
      <c r="AT10" s="11">
        <f t="shared" si="10"/>
        <v>0</v>
      </c>
    </row>
    <row r="11" spans="1:46" ht="71.25">
      <c r="A11" s="7" t="s">
        <v>3792</v>
      </c>
      <c r="B11" s="7" t="s">
        <v>1307</v>
      </c>
      <c r="C11" s="7" t="s">
        <v>3793</v>
      </c>
      <c r="D11" s="7" t="s">
        <v>3730</v>
      </c>
      <c r="E11" s="7" t="s">
        <v>3731</v>
      </c>
      <c r="F11" s="7" t="s">
        <v>3794</v>
      </c>
      <c r="G11" s="7">
        <v>5</v>
      </c>
      <c r="H11" s="153"/>
      <c r="I11" s="8" t="str">
        <f t="shared" si="0"/>
        <v/>
      </c>
      <c r="J11" s="8" t="str">
        <f t="shared" si="1"/>
        <v/>
      </c>
      <c r="K11" s="8" t="str">
        <f t="shared" si="2"/>
        <v/>
      </c>
      <c r="L11" s="7" t="str">
        <f t="shared" si="3"/>
        <v/>
      </c>
      <c r="M11" s="7" t="s">
        <v>3795</v>
      </c>
      <c r="N11" s="7" t="s">
        <v>3796</v>
      </c>
      <c r="O11" s="7" t="s">
        <v>3797</v>
      </c>
      <c r="P11" s="7" t="s">
        <v>3798</v>
      </c>
      <c r="Q11" s="7" t="s">
        <v>3799</v>
      </c>
      <c r="R11" s="7" t="s">
        <v>3800</v>
      </c>
      <c r="S11" s="7" t="s">
        <v>3739</v>
      </c>
      <c r="T11" s="7" t="s">
        <v>3740</v>
      </c>
      <c r="U11" s="7"/>
      <c r="V11" s="7" t="s">
        <v>3801</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Profile'!$B$9,_TECH_Industry_Templates!$B:$B,"Supply Chain"),"")</f>
        <v>3.5</v>
      </c>
      <c r="AO11" s="48" t="str">
        <f t="shared" si="6"/>
        <v/>
      </c>
      <c r="AP11" s="48">
        <f>IFERROR(SUMIFS(_TECH_Industry_Templates!$E:$E,_TECH_Industry_Templates!$A:$A,'Company Profile'!$B$9,_TECH_Industry_Templates!$B:$B,"Supply Chain"),1)</f>
        <v>1</v>
      </c>
      <c r="AQ11" s="48" t="str">
        <f t="shared" si="7"/>
        <v/>
      </c>
      <c r="AR11" s="48" t="str">
        <f t="shared" si="8"/>
        <v/>
      </c>
      <c r="AS11" s="11">
        <f t="shared" si="9"/>
        <v>0</v>
      </c>
      <c r="AT11" s="11">
        <f t="shared" si="10"/>
        <v>0</v>
      </c>
    </row>
    <row r="12" spans="1:46" ht="71.25">
      <c r="A12" s="7" t="s">
        <v>3802</v>
      </c>
      <c r="B12" s="7" t="s">
        <v>1307</v>
      </c>
      <c r="C12" s="7" t="s">
        <v>3803</v>
      </c>
      <c r="D12" s="7" t="s">
        <v>3730</v>
      </c>
      <c r="E12" s="7" t="s">
        <v>3731</v>
      </c>
      <c r="F12" s="7" t="s">
        <v>3804</v>
      </c>
      <c r="G12" s="7">
        <v>3</v>
      </c>
      <c r="H12" s="153"/>
      <c r="I12" s="8" t="str">
        <f t="shared" si="0"/>
        <v/>
      </c>
      <c r="J12" s="8" t="str">
        <f t="shared" si="1"/>
        <v/>
      </c>
      <c r="K12" s="8" t="str">
        <f t="shared" si="2"/>
        <v/>
      </c>
      <c r="L12" s="7" t="str">
        <f t="shared" si="3"/>
        <v/>
      </c>
      <c r="M12" s="7" t="s">
        <v>3805</v>
      </c>
      <c r="N12" s="7" t="s">
        <v>3806</v>
      </c>
      <c r="O12" s="7" t="s">
        <v>3807</v>
      </c>
      <c r="P12" s="7" t="s">
        <v>3808</v>
      </c>
      <c r="Q12" s="7" t="s">
        <v>3809</v>
      </c>
      <c r="R12" s="7" t="s">
        <v>3810</v>
      </c>
      <c r="S12" s="7" t="s">
        <v>3739</v>
      </c>
      <c r="T12" s="7" t="s">
        <v>3740</v>
      </c>
      <c r="U12" s="7"/>
      <c r="V12" s="7" t="s">
        <v>3811</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Profile'!$B$9,_TECH_Industry_Templates!$B:$B,"Supply Chain"),"")</f>
        <v>3.5</v>
      </c>
      <c r="AO12" s="48" t="str">
        <f t="shared" si="6"/>
        <v/>
      </c>
      <c r="AP12" s="48">
        <f>IFERROR(SUMIFS(_TECH_Industry_Templates!$E:$E,_TECH_Industry_Templates!$A:$A,'Company Profile'!$B$9,_TECH_Industry_Templates!$B:$B,"Supply Chain"),1)</f>
        <v>1</v>
      </c>
      <c r="AQ12" s="48" t="str">
        <f t="shared" si="7"/>
        <v/>
      </c>
      <c r="AR12" s="48" t="str">
        <f t="shared" si="8"/>
        <v/>
      </c>
      <c r="AS12" s="11">
        <f t="shared" si="9"/>
        <v>0</v>
      </c>
      <c r="AT12" s="11">
        <f t="shared" si="10"/>
        <v>0</v>
      </c>
    </row>
    <row r="13" spans="1:46" ht="71.25">
      <c r="A13" s="7" t="s">
        <v>3812</v>
      </c>
      <c r="B13" s="7" t="s">
        <v>1307</v>
      </c>
      <c r="C13" s="7" t="s">
        <v>3813</v>
      </c>
      <c r="D13" s="7" t="s">
        <v>3730</v>
      </c>
      <c r="E13" s="7" t="s">
        <v>3731</v>
      </c>
      <c r="F13" s="7" t="s">
        <v>3814</v>
      </c>
      <c r="G13" s="7">
        <v>3</v>
      </c>
      <c r="H13" s="153"/>
      <c r="I13" s="8" t="str">
        <f t="shared" si="0"/>
        <v/>
      </c>
      <c r="J13" s="8" t="str">
        <f t="shared" si="1"/>
        <v/>
      </c>
      <c r="K13" s="8" t="str">
        <f t="shared" si="2"/>
        <v/>
      </c>
      <c r="L13" s="7" t="str">
        <f t="shared" si="3"/>
        <v/>
      </c>
      <c r="M13" s="7" t="s">
        <v>3815</v>
      </c>
      <c r="N13" s="7" t="s">
        <v>3816</v>
      </c>
      <c r="O13" s="7" t="s">
        <v>3817</v>
      </c>
      <c r="P13" s="7" t="s">
        <v>3818</v>
      </c>
      <c r="Q13" s="7" t="s">
        <v>3819</v>
      </c>
      <c r="R13" s="7" t="s">
        <v>3820</v>
      </c>
      <c r="S13" s="7" t="s">
        <v>3739</v>
      </c>
      <c r="T13" s="7" t="s">
        <v>3740</v>
      </c>
      <c r="U13" s="7"/>
      <c r="V13" s="7" t="s">
        <v>3821</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Profile'!$B$9,_TECH_Industry_Templates!$B:$B,"Supply Chain"),"")</f>
        <v>3.5</v>
      </c>
      <c r="AO13" s="48" t="str">
        <f t="shared" si="6"/>
        <v/>
      </c>
      <c r="AP13" s="48">
        <f>IFERROR(SUMIFS(_TECH_Industry_Templates!$E:$E,_TECH_Industry_Templates!$A:$A,'Company Profile'!$B$9,_TECH_Industry_Templates!$B:$B,"Supply Chain"),1)</f>
        <v>1</v>
      </c>
      <c r="AQ13" s="48" t="str">
        <f t="shared" si="7"/>
        <v/>
      </c>
      <c r="AR13" s="48" t="str">
        <f t="shared" si="8"/>
        <v/>
      </c>
      <c r="AS13" s="11">
        <f t="shared" si="9"/>
        <v>0</v>
      </c>
      <c r="AT13" s="11">
        <f t="shared" si="10"/>
        <v>0</v>
      </c>
    </row>
    <row r="14" spans="1:46" ht="71.25">
      <c r="A14" s="7" t="s">
        <v>3822</v>
      </c>
      <c r="B14" s="7" t="s">
        <v>1307</v>
      </c>
      <c r="C14" s="7" t="s">
        <v>3823</v>
      </c>
      <c r="D14" s="7" t="s">
        <v>3730</v>
      </c>
      <c r="E14" s="7" t="s">
        <v>3731</v>
      </c>
      <c r="F14" s="7" t="s">
        <v>3824</v>
      </c>
      <c r="G14" s="7">
        <v>5</v>
      </c>
      <c r="H14" s="153"/>
      <c r="I14" s="8" t="str">
        <f t="shared" si="0"/>
        <v/>
      </c>
      <c r="J14" s="8" t="str">
        <f t="shared" si="1"/>
        <v/>
      </c>
      <c r="K14" s="8" t="str">
        <f t="shared" si="2"/>
        <v/>
      </c>
      <c r="L14" s="7" t="str">
        <f t="shared" si="3"/>
        <v/>
      </c>
      <c r="M14" s="7" t="s">
        <v>3825</v>
      </c>
      <c r="N14" s="7" t="s">
        <v>3826</v>
      </c>
      <c r="O14" s="7" t="s">
        <v>3827</v>
      </c>
      <c r="P14" s="7" t="s">
        <v>3828</v>
      </c>
      <c r="Q14" s="7" t="s">
        <v>3829</v>
      </c>
      <c r="R14" s="7" t="s">
        <v>3830</v>
      </c>
      <c r="S14" s="7" t="s">
        <v>3739</v>
      </c>
      <c r="T14" s="7" t="s">
        <v>3740</v>
      </c>
      <c r="U14" s="7"/>
      <c r="V14" s="7" t="s">
        <v>3831</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Profile'!$B$9,_TECH_Industry_Templates!$B:$B,"Supply Chain"),"")</f>
        <v>3.5</v>
      </c>
      <c r="AO14" s="48" t="str">
        <f t="shared" si="6"/>
        <v/>
      </c>
      <c r="AP14" s="48">
        <f>IFERROR(SUMIFS(_TECH_Industry_Templates!$E:$E,_TECH_Industry_Templates!$A:$A,'Company Profile'!$B$9,_TECH_Industry_Templates!$B:$B,"Supply Chain"),1)</f>
        <v>1</v>
      </c>
      <c r="AQ14" s="48" t="str">
        <f t="shared" si="7"/>
        <v/>
      </c>
      <c r="AR14" s="48" t="str">
        <f t="shared" si="8"/>
        <v/>
      </c>
      <c r="AS14" s="11">
        <f t="shared" si="9"/>
        <v>0</v>
      </c>
      <c r="AT14" s="11">
        <f t="shared" si="10"/>
        <v>0</v>
      </c>
    </row>
    <row r="15" spans="1:46" ht="71.25">
      <c r="A15" s="7" t="s">
        <v>3832</v>
      </c>
      <c r="B15" s="7" t="s">
        <v>1307</v>
      </c>
      <c r="C15" s="7" t="s">
        <v>3833</v>
      </c>
      <c r="D15" s="7" t="s">
        <v>3730</v>
      </c>
      <c r="E15" s="7" t="s">
        <v>3731</v>
      </c>
      <c r="F15" s="7" t="s">
        <v>3834</v>
      </c>
      <c r="G15" s="7">
        <v>3</v>
      </c>
      <c r="H15" s="153"/>
      <c r="I15" s="8" t="str">
        <f t="shared" si="0"/>
        <v/>
      </c>
      <c r="J15" s="8" t="str">
        <f t="shared" si="1"/>
        <v/>
      </c>
      <c r="K15" s="8" t="str">
        <f t="shared" si="2"/>
        <v/>
      </c>
      <c r="L15" s="7" t="str">
        <f t="shared" si="3"/>
        <v/>
      </c>
      <c r="M15" s="7" t="s">
        <v>3835</v>
      </c>
      <c r="N15" s="7" t="s">
        <v>3836</v>
      </c>
      <c r="O15" s="7" t="s">
        <v>3837</v>
      </c>
      <c r="P15" s="7" t="s">
        <v>3838</v>
      </c>
      <c r="Q15" s="7" t="s">
        <v>3839</v>
      </c>
      <c r="R15" s="7" t="s">
        <v>3840</v>
      </c>
      <c r="S15" s="7" t="s">
        <v>3739</v>
      </c>
      <c r="T15" s="7" t="s">
        <v>3740</v>
      </c>
      <c r="U15" s="7"/>
      <c r="V15" s="7" t="s">
        <v>3841</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Profile'!$B$9,_TECH_Industry_Templates!$B:$B,"Supply Chain"),"")</f>
        <v>3.5</v>
      </c>
      <c r="AO15" s="48" t="str">
        <f t="shared" si="6"/>
        <v/>
      </c>
      <c r="AP15" s="48">
        <f>IFERROR(SUMIFS(_TECH_Industry_Templates!$E:$E,_TECH_Industry_Templates!$A:$A,'Company Profile'!$B$9,_TECH_Industry_Templates!$B:$B,"Supply Chain"),1)</f>
        <v>1</v>
      </c>
      <c r="AQ15" s="48" t="str">
        <f t="shared" si="7"/>
        <v/>
      </c>
      <c r="AR15" s="48" t="str">
        <f t="shared" si="8"/>
        <v/>
      </c>
      <c r="AS15" s="11">
        <f t="shared" si="9"/>
        <v>0</v>
      </c>
      <c r="AT15" s="11">
        <f t="shared" si="10"/>
        <v>0</v>
      </c>
    </row>
    <row r="16" spans="1:46" ht="71.25">
      <c r="A16" s="7" t="s">
        <v>3842</v>
      </c>
      <c r="B16" s="7" t="s">
        <v>1307</v>
      </c>
      <c r="C16" s="7" t="s">
        <v>3843</v>
      </c>
      <c r="D16" s="7" t="s">
        <v>3730</v>
      </c>
      <c r="E16" s="7" t="s">
        <v>3731</v>
      </c>
      <c r="F16" s="7" t="s">
        <v>3844</v>
      </c>
      <c r="G16" s="7">
        <v>5</v>
      </c>
      <c r="H16" s="153"/>
      <c r="I16" s="8" t="str">
        <f t="shared" si="0"/>
        <v/>
      </c>
      <c r="J16" s="8" t="str">
        <f t="shared" si="1"/>
        <v/>
      </c>
      <c r="K16" s="8" t="str">
        <f t="shared" si="2"/>
        <v/>
      </c>
      <c r="L16" s="7" t="str">
        <f t="shared" si="3"/>
        <v/>
      </c>
      <c r="M16" s="7" t="s">
        <v>3845</v>
      </c>
      <c r="N16" s="7" t="s">
        <v>3846</v>
      </c>
      <c r="O16" s="7" t="s">
        <v>3847</v>
      </c>
      <c r="P16" s="7" t="s">
        <v>3848</v>
      </c>
      <c r="Q16" s="7" t="s">
        <v>3849</v>
      </c>
      <c r="R16" s="7" t="s">
        <v>3850</v>
      </c>
      <c r="S16" s="7" t="s">
        <v>3739</v>
      </c>
      <c r="T16" s="7" t="s">
        <v>3740</v>
      </c>
      <c r="U16" s="7"/>
      <c r="V16" s="7" t="s">
        <v>3851</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Profile'!$B$9,_TECH_Industry_Templates!$B:$B,"Supply Chain"),"")</f>
        <v>3.5</v>
      </c>
      <c r="AO16" s="48" t="str">
        <f t="shared" si="6"/>
        <v/>
      </c>
      <c r="AP16" s="48">
        <f>IFERROR(SUMIFS(_TECH_Industry_Templates!$E:$E,_TECH_Industry_Templates!$A:$A,'Company Profile'!$B$9,_TECH_Industry_Templates!$B:$B,"Supply Chain"),1)</f>
        <v>1</v>
      </c>
      <c r="AQ16" s="48" t="str">
        <f t="shared" si="7"/>
        <v/>
      </c>
      <c r="AR16" s="48" t="str">
        <f t="shared" si="8"/>
        <v/>
      </c>
      <c r="AS16" s="11">
        <f t="shared" si="9"/>
        <v>0</v>
      </c>
      <c r="AT16" s="11">
        <f t="shared" si="10"/>
        <v>0</v>
      </c>
    </row>
    <row r="17" spans="1:46" ht="71.25">
      <c r="A17" s="7" t="s">
        <v>3852</v>
      </c>
      <c r="B17" s="7" t="s">
        <v>1315</v>
      </c>
      <c r="C17" s="7" t="s">
        <v>3853</v>
      </c>
      <c r="D17" s="7" t="s">
        <v>3730</v>
      </c>
      <c r="E17" s="7" t="s">
        <v>3731</v>
      </c>
      <c r="F17" s="7" t="s">
        <v>3854</v>
      </c>
      <c r="G17" s="7">
        <v>5</v>
      </c>
      <c r="H17" s="153"/>
      <c r="I17" s="8" t="str">
        <f t="shared" si="0"/>
        <v/>
      </c>
      <c r="J17" s="8" t="str">
        <f t="shared" si="1"/>
        <v/>
      </c>
      <c r="K17" s="8" t="str">
        <f t="shared" si="2"/>
        <v/>
      </c>
      <c r="L17" s="7" t="str">
        <f t="shared" si="3"/>
        <v/>
      </c>
      <c r="M17" s="7" t="s">
        <v>3855</v>
      </c>
      <c r="N17" s="7" t="s">
        <v>3856</v>
      </c>
      <c r="O17" s="7" t="s">
        <v>3857</v>
      </c>
      <c r="P17" s="7" t="s">
        <v>3858</v>
      </c>
      <c r="Q17" s="7" t="s">
        <v>3859</v>
      </c>
      <c r="R17" s="7" t="s">
        <v>3860</v>
      </c>
      <c r="S17" s="7" t="s">
        <v>3739</v>
      </c>
      <c r="T17" s="7" t="s">
        <v>3740</v>
      </c>
      <c r="U17" s="7"/>
      <c r="V17" s="7" t="s">
        <v>3861</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Profile'!$B$9,_TECH_Industry_Templates!$B:$B,"Supply Chain"),"")</f>
        <v>3.5</v>
      </c>
      <c r="AO17" s="48" t="str">
        <f t="shared" si="6"/>
        <v/>
      </c>
      <c r="AP17" s="48">
        <f>IFERROR(SUMIFS(_TECH_Industry_Templates!$E:$E,_TECH_Industry_Templates!$A:$A,'Company Profile'!$B$9,_TECH_Industry_Templates!$B:$B,"Supply Chain"),1)</f>
        <v>1</v>
      </c>
      <c r="AQ17" s="48" t="str">
        <f t="shared" si="7"/>
        <v/>
      </c>
      <c r="AR17" s="48" t="str">
        <f t="shared" si="8"/>
        <v/>
      </c>
      <c r="AS17" s="11">
        <f t="shared" si="9"/>
        <v>0</v>
      </c>
      <c r="AT17" s="11">
        <f t="shared" si="10"/>
        <v>0</v>
      </c>
    </row>
    <row r="18" spans="1:46" ht="71.25">
      <c r="A18" s="7" t="s">
        <v>3862</v>
      </c>
      <c r="B18" s="7" t="s">
        <v>1315</v>
      </c>
      <c r="C18" s="7" t="s">
        <v>3863</v>
      </c>
      <c r="D18" s="7" t="s">
        <v>3730</v>
      </c>
      <c r="E18" s="7" t="s">
        <v>3731</v>
      </c>
      <c r="F18" s="7" t="s">
        <v>3864</v>
      </c>
      <c r="G18" s="7">
        <v>4</v>
      </c>
      <c r="H18" s="153"/>
      <c r="I18" s="8" t="str">
        <f t="shared" si="0"/>
        <v/>
      </c>
      <c r="J18" s="8" t="str">
        <f t="shared" si="1"/>
        <v/>
      </c>
      <c r="K18" s="8" t="str">
        <f t="shared" si="2"/>
        <v/>
      </c>
      <c r="L18" s="7" t="str">
        <f t="shared" si="3"/>
        <v/>
      </c>
      <c r="M18" s="7" t="s">
        <v>3865</v>
      </c>
      <c r="N18" s="7" t="s">
        <v>3866</v>
      </c>
      <c r="O18" s="7" t="s">
        <v>3867</v>
      </c>
      <c r="P18" s="7" t="s">
        <v>3868</v>
      </c>
      <c r="Q18" s="7" t="s">
        <v>3869</v>
      </c>
      <c r="R18" s="7" t="s">
        <v>3870</v>
      </c>
      <c r="S18" s="7" t="s">
        <v>3739</v>
      </c>
      <c r="T18" s="7" t="s">
        <v>3740</v>
      </c>
      <c r="U18" s="7"/>
      <c r="V18" s="7" t="s">
        <v>3871</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Profile'!$B$9,_TECH_Industry_Templates!$B:$B,"Supply Chain"),"")</f>
        <v>3.5</v>
      </c>
      <c r="AO18" s="48" t="str">
        <f t="shared" si="6"/>
        <v/>
      </c>
      <c r="AP18" s="48">
        <f>IFERROR(SUMIFS(_TECH_Industry_Templates!$E:$E,_TECH_Industry_Templates!$A:$A,'Company Profile'!$B$9,_TECH_Industry_Templates!$B:$B,"Supply Chain"),1)</f>
        <v>1</v>
      </c>
      <c r="AQ18" s="48" t="str">
        <f t="shared" si="7"/>
        <v/>
      </c>
      <c r="AR18" s="48" t="str">
        <f t="shared" si="8"/>
        <v/>
      </c>
      <c r="AS18" s="11">
        <f t="shared" si="9"/>
        <v>0</v>
      </c>
      <c r="AT18" s="11">
        <f t="shared" si="10"/>
        <v>0</v>
      </c>
    </row>
    <row r="19" spans="1:46" ht="71.25">
      <c r="A19" s="7" t="s">
        <v>3872</v>
      </c>
      <c r="B19" s="7" t="s">
        <v>1315</v>
      </c>
      <c r="C19" s="7" t="s">
        <v>3873</v>
      </c>
      <c r="D19" s="7" t="s">
        <v>3730</v>
      </c>
      <c r="E19" s="7" t="s">
        <v>3731</v>
      </c>
      <c r="F19" s="7" t="s">
        <v>3874</v>
      </c>
      <c r="G19" s="7">
        <v>4</v>
      </c>
      <c r="H19" s="153"/>
      <c r="I19" s="8" t="str">
        <f t="shared" si="0"/>
        <v/>
      </c>
      <c r="J19" s="8" t="str">
        <f t="shared" si="1"/>
        <v/>
      </c>
      <c r="K19" s="8" t="str">
        <f t="shared" si="2"/>
        <v/>
      </c>
      <c r="L19" s="7" t="str">
        <f t="shared" si="3"/>
        <v/>
      </c>
      <c r="M19" s="7" t="s">
        <v>3875</v>
      </c>
      <c r="N19" s="7" t="s">
        <v>3876</v>
      </c>
      <c r="O19" s="7" t="s">
        <v>3877</v>
      </c>
      <c r="P19" s="7" t="s">
        <v>3878</v>
      </c>
      <c r="Q19" s="7" t="s">
        <v>3879</v>
      </c>
      <c r="R19" s="7" t="s">
        <v>3880</v>
      </c>
      <c r="S19" s="7" t="s">
        <v>3739</v>
      </c>
      <c r="T19" s="7" t="s">
        <v>3740</v>
      </c>
      <c r="U19" s="7"/>
      <c r="V19" s="7" t="s">
        <v>3881</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Profile'!$B$9,_TECH_Industry_Templates!$B:$B,"Supply Chain"),"")</f>
        <v>3.5</v>
      </c>
      <c r="AO19" s="48" t="str">
        <f t="shared" si="6"/>
        <v/>
      </c>
      <c r="AP19" s="48">
        <f>IFERROR(SUMIFS(_TECH_Industry_Templates!$E:$E,_TECH_Industry_Templates!$A:$A,'Company Profile'!$B$9,_TECH_Industry_Templates!$B:$B,"Supply Chain"),1)</f>
        <v>1</v>
      </c>
      <c r="AQ19" s="48" t="str">
        <f t="shared" si="7"/>
        <v/>
      </c>
      <c r="AR19" s="48" t="str">
        <f t="shared" si="8"/>
        <v/>
      </c>
      <c r="AS19" s="11">
        <f t="shared" si="9"/>
        <v>0</v>
      </c>
      <c r="AT19" s="11">
        <f t="shared" si="10"/>
        <v>0</v>
      </c>
    </row>
    <row r="20" spans="1:46" ht="71.25">
      <c r="A20" s="7" t="s">
        <v>3882</v>
      </c>
      <c r="B20" s="7" t="s">
        <v>1315</v>
      </c>
      <c r="C20" s="7" t="s">
        <v>3883</v>
      </c>
      <c r="D20" s="7" t="s">
        <v>3730</v>
      </c>
      <c r="E20" s="7" t="s">
        <v>3731</v>
      </c>
      <c r="F20" s="7" t="s">
        <v>3884</v>
      </c>
      <c r="G20" s="7">
        <v>5</v>
      </c>
      <c r="H20" s="153"/>
      <c r="I20" s="8" t="str">
        <f t="shared" si="0"/>
        <v/>
      </c>
      <c r="J20" s="8" t="str">
        <f t="shared" si="1"/>
        <v/>
      </c>
      <c r="K20" s="8" t="str">
        <f t="shared" si="2"/>
        <v/>
      </c>
      <c r="L20" s="7" t="str">
        <f t="shared" si="3"/>
        <v/>
      </c>
      <c r="M20" s="7" t="s">
        <v>3885</v>
      </c>
      <c r="N20" s="7" t="s">
        <v>3886</v>
      </c>
      <c r="O20" s="7" t="s">
        <v>3887</v>
      </c>
      <c r="P20" s="7" t="s">
        <v>3888</v>
      </c>
      <c r="Q20" s="7" t="s">
        <v>3889</v>
      </c>
      <c r="R20" s="7" t="s">
        <v>3890</v>
      </c>
      <c r="S20" s="7" t="s">
        <v>3739</v>
      </c>
      <c r="T20" s="7" t="s">
        <v>3740</v>
      </c>
      <c r="U20" s="7"/>
      <c r="V20" s="7" t="s">
        <v>3891</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Profile'!$B$9,_TECH_Industry_Templates!$B:$B,"Supply Chain"),"")</f>
        <v>3.5</v>
      </c>
      <c r="AO20" s="48" t="str">
        <f t="shared" si="6"/>
        <v/>
      </c>
      <c r="AP20" s="48">
        <f>IFERROR(SUMIFS(_TECH_Industry_Templates!$E:$E,_TECH_Industry_Templates!$A:$A,'Company Profile'!$B$9,_TECH_Industry_Templates!$B:$B,"Supply Chain"),1)</f>
        <v>1</v>
      </c>
      <c r="AQ20" s="48" t="str">
        <f t="shared" si="7"/>
        <v/>
      </c>
      <c r="AR20" s="48" t="str">
        <f t="shared" si="8"/>
        <v/>
      </c>
      <c r="AS20" s="11">
        <f t="shared" si="9"/>
        <v>0</v>
      </c>
      <c r="AT20" s="11">
        <f t="shared" si="10"/>
        <v>0</v>
      </c>
    </row>
    <row r="21" spans="1:46" ht="71.25">
      <c r="A21" s="7" t="s">
        <v>3892</v>
      </c>
      <c r="B21" s="7" t="s">
        <v>1315</v>
      </c>
      <c r="C21" s="7" t="s">
        <v>3893</v>
      </c>
      <c r="D21" s="7" t="s">
        <v>3730</v>
      </c>
      <c r="E21" s="7" t="s">
        <v>3731</v>
      </c>
      <c r="F21" s="7" t="s">
        <v>3894</v>
      </c>
      <c r="G21" s="7">
        <v>5</v>
      </c>
      <c r="H21" s="153"/>
      <c r="I21" s="8" t="str">
        <f t="shared" si="0"/>
        <v/>
      </c>
      <c r="J21" s="8" t="str">
        <f t="shared" si="1"/>
        <v/>
      </c>
      <c r="K21" s="8" t="str">
        <f t="shared" si="2"/>
        <v/>
      </c>
      <c r="L21" s="7" t="str">
        <f t="shared" si="3"/>
        <v/>
      </c>
      <c r="M21" s="7" t="s">
        <v>3895</v>
      </c>
      <c r="N21" s="7" t="s">
        <v>3896</v>
      </c>
      <c r="O21" s="7" t="s">
        <v>3897</v>
      </c>
      <c r="P21" s="7" t="s">
        <v>3898</v>
      </c>
      <c r="Q21" s="7" t="s">
        <v>3899</v>
      </c>
      <c r="R21" s="7" t="s">
        <v>3900</v>
      </c>
      <c r="S21" s="7" t="s">
        <v>3739</v>
      </c>
      <c r="T21" s="7" t="s">
        <v>3740</v>
      </c>
      <c r="U21" s="7"/>
      <c r="V21" s="7" t="s">
        <v>3901</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Profile'!$B$9,_TECH_Industry_Templates!$B:$B,"Supply Chain"),"")</f>
        <v>3.5</v>
      </c>
      <c r="AO21" s="48" t="str">
        <f t="shared" si="6"/>
        <v/>
      </c>
      <c r="AP21" s="48">
        <f>IFERROR(SUMIFS(_TECH_Industry_Templates!$E:$E,_TECH_Industry_Templates!$A:$A,'Company Profile'!$B$9,_TECH_Industry_Templates!$B:$B,"Supply Chain"),1)</f>
        <v>1</v>
      </c>
      <c r="AQ21" s="48" t="str">
        <f t="shared" si="7"/>
        <v/>
      </c>
      <c r="AR21" s="48" t="str">
        <f t="shared" si="8"/>
        <v/>
      </c>
      <c r="AS21" s="11">
        <f t="shared" si="9"/>
        <v>0</v>
      </c>
      <c r="AT21" s="11">
        <f t="shared" si="10"/>
        <v>0</v>
      </c>
    </row>
    <row r="22" spans="1:46" ht="71.25">
      <c r="A22" s="7" t="s">
        <v>3902</v>
      </c>
      <c r="B22" s="7" t="s">
        <v>1315</v>
      </c>
      <c r="C22" s="7" t="s">
        <v>3903</v>
      </c>
      <c r="D22" s="7" t="s">
        <v>3730</v>
      </c>
      <c r="E22" s="7" t="s">
        <v>3731</v>
      </c>
      <c r="F22" s="7" t="s">
        <v>3904</v>
      </c>
      <c r="G22" s="7">
        <v>5</v>
      </c>
      <c r="H22" s="153"/>
      <c r="I22" s="8" t="str">
        <f t="shared" si="0"/>
        <v/>
      </c>
      <c r="J22" s="8" t="str">
        <f t="shared" si="1"/>
        <v/>
      </c>
      <c r="K22" s="8" t="str">
        <f t="shared" si="2"/>
        <v/>
      </c>
      <c r="L22" s="7" t="str">
        <f t="shared" si="3"/>
        <v/>
      </c>
      <c r="M22" s="7" t="s">
        <v>3905</v>
      </c>
      <c r="N22" s="7" t="s">
        <v>3906</v>
      </c>
      <c r="O22" s="7" t="s">
        <v>3907</v>
      </c>
      <c r="P22" s="7" t="s">
        <v>3908</v>
      </c>
      <c r="Q22" s="7" t="s">
        <v>3909</v>
      </c>
      <c r="R22" s="7" t="s">
        <v>3910</v>
      </c>
      <c r="S22" s="7" t="s">
        <v>3739</v>
      </c>
      <c r="T22" s="7" t="s">
        <v>3740</v>
      </c>
      <c r="U22" s="7"/>
      <c r="V22" s="7" t="s">
        <v>3911</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Profile'!$B$9,_TECH_Industry_Templates!$B:$B,"Supply Chain"),"")</f>
        <v>3.5</v>
      </c>
      <c r="AO22" s="48" t="str">
        <f t="shared" si="6"/>
        <v/>
      </c>
      <c r="AP22" s="48">
        <f>IFERROR(SUMIFS(_TECH_Industry_Templates!$E:$E,_TECH_Industry_Templates!$A:$A,'Company Profile'!$B$9,_TECH_Industry_Templates!$B:$B,"Supply Chain"),1)</f>
        <v>1</v>
      </c>
      <c r="AQ22" s="48" t="str">
        <f t="shared" si="7"/>
        <v/>
      </c>
      <c r="AR22" s="48" t="str">
        <f t="shared" si="8"/>
        <v/>
      </c>
      <c r="AS22" s="11">
        <f t="shared" si="9"/>
        <v>0</v>
      </c>
      <c r="AT22" s="11">
        <f t="shared" si="10"/>
        <v>0</v>
      </c>
    </row>
    <row r="23" spans="1:46" ht="71.25">
      <c r="A23" s="7" t="s">
        <v>3912</v>
      </c>
      <c r="B23" s="7" t="s">
        <v>1315</v>
      </c>
      <c r="C23" s="7" t="s">
        <v>3913</v>
      </c>
      <c r="D23" s="7" t="s">
        <v>3730</v>
      </c>
      <c r="E23" s="7" t="s">
        <v>3731</v>
      </c>
      <c r="F23" s="7" t="s">
        <v>3914</v>
      </c>
      <c r="G23" s="7">
        <v>5</v>
      </c>
      <c r="H23" s="153"/>
      <c r="I23" s="8" t="str">
        <f t="shared" si="0"/>
        <v/>
      </c>
      <c r="J23" s="8" t="str">
        <f t="shared" si="1"/>
        <v/>
      </c>
      <c r="K23" s="8" t="str">
        <f t="shared" si="2"/>
        <v/>
      </c>
      <c r="L23" s="7" t="str">
        <f t="shared" si="3"/>
        <v/>
      </c>
      <c r="M23" s="7" t="s">
        <v>3915</v>
      </c>
      <c r="N23" s="7" t="s">
        <v>3916</v>
      </c>
      <c r="O23" s="7" t="s">
        <v>3917</v>
      </c>
      <c r="P23" s="7" t="s">
        <v>3918</v>
      </c>
      <c r="Q23" s="7" t="s">
        <v>3919</v>
      </c>
      <c r="R23" s="7" t="s">
        <v>3920</v>
      </c>
      <c r="S23" s="7" t="s">
        <v>3739</v>
      </c>
      <c r="T23" s="7" t="s">
        <v>3740</v>
      </c>
      <c r="U23" s="7"/>
      <c r="V23" s="7" t="s">
        <v>3921</v>
      </c>
      <c r="W23" s="14">
        <v>5</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Profile'!$B$9,_TECH_Industry_Templates!$B:$B,"Supply Chain"),"")</f>
        <v>3.5</v>
      </c>
      <c r="AO23" s="48" t="str">
        <f t="shared" si="6"/>
        <v/>
      </c>
      <c r="AP23" s="48">
        <f>IFERROR(SUMIFS(_TECH_Industry_Templates!$E:$E,_TECH_Industry_Templates!$A:$A,'Company Profile'!$B$9,_TECH_Industry_Templates!$B:$B,"Supply Chain"),1)</f>
        <v>1</v>
      </c>
      <c r="AQ23" s="48" t="str">
        <f t="shared" si="7"/>
        <v/>
      </c>
      <c r="AR23" s="48" t="str">
        <f t="shared" si="8"/>
        <v/>
      </c>
      <c r="AS23" s="11">
        <f t="shared" si="9"/>
        <v>0</v>
      </c>
      <c r="AT23" s="11">
        <f t="shared" si="10"/>
        <v>0</v>
      </c>
    </row>
    <row r="24" spans="1:46" ht="71.25">
      <c r="A24" s="7" t="s">
        <v>3922</v>
      </c>
      <c r="B24" s="7" t="s">
        <v>1323</v>
      </c>
      <c r="C24" s="7" t="s">
        <v>3923</v>
      </c>
      <c r="D24" s="7" t="s">
        <v>3730</v>
      </c>
      <c r="E24" s="7" t="s">
        <v>3731</v>
      </c>
      <c r="F24" s="7" t="s">
        <v>3924</v>
      </c>
      <c r="G24" s="7">
        <v>5</v>
      </c>
      <c r="H24" s="153"/>
      <c r="I24" s="8" t="str">
        <f t="shared" si="0"/>
        <v/>
      </c>
      <c r="J24" s="8" t="str">
        <f t="shared" si="1"/>
        <v/>
      </c>
      <c r="K24" s="8" t="str">
        <f t="shared" si="2"/>
        <v/>
      </c>
      <c r="L24" s="7" t="str">
        <f t="shared" si="3"/>
        <v/>
      </c>
      <c r="M24" s="7" t="s">
        <v>3925</v>
      </c>
      <c r="N24" s="7" t="s">
        <v>3926</v>
      </c>
      <c r="O24" s="7" t="s">
        <v>3927</v>
      </c>
      <c r="P24" s="7" t="s">
        <v>3928</v>
      </c>
      <c r="Q24" s="7" t="s">
        <v>3929</v>
      </c>
      <c r="R24" s="7" t="s">
        <v>3930</v>
      </c>
      <c r="S24" s="7" t="s">
        <v>3739</v>
      </c>
      <c r="T24" s="7" t="s">
        <v>3740</v>
      </c>
      <c r="U24" s="7"/>
      <c r="V24" s="7" t="s">
        <v>3931</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Profile'!$B$9,_TECH_Industry_Templates!$B:$B,"Supply Chain"),"")</f>
        <v>3.5</v>
      </c>
      <c r="AO24" s="48" t="str">
        <f t="shared" si="6"/>
        <v/>
      </c>
      <c r="AP24" s="48">
        <f>IFERROR(SUMIFS(_TECH_Industry_Templates!$E:$E,_TECH_Industry_Templates!$A:$A,'Company Profile'!$B$9,_TECH_Industry_Templates!$B:$B,"Supply Chain"),1)</f>
        <v>1</v>
      </c>
      <c r="AQ24" s="48" t="str">
        <f t="shared" si="7"/>
        <v/>
      </c>
      <c r="AR24" s="48" t="str">
        <f t="shared" si="8"/>
        <v/>
      </c>
      <c r="AS24" s="11">
        <f t="shared" si="9"/>
        <v>0</v>
      </c>
      <c r="AT24" s="11">
        <f t="shared" si="10"/>
        <v>0</v>
      </c>
    </row>
    <row r="25" spans="1:46" ht="71.25">
      <c r="A25" s="7" t="s">
        <v>3932</v>
      </c>
      <c r="B25" s="7" t="s">
        <v>1323</v>
      </c>
      <c r="C25" s="7" t="s">
        <v>3933</v>
      </c>
      <c r="D25" s="7" t="s">
        <v>3730</v>
      </c>
      <c r="E25" s="7" t="s">
        <v>3731</v>
      </c>
      <c r="F25" s="7" t="s">
        <v>3934</v>
      </c>
      <c r="G25" s="7">
        <v>5</v>
      </c>
      <c r="H25" s="153"/>
      <c r="I25" s="8" t="str">
        <f t="shared" si="0"/>
        <v/>
      </c>
      <c r="J25" s="8" t="str">
        <f t="shared" si="1"/>
        <v/>
      </c>
      <c r="K25" s="8" t="str">
        <f t="shared" si="2"/>
        <v/>
      </c>
      <c r="L25" s="7" t="str">
        <f t="shared" si="3"/>
        <v/>
      </c>
      <c r="M25" s="7" t="s">
        <v>3935</v>
      </c>
      <c r="N25" s="7" t="s">
        <v>3936</v>
      </c>
      <c r="O25" s="7" t="s">
        <v>3937</v>
      </c>
      <c r="P25" s="7" t="s">
        <v>3938</v>
      </c>
      <c r="Q25" s="7" t="s">
        <v>3939</v>
      </c>
      <c r="R25" s="7" t="s">
        <v>3940</v>
      </c>
      <c r="S25" s="7" t="s">
        <v>3739</v>
      </c>
      <c r="T25" s="7" t="s">
        <v>3740</v>
      </c>
      <c r="U25" s="7"/>
      <c r="V25" s="7" t="s">
        <v>3941</v>
      </c>
      <c r="W25" s="14">
        <v>4</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Profile'!$B$9,_TECH_Industry_Templates!$B:$B,"Supply Chain"),"")</f>
        <v>3.5</v>
      </c>
      <c r="AO25" s="48" t="str">
        <f t="shared" si="6"/>
        <v/>
      </c>
      <c r="AP25" s="48">
        <f>IFERROR(SUMIFS(_TECH_Industry_Templates!$E:$E,_TECH_Industry_Templates!$A:$A,'Company Profile'!$B$9,_TECH_Industry_Templates!$B:$B,"Supply Chain"),1)</f>
        <v>1</v>
      </c>
      <c r="AQ25" s="48" t="str">
        <f t="shared" si="7"/>
        <v/>
      </c>
      <c r="AR25" s="48" t="str">
        <f t="shared" si="8"/>
        <v/>
      </c>
      <c r="AS25" s="11">
        <f t="shared" si="9"/>
        <v>0</v>
      </c>
      <c r="AT25" s="11">
        <f t="shared" si="10"/>
        <v>0</v>
      </c>
    </row>
    <row r="26" spans="1:46" ht="71.25">
      <c r="A26" s="7" t="s">
        <v>3942</v>
      </c>
      <c r="B26" s="7" t="s">
        <v>1323</v>
      </c>
      <c r="C26" s="7" t="s">
        <v>3943</v>
      </c>
      <c r="D26" s="7" t="s">
        <v>3730</v>
      </c>
      <c r="E26" s="7" t="s">
        <v>3731</v>
      </c>
      <c r="F26" s="7" t="s">
        <v>3944</v>
      </c>
      <c r="G26" s="7">
        <v>3</v>
      </c>
      <c r="H26" s="153"/>
      <c r="I26" s="8" t="str">
        <f t="shared" si="0"/>
        <v/>
      </c>
      <c r="J26" s="8" t="str">
        <f t="shared" si="1"/>
        <v/>
      </c>
      <c r="K26" s="8" t="str">
        <f t="shared" si="2"/>
        <v/>
      </c>
      <c r="L26" s="7" t="str">
        <f t="shared" si="3"/>
        <v/>
      </c>
      <c r="M26" s="7" t="s">
        <v>3945</v>
      </c>
      <c r="N26" s="7" t="s">
        <v>3946</v>
      </c>
      <c r="O26" s="7" t="s">
        <v>3947</v>
      </c>
      <c r="P26" s="7" t="s">
        <v>3948</v>
      </c>
      <c r="Q26" s="7" t="s">
        <v>3949</v>
      </c>
      <c r="R26" s="7" t="s">
        <v>3950</v>
      </c>
      <c r="S26" s="7" t="s">
        <v>3739</v>
      </c>
      <c r="T26" s="7" t="s">
        <v>3740</v>
      </c>
      <c r="U26" s="7"/>
      <c r="V26" s="7" t="s">
        <v>3951</v>
      </c>
      <c r="W26" s="14">
        <v>4</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Profile'!$B$9,_TECH_Industry_Templates!$B:$B,"Supply Chain"),"")</f>
        <v>3.5</v>
      </c>
      <c r="AO26" s="48" t="str">
        <f t="shared" si="6"/>
        <v/>
      </c>
      <c r="AP26" s="48">
        <f>IFERROR(SUMIFS(_TECH_Industry_Templates!$E:$E,_TECH_Industry_Templates!$A:$A,'Company Profile'!$B$9,_TECH_Industry_Templates!$B:$B,"Supply Chain"),1)</f>
        <v>1</v>
      </c>
      <c r="AQ26" s="48" t="str">
        <f t="shared" si="7"/>
        <v/>
      </c>
      <c r="AR26" s="48" t="str">
        <f t="shared" si="8"/>
        <v/>
      </c>
      <c r="AS26" s="11">
        <f t="shared" si="9"/>
        <v>0</v>
      </c>
      <c r="AT26" s="11">
        <f t="shared" si="10"/>
        <v>0</v>
      </c>
    </row>
    <row r="27" spans="1:46" ht="71.25">
      <c r="A27" s="7" t="s">
        <v>3952</v>
      </c>
      <c r="B27" s="7" t="s">
        <v>1323</v>
      </c>
      <c r="C27" s="7" t="s">
        <v>3953</v>
      </c>
      <c r="D27" s="7" t="s">
        <v>3730</v>
      </c>
      <c r="E27" s="7" t="s">
        <v>3731</v>
      </c>
      <c r="F27" s="7" t="s">
        <v>3954</v>
      </c>
      <c r="G27" s="7">
        <v>4</v>
      </c>
      <c r="H27" s="153"/>
      <c r="I27" s="8" t="str">
        <f t="shared" si="0"/>
        <v/>
      </c>
      <c r="J27" s="8" t="str">
        <f t="shared" si="1"/>
        <v/>
      </c>
      <c r="K27" s="8" t="str">
        <f t="shared" si="2"/>
        <v/>
      </c>
      <c r="L27" s="7" t="str">
        <f t="shared" si="3"/>
        <v/>
      </c>
      <c r="M27" s="7" t="s">
        <v>3955</v>
      </c>
      <c r="N27" s="7" t="s">
        <v>3956</v>
      </c>
      <c r="O27" s="7" t="s">
        <v>3957</v>
      </c>
      <c r="P27" s="7" t="s">
        <v>3958</v>
      </c>
      <c r="Q27" s="7" t="s">
        <v>3959</v>
      </c>
      <c r="R27" s="7" t="s">
        <v>3960</v>
      </c>
      <c r="S27" s="7" t="s">
        <v>3739</v>
      </c>
      <c r="T27" s="7" t="s">
        <v>3740</v>
      </c>
      <c r="U27" s="7"/>
      <c r="V27" s="7" t="s">
        <v>3961</v>
      </c>
      <c r="W27" s="14">
        <v>4</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Profile'!$B$9,_TECH_Industry_Templates!$B:$B,"Supply Chain"),"")</f>
        <v>3.5</v>
      </c>
      <c r="AO27" s="48" t="str">
        <f t="shared" si="6"/>
        <v/>
      </c>
      <c r="AP27" s="48">
        <f>IFERROR(SUMIFS(_TECH_Industry_Templates!$E:$E,_TECH_Industry_Templates!$A:$A,'Company Profile'!$B$9,_TECH_Industry_Templates!$B:$B,"Supply Chain"),1)</f>
        <v>1</v>
      </c>
      <c r="AQ27" s="48" t="str">
        <f t="shared" si="7"/>
        <v/>
      </c>
      <c r="AR27" s="48" t="str">
        <f t="shared" si="8"/>
        <v/>
      </c>
      <c r="AS27" s="11">
        <f t="shared" si="9"/>
        <v>0</v>
      </c>
      <c r="AT27" s="11">
        <f t="shared" si="10"/>
        <v>0</v>
      </c>
    </row>
    <row r="28" spans="1:46" ht="71.25">
      <c r="A28" s="7" t="s">
        <v>3962</v>
      </c>
      <c r="B28" s="7" t="s">
        <v>1323</v>
      </c>
      <c r="C28" s="7" t="s">
        <v>3963</v>
      </c>
      <c r="D28" s="7" t="s">
        <v>3730</v>
      </c>
      <c r="E28" s="7" t="s">
        <v>3731</v>
      </c>
      <c r="F28" s="7" t="s">
        <v>3964</v>
      </c>
      <c r="G28" s="7">
        <v>5</v>
      </c>
      <c r="H28" s="153"/>
      <c r="I28" s="8" t="str">
        <f t="shared" si="0"/>
        <v/>
      </c>
      <c r="J28" s="8" t="str">
        <f t="shared" si="1"/>
        <v/>
      </c>
      <c r="K28" s="8" t="str">
        <f t="shared" si="2"/>
        <v/>
      </c>
      <c r="L28" s="7" t="str">
        <f t="shared" si="3"/>
        <v/>
      </c>
      <c r="M28" s="7" t="s">
        <v>3965</v>
      </c>
      <c r="N28" s="7" t="s">
        <v>3966</v>
      </c>
      <c r="O28" s="7" t="s">
        <v>3967</v>
      </c>
      <c r="P28" s="7" t="s">
        <v>3968</v>
      </c>
      <c r="Q28" s="7" t="s">
        <v>3969</v>
      </c>
      <c r="R28" s="7" t="s">
        <v>3970</v>
      </c>
      <c r="S28" s="7" t="s">
        <v>3739</v>
      </c>
      <c r="T28" s="7" t="s">
        <v>3740</v>
      </c>
      <c r="U28" s="7"/>
      <c r="V28" s="7" t="s">
        <v>3971</v>
      </c>
      <c r="W28" s="14">
        <v>5</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Profile'!$B$9,_TECH_Industry_Templates!$B:$B,"Supply Chain"),"")</f>
        <v>3.5</v>
      </c>
      <c r="AO28" s="48" t="str">
        <f t="shared" si="6"/>
        <v/>
      </c>
      <c r="AP28" s="48">
        <f>IFERROR(SUMIFS(_TECH_Industry_Templates!$E:$E,_TECH_Industry_Templates!$A:$A,'Company Profile'!$B$9,_TECH_Industry_Templates!$B:$B,"Supply Chain"),1)</f>
        <v>1</v>
      </c>
      <c r="AQ28" s="48" t="str">
        <f t="shared" si="7"/>
        <v/>
      </c>
      <c r="AR28" s="48" t="str">
        <f t="shared" si="8"/>
        <v/>
      </c>
      <c r="AS28" s="11">
        <f t="shared" si="9"/>
        <v>0</v>
      </c>
      <c r="AT28" s="11">
        <f t="shared" si="10"/>
        <v>0</v>
      </c>
    </row>
    <row r="29" spans="1:46" ht="71.25">
      <c r="A29" s="7" t="s">
        <v>3972</v>
      </c>
      <c r="B29" s="7" t="s">
        <v>1323</v>
      </c>
      <c r="C29" s="7" t="s">
        <v>3973</v>
      </c>
      <c r="D29" s="7" t="s">
        <v>3730</v>
      </c>
      <c r="E29" s="7" t="s">
        <v>3731</v>
      </c>
      <c r="F29" s="7" t="s">
        <v>3974</v>
      </c>
      <c r="G29" s="7">
        <v>5</v>
      </c>
      <c r="H29" s="153"/>
      <c r="I29" s="8" t="str">
        <f t="shared" si="0"/>
        <v/>
      </c>
      <c r="J29" s="8" t="str">
        <f t="shared" si="1"/>
        <v/>
      </c>
      <c r="K29" s="8" t="str">
        <f t="shared" si="2"/>
        <v/>
      </c>
      <c r="L29" s="7" t="str">
        <f t="shared" si="3"/>
        <v/>
      </c>
      <c r="M29" s="7" t="s">
        <v>3975</v>
      </c>
      <c r="N29" s="7" t="s">
        <v>3976</v>
      </c>
      <c r="O29" s="7" t="s">
        <v>3977</v>
      </c>
      <c r="P29" s="7" t="s">
        <v>3978</v>
      </c>
      <c r="Q29" s="7" t="s">
        <v>3979</v>
      </c>
      <c r="R29" s="7" t="s">
        <v>3980</v>
      </c>
      <c r="S29" s="7" t="s">
        <v>3739</v>
      </c>
      <c r="T29" s="7" t="s">
        <v>3740</v>
      </c>
      <c r="U29" s="7"/>
      <c r="V29" s="7" t="s">
        <v>3981</v>
      </c>
      <c r="W29" s="14">
        <v>4</v>
      </c>
      <c r="X29" s="14">
        <v>5</v>
      </c>
      <c r="Y29" s="14">
        <v>5</v>
      </c>
      <c r="AH29" s="81"/>
      <c r="AI29" s="81"/>
      <c r="AJ29" s="48" t="str">
        <f>IF(OR($H29="",$H29="N/A"),"",IF($AH29="",VLOOKUP('Company Profile'!$B$40,_TECH_Scoring_Settings!$A$5:$B$8,2,FALSE),IFERROR(VLOOKUP($AH29,_TECH_Scoring_Settings!$A$5:$B$8,2,FALSE),0.9)))</f>
        <v/>
      </c>
      <c r="AK29" s="48" t="str">
        <f>IF(OR($H29="",$H29="N/A"),"",IF($AI29="",VLOOKUP('Company Profile'!$B$41,_TECH_Scoring_Settings!$A$5:$B$8,2,FALSE),IFERROR(VLOOKUP($AI29,_TECH_Scoring_Settings!$A$5:$B$8,2,FALSE),0.9)))</f>
        <v/>
      </c>
      <c r="AL29" s="48" t="str">
        <f t="shared" si="4"/>
        <v/>
      </c>
      <c r="AM29" s="48" t="str">
        <f t="shared" si="5"/>
        <v/>
      </c>
      <c r="AN29" s="48">
        <f>IFERROR(SUMIFS(_TECH_Industry_Templates!$D:$D,_TECH_Industry_Templates!$A:$A,'Company Profile'!$B$9,_TECH_Industry_Templates!$B:$B,"Supply Chain"),"")</f>
        <v>3.5</v>
      </c>
      <c r="AO29" s="48" t="str">
        <f t="shared" si="6"/>
        <v/>
      </c>
      <c r="AP29" s="48">
        <f>IFERROR(SUMIFS(_TECH_Industry_Templates!$E:$E,_TECH_Industry_Templates!$A:$A,'Company Profile'!$B$9,_TECH_Industry_Templates!$B:$B,"Supply Chain"),1)</f>
        <v>1</v>
      </c>
      <c r="AQ29" s="48" t="str">
        <f t="shared" si="7"/>
        <v/>
      </c>
      <c r="AR29" s="48" t="str">
        <f t="shared" si="8"/>
        <v/>
      </c>
      <c r="AS29" s="11">
        <f t="shared" si="9"/>
        <v>0</v>
      </c>
      <c r="AT29" s="11">
        <f t="shared" si="10"/>
        <v>0</v>
      </c>
    </row>
  </sheetData>
  <mergeCells count="4">
    <mergeCell ref="A2:V2"/>
    <mergeCell ref="AA3:AG3"/>
    <mergeCell ref="A1:V1"/>
    <mergeCell ref="W3:Y3"/>
  </mergeCells>
  <conditionalFormatting sqref="H5:H29">
    <cfRule type="colorScale" priority="1">
      <colorScale>
        <cfvo type="min"/>
        <cfvo type="percentile" val="50"/>
        <cfvo type="max"/>
        <color rgb="FFF8696B"/>
        <color rgb="FFFFEB84"/>
        <color rgb="FF63BE7B"/>
      </colorScale>
    </cfRule>
  </conditionalFormatting>
  <conditionalFormatting sqref="L5:L29">
    <cfRule type="expression" dxfId="56" priority="2">
      <formula>$L5="Critical"</formula>
    </cfRule>
    <cfRule type="expression" dxfId="55" priority="3">
      <formula>$L5="High"</formula>
    </cfRule>
    <cfRule type="expression" dxfId="54" priority="4">
      <formula>$L5="Medium"</formula>
    </cfRule>
    <cfRule type="expression" dxfId="53" priority="5">
      <formula>$L5="Low"</formula>
    </cfRule>
    <cfRule type="expression" dxfId="52"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9" ns2:uid="{00000000-0002-0000-1B00-000000000000}">
      <formula1>"N/A,0,1,2,3,4,5"</formula1>
    </dataValidation>
    <dataValidation type="list" sqref="G5:G29" ns2:uid="{00000000-0002-0000-1B00-000001000000}">
      <formula1>"1,2,3,4,5"</formula1>
    </dataValidation>
    <dataValidation type="list" sqref="W5:Y29" ns2:uid="{00000000-0002-0000-1B00-000002000000}">
      <formula1>"0,1,2,3,4,5"</formula1>
    </dataValidation>
    <dataValidation type="list" allowBlank="1" sqref="AH5:AI29" ns2:uid="{00000000-0002-0000-1B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29.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C00-000000000000}">
  <sheetPr>
    <tabColor rgb="FFED7D31"/>
  </sheetPr>
  <dimension ref="A1:AT32"/>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3982</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3983</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3984</v>
      </c>
      <c r="B5" s="7" t="s">
        <v>1331</v>
      </c>
      <c r="C5" s="7" t="s">
        <v>3985</v>
      </c>
      <c r="D5" s="7" t="s">
        <v>3986</v>
      </c>
      <c r="E5" s="7" t="s">
        <v>3987</v>
      </c>
      <c r="F5" s="7" t="s">
        <v>3988</v>
      </c>
      <c r="G5" s="7">
        <v>5</v>
      </c>
      <c r="H5" s="153"/>
      <c r="I5" s="8" t="str">
        <f t="shared" ref="I5:I32" si="0">IF($H5="","",IF($H5="N/A","",VALUE($H5)/5*$G5))</f>
        <v/>
      </c>
      <c r="J5" s="8" t="str">
        <f t="shared" ref="J5:J32" si="1">IF(OR($H5="",$H5="N/A"),"",$G5)</f>
        <v/>
      </c>
      <c r="K5" s="8" t="str">
        <f t="shared" ref="K5:K32" si="2">IF(OR($H5="",$H5="N/A"),"",$J5-$I5)</f>
        <v/>
      </c>
      <c r="L5" s="7" t="str">
        <f t="shared" ref="L5:L32" si="3">IF($H5="","",IF($H5="N/A","N/A",IF(VALUE($H5)&lt;=1,"Critical",IF(VALUE($H5)&lt;=2,"High",IF(VALUE($H5)&lt;=3,"Medium",IF(VALUE($H5)&lt;=4,"Low","Resilient"))))))</f>
        <v/>
      </c>
      <c r="M5" s="7" t="s">
        <v>3989</v>
      </c>
      <c r="N5" s="7" t="s">
        <v>3990</v>
      </c>
      <c r="O5" s="7" t="s">
        <v>3991</v>
      </c>
      <c r="P5" s="7" t="s">
        <v>3992</v>
      </c>
      <c r="Q5" s="7" t="s">
        <v>3993</v>
      </c>
      <c r="R5" s="7" t="s">
        <v>3994</v>
      </c>
      <c r="S5" s="7" t="s">
        <v>3995</v>
      </c>
      <c r="T5" s="7" t="s">
        <v>3996</v>
      </c>
      <c r="U5" s="7"/>
      <c r="V5" s="7" t="s">
        <v>3997</v>
      </c>
      <c r="W5" s="14">
        <v>5</v>
      </c>
      <c r="X5" s="14">
        <v>5</v>
      </c>
      <c r="Y5" s="14">
        <v>5</v>
      </c>
      <c r="AA5" t="s">
        <v>1331</v>
      </c>
      <c r="AB5" s="13">
        <f>COUNTIF($B$5:$B$32,$AA5)</f>
        <v>6</v>
      </c>
      <c r="AC5" s="15">
        <f>IFERROR(SUMPRODUCT(($B$5:$B$32=$AA5)*($H$5:$H$32&lt;&gt;"")*($H$5:$H$32&lt;&gt;"N/A")*IFERROR(VALUE($H$5:$H$32),0))/SUMPRODUCT(($B$5:$B$32=$AA5)*($H$5:$H$32&lt;&gt;"")*($H$5:$H$32&lt;&gt;"N/A")),0)</f>
        <v>0</v>
      </c>
      <c r="AD5" s="16">
        <f>AC5/5</f>
        <v>0</v>
      </c>
      <c r="AE5" s="13">
        <f>COUNTIFS($B$5:$B$32,$AA5,$L$5:$L$32,"Critical")+COUNTIFS($B$5:$B$32,$AA5,$L$5:$L$32,"High")</f>
        <v>0</v>
      </c>
      <c r="AF5" s="15">
        <f>5-AC5</f>
        <v>5</v>
      </c>
      <c r="AG5" s="13">
        <f>COUNTIFS($B$5:$B$32,$AA5,$H$5:$H$32,"&lt;&gt;")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32" si="4">IF(OR($H5="",$H5="N/A"),"",ROUND(VALUE($H5)*$AJ5*$AK5,2))</f>
        <v/>
      </c>
      <c r="AM5" s="48" t="str">
        <f t="shared" ref="AM5:AM32" si="5">IF($AL5="","",ROUND($AL5/5*100,1))</f>
        <v/>
      </c>
      <c r="AN5" s="48">
        <f>IFERROR(SUMIFS(_TECH_Industry_Templates!$D:$D,_TECH_Industry_Templates!$A:$A,'Company Profile'!$B$9,_TECH_Industry_Templates!$B:$B,"Manufacturing MES"),"")</f>
        <v>1</v>
      </c>
      <c r="AO5" s="48" t="str">
        <f t="shared" ref="AO5:AO32" si="6">IF($AL5="","",MAX(0,ROUND($AN5-$AL5,2)))</f>
        <v/>
      </c>
      <c r="AP5" s="48">
        <f>IFERROR(SUMIFS(_TECH_Industry_Templates!$E:$E,_TECH_Industry_Templates!$A:$A,'Company Profile'!$B$9,_TECH_Industry_Templates!$B:$B,"Manufacturing MES"),1)</f>
        <v>0.6</v>
      </c>
      <c r="AQ5" s="48" t="str">
        <f t="shared" ref="AQ5:AQ32" si="7">IF($AO5="","",ROUND($AO5*$AP5*($G5/5),2))</f>
        <v/>
      </c>
      <c r="AR5" s="48" t="str">
        <f t="shared" ref="AR5:AR32" si="8">IF($AO5="","",IF($AO5&gt;=2,"Critical industry gap",IF($AO5&gt;=1,"High industry gap",IF($AO5&gt;=0.5,"Moderate industry gap","Within target"))))</f>
        <v/>
      </c>
      <c r="AS5" s="11">
        <f t="shared" ref="AS5:AS32" si="9">IF(OR($H5="",$H5="N/A"),0,VALUE($H5)*(($AJ5+$AK5)/2))</f>
        <v>0</v>
      </c>
      <c r="AT5" s="11">
        <f t="shared" ref="AT5:AT32" si="10">IF(OR($H5="",$H5="N/A"),0,($AJ5+$AK5)/2)</f>
        <v>0</v>
      </c>
    </row>
    <row r="6" spans="1:46" ht="71.25">
      <c r="A6" s="7" t="s">
        <v>3998</v>
      </c>
      <c r="B6" s="7" t="s">
        <v>1331</v>
      </c>
      <c r="C6" s="7" t="s">
        <v>3999</v>
      </c>
      <c r="D6" s="7" t="s">
        <v>3986</v>
      </c>
      <c r="E6" s="7" t="s">
        <v>3987</v>
      </c>
      <c r="F6" s="7" t="s">
        <v>4000</v>
      </c>
      <c r="G6" s="7">
        <v>5</v>
      </c>
      <c r="H6" s="153"/>
      <c r="I6" s="8" t="str">
        <f t="shared" si="0"/>
        <v/>
      </c>
      <c r="J6" s="8" t="str">
        <f t="shared" si="1"/>
        <v/>
      </c>
      <c r="K6" s="8" t="str">
        <f t="shared" si="2"/>
        <v/>
      </c>
      <c r="L6" s="7" t="str">
        <f t="shared" si="3"/>
        <v/>
      </c>
      <c r="M6" s="7" t="s">
        <v>4001</v>
      </c>
      <c r="N6" s="7" t="s">
        <v>4002</v>
      </c>
      <c r="O6" s="7" t="s">
        <v>4003</v>
      </c>
      <c r="P6" s="7" t="s">
        <v>4004</v>
      </c>
      <c r="Q6" s="7" t="s">
        <v>4005</v>
      </c>
      <c r="R6" s="7" t="s">
        <v>4006</v>
      </c>
      <c r="S6" s="7" t="s">
        <v>3995</v>
      </c>
      <c r="T6" s="7" t="s">
        <v>3996</v>
      </c>
      <c r="U6" s="7"/>
      <c r="V6" s="7" t="s">
        <v>4007</v>
      </c>
      <c r="W6" s="14">
        <v>5</v>
      </c>
      <c r="X6" s="14">
        <v>5</v>
      </c>
      <c r="Y6" s="14">
        <v>5</v>
      </c>
      <c r="AA6" t="s">
        <v>1346</v>
      </c>
      <c r="AB6" s="13">
        <f>COUNTIF($B$5:$B$32,$AA6)</f>
        <v>6</v>
      </c>
      <c r="AC6" s="15">
        <f>IFERROR(SUMPRODUCT(($B$5:$B$32=$AA6)*($H$5:$H$32&lt;&gt;"")*($H$5:$H$32&lt;&gt;"N/A")*IFERROR(VALUE($H$5:$H$32),0))/SUMPRODUCT(($B$5:$B$32=$AA6)*($H$5:$H$32&lt;&gt;"")*($H$5:$H$32&lt;&gt;"N/A")),0)</f>
        <v>0</v>
      </c>
      <c r="AD6" s="16">
        <f>AC6/5</f>
        <v>0</v>
      </c>
      <c r="AE6" s="13">
        <f>COUNTIFS($B$5:$B$32,$AA6,$L$5:$L$32,"Critical")+COUNTIFS($B$5:$B$32,$AA6,$L$5:$L$32,"High")</f>
        <v>0</v>
      </c>
      <c r="AF6" s="15">
        <f>5-AC6</f>
        <v>5</v>
      </c>
      <c r="AG6" s="13">
        <f>COUNTIFS($B$5:$B$32,$AA6,$H$5:$H$32,"&lt;&gt;")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Profile'!$B$9,_TECH_Industry_Templates!$B:$B,"Manufacturing MES"),"")</f>
        <v>1</v>
      </c>
      <c r="AO6" s="48" t="str">
        <f t="shared" si="6"/>
        <v/>
      </c>
      <c r="AP6" s="48">
        <f>IFERROR(SUMIFS(_TECH_Industry_Templates!$E:$E,_TECH_Industry_Templates!$A:$A,'Company Profile'!$B$9,_TECH_Industry_Templates!$B:$B,"Manufacturing MES"),1)</f>
        <v>0.6</v>
      </c>
      <c r="AQ6" s="48" t="str">
        <f t="shared" si="7"/>
        <v/>
      </c>
      <c r="AR6" s="48" t="str">
        <f t="shared" si="8"/>
        <v/>
      </c>
      <c r="AS6" s="11">
        <f t="shared" si="9"/>
        <v>0</v>
      </c>
      <c r="AT6" s="11">
        <f t="shared" si="10"/>
        <v>0</v>
      </c>
    </row>
    <row r="7" spans="1:46" ht="57">
      <c r="A7" s="7" t="s">
        <v>4008</v>
      </c>
      <c r="B7" s="7" t="s">
        <v>1331</v>
      </c>
      <c r="C7" s="7" t="s">
        <v>4009</v>
      </c>
      <c r="D7" s="7" t="s">
        <v>3986</v>
      </c>
      <c r="E7" s="7" t="s">
        <v>3987</v>
      </c>
      <c r="F7" s="7" t="s">
        <v>4010</v>
      </c>
      <c r="G7" s="7">
        <v>3</v>
      </c>
      <c r="H7" s="153"/>
      <c r="I7" s="8" t="str">
        <f t="shared" si="0"/>
        <v/>
      </c>
      <c r="J7" s="8" t="str">
        <f t="shared" si="1"/>
        <v/>
      </c>
      <c r="K7" s="8" t="str">
        <f t="shared" si="2"/>
        <v/>
      </c>
      <c r="L7" s="7" t="str">
        <f t="shared" si="3"/>
        <v/>
      </c>
      <c r="M7" s="7" t="s">
        <v>4011</v>
      </c>
      <c r="N7" s="7" t="s">
        <v>4012</v>
      </c>
      <c r="O7" s="7" t="s">
        <v>4013</v>
      </c>
      <c r="P7" s="7" t="s">
        <v>4014</v>
      </c>
      <c r="Q7" s="7" t="s">
        <v>4015</v>
      </c>
      <c r="R7" s="7" t="s">
        <v>4016</v>
      </c>
      <c r="S7" s="7" t="s">
        <v>3995</v>
      </c>
      <c r="T7" s="7" t="s">
        <v>3996</v>
      </c>
      <c r="U7" s="7"/>
      <c r="V7" s="7" t="s">
        <v>4017</v>
      </c>
      <c r="W7" s="14">
        <v>5</v>
      </c>
      <c r="X7" s="14">
        <v>5</v>
      </c>
      <c r="Y7" s="14">
        <v>5</v>
      </c>
      <c r="AA7" t="s">
        <v>1354</v>
      </c>
      <c r="AB7" s="13">
        <f>COUNTIF($B$5:$B$32,$AA7)</f>
        <v>6</v>
      </c>
      <c r="AC7" s="15">
        <f>IFERROR(SUMPRODUCT(($B$5:$B$32=$AA7)*($H$5:$H$32&lt;&gt;"")*($H$5:$H$32&lt;&gt;"N/A")*IFERROR(VALUE($H$5:$H$32),0))/SUMPRODUCT(($B$5:$B$32=$AA7)*($H$5:$H$32&lt;&gt;"")*($H$5:$H$32&lt;&gt;"N/A")),0)</f>
        <v>0</v>
      </c>
      <c r="AD7" s="16">
        <f>AC7/5</f>
        <v>0</v>
      </c>
      <c r="AE7" s="13">
        <f>COUNTIFS($B$5:$B$32,$AA7,$L$5:$L$32,"Critical")+COUNTIFS($B$5:$B$32,$AA7,$L$5:$L$32,"High")</f>
        <v>0</v>
      </c>
      <c r="AF7" s="15">
        <f>5-AC7</f>
        <v>5</v>
      </c>
      <c r="AG7" s="13">
        <f>COUNTIFS($B$5:$B$32,$AA7,$H$5:$H$32,"&lt;&gt;")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Profile'!$B$9,_TECH_Industry_Templates!$B:$B,"Manufacturing MES"),"")</f>
        <v>1</v>
      </c>
      <c r="AO7" s="48" t="str">
        <f t="shared" si="6"/>
        <v/>
      </c>
      <c r="AP7" s="48">
        <f>IFERROR(SUMIFS(_TECH_Industry_Templates!$E:$E,_TECH_Industry_Templates!$A:$A,'Company Profile'!$B$9,_TECH_Industry_Templates!$B:$B,"Manufacturing MES"),1)</f>
        <v>0.6</v>
      </c>
      <c r="AQ7" s="48" t="str">
        <f t="shared" si="7"/>
        <v/>
      </c>
      <c r="AR7" s="48" t="str">
        <f t="shared" si="8"/>
        <v/>
      </c>
      <c r="AS7" s="11">
        <f t="shared" si="9"/>
        <v>0</v>
      </c>
      <c r="AT7" s="11">
        <f t="shared" si="10"/>
        <v>0</v>
      </c>
    </row>
    <row r="8" spans="1:46" ht="71.25">
      <c r="A8" s="7" t="s">
        <v>4018</v>
      </c>
      <c r="B8" s="7" t="s">
        <v>1331</v>
      </c>
      <c r="C8" s="7" t="s">
        <v>4019</v>
      </c>
      <c r="D8" s="7" t="s">
        <v>3986</v>
      </c>
      <c r="E8" s="7" t="s">
        <v>3987</v>
      </c>
      <c r="F8" s="7" t="s">
        <v>4020</v>
      </c>
      <c r="G8" s="7">
        <v>5</v>
      </c>
      <c r="H8" s="153"/>
      <c r="I8" s="8" t="str">
        <f t="shared" si="0"/>
        <v/>
      </c>
      <c r="J8" s="8" t="str">
        <f t="shared" si="1"/>
        <v/>
      </c>
      <c r="K8" s="8" t="str">
        <f t="shared" si="2"/>
        <v/>
      </c>
      <c r="L8" s="7" t="str">
        <f t="shared" si="3"/>
        <v/>
      </c>
      <c r="M8" s="7" t="s">
        <v>4021</v>
      </c>
      <c r="N8" s="7" t="s">
        <v>4022</v>
      </c>
      <c r="O8" s="7" t="s">
        <v>4023</v>
      </c>
      <c r="P8" s="7" t="s">
        <v>4024</v>
      </c>
      <c r="Q8" s="7" t="s">
        <v>4025</v>
      </c>
      <c r="R8" s="7" t="s">
        <v>4026</v>
      </c>
      <c r="S8" s="7" t="s">
        <v>3995</v>
      </c>
      <c r="T8" s="7" t="s">
        <v>3996</v>
      </c>
      <c r="U8" s="7"/>
      <c r="V8" s="7" t="s">
        <v>4027</v>
      </c>
      <c r="W8" s="14">
        <v>5</v>
      </c>
      <c r="X8" s="14">
        <v>5</v>
      </c>
      <c r="Y8" s="14">
        <v>5</v>
      </c>
      <c r="AA8" t="s">
        <v>1362</v>
      </c>
      <c r="AB8" s="13">
        <f>COUNTIF($B$5:$B$32,$AA8)</f>
        <v>6</v>
      </c>
      <c r="AC8" s="15">
        <f>IFERROR(SUMPRODUCT(($B$5:$B$32=$AA8)*($H$5:$H$32&lt;&gt;"")*($H$5:$H$32&lt;&gt;"N/A")*IFERROR(VALUE($H$5:$H$32),0))/SUMPRODUCT(($B$5:$B$32=$AA8)*($H$5:$H$32&lt;&gt;"")*($H$5:$H$32&lt;&gt;"N/A")),0)</f>
        <v>0</v>
      </c>
      <c r="AD8" s="16">
        <f>AC8/5</f>
        <v>0</v>
      </c>
      <c r="AE8" s="13">
        <f>COUNTIFS($B$5:$B$32,$AA8,$L$5:$L$32,"Critical")+COUNTIFS($B$5:$B$32,$AA8,$L$5:$L$32,"High")</f>
        <v>0</v>
      </c>
      <c r="AF8" s="15">
        <f>5-AC8</f>
        <v>5</v>
      </c>
      <c r="AG8" s="13">
        <f>COUNTIFS($B$5:$B$32,$AA8,$H$5:$H$32,"&lt;&gt;")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Profile'!$B$9,_TECH_Industry_Templates!$B:$B,"Manufacturing MES"),"")</f>
        <v>1</v>
      </c>
      <c r="AO8" s="48" t="str">
        <f t="shared" si="6"/>
        <v/>
      </c>
      <c r="AP8" s="48">
        <f>IFERROR(SUMIFS(_TECH_Industry_Templates!$E:$E,_TECH_Industry_Templates!$A:$A,'Company Profile'!$B$9,_TECH_Industry_Templates!$B:$B,"Manufacturing MES"),1)</f>
        <v>0.6</v>
      </c>
      <c r="AQ8" s="48" t="str">
        <f t="shared" si="7"/>
        <v/>
      </c>
      <c r="AR8" s="48" t="str">
        <f t="shared" si="8"/>
        <v/>
      </c>
      <c r="AS8" s="11">
        <f t="shared" si="9"/>
        <v>0</v>
      </c>
      <c r="AT8" s="11">
        <f t="shared" si="10"/>
        <v>0</v>
      </c>
    </row>
    <row r="9" spans="1:46" ht="57">
      <c r="A9" s="7" t="s">
        <v>4028</v>
      </c>
      <c r="B9" s="7" t="s">
        <v>1331</v>
      </c>
      <c r="C9" s="7" t="s">
        <v>4029</v>
      </c>
      <c r="D9" s="7" t="s">
        <v>3986</v>
      </c>
      <c r="E9" s="7" t="s">
        <v>3987</v>
      </c>
      <c r="F9" s="7" t="s">
        <v>4030</v>
      </c>
      <c r="G9" s="7">
        <v>5</v>
      </c>
      <c r="H9" s="153"/>
      <c r="I9" s="8" t="str">
        <f t="shared" si="0"/>
        <v/>
      </c>
      <c r="J9" s="8" t="str">
        <f t="shared" si="1"/>
        <v/>
      </c>
      <c r="K9" s="8" t="str">
        <f t="shared" si="2"/>
        <v/>
      </c>
      <c r="L9" s="7" t="str">
        <f t="shared" si="3"/>
        <v/>
      </c>
      <c r="M9" s="7" t="s">
        <v>4031</v>
      </c>
      <c r="N9" s="7" t="s">
        <v>4032</v>
      </c>
      <c r="O9" s="7" t="s">
        <v>4033</v>
      </c>
      <c r="P9" s="7" t="s">
        <v>4034</v>
      </c>
      <c r="Q9" s="7" t="s">
        <v>4035</v>
      </c>
      <c r="R9" s="7" t="s">
        <v>4036</v>
      </c>
      <c r="S9" s="7" t="s">
        <v>3995</v>
      </c>
      <c r="T9" s="7" t="s">
        <v>3996</v>
      </c>
      <c r="U9" s="7"/>
      <c r="V9" s="7" t="s">
        <v>4037</v>
      </c>
      <c r="W9" s="14">
        <v>5</v>
      </c>
      <c r="X9" s="14">
        <v>5</v>
      </c>
      <c r="Y9" s="14">
        <v>5</v>
      </c>
      <c r="AA9" t="s">
        <v>1370</v>
      </c>
      <c r="AB9" s="13">
        <f>COUNTIF($B$5:$B$32,$AA9)</f>
        <v>4</v>
      </c>
      <c r="AC9" s="15">
        <f>IFERROR(SUMPRODUCT(($B$5:$B$32=$AA9)*($H$5:$H$32&lt;&gt;"")*($H$5:$H$32&lt;&gt;"N/A")*IFERROR(VALUE($H$5:$H$32),0))/SUMPRODUCT(($B$5:$B$32=$AA9)*($H$5:$H$32&lt;&gt;"")*($H$5:$H$32&lt;&gt;"N/A")),0)</f>
        <v>0</v>
      </c>
      <c r="AD9" s="16">
        <f>AC9/5</f>
        <v>0</v>
      </c>
      <c r="AE9" s="13">
        <f>COUNTIFS($B$5:$B$32,$AA9,$L$5:$L$32,"Critical")+COUNTIFS($B$5:$B$32,$AA9,$L$5:$L$32,"High")</f>
        <v>0</v>
      </c>
      <c r="AF9" s="15">
        <f>5-AC9</f>
        <v>5</v>
      </c>
      <c r="AG9" s="13">
        <f>COUNTIFS($B$5:$B$32,$AA9,$H$5:$H$32,"&lt;&gt;")</f>
        <v>0</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Profile'!$B$9,_TECH_Industry_Templates!$B:$B,"Manufacturing MES"),"")</f>
        <v>1</v>
      </c>
      <c r="AO9" s="48" t="str">
        <f t="shared" si="6"/>
        <v/>
      </c>
      <c r="AP9" s="48">
        <f>IFERROR(SUMIFS(_TECH_Industry_Templates!$E:$E,_TECH_Industry_Templates!$A:$A,'Company Profile'!$B$9,_TECH_Industry_Templates!$B:$B,"Manufacturing MES"),1)</f>
        <v>0.6</v>
      </c>
      <c r="AQ9" s="48" t="str">
        <f t="shared" si="7"/>
        <v/>
      </c>
      <c r="AR9" s="48" t="str">
        <f t="shared" si="8"/>
        <v/>
      </c>
      <c r="AS9" s="11">
        <f t="shared" si="9"/>
        <v>0</v>
      </c>
      <c r="AT9" s="11">
        <f t="shared" si="10"/>
        <v>0</v>
      </c>
    </row>
    <row r="10" spans="1:46" ht="71.25">
      <c r="A10" s="7" t="s">
        <v>4038</v>
      </c>
      <c r="B10" s="7" t="s">
        <v>1331</v>
      </c>
      <c r="C10" s="7" t="s">
        <v>4039</v>
      </c>
      <c r="D10" s="7" t="s">
        <v>3986</v>
      </c>
      <c r="E10" s="7" t="s">
        <v>3987</v>
      </c>
      <c r="F10" s="7" t="s">
        <v>4040</v>
      </c>
      <c r="G10" s="7">
        <v>5</v>
      </c>
      <c r="H10" s="153"/>
      <c r="I10" s="8" t="str">
        <f t="shared" si="0"/>
        <v/>
      </c>
      <c r="J10" s="8" t="str">
        <f t="shared" si="1"/>
        <v/>
      </c>
      <c r="K10" s="8" t="str">
        <f t="shared" si="2"/>
        <v/>
      </c>
      <c r="L10" s="7" t="str">
        <f t="shared" si="3"/>
        <v/>
      </c>
      <c r="M10" s="7" t="s">
        <v>4041</v>
      </c>
      <c r="N10" s="7" t="s">
        <v>4042</v>
      </c>
      <c r="O10" s="7" t="s">
        <v>4043</v>
      </c>
      <c r="P10" s="7" t="s">
        <v>4044</v>
      </c>
      <c r="Q10" s="7" t="s">
        <v>4045</v>
      </c>
      <c r="R10" s="7" t="s">
        <v>4046</v>
      </c>
      <c r="S10" s="7" t="s">
        <v>3995</v>
      </c>
      <c r="T10" s="7" t="s">
        <v>3996</v>
      </c>
      <c r="U10" s="7"/>
      <c r="V10" s="7" t="s">
        <v>4047</v>
      </c>
      <c r="W10" s="14">
        <v>5</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Profile'!$B$9,_TECH_Industry_Templates!$B:$B,"Manufacturing MES"),"")</f>
        <v>1</v>
      </c>
      <c r="AO10" s="48" t="str">
        <f t="shared" si="6"/>
        <v/>
      </c>
      <c r="AP10" s="48">
        <f>IFERROR(SUMIFS(_TECH_Industry_Templates!$E:$E,_TECH_Industry_Templates!$A:$A,'Company Profile'!$B$9,_TECH_Industry_Templates!$B:$B,"Manufacturing MES"),1)</f>
        <v>0.6</v>
      </c>
      <c r="AQ10" s="48" t="str">
        <f t="shared" si="7"/>
        <v/>
      </c>
      <c r="AR10" s="48" t="str">
        <f t="shared" si="8"/>
        <v/>
      </c>
      <c r="AS10" s="11">
        <f t="shared" si="9"/>
        <v>0</v>
      </c>
      <c r="AT10" s="11">
        <f t="shared" si="10"/>
        <v>0</v>
      </c>
    </row>
    <row r="11" spans="1:46" ht="71.25">
      <c r="A11" s="7" t="s">
        <v>4048</v>
      </c>
      <c r="B11" s="7" t="s">
        <v>1346</v>
      </c>
      <c r="C11" s="7" t="s">
        <v>4049</v>
      </c>
      <c r="D11" s="7" t="s">
        <v>3986</v>
      </c>
      <c r="E11" s="7" t="s">
        <v>3987</v>
      </c>
      <c r="F11" s="7" t="s">
        <v>4050</v>
      </c>
      <c r="G11" s="7">
        <v>5</v>
      </c>
      <c r="H11" s="153"/>
      <c r="I11" s="8" t="str">
        <f t="shared" si="0"/>
        <v/>
      </c>
      <c r="J11" s="8" t="str">
        <f t="shared" si="1"/>
        <v/>
      </c>
      <c r="K11" s="8" t="str">
        <f t="shared" si="2"/>
        <v/>
      </c>
      <c r="L11" s="7" t="str">
        <f t="shared" si="3"/>
        <v/>
      </c>
      <c r="M11" s="7" t="s">
        <v>4051</v>
      </c>
      <c r="N11" s="7" t="s">
        <v>4052</v>
      </c>
      <c r="O11" s="7" t="s">
        <v>4053</v>
      </c>
      <c r="P11" s="7" t="s">
        <v>4054</v>
      </c>
      <c r="Q11" s="7" t="s">
        <v>4055</v>
      </c>
      <c r="R11" s="7" t="s">
        <v>4056</v>
      </c>
      <c r="S11" s="7" t="s">
        <v>3995</v>
      </c>
      <c r="T11" s="7" t="s">
        <v>3996</v>
      </c>
      <c r="U11" s="7"/>
      <c r="V11" s="7" t="s">
        <v>4057</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Profile'!$B$9,_TECH_Industry_Templates!$B:$B,"Manufacturing MES"),"")</f>
        <v>1</v>
      </c>
      <c r="AO11" s="48" t="str">
        <f t="shared" si="6"/>
        <v/>
      </c>
      <c r="AP11" s="48">
        <f>IFERROR(SUMIFS(_TECH_Industry_Templates!$E:$E,_TECH_Industry_Templates!$A:$A,'Company Profile'!$B$9,_TECH_Industry_Templates!$B:$B,"Manufacturing MES"),1)</f>
        <v>0.6</v>
      </c>
      <c r="AQ11" s="48" t="str">
        <f t="shared" si="7"/>
        <v/>
      </c>
      <c r="AR11" s="48" t="str">
        <f t="shared" si="8"/>
        <v/>
      </c>
      <c r="AS11" s="11">
        <f t="shared" si="9"/>
        <v>0</v>
      </c>
      <c r="AT11" s="11">
        <f t="shared" si="10"/>
        <v>0</v>
      </c>
    </row>
    <row r="12" spans="1:46" ht="57">
      <c r="A12" s="7" t="s">
        <v>4058</v>
      </c>
      <c r="B12" s="7" t="s">
        <v>1346</v>
      </c>
      <c r="C12" s="7" t="s">
        <v>4059</v>
      </c>
      <c r="D12" s="7" t="s">
        <v>3986</v>
      </c>
      <c r="E12" s="7" t="s">
        <v>3987</v>
      </c>
      <c r="F12" s="7" t="s">
        <v>4060</v>
      </c>
      <c r="G12" s="7">
        <v>5</v>
      </c>
      <c r="H12" s="153"/>
      <c r="I12" s="8" t="str">
        <f t="shared" si="0"/>
        <v/>
      </c>
      <c r="J12" s="8" t="str">
        <f t="shared" si="1"/>
        <v/>
      </c>
      <c r="K12" s="8" t="str">
        <f t="shared" si="2"/>
        <v/>
      </c>
      <c r="L12" s="7" t="str">
        <f t="shared" si="3"/>
        <v/>
      </c>
      <c r="M12" s="7" t="s">
        <v>4061</v>
      </c>
      <c r="N12" s="7" t="s">
        <v>4062</v>
      </c>
      <c r="O12" s="7" t="s">
        <v>4063</v>
      </c>
      <c r="P12" s="7" t="s">
        <v>4064</v>
      </c>
      <c r="Q12" s="7" t="s">
        <v>4065</v>
      </c>
      <c r="R12" s="7" t="s">
        <v>4066</v>
      </c>
      <c r="S12" s="7" t="s">
        <v>3995</v>
      </c>
      <c r="T12" s="7" t="s">
        <v>3996</v>
      </c>
      <c r="U12" s="7"/>
      <c r="V12" s="7" t="s">
        <v>4067</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Profile'!$B$9,_TECH_Industry_Templates!$B:$B,"Manufacturing MES"),"")</f>
        <v>1</v>
      </c>
      <c r="AO12" s="48" t="str">
        <f t="shared" si="6"/>
        <v/>
      </c>
      <c r="AP12" s="48">
        <f>IFERROR(SUMIFS(_TECH_Industry_Templates!$E:$E,_TECH_Industry_Templates!$A:$A,'Company Profile'!$B$9,_TECH_Industry_Templates!$B:$B,"Manufacturing MES"),1)</f>
        <v>0.6</v>
      </c>
      <c r="AQ12" s="48" t="str">
        <f t="shared" si="7"/>
        <v/>
      </c>
      <c r="AR12" s="48" t="str">
        <f t="shared" si="8"/>
        <v/>
      </c>
      <c r="AS12" s="11">
        <f t="shared" si="9"/>
        <v>0</v>
      </c>
      <c r="AT12" s="11">
        <f t="shared" si="10"/>
        <v>0</v>
      </c>
    </row>
    <row r="13" spans="1:46" ht="57">
      <c r="A13" s="7" t="s">
        <v>4068</v>
      </c>
      <c r="B13" s="7" t="s">
        <v>1346</v>
      </c>
      <c r="C13" s="7" t="s">
        <v>4069</v>
      </c>
      <c r="D13" s="7" t="s">
        <v>3986</v>
      </c>
      <c r="E13" s="7" t="s">
        <v>3987</v>
      </c>
      <c r="F13" s="7" t="s">
        <v>4070</v>
      </c>
      <c r="G13" s="7">
        <v>5</v>
      </c>
      <c r="H13" s="153"/>
      <c r="I13" s="8" t="str">
        <f t="shared" si="0"/>
        <v/>
      </c>
      <c r="J13" s="8" t="str">
        <f t="shared" si="1"/>
        <v/>
      </c>
      <c r="K13" s="8" t="str">
        <f t="shared" si="2"/>
        <v/>
      </c>
      <c r="L13" s="7" t="str">
        <f t="shared" si="3"/>
        <v/>
      </c>
      <c r="M13" s="7" t="s">
        <v>4071</v>
      </c>
      <c r="N13" s="7" t="s">
        <v>4072</v>
      </c>
      <c r="O13" s="7" t="s">
        <v>4073</v>
      </c>
      <c r="P13" s="7" t="s">
        <v>4074</v>
      </c>
      <c r="Q13" s="7" t="s">
        <v>4075</v>
      </c>
      <c r="R13" s="7" t="s">
        <v>4076</v>
      </c>
      <c r="S13" s="7" t="s">
        <v>3995</v>
      </c>
      <c r="T13" s="7" t="s">
        <v>3996</v>
      </c>
      <c r="U13" s="7"/>
      <c r="V13" s="7" t="s">
        <v>4077</v>
      </c>
      <c r="W13" s="14">
        <v>5</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Profile'!$B$9,_TECH_Industry_Templates!$B:$B,"Manufacturing MES"),"")</f>
        <v>1</v>
      </c>
      <c r="AO13" s="48" t="str">
        <f t="shared" si="6"/>
        <v/>
      </c>
      <c r="AP13" s="48">
        <f>IFERROR(SUMIFS(_TECH_Industry_Templates!$E:$E,_TECH_Industry_Templates!$A:$A,'Company Profile'!$B$9,_TECH_Industry_Templates!$B:$B,"Manufacturing MES"),1)</f>
        <v>0.6</v>
      </c>
      <c r="AQ13" s="48" t="str">
        <f t="shared" si="7"/>
        <v/>
      </c>
      <c r="AR13" s="48" t="str">
        <f t="shared" si="8"/>
        <v/>
      </c>
      <c r="AS13" s="11">
        <f t="shared" si="9"/>
        <v>0</v>
      </c>
      <c r="AT13" s="11">
        <f t="shared" si="10"/>
        <v>0</v>
      </c>
    </row>
    <row r="14" spans="1:46" ht="71.25">
      <c r="A14" s="7" t="s">
        <v>4078</v>
      </c>
      <c r="B14" s="7" t="s">
        <v>1346</v>
      </c>
      <c r="C14" s="7" t="s">
        <v>4079</v>
      </c>
      <c r="D14" s="7" t="s">
        <v>3986</v>
      </c>
      <c r="E14" s="7" t="s">
        <v>3987</v>
      </c>
      <c r="F14" s="7" t="s">
        <v>4080</v>
      </c>
      <c r="G14" s="7">
        <v>4</v>
      </c>
      <c r="H14" s="153"/>
      <c r="I14" s="8" t="str">
        <f t="shared" si="0"/>
        <v/>
      </c>
      <c r="J14" s="8" t="str">
        <f t="shared" si="1"/>
        <v/>
      </c>
      <c r="K14" s="8" t="str">
        <f t="shared" si="2"/>
        <v/>
      </c>
      <c r="L14" s="7" t="str">
        <f t="shared" si="3"/>
        <v/>
      </c>
      <c r="M14" s="7" t="s">
        <v>4081</v>
      </c>
      <c r="N14" s="7" t="s">
        <v>4082</v>
      </c>
      <c r="O14" s="7" t="s">
        <v>4083</v>
      </c>
      <c r="P14" s="7" t="s">
        <v>4084</v>
      </c>
      <c r="Q14" s="7" t="s">
        <v>4085</v>
      </c>
      <c r="R14" s="7" t="s">
        <v>4086</v>
      </c>
      <c r="S14" s="7" t="s">
        <v>3995</v>
      </c>
      <c r="T14" s="7" t="s">
        <v>3996</v>
      </c>
      <c r="U14" s="7"/>
      <c r="V14" s="7" t="s">
        <v>4087</v>
      </c>
      <c r="W14" s="14">
        <v>5</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Profile'!$B$9,_TECH_Industry_Templates!$B:$B,"Manufacturing MES"),"")</f>
        <v>1</v>
      </c>
      <c r="AO14" s="48" t="str">
        <f t="shared" si="6"/>
        <v/>
      </c>
      <c r="AP14" s="48">
        <f>IFERROR(SUMIFS(_TECH_Industry_Templates!$E:$E,_TECH_Industry_Templates!$A:$A,'Company Profile'!$B$9,_TECH_Industry_Templates!$B:$B,"Manufacturing MES"),1)</f>
        <v>0.6</v>
      </c>
      <c r="AQ14" s="48" t="str">
        <f t="shared" si="7"/>
        <v/>
      </c>
      <c r="AR14" s="48" t="str">
        <f t="shared" si="8"/>
        <v/>
      </c>
      <c r="AS14" s="11">
        <f t="shared" si="9"/>
        <v>0</v>
      </c>
      <c r="AT14" s="11">
        <f t="shared" si="10"/>
        <v>0</v>
      </c>
    </row>
    <row r="15" spans="1:46" ht="71.25">
      <c r="A15" s="7" t="s">
        <v>4088</v>
      </c>
      <c r="B15" s="7" t="s">
        <v>1346</v>
      </c>
      <c r="C15" s="7" t="s">
        <v>4089</v>
      </c>
      <c r="D15" s="7" t="s">
        <v>3986</v>
      </c>
      <c r="E15" s="7" t="s">
        <v>3987</v>
      </c>
      <c r="F15" s="7" t="s">
        <v>4090</v>
      </c>
      <c r="G15" s="7">
        <v>3</v>
      </c>
      <c r="H15" s="153"/>
      <c r="I15" s="8" t="str">
        <f t="shared" si="0"/>
        <v/>
      </c>
      <c r="J15" s="8" t="str">
        <f t="shared" si="1"/>
        <v/>
      </c>
      <c r="K15" s="8" t="str">
        <f t="shared" si="2"/>
        <v/>
      </c>
      <c r="L15" s="7" t="str">
        <f t="shared" si="3"/>
        <v/>
      </c>
      <c r="M15" s="7" t="s">
        <v>4091</v>
      </c>
      <c r="N15" s="7" t="s">
        <v>4092</v>
      </c>
      <c r="O15" s="7" t="s">
        <v>4093</v>
      </c>
      <c r="P15" s="7" t="s">
        <v>4094</v>
      </c>
      <c r="Q15" s="7" t="s">
        <v>4095</v>
      </c>
      <c r="R15" s="7" t="s">
        <v>4096</v>
      </c>
      <c r="S15" s="7" t="s">
        <v>3995</v>
      </c>
      <c r="T15" s="7" t="s">
        <v>3996</v>
      </c>
      <c r="U15" s="7"/>
      <c r="V15" s="7" t="s">
        <v>4097</v>
      </c>
      <c r="W15" s="14">
        <v>5</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Profile'!$B$9,_TECH_Industry_Templates!$B:$B,"Manufacturing MES"),"")</f>
        <v>1</v>
      </c>
      <c r="AO15" s="48" t="str">
        <f t="shared" si="6"/>
        <v/>
      </c>
      <c r="AP15" s="48">
        <f>IFERROR(SUMIFS(_TECH_Industry_Templates!$E:$E,_TECH_Industry_Templates!$A:$A,'Company Profile'!$B$9,_TECH_Industry_Templates!$B:$B,"Manufacturing MES"),1)</f>
        <v>0.6</v>
      </c>
      <c r="AQ15" s="48" t="str">
        <f t="shared" si="7"/>
        <v/>
      </c>
      <c r="AR15" s="48" t="str">
        <f t="shared" si="8"/>
        <v/>
      </c>
      <c r="AS15" s="11">
        <f t="shared" si="9"/>
        <v>0</v>
      </c>
      <c r="AT15" s="11">
        <f t="shared" si="10"/>
        <v>0</v>
      </c>
    </row>
    <row r="16" spans="1:46" ht="71.25">
      <c r="A16" s="7" t="s">
        <v>4098</v>
      </c>
      <c r="B16" s="7" t="s">
        <v>1346</v>
      </c>
      <c r="C16" s="7" t="s">
        <v>4099</v>
      </c>
      <c r="D16" s="7" t="s">
        <v>3986</v>
      </c>
      <c r="E16" s="7" t="s">
        <v>3987</v>
      </c>
      <c r="F16" s="7" t="s">
        <v>4100</v>
      </c>
      <c r="G16" s="7">
        <v>5</v>
      </c>
      <c r="H16" s="153"/>
      <c r="I16" s="8" t="str">
        <f t="shared" si="0"/>
        <v/>
      </c>
      <c r="J16" s="8" t="str">
        <f t="shared" si="1"/>
        <v/>
      </c>
      <c r="K16" s="8" t="str">
        <f t="shared" si="2"/>
        <v/>
      </c>
      <c r="L16" s="7" t="str">
        <f t="shared" si="3"/>
        <v/>
      </c>
      <c r="M16" s="7" t="s">
        <v>4101</v>
      </c>
      <c r="N16" s="7" t="s">
        <v>4102</v>
      </c>
      <c r="O16" s="7" t="s">
        <v>4103</v>
      </c>
      <c r="P16" s="7" t="s">
        <v>4104</v>
      </c>
      <c r="Q16" s="7" t="s">
        <v>4105</v>
      </c>
      <c r="R16" s="7" t="s">
        <v>4106</v>
      </c>
      <c r="S16" s="7" t="s">
        <v>3995</v>
      </c>
      <c r="T16" s="7" t="s">
        <v>3996</v>
      </c>
      <c r="U16" s="7"/>
      <c r="V16" s="7" t="s">
        <v>4107</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Profile'!$B$9,_TECH_Industry_Templates!$B:$B,"Manufacturing MES"),"")</f>
        <v>1</v>
      </c>
      <c r="AO16" s="48" t="str">
        <f t="shared" si="6"/>
        <v/>
      </c>
      <c r="AP16" s="48">
        <f>IFERROR(SUMIFS(_TECH_Industry_Templates!$E:$E,_TECH_Industry_Templates!$A:$A,'Company Profile'!$B$9,_TECH_Industry_Templates!$B:$B,"Manufacturing MES"),1)</f>
        <v>0.6</v>
      </c>
      <c r="AQ16" s="48" t="str">
        <f t="shared" si="7"/>
        <v/>
      </c>
      <c r="AR16" s="48" t="str">
        <f t="shared" si="8"/>
        <v/>
      </c>
      <c r="AS16" s="11">
        <f t="shared" si="9"/>
        <v>0</v>
      </c>
      <c r="AT16" s="11">
        <f t="shared" si="10"/>
        <v>0</v>
      </c>
    </row>
    <row r="17" spans="1:46" ht="71.25">
      <c r="A17" s="7" t="s">
        <v>4108</v>
      </c>
      <c r="B17" s="7" t="s">
        <v>1354</v>
      </c>
      <c r="C17" s="7" t="s">
        <v>4109</v>
      </c>
      <c r="D17" s="7" t="s">
        <v>3986</v>
      </c>
      <c r="E17" s="7" t="s">
        <v>3987</v>
      </c>
      <c r="F17" s="7" t="s">
        <v>4110</v>
      </c>
      <c r="G17" s="7">
        <v>5</v>
      </c>
      <c r="H17" s="153"/>
      <c r="I17" s="8" t="str">
        <f t="shared" si="0"/>
        <v/>
      </c>
      <c r="J17" s="8" t="str">
        <f t="shared" si="1"/>
        <v/>
      </c>
      <c r="K17" s="8" t="str">
        <f t="shared" si="2"/>
        <v/>
      </c>
      <c r="L17" s="7" t="str">
        <f t="shared" si="3"/>
        <v/>
      </c>
      <c r="M17" s="7" t="s">
        <v>4111</v>
      </c>
      <c r="N17" s="7" t="s">
        <v>4112</v>
      </c>
      <c r="O17" s="7" t="s">
        <v>4113</v>
      </c>
      <c r="P17" s="7" t="s">
        <v>4114</v>
      </c>
      <c r="Q17" s="7" t="s">
        <v>4115</v>
      </c>
      <c r="R17" s="7" t="s">
        <v>4116</v>
      </c>
      <c r="S17" s="7" t="s">
        <v>3995</v>
      </c>
      <c r="T17" s="7" t="s">
        <v>3996</v>
      </c>
      <c r="U17" s="7"/>
      <c r="V17" s="7" t="s">
        <v>4117</v>
      </c>
      <c r="W17" s="14">
        <v>5</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Profile'!$B$9,_TECH_Industry_Templates!$B:$B,"Manufacturing MES"),"")</f>
        <v>1</v>
      </c>
      <c r="AO17" s="48" t="str">
        <f t="shared" si="6"/>
        <v/>
      </c>
      <c r="AP17" s="48">
        <f>IFERROR(SUMIFS(_TECH_Industry_Templates!$E:$E,_TECH_Industry_Templates!$A:$A,'Company Profile'!$B$9,_TECH_Industry_Templates!$B:$B,"Manufacturing MES"),1)</f>
        <v>0.6</v>
      </c>
      <c r="AQ17" s="48" t="str">
        <f t="shared" si="7"/>
        <v/>
      </c>
      <c r="AR17" s="48" t="str">
        <f t="shared" si="8"/>
        <v/>
      </c>
      <c r="AS17" s="11">
        <f t="shared" si="9"/>
        <v>0</v>
      </c>
      <c r="AT17" s="11">
        <f t="shared" si="10"/>
        <v>0</v>
      </c>
    </row>
    <row r="18" spans="1:46" ht="71.25">
      <c r="A18" s="7" t="s">
        <v>4118</v>
      </c>
      <c r="B18" s="7" t="s">
        <v>1354</v>
      </c>
      <c r="C18" s="7" t="s">
        <v>4119</v>
      </c>
      <c r="D18" s="7" t="s">
        <v>3986</v>
      </c>
      <c r="E18" s="7" t="s">
        <v>3987</v>
      </c>
      <c r="F18" s="7" t="s">
        <v>4120</v>
      </c>
      <c r="G18" s="7">
        <v>5</v>
      </c>
      <c r="H18" s="153"/>
      <c r="I18" s="8" t="str">
        <f t="shared" si="0"/>
        <v/>
      </c>
      <c r="J18" s="8" t="str">
        <f t="shared" si="1"/>
        <v/>
      </c>
      <c r="K18" s="8" t="str">
        <f t="shared" si="2"/>
        <v/>
      </c>
      <c r="L18" s="7" t="str">
        <f t="shared" si="3"/>
        <v/>
      </c>
      <c r="M18" s="7" t="s">
        <v>4121</v>
      </c>
      <c r="N18" s="7" t="s">
        <v>4122</v>
      </c>
      <c r="O18" s="7" t="s">
        <v>4123</v>
      </c>
      <c r="P18" s="7" t="s">
        <v>4124</v>
      </c>
      <c r="Q18" s="7" t="s">
        <v>4125</v>
      </c>
      <c r="R18" s="7" t="s">
        <v>4126</v>
      </c>
      <c r="S18" s="7" t="s">
        <v>3995</v>
      </c>
      <c r="T18" s="7" t="s">
        <v>3996</v>
      </c>
      <c r="U18" s="7"/>
      <c r="V18" s="7" t="s">
        <v>4127</v>
      </c>
      <c r="W18" s="14">
        <v>5</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Profile'!$B$9,_TECH_Industry_Templates!$B:$B,"Manufacturing MES"),"")</f>
        <v>1</v>
      </c>
      <c r="AO18" s="48" t="str">
        <f t="shared" si="6"/>
        <v/>
      </c>
      <c r="AP18" s="48">
        <f>IFERROR(SUMIFS(_TECH_Industry_Templates!$E:$E,_TECH_Industry_Templates!$A:$A,'Company Profile'!$B$9,_TECH_Industry_Templates!$B:$B,"Manufacturing MES"),1)</f>
        <v>0.6</v>
      </c>
      <c r="AQ18" s="48" t="str">
        <f t="shared" si="7"/>
        <v/>
      </c>
      <c r="AR18" s="48" t="str">
        <f t="shared" si="8"/>
        <v/>
      </c>
      <c r="AS18" s="11">
        <f t="shared" si="9"/>
        <v>0</v>
      </c>
      <c r="AT18" s="11">
        <f t="shared" si="10"/>
        <v>0</v>
      </c>
    </row>
    <row r="19" spans="1:46" ht="71.25">
      <c r="A19" s="7" t="s">
        <v>4128</v>
      </c>
      <c r="B19" s="7" t="s">
        <v>1354</v>
      </c>
      <c r="C19" s="7" t="s">
        <v>4129</v>
      </c>
      <c r="D19" s="7" t="s">
        <v>3986</v>
      </c>
      <c r="E19" s="7" t="s">
        <v>3987</v>
      </c>
      <c r="F19" s="7" t="s">
        <v>4130</v>
      </c>
      <c r="G19" s="7">
        <v>5</v>
      </c>
      <c r="H19" s="153"/>
      <c r="I19" s="8" t="str">
        <f t="shared" si="0"/>
        <v/>
      </c>
      <c r="J19" s="8" t="str">
        <f t="shared" si="1"/>
        <v/>
      </c>
      <c r="K19" s="8" t="str">
        <f t="shared" si="2"/>
        <v/>
      </c>
      <c r="L19" s="7" t="str">
        <f t="shared" si="3"/>
        <v/>
      </c>
      <c r="M19" s="7" t="s">
        <v>4131</v>
      </c>
      <c r="N19" s="7" t="s">
        <v>4132</v>
      </c>
      <c r="O19" s="7" t="s">
        <v>4133</v>
      </c>
      <c r="P19" s="7" t="s">
        <v>4134</v>
      </c>
      <c r="Q19" s="7" t="s">
        <v>4135</v>
      </c>
      <c r="R19" s="7" t="s">
        <v>4136</v>
      </c>
      <c r="S19" s="7" t="s">
        <v>3995</v>
      </c>
      <c r="T19" s="7" t="s">
        <v>3996</v>
      </c>
      <c r="U19" s="7"/>
      <c r="V19" s="7" t="s">
        <v>4137</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Profile'!$B$9,_TECH_Industry_Templates!$B:$B,"Manufacturing MES"),"")</f>
        <v>1</v>
      </c>
      <c r="AO19" s="48" t="str">
        <f t="shared" si="6"/>
        <v/>
      </c>
      <c r="AP19" s="48">
        <f>IFERROR(SUMIFS(_TECH_Industry_Templates!$E:$E,_TECH_Industry_Templates!$A:$A,'Company Profile'!$B$9,_TECH_Industry_Templates!$B:$B,"Manufacturing MES"),1)</f>
        <v>0.6</v>
      </c>
      <c r="AQ19" s="48" t="str">
        <f t="shared" si="7"/>
        <v/>
      </c>
      <c r="AR19" s="48" t="str">
        <f t="shared" si="8"/>
        <v/>
      </c>
      <c r="AS19" s="11">
        <f t="shared" si="9"/>
        <v>0</v>
      </c>
      <c r="AT19" s="11">
        <f t="shared" si="10"/>
        <v>0</v>
      </c>
    </row>
    <row r="20" spans="1:46" ht="71.25">
      <c r="A20" s="7" t="s">
        <v>4138</v>
      </c>
      <c r="B20" s="7" t="s">
        <v>1354</v>
      </c>
      <c r="C20" s="7" t="s">
        <v>4139</v>
      </c>
      <c r="D20" s="7" t="s">
        <v>3986</v>
      </c>
      <c r="E20" s="7" t="s">
        <v>3987</v>
      </c>
      <c r="F20" s="7" t="s">
        <v>4140</v>
      </c>
      <c r="G20" s="7">
        <v>3</v>
      </c>
      <c r="H20" s="153"/>
      <c r="I20" s="8" t="str">
        <f t="shared" si="0"/>
        <v/>
      </c>
      <c r="J20" s="8" t="str">
        <f t="shared" si="1"/>
        <v/>
      </c>
      <c r="K20" s="8" t="str">
        <f t="shared" si="2"/>
        <v/>
      </c>
      <c r="L20" s="7" t="str">
        <f t="shared" si="3"/>
        <v/>
      </c>
      <c r="M20" s="7" t="s">
        <v>4141</v>
      </c>
      <c r="N20" s="7" t="s">
        <v>4142</v>
      </c>
      <c r="O20" s="7" t="s">
        <v>4143</v>
      </c>
      <c r="P20" s="7" t="s">
        <v>4144</v>
      </c>
      <c r="Q20" s="7" t="s">
        <v>4145</v>
      </c>
      <c r="R20" s="7" t="s">
        <v>4146</v>
      </c>
      <c r="S20" s="7" t="s">
        <v>3995</v>
      </c>
      <c r="T20" s="7" t="s">
        <v>3996</v>
      </c>
      <c r="U20" s="7"/>
      <c r="V20" s="7" t="s">
        <v>4147</v>
      </c>
      <c r="W20" s="14">
        <v>5</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Profile'!$B$9,_TECH_Industry_Templates!$B:$B,"Manufacturing MES"),"")</f>
        <v>1</v>
      </c>
      <c r="AO20" s="48" t="str">
        <f t="shared" si="6"/>
        <v/>
      </c>
      <c r="AP20" s="48">
        <f>IFERROR(SUMIFS(_TECH_Industry_Templates!$E:$E,_TECH_Industry_Templates!$A:$A,'Company Profile'!$B$9,_TECH_Industry_Templates!$B:$B,"Manufacturing MES"),1)</f>
        <v>0.6</v>
      </c>
      <c r="AQ20" s="48" t="str">
        <f t="shared" si="7"/>
        <v/>
      </c>
      <c r="AR20" s="48" t="str">
        <f t="shared" si="8"/>
        <v/>
      </c>
      <c r="AS20" s="11">
        <f t="shared" si="9"/>
        <v>0</v>
      </c>
      <c r="AT20" s="11">
        <f t="shared" si="10"/>
        <v>0</v>
      </c>
    </row>
    <row r="21" spans="1:46" ht="57">
      <c r="A21" s="7" t="s">
        <v>4148</v>
      </c>
      <c r="B21" s="7" t="s">
        <v>1354</v>
      </c>
      <c r="C21" s="7" t="s">
        <v>4149</v>
      </c>
      <c r="D21" s="7" t="s">
        <v>3986</v>
      </c>
      <c r="E21" s="7" t="s">
        <v>3987</v>
      </c>
      <c r="F21" s="7" t="s">
        <v>4150</v>
      </c>
      <c r="G21" s="7">
        <v>5</v>
      </c>
      <c r="H21" s="153"/>
      <c r="I21" s="8" t="str">
        <f t="shared" si="0"/>
        <v/>
      </c>
      <c r="J21" s="8" t="str">
        <f t="shared" si="1"/>
        <v/>
      </c>
      <c r="K21" s="8" t="str">
        <f t="shared" si="2"/>
        <v/>
      </c>
      <c r="L21" s="7" t="str">
        <f t="shared" si="3"/>
        <v/>
      </c>
      <c r="M21" s="7" t="s">
        <v>4151</v>
      </c>
      <c r="N21" s="7" t="s">
        <v>4152</v>
      </c>
      <c r="O21" s="7" t="s">
        <v>4153</v>
      </c>
      <c r="P21" s="7" t="s">
        <v>4154</v>
      </c>
      <c r="Q21" s="7" t="s">
        <v>4155</v>
      </c>
      <c r="R21" s="7" t="s">
        <v>4156</v>
      </c>
      <c r="S21" s="7" t="s">
        <v>3995</v>
      </c>
      <c r="T21" s="7" t="s">
        <v>3996</v>
      </c>
      <c r="U21" s="7"/>
      <c r="V21" s="7" t="s">
        <v>4157</v>
      </c>
      <c r="W21" s="14">
        <v>5</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Profile'!$B$9,_TECH_Industry_Templates!$B:$B,"Manufacturing MES"),"")</f>
        <v>1</v>
      </c>
      <c r="AO21" s="48" t="str">
        <f t="shared" si="6"/>
        <v/>
      </c>
      <c r="AP21" s="48">
        <f>IFERROR(SUMIFS(_TECH_Industry_Templates!$E:$E,_TECH_Industry_Templates!$A:$A,'Company Profile'!$B$9,_TECH_Industry_Templates!$B:$B,"Manufacturing MES"),1)</f>
        <v>0.6</v>
      </c>
      <c r="AQ21" s="48" t="str">
        <f t="shared" si="7"/>
        <v/>
      </c>
      <c r="AR21" s="48" t="str">
        <f t="shared" si="8"/>
        <v/>
      </c>
      <c r="AS21" s="11">
        <f t="shared" si="9"/>
        <v>0</v>
      </c>
      <c r="AT21" s="11">
        <f t="shared" si="10"/>
        <v>0</v>
      </c>
    </row>
    <row r="22" spans="1:46" ht="71.25">
      <c r="A22" s="7" t="s">
        <v>4158</v>
      </c>
      <c r="B22" s="7" t="s">
        <v>1354</v>
      </c>
      <c r="C22" s="7" t="s">
        <v>4159</v>
      </c>
      <c r="D22" s="7" t="s">
        <v>3986</v>
      </c>
      <c r="E22" s="7" t="s">
        <v>3987</v>
      </c>
      <c r="F22" s="7" t="s">
        <v>4160</v>
      </c>
      <c r="G22" s="7">
        <v>5</v>
      </c>
      <c r="H22" s="153"/>
      <c r="I22" s="8" t="str">
        <f t="shared" si="0"/>
        <v/>
      </c>
      <c r="J22" s="8" t="str">
        <f t="shared" si="1"/>
        <v/>
      </c>
      <c r="K22" s="8" t="str">
        <f t="shared" si="2"/>
        <v/>
      </c>
      <c r="L22" s="7" t="str">
        <f t="shared" si="3"/>
        <v/>
      </c>
      <c r="M22" s="7" t="s">
        <v>4161</v>
      </c>
      <c r="N22" s="7" t="s">
        <v>4162</v>
      </c>
      <c r="O22" s="7" t="s">
        <v>4163</v>
      </c>
      <c r="P22" s="7" t="s">
        <v>4164</v>
      </c>
      <c r="Q22" s="7" t="s">
        <v>4165</v>
      </c>
      <c r="R22" s="7" t="s">
        <v>4166</v>
      </c>
      <c r="S22" s="7" t="s">
        <v>3995</v>
      </c>
      <c r="T22" s="7" t="s">
        <v>3996</v>
      </c>
      <c r="U22" s="7"/>
      <c r="V22" s="7" t="s">
        <v>4167</v>
      </c>
      <c r="W22" s="14">
        <v>5</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Profile'!$B$9,_TECH_Industry_Templates!$B:$B,"Manufacturing MES"),"")</f>
        <v>1</v>
      </c>
      <c r="AO22" s="48" t="str">
        <f t="shared" si="6"/>
        <v/>
      </c>
      <c r="AP22" s="48">
        <f>IFERROR(SUMIFS(_TECH_Industry_Templates!$E:$E,_TECH_Industry_Templates!$A:$A,'Company Profile'!$B$9,_TECH_Industry_Templates!$B:$B,"Manufacturing MES"),1)</f>
        <v>0.6</v>
      </c>
      <c r="AQ22" s="48" t="str">
        <f t="shared" si="7"/>
        <v/>
      </c>
      <c r="AR22" s="48" t="str">
        <f t="shared" si="8"/>
        <v/>
      </c>
      <c r="AS22" s="11">
        <f t="shared" si="9"/>
        <v>0</v>
      </c>
      <c r="AT22" s="11">
        <f t="shared" si="10"/>
        <v>0</v>
      </c>
    </row>
    <row r="23" spans="1:46" ht="71.25">
      <c r="A23" s="7" t="s">
        <v>4168</v>
      </c>
      <c r="B23" s="7" t="s">
        <v>1362</v>
      </c>
      <c r="C23" s="7" t="s">
        <v>4169</v>
      </c>
      <c r="D23" s="7" t="s">
        <v>3986</v>
      </c>
      <c r="E23" s="7" t="s">
        <v>3987</v>
      </c>
      <c r="F23" s="7" t="s">
        <v>4170</v>
      </c>
      <c r="G23" s="7">
        <v>5</v>
      </c>
      <c r="H23" s="153"/>
      <c r="I23" s="8" t="str">
        <f t="shared" si="0"/>
        <v/>
      </c>
      <c r="J23" s="8" t="str">
        <f t="shared" si="1"/>
        <v/>
      </c>
      <c r="K23" s="8" t="str">
        <f t="shared" si="2"/>
        <v/>
      </c>
      <c r="L23" s="7" t="str">
        <f t="shared" si="3"/>
        <v/>
      </c>
      <c r="M23" s="7" t="s">
        <v>4171</v>
      </c>
      <c r="N23" s="7" t="s">
        <v>4172</v>
      </c>
      <c r="O23" s="7" t="s">
        <v>4173</v>
      </c>
      <c r="P23" s="7" t="s">
        <v>4174</v>
      </c>
      <c r="Q23" s="7" t="s">
        <v>4175</v>
      </c>
      <c r="R23" s="7" t="s">
        <v>4176</v>
      </c>
      <c r="S23" s="7" t="s">
        <v>3995</v>
      </c>
      <c r="T23" s="7" t="s">
        <v>3996</v>
      </c>
      <c r="U23" s="7"/>
      <c r="V23" s="7" t="s">
        <v>4177</v>
      </c>
      <c r="W23" s="14">
        <v>5</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Profile'!$B$9,_TECH_Industry_Templates!$B:$B,"Manufacturing MES"),"")</f>
        <v>1</v>
      </c>
      <c r="AO23" s="48" t="str">
        <f t="shared" si="6"/>
        <v/>
      </c>
      <c r="AP23" s="48">
        <f>IFERROR(SUMIFS(_TECH_Industry_Templates!$E:$E,_TECH_Industry_Templates!$A:$A,'Company Profile'!$B$9,_TECH_Industry_Templates!$B:$B,"Manufacturing MES"),1)</f>
        <v>0.6</v>
      </c>
      <c r="AQ23" s="48" t="str">
        <f t="shared" si="7"/>
        <v/>
      </c>
      <c r="AR23" s="48" t="str">
        <f t="shared" si="8"/>
        <v/>
      </c>
      <c r="AS23" s="11">
        <f t="shared" si="9"/>
        <v>0</v>
      </c>
      <c r="AT23" s="11">
        <f t="shared" si="10"/>
        <v>0</v>
      </c>
    </row>
    <row r="24" spans="1:46" ht="71.25">
      <c r="A24" s="7" t="s">
        <v>4178</v>
      </c>
      <c r="B24" s="7" t="s">
        <v>1362</v>
      </c>
      <c r="C24" s="7" t="s">
        <v>4179</v>
      </c>
      <c r="D24" s="7" t="s">
        <v>3986</v>
      </c>
      <c r="E24" s="7" t="s">
        <v>3987</v>
      </c>
      <c r="F24" s="7" t="s">
        <v>4180</v>
      </c>
      <c r="G24" s="7">
        <v>3</v>
      </c>
      <c r="H24" s="153"/>
      <c r="I24" s="8" t="str">
        <f t="shared" si="0"/>
        <v/>
      </c>
      <c r="J24" s="8" t="str">
        <f t="shared" si="1"/>
        <v/>
      </c>
      <c r="K24" s="8" t="str">
        <f t="shared" si="2"/>
        <v/>
      </c>
      <c r="L24" s="7" t="str">
        <f t="shared" si="3"/>
        <v/>
      </c>
      <c r="M24" s="7" t="s">
        <v>4181</v>
      </c>
      <c r="N24" s="7" t="s">
        <v>4182</v>
      </c>
      <c r="O24" s="7" t="s">
        <v>4183</v>
      </c>
      <c r="P24" s="7" t="s">
        <v>4184</v>
      </c>
      <c r="Q24" s="7" t="s">
        <v>4185</v>
      </c>
      <c r="R24" s="7" t="s">
        <v>4186</v>
      </c>
      <c r="S24" s="7" t="s">
        <v>3995</v>
      </c>
      <c r="T24" s="7" t="s">
        <v>3996</v>
      </c>
      <c r="U24" s="7"/>
      <c r="V24" s="7" t="s">
        <v>4187</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Profile'!$B$9,_TECH_Industry_Templates!$B:$B,"Manufacturing MES"),"")</f>
        <v>1</v>
      </c>
      <c r="AO24" s="48" t="str">
        <f t="shared" si="6"/>
        <v/>
      </c>
      <c r="AP24" s="48">
        <f>IFERROR(SUMIFS(_TECH_Industry_Templates!$E:$E,_TECH_Industry_Templates!$A:$A,'Company Profile'!$B$9,_TECH_Industry_Templates!$B:$B,"Manufacturing MES"),1)</f>
        <v>0.6</v>
      </c>
      <c r="AQ24" s="48" t="str">
        <f t="shared" si="7"/>
        <v/>
      </c>
      <c r="AR24" s="48" t="str">
        <f t="shared" si="8"/>
        <v/>
      </c>
      <c r="AS24" s="11">
        <f t="shared" si="9"/>
        <v>0</v>
      </c>
      <c r="AT24" s="11">
        <f t="shared" si="10"/>
        <v>0</v>
      </c>
    </row>
    <row r="25" spans="1:46" ht="71.25">
      <c r="A25" s="7" t="s">
        <v>4188</v>
      </c>
      <c r="B25" s="7" t="s">
        <v>1362</v>
      </c>
      <c r="C25" s="7" t="s">
        <v>4189</v>
      </c>
      <c r="D25" s="7" t="s">
        <v>3986</v>
      </c>
      <c r="E25" s="7" t="s">
        <v>3987</v>
      </c>
      <c r="F25" s="7" t="s">
        <v>4190</v>
      </c>
      <c r="G25" s="7">
        <v>5</v>
      </c>
      <c r="H25" s="153"/>
      <c r="I25" s="8" t="str">
        <f t="shared" si="0"/>
        <v/>
      </c>
      <c r="J25" s="8" t="str">
        <f t="shared" si="1"/>
        <v/>
      </c>
      <c r="K25" s="8" t="str">
        <f t="shared" si="2"/>
        <v/>
      </c>
      <c r="L25" s="7" t="str">
        <f t="shared" si="3"/>
        <v/>
      </c>
      <c r="M25" s="7" t="s">
        <v>4191</v>
      </c>
      <c r="N25" s="7" t="s">
        <v>4192</v>
      </c>
      <c r="O25" s="7" t="s">
        <v>4193</v>
      </c>
      <c r="P25" s="7" t="s">
        <v>4194</v>
      </c>
      <c r="Q25" s="7" t="s">
        <v>4195</v>
      </c>
      <c r="R25" s="7" t="s">
        <v>4196</v>
      </c>
      <c r="S25" s="7" t="s">
        <v>3995</v>
      </c>
      <c r="T25" s="7" t="s">
        <v>3996</v>
      </c>
      <c r="U25" s="7"/>
      <c r="V25" s="7" t="s">
        <v>4197</v>
      </c>
      <c r="W25" s="14">
        <v>5</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Profile'!$B$9,_TECH_Industry_Templates!$B:$B,"Manufacturing MES"),"")</f>
        <v>1</v>
      </c>
      <c r="AO25" s="48" t="str">
        <f t="shared" si="6"/>
        <v/>
      </c>
      <c r="AP25" s="48">
        <f>IFERROR(SUMIFS(_TECH_Industry_Templates!$E:$E,_TECH_Industry_Templates!$A:$A,'Company Profile'!$B$9,_TECH_Industry_Templates!$B:$B,"Manufacturing MES"),1)</f>
        <v>0.6</v>
      </c>
      <c r="AQ25" s="48" t="str">
        <f t="shared" si="7"/>
        <v/>
      </c>
      <c r="AR25" s="48" t="str">
        <f t="shared" si="8"/>
        <v/>
      </c>
      <c r="AS25" s="11">
        <f t="shared" si="9"/>
        <v>0</v>
      </c>
      <c r="AT25" s="11">
        <f t="shared" si="10"/>
        <v>0</v>
      </c>
    </row>
    <row r="26" spans="1:46" ht="71.25">
      <c r="A26" s="7" t="s">
        <v>4198</v>
      </c>
      <c r="B26" s="7" t="s">
        <v>1362</v>
      </c>
      <c r="C26" s="7" t="s">
        <v>4199</v>
      </c>
      <c r="D26" s="7" t="s">
        <v>3986</v>
      </c>
      <c r="E26" s="7" t="s">
        <v>3987</v>
      </c>
      <c r="F26" s="7" t="s">
        <v>4200</v>
      </c>
      <c r="G26" s="7">
        <v>5</v>
      </c>
      <c r="H26" s="153"/>
      <c r="I26" s="8" t="str">
        <f t="shared" si="0"/>
        <v/>
      </c>
      <c r="J26" s="8" t="str">
        <f t="shared" si="1"/>
        <v/>
      </c>
      <c r="K26" s="8" t="str">
        <f t="shared" si="2"/>
        <v/>
      </c>
      <c r="L26" s="7" t="str">
        <f t="shared" si="3"/>
        <v/>
      </c>
      <c r="M26" s="7" t="s">
        <v>4201</v>
      </c>
      <c r="N26" s="7" t="s">
        <v>4202</v>
      </c>
      <c r="O26" s="7" t="s">
        <v>4203</v>
      </c>
      <c r="P26" s="7" t="s">
        <v>4204</v>
      </c>
      <c r="Q26" s="7" t="s">
        <v>4205</v>
      </c>
      <c r="R26" s="7" t="s">
        <v>4206</v>
      </c>
      <c r="S26" s="7" t="s">
        <v>3995</v>
      </c>
      <c r="T26" s="7" t="s">
        <v>3996</v>
      </c>
      <c r="U26" s="7"/>
      <c r="V26" s="7" t="s">
        <v>4207</v>
      </c>
      <c r="W26" s="14">
        <v>5</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Profile'!$B$9,_TECH_Industry_Templates!$B:$B,"Manufacturing MES"),"")</f>
        <v>1</v>
      </c>
      <c r="AO26" s="48" t="str">
        <f t="shared" si="6"/>
        <v/>
      </c>
      <c r="AP26" s="48">
        <f>IFERROR(SUMIFS(_TECH_Industry_Templates!$E:$E,_TECH_Industry_Templates!$A:$A,'Company Profile'!$B$9,_TECH_Industry_Templates!$B:$B,"Manufacturing MES"),1)</f>
        <v>0.6</v>
      </c>
      <c r="AQ26" s="48" t="str">
        <f t="shared" si="7"/>
        <v/>
      </c>
      <c r="AR26" s="48" t="str">
        <f t="shared" si="8"/>
        <v/>
      </c>
      <c r="AS26" s="11">
        <f t="shared" si="9"/>
        <v>0</v>
      </c>
      <c r="AT26" s="11">
        <f t="shared" si="10"/>
        <v>0</v>
      </c>
    </row>
    <row r="27" spans="1:46" ht="57">
      <c r="A27" s="7" t="s">
        <v>4208</v>
      </c>
      <c r="B27" s="7" t="s">
        <v>1362</v>
      </c>
      <c r="C27" s="7" t="s">
        <v>4209</v>
      </c>
      <c r="D27" s="7" t="s">
        <v>3986</v>
      </c>
      <c r="E27" s="7" t="s">
        <v>3987</v>
      </c>
      <c r="F27" s="7" t="s">
        <v>4210</v>
      </c>
      <c r="G27" s="7">
        <v>5</v>
      </c>
      <c r="H27" s="153"/>
      <c r="I27" s="8" t="str">
        <f t="shared" si="0"/>
        <v/>
      </c>
      <c r="J27" s="8" t="str">
        <f t="shared" si="1"/>
        <v/>
      </c>
      <c r="K27" s="8" t="str">
        <f t="shared" si="2"/>
        <v/>
      </c>
      <c r="L27" s="7" t="str">
        <f t="shared" si="3"/>
        <v/>
      </c>
      <c r="M27" s="7" t="s">
        <v>4211</v>
      </c>
      <c r="N27" s="7" t="s">
        <v>4212</v>
      </c>
      <c r="O27" s="7" t="s">
        <v>4213</v>
      </c>
      <c r="P27" s="7" t="s">
        <v>4214</v>
      </c>
      <c r="Q27" s="7" t="s">
        <v>4215</v>
      </c>
      <c r="R27" s="7" t="s">
        <v>4216</v>
      </c>
      <c r="S27" s="7" t="s">
        <v>3995</v>
      </c>
      <c r="T27" s="7" t="s">
        <v>3996</v>
      </c>
      <c r="U27" s="7"/>
      <c r="V27" s="7" t="s">
        <v>4217</v>
      </c>
      <c r="W27" s="14">
        <v>5</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Profile'!$B$9,_TECH_Industry_Templates!$B:$B,"Manufacturing MES"),"")</f>
        <v>1</v>
      </c>
      <c r="AO27" s="48" t="str">
        <f t="shared" si="6"/>
        <v/>
      </c>
      <c r="AP27" s="48">
        <f>IFERROR(SUMIFS(_TECH_Industry_Templates!$E:$E,_TECH_Industry_Templates!$A:$A,'Company Profile'!$B$9,_TECH_Industry_Templates!$B:$B,"Manufacturing MES"),1)</f>
        <v>0.6</v>
      </c>
      <c r="AQ27" s="48" t="str">
        <f t="shared" si="7"/>
        <v/>
      </c>
      <c r="AR27" s="48" t="str">
        <f t="shared" si="8"/>
        <v/>
      </c>
      <c r="AS27" s="11">
        <f t="shared" si="9"/>
        <v>0</v>
      </c>
      <c r="AT27" s="11">
        <f t="shared" si="10"/>
        <v>0</v>
      </c>
    </row>
    <row r="28" spans="1:46" ht="57">
      <c r="A28" s="7" t="s">
        <v>4218</v>
      </c>
      <c r="B28" s="7" t="s">
        <v>1362</v>
      </c>
      <c r="C28" s="7" t="s">
        <v>4219</v>
      </c>
      <c r="D28" s="7" t="s">
        <v>3986</v>
      </c>
      <c r="E28" s="7" t="s">
        <v>3987</v>
      </c>
      <c r="F28" s="7" t="s">
        <v>4220</v>
      </c>
      <c r="G28" s="7">
        <v>3</v>
      </c>
      <c r="H28" s="153"/>
      <c r="I28" s="8" t="str">
        <f t="shared" si="0"/>
        <v/>
      </c>
      <c r="J28" s="8" t="str">
        <f t="shared" si="1"/>
        <v/>
      </c>
      <c r="K28" s="8" t="str">
        <f t="shared" si="2"/>
        <v/>
      </c>
      <c r="L28" s="7" t="str">
        <f t="shared" si="3"/>
        <v/>
      </c>
      <c r="M28" s="7" t="s">
        <v>4221</v>
      </c>
      <c r="N28" s="7" t="s">
        <v>4222</v>
      </c>
      <c r="O28" s="7" t="s">
        <v>4223</v>
      </c>
      <c r="P28" s="7" t="s">
        <v>4224</v>
      </c>
      <c r="Q28" s="7" t="s">
        <v>4225</v>
      </c>
      <c r="R28" s="7" t="s">
        <v>4226</v>
      </c>
      <c r="S28" s="7" t="s">
        <v>3995</v>
      </c>
      <c r="T28" s="7" t="s">
        <v>3996</v>
      </c>
      <c r="U28" s="7"/>
      <c r="V28" s="7" t="s">
        <v>4227</v>
      </c>
      <c r="W28" s="14">
        <v>5</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Profile'!$B$9,_TECH_Industry_Templates!$B:$B,"Manufacturing MES"),"")</f>
        <v>1</v>
      </c>
      <c r="AO28" s="48" t="str">
        <f t="shared" si="6"/>
        <v/>
      </c>
      <c r="AP28" s="48">
        <f>IFERROR(SUMIFS(_TECH_Industry_Templates!$E:$E,_TECH_Industry_Templates!$A:$A,'Company Profile'!$B$9,_TECH_Industry_Templates!$B:$B,"Manufacturing MES"),1)</f>
        <v>0.6</v>
      </c>
      <c r="AQ28" s="48" t="str">
        <f t="shared" si="7"/>
        <v/>
      </c>
      <c r="AR28" s="48" t="str">
        <f t="shared" si="8"/>
        <v/>
      </c>
      <c r="AS28" s="11">
        <f t="shared" si="9"/>
        <v>0</v>
      </c>
      <c r="AT28" s="11">
        <f t="shared" si="10"/>
        <v>0</v>
      </c>
    </row>
    <row r="29" spans="1:46" ht="71.25">
      <c r="A29" s="7" t="s">
        <v>4228</v>
      </c>
      <c r="B29" s="7" t="s">
        <v>1370</v>
      </c>
      <c r="C29" s="7" t="s">
        <v>4229</v>
      </c>
      <c r="D29" s="7" t="s">
        <v>3986</v>
      </c>
      <c r="E29" s="7" t="s">
        <v>3987</v>
      </c>
      <c r="F29" s="7" t="s">
        <v>4230</v>
      </c>
      <c r="G29" s="7">
        <v>4</v>
      </c>
      <c r="H29" s="153"/>
      <c r="I29" s="8" t="str">
        <f t="shared" si="0"/>
        <v/>
      </c>
      <c r="J29" s="8" t="str">
        <f t="shared" si="1"/>
        <v/>
      </c>
      <c r="K29" s="8" t="str">
        <f t="shared" si="2"/>
        <v/>
      </c>
      <c r="L29" s="7" t="str">
        <f t="shared" si="3"/>
        <v/>
      </c>
      <c r="M29" s="7" t="s">
        <v>4231</v>
      </c>
      <c r="N29" s="7" t="s">
        <v>4232</v>
      </c>
      <c r="O29" s="7" t="s">
        <v>4233</v>
      </c>
      <c r="P29" s="7" t="s">
        <v>4234</v>
      </c>
      <c r="Q29" s="7" t="s">
        <v>4235</v>
      </c>
      <c r="R29" s="7" t="s">
        <v>4236</v>
      </c>
      <c r="S29" s="7" t="s">
        <v>3995</v>
      </c>
      <c r="T29" s="7" t="s">
        <v>3996</v>
      </c>
      <c r="U29" s="7"/>
      <c r="V29" s="7" t="s">
        <v>4237</v>
      </c>
      <c r="W29" s="14">
        <v>5</v>
      </c>
      <c r="X29" s="14">
        <v>5</v>
      </c>
      <c r="Y29" s="14">
        <v>5</v>
      </c>
      <c r="AH29" s="81"/>
      <c r="AI29" s="81"/>
      <c r="AJ29" s="48" t="str">
        <f>IF(OR($H29="",$H29="N/A"),"",IF($AH29="",VLOOKUP('Company Profile'!$B$40,_TECH_Scoring_Settings!$A$5:$B$8,2,FALSE),IFERROR(VLOOKUP($AH29,_TECH_Scoring_Settings!$A$5:$B$8,2,FALSE),0.9)))</f>
        <v/>
      </c>
      <c r="AK29" s="48" t="str">
        <f>IF(OR($H29="",$H29="N/A"),"",IF($AI29="",VLOOKUP('Company Profile'!$B$41,_TECH_Scoring_Settings!$A$5:$B$8,2,FALSE),IFERROR(VLOOKUP($AI29,_TECH_Scoring_Settings!$A$5:$B$8,2,FALSE),0.9)))</f>
        <v/>
      </c>
      <c r="AL29" s="48" t="str">
        <f t="shared" si="4"/>
        <v/>
      </c>
      <c r="AM29" s="48" t="str">
        <f t="shared" si="5"/>
        <v/>
      </c>
      <c r="AN29" s="48">
        <f>IFERROR(SUMIFS(_TECH_Industry_Templates!$D:$D,_TECH_Industry_Templates!$A:$A,'Company Profile'!$B$9,_TECH_Industry_Templates!$B:$B,"Manufacturing MES"),"")</f>
        <v>1</v>
      </c>
      <c r="AO29" s="48" t="str">
        <f t="shared" si="6"/>
        <v/>
      </c>
      <c r="AP29" s="48">
        <f>IFERROR(SUMIFS(_TECH_Industry_Templates!$E:$E,_TECH_Industry_Templates!$A:$A,'Company Profile'!$B$9,_TECH_Industry_Templates!$B:$B,"Manufacturing MES"),1)</f>
        <v>0.6</v>
      </c>
      <c r="AQ29" s="48" t="str">
        <f t="shared" si="7"/>
        <v/>
      </c>
      <c r="AR29" s="48" t="str">
        <f t="shared" si="8"/>
        <v/>
      </c>
      <c r="AS29" s="11">
        <f t="shared" si="9"/>
        <v>0</v>
      </c>
      <c r="AT29" s="11">
        <f t="shared" si="10"/>
        <v>0</v>
      </c>
    </row>
    <row r="30" spans="1:46" ht="71.25">
      <c r="A30" s="7" t="s">
        <v>4238</v>
      </c>
      <c r="B30" s="7" t="s">
        <v>1370</v>
      </c>
      <c r="C30" s="7" t="s">
        <v>4239</v>
      </c>
      <c r="D30" s="7" t="s">
        <v>3986</v>
      </c>
      <c r="E30" s="7" t="s">
        <v>3987</v>
      </c>
      <c r="F30" s="7" t="s">
        <v>4240</v>
      </c>
      <c r="G30" s="7">
        <v>4</v>
      </c>
      <c r="H30" s="153"/>
      <c r="I30" s="8" t="str">
        <f t="shared" si="0"/>
        <v/>
      </c>
      <c r="J30" s="8" t="str">
        <f t="shared" si="1"/>
        <v/>
      </c>
      <c r="K30" s="8" t="str">
        <f t="shared" si="2"/>
        <v/>
      </c>
      <c r="L30" s="7" t="str">
        <f t="shared" si="3"/>
        <v/>
      </c>
      <c r="M30" s="7" t="s">
        <v>4241</v>
      </c>
      <c r="N30" s="7" t="s">
        <v>4242</v>
      </c>
      <c r="O30" s="7" t="s">
        <v>4243</v>
      </c>
      <c r="P30" s="7" t="s">
        <v>4244</v>
      </c>
      <c r="Q30" s="7" t="s">
        <v>4245</v>
      </c>
      <c r="R30" s="7" t="s">
        <v>4246</v>
      </c>
      <c r="S30" s="7" t="s">
        <v>3995</v>
      </c>
      <c r="T30" s="7" t="s">
        <v>3996</v>
      </c>
      <c r="U30" s="7"/>
      <c r="V30" s="7" t="s">
        <v>4247</v>
      </c>
      <c r="W30" s="14">
        <v>5</v>
      </c>
      <c r="X30" s="14">
        <v>5</v>
      </c>
      <c r="Y30" s="14">
        <v>5</v>
      </c>
      <c r="AH30" s="81"/>
      <c r="AI30" s="81"/>
      <c r="AJ30" s="48" t="str">
        <f>IF(OR($H30="",$H30="N/A"),"",IF($AH30="",VLOOKUP('Company Profile'!$B$40,_TECH_Scoring_Settings!$A$5:$B$8,2,FALSE),IFERROR(VLOOKUP($AH30,_TECH_Scoring_Settings!$A$5:$B$8,2,FALSE),0.9)))</f>
        <v/>
      </c>
      <c r="AK30" s="48" t="str">
        <f>IF(OR($H30="",$H30="N/A"),"",IF($AI30="",VLOOKUP('Company Profile'!$B$41,_TECH_Scoring_Settings!$A$5:$B$8,2,FALSE),IFERROR(VLOOKUP($AI30,_TECH_Scoring_Settings!$A$5:$B$8,2,FALSE),0.9)))</f>
        <v/>
      </c>
      <c r="AL30" s="48" t="str">
        <f t="shared" si="4"/>
        <v/>
      </c>
      <c r="AM30" s="48" t="str">
        <f t="shared" si="5"/>
        <v/>
      </c>
      <c r="AN30" s="48">
        <f>IFERROR(SUMIFS(_TECH_Industry_Templates!$D:$D,_TECH_Industry_Templates!$A:$A,'Company Profile'!$B$9,_TECH_Industry_Templates!$B:$B,"Manufacturing MES"),"")</f>
        <v>1</v>
      </c>
      <c r="AO30" s="48" t="str">
        <f t="shared" si="6"/>
        <v/>
      </c>
      <c r="AP30" s="48">
        <f>IFERROR(SUMIFS(_TECH_Industry_Templates!$E:$E,_TECH_Industry_Templates!$A:$A,'Company Profile'!$B$9,_TECH_Industry_Templates!$B:$B,"Manufacturing MES"),1)</f>
        <v>0.6</v>
      </c>
      <c r="AQ30" s="48" t="str">
        <f t="shared" si="7"/>
        <v/>
      </c>
      <c r="AR30" s="48" t="str">
        <f t="shared" si="8"/>
        <v/>
      </c>
      <c r="AS30" s="11">
        <f t="shared" si="9"/>
        <v>0</v>
      </c>
      <c r="AT30" s="11">
        <f t="shared" si="10"/>
        <v>0</v>
      </c>
    </row>
    <row r="31" spans="1:46" ht="57">
      <c r="A31" s="7" t="s">
        <v>4248</v>
      </c>
      <c r="B31" s="7" t="s">
        <v>1370</v>
      </c>
      <c r="C31" s="7" t="s">
        <v>4249</v>
      </c>
      <c r="D31" s="7" t="s">
        <v>3986</v>
      </c>
      <c r="E31" s="7" t="s">
        <v>3987</v>
      </c>
      <c r="F31" s="7" t="s">
        <v>4250</v>
      </c>
      <c r="G31" s="7">
        <v>5</v>
      </c>
      <c r="H31" s="153"/>
      <c r="I31" s="8" t="str">
        <f t="shared" si="0"/>
        <v/>
      </c>
      <c r="J31" s="8" t="str">
        <f t="shared" si="1"/>
        <v/>
      </c>
      <c r="K31" s="8" t="str">
        <f t="shared" si="2"/>
        <v/>
      </c>
      <c r="L31" s="7" t="str">
        <f t="shared" si="3"/>
        <v/>
      </c>
      <c r="M31" s="7" t="s">
        <v>4251</v>
      </c>
      <c r="N31" s="7" t="s">
        <v>4252</v>
      </c>
      <c r="O31" s="7" t="s">
        <v>4253</v>
      </c>
      <c r="P31" s="7" t="s">
        <v>4254</v>
      </c>
      <c r="Q31" s="7" t="s">
        <v>4255</v>
      </c>
      <c r="R31" s="7" t="s">
        <v>4256</v>
      </c>
      <c r="S31" s="7" t="s">
        <v>3995</v>
      </c>
      <c r="T31" s="7" t="s">
        <v>3996</v>
      </c>
      <c r="U31" s="7"/>
      <c r="V31" s="7" t="s">
        <v>4257</v>
      </c>
      <c r="W31" s="14">
        <v>5</v>
      </c>
      <c r="X31" s="14">
        <v>5</v>
      </c>
      <c r="Y31" s="14">
        <v>5</v>
      </c>
      <c r="AH31" s="81"/>
      <c r="AI31" s="81"/>
      <c r="AJ31" s="48" t="str">
        <f>IF(OR($H31="",$H31="N/A"),"",IF($AH31="",VLOOKUP('Company Profile'!$B$40,_TECH_Scoring_Settings!$A$5:$B$8,2,FALSE),IFERROR(VLOOKUP($AH31,_TECH_Scoring_Settings!$A$5:$B$8,2,FALSE),0.9)))</f>
        <v/>
      </c>
      <c r="AK31" s="48" t="str">
        <f>IF(OR($H31="",$H31="N/A"),"",IF($AI31="",VLOOKUP('Company Profile'!$B$41,_TECH_Scoring_Settings!$A$5:$B$8,2,FALSE),IFERROR(VLOOKUP($AI31,_TECH_Scoring_Settings!$A$5:$B$8,2,FALSE),0.9)))</f>
        <v/>
      </c>
      <c r="AL31" s="48" t="str">
        <f t="shared" si="4"/>
        <v/>
      </c>
      <c r="AM31" s="48" t="str">
        <f t="shared" si="5"/>
        <v/>
      </c>
      <c r="AN31" s="48">
        <f>IFERROR(SUMIFS(_TECH_Industry_Templates!$D:$D,_TECH_Industry_Templates!$A:$A,'Company Profile'!$B$9,_TECH_Industry_Templates!$B:$B,"Manufacturing MES"),"")</f>
        <v>1</v>
      </c>
      <c r="AO31" s="48" t="str">
        <f t="shared" si="6"/>
        <v/>
      </c>
      <c r="AP31" s="48">
        <f>IFERROR(SUMIFS(_TECH_Industry_Templates!$E:$E,_TECH_Industry_Templates!$A:$A,'Company Profile'!$B$9,_TECH_Industry_Templates!$B:$B,"Manufacturing MES"),1)</f>
        <v>0.6</v>
      </c>
      <c r="AQ31" s="48" t="str">
        <f t="shared" si="7"/>
        <v/>
      </c>
      <c r="AR31" s="48" t="str">
        <f t="shared" si="8"/>
        <v/>
      </c>
      <c r="AS31" s="11">
        <f t="shared" si="9"/>
        <v>0</v>
      </c>
      <c r="AT31" s="11">
        <f t="shared" si="10"/>
        <v>0</v>
      </c>
    </row>
    <row r="32" spans="1:46" ht="57">
      <c r="A32" s="7" t="s">
        <v>4258</v>
      </c>
      <c r="B32" s="7" t="s">
        <v>1370</v>
      </c>
      <c r="C32" s="7" t="s">
        <v>4259</v>
      </c>
      <c r="D32" s="7" t="s">
        <v>3986</v>
      </c>
      <c r="E32" s="7" t="s">
        <v>3987</v>
      </c>
      <c r="F32" s="7" t="s">
        <v>4260</v>
      </c>
      <c r="G32" s="7">
        <v>5</v>
      </c>
      <c r="H32" s="153"/>
      <c r="I32" s="8" t="str">
        <f t="shared" si="0"/>
        <v/>
      </c>
      <c r="J32" s="8" t="str">
        <f t="shared" si="1"/>
        <v/>
      </c>
      <c r="K32" s="8" t="str">
        <f t="shared" si="2"/>
        <v/>
      </c>
      <c r="L32" s="7" t="str">
        <f t="shared" si="3"/>
        <v/>
      </c>
      <c r="M32" s="7" t="s">
        <v>4261</v>
      </c>
      <c r="N32" s="7" t="s">
        <v>4262</v>
      </c>
      <c r="O32" s="7" t="s">
        <v>4263</v>
      </c>
      <c r="P32" s="7" t="s">
        <v>4264</v>
      </c>
      <c r="Q32" s="7" t="s">
        <v>4265</v>
      </c>
      <c r="R32" s="7" t="s">
        <v>4266</v>
      </c>
      <c r="S32" s="7" t="s">
        <v>3995</v>
      </c>
      <c r="T32" s="7" t="s">
        <v>3996</v>
      </c>
      <c r="U32" s="7"/>
      <c r="V32" s="7" t="s">
        <v>4267</v>
      </c>
      <c r="W32" s="14">
        <v>5</v>
      </c>
      <c r="X32" s="14">
        <v>5</v>
      </c>
      <c r="Y32" s="14">
        <v>5</v>
      </c>
      <c r="AH32" s="81"/>
      <c r="AI32" s="81"/>
      <c r="AJ32" s="48" t="str">
        <f>IF(OR($H32="",$H32="N/A"),"",IF($AH32="",VLOOKUP('Company Profile'!$B$40,_TECH_Scoring_Settings!$A$5:$B$8,2,FALSE),IFERROR(VLOOKUP($AH32,_TECH_Scoring_Settings!$A$5:$B$8,2,FALSE),0.9)))</f>
        <v/>
      </c>
      <c r="AK32" s="48" t="str">
        <f>IF(OR($H32="",$H32="N/A"),"",IF($AI32="",VLOOKUP('Company Profile'!$B$41,_TECH_Scoring_Settings!$A$5:$B$8,2,FALSE),IFERROR(VLOOKUP($AI32,_TECH_Scoring_Settings!$A$5:$B$8,2,FALSE),0.9)))</f>
        <v/>
      </c>
      <c r="AL32" s="48" t="str">
        <f t="shared" si="4"/>
        <v/>
      </c>
      <c r="AM32" s="48" t="str">
        <f t="shared" si="5"/>
        <v/>
      </c>
      <c r="AN32" s="48">
        <f>IFERROR(SUMIFS(_TECH_Industry_Templates!$D:$D,_TECH_Industry_Templates!$A:$A,'Company Profile'!$B$9,_TECH_Industry_Templates!$B:$B,"Manufacturing MES"),"")</f>
        <v>1</v>
      </c>
      <c r="AO32" s="48" t="str">
        <f t="shared" si="6"/>
        <v/>
      </c>
      <c r="AP32" s="48">
        <f>IFERROR(SUMIFS(_TECH_Industry_Templates!$E:$E,_TECH_Industry_Templates!$A:$A,'Company Profile'!$B$9,_TECH_Industry_Templates!$B:$B,"Manufacturing MES"),1)</f>
        <v>0.6</v>
      </c>
      <c r="AQ32" s="48" t="str">
        <f t="shared" si="7"/>
        <v/>
      </c>
      <c r="AR32" s="48" t="str">
        <f t="shared" si="8"/>
        <v/>
      </c>
      <c r="AS32" s="11">
        <f t="shared" si="9"/>
        <v>0</v>
      </c>
      <c r="AT32" s="11">
        <f t="shared" si="10"/>
        <v>0</v>
      </c>
    </row>
  </sheetData>
  <mergeCells count="4">
    <mergeCell ref="A2:V2"/>
    <mergeCell ref="AA3:AG3"/>
    <mergeCell ref="A1:V1"/>
    <mergeCell ref="W3:Y3"/>
  </mergeCells>
  <conditionalFormatting sqref="H5:H32">
    <cfRule type="colorScale" priority="1">
      <colorScale>
        <cfvo type="min"/>
        <cfvo type="percentile" val="50"/>
        <cfvo type="max"/>
        <color rgb="FFF8696B"/>
        <color rgb="FFFFEB84"/>
        <color rgb="FF63BE7B"/>
      </colorScale>
    </cfRule>
  </conditionalFormatting>
  <conditionalFormatting sqref="L5:L32">
    <cfRule type="expression" dxfId="51" priority="2">
      <formula>$L5="Critical"</formula>
    </cfRule>
    <cfRule type="expression" dxfId="50" priority="3">
      <formula>$L5="High"</formula>
    </cfRule>
    <cfRule type="expression" dxfId="49" priority="4">
      <formula>$L5="Medium"</formula>
    </cfRule>
    <cfRule type="expression" dxfId="48" priority="5">
      <formula>$L5="Low"</formula>
    </cfRule>
    <cfRule type="expression" dxfId="47" priority="6">
      <formula>$L5="Resilient"</formula>
    </cfRule>
  </conditionalFormatting>
  <conditionalFormatting sqref="AC5:AC9">
    <cfRule type="colorScale" priority="7">
      <colorScale>
        <cfvo type="min"/>
        <cfvo type="percentile" val="50"/>
        <cfvo type="max"/>
        <color rgb="FFFEE2E2"/>
        <color rgb="FFFEF3C7"/>
        <color rgb="FFDCFCE7"/>
      </colorScale>
    </cfRule>
  </conditionalFormatting>
  <conditionalFormatting sqref="AD5:AD9">
    <cfRule type="dataBar" priority="8">
      <dataBar>
        <cfvo type="min"/>
        <cfvo type="max"/>
        <color rgb="FF2F75B5"/>
      </dataBar>
    </cfRule>
  </conditionalFormatting>
  <dataValidations count="4">
    <dataValidation type="list" sqref="H5:H32" ns2:uid="{00000000-0002-0000-1C00-000000000000}">
      <formula1>"N/A,0,1,2,3,4,5"</formula1>
    </dataValidation>
    <dataValidation type="list" sqref="G5:G32" ns2:uid="{00000000-0002-0000-1C00-000001000000}">
      <formula1>"1,2,3,4,5"</formula1>
    </dataValidation>
    <dataValidation type="list" sqref="W5:Y32" ns2:uid="{00000000-0002-0000-1C00-000002000000}">
      <formula1>"0,1,2,3,4,5"</formula1>
    </dataValidation>
    <dataValidation type="list" allowBlank="1" sqref="AH5:AI32" ns2:uid="{00000000-0002-0000-1C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0.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D00-000000000000}">
  <sheetPr>
    <tabColor rgb="FFED7D31"/>
  </sheetPr>
  <dimension ref="A1:AT25"/>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4268</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4269</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4270</v>
      </c>
      <c r="B5" s="7" t="s">
        <v>1378</v>
      </c>
      <c r="C5" s="7" t="s">
        <v>4271</v>
      </c>
      <c r="D5" s="7" t="s">
        <v>4272</v>
      </c>
      <c r="E5" s="7" t="s">
        <v>4273</v>
      </c>
      <c r="F5" s="7" t="s">
        <v>4274</v>
      </c>
      <c r="G5" s="7">
        <v>4</v>
      </c>
      <c r="H5" s="153"/>
      <c r="I5" s="8" t="str">
        <f t="shared" ref="I5:I25" si="0">IF($H5="","",IF($H5="N/A","",VALUE($H5)/5*$G5))</f>
        <v/>
      </c>
      <c r="J5" s="8" t="str">
        <f t="shared" ref="J5:J25" si="1">IF(OR($H5="",$H5="N/A"),"",$G5)</f>
        <v/>
      </c>
      <c r="K5" s="8" t="str">
        <f t="shared" ref="K5:K25" si="2">IF(OR($H5="",$H5="N/A"),"",$J5-$I5)</f>
        <v/>
      </c>
      <c r="L5" s="7" t="str">
        <f t="shared" ref="L5:L25" si="3">IF($H5="","",IF($H5="N/A","N/A",IF(VALUE($H5)&lt;=1,"Critical",IF(VALUE($H5)&lt;=2,"High",IF(VALUE($H5)&lt;=3,"Medium",IF(VALUE($H5)&lt;=4,"Low","Resilient"))))))</f>
        <v/>
      </c>
      <c r="M5" s="7" t="s">
        <v>4275</v>
      </c>
      <c r="N5" s="7" t="s">
        <v>4276</v>
      </c>
      <c r="O5" s="7" t="s">
        <v>4277</v>
      </c>
      <c r="P5" s="7" t="s">
        <v>4278</v>
      </c>
      <c r="Q5" s="7" t="s">
        <v>4279</v>
      </c>
      <c r="R5" s="7" t="s">
        <v>4280</v>
      </c>
      <c r="S5" s="7" t="s">
        <v>4281</v>
      </c>
      <c r="T5" s="7" t="s">
        <v>4282</v>
      </c>
      <c r="U5" s="7"/>
      <c r="V5" s="7" t="s">
        <v>4283</v>
      </c>
      <c r="W5" s="14">
        <v>5</v>
      </c>
      <c r="X5" s="14">
        <v>5</v>
      </c>
      <c r="Y5" s="14">
        <v>5</v>
      </c>
      <c r="AA5" t="s">
        <v>1378</v>
      </c>
      <c r="AB5" s="13">
        <f>COUNTIF($B$5:$B$25,$AA5)</f>
        <v>5</v>
      </c>
      <c r="AC5" s="15">
        <f>IFERROR(SUMPRODUCT(($B$5:$B$25=$AA5)*($H$5:$H$25&lt;&gt;"")*($H$5:$H$25&lt;&gt;"N/A")*IFERROR(VALUE($H$5:$H$25),0))/SUMPRODUCT(($B$5:$B$25=$AA5)*($H$5:$H$25&lt;&gt;"")*($H$5:$H$25&lt;&gt;"N/A")),0)</f>
        <v>0</v>
      </c>
      <c r="AD5" s="16">
        <f>AC5/5</f>
        <v>0</v>
      </c>
      <c r="AE5" s="13">
        <f>COUNTIFS($B$5:$B$25,$AA5,$L$5:$L$25,"Critical")+COUNTIFS($B$5:$B$25,$AA5,$L$5:$L$25,"High")</f>
        <v>0</v>
      </c>
      <c r="AF5" s="15">
        <f>5-AC5</f>
        <v>5</v>
      </c>
      <c r="AG5" s="13">
        <f>COUNTIFS($B$5:$B$25,$AA5,$H$5:$H$25,"&lt;&gt;")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5" si="4">IF(OR($H5="",$H5="N/A"),"",ROUND(VALUE($H5)*$AJ5*$AK5,2))</f>
        <v/>
      </c>
      <c r="AM5" s="48" t="str">
        <f t="shared" ref="AM5:AM25" si="5">IF($AL5="","",ROUND($AL5/5*100,1))</f>
        <v/>
      </c>
      <c r="AN5" s="48">
        <f>IFERROR(SUMIFS(_TECH_Industry_Templates!$D:$D,_TECH_Industry_Templates!$A:$A,'Company Profile'!$B$9,_TECH_Industry_Templates!$B:$B,"Sales CRM"),"")</f>
        <v>3.8</v>
      </c>
      <c r="AO5" s="48" t="str">
        <f t="shared" ref="AO5:AO25" si="6">IF($AL5="","",MAX(0,ROUND($AN5-$AL5,2)))</f>
        <v/>
      </c>
      <c r="AP5" s="48">
        <f>IFERROR(SUMIFS(_TECH_Industry_Templates!$E:$E,_TECH_Industry_Templates!$A:$A,'Company Profile'!$B$9,_TECH_Industry_Templates!$B:$B,"Sales CRM"),1)</f>
        <v>1.1000000000000001</v>
      </c>
      <c r="AQ5" s="48" t="str">
        <f t="shared" ref="AQ5:AQ25" si="7">IF($AO5="","",ROUND($AO5*$AP5*($G5/5),2))</f>
        <v/>
      </c>
      <c r="AR5" s="48" t="str">
        <f t="shared" ref="AR5:AR25" si="8">IF($AO5="","",IF($AO5&gt;=2,"Critical industry gap",IF($AO5&gt;=1,"High industry gap",IF($AO5&gt;=0.5,"Moderate industry gap","Within target"))))</f>
        <v/>
      </c>
      <c r="AS5" s="11">
        <f t="shared" ref="AS5:AS25" si="9">IF(OR($H5="",$H5="N/A"),0,VALUE($H5)*(($AJ5+$AK5)/2))</f>
        <v>0</v>
      </c>
      <c r="AT5" s="11">
        <f t="shared" ref="AT5:AT25" si="10">IF(OR($H5="",$H5="N/A"),0,($AJ5+$AK5)/2)</f>
        <v>0</v>
      </c>
    </row>
    <row r="6" spans="1:46" ht="71.25">
      <c r="A6" s="7" t="s">
        <v>4284</v>
      </c>
      <c r="B6" s="7" t="s">
        <v>1378</v>
      </c>
      <c r="C6" s="7" t="s">
        <v>4285</v>
      </c>
      <c r="D6" s="7" t="s">
        <v>4272</v>
      </c>
      <c r="E6" s="7" t="s">
        <v>4273</v>
      </c>
      <c r="F6" s="7" t="s">
        <v>4286</v>
      </c>
      <c r="G6" s="7">
        <v>4</v>
      </c>
      <c r="H6" s="153"/>
      <c r="I6" s="8" t="str">
        <f t="shared" si="0"/>
        <v/>
      </c>
      <c r="J6" s="8" t="str">
        <f t="shared" si="1"/>
        <v/>
      </c>
      <c r="K6" s="8" t="str">
        <f t="shared" si="2"/>
        <v/>
      </c>
      <c r="L6" s="7" t="str">
        <f t="shared" si="3"/>
        <v/>
      </c>
      <c r="M6" s="7" t="s">
        <v>4287</v>
      </c>
      <c r="N6" s="7" t="s">
        <v>4288</v>
      </c>
      <c r="O6" s="7" t="s">
        <v>4289</v>
      </c>
      <c r="P6" s="7" t="s">
        <v>4290</v>
      </c>
      <c r="Q6" s="7" t="s">
        <v>4291</v>
      </c>
      <c r="R6" s="7" t="s">
        <v>4292</v>
      </c>
      <c r="S6" s="7" t="s">
        <v>4281</v>
      </c>
      <c r="T6" s="7" t="s">
        <v>4282</v>
      </c>
      <c r="U6" s="7"/>
      <c r="V6" s="7" t="s">
        <v>4293</v>
      </c>
      <c r="W6" s="14">
        <v>5</v>
      </c>
      <c r="X6" s="14">
        <v>5</v>
      </c>
      <c r="Y6" s="14">
        <v>5</v>
      </c>
      <c r="AA6" t="s">
        <v>1391</v>
      </c>
      <c r="AB6" s="13">
        <f>COUNTIF($B$5:$B$25,$AA6)</f>
        <v>5</v>
      </c>
      <c r="AC6" s="15">
        <f>IFERROR(SUMPRODUCT(($B$5:$B$25=$AA6)*($H$5:$H$25&lt;&gt;"")*($H$5:$H$25&lt;&gt;"N/A")*IFERROR(VALUE($H$5:$H$25),0))/SUMPRODUCT(($B$5:$B$25=$AA6)*($H$5:$H$25&lt;&gt;"")*($H$5:$H$25&lt;&gt;"N/A")),0)</f>
        <v>0</v>
      </c>
      <c r="AD6" s="16">
        <f>AC6/5</f>
        <v>0</v>
      </c>
      <c r="AE6" s="13">
        <f>COUNTIFS($B$5:$B$25,$AA6,$L$5:$L$25,"Critical")+COUNTIFS($B$5:$B$25,$AA6,$L$5:$L$25,"High")</f>
        <v>0</v>
      </c>
      <c r="AF6" s="15">
        <f>5-AC6</f>
        <v>5</v>
      </c>
      <c r="AG6" s="13">
        <f>COUNTIFS($B$5:$B$25,$AA6,$H$5:$H$25,"&lt;&gt;")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Profile'!$B$9,_TECH_Industry_Templates!$B:$B,"Sales CRM"),"")</f>
        <v>3.8</v>
      </c>
      <c r="AO6" s="48" t="str">
        <f t="shared" si="6"/>
        <v/>
      </c>
      <c r="AP6" s="48">
        <f>IFERROR(SUMIFS(_TECH_Industry_Templates!$E:$E,_TECH_Industry_Templates!$A:$A,'Company Profile'!$B$9,_TECH_Industry_Templates!$B:$B,"Sales CRM"),1)</f>
        <v>1.1000000000000001</v>
      </c>
      <c r="AQ6" s="48" t="str">
        <f t="shared" si="7"/>
        <v/>
      </c>
      <c r="AR6" s="48" t="str">
        <f t="shared" si="8"/>
        <v/>
      </c>
      <c r="AS6" s="11">
        <f t="shared" si="9"/>
        <v>0</v>
      </c>
      <c r="AT6" s="11">
        <f t="shared" si="10"/>
        <v>0</v>
      </c>
    </row>
    <row r="7" spans="1:46" ht="71.25">
      <c r="A7" s="7" t="s">
        <v>4294</v>
      </c>
      <c r="B7" s="7" t="s">
        <v>1378</v>
      </c>
      <c r="C7" s="7" t="s">
        <v>4295</v>
      </c>
      <c r="D7" s="7" t="s">
        <v>4272</v>
      </c>
      <c r="E7" s="7" t="s">
        <v>4273</v>
      </c>
      <c r="F7" s="7" t="s">
        <v>4296</v>
      </c>
      <c r="G7" s="7">
        <v>5</v>
      </c>
      <c r="H7" s="153"/>
      <c r="I7" s="8" t="str">
        <f t="shared" si="0"/>
        <v/>
      </c>
      <c r="J7" s="8" t="str">
        <f t="shared" si="1"/>
        <v/>
      </c>
      <c r="K7" s="8" t="str">
        <f t="shared" si="2"/>
        <v/>
      </c>
      <c r="L7" s="7" t="str">
        <f t="shared" si="3"/>
        <v/>
      </c>
      <c r="M7" s="7" t="s">
        <v>4297</v>
      </c>
      <c r="N7" s="7" t="s">
        <v>4298</v>
      </c>
      <c r="O7" s="7" t="s">
        <v>4299</v>
      </c>
      <c r="P7" s="7" t="s">
        <v>4300</v>
      </c>
      <c r="Q7" s="7" t="s">
        <v>4301</v>
      </c>
      <c r="R7" s="7" t="s">
        <v>4302</v>
      </c>
      <c r="S7" s="7" t="s">
        <v>4281</v>
      </c>
      <c r="T7" s="7" t="s">
        <v>4282</v>
      </c>
      <c r="U7" s="7"/>
      <c r="V7" s="7" t="s">
        <v>4303</v>
      </c>
      <c r="W7" s="14">
        <v>5</v>
      </c>
      <c r="X7" s="14">
        <v>5</v>
      </c>
      <c r="Y7" s="14">
        <v>5</v>
      </c>
      <c r="AA7" t="s">
        <v>1399</v>
      </c>
      <c r="AB7" s="13">
        <f>COUNTIF($B$5:$B$25,$AA7)</f>
        <v>6</v>
      </c>
      <c r="AC7" s="15">
        <f>IFERROR(SUMPRODUCT(($B$5:$B$25=$AA7)*($H$5:$H$25&lt;&gt;"")*($H$5:$H$25&lt;&gt;"N/A")*IFERROR(VALUE($H$5:$H$25),0))/SUMPRODUCT(($B$5:$B$25=$AA7)*($H$5:$H$25&lt;&gt;"")*($H$5:$H$25&lt;&gt;"N/A")),0)</f>
        <v>0</v>
      </c>
      <c r="AD7" s="16">
        <f>AC7/5</f>
        <v>0</v>
      </c>
      <c r="AE7" s="13">
        <f>COUNTIFS($B$5:$B$25,$AA7,$L$5:$L$25,"Critical")+COUNTIFS($B$5:$B$25,$AA7,$L$5:$L$25,"High")</f>
        <v>0</v>
      </c>
      <c r="AF7" s="15">
        <f>5-AC7</f>
        <v>5</v>
      </c>
      <c r="AG7" s="13">
        <f>COUNTIFS($B$5:$B$25,$AA7,$H$5:$H$25,"&lt;&gt;")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Profile'!$B$9,_TECH_Industry_Templates!$B:$B,"Sales CRM"),"")</f>
        <v>3.8</v>
      </c>
      <c r="AO7" s="48" t="str">
        <f t="shared" si="6"/>
        <v/>
      </c>
      <c r="AP7" s="48">
        <f>IFERROR(SUMIFS(_TECH_Industry_Templates!$E:$E,_TECH_Industry_Templates!$A:$A,'Company Profile'!$B$9,_TECH_Industry_Templates!$B:$B,"Sales CRM"),1)</f>
        <v>1.1000000000000001</v>
      </c>
      <c r="AQ7" s="48" t="str">
        <f t="shared" si="7"/>
        <v/>
      </c>
      <c r="AR7" s="48" t="str">
        <f t="shared" si="8"/>
        <v/>
      </c>
      <c r="AS7" s="11">
        <f t="shared" si="9"/>
        <v>0</v>
      </c>
      <c r="AT7" s="11">
        <f t="shared" si="10"/>
        <v>0</v>
      </c>
    </row>
    <row r="8" spans="1:46" ht="57">
      <c r="A8" s="7" t="s">
        <v>4304</v>
      </c>
      <c r="B8" s="7" t="s">
        <v>1378</v>
      </c>
      <c r="C8" s="7" t="s">
        <v>4305</v>
      </c>
      <c r="D8" s="7" t="s">
        <v>4272</v>
      </c>
      <c r="E8" s="7" t="s">
        <v>4273</v>
      </c>
      <c r="F8" s="7" t="s">
        <v>4306</v>
      </c>
      <c r="G8" s="7">
        <v>4</v>
      </c>
      <c r="H8" s="153"/>
      <c r="I8" s="8" t="str">
        <f t="shared" si="0"/>
        <v/>
      </c>
      <c r="J8" s="8" t="str">
        <f t="shared" si="1"/>
        <v/>
      </c>
      <c r="K8" s="8" t="str">
        <f t="shared" si="2"/>
        <v/>
      </c>
      <c r="L8" s="7" t="str">
        <f t="shared" si="3"/>
        <v/>
      </c>
      <c r="M8" s="7" t="s">
        <v>4307</v>
      </c>
      <c r="N8" s="7" t="s">
        <v>4308</v>
      </c>
      <c r="O8" s="7" t="s">
        <v>4309</v>
      </c>
      <c r="P8" s="7" t="s">
        <v>4310</v>
      </c>
      <c r="Q8" s="7" t="s">
        <v>4311</v>
      </c>
      <c r="R8" s="7" t="s">
        <v>4312</v>
      </c>
      <c r="S8" s="7" t="s">
        <v>4281</v>
      </c>
      <c r="T8" s="7" t="s">
        <v>4282</v>
      </c>
      <c r="U8" s="7"/>
      <c r="V8" s="7" t="s">
        <v>4313</v>
      </c>
      <c r="W8" s="14">
        <v>5</v>
      </c>
      <c r="X8" s="14">
        <v>5</v>
      </c>
      <c r="Y8" s="14">
        <v>5</v>
      </c>
      <c r="AA8" t="s">
        <v>1407</v>
      </c>
      <c r="AB8" s="13">
        <f>COUNTIF($B$5:$B$25,$AA8)</f>
        <v>5</v>
      </c>
      <c r="AC8" s="15">
        <f>IFERROR(SUMPRODUCT(($B$5:$B$25=$AA8)*($H$5:$H$25&lt;&gt;"")*($H$5:$H$25&lt;&gt;"N/A")*IFERROR(VALUE($H$5:$H$25),0))/SUMPRODUCT(($B$5:$B$25=$AA8)*($H$5:$H$25&lt;&gt;"")*($H$5:$H$25&lt;&gt;"N/A")),0)</f>
        <v>0</v>
      </c>
      <c r="AD8" s="16">
        <f>AC8/5</f>
        <v>0</v>
      </c>
      <c r="AE8" s="13">
        <f>COUNTIFS($B$5:$B$25,$AA8,$L$5:$L$25,"Critical")+COUNTIFS($B$5:$B$25,$AA8,$L$5:$L$25,"High")</f>
        <v>0</v>
      </c>
      <c r="AF8" s="15">
        <f>5-AC8</f>
        <v>5</v>
      </c>
      <c r="AG8" s="13">
        <f>COUNTIFS($B$5:$B$25,$AA8,$H$5:$H$25,"&lt;&gt;")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Profile'!$B$9,_TECH_Industry_Templates!$B:$B,"Sales CRM"),"")</f>
        <v>3.8</v>
      </c>
      <c r="AO8" s="48" t="str">
        <f t="shared" si="6"/>
        <v/>
      </c>
      <c r="AP8" s="48">
        <f>IFERROR(SUMIFS(_TECH_Industry_Templates!$E:$E,_TECH_Industry_Templates!$A:$A,'Company Profile'!$B$9,_TECH_Industry_Templates!$B:$B,"Sales CRM"),1)</f>
        <v>1.1000000000000001</v>
      </c>
      <c r="AQ8" s="48" t="str">
        <f t="shared" si="7"/>
        <v/>
      </c>
      <c r="AR8" s="48" t="str">
        <f t="shared" si="8"/>
        <v/>
      </c>
      <c r="AS8" s="11">
        <f t="shared" si="9"/>
        <v>0</v>
      </c>
      <c r="AT8" s="11">
        <f t="shared" si="10"/>
        <v>0</v>
      </c>
    </row>
    <row r="9" spans="1:46" ht="57">
      <c r="A9" s="7" t="s">
        <v>4314</v>
      </c>
      <c r="B9" s="7" t="s">
        <v>1378</v>
      </c>
      <c r="C9" s="7" t="s">
        <v>4315</v>
      </c>
      <c r="D9" s="7" t="s">
        <v>4272</v>
      </c>
      <c r="E9" s="7" t="s">
        <v>4273</v>
      </c>
      <c r="F9" s="7" t="s">
        <v>4316</v>
      </c>
      <c r="G9" s="7">
        <v>4</v>
      </c>
      <c r="H9" s="153"/>
      <c r="I9" s="8" t="str">
        <f t="shared" si="0"/>
        <v/>
      </c>
      <c r="J9" s="8" t="str">
        <f t="shared" si="1"/>
        <v/>
      </c>
      <c r="K9" s="8" t="str">
        <f t="shared" si="2"/>
        <v/>
      </c>
      <c r="L9" s="7" t="str">
        <f t="shared" si="3"/>
        <v/>
      </c>
      <c r="M9" s="7" t="s">
        <v>4317</v>
      </c>
      <c r="N9" s="7" t="s">
        <v>4318</v>
      </c>
      <c r="O9" s="7" t="s">
        <v>4319</v>
      </c>
      <c r="P9" s="7" t="s">
        <v>4320</v>
      </c>
      <c r="Q9" s="7" t="s">
        <v>4321</v>
      </c>
      <c r="R9" s="7" t="s">
        <v>4322</v>
      </c>
      <c r="S9" s="7" t="s">
        <v>4281</v>
      </c>
      <c r="T9" s="7" t="s">
        <v>4282</v>
      </c>
      <c r="U9" s="7"/>
      <c r="V9" s="7" t="s">
        <v>4323</v>
      </c>
      <c r="W9" s="14">
        <v>5</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Profile'!$B$9,_TECH_Industry_Templates!$B:$B,"Sales CRM"),"")</f>
        <v>3.8</v>
      </c>
      <c r="AO9" s="48" t="str">
        <f t="shared" si="6"/>
        <v/>
      </c>
      <c r="AP9" s="48">
        <f>IFERROR(SUMIFS(_TECH_Industry_Templates!$E:$E,_TECH_Industry_Templates!$A:$A,'Company Profile'!$B$9,_TECH_Industry_Templates!$B:$B,"Sales CRM"),1)</f>
        <v>1.1000000000000001</v>
      </c>
      <c r="AQ9" s="48" t="str">
        <f t="shared" si="7"/>
        <v/>
      </c>
      <c r="AR9" s="48" t="str">
        <f t="shared" si="8"/>
        <v/>
      </c>
      <c r="AS9" s="11">
        <f t="shared" si="9"/>
        <v>0</v>
      </c>
      <c r="AT9" s="11">
        <f t="shared" si="10"/>
        <v>0</v>
      </c>
    </row>
    <row r="10" spans="1:46" ht="57">
      <c r="A10" s="7" t="s">
        <v>4324</v>
      </c>
      <c r="B10" s="7" t="s">
        <v>1391</v>
      </c>
      <c r="C10" s="7" t="s">
        <v>4325</v>
      </c>
      <c r="D10" s="7" t="s">
        <v>4272</v>
      </c>
      <c r="E10" s="7" t="s">
        <v>4273</v>
      </c>
      <c r="F10" s="7" t="s">
        <v>4326</v>
      </c>
      <c r="G10" s="7">
        <v>4</v>
      </c>
      <c r="H10" s="153"/>
      <c r="I10" s="8" t="str">
        <f t="shared" si="0"/>
        <v/>
      </c>
      <c r="J10" s="8" t="str">
        <f t="shared" si="1"/>
        <v/>
      </c>
      <c r="K10" s="8" t="str">
        <f t="shared" si="2"/>
        <v/>
      </c>
      <c r="L10" s="7" t="str">
        <f t="shared" si="3"/>
        <v/>
      </c>
      <c r="M10" s="7" t="s">
        <v>4327</v>
      </c>
      <c r="N10" s="7" t="s">
        <v>4328</v>
      </c>
      <c r="O10" s="7" t="s">
        <v>4329</v>
      </c>
      <c r="P10" s="7" t="s">
        <v>4330</v>
      </c>
      <c r="Q10" s="7" t="s">
        <v>4331</v>
      </c>
      <c r="R10" s="7" t="s">
        <v>4332</v>
      </c>
      <c r="S10" s="7" t="s">
        <v>4281</v>
      </c>
      <c r="T10" s="7" t="s">
        <v>4282</v>
      </c>
      <c r="U10" s="7"/>
      <c r="V10" s="7" t="s">
        <v>4333</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Profile'!$B$9,_TECH_Industry_Templates!$B:$B,"Sales CRM"),"")</f>
        <v>3.8</v>
      </c>
      <c r="AO10" s="48" t="str">
        <f t="shared" si="6"/>
        <v/>
      </c>
      <c r="AP10" s="48">
        <f>IFERROR(SUMIFS(_TECH_Industry_Templates!$E:$E,_TECH_Industry_Templates!$A:$A,'Company Profile'!$B$9,_TECH_Industry_Templates!$B:$B,"Sales CRM"),1)</f>
        <v>1.1000000000000001</v>
      </c>
      <c r="AQ10" s="48" t="str">
        <f t="shared" si="7"/>
        <v/>
      </c>
      <c r="AR10" s="48" t="str">
        <f t="shared" si="8"/>
        <v/>
      </c>
      <c r="AS10" s="11">
        <f t="shared" si="9"/>
        <v>0</v>
      </c>
      <c r="AT10" s="11">
        <f t="shared" si="10"/>
        <v>0</v>
      </c>
    </row>
    <row r="11" spans="1:46" ht="57">
      <c r="A11" s="7" t="s">
        <v>4334</v>
      </c>
      <c r="B11" s="7" t="s">
        <v>1391</v>
      </c>
      <c r="C11" s="7" t="s">
        <v>4335</v>
      </c>
      <c r="D11" s="7" t="s">
        <v>4272</v>
      </c>
      <c r="E11" s="7" t="s">
        <v>4273</v>
      </c>
      <c r="F11" s="7" t="s">
        <v>4336</v>
      </c>
      <c r="G11" s="7">
        <v>5</v>
      </c>
      <c r="H11" s="153"/>
      <c r="I11" s="8" t="str">
        <f t="shared" si="0"/>
        <v/>
      </c>
      <c r="J11" s="8" t="str">
        <f t="shared" si="1"/>
        <v/>
      </c>
      <c r="K11" s="8" t="str">
        <f t="shared" si="2"/>
        <v/>
      </c>
      <c r="L11" s="7" t="str">
        <f t="shared" si="3"/>
        <v/>
      </c>
      <c r="M11" s="7" t="s">
        <v>4337</v>
      </c>
      <c r="N11" s="7" t="s">
        <v>4338</v>
      </c>
      <c r="O11" s="7" t="s">
        <v>4339</v>
      </c>
      <c r="P11" s="7" t="s">
        <v>4340</v>
      </c>
      <c r="Q11" s="7" t="s">
        <v>4341</v>
      </c>
      <c r="R11" s="7" t="s">
        <v>4342</v>
      </c>
      <c r="S11" s="7" t="s">
        <v>4281</v>
      </c>
      <c r="T11" s="7" t="s">
        <v>4282</v>
      </c>
      <c r="U11" s="7"/>
      <c r="V11" s="7" t="s">
        <v>4343</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Profile'!$B$9,_TECH_Industry_Templates!$B:$B,"Sales CRM"),"")</f>
        <v>3.8</v>
      </c>
      <c r="AO11" s="48" t="str">
        <f t="shared" si="6"/>
        <v/>
      </c>
      <c r="AP11" s="48">
        <f>IFERROR(SUMIFS(_TECH_Industry_Templates!$E:$E,_TECH_Industry_Templates!$A:$A,'Company Profile'!$B$9,_TECH_Industry_Templates!$B:$B,"Sales CRM"),1)</f>
        <v>1.1000000000000001</v>
      </c>
      <c r="AQ11" s="48" t="str">
        <f t="shared" si="7"/>
        <v/>
      </c>
      <c r="AR11" s="48" t="str">
        <f t="shared" si="8"/>
        <v/>
      </c>
      <c r="AS11" s="11">
        <f t="shared" si="9"/>
        <v>0</v>
      </c>
      <c r="AT11" s="11">
        <f t="shared" si="10"/>
        <v>0</v>
      </c>
    </row>
    <row r="12" spans="1:46" ht="57">
      <c r="A12" s="7" t="s">
        <v>4344</v>
      </c>
      <c r="B12" s="7" t="s">
        <v>1391</v>
      </c>
      <c r="C12" s="7" t="s">
        <v>4345</v>
      </c>
      <c r="D12" s="7" t="s">
        <v>4272</v>
      </c>
      <c r="E12" s="7" t="s">
        <v>4273</v>
      </c>
      <c r="F12" s="7" t="s">
        <v>4346</v>
      </c>
      <c r="G12" s="7">
        <v>4</v>
      </c>
      <c r="H12" s="153"/>
      <c r="I12" s="8" t="str">
        <f t="shared" si="0"/>
        <v/>
      </c>
      <c r="J12" s="8" t="str">
        <f t="shared" si="1"/>
        <v/>
      </c>
      <c r="K12" s="8" t="str">
        <f t="shared" si="2"/>
        <v/>
      </c>
      <c r="L12" s="7" t="str">
        <f t="shared" si="3"/>
        <v/>
      </c>
      <c r="M12" s="7" t="s">
        <v>4347</v>
      </c>
      <c r="N12" s="7" t="s">
        <v>4348</v>
      </c>
      <c r="O12" s="7" t="s">
        <v>4349</v>
      </c>
      <c r="P12" s="7" t="s">
        <v>4350</v>
      </c>
      <c r="Q12" s="7" t="s">
        <v>4351</v>
      </c>
      <c r="R12" s="7" t="s">
        <v>4352</v>
      </c>
      <c r="S12" s="7" t="s">
        <v>4281</v>
      </c>
      <c r="T12" s="7" t="s">
        <v>4282</v>
      </c>
      <c r="U12" s="7"/>
      <c r="V12" s="7" t="s">
        <v>4353</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Profile'!$B$9,_TECH_Industry_Templates!$B:$B,"Sales CRM"),"")</f>
        <v>3.8</v>
      </c>
      <c r="AO12" s="48" t="str">
        <f t="shared" si="6"/>
        <v/>
      </c>
      <c r="AP12" s="48">
        <f>IFERROR(SUMIFS(_TECH_Industry_Templates!$E:$E,_TECH_Industry_Templates!$A:$A,'Company Profile'!$B$9,_TECH_Industry_Templates!$B:$B,"Sales CRM"),1)</f>
        <v>1.1000000000000001</v>
      </c>
      <c r="AQ12" s="48" t="str">
        <f t="shared" si="7"/>
        <v/>
      </c>
      <c r="AR12" s="48" t="str">
        <f t="shared" si="8"/>
        <v/>
      </c>
      <c r="AS12" s="11">
        <f t="shared" si="9"/>
        <v>0</v>
      </c>
      <c r="AT12" s="11">
        <f t="shared" si="10"/>
        <v>0</v>
      </c>
    </row>
    <row r="13" spans="1:46" ht="71.25">
      <c r="A13" s="7" t="s">
        <v>4354</v>
      </c>
      <c r="B13" s="7" t="s">
        <v>1391</v>
      </c>
      <c r="C13" s="7" t="s">
        <v>4355</v>
      </c>
      <c r="D13" s="7" t="s">
        <v>4272</v>
      </c>
      <c r="E13" s="7" t="s">
        <v>4273</v>
      </c>
      <c r="F13" s="7" t="s">
        <v>4356</v>
      </c>
      <c r="G13" s="7">
        <v>4</v>
      </c>
      <c r="H13" s="153"/>
      <c r="I13" s="8" t="str">
        <f t="shared" si="0"/>
        <v/>
      </c>
      <c r="J13" s="8" t="str">
        <f t="shared" si="1"/>
        <v/>
      </c>
      <c r="K13" s="8" t="str">
        <f t="shared" si="2"/>
        <v/>
      </c>
      <c r="L13" s="7" t="str">
        <f t="shared" si="3"/>
        <v/>
      </c>
      <c r="M13" s="7" t="s">
        <v>4357</v>
      </c>
      <c r="N13" s="7" t="s">
        <v>4358</v>
      </c>
      <c r="O13" s="7" t="s">
        <v>4359</v>
      </c>
      <c r="P13" s="7" t="s">
        <v>4360</v>
      </c>
      <c r="Q13" s="7" t="s">
        <v>4361</v>
      </c>
      <c r="R13" s="7" t="s">
        <v>4362</v>
      </c>
      <c r="S13" s="7" t="s">
        <v>4281</v>
      </c>
      <c r="T13" s="7" t="s">
        <v>4282</v>
      </c>
      <c r="U13" s="7"/>
      <c r="V13" s="7" t="s">
        <v>4363</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Profile'!$B$9,_TECH_Industry_Templates!$B:$B,"Sales CRM"),"")</f>
        <v>3.8</v>
      </c>
      <c r="AO13" s="48" t="str">
        <f t="shared" si="6"/>
        <v/>
      </c>
      <c r="AP13" s="48">
        <f>IFERROR(SUMIFS(_TECH_Industry_Templates!$E:$E,_TECH_Industry_Templates!$A:$A,'Company Profile'!$B$9,_TECH_Industry_Templates!$B:$B,"Sales CRM"),1)</f>
        <v>1.1000000000000001</v>
      </c>
      <c r="AQ13" s="48" t="str">
        <f t="shared" si="7"/>
        <v/>
      </c>
      <c r="AR13" s="48" t="str">
        <f t="shared" si="8"/>
        <v/>
      </c>
      <c r="AS13" s="11">
        <f t="shared" si="9"/>
        <v>0</v>
      </c>
      <c r="AT13" s="11">
        <f t="shared" si="10"/>
        <v>0</v>
      </c>
    </row>
    <row r="14" spans="1:46" ht="71.25">
      <c r="A14" s="7" t="s">
        <v>4364</v>
      </c>
      <c r="B14" s="7" t="s">
        <v>1391</v>
      </c>
      <c r="C14" s="7" t="s">
        <v>4365</v>
      </c>
      <c r="D14" s="7" t="s">
        <v>4272</v>
      </c>
      <c r="E14" s="7" t="s">
        <v>4273</v>
      </c>
      <c r="F14" s="7" t="s">
        <v>4366</v>
      </c>
      <c r="G14" s="7">
        <v>3</v>
      </c>
      <c r="H14" s="153"/>
      <c r="I14" s="8" t="str">
        <f t="shared" si="0"/>
        <v/>
      </c>
      <c r="J14" s="8" t="str">
        <f t="shared" si="1"/>
        <v/>
      </c>
      <c r="K14" s="8" t="str">
        <f t="shared" si="2"/>
        <v/>
      </c>
      <c r="L14" s="7" t="str">
        <f t="shared" si="3"/>
        <v/>
      </c>
      <c r="M14" s="7" t="s">
        <v>4367</v>
      </c>
      <c r="N14" s="7" t="s">
        <v>4368</v>
      </c>
      <c r="O14" s="7" t="s">
        <v>4369</v>
      </c>
      <c r="P14" s="7" t="s">
        <v>4370</v>
      </c>
      <c r="Q14" s="7" t="s">
        <v>4371</v>
      </c>
      <c r="R14" s="7" t="s">
        <v>4372</v>
      </c>
      <c r="S14" s="7" t="s">
        <v>4281</v>
      </c>
      <c r="T14" s="7" t="s">
        <v>4282</v>
      </c>
      <c r="U14" s="7"/>
      <c r="V14" s="7" t="s">
        <v>4373</v>
      </c>
      <c r="W14" s="14">
        <v>5</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Profile'!$B$9,_TECH_Industry_Templates!$B:$B,"Sales CRM"),"")</f>
        <v>3.8</v>
      </c>
      <c r="AO14" s="48" t="str">
        <f t="shared" si="6"/>
        <v/>
      </c>
      <c r="AP14" s="48">
        <f>IFERROR(SUMIFS(_TECH_Industry_Templates!$E:$E,_TECH_Industry_Templates!$A:$A,'Company Profile'!$B$9,_TECH_Industry_Templates!$B:$B,"Sales CRM"),1)</f>
        <v>1.1000000000000001</v>
      </c>
      <c r="AQ14" s="48" t="str">
        <f t="shared" si="7"/>
        <v/>
      </c>
      <c r="AR14" s="48" t="str">
        <f t="shared" si="8"/>
        <v/>
      </c>
      <c r="AS14" s="11">
        <f t="shared" si="9"/>
        <v>0</v>
      </c>
      <c r="AT14" s="11">
        <f t="shared" si="10"/>
        <v>0</v>
      </c>
    </row>
    <row r="15" spans="1:46" ht="71.25">
      <c r="A15" s="7" t="s">
        <v>4374</v>
      </c>
      <c r="B15" s="7" t="s">
        <v>1399</v>
      </c>
      <c r="C15" s="7" t="s">
        <v>4375</v>
      </c>
      <c r="D15" s="7" t="s">
        <v>4272</v>
      </c>
      <c r="E15" s="7" t="s">
        <v>4273</v>
      </c>
      <c r="F15" s="7" t="s">
        <v>4376</v>
      </c>
      <c r="G15" s="7">
        <v>4</v>
      </c>
      <c r="H15" s="153"/>
      <c r="I15" s="8" t="str">
        <f t="shared" si="0"/>
        <v/>
      </c>
      <c r="J15" s="8" t="str">
        <f t="shared" si="1"/>
        <v/>
      </c>
      <c r="K15" s="8" t="str">
        <f t="shared" si="2"/>
        <v/>
      </c>
      <c r="L15" s="7" t="str">
        <f t="shared" si="3"/>
        <v/>
      </c>
      <c r="M15" s="7" t="s">
        <v>4377</v>
      </c>
      <c r="N15" s="7" t="s">
        <v>4378</v>
      </c>
      <c r="O15" s="7" t="s">
        <v>4379</v>
      </c>
      <c r="P15" s="7" t="s">
        <v>4380</v>
      </c>
      <c r="Q15" s="7" t="s">
        <v>4381</v>
      </c>
      <c r="R15" s="7" t="s">
        <v>4382</v>
      </c>
      <c r="S15" s="7" t="s">
        <v>4281</v>
      </c>
      <c r="T15" s="7" t="s">
        <v>4282</v>
      </c>
      <c r="U15" s="7"/>
      <c r="V15" s="7" t="s">
        <v>4383</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Profile'!$B$9,_TECH_Industry_Templates!$B:$B,"Sales CRM"),"")</f>
        <v>3.8</v>
      </c>
      <c r="AO15" s="48" t="str">
        <f t="shared" si="6"/>
        <v/>
      </c>
      <c r="AP15" s="48">
        <f>IFERROR(SUMIFS(_TECH_Industry_Templates!$E:$E,_TECH_Industry_Templates!$A:$A,'Company Profile'!$B$9,_TECH_Industry_Templates!$B:$B,"Sales CRM"),1)</f>
        <v>1.1000000000000001</v>
      </c>
      <c r="AQ15" s="48" t="str">
        <f t="shared" si="7"/>
        <v/>
      </c>
      <c r="AR15" s="48" t="str">
        <f t="shared" si="8"/>
        <v/>
      </c>
      <c r="AS15" s="11">
        <f t="shared" si="9"/>
        <v>0</v>
      </c>
      <c r="AT15" s="11">
        <f t="shared" si="10"/>
        <v>0</v>
      </c>
    </row>
    <row r="16" spans="1:46" ht="57">
      <c r="A16" s="7" t="s">
        <v>4384</v>
      </c>
      <c r="B16" s="7" t="s">
        <v>1399</v>
      </c>
      <c r="C16" s="7" t="s">
        <v>4385</v>
      </c>
      <c r="D16" s="7" t="s">
        <v>4272</v>
      </c>
      <c r="E16" s="7" t="s">
        <v>4273</v>
      </c>
      <c r="F16" s="7" t="s">
        <v>4386</v>
      </c>
      <c r="G16" s="7">
        <v>4</v>
      </c>
      <c r="H16" s="153"/>
      <c r="I16" s="8" t="str">
        <f t="shared" si="0"/>
        <v/>
      </c>
      <c r="J16" s="8" t="str">
        <f t="shared" si="1"/>
        <v/>
      </c>
      <c r="K16" s="8" t="str">
        <f t="shared" si="2"/>
        <v/>
      </c>
      <c r="L16" s="7" t="str">
        <f t="shared" si="3"/>
        <v/>
      </c>
      <c r="M16" s="7" t="s">
        <v>4387</v>
      </c>
      <c r="N16" s="7" t="s">
        <v>4388</v>
      </c>
      <c r="O16" s="7" t="s">
        <v>4389</v>
      </c>
      <c r="P16" s="7" t="s">
        <v>4390</v>
      </c>
      <c r="Q16" s="7" t="s">
        <v>4391</v>
      </c>
      <c r="R16" s="7" t="s">
        <v>4392</v>
      </c>
      <c r="S16" s="7" t="s">
        <v>4281</v>
      </c>
      <c r="T16" s="7" t="s">
        <v>4282</v>
      </c>
      <c r="U16" s="7"/>
      <c r="V16" s="7" t="s">
        <v>4393</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Profile'!$B$9,_TECH_Industry_Templates!$B:$B,"Sales CRM"),"")</f>
        <v>3.8</v>
      </c>
      <c r="AO16" s="48" t="str">
        <f t="shared" si="6"/>
        <v/>
      </c>
      <c r="AP16" s="48">
        <f>IFERROR(SUMIFS(_TECH_Industry_Templates!$E:$E,_TECH_Industry_Templates!$A:$A,'Company Profile'!$B$9,_TECH_Industry_Templates!$B:$B,"Sales CRM"),1)</f>
        <v>1.1000000000000001</v>
      </c>
      <c r="AQ16" s="48" t="str">
        <f t="shared" si="7"/>
        <v/>
      </c>
      <c r="AR16" s="48" t="str">
        <f t="shared" si="8"/>
        <v/>
      </c>
      <c r="AS16" s="11">
        <f t="shared" si="9"/>
        <v>0</v>
      </c>
      <c r="AT16" s="11">
        <f t="shared" si="10"/>
        <v>0</v>
      </c>
    </row>
    <row r="17" spans="1:46" ht="57">
      <c r="A17" s="7" t="s">
        <v>4394</v>
      </c>
      <c r="B17" s="7" t="s">
        <v>1399</v>
      </c>
      <c r="C17" s="7" t="s">
        <v>4395</v>
      </c>
      <c r="D17" s="7" t="s">
        <v>4272</v>
      </c>
      <c r="E17" s="7" t="s">
        <v>4273</v>
      </c>
      <c r="F17" s="7" t="s">
        <v>4396</v>
      </c>
      <c r="G17" s="7">
        <v>3</v>
      </c>
      <c r="H17" s="153"/>
      <c r="I17" s="8" t="str">
        <f t="shared" si="0"/>
        <v/>
      </c>
      <c r="J17" s="8" t="str">
        <f t="shared" si="1"/>
        <v/>
      </c>
      <c r="K17" s="8" t="str">
        <f t="shared" si="2"/>
        <v/>
      </c>
      <c r="L17" s="7" t="str">
        <f t="shared" si="3"/>
        <v/>
      </c>
      <c r="M17" s="7" t="s">
        <v>4397</v>
      </c>
      <c r="N17" s="7" t="s">
        <v>4398</v>
      </c>
      <c r="O17" s="7" t="s">
        <v>4399</v>
      </c>
      <c r="P17" s="7" t="s">
        <v>4400</v>
      </c>
      <c r="Q17" s="7" t="s">
        <v>4401</v>
      </c>
      <c r="R17" s="7" t="s">
        <v>4402</v>
      </c>
      <c r="S17" s="7" t="s">
        <v>4281</v>
      </c>
      <c r="T17" s="7" t="s">
        <v>4282</v>
      </c>
      <c r="U17" s="7"/>
      <c r="V17" s="7" t="s">
        <v>4403</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Profile'!$B$9,_TECH_Industry_Templates!$B:$B,"Sales CRM"),"")</f>
        <v>3.8</v>
      </c>
      <c r="AO17" s="48" t="str">
        <f t="shared" si="6"/>
        <v/>
      </c>
      <c r="AP17" s="48">
        <f>IFERROR(SUMIFS(_TECH_Industry_Templates!$E:$E,_TECH_Industry_Templates!$A:$A,'Company Profile'!$B$9,_TECH_Industry_Templates!$B:$B,"Sales CRM"),1)</f>
        <v>1.1000000000000001</v>
      </c>
      <c r="AQ17" s="48" t="str">
        <f t="shared" si="7"/>
        <v/>
      </c>
      <c r="AR17" s="48" t="str">
        <f t="shared" si="8"/>
        <v/>
      </c>
      <c r="AS17" s="11">
        <f t="shared" si="9"/>
        <v>0</v>
      </c>
      <c r="AT17" s="11">
        <f t="shared" si="10"/>
        <v>0</v>
      </c>
    </row>
    <row r="18" spans="1:46" ht="71.25">
      <c r="A18" s="7" t="s">
        <v>4404</v>
      </c>
      <c r="B18" s="7" t="s">
        <v>1399</v>
      </c>
      <c r="C18" s="7" t="s">
        <v>4405</v>
      </c>
      <c r="D18" s="7" t="s">
        <v>4272</v>
      </c>
      <c r="E18" s="7" t="s">
        <v>4273</v>
      </c>
      <c r="F18" s="7" t="s">
        <v>4406</v>
      </c>
      <c r="G18" s="7">
        <v>5</v>
      </c>
      <c r="H18" s="153"/>
      <c r="I18" s="8" t="str">
        <f t="shared" si="0"/>
        <v/>
      </c>
      <c r="J18" s="8" t="str">
        <f t="shared" si="1"/>
        <v/>
      </c>
      <c r="K18" s="8" t="str">
        <f t="shared" si="2"/>
        <v/>
      </c>
      <c r="L18" s="7" t="str">
        <f t="shared" si="3"/>
        <v/>
      </c>
      <c r="M18" s="7" t="s">
        <v>4407</v>
      </c>
      <c r="N18" s="7" t="s">
        <v>4408</v>
      </c>
      <c r="O18" s="7" t="s">
        <v>4409</v>
      </c>
      <c r="P18" s="7" t="s">
        <v>4410</v>
      </c>
      <c r="Q18" s="7" t="s">
        <v>4411</v>
      </c>
      <c r="R18" s="7" t="s">
        <v>4412</v>
      </c>
      <c r="S18" s="7" t="s">
        <v>4281</v>
      </c>
      <c r="T18" s="7" t="s">
        <v>4282</v>
      </c>
      <c r="U18" s="7"/>
      <c r="V18" s="7" t="s">
        <v>4413</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Profile'!$B$9,_TECH_Industry_Templates!$B:$B,"Sales CRM"),"")</f>
        <v>3.8</v>
      </c>
      <c r="AO18" s="48" t="str">
        <f t="shared" si="6"/>
        <v/>
      </c>
      <c r="AP18" s="48">
        <f>IFERROR(SUMIFS(_TECH_Industry_Templates!$E:$E,_TECH_Industry_Templates!$A:$A,'Company Profile'!$B$9,_TECH_Industry_Templates!$B:$B,"Sales CRM"),1)</f>
        <v>1.1000000000000001</v>
      </c>
      <c r="AQ18" s="48" t="str">
        <f t="shared" si="7"/>
        <v/>
      </c>
      <c r="AR18" s="48" t="str">
        <f t="shared" si="8"/>
        <v/>
      </c>
      <c r="AS18" s="11">
        <f t="shared" si="9"/>
        <v>0</v>
      </c>
      <c r="AT18" s="11">
        <f t="shared" si="10"/>
        <v>0</v>
      </c>
    </row>
    <row r="19" spans="1:46" ht="71.25">
      <c r="A19" s="7" t="s">
        <v>4414</v>
      </c>
      <c r="B19" s="7" t="s">
        <v>1399</v>
      </c>
      <c r="C19" s="7" t="s">
        <v>4415</v>
      </c>
      <c r="D19" s="7" t="s">
        <v>4272</v>
      </c>
      <c r="E19" s="7" t="s">
        <v>4273</v>
      </c>
      <c r="F19" s="7" t="s">
        <v>4416</v>
      </c>
      <c r="G19" s="7">
        <v>5</v>
      </c>
      <c r="H19" s="153"/>
      <c r="I19" s="8" t="str">
        <f t="shared" si="0"/>
        <v/>
      </c>
      <c r="J19" s="8" t="str">
        <f t="shared" si="1"/>
        <v/>
      </c>
      <c r="K19" s="8" t="str">
        <f t="shared" si="2"/>
        <v/>
      </c>
      <c r="L19" s="7" t="str">
        <f t="shared" si="3"/>
        <v/>
      </c>
      <c r="M19" s="7" t="s">
        <v>4417</v>
      </c>
      <c r="N19" s="7" t="s">
        <v>4418</v>
      </c>
      <c r="O19" s="7" t="s">
        <v>4419</v>
      </c>
      <c r="P19" s="7" t="s">
        <v>4420</v>
      </c>
      <c r="Q19" s="7" t="s">
        <v>4421</v>
      </c>
      <c r="R19" s="7" t="s">
        <v>4422</v>
      </c>
      <c r="S19" s="7" t="s">
        <v>4281</v>
      </c>
      <c r="T19" s="7" t="s">
        <v>4282</v>
      </c>
      <c r="U19" s="7"/>
      <c r="V19" s="7" t="s">
        <v>4423</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Profile'!$B$9,_TECH_Industry_Templates!$B:$B,"Sales CRM"),"")</f>
        <v>3.8</v>
      </c>
      <c r="AO19" s="48" t="str">
        <f t="shared" si="6"/>
        <v/>
      </c>
      <c r="AP19" s="48">
        <f>IFERROR(SUMIFS(_TECH_Industry_Templates!$E:$E,_TECH_Industry_Templates!$A:$A,'Company Profile'!$B$9,_TECH_Industry_Templates!$B:$B,"Sales CRM"),1)</f>
        <v>1.1000000000000001</v>
      </c>
      <c r="AQ19" s="48" t="str">
        <f t="shared" si="7"/>
        <v/>
      </c>
      <c r="AR19" s="48" t="str">
        <f t="shared" si="8"/>
        <v/>
      </c>
      <c r="AS19" s="11">
        <f t="shared" si="9"/>
        <v>0</v>
      </c>
      <c r="AT19" s="11">
        <f t="shared" si="10"/>
        <v>0</v>
      </c>
    </row>
    <row r="20" spans="1:46" ht="71.25">
      <c r="A20" s="7" t="s">
        <v>4424</v>
      </c>
      <c r="B20" s="7" t="s">
        <v>1399</v>
      </c>
      <c r="C20" s="7" t="s">
        <v>4425</v>
      </c>
      <c r="D20" s="7" t="s">
        <v>4272</v>
      </c>
      <c r="E20" s="7" t="s">
        <v>4273</v>
      </c>
      <c r="F20" s="7" t="s">
        <v>4426</v>
      </c>
      <c r="G20" s="7">
        <v>3</v>
      </c>
      <c r="H20" s="153"/>
      <c r="I20" s="8" t="str">
        <f t="shared" si="0"/>
        <v/>
      </c>
      <c r="J20" s="8" t="str">
        <f t="shared" si="1"/>
        <v/>
      </c>
      <c r="K20" s="8" t="str">
        <f t="shared" si="2"/>
        <v/>
      </c>
      <c r="L20" s="7" t="str">
        <f t="shared" si="3"/>
        <v/>
      </c>
      <c r="M20" s="7" t="s">
        <v>4427</v>
      </c>
      <c r="N20" s="7" t="s">
        <v>4428</v>
      </c>
      <c r="O20" s="7" t="s">
        <v>4429</v>
      </c>
      <c r="P20" s="7" t="s">
        <v>4430</v>
      </c>
      <c r="Q20" s="7" t="s">
        <v>4431</v>
      </c>
      <c r="R20" s="7" t="s">
        <v>4432</v>
      </c>
      <c r="S20" s="7" t="s">
        <v>4281</v>
      </c>
      <c r="T20" s="7" t="s">
        <v>4282</v>
      </c>
      <c r="U20" s="7"/>
      <c r="V20" s="7" t="s">
        <v>4433</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Profile'!$B$9,_TECH_Industry_Templates!$B:$B,"Sales CRM"),"")</f>
        <v>3.8</v>
      </c>
      <c r="AO20" s="48" t="str">
        <f t="shared" si="6"/>
        <v/>
      </c>
      <c r="AP20" s="48">
        <f>IFERROR(SUMIFS(_TECH_Industry_Templates!$E:$E,_TECH_Industry_Templates!$A:$A,'Company Profile'!$B$9,_TECH_Industry_Templates!$B:$B,"Sales CRM"),1)</f>
        <v>1.1000000000000001</v>
      </c>
      <c r="AQ20" s="48" t="str">
        <f t="shared" si="7"/>
        <v/>
      </c>
      <c r="AR20" s="48" t="str">
        <f t="shared" si="8"/>
        <v/>
      </c>
      <c r="AS20" s="11">
        <f t="shared" si="9"/>
        <v>0</v>
      </c>
      <c r="AT20" s="11">
        <f t="shared" si="10"/>
        <v>0</v>
      </c>
    </row>
    <row r="21" spans="1:46" ht="57">
      <c r="A21" s="7" t="s">
        <v>4434</v>
      </c>
      <c r="B21" s="7" t="s">
        <v>1407</v>
      </c>
      <c r="C21" s="7" t="s">
        <v>4435</v>
      </c>
      <c r="D21" s="7" t="s">
        <v>4272</v>
      </c>
      <c r="E21" s="7" t="s">
        <v>4273</v>
      </c>
      <c r="F21" s="7" t="s">
        <v>4436</v>
      </c>
      <c r="G21" s="7">
        <v>4</v>
      </c>
      <c r="H21" s="153"/>
      <c r="I21" s="8" t="str">
        <f t="shared" si="0"/>
        <v/>
      </c>
      <c r="J21" s="8" t="str">
        <f t="shared" si="1"/>
        <v/>
      </c>
      <c r="K21" s="8" t="str">
        <f t="shared" si="2"/>
        <v/>
      </c>
      <c r="L21" s="7" t="str">
        <f t="shared" si="3"/>
        <v/>
      </c>
      <c r="M21" s="7" t="s">
        <v>4437</v>
      </c>
      <c r="N21" s="7" t="s">
        <v>4438</v>
      </c>
      <c r="O21" s="7" t="s">
        <v>4439</v>
      </c>
      <c r="P21" s="7" t="s">
        <v>4440</v>
      </c>
      <c r="Q21" s="7" t="s">
        <v>4441</v>
      </c>
      <c r="R21" s="7" t="s">
        <v>4442</v>
      </c>
      <c r="S21" s="7" t="s">
        <v>4281</v>
      </c>
      <c r="T21" s="7" t="s">
        <v>4282</v>
      </c>
      <c r="U21" s="7"/>
      <c r="V21" s="7" t="s">
        <v>4443</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Profile'!$B$9,_TECH_Industry_Templates!$B:$B,"Sales CRM"),"")</f>
        <v>3.8</v>
      </c>
      <c r="AO21" s="48" t="str">
        <f t="shared" si="6"/>
        <v/>
      </c>
      <c r="AP21" s="48">
        <f>IFERROR(SUMIFS(_TECH_Industry_Templates!$E:$E,_TECH_Industry_Templates!$A:$A,'Company Profile'!$B$9,_TECH_Industry_Templates!$B:$B,"Sales CRM"),1)</f>
        <v>1.1000000000000001</v>
      </c>
      <c r="AQ21" s="48" t="str">
        <f t="shared" si="7"/>
        <v/>
      </c>
      <c r="AR21" s="48" t="str">
        <f t="shared" si="8"/>
        <v/>
      </c>
      <c r="AS21" s="11">
        <f t="shared" si="9"/>
        <v>0</v>
      </c>
      <c r="AT21" s="11">
        <f t="shared" si="10"/>
        <v>0</v>
      </c>
    </row>
    <row r="22" spans="1:46" ht="71.25">
      <c r="A22" s="7" t="s">
        <v>4444</v>
      </c>
      <c r="B22" s="7" t="s">
        <v>1407</v>
      </c>
      <c r="C22" s="7" t="s">
        <v>4445</v>
      </c>
      <c r="D22" s="7" t="s">
        <v>4272</v>
      </c>
      <c r="E22" s="7" t="s">
        <v>4273</v>
      </c>
      <c r="F22" s="7" t="s">
        <v>4446</v>
      </c>
      <c r="G22" s="7">
        <v>5</v>
      </c>
      <c r="H22" s="153"/>
      <c r="I22" s="8" t="str">
        <f t="shared" si="0"/>
        <v/>
      </c>
      <c r="J22" s="8" t="str">
        <f t="shared" si="1"/>
        <v/>
      </c>
      <c r="K22" s="8" t="str">
        <f t="shared" si="2"/>
        <v/>
      </c>
      <c r="L22" s="7" t="str">
        <f t="shared" si="3"/>
        <v/>
      </c>
      <c r="M22" s="7" t="s">
        <v>4447</v>
      </c>
      <c r="N22" s="7" t="s">
        <v>4448</v>
      </c>
      <c r="O22" s="7" t="s">
        <v>4449</v>
      </c>
      <c r="P22" s="7" t="s">
        <v>4450</v>
      </c>
      <c r="Q22" s="7" t="s">
        <v>4451</v>
      </c>
      <c r="R22" s="7" t="s">
        <v>4452</v>
      </c>
      <c r="S22" s="7" t="s">
        <v>4281</v>
      </c>
      <c r="T22" s="7" t="s">
        <v>4282</v>
      </c>
      <c r="U22" s="7"/>
      <c r="V22" s="7" t="s">
        <v>4453</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Profile'!$B$9,_TECH_Industry_Templates!$B:$B,"Sales CRM"),"")</f>
        <v>3.8</v>
      </c>
      <c r="AO22" s="48" t="str">
        <f t="shared" si="6"/>
        <v/>
      </c>
      <c r="AP22" s="48">
        <f>IFERROR(SUMIFS(_TECH_Industry_Templates!$E:$E,_TECH_Industry_Templates!$A:$A,'Company Profile'!$B$9,_TECH_Industry_Templates!$B:$B,"Sales CRM"),1)</f>
        <v>1.1000000000000001</v>
      </c>
      <c r="AQ22" s="48" t="str">
        <f t="shared" si="7"/>
        <v/>
      </c>
      <c r="AR22" s="48" t="str">
        <f t="shared" si="8"/>
        <v/>
      </c>
      <c r="AS22" s="11">
        <f t="shared" si="9"/>
        <v>0</v>
      </c>
      <c r="AT22" s="11">
        <f t="shared" si="10"/>
        <v>0</v>
      </c>
    </row>
    <row r="23" spans="1:46" ht="57">
      <c r="A23" s="7" t="s">
        <v>4454</v>
      </c>
      <c r="B23" s="7" t="s">
        <v>1407</v>
      </c>
      <c r="C23" s="7" t="s">
        <v>4455</v>
      </c>
      <c r="D23" s="7" t="s">
        <v>4272</v>
      </c>
      <c r="E23" s="7" t="s">
        <v>4273</v>
      </c>
      <c r="F23" s="7" t="s">
        <v>4456</v>
      </c>
      <c r="G23" s="7">
        <v>4</v>
      </c>
      <c r="H23" s="153"/>
      <c r="I23" s="8" t="str">
        <f t="shared" si="0"/>
        <v/>
      </c>
      <c r="J23" s="8" t="str">
        <f t="shared" si="1"/>
        <v/>
      </c>
      <c r="K23" s="8" t="str">
        <f t="shared" si="2"/>
        <v/>
      </c>
      <c r="L23" s="7" t="str">
        <f t="shared" si="3"/>
        <v/>
      </c>
      <c r="M23" s="7" t="s">
        <v>4457</v>
      </c>
      <c r="N23" s="7" t="s">
        <v>4458</v>
      </c>
      <c r="O23" s="7" t="s">
        <v>4459</v>
      </c>
      <c r="P23" s="7" t="s">
        <v>4460</v>
      </c>
      <c r="Q23" s="7" t="s">
        <v>4461</v>
      </c>
      <c r="R23" s="7" t="s">
        <v>4462</v>
      </c>
      <c r="S23" s="7" t="s">
        <v>4281</v>
      </c>
      <c r="T23" s="7" t="s">
        <v>4282</v>
      </c>
      <c r="U23" s="7"/>
      <c r="V23" s="7" t="s">
        <v>4463</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Profile'!$B$9,_TECH_Industry_Templates!$B:$B,"Sales CRM"),"")</f>
        <v>3.8</v>
      </c>
      <c r="AO23" s="48" t="str">
        <f t="shared" si="6"/>
        <v/>
      </c>
      <c r="AP23" s="48">
        <f>IFERROR(SUMIFS(_TECH_Industry_Templates!$E:$E,_TECH_Industry_Templates!$A:$A,'Company Profile'!$B$9,_TECH_Industry_Templates!$B:$B,"Sales CRM"),1)</f>
        <v>1.1000000000000001</v>
      </c>
      <c r="AQ23" s="48" t="str">
        <f t="shared" si="7"/>
        <v/>
      </c>
      <c r="AR23" s="48" t="str">
        <f t="shared" si="8"/>
        <v/>
      </c>
      <c r="AS23" s="11">
        <f t="shared" si="9"/>
        <v>0</v>
      </c>
      <c r="AT23" s="11">
        <f t="shared" si="10"/>
        <v>0</v>
      </c>
    </row>
    <row r="24" spans="1:46" ht="71.25">
      <c r="A24" s="7" t="s">
        <v>4464</v>
      </c>
      <c r="B24" s="7" t="s">
        <v>1407</v>
      </c>
      <c r="C24" s="7" t="s">
        <v>4465</v>
      </c>
      <c r="D24" s="7" t="s">
        <v>4272</v>
      </c>
      <c r="E24" s="7" t="s">
        <v>4273</v>
      </c>
      <c r="F24" s="7" t="s">
        <v>4466</v>
      </c>
      <c r="G24" s="7">
        <v>5</v>
      </c>
      <c r="H24" s="153"/>
      <c r="I24" s="8" t="str">
        <f t="shared" si="0"/>
        <v/>
      </c>
      <c r="J24" s="8" t="str">
        <f t="shared" si="1"/>
        <v/>
      </c>
      <c r="K24" s="8" t="str">
        <f t="shared" si="2"/>
        <v/>
      </c>
      <c r="L24" s="7" t="str">
        <f t="shared" si="3"/>
        <v/>
      </c>
      <c r="M24" s="7" t="s">
        <v>4467</v>
      </c>
      <c r="N24" s="7" t="s">
        <v>4468</v>
      </c>
      <c r="O24" s="7" t="s">
        <v>4469</v>
      </c>
      <c r="P24" s="7" t="s">
        <v>4470</v>
      </c>
      <c r="Q24" s="7" t="s">
        <v>4471</v>
      </c>
      <c r="R24" s="7" t="s">
        <v>4472</v>
      </c>
      <c r="S24" s="7" t="s">
        <v>4281</v>
      </c>
      <c r="T24" s="7" t="s">
        <v>4282</v>
      </c>
      <c r="U24" s="7"/>
      <c r="V24" s="7" t="s">
        <v>4473</v>
      </c>
      <c r="W24" s="14">
        <v>4</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Profile'!$B$9,_TECH_Industry_Templates!$B:$B,"Sales CRM"),"")</f>
        <v>3.8</v>
      </c>
      <c r="AO24" s="48" t="str">
        <f t="shared" si="6"/>
        <v/>
      </c>
      <c r="AP24" s="48">
        <f>IFERROR(SUMIFS(_TECH_Industry_Templates!$E:$E,_TECH_Industry_Templates!$A:$A,'Company Profile'!$B$9,_TECH_Industry_Templates!$B:$B,"Sales CRM"),1)</f>
        <v>1.1000000000000001</v>
      </c>
      <c r="AQ24" s="48" t="str">
        <f t="shared" si="7"/>
        <v/>
      </c>
      <c r="AR24" s="48" t="str">
        <f t="shared" si="8"/>
        <v/>
      </c>
      <c r="AS24" s="11">
        <f t="shared" si="9"/>
        <v>0</v>
      </c>
      <c r="AT24" s="11">
        <f t="shared" si="10"/>
        <v>0</v>
      </c>
    </row>
    <row r="25" spans="1:46" ht="71.25">
      <c r="A25" s="7" t="s">
        <v>4474</v>
      </c>
      <c r="B25" s="7" t="s">
        <v>1407</v>
      </c>
      <c r="C25" s="7" t="s">
        <v>4475</v>
      </c>
      <c r="D25" s="7" t="s">
        <v>4272</v>
      </c>
      <c r="E25" s="7" t="s">
        <v>4273</v>
      </c>
      <c r="F25" s="7" t="s">
        <v>4476</v>
      </c>
      <c r="G25" s="7">
        <v>5</v>
      </c>
      <c r="H25" s="153"/>
      <c r="I25" s="8" t="str">
        <f t="shared" si="0"/>
        <v/>
      </c>
      <c r="J25" s="8" t="str">
        <f t="shared" si="1"/>
        <v/>
      </c>
      <c r="K25" s="8" t="str">
        <f t="shared" si="2"/>
        <v/>
      </c>
      <c r="L25" s="7" t="str">
        <f t="shared" si="3"/>
        <v/>
      </c>
      <c r="M25" s="7" t="s">
        <v>4477</v>
      </c>
      <c r="N25" s="7" t="s">
        <v>4478</v>
      </c>
      <c r="O25" s="7" t="s">
        <v>4479</v>
      </c>
      <c r="P25" s="7" t="s">
        <v>4480</v>
      </c>
      <c r="Q25" s="7" t="s">
        <v>4481</v>
      </c>
      <c r="R25" s="7" t="s">
        <v>4482</v>
      </c>
      <c r="S25" s="7" t="s">
        <v>4281</v>
      </c>
      <c r="T25" s="7" t="s">
        <v>4282</v>
      </c>
      <c r="U25" s="7"/>
      <c r="V25" s="7" t="s">
        <v>4483</v>
      </c>
      <c r="W25" s="14">
        <v>4</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Profile'!$B$9,_TECH_Industry_Templates!$B:$B,"Sales CRM"),"")</f>
        <v>3.8</v>
      </c>
      <c r="AO25" s="48" t="str">
        <f t="shared" si="6"/>
        <v/>
      </c>
      <c r="AP25" s="48">
        <f>IFERROR(SUMIFS(_TECH_Industry_Templates!$E:$E,_TECH_Industry_Templates!$A:$A,'Company Profile'!$B$9,_TECH_Industry_Templates!$B:$B,"Sales CRM"),1)</f>
        <v>1.1000000000000001</v>
      </c>
      <c r="AQ25" s="48" t="str">
        <f t="shared" si="7"/>
        <v/>
      </c>
      <c r="AR25" s="48" t="str">
        <f t="shared" si="8"/>
        <v/>
      </c>
      <c r="AS25" s="11">
        <f t="shared" si="9"/>
        <v>0</v>
      </c>
      <c r="AT25" s="11">
        <f t="shared" si="10"/>
        <v>0</v>
      </c>
    </row>
  </sheetData>
  <mergeCells count="4">
    <mergeCell ref="A2:V2"/>
    <mergeCell ref="AA3:AG3"/>
    <mergeCell ref="A1:V1"/>
    <mergeCell ref="W3:Y3"/>
  </mergeCells>
  <conditionalFormatting sqref="H5:H25">
    <cfRule type="colorScale" priority="1">
      <colorScale>
        <cfvo type="min"/>
        <cfvo type="percentile" val="50"/>
        <cfvo type="max"/>
        <color rgb="FFF8696B"/>
        <color rgb="FFFFEB84"/>
        <color rgb="FF63BE7B"/>
      </colorScale>
    </cfRule>
  </conditionalFormatting>
  <conditionalFormatting sqref="L5:L25">
    <cfRule type="expression" dxfId="46" priority="2">
      <formula>$L5="Critical"</formula>
    </cfRule>
    <cfRule type="expression" dxfId="45" priority="3">
      <formula>$L5="High"</formula>
    </cfRule>
    <cfRule type="expression" dxfId="44" priority="4">
      <formula>$L5="Medium"</formula>
    </cfRule>
    <cfRule type="expression" dxfId="43" priority="5">
      <formula>$L5="Low"</formula>
    </cfRule>
    <cfRule type="expression" dxfId="42"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5" ns2:uid="{00000000-0002-0000-1D00-000000000000}">
      <formula1>"N/A,0,1,2,3,4,5"</formula1>
    </dataValidation>
    <dataValidation type="list" sqref="G5:G25" ns2:uid="{00000000-0002-0000-1D00-000001000000}">
      <formula1>"1,2,3,4,5"</formula1>
    </dataValidation>
    <dataValidation type="list" sqref="W5:Y25" ns2:uid="{00000000-0002-0000-1D00-000002000000}">
      <formula1>"0,1,2,3,4,5"</formula1>
    </dataValidation>
    <dataValidation type="list" allowBlank="1" sqref="AH5:AI25" ns2:uid="{00000000-0002-0000-1D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1.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E00-000000000000}">
  <sheetPr>
    <tabColor rgb="FFED7D31"/>
  </sheetPr>
  <dimension ref="A1:AT21"/>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4484</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4485</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4486</v>
      </c>
      <c r="B5" s="7" t="s">
        <v>1415</v>
      </c>
      <c r="C5" s="7" t="s">
        <v>4487</v>
      </c>
      <c r="D5" s="7" t="s">
        <v>4488</v>
      </c>
      <c r="E5" s="7" t="s">
        <v>4489</v>
      </c>
      <c r="F5" s="7" t="s">
        <v>4490</v>
      </c>
      <c r="G5" s="7">
        <v>3</v>
      </c>
      <c r="H5" s="153"/>
      <c r="I5" s="8" t="str">
        <f t="shared" ref="I5:I21" si="0">IF($H5="","",IF($H5="N/A","",VALUE($H5)/5*$G5))</f>
        <v/>
      </c>
      <c r="J5" s="8" t="str">
        <f t="shared" ref="J5:J21" si="1">IF(OR($H5="",$H5="N/A"),"",$G5)</f>
        <v/>
      </c>
      <c r="K5" s="8" t="str">
        <f t="shared" ref="K5:K21" si="2">IF(OR($H5="",$H5="N/A"),"",$J5-$I5)</f>
        <v/>
      </c>
      <c r="L5" s="7" t="str">
        <f t="shared" ref="L5:L21" si="3">IF($H5="","",IF($H5="N/A","N/A",IF(VALUE($H5)&lt;=1,"Critical",IF(VALUE($H5)&lt;=2,"High",IF(VALUE($H5)&lt;=3,"Medium",IF(VALUE($H5)&lt;=4,"Low","Resilient"))))))</f>
        <v/>
      </c>
      <c r="M5" s="7" t="s">
        <v>4491</v>
      </c>
      <c r="N5" s="7" t="s">
        <v>4492</v>
      </c>
      <c r="O5" s="7" t="s">
        <v>4493</v>
      </c>
      <c r="P5" s="7" t="s">
        <v>4494</v>
      </c>
      <c r="Q5" s="7" t="s">
        <v>4495</v>
      </c>
      <c r="R5" s="7" t="s">
        <v>4496</v>
      </c>
      <c r="S5" s="7" t="s">
        <v>4497</v>
      </c>
      <c r="T5" s="7" t="s">
        <v>4498</v>
      </c>
      <c r="U5" s="7"/>
      <c r="V5" s="7" t="s">
        <v>4499</v>
      </c>
      <c r="W5" s="14">
        <v>4</v>
      </c>
      <c r="X5" s="14">
        <v>5</v>
      </c>
      <c r="Y5" s="14">
        <v>5</v>
      </c>
      <c r="AA5" t="s">
        <v>1415</v>
      </c>
      <c r="AB5" s="13">
        <f>COUNTIF($B$5:$B$21,$AA5)</f>
        <v>5</v>
      </c>
      <c r="AC5" s="15">
        <f>IFERROR(SUMPRODUCT(($B$5:$B$21=$AA5)*($H$5:$H$21&lt;&gt;"")*($H$5:$H$21&lt;&gt;"N/A")*IFERROR(VALUE($H$5:$H$21),0))/SUMPRODUCT(($B$5:$B$21=$AA5)*($H$5:$H$21&lt;&gt;"")*($H$5:$H$21&lt;&gt;"N/A")),0)</f>
        <v>0</v>
      </c>
      <c r="AD5" s="16">
        <f>AC5/5</f>
        <v>0</v>
      </c>
      <c r="AE5" s="13">
        <f>COUNTIFS($B$5:$B$21,$AA5,$L$5:$L$21,"Critical")+COUNTIFS($B$5:$B$21,$AA5,$L$5:$L$21,"High")</f>
        <v>0</v>
      </c>
      <c r="AF5" s="15">
        <f>5-AC5</f>
        <v>5</v>
      </c>
      <c r="AG5" s="13">
        <f>COUNTIFS($B$5:$B$21,$AA5,$H$5:$H$21,"&lt;&gt;")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1" si="4">IF(OR($H5="",$H5="N/A"),"",ROUND(VALUE($H5)*$AJ5*$AK5,2))</f>
        <v/>
      </c>
      <c r="AM5" s="48" t="str">
        <f t="shared" ref="AM5:AM21" si="5">IF($AL5="","",ROUND($AL5/5*100,1))</f>
        <v/>
      </c>
      <c r="AN5" s="48">
        <f>IFERROR(SUMIFS(_TECH_Industry_Templates!$D:$D,_TECH_Industry_Templates!$A:$A,'Company Profile'!$B$9,_TECH_Industry_Templates!$B:$B,"Marketing Comms"),"")</f>
        <v>3.5</v>
      </c>
      <c r="AO5" s="48" t="str">
        <f t="shared" ref="AO5:AO21" si="6">IF($AL5="","",MAX(0,ROUND($AN5-$AL5,2)))</f>
        <v/>
      </c>
      <c r="AP5" s="48">
        <f>IFERROR(SUMIFS(_TECH_Industry_Templates!$E:$E,_TECH_Industry_Templates!$A:$A,'Company Profile'!$B$9,_TECH_Industry_Templates!$B:$B,"Marketing Comms"),1)</f>
        <v>1</v>
      </c>
      <c r="AQ5" s="48" t="str">
        <f t="shared" ref="AQ5:AQ21" si="7">IF($AO5="","",ROUND($AO5*$AP5*($G5/5),2))</f>
        <v/>
      </c>
      <c r="AR5" s="48" t="str">
        <f t="shared" ref="AR5:AR21" si="8">IF($AO5="","",IF($AO5&gt;=2,"Critical industry gap",IF($AO5&gt;=1,"High industry gap",IF($AO5&gt;=0.5,"Moderate industry gap","Within target"))))</f>
        <v/>
      </c>
      <c r="AS5" s="11">
        <f t="shared" ref="AS5:AS21" si="9">IF(OR($H5="",$H5="N/A"),0,VALUE($H5)*(($AJ5+$AK5)/2))</f>
        <v>0</v>
      </c>
      <c r="AT5" s="11">
        <f t="shared" ref="AT5:AT21" si="10">IF(OR($H5="",$H5="N/A"),0,($AJ5+$AK5)/2)</f>
        <v>0</v>
      </c>
    </row>
    <row r="6" spans="1:46" ht="71.25">
      <c r="A6" s="7" t="s">
        <v>4500</v>
      </c>
      <c r="B6" s="7" t="s">
        <v>1415</v>
      </c>
      <c r="C6" s="7" t="s">
        <v>4501</v>
      </c>
      <c r="D6" s="7" t="s">
        <v>4488</v>
      </c>
      <c r="E6" s="7" t="s">
        <v>4489</v>
      </c>
      <c r="F6" s="7" t="s">
        <v>4502</v>
      </c>
      <c r="G6" s="7">
        <v>5</v>
      </c>
      <c r="H6" s="153"/>
      <c r="I6" s="8" t="str">
        <f t="shared" si="0"/>
        <v/>
      </c>
      <c r="J6" s="8" t="str">
        <f t="shared" si="1"/>
        <v/>
      </c>
      <c r="K6" s="8" t="str">
        <f t="shared" si="2"/>
        <v/>
      </c>
      <c r="L6" s="7" t="str">
        <f t="shared" si="3"/>
        <v/>
      </c>
      <c r="M6" s="7" t="s">
        <v>4503</v>
      </c>
      <c r="N6" s="7" t="s">
        <v>4504</v>
      </c>
      <c r="O6" s="7" t="s">
        <v>4505</v>
      </c>
      <c r="P6" s="7" t="s">
        <v>4506</v>
      </c>
      <c r="Q6" s="7" t="s">
        <v>4507</v>
      </c>
      <c r="R6" s="7" t="s">
        <v>4508</v>
      </c>
      <c r="S6" s="7" t="s">
        <v>4497</v>
      </c>
      <c r="T6" s="7" t="s">
        <v>4498</v>
      </c>
      <c r="U6" s="7"/>
      <c r="V6" s="7" t="s">
        <v>4509</v>
      </c>
      <c r="W6" s="14">
        <v>4</v>
      </c>
      <c r="X6" s="14">
        <v>5</v>
      </c>
      <c r="Y6" s="14">
        <v>5</v>
      </c>
      <c r="AA6" t="s">
        <v>1425</v>
      </c>
      <c r="AB6" s="13">
        <f>COUNTIF($B$5:$B$21,$AA6)</f>
        <v>6</v>
      </c>
      <c r="AC6" s="15">
        <f>IFERROR(SUMPRODUCT(($B$5:$B$21=$AA6)*($H$5:$H$21&lt;&gt;"")*($H$5:$H$21&lt;&gt;"N/A")*IFERROR(VALUE($H$5:$H$21),0))/SUMPRODUCT(($B$5:$B$21=$AA6)*($H$5:$H$21&lt;&gt;"")*($H$5:$H$21&lt;&gt;"N/A")),0)</f>
        <v>0</v>
      </c>
      <c r="AD6" s="16">
        <f>AC6/5</f>
        <v>0</v>
      </c>
      <c r="AE6" s="13">
        <f>COUNTIFS($B$5:$B$21,$AA6,$L$5:$L$21,"Critical")+COUNTIFS($B$5:$B$21,$AA6,$L$5:$L$21,"High")</f>
        <v>0</v>
      </c>
      <c r="AF6" s="15">
        <f>5-AC6</f>
        <v>5</v>
      </c>
      <c r="AG6" s="13">
        <f>COUNTIFS($B$5:$B$21,$AA6,$H$5:$H$21,"&lt;&gt;")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Profile'!$B$9,_TECH_Industry_Templates!$B:$B,"Marketing Comms"),"")</f>
        <v>3.5</v>
      </c>
      <c r="AO6" s="48" t="str">
        <f t="shared" si="6"/>
        <v/>
      </c>
      <c r="AP6" s="48">
        <f>IFERROR(SUMIFS(_TECH_Industry_Templates!$E:$E,_TECH_Industry_Templates!$A:$A,'Company Profile'!$B$9,_TECH_Industry_Templates!$B:$B,"Marketing Comms"),1)</f>
        <v>1</v>
      </c>
      <c r="AQ6" s="48" t="str">
        <f t="shared" si="7"/>
        <v/>
      </c>
      <c r="AR6" s="48" t="str">
        <f t="shared" si="8"/>
        <v/>
      </c>
      <c r="AS6" s="11">
        <f t="shared" si="9"/>
        <v>0</v>
      </c>
      <c r="AT6" s="11">
        <f t="shared" si="10"/>
        <v>0</v>
      </c>
    </row>
    <row r="7" spans="1:46" ht="71.25">
      <c r="A7" s="7" t="s">
        <v>4510</v>
      </c>
      <c r="B7" s="7" t="s">
        <v>1415</v>
      </c>
      <c r="C7" s="7" t="s">
        <v>4511</v>
      </c>
      <c r="D7" s="7" t="s">
        <v>4488</v>
      </c>
      <c r="E7" s="7" t="s">
        <v>4489</v>
      </c>
      <c r="F7" s="7" t="s">
        <v>4512</v>
      </c>
      <c r="G7" s="7">
        <v>5</v>
      </c>
      <c r="H7" s="153"/>
      <c r="I7" s="8" t="str">
        <f t="shared" si="0"/>
        <v/>
      </c>
      <c r="J7" s="8" t="str">
        <f t="shared" si="1"/>
        <v/>
      </c>
      <c r="K7" s="8" t="str">
        <f t="shared" si="2"/>
        <v/>
      </c>
      <c r="L7" s="7" t="str">
        <f t="shared" si="3"/>
        <v/>
      </c>
      <c r="M7" s="7" t="s">
        <v>4513</v>
      </c>
      <c r="N7" s="7" t="s">
        <v>4514</v>
      </c>
      <c r="O7" s="7" t="s">
        <v>4515</v>
      </c>
      <c r="P7" s="7" t="s">
        <v>4516</v>
      </c>
      <c r="Q7" s="7" t="s">
        <v>4517</v>
      </c>
      <c r="R7" s="7" t="s">
        <v>4518</v>
      </c>
      <c r="S7" s="7" t="s">
        <v>4497</v>
      </c>
      <c r="T7" s="7" t="s">
        <v>4498</v>
      </c>
      <c r="U7" s="7"/>
      <c r="V7" s="7" t="s">
        <v>4519</v>
      </c>
      <c r="W7" s="14">
        <v>4</v>
      </c>
      <c r="X7" s="14">
        <v>5</v>
      </c>
      <c r="Y7" s="14">
        <v>5</v>
      </c>
      <c r="AA7" t="s">
        <v>1433</v>
      </c>
      <c r="AB7" s="13">
        <f>COUNTIF($B$5:$B$21,$AA7)</f>
        <v>6</v>
      </c>
      <c r="AC7" s="15">
        <f>IFERROR(SUMPRODUCT(($B$5:$B$21=$AA7)*($H$5:$H$21&lt;&gt;"")*($H$5:$H$21&lt;&gt;"N/A")*IFERROR(VALUE($H$5:$H$21),0))/SUMPRODUCT(($B$5:$B$21=$AA7)*($H$5:$H$21&lt;&gt;"")*($H$5:$H$21&lt;&gt;"N/A")),0)</f>
        <v>0</v>
      </c>
      <c r="AD7" s="16">
        <f>AC7/5</f>
        <v>0</v>
      </c>
      <c r="AE7" s="13">
        <f>COUNTIFS($B$5:$B$21,$AA7,$L$5:$L$21,"Critical")+COUNTIFS($B$5:$B$21,$AA7,$L$5:$L$21,"High")</f>
        <v>0</v>
      </c>
      <c r="AF7" s="15">
        <f>5-AC7</f>
        <v>5</v>
      </c>
      <c r="AG7" s="13">
        <f>COUNTIFS($B$5:$B$21,$AA7,$H$5:$H$21,"&lt;&gt;")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Profile'!$B$9,_TECH_Industry_Templates!$B:$B,"Marketing Comms"),"")</f>
        <v>3.5</v>
      </c>
      <c r="AO7" s="48" t="str">
        <f t="shared" si="6"/>
        <v/>
      </c>
      <c r="AP7" s="48">
        <f>IFERROR(SUMIFS(_TECH_Industry_Templates!$E:$E,_TECH_Industry_Templates!$A:$A,'Company Profile'!$B$9,_TECH_Industry_Templates!$B:$B,"Marketing Comms"),1)</f>
        <v>1</v>
      </c>
      <c r="AQ7" s="48" t="str">
        <f t="shared" si="7"/>
        <v/>
      </c>
      <c r="AR7" s="48" t="str">
        <f t="shared" si="8"/>
        <v/>
      </c>
      <c r="AS7" s="11">
        <f t="shared" si="9"/>
        <v>0</v>
      </c>
      <c r="AT7" s="11">
        <f t="shared" si="10"/>
        <v>0</v>
      </c>
    </row>
    <row r="8" spans="1:46" ht="71.25">
      <c r="A8" s="7" t="s">
        <v>4520</v>
      </c>
      <c r="B8" s="7" t="s">
        <v>1415</v>
      </c>
      <c r="C8" s="7" t="s">
        <v>4521</v>
      </c>
      <c r="D8" s="7" t="s">
        <v>4488</v>
      </c>
      <c r="E8" s="7" t="s">
        <v>4489</v>
      </c>
      <c r="F8" s="7" t="s">
        <v>4522</v>
      </c>
      <c r="G8" s="7">
        <v>3</v>
      </c>
      <c r="H8" s="153"/>
      <c r="I8" s="8" t="str">
        <f t="shared" si="0"/>
        <v/>
      </c>
      <c r="J8" s="8" t="str">
        <f t="shared" si="1"/>
        <v/>
      </c>
      <c r="K8" s="8" t="str">
        <f t="shared" si="2"/>
        <v/>
      </c>
      <c r="L8" s="7" t="str">
        <f t="shared" si="3"/>
        <v/>
      </c>
      <c r="M8" s="7" t="s">
        <v>4523</v>
      </c>
      <c r="N8" s="7" t="s">
        <v>4524</v>
      </c>
      <c r="O8" s="7" t="s">
        <v>4525</v>
      </c>
      <c r="P8" s="7" t="s">
        <v>4526</v>
      </c>
      <c r="Q8" s="7" t="s">
        <v>4527</v>
      </c>
      <c r="R8" s="7" t="s">
        <v>4528</v>
      </c>
      <c r="S8" s="7" t="s">
        <v>4497</v>
      </c>
      <c r="T8" s="7" t="s">
        <v>4498</v>
      </c>
      <c r="U8" s="7"/>
      <c r="V8" s="7" t="s">
        <v>4529</v>
      </c>
      <c r="W8" s="14">
        <v>4</v>
      </c>
      <c r="X8" s="14">
        <v>5</v>
      </c>
      <c r="Y8" s="14">
        <v>5</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Profile'!$B$9,_TECH_Industry_Templates!$B:$B,"Marketing Comms"),"")</f>
        <v>3.5</v>
      </c>
      <c r="AO8" s="48" t="str">
        <f t="shared" si="6"/>
        <v/>
      </c>
      <c r="AP8" s="48">
        <f>IFERROR(SUMIFS(_TECH_Industry_Templates!$E:$E,_TECH_Industry_Templates!$A:$A,'Company Profile'!$B$9,_TECH_Industry_Templates!$B:$B,"Marketing Comms"),1)</f>
        <v>1</v>
      </c>
      <c r="AQ8" s="48" t="str">
        <f t="shared" si="7"/>
        <v/>
      </c>
      <c r="AR8" s="48" t="str">
        <f t="shared" si="8"/>
        <v/>
      </c>
      <c r="AS8" s="11">
        <f t="shared" si="9"/>
        <v>0</v>
      </c>
      <c r="AT8" s="11">
        <f t="shared" si="10"/>
        <v>0</v>
      </c>
    </row>
    <row r="9" spans="1:46" ht="57">
      <c r="A9" s="7" t="s">
        <v>4530</v>
      </c>
      <c r="B9" s="7" t="s">
        <v>1415</v>
      </c>
      <c r="C9" s="7" t="s">
        <v>4531</v>
      </c>
      <c r="D9" s="7" t="s">
        <v>4488</v>
      </c>
      <c r="E9" s="7" t="s">
        <v>4489</v>
      </c>
      <c r="F9" s="7" t="s">
        <v>4532</v>
      </c>
      <c r="G9" s="7">
        <v>3</v>
      </c>
      <c r="H9" s="153"/>
      <c r="I9" s="8" t="str">
        <f t="shared" si="0"/>
        <v/>
      </c>
      <c r="J9" s="8" t="str">
        <f t="shared" si="1"/>
        <v/>
      </c>
      <c r="K9" s="8" t="str">
        <f t="shared" si="2"/>
        <v/>
      </c>
      <c r="L9" s="7" t="str">
        <f t="shared" si="3"/>
        <v/>
      </c>
      <c r="M9" s="7" t="s">
        <v>4533</v>
      </c>
      <c r="N9" s="7" t="s">
        <v>4534</v>
      </c>
      <c r="O9" s="7" t="s">
        <v>4535</v>
      </c>
      <c r="P9" s="7" t="s">
        <v>4536</v>
      </c>
      <c r="Q9" s="7" t="s">
        <v>4537</v>
      </c>
      <c r="R9" s="7" t="s">
        <v>4538</v>
      </c>
      <c r="S9" s="7" t="s">
        <v>4497</v>
      </c>
      <c r="T9" s="7" t="s">
        <v>4498</v>
      </c>
      <c r="U9" s="7"/>
      <c r="V9" s="7" t="s">
        <v>4539</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Profile'!$B$9,_TECH_Industry_Templates!$B:$B,"Marketing Comms"),"")</f>
        <v>3.5</v>
      </c>
      <c r="AO9" s="48" t="str">
        <f t="shared" si="6"/>
        <v/>
      </c>
      <c r="AP9" s="48">
        <f>IFERROR(SUMIFS(_TECH_Industry_Templates!$E:$E,_TECH_Industry_Templates!$A:$A,'Company Profile'!$B$9,_TECH_Industry_Templates!$B:$B,"Marketing Comms"),1)</f>
        <v>1</v>
      </c>
      <c r="AQ9" s="48" t="str">
        <f t="shared" si="7"/>
        <v/>
      </c>
      <c r="AR9" s="48" t="str">
        <f t="shared" si="8"/>
        <v/>
      </c>
      <c r="AS9" s="11">
        <f t="shared" si="9"/>
        <v>0</v>
      </c>
      <c r="AT9" s="11">
        <f t="shared" si="10"/>
        <v>0</v>
      </c>
    </row>
    <row r="10" spans="1:46" ht="71.25">
      <c r="A10" s="7" t="s">
        <v>4540</v>
      </c>
      <c r="B10" s="7" t="s">
        <v>1425</v>
      </c>
      <c r="C10" s="7" t="s">
        <v>4541</v>
      </c>
      <c r="D10" s="7" t="s">
        <v>4488</v>
      </c>
      <c r="E10" s="7" t="s">
        <v>4489</v>
      </c>
      <c r="F10" s="7" t="s">
        <v>4542</v>
      </c>
      <c r="G10" s="7">
        <v>5</v>
      </c>
      <c r="H10" s="153"/>
      <c r="I10" s="8" t="str">
        <f t="shared" si="0"/>
        <v/>
      </c>
      <c r="J10" s="8" t="str">
        <f t="shared" si="1"/>
        <v/>
      </c>
      <c r="K10" s="8" t="str">
        <f t="shared" si="2"/>
        <v/>
      </c>
      <c r="L10" s="7" t="str">
        <f t="shared" si="3"/>
        <v/>
      </c>
      <c r="M10" s="7" t="s">
        <v>4543</v>
      </c>
      <c r="N10" s="7" t="s">
        <v>4544</v>
      </c>
      <c r="O10" s="7" t="s">
        <v>4545</v>
      </c>
      <c r="P10" s="7" t="s">
        <v>4546</v>
      </c>
      <c r="Q10" s="7" t="s">
        <v>4547</v>
      </c>
      <c r="R10" s="7" t="s">
        <v>4548</v>
      </c>
      <c r="S10" s="7" t="s">
        <v>4497</v>
      </c>
      <c r="T10" s="7" t="s">
        <v>4498</v>
      </c>
      <c r="U10" s="7"/>
      <c r="V10" s="7" t="s">
        <v>4549</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Profile'!$B$9,_TECH_Industry_Templates!$B:$B,"Marketing Comms"),"")</f>
        <v>3.5</v>
      </c>
      <c r="AO10" s="48" t="str">
        <f t="shared" si="6"/>
        <v/>
      </c>
      <c r="AP10" s="48">
        <f>IFERROR(SUMIFS(_TECH_Industry_Templates!$E:$E,_TECH_Industry_Templates!$A:$A,'Company Profile'!$B$9,_TECH_Industry_Templates!$B:$B,"Marketing Comms"),1)</f>
        <v>1</v>
      </c>
      <c r="AQ10" s="48" t="str">
        <f t="shared" si="7"/>
        <v/>
      </c>
      <c r="AR10" s="48" t="str">
        <f t="shared" si="8"/>
        <v/>
      </c>
      <c r="AS10" s="11">
        <f t="shared" si="9"/>
        <v>0</v>
      </c>
      <c r="AT10" s="11">
        <f t="shared" si="10"/>
        <v>0</v>
      </c>
    </row>
    <row r="11" spans="1:46" ht="57">
      <c r="A11" s="7" t="s">
        <v>4550</v>
      </c>
      <c r="B11" s="7" t="s">
        <v>1425</v>
      </c>
      <c r="C11" s="7" t="s">
        <v>4551</v>
      </c>
      <c r="D11" s="7" t="s">
        <v>4488</v>
      </c>
      <c r="E11" s="7" t="s">
        <v>4489</v>
      </c>
      <c r="F11" s="7" t="s">
        <v>4552</v>
      </c>
      <c r="G11" s="7">
        <v>5</v>
      </c>
      <c r="H11" s="153"/>
      <c r="I11" s="8" t="str">
        <f t="shared" si="0"/>
        <v/>
      </c>
      <c r="J11" s="8" t="str">
        <f t="shared" si="1"/>
        <v/>
      </c>
      <c r="K11" s="8" t="str">
        <f t="shared" si="2"/>
        <v/>
      </c>
      <c r="L11" s="7" t="str">
        <f t="shared" si="3"/>
        <v/>
      </c>
      <c r="M11" s="7" t="s">
        <v>4553</v>
      </c>
      <c r="N11" s="7" t="s">
        <v>4554</v>
      </c>
      <c r="O11" s="7" t="s">
        <v>4555</v>
      </c>
      <c r="P11" s="7" t="s">
        <v>4556</v>
      </c>
      <c r="Q11" s="7" t="s">
        <v>4557</v>
      </c>
      <c r="R11" s="7" t="s">
        <v>4558</v>
      </c>
      <c r="S11" s="7" t="s">
        <v>4497</v>
      </c>
      <c r="T11" s="7" t="s">
        <v>4498</v>
      </c>
      <c r="U11" s="7"/>
      <c r="V11" s="7" t="s">
        <v>4559</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Profile'!$B$9,_TECH_Industry_Templates!$B:$B,"Marketing Comms"),"")</f>
        <v>3.5</v>
      </c>
      <c r="AO11" s="48" t="str">
        <f t="shared" si="6"/>
        <v/>
      </c>
      <c r="AP11" s="48">
        <f>IFERROR(SUMIFS(_TECH_Industry_Templates!$E:$E,_TECH_Industry_Templates!$A:$A,'Company Profile'!$B$9,_TECH_Industry_Templates!$B:$B,"Marketing Comms"),1)</f>
        <v>1</v>
      </c>
      <c r="AQ11" s="48" t="str">
        <f t="shared" si="7"/>
        <v/>
      </c>
      <c r="AR11" s="48" t="str">
        <f t="shared" si="8"/>
        <v/>
      </c>
      <c r="AS11" s="11">
        <f t="shared" si="9"/>
        <v>0</v>
      </c>
      <c r="AT11" s="11">
        <f t="shared" si="10"/>
        <v>0</v>
      </c>
    </row>
    <row r="12" spans="1:46" ht="57">
      <c r="A12" s="7" t="s">
        <v>4560</v>
      </c>
      <c r="B12" s="7" t="s">
        <v>1425</v>
      </c>
      <c r="C12" s="7" t="s">
        <v>4561</v>
      </c>
      <c r="D12" s="7" t="s">
        <v>4488</v>
      </c>
      <c r="E12" s="7" t="s">
        <v>4489</v>
      </c>
      <c r="F12" s="7" t="s">
        <v>4562</v>
      </c>
      <c r="G12" s="7">
        <v>4</v>
      </c>
      <c r="H12" s="153"/>
      <c r="I12" s="8" t="str">
        <f t="shared" si="0"/>
        <v/>
      </c>
      <c r="J12" s="8" t="str">
        <f t="shared" si="1"/>
        <v/>
      </c>
      <c r="K12" s="8" t="str">
        <f t="shared" si="2"/>
        <v/>
      </c>
      <c r="L12" s="7" t="str">
        <f t="shared" si="3"/>
        <v/>
      </c>
      <c r="M12" s="7" t="s">
        <v>4563</v>
      </c>
      <c r="N12" s="7" t="s">
        <v>4564</v>
      </c>
      <c r="O12" s="7" t="s">
        <v>4565</v>
      </c>
      <c r="P12" s="7" t="s">
        <v>4566</v>
      </c>
      <c r="Q12" s="7" t="s">
        <v>4567</v>
      </c>
      <c r="R12" s="7" t="s">
        <v>4568</v>
      </c>
      <c r="S12" s="7" t="s">
        <v>4497</v>
      </c>
      <c r="T12" s="7" t="s">
        <v>4498</v>
      </c>
      <c r="U12" s="7"/>
      <c r="V12" s="7" t="s">
        <v>4569</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Profile'!$B$9,_TECH_Industry_Templates!$B:$B,"Marketing Comms"),"")</f>
        <v>3.5</v>
      </c>
      <c r="AO12" s="48" t="str">
        <f t="shared" si="6"/>
        <v/>
      </c>
      <c r="AP12" s="48">
        <f>IFERROR(SUMIFS(_TECH_Industry_Templates!$E:$E,_TECH_Industry_Templates!$A:$A,'Company Profile'!$B$9,_TECH_Industry_Templates!$B:$B,"Marketing Comms"),1)</f>
        <v>1</v>
      </c>
      <c r="AQ12" s="48" t="str">
        <f t="shared" si="7"/>
        <v/>
      </c>
      <c r="AR12" s="48" t="str">
        <f t="shared" si="8"/>
        <v/>
      </c>
      <c r="AS12" s="11">
        <f t="shared" si="9"/>
        <v>0</v>
      </c>
      <c r="AT12" s="11">
        <f t="shared" si="10"/>
        <v>0</v>
      </c>
    </row>
    <row r="13" spans="1:46" ht="57">
      <c r="A13" s="7" t="s">
        <v>4570</v>
      </c>
      <c r="B13" s="7" t="s">
        <v>1425</v>
      </c>
      <c r="C13" s="7" t="s">
        <v>4571</v>
      </c>
      <c r="D13" s="7" t="s">
        <v>4488</v>
      </c>
      <c r="E13" s="7" t="s">
        <v>4489</v>
      </c>
      <c r="F13" s="7" t="s">
        <v>4572</v>
      </c>
      <c r="G13" s="7">
        <v>3</v>
      </c>
      <c r="H13" s="153"/>
      <c r="I13" s="8" t="str">
        <f t="shared" si="0"/>
        <v/>
      </c>
      <c r="J13" s="8" t="str">
        <f t="shared" si="1"/>
        <v/>
      </c>
      <c r="K13" s="8" t="str">
        <f t="shared" si="2"/>
        <v/>
      </c>
      <c r="L13" s="7" t="str">
        <f t="shared" si="3"/>
        <v/>
      </c>
      <c r="M13" s="7" t="s">
        <v>4573</v>
      </c>
      <c r="N13" s="7" t="s">
        <v>4574</v>
      </c>
      <c r="O13" s="7" t="s">
        <v>4575</v>
      </c>
      <c r="P13" s="7" t="s">
        <v>4576</v>
      </c>
      <c r="Q13" s="7" t="s">
        <v>4577</v>
      </c>
      <c r="R13" s="7" t="s">
        <v>4578</v>
      </c>
      <c r="S13" s="7" t="s">
        <v>4497</v>
      </c>
      <c r="T13" s="7" t="s">
        <v>4498</v>
      </c>
      <c r="U13" s="7"/>
      <c r="V13" s="7" t="s">
        <v>4579</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Profile'!$B$9,_TECH_Industry_Templates!$B:$B,"Marketing Comms"),"")</f>
        <v>3.5</v>
      </c>
      <c r="AO13" s="48" t="str">
        <f t="shared" si="6"/>
        <v/>
      </c>
      <c r="AP13" s="48">
        <f>IFERROR(SUMIFS(_TECH_Industry_Templates!$E:$E,_TECH_Industry_Templates!$A:$A,'Company Profile'!$B$9,_TECH_Industry_Templates!$B:$B,"Marketing Comms"),1)</f>
        <v>1</v>
      </c>
      <c r="AQ13" s="48" t="str">
        <f t="shared" si="7"/>
        <v/>
      </c>
      <c r="AR13" s="48" t="str">
        <f t="shared" si="8"/>
        <v/>
      </c>
      <c r="AS13" s="11">
        <f t="shared" si="9"/>
        <v>0</v>
      </c>
      <c r="AT13" s="11">
        <f t="shared" si="10"/>
        <v>0</v>
      </c>
    </row>
    <row r="14" spans="1:46" ht="71.25">
      <c r="A14" s="7" t="s">
        <v>4580</v>
      </c>
      <c r="B14" s="7" t="s">
        <v>1425</v>
      </c>
      <c r="C14" s="7" t="s">
        <v>4581</v>
      </c>
      <c r="D14" s="7" t="s">
        <v>4488</v>
      </c>
      <c r="E14" s="7" t="s">
        <v>4489</v>
      </c>
      <c r="F14" s="7" t="s">
        <v>4582</v>
      </c>
      <c r="G14" s="7">
        <v>4</v>
      </c>
      <c r="H14" s="153"/>
      <c r="I14" s="8" t="str">
        <f t="shared" si="0"/>
        <v/>
      </c>
      <c r="J14" s="8" t="str">
        <f t="shared" si="1"/>
        <v/>
      </c>
      <c r="K14" s="8" t="str">
        <f t="shared" si="2"/>
        <v/>
      </c>
      <c r="L14" s="7" t="str">
        <f t="shared" si="3"/>
        <v/>
      </c>
      <c r="M14" s="7" t="s">
        <v>4583</v>
      </c>
      <c r="N14" s="7" t="s">
        <v>4584</v>
      </c>
      <c r="O14" s="7" t="s">
        <v>4585</v>
      </c>
      <c r="P14" s="7" t="s">
        <v>4586</v>
      </c>
      <c r="Q14" s="7" t="s">
        <v>4587</v>
      </c>
      <c r="R14" s="7" t="s">
        <v>4588</v>
      </c>
      <c r="S14" s="7" t="s">
        <v>4497</v>
      </c>
      <c r="T14" s="7" t="s">
        <v>4498</v>
      </c>
      <c r="U14" s="7"/>
      <c r="V14" s="7" t="s">
        <v>4589</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Profile'!$B$9,_TECH_Industry_Templates!$B:$B,"Marketing Comms"),"")</f>
        <v>3.5</v>
      </c>
      <c r="AO14" s="48" t="str">
        <f t="shared" si="6"/>
        <v/>
      </c>
      <c r="AP14" s="48">
        <f>IFERROR(SUMIFS(_TECH_Industry_Templates!$E:$E,_TECH_Industry_Templates!$A:$A,'Company Profile'!$B$9,_TECH_Industry_Templates!$B:$B,"Marketing Comms"),1)</f>
        <v>1</v>
      </c>
      <c r="AQ14" s="48" t="str">
        <f t="shared" si="7"/>
        <v/>
      </c>
      <c r="AR14" s="48" t="str">
        <f t="shared" si="8"/>
        <v/>
      </c>
      <c r="AS14" s="11">
        <f t="shared" si="9"/>
        <v>0</v>
      </c>
      <c r="AT14" s="11">
        <f t="shared" si="10"/>
        <v>0</v>
      </c>
    </row>
    <row r="15" spans="1:46" ht="57">
      <c r="A15" s="7" t="s">
        <v>4590</v>
      </c>
      <c r="B15" s="7" t="s">
        <v>1425</v>
      </c>
      <c r="C15" s="7" t="s">
        <v>4591</v>
      </c>
      <c r="D15" s="7" t="s">
        <v>4488</v>
      </c>
      <c r="E15" s="7" t="s">
        <v>4489</v>
      </c>
      <c r="F15" s="7" t="s">
        <v>4592</v>
      </c>
      <c r="G15" s="7">
        <v>3</v>
      </c>
      <c r="H15" s="153"/>
      <c r="I15" s="8" t="str">
        <f t="shared" si="0"/>
        <v/>
      </c>
      <c r="J15" s="8" t="str">
        <f t="shared" si="1"/>
        <v/>
      </c>
      <c r="K15" s="8" t="str">
        <f t="shared" si="2"/>
        <v/>
      </c>
      <c r="L15" s="7" t="str">
        <f t="shared" si="3"/>
        <v/>
      </c>
      <c r="M15" s="7" t="s">
        <v>4593</v>
      </c>
      <c r="N15" s="7" t="s">
        <v>4594</v>
      </c>
      <c r="O15" s="7" t="s">
        <v>4595</v>
      </c>
      <c r="P15" s="7" t="s">
        <v>4596</v>
      </c>
      <c r="Q15" s="7" t="s">
        <v>4597</v>
      </c>
      <c r="R15" s="7" t="s">
        <v>4598</v>
      </c>
      <c r="S15" s="7" t="s">
        <v>4497</v>
      </c>
      <c r="T15" s="7" t="s">
        <v>4498</v>
      </c>
      <c r="U15" s="7"/>
      <c r="V15" s="7" t="s">
        <v>4599</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Profile'!$B$9,_TECH_Industry_Templates!$B:$B,"Marketing Comms"),"")</f>
        <v>3.5</v>
      </c>
      <c r="AO15" s="48" t="str">
        <f t="shared" si="6"/>
        <v/>
      </c>
      <c r="AP15" s="48">
        <f>IFERROR(SUMIFS(_TECH_Industry_Templates!$E:$E,_TECH_Industry_Templates!$A:$A,'Company Profile'!$B$9,_TECH_Industry_Templates!$B:$B,"Marketing Comms"),1)</f>
        <v>1</v>
      </c>
      <c r="AQ15" s="48" t="str">
        <f t="shared" si="7"/>
        <v/>
      </c>
      <c r="AR15" s="48" t="str">
        <f t="shared" si="8"/>
        <v/>
      </c>
      <c r="AS15" s="11">
        <f t="shared" si="9"/>
        <v>0</v>
      </c>
      <c r="AT15" s="11">
        <f t="shared" si="10"/>
        <v>0</v>
      </c>
    </row>
    <row r="16" spans="1:46" ht="71.25">
      <c r="A16" s="7" t="s">
        <v>4600</v>
      </c>
      <c r="B16" s="7" t="s">
        <v>1433</v>
      </c>
      <c r="C16" s="7" t="s">
        <v>4601</v>
      </c>
      <c r="D16" s="7" t="s">
        <v>4488</v>
      </c>
      <c r="E16" s="7" t="s">
        <v>4489</v>
      </c>
      <c r="F16" s="7" t="s">
        <v>4602</v>
      </c>
      <c r="G16" s="7">
        <v>5</v>
      </c>
      <c r="H16" s="153"/>
      <c r="I16" s="8" t="str">
        <f t="shared" si="0"/>
        <v/>
      </c>
      <c r="J16" s="8" t="str">
        <f t="shared" si="1"/>
        <v/>
      </c>
      <c r="K16" s="8" t="str">
        <f t="shared" si="2"/>
        <v/>
      </c>
      <c r="L16" s="7" t="str">
        <f t="shared" si="3"/>
        <v/>
      </c>
      <c r="M16" s="7" t="s">
        <v>4603</v>
      </c>
      <c r="N16" s="7" t="s">
        <v>4604</v>
      </c>
      <c r="O16" s="7" t="s">
        <v>4605</v>
      </c>
      <c r="P16" s="7" t="s">
        <v>4606</v>
      </c>
      <c r="Q16" s="7" t="s">
        <v>4607</v>
      </c>
      <c r="R16" s="7" t="s">
        <v>4608</v>
      </c>
      <c r="S16" s="7" t="s">
        <v>4497</v>
      </c>
      <c r="T16" s="7" t="s">
        <v>4498</v>
      </c>
      <c r="U16" s="7"/>
      <c r="V16" s="7" t="s">
        <v>4609</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Profile'!$B$9,_TECH_Industry_Templates!$B:$B,"Marketing Comms"),"")</f>
        <v>3.5</v>
      </c>
      <c r="AO16" s="48" t="str">
        <f t="shared" si="6"/>
        <v/>
      </c>
      <c r="AP16" s="48">
        <f>IFERROR(SUMIFS(_TECH_Industry_Templates!$E:$E,_TECH_Industry_Templates!$A:$A,'Company Profile'!$B$9,_TECH_Industry_Templates!$B:$B,"Marketing Comms"),1)</f>
        <v>1</v>
      </c>
      <c r="AQ16" s="48" t="str">
        <f t="shared" si="7"/>
        <v/>
      </c>
      <c r="AR16" s="48" t="str">
        <f t="shared" si="8"/>
        <v/>
      </c>
      <c r="AS16" s="11">
        <f t="shared" si="9"/>
        <v>0</v>
      </c>
      <c r="AT16" s="11">
        <f t="shared" si="10"/>
        <v>0</v>
      </c>
    </row>
    <row r="17" spans="1:46" ht="71.25">
      <c r="A17" s="7" t="s">
        <v>4610</v>
      </c>
      <c r="B17" s="7" t="s">
        <v>1433</v>
      </c>
      <c r="C17" s="7" t="s">
        <v>4611</v>
      </c>
      <c r="D17" s="7" t="s">
        <v>4488</v>
      </c>
      <c r="E17" s="7" t="s">
        <v>4489</v>
      </c>
      <c r="F17" s="7" t="s">
        <v>4612</v>
      </c>
      <c r="G17" s="7">
        <v>3</v>
      </c>
      <c r="H17" s="153"/>
      <c r="I17" s="8" t="str">
        <f t="shared" si="0"/>
        <v/>
      </c>
      <c r="J17" s="8" t="str">
        <f t="shared" si="1"/>
        <v/>
      </c>
      <c r="K17" s="8" t="str">
        <f t="shared" si="2"/>
        <v/>
      </c>
      <c r="L17" s="7" t="str">
        <f t="shared" si="3"/>
        <v/>
      </c>
      <c r="M17" s="7" t="s">
        <v>4613</v>
      </c>
      <c r="N17" s="7" t="s">
        <v>4614</v>
      </c>
      <c r="O17" s="7" t="s">
        <v>4615</v>
      </c>
      <c r="P17" s="7" t="s">
        <v>4616</v>
      </c>
      <c r="Q17" s="7" t="s">
        <v>4617</v>
      </c>
      <c r="R17" s="7" t="s">
        <v>4618</v>
      </c>
      <c r="S17" s="7" t="s">
        <v>4497</v>
      </c>
      <c r="T17" s="7" t="s">
        <v>4498</v>
      </c>
      <c r="U17" s="7"/>
      <c r="V17" s="7" t="s">
        <v>4619</v>
      </c>
      <c r="W17" s="14">
        <v>5</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Profile'!$B$9,_TECH_Industry_Templates!$B:$B,"Marketing Comms"),"")</f>
        <v>3.5</v>
      </c>
      <c r="AO17" s="48" t="str">
        <f t="shared" si="6"/>
        <v/>
      </c>
      <c r="AP17" s="48">
        <f>IFERROR(SUMIFS(_TECH_Industry_Templates!$E:$E,_TECH_Industry_Templates!$A:$A,'Company Profile'!$B$9,_TECH_Industry_Templates!$B:$B,"Marketing Comms"),1)</f>
        <v>1</v>
      </c>
      <c r="AQ17" s="48" t="str">
        <f t="shared" si="7"/>
        <v/>
      </c>
      <c r="AR17" s="48" t="str">
        <f t="shared" si="8"/>
        <v/>
      </c>
      <c r="AS17" s="11">
        <f t="shared" si="9"/>
        <v>0</v>
      </c>
      <c r="AT17" s="11">
        <f t="shared" si="10"/>
        <v>0</v>
      </c>
    </row>
    <row r="18" spans="1:46" ht="71.25">
      <c r="A18" s="7" t="s">
        <v>4620</v>
      </c>
      <c r="B18" s="7" t="s">
        <v>1433</v>
      </c>
      <c r="C18" s="7" t="s">
        <v>4621</v>
      </c>
      <c r="D18" s="7" t="s">
        <v>4488</v>
      </c>
      <c r="E18" s="7" t="s">
        <v>4489</v>
      </c>
      <c r="F18" s="7" t="s">
        <v>4622</v>
      </c>
      <c r="G18" s="7">
        <v>4</v>
      </c>
      <c r="H18" s="153"/>
      <c r="I18" s="8" t="str">
        <f t="shared" si="0"/>
        <v/>
      </c>
      <c r="J18" s="8" t="str">
        <f t="shared" si="1"/>
        <v/>
      </c>
      <c r="K18" s="8" t="str">
        <f t="shared" si="2"/>
        <v/>
      </c>
      <c r="L18" s="7" t="str">
        <f t="shared" si="3"/>
        <v/>
      </c>
      <c r="M18" s="7" t="s">
        <v>4623</v>
      </c>
      <c r="N18" s="7" t="s">
        <v>4624</v>
      </c>
      <c r="O18" s="7" t="s">
        <v>4625</v>
      </c>
      <c r="P18" s="7" t="s">
        <v>4626</v>
      </c>
      <c r="Q18" s="7" t="s">
        <v>4627</v>
      </c>
      <c r="R18" s="7" t="s">
        <v>4628</v>
      </c>
      <c r="S18" s="7" t="s">
        <v>4497</v>
      </c>
      <c r="T18" s="7" t="s">
        <v>4498</v>
      </c>
      <c r="U18" s="7"/>
      <c r="V18" s="7" t="s">
        <v>4629</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Profile'!$B$9,_TECH_Industry_Templates!$B:$B,"Marketing Comms"),"")</f>
        <v>3.5</v>
      </c>
      <c r="AO18" s="48" t="str">
        <f t="shared" si="6"/>
        <v/>
      </c>
      <c r="AP18" s="48">
        <f>IFERROR(SUMIFS(_TECH_Industry_Templates!$E:$E,_TECH_Industry_Templates!$A:$A,'Company Profile'!$B$9,_TECH_Industry_Templates!$B:$B,"Marketing Comms"),1)</f>
        <v>1</v>
      </c>
      <c r="AQ18" s="48" t="str">
        <f t="shared" si="7"/>
        <v/>
      </c>
      <c r="AR18" s="48" t="str">
        <f t="shared" si="8"/>
        <v/>
      </c>
      <c r="AS18" s="11">
        <f t="shared" si="9"/>
        <v>0</v>
      </c>
      <c r="AT18" s="11">
        <f t="shared" si="10"/>
        <v>0</v>
      </c>
    </row>
    <row r="19" spans="1:46" ht="71.25">
      <c r="A19" s="7" t="s">
        <v>4630</v>
      </c>
      <c r="B19" s="7" t="s">
        <v>1433</v>
      </c>
      <c r="C19" s="7" t="s">
        <v>4631</v>
      </c>
      <c r="D19" s="7" t="s">
        <v>4488</v>
      </c>
      <c r="E19" s="7" t="s">
        <v>4489</v>
      </c>
      <c r="F19" s="7" t="s">
        <v>4632</v>
      </c>
      <c r="G19" s="7">
        <v>3</v>
      </c>
      <c r="H19" s="153"/>
      <c r="I19" s="8" t="str">
        <f t="shared" si="0"/>
        <v/>
      </c>
      <c r="J19" s="8" t="str">
        <f t="shared" si="1"/>
        <v/>
      </c>
      <c r="K19" s="8" t="str">
        <f t="shared" si="2"/>
        <v/>
      </c>
      <c r="L19" s="7" t="str">
        <f t="shared" si="3"/>
        <v/>
      </c>
      <c r="M19" s="7" t="s">
        <v>4633</v>
      </c>
      <c r="N19" s="7" t="s">
        <v>4634</v>
      </c>
      <c r="O19" s="7" t="s">
        <v>4635</v>
      </c>
      <c r="P19" s="7" t="s">
        <v>4636</v>
      </c>
      <c r="Q19" s="7" t="s">
        <v>4637</v>
      </c>
      <c r="R19" s="7" t="s">
        <v>4638</v>
      </c>
      <c r="S19" s="7" t="s">
        <v>4497</v>
      </c>
      <c r="T19" s="7" t="s">
        <v>4498</v>
      </c>
      <c r="U19" s="7"/>
      <c r="V19" s="7" t="s">
        <v>4639</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Profile'!$B$9,_TECH_Industry_Templates!$B:$B,"Marketing Comms"),"")</f>
        <v>3.5</v>
      </c>
      <c r="AO19" s="48" t="str">
        <f t="shared" si="6"/>
        <v/>
      </c>
      <c r="AP19" s="48">
        <f>IFERROR(SUMIFS(_TECH_Industry_Templates!$E:$E,_TECH_Industry_Templates!$A:$A,'Company Profile'!$B$9,_TECH_Industry_Templates!$B:$B,"Marketing Comms"),1)</f>
        <v>1</v>
      </c>
      <c r="AQ19" s="48" t="str">
        <f t="shared" si="7"/>
        <v/>
      </c>
      <c r="AR19" s="48" t="str">
        <f t="shared" si="8"/>
        <v/>
      </c>
      <c r="AS19" s="11">
        <f t="shared" si="9"/>
        <v>0</v>
      </c>
      <c r="AT19" s="11">
        <f t="shared" si="10"/>
        <v>0</v>
      </c>
    </row>
    <row r="20" spans="1:46" ht="71.25">
      <c r="A20" s="7" t="s">
        <v>4640</v>
      </c>
      <c r="B20" s="7" t="s">
        <v>1433</v>
      </c>
      <c r="C20" s="7" t="s">
        <v>4641</v>
      </c>
      <c r="D20" s="7" t="s">
        <v>4488</v>
      </c>
      <c r="E20" s="7" t="s">
        <v>4489</v>
      </c>
      <c r="F20" s="7" t="s">
        <v>4642</v>
      </c>
      <c r="G20" s="7">
        <v>5</v>
      </c>
      <c r="H20" s="153"/>
      <c r="I20" s="8" t="str">
        <f t="shared" si="0"/>
        <v/>
      </c>
      <c r="J20" s="8" t="str">
        <f t="shared" si="1"/>
        <v/>
      </c>
      <c r="K20" s="8" t="str">
        <f t="shared" si="2"/>
        <v/>
      </c>
      <c r="L20" s="7" t="str">
        <f t="shared" si="3"/>
        <v/>
      </c>
      <c r="M20" s="7" t="s">
        <v>4643</v>
      </c>
      <c r="N20" s="7" t="s">
        <v>4644</v>
      </c>
      <c r="O20" s="7" t="s">
        <v>4645</v>
      </c>
      <c r="P20" s="7" t="s">
        <v>4646</v>
      </c>
      <c r="Q20" s="7" t="s">
        <v>4647</v>
      </c>
      <c r="R20" s="7" t="s">
        <v>4648</v>
      </c>
      <c r="S20" s="7" t="s">
        <v>4497</v>
      </c>
      <c r="T20" s="7" t="s">
        <v>4498</v>
      </c>
      <c r="U20" s="7"/>
      <c r="V20" s="7" t="s">
        <v>4649</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Profile'!$B$9,_TECH_Industry_Templates!$B:$B,"Marketing Comms"),"")</f>
        <v>3.5</v>
      </c>
      <c r="AO20" s="48" t="str">
        <f t="shared" si="6"/>
        <v/>
      </c>
      <c r="AP20" s="48">
        <f>IFERROR(SUMIFS(_TECH_Industry_Templates!$E:$E,_TECH_Industry_Templates!$A:$A,'Company Profile'!$B$9,_TECH_Industry_Templates!$B:$B,"Marketing Comms"),1)</f>
        <v>1</v>
      </c>
      <c r="AQ20" s="48" t="str">
        <f t="shared" si="7"/>
        <v/>
      </c>
      <c r="AR20" s="48" t="str">
        <f t="shared" si="8"/>
        <v/>
      </c>
      <c r="AS20" s="11">
        <f t="shared" si="9"/>
        <v>0</v>
      </c>
      <c r="AT20" s="11">
        <f t="shared" si="10"/>
        <v>0</v>
      </c>
    </row>
    <row r="21" spans="1:46" ht="71.25">
      <c r="A21" s="7" t="s">
        <v>4650</v>
      </c>
      <c r="B21" s="7" t="s">
        <v>1433</v>
      </c>
      <c r="C21" s="7" t="s">
        <v>4651</v>
      </c>
      <c r="D21" s="7" t="s">
        <v>4488</v>
      </c>
      <c r="E21" s="7" t="s">
        <v>4489</v>
      </c>
      <c r="F21" s="7" t="s">
        <v>4652</v>
      </c>
      <c r="G21" s="7">
        <v>5</v>
      </c>
      <c r="H21" s="153"/>
      <c r="I21" s="8" t="str">
        <f t="shared" si="0"/>
        <v/>
      </c>
      <c r="J21" s="8" t="str">
        <f t="shared" si="1"/>
        <v/>
      </c>
      <c r="K21" s="8" t="str">
        <f t="shared" si="2"/>
        <v/>
      </c>
      <c r="L21" s="7" t="str">
        <f t="shared" si="3"/>
        <v/>
      </c>
      <c r="M21" s="7" t="s">
        <v>4653</v>
      </c>
      <c r="N21" s="7" t="s">
        <v>4654</v>
      </c>
      <c r="O21" s="7" t="s">
        <v>4655</v>
      </c>
      <c r="P21" s="7" t="s">
        <v>4656</v>
      </c>
      <c r="Q21" s="7" t="s">
        <v>4657</v>
      </c>
      <c r="R21" s="7" t="s">
        <v>4658</v>
      </c>
      <c r="S21" s="7" t="s">
        <v>4497</v>
      </c>
      <c r="T21" s="7" t="s">
        <v>4498</v>
      </c>
      <c r="U21" s="7"/>
      <c r="V21" s="7" t="s">
        <v>4659</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Profile'!$B$9,_TECH_Industry_Templates!$B:$B,"Marketing Comms"),"")</f>
        <v>3.5</v>
      </c>
      <c r="AO21" s="48" t="str">
        <f t="shared" si="6"/>
        <v/>
      </c>
      <c r="AP21" s="48">
        <f>IFERROR(SUMIFS(_TECH_Industry_Templates!$E:$E,_TECH_Industry_Templates!$A:$A,'Company Profile'!$B$9,_TECH_Industry_Templates!$B:$B,"Marketing Comms"),1)</f>
        <v>1</v>
      </c>
      <c r="AQ21" s="48" t="str">
        <f t="shared" si="7"/>
        <v/>
      </c>
      <c r="AR21" s="48" t="str">
        <f t="shared" si="8"/>
        <v/>
      </c>
      <c r="AS21" s="11">
        <f t="shared" si="9"/>
        <v>0</v>
      </c>
      <c r="AT21" s="11">
        <f t="shared" si="10"/>
        <v>0</v>
      </c>
    </row>
  </sheetData>
  <mergeCells count="4">
    <mergeCell ref="A2:V2"/>
    <mergeCell ref="AA3:AG3"/>
    <mergeCell ref="A1:V1"/>
    <mergeCell ref="W3:Y3"/>
  </mergeCells>
  <conditionalFormatting sqref="H5:H21">
    <cfRule type="colorScale" priority="1">
      <colorScale>
        <cfvo type="min"/>
        <cfvo type="percentile" val="50"/>
        <cfvo type="max"/>
        <color rgb="FFF8696B"/>
        <color rgb="FFFFEB84"/>
        <color rgb="FF63BE7B"/>
      </colorScale>
    </cfRule>
  </conditionalFormatting>
  <conditionalFormatting sqref="L5:L21">
    <cfRule type="expression" dxfId="41" priority="2">
      <formula>$L5="Critical"</formula>
    </cfRule>
    <cfRule type="expression" dxfId="40" priority="3">
      <formula>$L5="High"</formula>
    </cfRule>
    <cfRule type="expression" dxfId="39" priority="4">
      <formula>$L5="Medium"</formula>
    </cfRule>
    <cfRule type="expression" dxfId="38" priority="5">
      <formula>$L5="Low"</formula>
    </cfRule>
    <cfRule type="expression" dxfId="37" priority="6">
      <formula>$L5="Resilient"</formula>
    </cfRule>
  </conditionalFormatting>
  <conditionalFormatting sqref="AC5:AC7">
    <cfRule type="colorScale" priority="7">
      <colorScale>
        <cfvo type="min"/>
        <cfvo type="percentile" val="50"/>
        <cfvo type="max"/>
        <color rgb="FFFEE2E2"/>
        <color rgb="FFFEF3C7"/>
        <color rgb="FFDCFCE7"/>
      </colorScale>
    </cfRule>
  </conditionalFormatting>
  <conditionalFormatting sqref="AD5:AD7">
    <cfRule type="dataBar" priority="8">
      <dataBar>
        <cfvo type="min"/>
        <cfvo type="max"/>
        <color rgb="FF2F75B5"/>
      </dataBar>
    </cfRule>
  </conditionalFormatting>
  <dataValidations count="4">
    <dataValidation type="list" sqref="H5:H21" ns2:uid="{00000000-0002-0000-1E00-000000000000}">
      <formula1>"N/A,0,1,2,3,4,5"</formula1>
    </dataValidation>
    <dataValidation type="list" sqref="G5:G21" ns2:uid="{00000000-0002-0000-1E00-000001000000}">
      <formula1>"1,2,3,4,5"</formula1>
    </dataValidation>
    <dataValidation type="list" sqref="W5:Y21" ns2:uid="{00000000-0002-0000-1E00-000002000000}">
      <formula1>"0,1,2,3,4,5"</formula1>
    </dataValidation>
    <dataValidation type="list" allowBlank="1" sqref="AH5:AI21" ns2:uid="{00000000-0002-0000-1E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2.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F00-000000000000}">
  <sheetPr>
    <tabColor rgb="FFED7D31"/>
  </sheetPr>
  <dimension ref="A1:AT33"/>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4660</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4661</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4662</v>
      </c>
      <c r="B5" s="7" t="s">
        <v>1441</v>
      </c>
      <c r="C5" s="7" t="s">
        <v>4663</v>
      </c>
      <c r="D5" s="7" t="s">
        <v>4664</v>
      </c>
      <c r="E5" s="7" t="s">
        <v>4665</v>
      </c>
      <c r="F5" s="7" t="s">
        <v>4666</v>
      </c>
      <c r="G5" s="7">
        <v>5</v>
      </c>
      <c r="H5" s="153"/>
      <c r="I5" s="8" t="str">
        <f t="shared" ref="I5:I33" si="0">IF($H5="","",IF($H5="N/A","",VALUE($H5)/5*$G5))</f>
        <v/>
      </c>
      <c r="J5" s="8" t="str">
        <f t="shared" ref="J5:J33" si="1">IF(OR($H5="",$H5="N/A"),"",$G5)</f>
        <v/>
      </c>
      <c r="K5" s="8" t="str">
        <f t="shared" ref="K5:K33" si="2">IF(OR($H5="",$H5="N/A"),"",$J5-$I5)</f>
        <v/>
      </c>
      <c r="L5" s="7" t="str">
        <f t="shared" ref="L5:L33" si="3">IF($H5="","",IF($H5="N/A","N/A",IF(VALUE($H5)&lt;=1,"Critical",IF(VALUE($H5)&lt;=2,"High",IF(VALUE($H5)&lt;=3,"Medium",IF(VALUE($H5)&lt;=4,"Low","Resilient"))))))</f>
        <v/>
      </c>
      <c r="M5" s="7" t="s">
        <v>4667</v>
      </c>
      <c r="N5" s="7" t="s">
        <v>4668</v>
      </c>
      <c r="O5" s="7" t="s">
        <v>4669</v>
      </c>
      <c r="P5" s="7" t="s">
        <v>4670</v>
      </c>
      <c r="Q5" s="7" t="s">
        <v>4671</v>
      </c>
      <c r="R5" s="7" t="s">
        <v>4672</v>
      </c>
      <c r="S5" s="7" t="s">
        <v>4673</v>
      </c>
      <c r="T5" s="7" t="s">
        <v>4674</v>
      </c>
      <c r="U5" s="7"/>
      <c r="V5" s="7" t="s">
        <v>4675</v>
      </c>
      <c r="W5" s="14">
        <v>5</v>
      </c>
      <c r="X5" s="14">
        <v>5</v>
      </c>
      <c r="Y5" s="14">
        <v>5</v>
      </c>
      <c r="AA5" t="s">
        <v>1441</v>
      </c>
      <c r="AB5" s="13">
        <f>COUNTIF($B$5:$B$33,$AA5)</f>
        <v>6</v>
      </c>
      <c r="AC5" s="15">
        <f>IFERROR(SUMPRODUCT(($B$5:$B$33=$AA5)*($H$5:$H$33&lt;&gt;"")*($H$5:$H$33&lt;&gt;"N/A")*IFERROR(VALUE($H$5:$H$33),0))/SUMPRODUCT(($B$5:$B$33=$AA5)*($H$5:$H$33&lt;&gt;"")*($H$5:$H$33&lt;&gt;"N/A")),0)</f>
        <v>0</v>
      </c>
      <c r="AD5" s="16">
        <f>AC5/5</f>
        <v>0</v>
      </c>
      <c r="AE5" s="13">
        <f>COUNTIFS($B$5:$B$33,$AA5,$L$5:$L$33,"Critical")+COUNTIFS($B$5:$B$33,$AA5,$L$5:$L$33,"High")</f>
        <v>0</v>
      </c>
      <c r="AF5" s="15">
        <f>5-AC5</f>
        <v>5</v>
      </c>
      <c r="AG5" s="13">
        <f>COUNTIFS($B$5:$B$33,$AA5,$H$5:$H$33,"&lt;&gt;")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33" si="4">IF(OR($H5="",$H5="N/A"),"",ROUND(VALUE($H5)*$AJ5*$AK5,2))</f>
        <v/>
      </c>
      <c r="AM5" s="48" t="str">
        <f t="shared" ref="AM5:AM33" si="5">IF($AL5="","",ROUND($AL5/5*100,1))</f>
        <v/>
      </c>
      <c r="AN5" s="48">
        <f>IFERROR(SUMIFS(_TECH_Industry_Templates!$D:$D,_TECH_Industry_Templates!$A:$A,'Company Profile'!$B$9,_TECH_Industry_Templates!$B:$B,"IT Cloud DR"),"")</f>
        <v>4</v>
      </c>
      <c r="AO5" s="48" t="str">
        <f t="shared" ref="AO5:AO33" si="6">IF($AL5="","",MAX(0,ROUND($AN5-$AL5,2)))</f>
        <v/>
      </c>
      <c r="AP5" s="48">
        <f>IFERROR(SUMIFS(_TECH_Industry_Templates!$E:$E,_TECH_Industry_Templates!$A:$A,'Company Profile'!$B$9,_TECH_Industry_Templates!$B:$B,"IT Cloud DR"),1)</f>
        <v>1.1499999999999999</v>
      </c>
      <c r="AQ5" s="48" t="str">
        <f t="shared" ref="AQ5:AQ33" si="7">IF($AO5="","",ROUND($AO5*$AP5*($G5/5),2))</f>
        <v/>
      </c>
      <c r="AR5" s="48" t="str">
        <f t="shared" ref="AR5:AR33" si="8">IF($AO5="","",IF($AO5&gt;=2,"Critical industry gap",IF($AO5&gt;=1,"High industry gap",IF($AO5&gt;=0.5,"Moderate industry gap","Within target"))))</f>
        <v/>
      </c>
      <c r="AS5" s="11">
        <f t="shared" ref="AS5:AS33" si="9">IF(OR($H5="",$H5="N/A"),0,VALUE($H5)*(($AJ5+$AK5)/2))</f>
        <v>0</v>
      </c>
      <c r="AT5" s="11">
        <f t="shared" ref="AT5:AT33" si="10">IF(OR($H5="",$H5="N/A"),0,($AJ5+$AK5)/2)</f>
        <v>0</v>
      </c>
    </row>
    <row r="6" spans="1:46" ht="71.25">
      <c r="A6" s="7" t="s">
        <v>4676</v>
      </c>
      <c r="B6" s="7" t="s">
        <v>1441</v>
      </c>
      <c r="C6" s="7" t="s">
        <v>4677</v>
      </c>
      <c r="D6" s="7" t="s">
        <v>4664</v>
      </c>
      <c r="E6" s="7" t="s">
        <v>4665</v>
      </c>
      <c r="F6" s="7" t="s">
        <v>4678</v>
      </c>
      <c r="G6" s="7">
        <v>5</v>
      </c>
      <c r="H6" s="153"/>
      <c r="I6" s="8" t="str">
        <f t="shared" si="0"/>
        <v/>
      </c>
      <c r="J6" s="8" t="str">
        <f t="shared" si="1"/>
        <v/>
      </c>
      <c r="K6" s="8" t="str">
        <f t="shared" si="2"/>
        <v/>
      </c>
      <c r="L6" s="7" t="str">
        <f t="shared" si="3"/>
        <v/>
      </c>
      <c r="M6" s="7" t="s">
        <v>4679</v>
      </c>
      <c r="N6" s="7" t="s">
        <v>4680</v>
      </c>
      <c r="O6" s="7" t="s">
        <v>4681</v>
      </c>
      <c r="P6" s="7" t="s">
        <v>4682</v>
      </c>
      <c r="Q6" s="7" t="s">
        <v>4683</v>
      </c>
      <c r="R6" s="7" t="s">
        <v>4684</v>
      </c>
      <c r="S6" s="7" t="s">
        <v>4673</v>
      </c>
      <c r="T6" s="7" t="s">
        <v>4674</v>
      </c>
      <c r="U6" s="7"/>
      <c r="V6" s="7" t="s">
        <v>4685</v>
      </c>
      <c r="W6" s="14">
        <v>5</v>
      </c>
      <c r="X6" s="14">
        <v>5</v>
      </c>
      <c r="Y6" s="14">
        <v>5</v>
      </c>
      <c r="AA6" t="s">
        <v>1457</v>
      </c>
      <c r="AB6" s="13">
        <f>COUNTIF($B$5:$B$33,$AA6)</f>
        <v>6</v>
      </c>
      <c r="AC6" s="15">
        <f>IFERROR(SUMPRODUCT(($B$5:$B$33=$AA6)*($H$5:$H$33&lt;&gt;"")*($H$5:$H$33&lt;&gt;"N/A")*IFERROR(VALUE($H$5:$H$33),0))/SUMPRODUCT(($B$5:$B$33=$AA6)*($H$5:$H$33&lt;&gt;"")*($H$5:$H$33&lt;&gt;"N/A")),0)</f>
        <v>0</v>
      </c>
      <c r="AD6" s="16">
        <f>AC6/5</f>
        <v>0</v>
      </c>
      <c r="AE6" s="13">
        <f>COUNTIFS($B$5:$B$33,$AA6,$L$5:$L$33,"Critical")+COUNTIFS($B$5:$B$33,$AA6,$L$5:$L$33,"High")</f>
        <v>0</v>
      </c>
      <c r="AF6" s="15">
        <f>5-AC6</f>
        <v>5</v>
      </c>
      <c r="AG6" s="13">
        <f>COUNTIFS($B$5:$B$33,$AA6,$H$5:$H$33,"&lt;&gt;")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Profile'!$B$9,_TECH_Industry_Templates!$B:$B,"IT Cloud DR"),"")</f>
        <v>4</v>
      </c>
      <c r="AO6" s="48" t="str">
        <f t="shared" si="6"/>
        <v/>
      </c>
      <c r="AP6" s="48">
        <f>IFERROR(SUMIFS(_TECH_Industry_Templates!$E:$E,_TECH_Industry_Templates!$A:$A,'Company Profile'!$B$9,_TECH_Industry_Templates!$B:$B,"IT Cloud DR"),1)</f>
        <v>1.1499999999999999</v>
      </c>
      <c r="AQ6" s="48" t="str">
        <f t="shared" si="7"/>
        <v/>
      </c>
      <c r="AR6" s="48" t="str">
        <f t="shared" si="8"/>
        <v/>
      </c>
      <c r="AS6" s="11">
        <f t="shared" si="9"/>
        <v>0</v>
      </c>
      <c r="AT6" s="11">
        <f t="shared" si="10"/>
        <v>0</v>
      </c>
    </row>
    <row r="7" spans="1:46" ht="57">
      <c r="A7" s="7" t="s">
        <v>4686</v>
      </c>
      <c r="B7" s="7" t="s">
        <v>1441</v>
      </c>
      <c r="C7" s="7" t="s">
        <v>4687</v>
      </c>
      <c r="D7" s="7" t="s">
        <v>4664</v>
      </c>
      <c r="E7" s="7" t="s">
        <v>4665</v>
      </c>
      <c r="F7" s="7" t="s">
        <v>4688</v>
      </c>
      <c r="G7" s="7">
        <v>3</v>
      </c>
      <c r="H7" s="153"/>
      <c r="I7" s="8" t="str">
        <f t="shared" si="0"/>
        <v/>
      </c>
      <c r="J7" s="8" t="str">
        <f t="shared" si="1"/>
        <v/>
      </c>
      <c r="K7" s="8" t="str">
        <f t="shared" si="2"/>
        <v/>
      </c>
      <c r="L7" s="7" t="str">
        <f t="shared" si="3"/>
        <v/>
      </c>
      <c r="M7" s="7" t="s">
        <v>4689</v>
      </c>
      <c r="N7" s="7" t="s">
        <v>4690</v>
      </c>
      <c r="O7" s="7" t="s">
        <v>4691</v>
      </c>
      <c r="P7" s="7" t="s">
        <v>4692</v>
      </c>
      <c r="Q7" s="7" t="s">
        <v>4693</v>
      </c>
      <c r="R7" s="7" t="s">
        <v>4694</v>
      </c>
      <c r="S7" s="7" t="s">
        <v>4673</v>
      </c>
      <c r="T7" s="7" t="s">
        <v>4674</v>
      </c>
      <c r="U7" s="7"/>
      <c r="V7" s="7" t="s">
        <v>4695</v>
      </c>
      <c r="W7" s="14">
        <v>5</v>
      </c>
      <c r="X7" s="14">
        <v>5</v>
      </c>
      <c r="Y7" s="14">
        <v>5</v>
      </c>
      <c r="AA7" t="s">
        <v>1465</v>
      </c>
      <c r="AB7" s="13">
        <f>COUNTIF($B$5:$B$33,$AA7)</f>
        <v>6</v>
      </c>
      <c r="AC7" s="15">
        <f>IFERROR(SUMPRODUCT(($B$5:$B$33=$AA7)*($H$5:$H$33&lt;&gt;"")*($H$5:$H$33&lt;&gt;"N/A")*IFERROR(VALUE($H$5:$H$33),0))/SUMPRODUCT(($B$5:$B$33=$AA7)*($H$5:$H$33&lt;&gt;"")*($H$5:$H$33&lt;&gt;"N/A")),0)</f>
        <v>0</v>
      </c>
      <c r="AD7" s="16">
        <f>AC7/5</f>
        <v>0</v>
      </c>
      <c r="AE7" s="13">
        <f>COUNTIFS($B$5:$B$33,$AA7,$L$5:$L$33,"Critical")+COUNTIFS($B$5:$B$33,$AA7,$L$5:$L$33,"High")</f>
        <v>0</v>
      </c>
      <c r="AF7" s="15">
        <f>5-AC7</f>
        <v>5</v>
      </c>
      <c r="AG7" s="13">
        <f>COUNTIFS($B$5:$B$33,$AA7,$H$5:$H$33,"&lt;&gt;")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Profile'!$B$9,_TECH_Industry_Templates!$B:$B,"IT Cloud DR"),"")</f>
        <v>4</v>
      </c>
      <c r="AO7" s="48" t="str">
        <f t="shared" si="6"/>
        <v/>
      </c>
      <c r="AP7" s="48">
        <f>IFERROR(SUMIFS(_TECH_Industry_Templates!$E:$E,_TECH_Industry_Templates!$A:$A,'Company Profile'!$B$9,_TECH_Industry_Templates!$B:$B,"IT Cloud DR"),1)</f>
        <v>1.1499999999999999</v>
      </c>
      <c r="AQ7" s="48" t="str">
        <f t="shared" si="7"/>
        <v/>
      </c>
      <c r="AR7" s="48" t="str">
        <f t="shared" si="8"/>
        <v/>
      </c>
      <c r="AS7" s="11">
        <f t="shared" si="9"/>
        <v>0</v>
      </c>
      <c r="AT7" s="11">
        <f t="shared" si="10"/>
        <v>0</v>
      </c>
    </row>
    <row r="8" spans="1:46" ht="71.25">
      <c r="A8" s="7" t="s">
        <v>4696</v>
      </c>
      <c r="B8" s="7" t="s">
        <v>1441</v>
      </c>
      <c r="C8" s="7" t="s">
        <v>4697</v>
      </c>
      <c r="D8" s="7" t="s">
        <v>4664</v>
      </c>
      <c r="E8" s="7" t="s">
        <v>4665</v>
      </c>
      <c r="F8" s="7" t="s">
        <v>4698</v>
      </c>
      <c r="G8" s="7">
        <v>5</v>
      </c>
      <c r="H8" s="153"/>
      <c r="I8" s="8" t="str">
        <f t="shared" si="0"/>
        <v/>
      </c>
      <c r="J8" s="8" t="str">
        <f t="shared" si="1"/>
        <v/>
      </c>
      <c r="K8" s="8" t="str">
        <f t="shared" si="2"/>
        <v/>
      </c>
      <c r="L8" s="7" t="str">
        <f t="shared" si="3"/>
        <v/>
      </c>
      <c r="M8" s="7" t="s">
        <v>4699</v>
      </c>
      <c r="N8" s="7" t="s">
        <v>4700</v>
      </c>
      <c r="O8" s="7" t="s">
        <v>4701</v>
      </c>
      <c r="P8" s="7" t="s">
        <v>4702</v>
      </c>
      <c r="Q8" s="7" t="s">
        <v>4703</v>
      </c>
      <c r="R8" s="7" t="s">
        <v>4704</v>
      </c>
      <c r="S8" s="7" t="s">
        <v>4673</v>
      </c>
      <c r="T8" s="7" t="s">
        <v>4674</v>
      </c>
      <c r="U8" s="7"/>
      <c r="V8" s="7" t="s">
        <v>4705</v>
      </c>
      <c r="W8" s="14">
        <v>5</v>
      </c>
      <c r="X8" s="14">
        <v>5</v>
      </c>
      <c r="Y8" s="14">
        <v>5</v>
      </c>
      <c r="AA8" t="s">
        <v>1473</v>
      </c>
      <c r="AB8" s="13">
        <f>COUNTIF($B$5:$B$33,$AA8)</f>
        <v>6</v>
      </c>
      <c r="AC8" s="15">
        <f>IFERROR(SUMPRODUCT(($B$5:$B$33=$AA8)*($H$5:$H$33&lt;&gt;"")*($H$5:$H$33&lt;&gt;"N/A")*IFERROR(VALUE($H$5:$H$33),0))/SUMPRODUCT(($B$5:$B$33=$AA8)*($H$5:$H$33&lt;&gt;"")*($H$5:$H$33&lt;&gt;"N/A")),0)</f>
        <v>0</v>
      </c>
      <c r="AD8" s="16">
        <f>AC8/5</f>
        <v>0</v>
      </c>
      <c r="AE8" s="13">
        <f>COUNTIFS($B$5:$B$33,$AA8,$L$5:$L$33,"Critical")+COUNTIFS($B$5:$B$33,$AA8,$L$5:$L$33,"High")</f>
        <v>0</v>
      </c>
      <c r="AF8" s="15">
        <f>5-AC8</f>
        <v>5</v>
      </c>
      <c r="AG8" s="13">
        <f>COUNTIFS($B$5:$B$33,$AA8,$H$5:$H$33,"&lt;&gt;")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Profile'!$B$9,_TECH_Industry_Templates!$B:$B,"IT Cloud DR"),"")</f>
        <v>4</v>
      </c>
      <c r="AO8" s="48" t="str">
        <f t="shared" si="6"/>
        <v/>
      </c>
      <c r="AP8" s="48">
        <f>IFERROR(SUMIFS(_TECH_Industry_Templates!$E:$E,_TECH_Industry_Templates!$A:$A,'Company Profile'!$B$9,_TECH_Industry_Templates!$B:$B,"IT Cloud DR"),1)</f>
        <v>1.1499999999999999</v>
      </c>
      <c r="AQ8" s="48" t="str">
        <f t="shared" si="7"/>
        <v/>
      </c>
      <c r="AR8" s="48" t="str">
        <f t="shared" si="8"/>
        <v/>
      </c>
      <c r="AS8" s="11">
        <f t="shared" si="9"/>
        <v>0</v>
      </c>
      <c r="AT8" s="11">
        <f t="shared" si="10"/>
        <v>0</v>
      </c>
    </row>
    <row r="9" spans="1:46" ht="71.25">
      <c r="A9" s="7" t="s">
        <v>4706</v>
      </c>
      <c r="B9" s="7" t="s">
        <v>1441</v>
      </c>
      <c r="C9" s="7" t="s">
        <v>4707</v>
      </c>
      <c r="D9" s="7" t="s">
        <v>4664</v>
      </c>
      <c r="E9" s="7" t="s">
        <v>4665</v>
      </c>
      <c r="F9" s="7" t="s">
        <v>4708</v>
      </c>
      <c r="G9" s="7">
        <v>4</v>
      </c>
      <c r="H9" s="153"/>
      <c r="I9" s="8" t="str">
        <f t="shared" si="0"/>
        <v/>
      </c>
      <c r="J9" s="8" t="str">
        <f t="shared" si="1"/>
        <v/>
      </c>
      <c r="K9" s="8" t="str">
        <f t="shared" si="2"/>
        <v/>
      </c>
      <c r="L9" s="7" t="str">
        <f t="shared" si="3"/>
        <v/>
      </c>
      <c r="M9" s="7" t="s">
        <v>4709</v>
      </c>
      <c r="N9" s="7" t="s">
        <v>4710</v>
      </c>
      <c r="O9" s="7" t="s">
        <v>4711</v>
      </c>
      <c r="P9" s="7" t="s">
        <v>4712</v>
      </c>
      <c r="Q9" s="7" t="s">
        <v>4713</v>
      </c>
      <c r="R9" s="7" t="s">
        <v>4714</v>
      </c>
      <c r="S9" s="7" t="s">
        <v>4673</v>
      </c>
      <c r="T9" s="7" t="s">
        <v>4674</v>
      </c>
      <c r="U9" s="7"/>
      <c r="V9" s="7" t="s">
        <v>4715</v>
      </c>
      <c r="W9" s="14">
        <v>5</v>
      </c>
      <c r="X9" s="14">
        <v>5</v>
      </c>
      <c r="Y9" s="14">
        <v>5</v>
      </c>
      <c r="AA9" t="s">
        <v>1481</v>
      </c>
      <c r="AB9" s="13">
        <f>COUNTIF($B$5:$B$33,$AA9)</f>
        <v>5</v>
      </c>
      <c r="AC9" s="15">
        <f>IFERROR(SUMPRODUCT(($B$5:$B$33=$AA9)*($H$5:$H$33&lt;&gt;"")*($H$5:$H$33&lt;&gt;"N/A")*IFERROR(VALUE($H$5:$H$33),0))/SUMPRODUCT(($B$5:$B$33=$AA9)*($H$5:$H$33&lt;&gt;"")*($H$5:$H$33&lt;&gt;"N/A")),0)</f>
        <v>0</v>
      </c>
      <c r="AD9" s="16">
        <f>AC9/5</f>
        <v>0</v>
      </c>
      <c r="AE9" s="13">
        <f>COUNTIFS($B$5:$B$33,$AA9,$L$5:$L$33,"Critical")+COUNTIFS($B$5:$B$33,$AA9,$L$5:$L$33,"High")</f>
        <v>0</v>
      </c>
      <c r="AF9" s="15">
        <f>5-AC9</f>
        <v>5</v>
      </c>
      <c r="AG9" s="13">
        <f>COUNTIFS($B$5:$B$33,$AA9,$H$5:$H$33,"&lt;&gt;")</f>
        <v>0</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Profile'!$B$9,_TECH_Industry_Templates!$B:$B,"IT Cloud DR"),"")</f>
        <v>4</v>
      </c>
      <c r="AO9" s="48" t="str">
        <f t="shared" si="6"/>
        <v/>
      </c>
      <c r="AP9" s="48">
        <f>IFERROR(SUMIFS(_TECH_Industry_Templates!$E:$E,_TECH_Industry_Templates!$A:$A,'Company Profile'!$B$9,_TECH_Industry_Templates!$B:$B,"IT Cloud DR"),1)</f>
        <v>1.1499999999999999</v>
      </c>
      <c r="AQ9" s="48" t="str">
        <f t="shared" si="7"/>
        <v/>
      </c>
      <c r="AR9" s="48" t="str">
        <f t="shared" si="8"/>
        <v/>
      </c>
      <c r="AS9" s="11">
        <f t="shared" si="9"/>
        <v>0</v>
      </c>
      <c r="AT9" s="11">
        <f t="shared" si="10"/>
        <v>0</v>
      </c>
    </row>
    <row r="10" spans="1:46" ht="57">
      <c r="A10" s="7" t="s">
        <v>4716</v>
      </c>
      <c r="B10" s="7" t="s">
        <v>1441</v>
      </c>
      <c r="C10" s="7" t="s">
        <v>4717</v>
      </c>
      <c r="D10" s="7" t="s">
        <v>4664</v>
      </c>
      <c r="E10" s="7" t="s">
        <v>4665</v>
      </c>
      <c r="F10" s="7" t="s">
        <v>4718</v>
      </c>
      <c r="G10" s="7">
        <v>3</v>
      </c>
      <c r="H10" s="153"/>
      <c r="I10" s="8" t="str">
        <f t="shared" si="0"/>
        <v/>
      </c>
      <c r="J10" s="8" t="str">
        <f t="shared" si="1"/>
        <v/>
      </c>
      <c r="K10" s="8" t="str">
        <f t="shared" si="2"/>
        <v/>
      </c>
      <c r="L10" s="7" t="str">
        <f t="shared" si="3"/>
        <v/>
      </c>
      <c r="M10" s="7" t="s">
        <v>4719</v>
      </c>
      <c r="N10" s="7" t="s">
        <v>4720</v>
      </c>
      <c r="O10" s="7" t="s">
        <v>4721</v>
      </c>
      <c r="P10" s="7" t="s">
        <v>4722</v>
      </c>
      <c r="Q10" s="7" t="s">
        <v>4723</v>
      </c>
      <c r="R10" s="7" t="s">
        <v>4724</v>
      </c>
      <c r="S10" s="7" t="s">
        <v>4673</v>
      </c>
      <c r="T10" s="7" t="s">
        <v>4674</v>
      </c>
      <c r="U10" s="7"/>
      <c r="V10" s="7" t="s">
        <v>4725</v>
      </c>
      <c r="W10" s="14">
        <v>5</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Profile'!$B$9,_TECH_Industry_Templates!$B:$B,"IT Cloud DR"),"")</f>
        <v>4</v>
      </c>
      <c r="AO10" s="48" t="str">
        <f t="shared" si="6"/>
        <v/>
      </c>
      <c r="AP10" s="48">
        <f>IFERROR(SUMIFS(_TECH_Industry_Templates!$E:$E,_TECH_Industry_Templates!$A:$A,'Company Profile'!$B$9,_TECH_Industry_Templates!$B:$B,"IT Cloud DR"),1)</f>
        <v>1.1499999999999999</v>
      </c>
      <c r="AQ10" s="48" t="str">
        <f t="shared" si="7"/>
        <v/>
      </c>
      <c r="AR10" s="48" t="str">
        <f t="shared" si="8"/>
        <v/>
      </c>
      <c r="AS10" s="11">
        <f t="shared" si="9"/>
        <v>0</v>
      </c>
      <c r="AT10" s="11">
        <f t="shared" si="10"/>
        <v>0</v>
      </c>
    </row>
    <row r="11" spans="1:46" ht="71.25">
      <c r="A11" s="7" t="s">
        <v>4726</v>
      </c>
      <c r="B11" s="7" t="s">
        <v>1457</v>
      </c>
      <c r="C11" s="7" t="s">
        <v>4727</v>
      </c>
      <c r="D11" s="7" t="s">
        <v>4664</v>
      </c>
      <c r="E11" s="7" t="s">
        <v>4665</v>
      </c>
      <c r="F11" s="7" t="s">
        <v>4728</v>
      </c>
      <c r="G11" s="7">
        <v>5</v>
      </c>
      <c r="H11" s="153"/>
      <c r="I11" s="8" t="str">
        <f t="shared" si="0"/>
        <v/>
      </c>
      <c r="J11" s="8" t="str">
        <f t="shared" si="1"/>
        <v/>
      </c>
      <c r="K11" s="8" t="str">
        <f t="shared" si="2"/>
        <v/>
      </c>
      <c r="L11" s="7" t="str">
        <f t="shared" si="3"/>
        <v/>
      </c>
      <c r="M11" s="7" t="s">
        <v>4729</v>
      </c>
      <c r="N11" s="7" t="s">
        <v>4730</v>
      </c>
      <c r="O11" s="7" t="s">
        <v>4731</v>
      </c>
      <c r="P11" s="7" t="s">
        <v>4732</v>
      </c>
      <c r="Q11" s="7" t="s">
        <v>4733</v>
      </c>
      <c r="R11" s="7" t="s">
        <v>4734</v>
      </c>
      <c r="S11" s="7" t="s">
        <v>4673</v>
      </c>
      <c r="T11" s="7" t="s">
        <v>4674</v>
      </c>
      <c r="U11" s="7"/>
      <c r="V11" s="7" t="s">
        <v>4735</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Profile'!$B$9,_TECH_Industry_Templates!$B:$B,"IT Cloud DR"),"")</f>
        <v>4</v>
      </c>
      <c r="AO11" s="48" t="str">
        <f t="shared" si="6"/>
        <v/>
      </c>
      <c r="AP11" s="48">
        <f>IFERROR(SUMIFS(_TECH_Industry_Templates!$E:$E,_TECH_Industry_Templates!$A:$A,'Company Profile'!$B$9,_TECH_Industry_Templates!$B:$B,"IT Cloud DR"),1)</f>
        <v>1.1499999999999999</v>
      </c>
      <c r="AQ11" s="48" t="str">
        <f t="shared" si="7"/>
        <v/>
      </c>
      <c r="AR11" s="48" t="str">
        <f t="shared" si="8"/>
        <v/>
      </c>
      <c r="AS11" s="11">
        <f t="shared" si="9"/>
        <v>0</v>
      </c>
      <c r="AT11" s="11">
        <f t="shared" si="10"/>
        <v>0</v>
      </c>
    </row>
    <row r="12" spans="1:46" ht="57">
      <c r="A12" s="7" t="s">
        <v>4736</v>
      </c>
      <c r="B12" s="7" t="s">
        <v>1457</v>
      </c>
      <c r="C12" s="7" t="s">
        <v>4737</v>
      </c>
      <c r="D12" s="7" t="s">
        <v>4664</v>
      </c>
      <c r="E12" s="7" t="s">
        <v>4665</v>
      </c>
      <c r="F12" s="7" t="s">
        <v>4738</v>
      </c>
      <c r="G12" s="7">
        <v>5</v>
      </c>
      <c r="H12" s="153"/>
      <c r="I12" s="8" t="str">
        <f t="shared" si="0"/>
        <v/>
      </c>
      <c r="J12" s="8" t="str">
        <f t="shared" si="1"/>
        <v/>
      </c>
      <c r="K12" s="8" t="str">
        <f t="shared" si="2"/>
        <v/>
      </c>
      <c r="L12" s="7" t="str">
        <f t="shared" si="3"/>
        <v/>
      </c>
      <c r="M12" s="7" t="s">
        <v>4739</v>
      </c>
      <c r="N12" s="7" t="s">
        <v>4740</v>
      </c>
      <c r="O12" s="7" t="s">
        <v>4741</v>
      </c>
      <c r="P12" s="7" t="s">
        <v>4742</v>
      </c>
      <c r="Q12" s="7" t="s">
        <v>4743</v>
      </c>
      <c r="R12" s="7" t="s">
        <v>4744</v>
      </c>
      <c r="S12" s="7" t="s">
        <v>4673</v>
      </c>
      <c r="T12" s="7" t="s">
        <v>4674</v>
      </c>
      <c r="U12" s="7"/>
      <c r="V12" s="7" t="s">
        <v>4745</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Profile'!$B$9,_TECH_Industry_Templates!$B:$B,"IT Cloud DR"),"")</f>
        <v>4</v>
      </c>
      <c r="AO12" s="48" t="str">
        <f t="shared" si="6"/>
        <v/>
      </c>
      <c r="AP12" s="48">
        <f>IFERROR(SUMIFS(_TECH_Industry_Templates!$E:$E,_TECH_Industry_Templates!$A:$A,'Company Profile'!$B$9,_TECH_Industry_Templates!$B:$B,"IT Cloud DR"),1)</f>
        <v>1.1499999999999999</v>
      </c>
      <c r="AQ12" s="48" t="str">
        <f t="shared" si="7"/>
        <v/>
      </c>
      <c r="AR12" s="48" t="str">
        <f t="shared" si="8"/>
        <v/>
      </c>
      <c r="AS12" s="11">
        <f t="shared" si="9"/>
        <v>0</v>
      </c>
      <c r="AT12" s="11">
        <f t="shared" si="10"/>
        <v>0</v>
      </c>
    </row>
    <row r="13" spans="1:46" ht="71.25">
      <c r="A13" s="7" t="s">
        <v>4746</v>
      </c>
      <c r="B13" s="7" t="s">
        <v>1457</v>
      </c>
      <c r="C13" s="7" t="s">
        <v>4747</v>
      </c>
      <c r="D13" s="7" t="s">
        <v>4664</v>
      </c>
      <c r="E13" s="7" t="s">
        <v>4665</v>
      </c>
      <c r="F13" s="7" t="s">
        <v>4748</v>
      </c>
      <c r="G13" s="7">
        <v>5</v>
      </c>
      <c r="H13" s="153"/>
      <c r="I13" s="8" t="str">
        <f t="shared" si="0"/>
        <v/>
      </c>
      <c r="J13" s="8" t="str">
        <f t="shared" si="1"/>
        <v/>
      </c>
      <c r="K13" s="8" t="str">
        <f t="shared" si="2"/>
        <v/>
      </c>
      <c r="L13" s="7" t="str">
        <f t="shared" si="3"/>
        <v/>
      </c>
      <c r="M13" s="7" t="s">
        <v>4749</v>
      </c>
      <c r="N13" s="7" t="s">
        <v>4750</v>
      </c>
      <c r="O13" s="7" t="s">
        <v>4751</v>
      </c>
      <c r="P13" s="7" t="s">
        <v>4752</v>
      </c>
      <c r="Q13" s="7" t="s">
        <v>4753</v>
      </c>
      <c r="R13" s="7" t="s">
        <v>4754</v>
      </c>
      <c r="S13" s="7" t="s">
        <v>4673</v>
      </c>
      <c r="T13" s="7" t="s">
        <v>4674</v>
      </c>
      <c r="U13" s="7"/>
      <c r="V13" s="7" t="s">
        <v>4755</v>
      </c>
      <c r="W13" s="14">
        <v>5</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Profile'!$B$9,_TECH_Industry_Templates!$B:$B,"IT Cloud DR"),"")</f>
        <v>4</v>
      </c>
      <c r="AO13" s="48" t="str">
        <f t="shared" si="6"/>
        <v/>
      </c>
      <c r="AP13" s="48">
        <f>IFERROR(SUMIFS(_TECH_Industry_Templates!$E:$E,_TECH_Industry_Templates!$A:$A,'Company Profile'!$B$9,_TECH_Industry_Templates!$B:$B,"IT Cloud DR"),1)</f>
        <v>1.1499999999999999</v>
      </c>
      <c r="AQ13" s="48" t="str">
        <f t="shared" si="7"/>
        <v/>
      </c>
      <c r="AR13" s="48" t="str">
        <f t="shared" si="8"/>
        <v/>
      </c>
      <c r="AS13" s="11">
        <f t="shared" si="9"/>
        <v>0</v>
      </c>
      <c r="AT13" s="11">
        <f t="shared" si="10"/>
        <v>0</v>
      </c>
    </row>
    <row r="14" spans="1:46" ht="57">
      <c r="A14" s="7" t="s">
        <v>4756</v>
      </c>
      <c r="B14" s="7" t="s">
        <v>1457</v>
      </c>
      <c r="C14" s="7" t="s">
        <v>4757</v>
      </c>
      <c r="D14" s="7" t="s">
        <v>4664</v>
      </c>
      <c r="E14" s="7" t="s">
        <v>4665</v>
      </c>
      <c r="F14" s="7" t="s">
        <v>4758</v>
      </c>
      <c r="G14" s="7">
        <v>5</v>
      </c>
      <c r="H14" s="153"/>
      <c r="I14" s="8" t="str">
        <f t="shared" si="0"/>
        <v/>
      </c>
      <c r="J14" s="8" t="str">
        <f t="shared" si="1"/>
        <v/>
      </c>
      <c r="K14" s="8" t="str">
        <f t="shared" si="2"/>
        <v/>
      </c>
      <c r="L14" s="7" t="str">
        <f t="shared" si="3"/>
        <v/>
      </c>
      <c r="M14" s="7" t="s">
        <v>4759</v>
      </c>
      <c r="N14" s="7" t="s">
        <v>4760</v>
      </c>
      <c r="O14" s="7" t="s">
        <v>4761</v>
      </c>
      <c r="P14" s="7" t="s">
        <v>4762</v>
      </c>
      <c r="Q14" s="7" t="s">
        <v>4763</v>
      </c>
      <c r="R14" s="7" t="s">
        <v>4764</v>
      </c>
      <c r="S14" s="7" t="s">
        <v>4673</v>
      </c>
      <c r="T14" s="7" t="s">
        <v>4674</v>
      </c>
      <c r="U14" s="7"/>
      <c r="V14" s="7" t="s">
        <v>4765</v>
      </c>
      <c r="W14" s="14">
        <v>5</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Profile'!$B$9,_TECH_Industry_Templates!$B:$B,"IT Cloud DR"),"")</f>
        <v>4</v>
      </c>
      <c r="AO14" s="48" t="str">
        <f t="shared" si="6"/>
        <v/>
      </c>
      <c r="AP14" s="48">
        <f>IFERROR(SUMIFS(_TECH_Industry_Templates!$E:$E,_TECH_Industry_Templates!$A:$A,'Company Profile'!$B$9,_TECH_Industry_Templates!$B:$B,"IT Cloud DR"),1)</f>
        <v>1.1499999999999999</v>
      </c>
      <c r="AQ14" s="48" t="str">
        <f t="shared" si="7"/>
        <v/>
      </c>
      <c r="AR14" s="48" t="str">
        <f t="shared" si="8"/>
        <v/>
      </c>
      <c r="AS14" s="11">
        <f t="shared" si="9"/>
        <v>0</v>
      </c>
      <c r="AT14" s="11">
        <f t="shared" si="10"/>
        <v>0</v>
      </c>
    </row>
    <row r="15" spans="1:46" ht="71.25">
      <c r="A15" s="7" t="s">
        <v>4766</v>
      </c>
      <c r="B15" s="7" t="s">
        <v>1457</v>
      </c>
      <c r="C15" s="7" t="s">
        <v>4767</v>
      </c>
      <c r="D15" s="7" t="s">
        <v>4664</v>
      </c>
      <c r="E15" s="7" t="s">
        <v>4665</v>
      </c>
      <c r="F15" s="7" t="s">
        <v>4768</v>
      </c>
      <c r="G15" s="7">
        <v>5</v>
      </c>
      <c r="H15" s="153"/>
      <c r="I15" s="8" t="str">
        <f t="shared" si="0"/>
        <v/>
      </c>
      <c r="J15" s="8" t="str">
        <f t="shared" si="1"/>
        <v/>
      </c>
      <c r="K15" s="8" t="str">
        <f t="shared" si="2"/>
        <v/>
      </c>
      <c r="L15" s="7" t="str">
        <f t="shared" si="3"/>
        <v/>
      </c>
      <c r="M15" s="7" t="s">
        <v>4769</v>
      </c>
      <c r="N15" s="7" t="s">
        <v>4770</v>
      </c>
      <c r="O15" s="7" t="s">
        <v>4771</v>
      </c>
      <c r="P15" s="7" t="s">
        <v>4772</v>
      </c>
      <c r="Q15" s="7" t="s">
        <v>4773</v>
      </c>
      <c r="R15" s="7" t="s">
        <v>4774</v>
      </c>
      <c r="S15" s="7" t="s">
        <v>4673</v>
      </c>
      <c r="T15" s="7" t="s">
        <v>4674</v>
      </c>
      <c r="U15" s="7"/>
      <c r="V15" s="7" t="s">
        <v>4775</v>
      </c>
      <c r="W15" s="14">
        <v>5</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Profile'!$B$9,_TECH_Industry_Templates!$B:$B,"IT Cloud DR"),"")</f>
        <v>4</v>
      </c>
      <c r="AO15" s="48" t="str">
        <f t="shared" si="6"/>
        <v/>
      </c>
      <c r="AP15" s="48">
        <f>IFERROR(SUMIFS(_TECH_Industry_Templates!$E:$E,_TECH_Industry_Templates!$A:$A,'Company Profile'!$B$9,_TECH_Industry_Templates!$B:$B,"IT Cloud DR"),1)</f>
        <v>1.1499999999999999</v>
      </c>
      <c r="AQ15" s="48" t="str">
        <f t="shared" si="7"/>
        <v/>
      </c>
      <c r="AR15" s="48" t="str">
        <f t="shared" si="8"/>
        <v/>
      </c>
      <c r="AS15" s="11">
        <f t="shared" si="9"/>
        <v>0</v>
      </c>
      <c r="AT15" s="11">
        <f t="shared" si="10"/>
        <v>0</v>
      </c>
    </row>
    <row r="16" spans="1:46" ht="71.25">
      <c r="A16" s="7" t="s">
        <v>4776</v>
      </c>
      <c r="B16" s="7" t="s">
        <v>1457</v>
      </c>
      <c r="C16" s="7" t="s">
        <v>4777</v>
      </c>
      <c r="D16" s="7" t="s">
        <v>4664</v>
      </c>
      <c r="E16" s="7" t="s">
        <v>4665</v>
      </c>
      <c r="F16" s="7" t="s">
        <v>4778</v>
      </c>
      <c r="G16" s="7">
        <v>5</v>
      </c>
      <c r="H16" s="153"/>
      <c r="I16" s="8" t="str">
        <f t="shared" si="0"/>
        <v/>
      </c>
      <c r="J16" s="8" t="str">
        <f t="shared" si="1"/>
        <v/>
      </c>
      <c r="K16" s="8" t="str">
        <f t="shared" si="2"/>
        <v/>
      </c>
      <c r="L16" s="7" t="str">
        <f t="shared" si="3"/>
        <v/>
      </c>
      <c r="M16" s="7" t="s">
        <v>4779</v>
      </c>
      <c r="N16" s="7" t="s">
        <v>4780</v>
      </c>
      <c r="O16" s="7" t="s">
        <v>4781</v>
      </c>
      <c r="P16" s="7" t="s">
        <v>4782</v>
      </c>
      <c r="Q16" s="7" t="s">
        <v>4783</v>
      </c>
      <c r="R16" s="7" t="s">
        <v>4784</v>
      </c>
      <c r="S16" s="7" t="s">
        <v>4673</v>
      </c>
      <c r="T16" s="7" t="s">
        <v>4674</v>
      </c>
      <c r="U16" s="7"/>
      <c r="V16" s="7" t="s">
        <v>4785</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Profile'!$B$9,_TECH_Industry_Templates!$B:$B,"IT Cloud DR"),"")</f>
        <v>4</v>
      </c>
      <c r="AO16" s="48" t="str">
        <f t="shared" si="6"/>
        <v/>
      </c>
      <c r="AP16" s="48">
        <f>IFERROR(SUMIFS(_TECH_Industry_Templates!$E:$E,_TECH_Industry_Templates!$A:$A,'Company Profile'!$B$9,_TECH_Industry_Templates!$B:$B,"IT Cloud DR"),1)</f>
        <v>1.1499999999999999</v>
      </c>
      <c r="AQ16" s="48" t="str">
        <f t="shared" si="7"/>
        <v/>
      </c>
      <c r="AR16" s="48" t="str">
        <f t="shared" si="8"/>
        <v/>
      </c>
      <c r="AS16" s="11">
        <f t="shared" si="9"/>
        <v>0</v>
      </c>
      <c r="AT16" s="11">
        <f t="shared" si="10"/>
        <v>0</v>
      </c>
    </row>
    <row r="17" spans="1:46" ht="71.25">
      <c r="A17" s="7" t="s">
        <v>4786</v>
      </c>
      <c r="B17" s="7" t="s">
        <v>1465</v>
      </c>
      <c r="C17" s="7" t="s">
        <v>4787</v>
      </c>
      <c r="D17" s="7" t="s">
        <v>4664</v>
      </c>
      <c r="E17" s="7" t="s">
        <v>4665</v>
      </c>
      <c r="F17" s="7" t="s">
        <v>4788</v>
      </c>
      <c r="G17" s="7">
        <v>5</v>
      </c>
      <c r="H17" s="153"/>
      <c r="I17" s="8" t="str">
        <f t="shared" si="0"/>
        <v/>
      </c>
      <c r="J17" s="8" t="str">
        <f t="shared" si="1"/>
        <v/>
      </c>
      <c r="K17" s="8" t="str">
        <f t="shared" si="2"/>
        <v/>
      </c>
      <c r="L17" s="7" t="str">
        <f t="shared" si="3"/>
        <v/>
      </c>
      <c r="M17" s="7" t="s">
        <v>4789</v>
      </c>
      <c r="N17" s="7" t="s">
        <v>4790</v>
      </c>
      <c r="O17" s="7" t="s">
        <v>4791</v>
      </c>
      <c r="P17" s="7" t="s">
        <v>4792</v>
      </c>
      <c r="Q17" s="7" t="s">
        <v>4793</v>
      </c>
      <c r="R17" s="7" t="s">
        <v>4794</v>
      </c>
      <c r="S17" s="7" t="s">
        <v>4673</v>
      </c>
      <c r="T17" s="7" t="s">
        <v>4674</v>
      </c>
      <c r="U17" s="7"/>
      <c r="V17" s="7" t="s">
        <v>4795</v>
      </c>
      <c r="W17" s="14">
        <v>5</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Profile'!$B$9,_TECH_Industry_Templates!$B:$B,"IT Cloud DR"),"")</f>
        <v>4</v>
      </c>
      <c r="AO17" s="48" t="str">
        <f t="shared" si="6"/>
        <v/>
      </c>
      <c r="AP17" s="48">
        <f>IFERROR(SUMIFS(_TECH_Industry_Templates!$E:$E,_TECH_Industry_Templates!$A:$A,'Company Profile'!$B$9,_TECH_Industry_Templates!$B:$B,"IT Cloud DR"),1)</f>
        <v>1.1499999999999999</v>
      </c>
      <c r="AQ17" s="48" t="str">
        <f t="shared" si="7"/>
        <v/>
      </c>
      <c r="AR17" s="48" t="str">
        <f t="shared" si="8"/>
        <v/>
      </c>
      <c r="AS17" s="11">
        <f t="shared" si="9"/>
        <v>0</v>
      </c>
      <c r="AT17" s="11">
        <f t="shared" si="10"/>
        <v>0</v>
      </c>
    </row>
    <row r="18" spans="1:46" ht="57">
      <c r="A18" s="7" t="s">
        <v>4796</v>
      </c>
      <c r="B18" s="7" t="s">
        <v>1465</v>
      </c>
      <c r="C18" s="7" t="s">
        <v>4797</v>
      </c>
      <c r="D18" s="7" t="s">
        <v>4664</v>
      </c>
      <c r="E18" s="7" t="s">
        <v>4665</v>
      </c>
      <c r="F18" s="7" t="s">
        <v>4798</v>
      </c>
      <c r="G18" s="7">
        <v>5</v>
      </c>
      <c r="H18" s="153"/>
      <c r="I18" s="8" t="str">
        <f t="shared" si="0"/>
        <v/>
      </c>
      <c r="J18" s="8" t="str">
        <f t="shared" si="1"/>
        <v/>
      </c>
      <c r="K18" s="8" t="str">
        <f t="shared" si="2"/>
        <v/>
      </c>
      <c r="L18" s="7" t="str">
        <f t="shared" si="3"/>
        <v/>
      </c>
      <c r="M18" s="7" t="s">
        <v>4799</v>
      </c>
      <c r="N18" s="7" t="s">
        <v>4800</v>
      </c>
      <c r="O18" s="7" t="s">
        <v>4801</v>
      </c>
      <c r="P18" s="7" t="s">
        <v>4802</v>
      </c>
      <c r="Q18" s="7" t="s">
        <v>4803</v>
      </c>
      <c r="R18" s="7" t="s">
        <v>4804</v>
      </c>
      <c r="S18" s="7" t="s">
        <v>4673</v>
      </c>
      <c r="T18" s="7" t="s">
        <v>4674</v>
      </c>
      <c r="U18" s="7"/>
      <c r="V18" s="7" t="s">
        <v>4805</v>
      </c>
      <c r="W18" s="14">
        <v>5</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Profile'!$B$9,_TECH_Industry_Templates!$B:$B,"IT Cloud DR"),"")</f>
        <v>4</v>
      </c>
      <c r="AO18" s="48" t="str">
        <f t="shared" si="6"/>
        <v/>
      </c>
      <c r="AP18" s="48">
        <f>IFERROR(SUMIFS(_TECH_Industry_Templates!$E:$E,_TECH_Industry_Templates!$A:$A,'Company Profile'!$B$9,_TECH_Industry_Templates!$B:$B,"IT Cloud DR"),1)</f>
        <v>1.1499999999999999</v>
      </c>
      <c r="AQ18" s="48" t="str">
        <f t="shared" si="7"/>
        <v/>
      </c>
      <c r="AR18" s="48" t="str">
        <f t="shared" si="8"/>
        <v/>
      </c>
      <c r="AS18" s="11">
        <f t="shared" si="9"/>
        <v>0</v>
      </c>
      <c r="AT18" s="11">
        <f t="shared" si="10"/>
        <v>0</v>
      </c>
    </row>
    <row r="19" spans="1:46" ht="71.25">
      <c r="A19" s="7" t="s">
        <v>4806</v>
      </c>
      <c r="B19" s="7" t="s">
        <v>1465</v>
      </c>
      <c r="C19" s="7" t="s">
        <v>4807</v>
      </c>
      <c r="D19" s="7" t="s">
        <v>4664</v>
      </c>
      <c r="E19" s="7" t="s">
        <v>4665</v>
      </c>
      <c r="F19" s="7" t="s">
        <v>4808</v>
      </c>
      <c r="G19" s="7">
        <v>5</v>
      </c>
      <c r="H19" s="153"/>
      <c r="I19" s="8" t="str">
        <f t="shared" si="0"/>
        <v/>
      </c>
      <c r="J19" s="8" t="str">
        <f t="shared" si="1"/>
        <v/>
      </c>
      <c r="K19" s="8" t="str">
        <f t="shared" si="2"/>
        <v/>
      </c>
      <c r="L19" s="7" t="str">
        <f t="shared" si="3"/>
        <v/>
      </c>
      <c r="M19" s="7" t="s">
        <v>4809</v>
      </c>
      <c r="N19" s="7" t="s">
        <v>4810</v>
      </c>
      <c r="O19" s="7" t="s">
        <v>4811</v>
      </c>
      <c r="P19" s="7" t="s">
        <v>4812</v>
      </c>
      <c r="Q19" s="7" t="s">
        <v>4813</v>
      </c>
      <c r="R19" s="7" t="s">
        <v>4814</v>
      </c>
      <c r="S19" s="7" t="s">
        <v>4673</v>
      </c>
      <c r="T19" s="7" t="s">
        <v>4674</v>
      </c>
      <c r="U19" s="7"/>
      <c r="V19" s="7" t="s">
        <v>4815</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Profile'!$B$9,_TECH_Industry_Templates!$B:$B,"IT Cloud DR"),"")</f>
        <v>4</v>
      </c>
      <c r="AO19" s="48" t="str">
        <f t="shared" si="6"/>
        <v/>
      </c>
      <c r="AP19" s="48">
        <f>IFERROR(SUMIFS(_TECH_Industry_Templates!$E:$E,_TECH_Industry_Templates!$A:$A,'Company Profile'!$B$9,_TECH_Industry_Templates!$B:$B,"IT Cloud DR"),1)</f>
        <v>1.1499999999999999</v>
      </c>
      <c r="AQ19" s="48" t="str">
        <f t="shared" si="7"/>
        <v/>
      </c>
      <c r="AR19" s="48" t="str">
        <f t="shared" si="8"/>
        <v/>
      </c>
      <c r="AS19" s="11">
        <f t="shared" si="9"/>
        <v>0</v>
      </c>
      <c r="AT19" s="11">
        <f t="shared" si="10"/>
        <v>0</v>
      </c>
    </row>
    <row r="20" spans="1:46" ht="71.25">
      <c r="A20" s="7" t="s">
        <v>4816</v>
      </c>
      <c r="B20" s="7" t="s">
        <v>1465</v>
      </c>
      <c r="C20" s="7" t="s">
        <v>4817</v>
      </c>
      <c r="D20" s="7" t="s">
        <v>4664</v>
      </c>
      <c r="E20" s="7" t="s">
        <v>4665</v>
      </c>
      <c r="F20" s="7" t="s">
        <v>4818</v>
      </c>
      <c r="G20" s="7">
        <v>5</v>
      </c>
      <c r="H20" s="153"/>
      <c r="I20" s="8" t="str">
        <f t="shared" si="0"/>
        <v/>
      </c>
      <c r="J20" s="8" t="str">
        <f t="shared" si="1"/>
        <v/>
      </c>
      <c r="K20" s="8" t="str">
        <f t="shared" si="2"/>
        <v/>
      </c>
      <c r="L20" s="7" t="str">
        <f t="shared" si="3"/>
        <v/>
      </c>
      <c r="M20" s="7" t="s">
        <v>4819</v>
      </c>
      <c r="N20" s="7" t="s">
        <v>4820</v>
      </c>
      <c r="O20" s="7" t="s">
        <v>4821</v>
      </c>
      <c r="P20" s="7" t="s">
        <v>4822</v>
      </c>
      <c r="Q20" s="7" t="s">
        <v>4823</v>
      </c>
      <c r="R20" s="7" t="s">
        <v>4824</v>
      </c>
      <c r="S20" s="7" t="s">
        <v>4673</v>
      </c>
      <c r="T20" s="7" t="s">
        <v>4674</v>
      </c>
      <c r="U20" s="7"/>
      <c r="V20" s="7" t="s">
        <v>4825</v>
      </c>
      <c r="W20" s="14">
        <v>5</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Profile'!$B$9,_TECH_Industry_Templates!$B:$B,"IT Cloud DR"),"")</f>
        <v>4</v>
      </c>
      <c r="AO20" s="48" t="str">
        <f t="shared" si="6"/>
        <v/>
      </c>
      <c r="AP20" s="48">
        <f>IFERROR(SUMIFS(_TECH_Industry_Templates!$E:$E,_TECH_Industry_Templates!$A:$A,'Company Profile'!$B$9,_TECH_Industry_Templates!$B:$B,"IT Cloud DR"),1)</f>
        <v>1.1499999999999999</v>
      </c>
      <c r="AQ20" s="48" t="str">
        <f t="shared" si="7"/>
        <v/>
      </c>
      <c r="AR20" s="48" t="str">
        <f t="shared" si="8"/>
        <v/>
      </c>
      <c r="AS20" s="11">
        <f t="shared" si="9"/>
        <v>0</v>
      </c>
      <c r="AT20" s="11">
        <f t="shared" si="10"/>
        <v>0</v>
      </c>
    </row>
    <row r="21" spans="1:46" ht="57">
      <c r="A21" s="7" t="s">
        <v>4826</v>
      </c>
      <c r="B21" s="7" t="s">
        <v>1465</v>
      </c>
      <c r="C21" s="7" t="s">
        <v>4827</v>
      </c>
      <c r="D21" s="7" t="s">
        <v>4664</v>
      </c>
      <c r="E21" s="7" t="s">
        <v>4665</v>
      </c>
      <c r="F21" s="7" t="s">
        <v>4828</v>
      </c>
      <c r="G21" s="7">
        <v>5</v>
      </c>
      <c r="H21" s="153"/>
      <c r="I21" s="8" t="str">
        <f t="shared" si="0"/>
        <v/>
      </c>
      <c r="J21" s="8" t="str">
        <f t="shared" si="1"/>
        <v/>
      </c>
      <c r="K21" s="8" t="str">
        <f t="shared" si="2"/>
        <v/>
      </c>
      <c r="L21" s="7" t="str">
        <f t="shared" si="3"/>
        <v/>
      </c>
      <c r="M21" s="7" t="s">
        <v>4829</v>
      </c>
      <c r="N21" s="7" t="s">
        <v>4830</v>
      </c>
      <c r="O21" s="7" t="s">
        <v>4831</v>
      </c>
      <c r="P21" s="7" t="s">
        <v>4832</v>
      </c>
      <c r="Q21" s="7" t="s">
        <v>4833</v>
      </c>
      <c r="R21" s="7" t="s">
        <v>4834</v>
      </c>
      <c r="S21" s="7" t="s">
        <v>4673</v>
      </c>
      <c r="T21" s="7" t="s">
        <v>4674</v>
      </c>
      <c r="U21" s="7"/>
      <c r="V21" s="7" t="s">
        <v>4835</v>
      </c>
      <c r="W21" s="14">
        <v>5</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Profile'!$B$9,_TECH_Industry_Templates!$B:$B,"IT Cloud DR"),"")</f>
        <v>4</v>
      </c>
      <c r="AO21" s="48" t="str">
        <f t="shared" si="6"/>
        <v/>
      </c>
      <c r="AP21" s="48">
        <f>IFERROR(SUMIFS(_TECH_Industry_Templates!$E:$E,_TECH_Industry_Templates!$A:$A,'Company Profile'!$B$9,_TECH_Industry_Templates!$B:$B,"IT Cloud DR"),1)</f>
        <v>1.1499999999999999</v>
      </c>
      <c r="AQ21" s="48" t="str">
        <f t="shared" si="7"/>
        <v/>
      </c>
      <c r="AR21" s="48" t="str">
        <f t="shared" si="8"/>
        <v/>
      </c>
      <c r="AS21" s="11">
        <f t="shared" si="9"/>
        <v>0</v>
      </c>
      <c r="AT21" s="11">
        <f t="shared" si="10"/>
        <v>0</v>
      </c>
    </row>
    <row r="22" spans="1:46" ht="57">
      <c r="A22" s="7" t="s">
        <v>4836</v>
      </c>
      <c r="B22" s="7" t="s">
        <v>1465</v>
      </c>
      <c r="C22" s="7" t="s">
        <v>4837</v>
      </c>
      <c r="D22" s="7" t="s">
        <v>4664</v>
      </c>
      <c r="E22" s="7" t="s">
        <v>4665</v>
      </c>
      <c r="F22" s="7" t="s">
        <v>4838</v>
      </c>
      <c r="G22" s="7">
        <v>5</v>
      </c>
      <c r="H22" s="153"/>
      <c r="I22" s="8" t="str">
        <f t="shared" si="0"/>
        <v/>
      </c>
      <c r="J22" s="8" t="str">
        <f t="shared" si="1"/>
        <v/>
      </c>
      <c r="K22" s="8" t="str">
        <f t="shared" si="2"/>
        <v/>
      </c>
      <c r="L22" s="7" t="str">
        <f t="shared" si="3"/>
        <v/>
      </c>
      <c r="M22" s="7" t="s">
        <v>4839</v>
      </c>
      <c r="N22" s="7" t="s">
        <v>4840</v>
      </c>
      <c r="O22" s="7" t="s">
        <v>4841</v>
      </c>
      <c r="P22" s="7" t="s">
        <v>4842</v>
      </c>
      <c r="Q22" s="7" t="s">
        <v>4843</v>
      </c>
      <c r="R22" s="7" t="s">
        <v>4844</v>
      </c>
      <c r="S22" s="7" t="s">
        <v>4673</v>
      </c>
      <c r="T22" s="7" t="s">
        <v>4674</v>
      </c>
      <c r="U22" s="7"/>
      <c r="V22" s="7" t="s">
        <v>4845</v>
      </c>
      <c r="W22" s="14">
        <v>5</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Profile'!$B$9,_TECH_Industry_Templates!$B:$B,"IT Cloud DR"),"")</f>
        <v>4</v>
      </c>
      <c r="AO22" s="48" t="str">
        <f t="shared" si="6"/>
        <v/>
      </c>
      <c r="AP22" s="48">
        <f>IFERROR(SUMIFS(_TECH_Industry_Templates!$E:$E,_TECH_Industry_Templates!$A:$A,'Company Profile'!$B$9,_TECH_Industry_Templates!$B:$B,"IT Cloud DR"),1)</f>
        <v>1.1499999999999999</v>
      </c>
      <c r="AQ22" s="48" t="str">
        <f t="shared" si="7"/>
        <v/>
      </c>
      <c r="AR22" s="48" t="str">
        <f t="shared" si="8"/>
        <v/>
      </c>
      <c r="AS22" s="11">
        <f t="shared" si="9"/>
        <v>0</v>
      </c>
      <c r="AT22" s="11">
        <f t="shared" si="10"/>
        <v>0</v>
      </c>
    </row>
    <row r="23" spans="1:46" ht="71.25">
      <c r="A23" s="7" t="s">
        <v>4846</v>
      </c>
      <c r="B23" s="7" t="s">
        <v>1473</v>
      </c>
      <c r="C23" s="7" t="s">
        <v>4847</v>
      </c>
      <c r="D23" s="7" t="s">
        <v>4664</v>
      </c>
      <c r="E23" s="7" t="s">
        <v>4665</v>
      </c>
      <c r="F23" s="7" t="s">
        <v>4848</v>
      </c>
      <c r="G23" s="7">
        <v>5</v>
      </c>
      <c r="H23" s="153"/>
      <c r="I23" s="8" t="str">
        <f t="shared" si="0"/>
        <v/>
      </c>
      <c r="J23" s="8" t="str">
        <f t="shared" si="1"/>
        <v/>
      </c>
      <c r="K23" s="8" t="str">
        <f t="shared" si="2"/>
        <v/>
      </c>
      <c r="L23" s="7" t="str">
        <f t="shared" si="3"/>
        <v/>
      </c>
      <c r="M23" s="7" t="s">
        <v>4849</v>
      </c>
      <c r="N23" s="7" t="s">
        <v>4850</v>
      </c>
      <c r="O23" s="7" t="s">
        <v>4851</v>
      </c>
      <c r="P23" s="7" t="s">
        <v>4852</v>
      </c>
      <c r="Q23" s="7" t="s">
        <v>4853</v>
      </c>
      <c r="R23" s="7" t="s">
        <v>4854</v>
      </c>
      <c r="S23" s="7" t="s">
        <v>4673</v>
      </c>
      <c r="T23" s="7" t="s">
        <v>4674</v>
      </c>
      <c r="U23" s="7"/>
      <c r="V23" s="7" t="s">
        <v>4855</v>
      </c>
      <c r="W23" s="14">
        <v>5</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Profile'!$B$9,_TECH_Industry_Templates!$B:$B,"IT Cloud DR"),"")</f>
        <v>4</v>
      </c>
      <c r="AO23" s="48" t="str">
        <f t="shared" si="6"/>
        <v/>
      </c>
      <c r="AP23" s="48">
        <f>IFERROR(SUMIFS(_TECH_Industry_Templates!$E:$E,_TECH_Industry_Templates!$A:$A,'Company Profile'!$B$9,_TECH_Industry_Templates!$B:$B,"IT Cloud DR"),1)</f>
        <v>1.1499999999999999</v>
      </c>
      <c r="AQ23" s="48" t="str">
        <f t="shared" si="7"/>
        <v/>
      </c>
      <c r="AR23" s="48" t="str">
        <f t="shared" si="8"/>
        <v/>
      </c>
      <c r="AS23" s="11">
        <f t="shared" si="9"/>
        <v>0</v>
      </c>
      <c r="AT23" s="11">
        <f t="shared" si="10"/>
        <v>0</v>
      </c>
    </row>
    <row r="24" spans="1:46" ht="71.25">
      <c r="A24" s="7" t="s">
        <v>4856</v>
      </c>
      <c r="B24" s="7" t="s">
        <v>1473</v>
      </c>
      <c r="C24" s="7" t="s">
        <v>4857</v>
      </c>
      <c r="D24" s="7" t="s">
        <v>4664</v>
      </c>
      <c r="E24" s="7" t="s">
        <v>4665</v>
      </c>
      <c r="F24" s="7" t="s">
        <v>4858</v>
      </c>
      <c r="G24" s="7">
        <v>3</v>
      </c>
      <c r="H24" s="153"/>
      <c r="I24" s="8" t="str">
        <f t="shared" si="0"/>
        <v/>
      </c>
      <c r="J24" s="8" t="str">
        <f t="shared" si="1"/>
        <v/>
      </c>
      <c r="K24" s="8" t="str">
        <f t="shared" si="2"/>
        <v/>
      </c>
      <c r="L24" s="7" t="str">
        <f t="shared" si="3"/>
        <v/>
      </c>
      <c r="M24" s="7" t="s">
        <v>4859</v>
      </c>
      <c r="N24" s="7" t="s">
        <v>4860</v>
      </c>
      <c r="O24" s="7" t="s">
        <v>4861</v>
      </c>
      <c r="P24" s="7" t="s">
        <v>4862</v>
      </c>
      <c r="Q24" s="7" t="s">
        <v>4863</v>
      </c>
      <c r="R24" s="7" t="s">
        <v>4864</v>
      </c>
      <c r="S24" s="7" t="s">
        <v>4673</v>
      </c>
      <c r="T24" s="7" t="s">
        <v>4674</v>
      </c>
      <c r="U24" s="7"/>
      <c r="V24" s="7" t="s">
        <v>4865</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Profile'!$B$9,_TECH_Industry_Templates!$B:$B,"IT Cloud DR"),"")</f>
        <v>4</v>
      </c>
      <c r="AO24" s="48" t="str">
        <f t="shared" si="6"/>
        <v/>
      </c>
      <c r="AP24" s="48">
        <f>IFERROR(SUMIFS(_TECH_Industry_Templates!$E:$E,_TECH_Industry_Templates!$A:$A,'Company Profile'!$B$9,_TECH_Industry_Templates!$B:$B,"IT Cloud DR"),1)</f>
        <v>1.1499999999999999</v>
      </c>
      <c r="AQ24" s="48" t="str">
        <f t="shared" si="7"/>
        <v/>
      </c>
      <c r="AR24" s="48" t="str">
        <f t="shared" si="8"/>
        <v/>
      </c>
      <c r="AS24" s="11">
        <f t="shared" si="9"/>
        <v>0</v>
      </c>
      <c r="AT24" s="11">
        <f t="shared" si="10"/>
        <v>0</v>
      </c>
    </row>
    <row r="25" spans="1:46" ht="71.25">
      <c r="A25" s="7" t="s">
        <v>4866</v>
      </c>
      <c r="B25" s="7" t="s">
        <v>1473</v>
      </c>
      <c r="C25" s="7" t="s">
        <v>4867</v>
      </c>
      <c r="D25" s="7" t="s">
        <v>4664</v>
      </c>
      <c r="E25" s="7" t="s">
        <v>4665</v>
      </c>
      <c r="F25" s="7" t="s">
        <v>4868</v>
      </c>
      <c r="G25" s="7">
        <v>3</v>
      </c>
      <c r="H25" s="153"/>
      <c r="I25" s="8" t="str">
        <f t="shared" si="0"/>
        <v/>
      </c>
      <c r="J25" s="8" t="str">
        <f t="shared" si="1"/>
        <v/>
      </c>
      <c r="K25" s="8" t="str">
        <f t="shared" si="2"/>
        <v/>
      </c>
      <c r="L25" s="7" t="str">
        <f t="shared" si="3"/>
        <v/>
      </c>
      <c r="M25" s="7" t="s">
        <v>4869</v>
      </c>
      <c r="N25" s="7" t="s">
        <v>4870</v>
      </c>
      <c r="O25" s="7" t="s">
        <v>4871</v>
      </c>
      <c r="P25" s="7" t="s">
        <v>4872</v>
      </c>
      <c r="Q25" s="7" t="s">
        <v>4873</v>
      </c>
      <c r="R25" s="7" t="s">
        <v>4874</v>
      </c>
      <c r="S25" s="7" t="s">
        <v>4673</v>
      </c>
      <c r="T25" s="7" t="s">
        <v>4674</v>
      </c>
      <c r="U25" s="7"/>
      <c r="V25" s="7" t="s">
        <v>4875</v>
      </c>
      <c r="W25" s="14">
        <v>5</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Profile'!$B$9,_TECH_Industry_Templates!$B:$B,"IT Cloud DR"),"")</f>
        <v>4</v>
      </c>
      <c r="AO25" s="48" t="str">
        <f t="shared" si="6"/>
        <v/>
      </c>
      <c r="AP25" s="48">
        <f>IFERROR(SUMIFS(_TECH_Industry_Templates!$E:$E,_TECH_Industry_Templates!$A:$A,'Company Profile'!$B$9,_TECH_Industry_Templates!$B:$B,"IT Cloud DR"),1)</f>
        <v>1.1499999999999999</v>
      </c>
      <c r="AQ25" s="48" t="str">
        <f t="shared" si="7"/>
        <v/>
      </c>
      <c r="AR25" s="48" t="str">
        <f t="shared" si="8"/>
        <v/>
      </c>
      <c r="AS25" s="11">
        <f t="shared" si="9"/>
        <v>0</v>
      </c>
      <c r="AT25" s="11">
        <f t="shared" si="10"/>
        <v>0</v>
      </c>
    </row>
    <row r="26" spans="1:46" ht="57">
      <c r="A26" s="7" t="s">
        <v>4876</v>
      </c>
      <c r="B26" s="7" t="s">
        <v>1473</v>
      </c>
      <c r="C26" s="7" t="s">
        <v>4877</v>
      </c>
      <c r="D26" s="7" t="s">
        <v>4664</v>
      </c>
      <c r="E26" s="7" t="s">
        <v>4665</v>
      </c>
      <c r="F26" s="7" t="s">
        <v>4878</v>
      </c>
      <c r="G26" s="7">
        <v>5</v>
      </c>
      <c r="H26" s="153"/>
      <c r="I26" s="8" t="str">
        <f t="shared" si="0"/>
        <v/>
      </c>
      <c r="J26" s="8" t="str">
        <f t="shared" si="1"/>
        <v/>
      </c>
      <c r="K26" s="8" t="str">
        <f t="shared" si="2"/>
        <v/>
      </c>
      <c r="L26" s="7" t="str">
        <f t="shared" si="3"/>
        <v/>
      </c>
      <c r="M26" s="7" t="s">
        <v>4879</v>
      </c>
      <c r="N26" s="7" t="s">
        <v>4880</v>
      </c>
      <c r="O26" s="7" t="s">
        <v>4881</v>
      </c>
      <c r="P26" s="7" t="s">
        <v>4882</v>
      </c>
      <c r="Q26" s="7" t="s">
        <v>4883</v>
      </c>
      <c r="R26" s="7" t="s">
        <v>4884</v>
      </c>
      <c r="S26" s="7" t="s">
        <v>4673</v>
      </c>
      <c r="T26" s="7" t="s">
        <v>4674</v>
      </c>
      <c r="U26" s="7"/>
      <c r="V26" s="7" t="s">
        <v>4885</v>
      </c>
      <c r="W26" s="14">
        <v>5</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Profile'!$B$9,_TECH_Industry_Templates!$B:$B,"IT Cloud DR"),"")</f>
        <v>4</v>
      </c>
      <c r="AO26" s="48" t="str">
        <f t="shared" si="6"/>
        <v/>
      </c>
      <c r="AP26" s="48">
        <f>IFERROR(SUMIFS(_TECH_Industry_Templates!$E:$E,_TECH_Industry_Templates!$A:$A,'Company Profile'!$B$9,_TECH_Industry_Templates!$B:$B,"IT Cloud DR"),1)</f>
        <v>1.1499999999999999</v>
      </c>
      <c r="AQ26" s="48" t="str">
        <f t="shared" si="7"/>
        <v/>
      </c>
      <c r="AR26" s="48" t="str">
        <f t="shared" si="8"/>
        <v/>
      </c>
      <c r="AS26" s="11">
        <f t="shared" si="9"/>
        <v>0</v>
      </c>
      <c r="AT26" s="11">
        <f t="shared" si="10"/>
        <v>0</v>
      </c>
    </row>
    <row r="27" spans="1:46" ht="57">
      <c r="A27" s="7" t="s">
        <v>4886</v>
      </c>
      <c r="B27" s="7" t="s">
        <v>1473</v>
      </c>
      <c r="C27" s="7" t="s">
        <v>4887</v>
      </c>
      <c r="D27" s="7" t="s">
        <v>4664</v>
      </c>
      <c r="E27" s="7" t="s">
        <v>4665</v>
      </c>
      <c r="F27" s="7" t="s">
        <v>4888</v>
      </c>
      <c r="G27" s="7">
        <v>5</v>
      </c>
      <c r="H27" s="153"/>
      <c r="I27" s="8" t="str">
        <f t="shared" si="0"/>
        <v/>
      </c>
      <c r="J27" s="8" t="str">
        <f t="shared" si="1"/>
        <v/>
      </c>
      <c r="K27" s="8" t="str">
        <f t="shared" si="2"/>
        <v/>
      </c>
      <c r="L27" s="7" t="str">
        <f t="shared" si="3"/>
        <v/>
      </c>
      <c r="M27" s="7" t="s">
        <v>4889</v>
      </c>
      <c r="N27" s="7" t="s">
        <v>4890</v>
      </c>
      <c r="O27" s="7" t="s">
        <v>4891</v>
      </c>
      <c r="P27" s="7" t="s">
        <v>4892</v>
      </c>
      <c r="Q27" s="7" t="s">
        <v>4893</v>
      </c>
      <c r="R27" s="7" t="s">
        <v>4894</v>
      </c>
      <c r="S27" s="7" t="s">
        <v>4673</v>
      </c>
      <c r="T27" s="7" t="s">
        <v>4674</v>
      </c>
      <c r="U27" s="7"/>
      <c r="V27" s="7" t="s">
        <v>4895</v>
      </c>
      <c r="W27" s="14">
        <v>5</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Profile'!$B$9,_TECH_Industry_Templates!$B:$B,"IT Cloud DR"),"")</f>
        <v>4</v>
      </c>
      <c r="AO27" s="48" t="str">
        <f t="shared" si="6"/>
        <v/>
      </c>
      <c r="AP27" s="48">
        <f>IFERROR(SUMIFS(_TECH_Industry_Templates!$E:$E,_TECH_Industry_Templates!$A:$A,'Company Profile'!$B$9,_TECH_Industry_Templates!$B:$B,"IT Cloud DR"),1)</f>
        <v>1.1499999999999999</v>
      </c>
      <c r="AQ27" s="48" t="str">
        <f t="shared" si="7"/>
        <v/>
      </c>
      <c r="AR27" s="48" t="str">
        <f t="shared" si="8"/>
        <v/>
      </c>
      <c r="AS27" s="11">
        <f t="shared" si="9"/>
        <v>0</v>
      </c>
      <c r="AT27" s="11">
        <f t="shared" si="10"/>
        <v>0</v>
      </c>
    </row>
    <row r="28" spans="1:46" ht="57">
      <c r="A28" s="7" t="s">
        <v>4896</v>
      </c>
      <c r="B28" s="7" t="s">
        <v>1473</v>
      </c>
      <c r="C28" s="7" t="s">
        <v>4897</v>
      </c>
      <c r="D28" s="7" t="s">
        <v>4664</v>
      </c>
      <c r="E28" s="7" t="s">
        <v>4665</v>
      </c>
      <c r="F28" s="7" t="s">
        <v>4898</v>
      </c>
      <c r="G28" s="7">
        <v>5</v>
      </c>
      <c r="H28" s="153"/>
      <c r="I28" s="8" t="str">
        <f t="shared" si="0"/>
        <v/>
      </c>
      <c r="J28" s="8" t="str">
        <f t="shared" si="1"/>
        <v/>
      </c>
      <c r="K28" s="8" t="str">
        <f t="shared" si="2"/>
        <v/>
      </c>
      <c r="L28" s="7" t="str">
        <f t="shared" si="3"/>
        <v/>
      </c>
      <c r="M28" s="7" t="s">
        <v>4899</v>
      </c>
      <c r="N28" s="7" t="s">
        <v>4900</v>
      </c>
      <c r="O28" s="7" t="s">
        <v>4901</v>
      </c>
      <c r="P28" s="7" t="s">
        <v>4902</v>
      </c>
      <c r="Q28" s="7" t="s">
        <v>4903</v>
      </c>
      <c r="R28" s="7" t="s">
        <v>4904</v>
      </c>
      <c r="S28" s="7" t="s">
        <v>4673</v>
      </c>
      <c r="T28" s="7" t="s">
        <v>4674</v>
      </c>
      <c r="U28" s="7"/>
      <c r="V28" s="7" t="s">
        <v>4905</v>
      </c>
      <c r="W28" s="14">
        <v>5</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Profile'!$B$9,_TECH_Industry_Templates!$B:$B,"IT Cloud DR"),"")</f>
        <v>4</v>
      </c>
      <c r="AO28" s="48" t="str">
        <f t="shared" si="6"/>
        <v/>
      </c>
      <c r="AP28" s="48">
        <f>IFERROR(SUMIFS(_TECH_Industry_Templates!$E:$E,_TECH_Industry_Templates!$A:$A,'Company Profile'!$B$9,_TECH_Industry_Templates!$B:$B,"IT Cloud DR"),1)</f>
        <v>1.1499999999999999</v>
      </c>
      <c r="AQ28" s="48" t="str">
        <f t="shared" si="7"/>
        <v/>
      </c>
      <c r="AR28" s="48" t="str">
        <f t="shared" si="8"/>
        <v/>
      </c>
      <c r="AS28" s="11">
        <f t="shared" si="9"/>
        <v>0</v>
      </c>
      <c r="AT28" s="11">
        <f t="shared" si="10"/>
        <v>0</v>
      </c>
    </row>
    <row r="29" spans="1:46" ht="71.25">
      <c r="A29" s="7" t="s">
        <v>4906</v>
      </c>
      <c r="B29" s="7" t="s">
        <v>1481</v>
      </c>
      <c r="C29" s="7" t="s">
        <v>4907</v>
      </c>
      <c r="D29" s="7" t="s">
        <v>4664</v>
      </c>
      <c r="E29" s="7" t="s">
        <v>4665</v>
      </c>
      <c r="F29" s="7" t="s">
        <v>4908</v>
      </c>
      <c r="G29" s="7">
        <v>5</v>
      </c>
      <c r="H29" s="153"/>
      <c r="I29" s="8" t="str">
        <f t="shared" si="0"/>
        <v/>
      </c>
      <c r="J29" s="8" t="str">
        <f t="shared" si="1"/>
        <v/>
      </c>
      <c r="K29" s="8" t="str">
        <f t="shared" si="2"/>
        <v/>
      </c>
      <c r="L29" s="7" t="str">
        <f t="shared" si="3"/>
        <v/>
      </c>
      <c r="M29" s="7" t="s">
        <v>4909</v>
      </c>
      <c r="N29" s="7" t="s">
        <v>4910</v>
      </c>
      <c r="O29" s="7" t="s">
        <v>4911</v>
      </c>
      <c r="P29" s="7" t="s">
        <v>4912</v>
      </c>
      <c r="Q29" s="7" t="s">
        <v>4913</v>
      </c>
      <c r="R29" s="7" t="s">
        <v>4914</v>
      </c>
      <c r="S29" s="7" t="s">
        <v>4673</v>
      </c>
      <c r="T29" s="7" t="s">
        <v>4674</v>
      </c>
      <c r="U29" s="7"/>
      <c r="V29" s="7" t="s">
        <v>4915</v>
      </c>
      <c r="W29" s="14">
        <v>5</v>
      </c>
      <c r="X29" s="14">
        <v>5</v>
      </c>
      <c r="Y29" s="14">
        <v>5</v>
      </c>
      <c r="AH29" s="81"/>
      <c r="AI29" s="81"/>
      <c r="AJ29" s="48" t="str">
        <f>IF(OR($H29="",$H29="N/A"),"",IF($AH29="",VLOOKUP('Company Profile'!$B$40,_TECH_Scoring_Settings!$A$5:$B$8,2,FALSE),IFERROR(VLOOKUP($AH29,_TECH_Scoring_Settings!$A$5:$B$8,2,FALSE),0.9)))</f>
        <v/>
      </c>
      <c r="AK29" s="48" t="str">
        <f>IF(OR($H29="",$H29="N/A"),"",IF($AI29="",VLOOKUP('Company Profile'!$B$41,_TECH_Scoring_Settings!$A$5:$B$8,2,FALSE),IFERROR(VLOOKUP($AI29,_TECH_Scoring_Settings!$A$5:$B$8,2,FALSE),0.9)))</f>
        <v/>
      </c>
      <c r="AL29" s="48" t="str">
        <f t="shared" si="4"/>
        <v/>
      </c>
      <c r="AM29" s="48" t="str">
        <f t="shared" si="5"/>
        <v/>
      </c>
      <c r="AN29" s="48">
        <f>IFERROR(SUMIFS(_TECH_Industry_Templates!$D:$D,_TECH_Industry_Templates!$A:$A,'Company Profile'!$B$9,_TECH_Industry_Templates!$B:$B,"IT Cloud DR"),"")</f>
        <v>4</v>
      </c>
      <c r="AO29" s="48" t="str">
        <f t="shared" si="6"/>
        <v/>
      </c>
      <c r="AP29" s="48">
        <f>IFERROR(SUMIFS(_TECH_Industry_Templates!$E:$E,_TECH_Industry_Templates!$A:$A,'Company Profile'!$B$9,_TECH_Industry_Templates!$B:$B,"IT Cloud DR"),1)</f>
        <v>1.1499999999999999</v>
      </c>
      <c r="AQ29" s="48" t="str">
        <f t="shared" si="7"/>
        <v/>
      </c>
      <c r="AR29" s="48" t="str">
        <f t="shared" si="8"/>
        <v/>
      </c>
      <c r="AS29" s="11">
        <f t="shared" si="9"/>
        <v>0</v>
      </c>
      <c r="AT29" s="11">
        <f t="shared" si="10"/>
        <v>0</v>
      </c>
    </row>
    <row r="30" spans="1:46" ht="71.25">
      <c r="A30" s="7" t="s">
        <v>4916</v>
      </c>
      <c r="B30" s="7" t="s">
        <v>1481</v>
      </c>
      <c r="C30" s="7" t="s">
        <v>4917</v>
      </c>
      <c r="D30" s="7" t="s">
        <v>4664</v>
      </c>
      <c r="E30" s="7" t="s">
        <v>4665</v>
      </c>
      <c r="F30" s="7" t="s">
        <v>4918</v>
      </c>
      <c r="G30" s="7">
        <v>5</v>
      </c>
      <c r="H30" s="153"/>
      <c r="I30" s="8" t="str">
        <f t="shared" si="0"/>
        <v/>
      </c>
      <c r="J30" s="8" t="str">
        <f t="shared" si="1"/>
        <v/>
      </c>
      <c r="K30" s="8" t="str">
        <f t="shared" si="2"/>
        <v/>
      </c>
      <c r="L30" s="7" t="str">
        <f t="shared" si="3"/>
        <v/>
      </c>
      <c r="M30" s="7" t="s">
        <v>4919</v>
      </c>
      <c r="N30" s="7" t="s">
        <v>4920</v>
      </c>
      <c r="O30" s="7" t="s">
        <v>4921</v>
      </c>
      <c r="P30" s="7" t="s">
        <v>4922</v>
      </c>
      <c r="Q30" s="7" t="s">
        <v>4923</v>
      </c>
      <c r="R30" s="7" t="s">
        <v>4924</v>
      </c>
      <c r="S30" s="7" t="s">
        <v>4673</v>
      </c>
      <c r="T30" s="7" t="s">
        <v>4674</v>
      </c>
      <c r="U30" s="7"/>
      <c r="V30" s="7" t="s">
        <v>4925</v>
      </c>
      <c r="W30" s="14">
        <v>5</v>
      </c>
      <c r="X30" s="14">
        <v>5</v>
      </c>
      <c r="Y30" s="14">
        <v>5</v>
      </c>
      <c r="AH30" s="81"/>
      <c r="AI30" s="81"/>
      <c r="AJ30" s="48" t="str">
        <f>IF(OR($H30="",$H30="N/A"),"",IF($AH30="",VLOOKUP('Company Profile'!$B$40,_TECH_Scoring_Settings!$A$5:$B$8,2,FALSE),IFERROR(VLOOKUP($AH30,_TECH_Scoring_Settings!$A$5:$B$8,2,FALSE),0.9)))</f>
        <v/>
      </c>
      <c r="AK30" s="48" t="str">
        <f>IF(OR($H30="",$H30="N/A"),"",IF($AI30="",VLOOKUP('Company Profile'!$B$41,_TECH_Scoring_Settings!$A$5:$B$8,2,FALSE),IFERROR(VLOOKUP($AI30,_TECH_Scoring_Settings!$A$5:$B$8,2,FALSE),0.9)))</f>
        <v/>
      </c>
      <c r="AL30" s="48" t="str">
        <f t="shared" si="4"/>
        <v/>
      </c>
      <c r="AM30" s="48" t="str">
        <f t="shared" si="5"/>
        <v/>
      </c>
      <c r="AN30" s="48">
        <f>IFERROR(SUMIFS(_TECH_Industry_Templates!$D:$D,_TECH_Industry_Templates!$A:$A,'Company Profile'!$B$9,_TECH_Industry_Templates!$B:$B,"IT Cloud DR"),"")</f>
        <v>4</v>
      </c>
      <c r="AO30" s="48" t="str">
        <f t="shared" si="6"/>
        <v/>
      </c>
      <c r="AP30" s="48">
        <f>IFERROR(SUMIFS(_TECH_Industry_Templates!$E:$E,_TECH_Industry_Templates!$A:$A,'Company Profile'!$B$9,_TECH_Industry_Templates!$B:$B,"IT Cloud DR"),1)</f>
        <v>1.1499999999999999</v>
      </c>
      <c r="AQ30" s="48" t="str">
        <f t="shared" si="7"/>
        <v/>
      </c>
      <c r="AR30" s="48" t="str">
        <f t="shared" si="8"/>
        <v/>
      </c>
      <c r="AS30" s="11">
        <f t="shared" si="9"/>
        <v>0</v>
      </c>
      <c r="AT30" s="11">
        <f t="shared" si="10"/>
        <v>0</v>
      </c>
    </row>
    <row r="31" spans="1:46" ht="57">
      <c r="A31" s="7" t="s">
        <v>4926</v>
      </c>
      <c r="B31" s="7" t="s">
        <v>1481</v>
      </c>
      <c r="C31" s="7" t="s">
        <v>4927</v>
      </c>
      <c r="D31" s="7" t="s">
        <v>4664</v>
      </c>
      <c r="E31" s="7" t="s">
        <v>4665</v>
      </c>
      <c r="F31" s="7" t="s">
        <v>4928</v>
      </c>
      <c r="G31" s="7">
        <v>3</v>
      </c>
      <c r="H31" s="153"/>
      <c r="I31" s="8" t="str">
        <f t="shared" si="0"/>
        <v/>
      </c>
      <c r="J31" s="8" t="str">
        <f t="shared" si="1"/>
        <v/>
      </c>
      <c r="K31" s="8" t="str">
        <f t="shared" si="2"/>
        <v/>
      </c>
      <c r="L31" s="7" t="str">
        <f t="shared" si="3"/>
        <v/>
      </c>
      <c r="M31" s="7" t="s">
        <v>4929</v>
      </c>
      <c r="N31" s="7" t="s">
        <v>4930</v>
      </c>
      <c r="O31" s="7" t="s">
        <v>4931</v>
      </c>
      <c r="P31" s="7" t="s">
        <v>4932</v>
      </c>
      <c r="Q31" s="7" t="s">
        <v>4933</v>
      </c>
      <c r="R31" s="7" t="s">
        <v>4934</v>
      </c>
      <c r="S31" s="7" t="s">
        <v>4673</v>
      </c>
      <c r="T31" s="7" t="s">
        <v>4674</v>
      </c>
      <c r="U31" s="7"/>
      <c r="V31" s="7" t="s">
        <v>4935</v>
      </c>
      <c r="W31" s="14">
        <v>5</v>
      </c>
      <c r="X31" s="14">
        <v>5</v>
      </c>
      <c r="Y31" s="14">
        <v>5</v>
      </c>
      <c r="AH31" s="81"/>
      <c r="AI31" s="81"/>
      <c r="AJ31" s="48" t="str">
        <f>IF(OR($H31="",$H31="N/A"),"",IF($AH31="",VLOOKUP('Company Profile'!$B$40,_TECH_Scoring_Settings!$A$5:$B$8,2,FALSE),IFERROR(VLOOKUP($AH31,_TECH_Scoring_Settings!$A$5:$B$8,2,FALSE),0.9)))</f>
        <v/>
      </c>
      <c r="AK31" s="48" t="str">
        <f>IF(OR($H31="",$H31="N/A"),"",IF($AI31="",VLOOKUP('Company Profile'!$B$41,_TECH_Scoring_Settings!$A$5:$B$8,2,FALSE),IFERROR(VLOOKUP($AI31,_TECH_Scoring_Settings!$A$5:$B$8,2,FALSE),0.9)))</f>
        <v/>
      </c>
      <c r="AL31" s="48" t="str">
        <f t="shared" si="4"/>
        <v/>
      </c>
      <c r="AM31" s="48" t="str">
        <f t="shared" si="5"/>
        <v/>
      </c>
      <c r="AN31" s="48">
        <f>IFERROR(SUMIFS(_TECH_Industry_Templates!$D:$D,_TECH_Industry_Templates!$A:$A,'Company Profile'!$B$9,_TECH_Industry_Templates!$B:$B,"IT Cloud DR"),"")</f>
        <v>4</v>
      </c>
      <c r="AO31" s="48" t="str">
        <f t="shared" si="6"/>
        <v/>
      </c>
      <c r="AP31" s="48">
        <f>IFERROR(SUMIFS(_TECH_Industry_Templates!$E:$E,_TECH_Industry_Templates!$A:$A,'Company Profile'!$B$9,_TECH_Industry_Templates!$B:$B,"IT Cloud DR"),1)</f>
        <v>1.1499999999999999</v>
      </c>
      <c r="AQ31" s="48" t="str">
        <f t="shared" si="7"/>
        <v/>
      </c>
      <c r="AR31" s="48" t="str">
        <f t="shared" si="8"/>
        <v/>
      </c>
      <c r="AS31" s="11">
        <f t="shared" si="9"/>
        <v>0</v>
      </c>
      <c r="AT31" s="11">
        <f t="shared" si="10"/>
        <v>0</v>
      </c>
    </row>
    <row r="32" spans="1:46" ht="57">
      <c r="A32" s="7" t="s">
        <v>4936</v>
      </c>
      <c r="B32" s="7" t="s">
        <v>1481</v>
      </c>
      <c r="C32" s="7" t="s">
        <v>4937</v>
      </c>
      <c r="D32" s="7" t="s">
        <v>4664</v>
      </c>
      <c r="E32" s="7" t="s">
        <v>4665</v>
      </c>
      <c r="F32" s="7" t="s">
        <v>4938</v>
      </c>
      <c r="G32" s="7">
        <v>3</v>
      </c>
      <c r="H32" s="153"/>
      <c r="I32" s="8" t="str">
        <f t="shared" si="0"/>
        <v/>
      </c>
      <c r="J32" s="8" t="str">
        <f t="shared" si="1"/>
        <v/>
      </c>
      <c r="K32" s="8" t="str">
        <f t="shared" si="2"/>
        <v/>
      </c>
      <c r="L32" s="7" t="str">
        <f t="shared" si="3"/>
        <v/>
      </c>
      <c r="M32" s="7" t="s">
        <v>4939</v>
      </c>
      <c r="N32" s="7" t="s">
        <v>4940</v>
      </c>
      <c r="O32" s="7" t="s">
        <v>4941</v>
      </c>
      <c r="P32" s="7" t="s">
        <v>4942</v>
      </c>
      <c r="Q32" s="7" t="s">
        <v>4943</v>
      </c>
      <c r="R32" s="7" t="s">
        <v>4944</v>
      </c>
      <c r="S32" s="7" t="s">
        <v>4673</v>
      </c>
      <c r="T32" s="7" t="s">
        <v>4674</v>
      </c>
      <c r="U32" s="7"/>
      <c r="V32" s="7" t="s">
        <v>4945</v>
      </c>
      <c r="W32" s="14">
        <v>5</v>
      </c>
      <c r="X32" s="14">
        <v>5</v>
      </c>
      <c r="Y32" s="14">
        <v>5</v>
      </c>
      <c r="AH32" s="81"/>
      <c r="AI32" s="81"/>
      <c r="AJ32" s="48" t="str">
        <f>IF(OR($H32="",$H32="N/A"),"",IF($AH32="",VLOOKUP('Company Profile'!$B$40,_TECH_Scoring_Settings!$A$5:$B$8,2,FALSE),IFERROR(VLOOKUP($AH32,_TECH_Scoring_Settings!$A$5:$B$8,2,FALSE),0.9)))</f>
        <v/>
      </c>
      <c r="AK32" s="48" t="str">
        <f>IF(OR($H32="",$H32="N/A"),"",IF($AI32="",VLOOKUP('Company Profile'!$B$41,_TECH_Scoring_Settings!$A$5:$B$8,2,FALSE),IFERROR(VLOOKUP($AI32,_TECH_Scoring_Settings!$A$5:$B$8,2,FALSE),0.9)))</f>
        <v/>
      </c>
      <c r="AL32" s="48" t="str">
        <f t="shared" si="4"/>
        <v/>
      </c>
      <c r="AM32" s="48" t="str">
        <f t="shared" si="5"/>
        <v/>
      </c>
      <c r="AN32" s="48">
        <f>IFERROR(SUMIFS(_TECH_Industry_Templates!$D:$D,_TECH_Industry_Templates!$A:$A,'Company Profile'!$B$9,_TECH_Industry_Templates!$B:$B,"IT Cloud DR"),"")</f>
        <v>4</v>
      </c>
      <c r="AO32" s="48" t="str">
        <f t="shared" si="6"/>
        <v/>
      </c>
      <c r="AP32" s="48">
        <f>IFERROR(SUMIFS(_TECH_Industry_Templates!$E:$E,_TECH_Industry_Templates!$A:$A,'Company Profile'!$B$9,_TECH_Industry_Templates!$B:$B,"IT Cloud DR"),1)</f>
        <v>1.1499999999999999</v>
      </c>
      <c r="AQ32" s="48" t="str">
        <f t="shared" si="7"/>
        <v/>
      </c>
      <c r="AR32" s="48" t="str">
        <f t="shared" si="8"/>
        <v/>
      </c>
      <c r="AS32" s="11">
        <f t="shared" si="9"/>
        <v>0</v>
      </c>
      <c r="AT32" s="11">
        <f t="shared" si="10"/>
        <v>0</v>
      </c>
    </row>
    <row r="33" spans="1:46" ht="71.25">
      <c r="A33" s="7" t="s">
        <v>4946</v>
      </c>
      <c r="B33" s="7" t="s">
        <v>1481</v>
      </c>
      <c r="C33" s="7" t="s">
        <v>4947</v>
      </c>
      <c r="D33" s="7" t="s">
        <v>4664</v>
      </c>
      <c r="E33" s="7" t="s">
        <v>4665</v>
      </c>
      <c r="F33" s="7" t="s">
        <v>4948</v>
      </c>
      <c r="G33" s="7">
        <v>5</v>
      </c>
      <c r="H33" s="153"/>
      <c r="I33" s="8" t="str">
        <f t="shared" si="0"/>
        <v/>
      </c>
      <c r="J33" s="8" t="str">
        <f t="shared" si="1"/>
        <v/>
      </c>
      <c r="K33" s="8" t="str">
        <f t="shared" si="2"/>
        <v/>
      </c>
      <c r="L33" s="7" t="str">
        <f t="shared" si="3"/>
        <v/>
      </c>
      <c r="M33" s="7" t="s">
        <v>4949</v>
      </c>
      <c r="N33" s="7" t="s">
        <v>4950</v>
      </c>
      <c r="O33" s="7" t="s">
        <v>4951</v>
      </c>
      <c r="P33" s="7" t="s">
        <v>4952</v>
      </c>
      <c r="Q33" s="7" t="s">
        <v>4953</v>
      </c>
      <c r="R33" s="7" t="s">
        <v>4954</v>
      </c>
      <c r="S33" s="7" t="s">
        <v>4673</v>
      </c>
      <c r="T33" s="7" t="s">
        <v>4674</v>
      </c>
      <c r="U33" s="7"/>
      <c r="V33" s="7" t="s">
        <v>4955</v>
      </c>
      <c r="W33" s="14">
        <v>5</v>
      </c>
      <c r="X33" s="14">
        <v>5</v>
      </c>
      <c r="Y33" s="14">
        <v>5</v>
      </c>
      <c r="AH33" s="81"/>
      <c r="AI33" s="81"/>
      <c r="AJ33" s="48" t="str">
        <f>IF(OR($H33="",$H33="N/A"),"",IF($AH33="",VLOOKUP('Company Profile'!$B$40,_TECH_Scoring_Settings!$A$5:$B$8,2,FALSE),IFERROR(VLOOKUP($AH33,_TECH_Scoring_Settings!$A$5:$B$8,2,FALSE),0.9)))</f>
        <v/>
      </c>
      <c r="AK33" s="48" t="str">
        <f>IF(OR($H33="",$H33="N/A"),"",IF($AI33="",VLOOKUP('Company Profile'!$B$41,_TECH_Scoring_Settings!$A$5:$B$8,2,FALSE),IFERROR(VLOOKUP($AI33,_TECH_Scoring_Settings!$A$5:$B$8,2,FALSE),0.9)))</f>
        <v/>
      </c>
      <c r="AL33" s="48" t="str">
        <f t="shared" si="4"/>
        <v/>
      </c>
      <c r="AM33" s="48" t="str">
        <f t="shared" si="5"/>
        <v/>
      </c>
      <c r="AN33" s="48">
        <f>IFERROR(SUMIFS(_TECH_Industry_Templates!$D:$D,_TECH_Industry_Templates!$A:$A,'Company Profile'!$B$9,_TECH_Industry_Templates!$B:$B,"IT Cloud DR"),"")</f>
        <v>4</v>
      </c>
      <c r="AO33" s="48" t="str">
        <f t="shared" si="6"/>
        <v/>
      </c>
      <c r="AP33" s="48">
        <f>IFERROR(SUMIFS(_TECH_Industry_Templates!$E:$E,_TECH_Industry_Templates!$A:$A,'Company Profile'!$B$9,_TECH_Industry_Templates!$B:$B,"IT Cloud DR"),1)</f>
        <v>1.1499999999999999</v>
      </c>
      <c r="AQ33" s="48" t="str">
        <f t="shared" si="7"/>
        <v/>
      </c>
      <c r="AR33" s="48" t="str">
        <f t="shared" si="8"/>
        <v/>
      </c>
      <c r="AS33" s="11">
        <f t="shared" si="9"/>
        <v>0</v>
      </c>
      <c r="AT33" s="11">
        <f t="shared" si="10"/>
        <v>0</v>
      </c>
    </row>
  </sheetData>
  <mergeCells count="4">
    <mergeCell ref="A2:V2"/>
    <mergeCell ref="AA3:AG3"/>
    <mergeCell ref="A1:V1"/>
    <mergeCell ref="W3:Y3"/>
  </mergeCells>
  <conditionalFormatting sqref="H5:H33">
    <cfRule type="colorScale" priority="1">
      <colorScale>
        <cfvo type="min"/>
        <cfvo type="percentile" val="50"/>
        <cfvo type="max"/>
        <color rgb="FFF8696B"/>
        <color rgb="FFFFEB84"/>
        <color rgb="FF63BE7B"/>
      </colorScale>
    </cfRule>
  </conditionalFormatting>
  <conditionalFormatting sqref="L5:L33">
    <cfRule type="expression" dxfId="36" priority="2">
      <formula>$L5="Critical"</formula>
    </cfRule>
    <cfRule type="expression" dxfId="35" priority="3">
      <formula>$L5="High"</formula>
    </cfRule>
    <cfRule type="expression" dxfId="34" priority="4">
      <formula>$L5="Medium"</formula>
    </cfRule>
    <cfRule type="expression" dxfId="33" priority="5">
      <formula>$L5="Low"</formula>
    </cfRule>
    <cfRule type="expression" dxfId="32" priority="6">
      <formula>$L5="Resilient"</formula>
    </cfRule>
  </conditionalFormatting>
  <conditionalFormatting sqref="AC5:AC9">
    <cfRule type="colorScale" priority="7">
      <colorScale>
        <cfvo type="min"/>
        <cfvo type="percentile" val="50"/>
        <cfvo type="max"/>
        <color rgb="FFFEE2E2"/>
        <color rgb="FFFEF3C7"/>
        <color rgb="FFDCFCE7"/>
      </colorScale>
    </cfRule>
  </conditionalFormatting>
  <conditionalFormatting sqref="AD5:AD9">
    <cfRule type="dataBar" priority="8">
      <dataBar>
        <cfvo type="min"/>
        <cfvo type="max"/>
        <color rgb="FF2F75B5"/>
      </dataBar>
    </cfRule>
  </conditionalFormatting>
  <dataValidations count="4">
    <dataValidation type="list" sqref="H5:H33" ns2:uid="{00000000-0002-0000-1F00-000000000000}">
      <formula1>"N/A,0,1,2,3,4,5"</formula1>
    </dataValidation>
    <dataValidation type="list" sqref="G5:G33" ns2:uid="{00000000-0002-0000-1F00-000001000000}">
      <formula1>"1,2,3,4,5"</formula1>
    </dataValidation>
    <dataValidation type="list" sqref="W5:Y33" ns2:uid="{00000000-0002-0000-1F00-000002000000}">
      <formula1>"0,1,2,3,4,5"</formula1>
    </dataValidation>
    <dataValidation type="list" allowBlank="1" sqref="AH5:AI33" ns2:uid="{00000000-0002-0000-1F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3.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000-000000000000}">
  <sheetPr>
    <tabColor rgb="FFED7D31"/>
  </sheetPr>
  <dimension ref="A1:AT27"/>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4956</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4957</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4958</v>
      </c>
      <c r="B5" s="7" t="s">
        <v>1489</v>
      </c>
      <c r="C5" s="7" t="s">
        <v>4959</v>
      </c>
      <c r="D5" s="7" t="s">
        <v>4960</v>
      </c>
      <c r="E5" s="7" t="s">
        <v>4961</v>
      </c>
      <c r="F5" s="7" t="s">
        <v>4962</v>
      </c>
      <c r="G5" s="7">
        <v>5</v>
      </c>
      <c r="H5" s="153"/>
      <c r="I5" s="8" t="str">
        <f t="shared" ref="I5:I27" si="0">IF($H5="","",IF($H5="N/A","",VALUE($H5)/5*$G5))</f>
        <v/>
      </c>
      <c r="J5" s="8" t="str">
        <f t="shared" ref="J5:J27" si="1">IF(OR($H5="",$H5="N/A"),"",$G5)</f>
        <v/>
      </c>
      <c r="K5" s="8" t="str">
        <f t="shared" ref="K5:K27" si="2">IF(OR($H5="",$H5="N/A"),"",$J5-$I5)</f>
        <v/>
      </c>
      <c r="L5" s="7" t="str">
        <f t="shared" ref="L5:L27" si="3">IF($H5="","",IF($H5="N/A","N/A",IF(VALUE($H5)&lt;=1,"Critical",IF(VALUE($H5)&lt;=2,"High",IF(VALUE($H5)&lt;=3,"Medium",IF(VALUE($H5)&lt;=4,"Low","Resilient"))))))</f>
        <v/>
      </c>
      <c r="M5" s="7" t="s">
        <v>4963</v>
      </c>
      <c r="N5" s="7" t="s">
        <v>4964</v>
      </c>
      <c r="O5" s="7" t="s">
        <v>4965</v>
      </c>
      <c r="P5" s="7" t="s">
        <v>4966</v>
      </c>
      <c r="Q5" s="7" t="s">
        <v>4967</v>
      </c>
      <c r="R5" s="7" t="s">
        <v>4968</v>
      </c>
      <c r="S5" s="7" t="s">
        <v>4969</v>
      </c>
      <c r="T5" s="7" t="s">
        <v>4970</v>
      </c>
      <c r="U5" s="7"/>
      <c r="V5" s="7" t="s">
        <v>4971</v>
      </c>
      <c r="W5" s="14">
        <v>5</v>
      </c>
      <c r="X5" s="14">
        <v>5</v>
      </c>
      <c r="Y5" s="14">
        <v>5</v>
      </c>
      <c r="AA5" t="s">
        <v>1489</v>
      </c>
      <c r="AB5" s="13">
        <f>COUNTIF($B$5:$B$27,$AA5)</f>
        <v>5</v>
      </c>
      <c r="AC5" s="15">
        <f>IFERROR(SUMPRODUCT(($B$5:$B$27=$AA5)*($H$5:$H$27&lt;&gt;"")*($H$5:$H$27&lt;&gt;"N/A")*IFERROR(VALUE($H$5:$H$27),0))/SUMPRODUCT(($B$5:$B$27=$AA5)*($H$5:$H$27&lt;&gt;"")*($H$5:$H$27&lt;&gt;"N/A")),0)</f>
        <v>0</v>
      </c>
      <c r="AD5" s="16">
        <f>AC5/5</f>
        <v>0</v>
      </c>
      <c r="AE5" s="13">
        <f>COUNTIFS($B$5:$B$27,$AA5,$L$5:$L$27,"Critical")+COUNTIFS($B$5:$B$27,$AA5,$L$5:$L$27,"High")</f>
        <v>0</v>
      </c>
      <c r="AF5" s="15">
        <f>5-AC5</f>
        <v>5</v>
      </c>
      <c r="AG5" s="13">
        <f>COUNTIFS($B$5:$B$27,$AA5,$H$5:$H$27,"&lt;&gt;")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7" si="4">IF(OR($H5="",$H5="N/A"),"",ROUND(VALUE($H5)*$AJ5*$AK5,2))</f>
        <v/>
      </c>
      <c r="AM5" s="48" t="str">
        <f t="shared" ref="AM5:AM27" si="5">IF($AL5="","",ROUND($AL5/5*100,1))</f>
        <v/>
      </c>
      <c r="AN5" s="48">
        <f>IFERROR(SUMIFS(_TECH_Industry_Templates!$D:$D,_TECH_Industry_Templates!$A:$A,'Company Profile'!$B$9,_TECH_Industry_Templates!$B:$B,"Business Systems"),"")</f>
        <v>4</v>
      </c>
      <c r="AO5" s="48" t="str">
        <f t="shared" ref="AO5:AO27" si="6">IF($AL5="","",MAX(0,ROUND($AN5-$AL5,2)))</f>
        <v/>
      </c>
      <c r="AP5" s="48">
        <f>IFERROR(SUMIFS(_TECH_Industry_Templates!$E:$E,_TECH_Industry_Templates!$A:$A,'Company Profile'!$B$9,_TECH_Industry_Templates!$B:$B,"Business Systems"),1)</f>
        <v>1.1499999999999999</v>
      </c>
      <c r="AQ5" s="48" t="str">
        <f t="shared" ref="AQ5:AQ27" si="7">IF($AO5="","",ROUND($AO5*$AP5*($G5/5),2))</f>
        <v/>
      </c>
      <c r="AR5" s="48" t="str">
        <f t="shared" ref="AR5:AR27" si="8">IF($AO5="","",IF($AO5&gt;=2,"Critical industry gap",IF($AO5&gt;=1,"High industry gap",IF($AO5&gt;=0.5,"Moderate industry gap","Within target"))))</f>
        <v/>
      </c>
      <c r="AS5" s="11">
        <f t="shared" ref="AS5:AS27" si="9">IF(OR($H5="",$H5="N/A"),0,VALUE($H5)*(($AJ5+$AK5)/2))</f>
        <v>0</v>
      </c>
      <c r="AT5" s="11">
        <f t="shared" ref="AT5:AT27" si="10">IF(OR($H5="",$H5="N/A"),0,($AJ5+$AK5)/2)</f>
        <v>0</v>
      </c>
    </row>
    <row r="6" spans="1:46" ht="71.25">
      <c r="A6" s="7" t="s">
        <v>4972</v>
      </c>
      <c r="B6" s="7" t="s">
        <v>1489</v>
      </c>
      <c r="C6" s="7" t="s">
        <v>4973</v>
      </c>
      <c r="D6" s="7" t="s">
        <v>4960</v>
      </c>
      <c r="E6" s="7" t="s">
        <v>4961</v>
      </c>
      <c r="F6" s="7" t="s">
        <v>4974</v>
      </c>
      <c r="G6" s="7">
        <v>5</v>
      </c>
      <c r="H6" s="153"/>
      <c r="I6" s="8" t="str">
        <f t="shared" si="0"/>
        <v/>
      </c>
      <c r="J6" s="8" t="str">
        <f t="shared" si="1"/>
        <v/>
      </c>
      <c r="K6" s="8" t="str">
        <f t="shared" si="2"/>
        <v/>
      </c>
      <c r="L6" s="7" t="str">
        <f t="shared" si="3"/>
        <v/>
      </c>
      <c r="M6" s="7" t="s">
        <v>4975</v>
      </c>
      <c r="N6" s="7" t="s">
        <v>4976</v>
      </c>
      <c r="O6" s="7" t="s">
        <v>4977</v>
      </c>
      <c r="P6" s="7" t="s">
        <v>4978</v>
      </c>
      <c r="Q6" s="7" t="s">
        <v>4979</v>
      </c>
      <c r="R6" s="7" t="s">
        <v>4980</v>
      </c>
      <c r="S6" s="7" t="s">
        <v>4969</v>
      </c>
      <c r="T6" s="7" t="s">
        <v>4970</v>
      </c>
      <c r="U6" s="7"/>
      <c r="V6" s="7" t="s">
        <v>4981</v>
      </c>
      <c r="W6" s="14">
        <v>5</v>
      </c>
      <c r="X6" s="14">
        <v>5</v>
      </c>
      <c r="Y6" s="14">
        <v>5</v>
      </c>
      <c r="AA6" t="s">
        <v>1503</v>
      </c>
      <c r="AB6" s="13">
        <f>COUNTIF($B$5:$B$27,$AA6)</f>
        <v>4</v>
      </c>
      <c r="AC6" s="15">
        <f>IFERROR(SUMPRODUCT(($B$5:$B$27=$AA6)*($H$5:$H$27&lt;&gt;"")*($H$5:$H$27&lt;&gt;"N/A")*IFERROR(VALUE($H$5:$H$27),0))/SUMPRODUCT(($B$5:$B$27=$AA6)*($H$5:$H$27&lt;&gt;"")*($H$5:$H$27&lt;&gt;"N/A")),0)</f>
        <v>0</v>
      </c>
      <c r="AD6" s="16">
        <f>AC6/5</f>
        <v>0</v>
      </c>
      <c r="AE6" s="13">
        <f>COUNTIFS($B$5:$B$27,$AA6,$L$5:$L$27,"Critical")+COUNTIFS($B$5:$B$27,$AA6,$L$5:$L$27,"High")</f>
        <v>0</v>
      </c>
      <c r="AF6" s="15">
        <f>5-AC6</f>
        <v>5</v>
      </c>
      <c r="AG6" s="13">
        <f>COUNTIFS($B$5:$B$27,$AA6,$H$5:$H$27,"&lt;&gt;")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Profile'!$B$9,_TECH_Industry_Templates!$B:$B,"Business Systems"),"")</f>
        <v>4</v>
      </c>
      <c r="AO6" s="48" t="str">
        <f t="shared" si="6"/>
        <v/>
      </c>
      <c r="AP6" s="48">
        <f>IFERROR(SUMIFS(_TECH_Industry_Templates!$E:$E,_TECH_Industry_Templates!$A:$A,'Company Profile'!$B$9,_TECH_Industry_Templates!$B:$B,"Business Systems"),1)</f>
        <v>1.1499999999999999</v>
      </c>
      <c r="AQ6" s="48" t="str">
        <f t="shared" si="7"/>
        <v/>
      </c>
      <c r="AR6" s="48" t="str">
        <f t="shared" si="8"/>
        <v/>
      </c>
      <c r="AS6" s="11">
        <f t="shared" si="9"/>
        <v>0</v>
      </c>
      <c r="AT6" s="11">
        <f t="shared" si="10"/>
        <v>0</v>
      </c>
    </row>
    <row r="7" spans="1:46" ht="57">
      <c r="A7" s="7" t="s">
        <v>4982</v>
      </c>
      <c r="B7" s="7" t="s">
        <v>1489</v>
      </c>
      <c r="C7" s="7" t="s">
        <v>4983</v>
      </c>
      <c r="D7" s="7" t="s">
        <v>4960</v>
      </c>
      <c r="E7" s="7" t="s">
        <v>4961</v>
      </c>
      <c r="F7" s="7" t="s">
        <v>4984</v>
      </c>
      <c r="G7" s="7">
        <v>5</v>
      </c>
      <c r="H7" s="153"/>
      <c r="I7" s="8" t="str">
        <f t="shared" si="0"/>
        <v/>
      </c>
      <c r="J7" s="8" t="str">
        <f t="shared" si="1"/>
        <v/>
      </c>
      <c r="K7" s="8" t="str">
        <f t="shared" si="2"/>
        <v/>
      </c>
      <c r="L7" s="7" t="str">
        <f t="shared" si="3"/>
        <v/>
      </c>
      <c r="M7" s="7" t="s">
        <v>4985</v>
      </c>
      <c r="N7" s="7" t="s">
        <v>4986</v>
      </c>
      <c r="O7" s="7" t="s">
        <v>4987</v>
      </c>
      <c r="P7" s="7" t="s">
        <v>4988</v>
      </c>
      <c r="Q7" s="7" t="s">
        <v>4989</v>
      </c>
      <c r="R7" s="7" t="s">
        <v>4990</v>
      </c>
      <c r="S7" s="7" t="s">
        <v>4969</v>
      </c>
      <c r="T7" s="7" t="s">
        <v>4970</v>
      </c>
      <c r="U7" s="7"/>
      <c r="V7" s="7" t="s">
        <v>4991</v>
      </c>
      <c r="W7" s="14">
        <v>5</v>
      </c>
      <c r="X7" s="14">
        <v>5</v>
      </c>
      <c r="Y7" s="14">
        <v>5</v>
      </c>
      <c r="AA7" t="s">
        <v>1511</v>
      </c>
      <c r="AB7" s="13">
        <f>COUNTIF($B$5:$B$27,$AA7)</f>
        <v>4</v>
      </c>
      <c r="AC7" s="15">
        <f>IFERROR(SUMPRODUCT(($B$5:$B$27=$AA7)*($H$5:$H$27&lt;&gt;"")*($H$5:$H$27&lt;&gt;"N/A")*IFERROR(VALUE($H$5:$H$27),0))/SUMPRODUCT(($B$5:$B$27=$AA7)*($H$5:$H$27&lt;&gt;"")*($H$5:$H$27&lt;&gt;"N/A")),0)</f>
        <v>0</v>
      </c>
      <c r="AD7" s="16">
        <f>AC7/5</f>
        <v>0</v>
      </c>
      <c r="AE7" s="13">
        <f>COUNTIFS($B$5:$B$27,$AA7,$L$5:$L$27,"Critical")+COUNTIFS($B$5:$B$27,$AA7,$L$5:$L$27,"High")</f>
        <v>0</v>
      </c>
      <c r="AF7" s="15">
        <f>5-AC7</f>
        <v>5</v>
      </c>
      <c r="AG7" s="13">
        <f>COUNTIFS($B$5:$B$27,$AA7,$H$5:$H$27,"&lt;&gt;")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Profile'!$B$9,_TECH_Industry_Templates!$B:$B,"Business Systems"),"")</f>
        <v>4</v>
      </c>
      <c r="AO7" s="48" t="str">
        <f t="shared" si="6"/>
        <v/>
      </c>
      <c r="AP7" s="48">
        <f>IFERROR(SUMIFS(_TECH_Industry_Templates!$E:$E,_TECH_Industry_Templates!$A:$A,'Company Profile'!$B$9,_TECH_Industry_Templates!$B:$B,"Business Systems"),1)</f>
        <v>1.1499999999999999</v>
      </c>
      <c r="AQ7" s="48" t="str">
        <f t="shared" si="7"/>
        <v/>
      </c>
      <c r="AR7" s="48" t="str">
        <f t="shared" si="8"/>
        <v/>
      </c>
      <c r="AS7" s="11">
        <f t="shared" si="9"/>
        <v>0</v>
      </c>
      <c r="AT7" s="11">
        <f t="shared" si="10"/>
        <v>0</v>
      </c>
    </row>
    <row r="8" spans="1:46" ht="57">
      <c r="A8" s="7" t="s">
        <v>4992</v>
      </c>
      <c r="B8" s="7" t="s">
        <v>1489</v>
      </c>
      <c r="C8" s="7" t="s">
        <v>4993</v>
      </c>
      <c r="D8" s="7" t="s">
        <v>4960</v>
      </c>
      <c r="E8" s="7" t="s">
        <v>4961</v>
      </c>
      <c r="F8" s="7" t="s">
        <v>4994</v>
      </c>
      <c r="G8" s="7">
        <v>5</v>
      </c>
      <c r="H8" s="153"/>
      <c r="I8" s="8" t="str">
        <f t="shared" si="0"/>
        <v/>
      </c>
      <c r="J8" s="8" t="str">
        <f t="shared" si="1"/>
        <v/>
      </c>
      <c r="K8" s="8" t="str">
        <f t="shared" si="2"/>
        <v/>
      </c>
      <c r="L8" s="7" t="str">
        <f t="shared" si="3"/>
        <v/>
      </c>
      <c r="M8" s="7" t="s">
        <v>4995</v>
      </c>
      <c r="N8" s="7" t="s">
        <v>4996</v>
      </c>
      <c r="O8" s="7" t="s">
        <v>4997</v>
      </c>
      <c r="P8" s="7" t="s">
        <v>4998</v>
      </c>
      <c r="Q8" s="7" t="s">
        <v>4999</v>
      </c>
      <c r="R8" s="7" t="s">
        <v>5000</v>
      </c>
      <c r="S8" s="7" t="s">
        <v>4969</v>
      </c>
      <c r="T8" s="7" t="s">
        <v>4970</v>
      </c>
      <c r="U8" s="7"/>
      <c r="V8" s="7" t="s">
        <v>5001</v>
      </c>
      <c r="W8" s="14">
        <v>5</v>
      </c>
      <c r="X8" s="14">
        <v>5</v>
      </c>
      <c r="Y8" s="14">
        <v>5</v>
      </c>
      <c r="AA8" t="s">
        <v>1519</v>
      </c>
      <c r="AB8" s="13">
        <f>COUNTIF($B$5:$B$27,$AA8)</f>
        <v>4</v>
      </c>
      <c r="AC8" s="15">
        <f>IFERROR(SUMPRODUCT(($B$5:$B$27=$AA8)*($H$5:$H$27&lt;&gt;"")*($H$5:$H$27&lt;&gt;"N/A")*IFERROR(VALUE($H$5:$H$27),0))/SUMPRODUCT(($B$5:$B$27=$AA8)*($H$5:$H$27&lt;&gt;"")*($H$5:$H$27&lt;&gt;"N/A")),0)</f>
        <v>0</v>
      </c>
      <c r="AD8" s="16">
        <f>AC8/5</f>
        <v>0</v>
      </c>
      <c r="AE8" s="13">
        <f>COUNTIFS($B$5:$B$27,$AA8,$L$5:$L$27,"Critical")+COUNTIFS($B$5:$B$27,$AA8,$L$5:$L$27,"High")</f>
        <v>0</v>
      </c>
      <c r="AF8" s="15">
        <f>5-AC8</f>
        <v>5</v>
      </c>
      <c r="AG8" s="13">
        <f>COUNTIFS($B$5:$B$27,$AA8,$H$5:$H$27,"&lt;&gt;")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Profile'!$B$9,_TECH_Industry_Templates!$B:$B,"Business Systems"),"")</f>
        <v>4</v>
      </c>
      <c r="AO8" s="48" t="str">
        <f t="shared" si="6"/>
        <v/>
      </c>
      <c r="AP8" s="48">
        <f>IFERROR(SUMIFS(_TECH_Industry_Templates!$E:$E,_TECH_Industry_Templates!$A:$A,'Company Profile'!$B$9,_TECH_Industry_Templates!$B:$B,"Business Systems"),1)</f>
        <v>1.1499999999999999</v>
      </c>
      <c r="AQ8" s="48" t="str">
        <f t="shared" si="7"/>
        <v/>
      </c>
      <c r="AR8" s="48" t="str">
        <f t="shared" si="8"/>
        <v/>
      </c>
      <c r="AS8" s="11">
        <f t="shared" si="9"/>
        <v>0</v>
      </c>
      <c r="AT8" s="11">
        <f t="shared" si="10"/>
        <v>0</v>
      </c>
    </row>
    <row r="9" spans="1:46" ht="71.25">
      <c r="A9" s="7" t="s">
        <v>5002</v>
      </c>
      <c r="B9" s="7" t="s">
        <v>1489</v>
      </c>
      <c r="C9" s="7" t="s">
        <v>5003</v>
      </c>
      <c r="D9" s="7" t="s">
        <v>4960</v>
      </c>
      <c r="E9" s="7" t="s">
        <v>4961</v>
      </c>
      <c r="F9" s="7" t="s">
        <v>5004</v>
      </c>
      <c r="G9" s="7">
        <v>5</v>
      </c>
      <c r="H9" s="153"/>
      <c r="I9" s="8" t="str">
        <f t="shared" si="0"/>
        <v/>
      </c>
      <c r="J9" s="8" t="str">
        <f t="shared" si="1"/>
        <v/>
      </c>
      <c r="K9" s="8" t="str">
        <f t="shared" si="2"/>
        <v/>
      </c>
      <c r="L9" s="7" t="str">
        <f t="shared" si="3"/>
        <v/>
      </c>
      <c r="M9" s="7" t="s">
        <v>5005</v>
      </c>
      <c r="N9" s="7" t="s">
        <v>5006</v>
      </c>
      <c r="O9" s="7" t="s">
        <v>5007</v>
      </c>
      <c r="P9" s="7" t="s">
        <v>5008</v>
      </c>
      <c r="Q9" s="7" t="s">
        <v>5009</v>
      </c>
      <c r="R9" s="7" t="s">
        <v>5010</v>
      </c>
      <c r="S9" s="7" t="s">
        <v>4969</v>
      </c>
      <c r="T9" s="7" t="s">
        <v>4970</v>
      </c>
      <c r="U9" s="7"/>
      <c r="V9" s="7" t="s">
        <v>5011</v>
      </c>
      <c r="W9" s="14">
        <v>5</v>
      </c>
      <c r="X9" s="14">
        <v>5</v>
      </c>
      <c r="Y9" s="14">
        <v>5</v>
      </c>
      <c r="AA9" t="s">
        <v>1527</v>
      </c>
      <c r="AB9" s="13">
        <f>COUNTIF($B$5:$B$27,$AA9)</f>
        <v>6</v>
      </c>
      <c r="AC9" s="15">
        <f>IFERROR(SUMPRODUCT(($B$5:$B$27=$AA9)*($H$5:$H$27&lt;&gt;"")*($H$5:$H$27&lt;&gt;"N/A")*IFERROR(VALUE($H$5:$H$27),0))/SUMPRODUCT(($B$5:$B$27=$AA9)*($H$5:$H$27&lt;&gt;"")*($H$5:$H$27&lt;&gt;"N/A")),0)</f>
        <v>0</v>
      </c>
      <c r="AD9" s="16">
        <f>AC9/5</f>
        <v>0</v>
      </c>
      <c r="AE9" s="13">
        <f>COUNTIFS($B$5:$B$27,$AA9,$L$5:$L$27,"Critical")+COUNTIFS($B$5:$B$27,$AA9,$L$5:$L$27,"High")</f>
        <v>0</v>
      </c>
      <c r="AF9" s="15">
        <f>5-AC9</f>
        <v>5</v>
      </c>
      <c r="AG9" s="13">
        <f>COUNTIFS($B$5:$B$27,$AA9,$H$5:$H$27,"&lt;&gt;")</f>
        <v>0</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Profile'!$B$9,_TECH_Industry_Templates!$B:$B,"Business Systems"),"")</f>
        <v>4</v>
      </c>
      <c r="AO9" s="48" t="str">
        <f t="shared" si="6"/>
        <v/>
      </c>
      <c r="AP9" s="48">
        <f>IFERROR(SUMIFS(_TECH_Industry_Templates!$E:$E,_TECH_Industry_Templates!$A:$A,'Company Profile'!$B$9,_TECH_Industry_Templates!$B:$B,"Business Systems"),1)</f>
        <v>1.1499999999999999</v>
      </c>
      <c r="AQ9" s="48" t="str">
        <f t="shared" si="7"/>
        <v/>
      </c>
      <c r="AR9" s="48" t="str">
        <f t="shared" si="8"/>
        <v/>
      </c>
      <c r="AS9" s="11">
        <f t="shared" si="9"/>
        <v>0</v>
      </c>
      <c r="AT9" s="11">
        <f t="shared" si="10"/>
        <v>0</v>
      </c>
    </row>
    <row r="10" spans="1:46" ht="71.25">
      <c r="A10" s="7" t="s">
        <v>5012</v>
      </c>
      <c r="B10" s="7" t="s">
        <v>1503</v>
      </c>
      <c r="C10" s="7" t="s">
        <v>5013</v>
      </c>
      <c r="D10" s="7" t="s">
        <v>4960</v>
      </c>
      <c r="E10" s="7" t="s">
        <v>4961</v>
      </c>
      <c r="F10" s="7" t="s">
        <v>5014</v>
      </c>
      <c r="G10" s="7">
        <v>5</v>
      </c>
      <c r="H10" s="153"/>
      <c r="I10" s="8" t="str">
        <f t="shared" si="0"/>
        <v/>
      </c>
      <c r="J10" s="8" t="str">
        <f t="shared" si="1"/>
        <v/>
      </c>
      <c r="K10" s="8" t="str">
        <f t="shared" si="2"/>
        <v/>
      </c>
      <c r="L10" s="7" t="str">
        <f t="shared" si="3"/>
        <v/>
      </c>
      <c r="M10" s="7" t="s">
        <v>5015</v>
      </c>
      <c r="N10" s="7" t="s">
        <v>5016</v>
      </c>
      <c r="O10" s="7" t="s">
        <v>5017</v>
      </c>
      <c r="P10" s="7" t="s">
        <v>5018</v>
      </c>
      <c r="Q10" s="7" t="s">
        <v>5019</v>
      </c>
      <c r="R10" s="7" t="s">
        <v>5020</v>
      </c>
      <c r="S10" s="7" t="s">
        <v>4969</v>
      </c>
      <c r="T10" s="7" t="s">
        <v>4970</v>
      </c>
      <c r="U10" s="7"/>
      <c r="V10" s="7" t="s">
        <v>5021</v>
      </c>
      <c r="W10" s="14">
        <v>5</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Profile'!$B$9,_TECH_Industry_Templates!$B:$B,"Business Systems"),"")</f>
        <v>4</v>
      </c>
      <c r="AO10" s="48" t="str">
        <f t="shared" si="6"/>
        <v/>
      </c>
      <c r="AP10" s="48">
        <f>IFERROR(SUMIFS(_TECH_Industry_Templates!$E:$E,_TECH_Industry_Templates!$A:$A,'Company Profile'!$B$9,_TECH_Industry_Templates!$B:$B,"Business Systems"),1)</f>
        <v>1.1499999999999999</v>
      </c>
      <c r="AQ10" s="48" t="str">
        <f t="shared" si="7"/>
        <v/>
      </c>
      <c r="AR10" s="48" t="str">
        <f t="shared" si="8"/>
        <v/>
      </c>
      <c r="AS10" s="11">
        <f t="shared" si="9"/>
        <v>0</v>
      </c>
      <c r="AT10" s="11">
        <f t="shared" si="10"/>
        <v>0</v>
      </c>
    </row>
    <row r="11" spans="1:46" ht="71.25">
      <c r="A11" s="7" t="s">
        <v>5022</v>
      </c>
      <c r="B11" s="7" t="s">
        <v>1503</v>
      </c>
      <c r="C11" s="7" t="s">
        <v>5023</v>
      </c>
      <c r="D11" s="7" t="s">
        <v>4960</v>
      </c>
      <c r="E11" s="7" t="s">
        <v>4961</v>
      </c>
      <c r="F11" s="7" t="s">
        <v>5024</v>
      </c>
      <c r="G11" s="7">
        <v>5</v>
      </c>
      <c r="H11" s="153"/>
      <c r="I11" s="8" t="str">
        <f t="shared" si="0"/>
        <v/>
      </c>
      <c r="J11" s="8" t="str">
        <f t="shared" si="1"/>
        <v/>
      </c>
      <c r="K11" s="8" t="str">
        <f t="shared" si="2"/>
        <v/>
      </c>
      <c r="L11" s="7" t="str">
        <f t="shared" si="3"/>
        <v/>
      </c>
      <c r="M11" s="7" t="s">
        <v>5025</v>
      </c>
      <c r="N11" s="7" t="s">
        <v>5026</v>
      </c>
      <c r="O11" s="7" t="s">
        <v>5027</v>
      </c>
      <c r="P11" s="7" t="s">
        <v>5028</v>
      </c>
      <c r="Q11" s="7" t="s">
        <v>5029</v>
      </c>
      <c r="R11" s="7" t="s">
        <v>5030</v>
      </c>
      <c r="S11" s="7" t="s">
        <v>4969</v>
      </c>
      <c r="T11" s="7" t="s">
        <v>4970</v>
      </c>
      <c r="U11" s="7"/>
      <c r="V11" s="7" t="s">
        <v>5031</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Profile'!$B$9,_TECH_Industry_Templates!$B:$B,"Business Systems"),"")</f>
        <v>4</v>
      </c>
      <c r="AO11" s="48" t="str">
        <f t="shared" si="6"/>
        <v/>
      </c>
      <c r="AP11" s="48">
        <f>IFERROR(SUMIFS(_TECH_Industry_Templates!$E:$E,_TECH_Industry_Templates!$A:$A,'Company Profile'!$B$9,_TECH_Industry_Templates!$B:$B,"Business Systems"),1)</f>
        <v>1.1499999999999999</v>
      </c>
      <c r="AQ11" s="48" t="str">
        <f t="shared" si="7"/>
        <v/>
      </c>
      <c r="AR11" s="48" t="str">
        <f t="shared" si="8"/>
        <v/>
      </c>
      <c r="AS11" s="11">
        <f t="shared" si="9"/>
        <v>0</v>
      </c>
      <c r="AT11" s="11">
        <f t="shared" si="10"/>
        <v>0</v>
      </c>
    </row>
    <row r="12" spans="1:46" ht="71.25">
      <c r="A12" s="7" t="s">
        <v>5032</v>
      </c>
      <c r="B12" s="7" t="s">
        <v>1503</v>
      </c>
      <c r="C12" s="7" t="s">
        <v>5033</v>
      </c>
      <c r="D12" s="7" t="s">
        <v>4960</v>
      </c>
      <c r="E12" s="7" t="s">
        <v>4961</v>
      </c>
      <c r="F12" s="7" t="s">
        <v>5034</v>
      </c>
      <c r="G12" s="7">
        <v>4</v>
      </c>
      <c r="H12" s="153"/>
      <c r="I12" s="8" t="str">
        <f t="shared" si="0"/>
        <v/>
      </c>
      <c r="J12" s="8" t="str">
        <f t="shared" si="1"/>
        <v/>
      </c>
      <c r="K12" s="8" t="str">
        <f t="shared" si="2"/>
        <v/>
      </c>
      <c r="L12" s="7" t="str">
        <f t="shared" si="3"/>
        <v/>
      </c>
      <c r="M12" s="7" t="s">
        <v>5035</v>
      </c>
      <c r="N12" s="7" t="s">
        <v>5036</v>
      </c>
      <c r="O12" s="7" t="s">
        <v>5037</v>
      </c>
      <c r="P12" s="7" t="s">
        <v>5038</v>
      </c>
      <c r="Q12" s="7" t="s">
        <v>5039</v>
      </c>
      <c r="R12" s="7" t="s">
        <v>5040</v>
      </c>
      <c r="S12" s="7" t="s">
        <v>4969</v>
      </c>
      <c r="T12" s="7" t="s">
        <v>4970</v>
      </c>
      <c r="U12" s="7"/>
      <c r="V12" s="7" t="s">
        <v>5041</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Profile'!$B$9,_TECH_Industry_Templates!$B:$B,"Business Systems"),"")</f>
        <v>4</v>
      </c>
      <c r="AO12" s="48" t="str">
        <f t="shared" si="6"/>
        <v/>
      </c>
      <c r="AP12" s="48">
        <f>IFERROR(SUMIFS(_TECH_Industry_Templates!$E:$E,_TECH_Industry_Templates!$A:$A,'Company Profile'!$B$9,_TECH_Industry_Templates!$B:$B,"Business Systems"),1)</f>
        <v>1.1499999999999999</v>
      </c>
      <c r="AQ12" s="48" t="str">
        <f t="shared" si="7"/>
        <v/>
      </c>
      <c r="AR12" s="48" t="str">
        <f t="shared" si="8"/>
        <v/>
      </c>
      <c r="AS12" s="11">
        <f t="shared" si="9"/>
        <v>0</v>
      </c>
      <c r="AT12" s="11">
        <f t="shared" si="10"/>
        <v>0</v>
      </c>
    </row>
    <row r="13" spans="1:46" ht="57">
      <c r="A13" s="7" t="s">
        <v>5042</v>
      </c>
      <c r="B13" s="7" t="s">
        <v>1503</v>
      </c>
      <c r="C13" s="7" t="s">
        <v>5043</v>
      </c>
      <c r="D13" s="7" t="s">
        <v>4960</v>
      </c>
      <c r="E13" s="7" t="s">
        <v>4961</v>
      </c>
      <c r="F13" s="7" t="s">
        <v>5044</v>
      </c>
      <c r="G13" s="7">
        <v>4</v>
      </c>
      <c r="H13" s="153"/>
      <c r="I13" s="8" t="str">
        <f t="shared" si="0"/>
        <v/>
      </c>
      <c r="J13" s="8" t="str">
        <f t="shared" si="1"/>
        <v/>
      </c>
      <c r="K13" s="8" t="str">
        <f t="shared" si="2"/>
        <v/>
      </c>
      <c r="L13" s="7" t="str">
        <f t="shared" si="3"/>
        <v/>
      </c>
      <c r="M13" s="7" t="s">
        <v>5045</v>
      </c>
      <c r="N13" s="7" t="s">
        <v>5046</v>
      </c>
      <c r="O13" s="7" t="s">
        <v>5047</v>
      </c>
      <c r="P13" s="7" t="s">
        <v>5048</v>
      </c>
      <c r="Q13" s="7" t="s">
        <v>5049</v>
      </c>
      <c r="R13" s="7" t="s">
        <v>5050</v>
      </c>
      <c r="S13" s="7" t="s">
        <v>4969</v>
      </c>
      <c r="T13" s="7" t="s">
        <v>4970</v>
      </c>
      <c r="U13" s="7"/>
      <c r="V13" s="7" t="s">
        <v>5051</v>
      </c>
      <c r="W13" s="14">
        <v>5</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Profile'!$B$9,_TECH_Industry_Templates!$B:$B,"Business Systems"),"")</f>
        <v>4</v>
      </c>
      <c r="AO13" s="48" t="str">
        <f t="shared" si="6"/>
        <v/>
      </c>
      <c r="AP13" s="48">
        <f>IFERROR(SUMIFS(_TECH_Industry_Templates!$E:$E,_TECH_Industry_Templates!$A:$A,'Company Profile'!$B$9,_TECH_Industry_Templates!$B:$B,"Business Systems"),1)</f>
        <v>1.1499999999999999</v>
      </c>
      <c r="AQ13" s="48" t="str">
        <f t="shared" si="7"/>
        <v/>
      </c>
      <c r="AR13" s="48" t="str">
        <f t="shared" si="8"/>
        <v/>
      </c>
      <c r="AS13" s="11">
        <f t="shared" si="9"/>
        <v>0</v>
      </c>
      <c r="AT13" s="11">
        <f t="shared" si="10"/>
        <v>0</v>
      </c>
    </row>
    <row r="14" spans="1:46" ht="71.25">
      <c r="A14" s="7" t="s">
        <v>5052</v>
      </c>
      <c r="B14" s="7" t="s">
        <v>1511</v>
      </c>
      <c r="C14" s="7" t="s">
        <v>5053</v>
      </c>
      <c r="D14" s="7" t="s">
        <v>4960</v>
      </c>
      <c r="E14" s="7" t="s">
        <v>4961</v>
      </c>
      <c r="F14" s="7" t="s">
        <v>5054</v>
      </c>
      <c r="G14" s="7">
        <v>5</v>
      </c>
      <c r="H14" s="153"/>
      <c r="I14" s="8" t="str">
        <f t="shared" si="0"/>
        <v/>
      </c>
      <c r="J14" s="8" t="str">
        <f t="shared" si="1"/>
        <v/>
      </c>
      <c r="K14" s="8" t="str">
        <f t="shared" si="2"/>
        <v/>
      </c>
      <c r="L14" s="7" t="str">
        <f t="shared" si="3"/>
        <v/>
      </c>
      <c r="M14" s="7" t="s">
        <v>5055</v>
      </c>
      <c r="N14" s="7" t="s">
        <v>5056</v>
      </c>
      <c r="O14" s="7" t="s">
        <v>5057</v>
      </c>
      <c r="P14" s="7" t="s">
        <v>5058</v>
      </c>
      <c r="Q14" s="7" t="s">
        <v>5059</v>
      </c>
      <c r="R14" s="7" t="s">
        <v>5060</v>
      </c>
      <c r="S14" s="7" t="s">
        <v>4969</v>
      </c>
      <c r="T14" s="7" t="s">
        <v>4970</v>
      </c>
      <c r="U14" s="7"/>
      <c r="V14" s="7" t="s">
        <v>5061</v>
      </c>
      <c r="W14" s="14">
        <v>5</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Profile'!$B$9,_TECH_Industry_Templates!$B:$B,"Business Systems"),"")</f>
        <v>4</v>
      </c>
      <c r="AO14" s="48" t="str">
        <f t="shared" si="6"/>
        <v/>
      </c>
      <c r="AP14" s="48">
        <f>IFERROR(SUMIFS(_TECH_Industry_Templates!$E:$E,_TECH_Industry_Templates!$A:$A,'Company Profile'!$B$9,_TECH_Industry_Templates!$B:$B,"Business Systems"),1)</f>
        <v>1.1499999999999999</v>
      </c>
      <c r="AQ14" s="48" t="str">
        <f t="shared" si="7"/>
        <v/>
      </c>
      <c r="AR14" s="48" t="str">
        <f t="shared" si="8"/>
        <v/>
      </c>
      <c r="AS14" s="11">
        <f t="shared" si="9"/>
        <v>0</v>
      </c>
      <c r="AT14" s="11">
        <f t="shared" si="10"/>
        <v>0</v>
      </c>
    </row>
    <row r="15" spans="1:46" ht="71.25">
      <c r="A15" s="7" t="s">
        <v>5062</v>
      </c>
      <c r="B15" s="7" t="s">
        <v>1511</v>
      </c>
      <c r="C15" s="7" t="s">
        <v>5063</v>
      </c>
      <c r="D15" s="7" t="s">
        <v>4960</v>
      </c>
      <c r="E15" s="7" t="s">
        <v>4961</v>
      </c>
      <c r="F15" s="7" t="s">
        <v>5064</v>
      </c>
      <c r="G15" s="7">
        <v>5</v>
      </c>
      <c r="H15" s="153"/>
      <c r="I15" s="8" t="str">
        <f t="shared" si="0"/>
        <v/>
      </c>
      <c r="J15" s="8" t="str">
        <f t="shared" si="1"/>
        <v/>
      </c>
      <c r="K15" s="8" t="str">
        <f t="shared" si="2"/>
        <v/>
      </c>
      <c r="L15" s="7" t="str">
        <f t="shared" si="3"/>
        <v/>
      </c>
      <c r="M15" s="7" t="s">
        <v>5065</v>
      </c>
      <c r="N15" s="7" t="s">
        <v>5066</v>
      </c>
      <c r="O15" s="7" t="s">
        <v>5067</v>
      </c>
      <c r="P15" s="7" t="s">
        <v>5068</v>
      </c>
      <c r="Q15" s="7" t="s">
        <v>5069</v>
      </c>
      <c r="R15" s="7" t="s">
        <v>5070</v>
      </c>
      <c r="S15" s="7" t="s">
        <v>4969</v>
      </c>
      <c r="T15" s="7" t="s">
        <v>4970</v>
      </c>
      <c r="U15" s="7"/>
      <c r="V15" s="7" t="s">
        <v>5071</v>
      </c>
      <c r="W15" s="14">
        <v>5</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Profile'!$B$9,_TECH_Industry_Templates!$B:$B,"Business Systems"),"")</f>
        <v>4</v>
      </c>
      <c r="AO15" s="48" t="str">
        <f t="shared" si="6"/>
        <v/>
      </c>
      <c r="AP15" s="48">
        <f>IFERROR(SUMIFS(_TECH_Industry_Templates!$E:$E,_TECH_Industry_Templates!$A:$A,'Company Profile'!$B$9,_TECH_Industry_Templates!$B:$B,"Business Systems"),1)</f>
        <v>1.1499999999999999</v>
      </c>
      <c r="AQ15" s="48" t="str">
        <f t="shared" si="7"/>
        <v/>
      </c>
      <c r="AR15" s="48" t="str">
        <f t="shared" si="8"/>
        <v/>
      </c>
      <c r="AS15" s="11">
        <f t="shared" si="9"/>
        <v>0</v>
      </c>
      <c r="AT15" s="11">
        <f t="shared" si="10"/>
        <v>0</v>
      </c>
    </row>
    <row r="16" spans="1:46" ht="71.25">
      <c r="A16" s="7" t="s">
        <v>5072</v>
      </c>
      <c r="B16" s="7" t="s">
        <v>1511</v>
      </c>
      <c r="C16" s="7" t="s">
        <v>5073</v>
      </c>
      <c r="D16" s="7" t="s">
        <v>4960</v>
      </c>
      <c r="E16" s="7" t="s">
        <v>4961</v>
      </c>
      <c r="F16" s="7" t="s">
        <v>5074</v>
      </c>
      <c r="G16" s="7">
        <v>4</v>
      </c>
      <c r="H16" s="153"/>
      <c r="I16" s="8" t="str">
        <f t="shared" si="0"/>
        <v/>
      </c>
      <c r="J16" s="8" t="str">
        <f t="shared" si="1"/>
        <v/>
      </c>
      <c r="K16" s="8" t="str">
        <f t="shared" si="2"/>
        <v/>
      </c>
      <c r="L16" s="7" t="str">
        <f t="shared" si="3"/>
        <v/>
      </c>
      <c r="M16" s="7" t="s">
        <v>5075</v>
      </c>
      <c r="N16" s="7" t="s">
        <v>5076</v>
      </c>
      <c r="O16" s="7" t="s">
        <v>5077</v>
      </c>
      <c r="P16" s="7" t="s">
        <v>5078</v>
      </c>
      <c r="Q16" s="7" t="s">
        <v>5079</v>
      </c>
      <c r="R16" s="7" t="s">
        <v>5080</v>
      </c>
      <c r="S16" s="7" t="s">
        <v>4969</v>
      </c>
      <c r="T16" s="7" t="s">
        <v>4970</v>
      </c>
      <c r="U16" s="7"/>
      <c r="V16" s="7" t="s">
        <v>5081</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Profile'!$B$9,_TECH_Industry_Templates!$B:$B,"Business Systems"),"")</f>
        <v>4</v>
      </c>
      <c r="AO16" s="48" t="str">
        <f t="shared" si="6"/>
        <v/>
      </c>
      <c r="AP16" s="48">
        <f>IFERROR(SUMIFS(_TECH_Industry_Templates!$E:$E,_TECH_Industry_Templates!$A:$A,'Company Profile'!$B$9,_TECH_Industry_Templates!$B:$B,"Business Systems"),1)</f>
        <v>1.1499999999999999</v>
      </c>
      <c r="AQ16" s="48" t="str">
        <f t="shared" si="7"/>
        <v/>
      </c>
      <c r="AR16" s="48" t="str">
        <f t="shared" si="8"/>
        <v/>
      </c>
      <c r="AS16" s="11">
        <f t="shared" si="9"/>
        <v>0</v>
      </c>
      <c r="AT16" s="11">
        <f t="shared" si="10"/>
        <v>0</v>
      </c>
    </row>
    <row r="17" spans="1:46" ht="57">
      <c r="A17" s="7" t="s">
        <v>5082</v>
      </c>
      <c r="B17" s="7" t="s">
        <v>1511</v>
      </c>
      <c r="C17" s="7" t="s">
        <v>5083</v>
      </c>
      <c r="D17" s="7" t="s">
        <v>4960</v>
      </c>
      <c r="E17" s="7" t="s">
        <v>4961</v>
      </c>
      <c r="F17" s="7" t="s">
        <v>5084</v>
      </c>
      <c r="G17" s="7">
        <v>3</v>
      </c>
      <c r="H17" s="153"/>
      <c r="I17" s="8" t="str">
        <f t="shared" si="0"/>
        <v/>
      </c>
      <c r="J17" s="8" t="str">
        <f t="shared" si="1"/>
        <v/>
      </c>
      <c r="K17" s="8" t="str">
        <f t="shared" si="2"/>
        <v/>
      </c>
      <c r="L17" s="7" t="str">
        <f t="shared" si="3"/>
        <v/>
      </c>
      <c r="M17" s="7" t="s">
        <v>5085</v>
      </c>
      <c r="N17" s="7" t="s">
        <v>5086</v>
      </c>
      <c r="O17" s="7" t="s">
        <v>5087</v>
      </c>
      <c r="P17" s="7" t="s">
        <v>5088</v>
      </c>
      <c r="Q17" s="7" t="s">
        <v>5089</v>
      </c>
      <c r="R17" s="7" t="s">
        <v>5090</v>
      </c>
      <c r="S17" s="7" t="s">
        <v>4969</v>
      </c>
      <c r="T17" s="7" t="s">
        <v>4970</v>
      </c>
      <c r="U17" s="7"/>
      <c r="V17" s="7" t="s">
        <v>5091</v>
      </c>
      <c r="W17" s="14">
        <v>5</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Profile'!$B$9,_TECH_Industry_Templates!$B:$B,"Business Systems"),"")</f>
        <v>4</v>
      </c>
      <c r="AO17" s="48" t="str">
        <f t="shared" si="6"/>
        <v/>
      </c>
      <c r="AP17" s="48">
        <f>IFERROR(SUMIFS(_TECH_Industry_Templates!$E:$E,_TECH_Industry_Templates!$A:$A,'Company Profile'!$B$9,_TECH_Industry_Templates!$B:$B,"Business Systems"),1)</f>
        <v>1.1499999999999999</v>
      </c>
      <c r="AQ17" s="48" t="str">
        <f t="shared" si="7"/>
        <v/>
      </c>
      <c r="AR17" s="48" t="str">
        <f t="shared" si="8"/>
        <v/>
      </c>
      <c r="AS17" s="11">
        <f t="shared" si="9"/>
        <v>0</v>
      </c>
      <c r="AT17" s="11">
        <f t="shared" si="10"/>
        <v>0</v>
      </c>
    </row>
    <row r="18" spans="1:46" ht="71.25">
      <c r="A18" s="7" t="s">
        <v>5092</v>
      </c>
      <c r="B18" s="7" t="s">
        <v>1519</v>
      </c>
      <c r="C18" s="7" t="s">
        <v>5093</v>
      </c>
      <c r="D18" s="7" t="s">
        <v>4960</v>
      </c>
      <c r="E18" s="7" t="s">
        <v>4961</v>
      </c>
      <c r="F18" s="7" t="s">
        <v>5094</v>
      </c>
      <c r="G18" s="7">
        <v>5</v>
      </c>
      <c r="H18" s="153"/>
      <c r="I18" s="8" t="str">
        <f t="shared" si="0"/>
        <v/>
      </c>
      <c r="J18" s="8" t="str">
        <f t="shared" si="1"/>
        <v/>
      </c>
      <c r="K18" s="8" t="str">
        <f t="shared" si="2"/>
        <v/>
      </c>
      <c r="L18" s="7" t="str">
        <f t="shared" si="3"/>
        <v/>
      </c>
      <c r="M18" s="7" t="s">
        <v>5095</v>
      </c>
      <c r="N18" s="7" t="s">
        <v>5096</v>
      </c>
      <c r="O18" s="7" t="s">
        <v>5097</v>
      </c>
      <c r="P18" s="7" t="s">
        <v>5098</v>
      </c>
      <c r="Q18" s="7" t="s">
        <v>5099</v>
      </c>
      <c r="R18" s="7" t="s">
        <v>5100</v>
      </c>
      <c r="S18" s="7" t="s">
        <v>4969</v>
      </c>
      <c r="T18" s="7" t="s">
        <v>4970</v>
      </c>
      <c r="U18" s="7"/>
      <c r="V18" s="7" t="s">
        <v>5101</v>
      </c>
      <c r="W18" s="14">
        <v>5</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Profile'!$B$9,_TECH_Industry_Templates!$B:$B,"Business Systems"),"")</f>
        <v>4</v>
      </c>
      <c r="AO18" s="48" t="str">
        <f t="shared" si="6"/>
        <v/>
      </c>
      <c r="AP18" s="48">
        <f>IFERROR(SUMIFS(_TECH_Industry_Templates!$E:$E,_TECH_Industry_Templates!$A:$A,'Company Profile'!$B$9,_TECH_Industry_Templates!$B:$B,"Business Systems"),1)</f>
        <v>1.1499999999999999</v>
      </c>
      <c r="AQ18" s="48" t="str">
        <f t="shared" si="7"/>
        <v/>
      </c>
      <c r="AR18" s="48" t="str">
        <f t="shared" si="8"/>
        <v/>
      </c>
      <c r="AS18" s="11">
        <f t="shared" si="9"/>
        <v>0</v>
      </c>
      <c r="AT18" s="11">
        <f t="shared" si="10"/>
        <v>0</v>
      </c>
    </row>
    <row r="19" spans="1:46" ht="71.25">
      <c r="A19" s="7" t="s">
        <v>5102</v>
      </c>
      <c r="B19" s="7" t="s">
        <v>1519</v>
      </c>
      <c r="C19" s="7" t="s">
        <v>5103</v>
      </c>
      <c r="D19" s="7" t="s">
        <v>4960</v>
      </c>
      <c r="E19" s="7" t="s">
        <v>4961</v>
      </c>
      <c r="F19" s="7" t="s">
        <v>5104</v>
      </c>
      <c r="G19" s="7">
        <v>5</v>
      </c>
      <c r="H19" s="153"/>
      <c r="I19" s="8" t="str">
        <f t="shared" si="0"/>
        <v/>
      </c>
      <c r="J19" s="8" t="str">
        <f t="shared" si="1"/>
        <v/>
      </c>
      <c r="K19" s="8" t="str">
        <f t="shared" si="2"/>
        <v/>
      </c>
      <c r="L19" s="7" t="str">
        <f t="shared" si="3"/>
        <v/>
      </c>
      <c r="M19" s="7" t="s">
        <v>5105</v>
      </c>
      <c r="N19" s="7" t="s">
        <v>5106</v>
      </c>
      <c r="O19" s="7" t="s">
        <v>5107</v>
      </c>
      <c r="P19" s="7" t="s">
        <v>5108</v>
      </c>
      <c r="Q19" s="7" t="s">
        <v>5109</v>
      </c>
      <c r="R19" s="7" t="s">
        <v>5110</v>
      </c>
      <c r="S19" s="7" t="s">
        <v>4969</v>
      </c>
      <c r="T19" s="7" t="s">
        <v>4970</v>
      </c>
      <c r="U19" s="7"/>
      <c r="V19" s="7" t="s">
        <v>5111</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Profile'!$B$9,_TECH_Industry_Templates!$B:$B,"Business Systems"),"")</f>
        <v>4</v>
      </c>
      <c r="AO19" s="48" t="str">
        <f t="shared" si="6"/>
        <v/>
      </c>
      <c r="AP19" s="48">
        <f>IFERROR(SUMIFS(_TECH_Industry_Templates!$E:$E,_TECH_Industry_Templates!$A:$A,'Company Profile'!$B$9,_TECH_Industry_Templates!$B:$B,"Business Systems"),1)</f>
        <v>1.1499999999999999</v>
      </c>
      <c r="AQ19" s="48" t="str">
        <f t="shared" si="7"/>
        <v/>
      </c>
      <c r="AR19" s="48" t="str">
        <f t="shared" si="8"/>
        <v/>
      </c>
      <c r="AS19" s="11">
        <f t="shared" si="9"/>
        <v>0</v>
      </c>
      <c r="AT19" s="11">
        <f t="shared" si="10"/>
        <v>0</v>
      </c>
    </row>
    <row r="20" spans="1:46" ht="71.25">
      <c r="A20" s="7" t="s">
        <v>5112</v>
      </c>
      <c r="B20" s="7" t="s">
        <v>1519</v>
      </c>
      <c r="C20" s="7" t="s">
        <v>5113</v>
      </c>
      <c r="D20" s="7" t="s">
        <v>4960</v>
      </c>
      <c r="E20" s="7" t="s">
        <v>4961</v>
      </c>
      <c r="F20" s="7" t="s">
        <v>5114</v>
      </c>
      <c r="G20" s="7">
        <v>5</v>
      </c>
      <c r="H20" s="153"/>
      <c r="I20" s="8" t="str">
        <f t="shared" si="0"/>
        <v/>
      </c>
      <c r="J20" s="8" t="str">
        <f t="shared" si="1"/>
        <v/>
      </c>
      <c r="K20" s="8" t="str">
        <f t="shared" si="2"/>
        <v/>
      </c>
      <c r="L20" s="7" t="str">
        <f t="shared" si="3"/>
        <v/>
      </c>
      <c r="M20" s="7" t="s">
        <v>5115</v>
      </c>
      <c r="N20" s="7" t="s">
        <v>5116</v>
      </c>
      <c r="O20" s="7" t="s">
        <v>5117</v>
      </c>
      <c r="P20" s="7" t="s">
        <v>5118</v>
      </c>
      <c r="Q20" s="7" t="s">
        <v>5119</v>
      </c>
      <c r="R20" s="7" t="s">
        <v>5120</v>
      </c>
      <c r="S20" s="7" t="s">
        <v>4969</v>
      </c>
      <c r="T20" s="7" t="s">
        <v>4970</v>
      </c>
      <c r="U20" s="7"/>
      <c r="V20" s="7" t="s">
        <v>5121</v>
      </c>
      <c r="W20" s="14">
        <v>5</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Profile'!$B$9,_TECH_Industry_Templates!$B:$B,"Business Systems"),"")</f>
        <v>4</v>
      </c>
      <c r="AO20" s="48" t="str">
        <f t="shared" si="6"/>
        <v/>
      </c>
      <c r="AP20" s="48">
        <f>IFERROR(SUMIFS(_TECH_Industry_Templates!$E:$E,_TECH_Industry_Templates!$A:$A,'Company Profile'!$B$9,_TECH_Industry_Templates!$B:$B,"Business Systems"),1)</f>
        <v>1.1499999999999999</v>
      </c>
      <c r="AQ20" s="48" t="str">
        <f t="shared" si="7"/>
        <v/>
      </c>
      <c r="AR20" s="48" t="str">
        <f t="shared" si="8"/>
        <v/>
      </c>
      <c r="AS20" s="11">
        <f t="shared" si="9"/>
        <v>0</v>
      </c>
      <c r="AT20" s="11">
        <f t="shared" si="10"/>
        <v>0</v>
      </c>
    </row>
    <row r="21" spans="1:46" ht="57">
      <c r="A21" s="7" t="s">
        <v>5122</v>
      </c>
      <c r="B21" s="7" t="s">
        <v>1519</v>
      </c>
      <c r="C21" s="7" t="s">
        <v>5123</v>
      </c>
      <c r="D21" s="7" t="s">
        <v>4960</v>
      </c>
      <c r="E21" s="7" t="s">
        <v>4961</v>
      </c>
      <c r="F21" s="7" t="s">
        <v>5124</v>
      </c>
      <c r="G21" s="7">
        <v>5</v>
      </c>
      <c r="H21" s="153"/>
      <c r="I21" s="8" t="str">
        <f t="shared" si="0"/>
        <v/>
      </c>
      <c r="J21" s="8" t="str">
        <f t="shared" si="1"/>
        <v/>
      </c>
      <c r="K21" s="8" t="str">
        <f t="shared" si="2"/>
        <v/>
      </c>
      <c r="L21" s="7" t="str">
        <f t="shared" si="3"/>
        <v/>
      </c>
      <c r="M21" s="7" t="s">
        <v>5125</v>
      </c>
      <c r="N21" s="7" t="s">
        <v>5126</v>
      </c>
      <c r="O21" s="7" t="s">
        <v>5127</v>
      </c>
      <c r="P21" s="7" t="s">
        <v>5128</v>
      </c>
      <c r="Q21" s="7" t="s">
        <v>5129</v>
      </c>
      <c r="R21" s="7" t="s">
        <v>5130</v>
      </c>
      <c r="S21" s="7" t="s">
        <v>4969</v>
      </c>
      <c r="T21" s="7" t="s">
        <v>4970</v>
      </c>
      <c r="U21" s="7"/>
      <c r="V21" s="7" t="s">
        <v>5131</v>
      </c>
      <c r="W21" s="14">
        <v>5</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Profile'!$B$9,_TECH_Industry_Templates!$B:$B,"Business Systems"),"")</f>
        <v>4</v>
      </c>
      <c r="AO21" s="48" t="str">
        <f t="shared" si="6"/>
        <v/>
      </c>
      <c r="AP21" s="48">
        <f>IFERROR(SUMIFS(_TECH_Industry_Templates!$E:$E,_TECH_Industry_Templates!$A:$A,'Company Profile'!$B$9,_TECH_Industry_Templates!$B:$B,"Business Systems"),1)</f>
        <v>1.1499999999999999</v>
      </c>
      <c r="AQ21" s="48" t="str">
        <f t="shared" si="7"/>
        <v/>
      </c>
      <c r="AR21" s="48" t="str">
        <f t="shared" si="8"/>
        <v/>
      </c>
      <c r="AS21" s="11">
        <f t="shared" si="9"/>
        <v>0</v>
      </c>
      <c r="AT21" s="11">
        <f t="shared" si="10"/>
        <v>0</v>
      </c>
    </row>
    <row r="22" spans="1:46" ht="71.25">
      <c r="A22" s="7" t="s">
        <v>5132</v>
      </c>
      <c r="B22" s="7" t="s">
        <v>1527</v>
      </c>
      <c r="C22" s="7" t="s">
        <v>5133</v>
      </c>
      <c r="D22" s="7" t="s">
        <v>4960</v>
      </c>
      <c r="E22" s="7" t="s">
        <v>4961</v>
      </c>
      <c r="F22" s="7" t="s">
        <v>5134</v>
      </c>
      <c r="G22" s="7">
        <v>4</v>
      </c>
      <c r="H22" s="153"/>
      <c r="I22" s="8" t="str">
        <f t="shared" si="0"/>
        <v/>
      </c>
      <c r="J22" s="8" t="str">
        <f t="shared" si="1"/>
        <v/>
      </c>
      <c r="K22" s="8" t="str">
        <f t="shared" si="2"/>
        <v/>
      </c>
      <c r="L22" s="7" t="str">
        <f t="shared" si="3"/>
        <v/>
      </c>
      <c r="M22" s="7" t="s">
        <v>5135</v>
      </c>
      <c r="N22" s="7" t="s">
        <v>5136</v>
      </c>
      <c r="O22" s="7" t="s">
        <v>5137</v>
      </c>
      <c r="P22" s="7" t="s">
        <v>5138</v>
      </c>
      <c r="Q22" s="7" t="s">
        <v>5139</v>
      </c>
      <c r="R22" s="7" t="s">
        <v>5140</v>
      </c>
      <c r="S22" s="7" t="s">
        <v>4969</v>
      </c>
      <c r="T22" s="7" t="s">
        <v>4970</v>
      </c>
      <c r="U22" s="7"/>
      <c r="V22" s="7" t="s">
        <v>5141</v>
      </c>
      <c r="W22" s="14">
        <v>5</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Profile'!$B$9,_TECH_Industry_Templates!$B:$B,"Business Systems"),"")</f>
        <v>4</v>
      </c>
      <c r="AO22" s="48" t="str">
        <f t="shared" si="6"/>
        <v/>
      </c>
      <c r="AP22" s="48">
        <f>IFERROR(SUMIFS(_TECH_Industry_Templates!$E:$E,_TECH_Industry_Templates!$A:$A,'Company Profile'!$B$9,_TECH_Industry_Templates!$B:$B,"Business Systems"),1)</f>
        <v>1.1499999999999999</v>
      </c>
      <c r="AQ22" s="48" t="str">
        <f t="shared" si="7"/>
        <v/>
      </c>
      <c r="AR22" s="48" t="str">
        <f t="shared" si="8"/>
        <v/>
      </c>
      <c r="AS22" s="11">
        <f t="shared" si="9"/>
        <v>0</v>
      </c>
      <c r="AT22" s="11">
        <f t="shared" si="10"/>
        <v>0</v>
      </c>
    </row>
    <row r="23" spans="1:46" ht="71.25">
      <c r="A23" s="7" t="s">
        <v>5142</v>
      </c>
      <c r="B23" s="7" t="s">
        <v>1527</v>
      </c>
      <c r="C23" s="7" t="s">
        <v>5143</v>
      </c>
      <c r="D23" s="7" t="s">
        <v>4960</v>
      </c>
      <c r="E23" s="7" t="s">
        <v>4961</v>
      </c>
      <c r="F23" s="7" t="s">
        <v>5144</v>
      </c>
      <c r="G23" s="7">
        <v>5</v>
      </c>
      <c r="H23" s="153"/>
      <c r="I23" s="8" t="str">
        <f t="shared" si="0"/>
        <v/>
      </c>
      <c r="J23" s="8" t="str">
        <f t="shared" si="1"/>
        <v/>
      </c>
      <c r="K23" s="8" t="str">
        <f t="shared" si="2"/>
        <v/>
      </c>
      <c r="L23" s="7" t="str">
        <f t="shared" si="3"/>
        <v/>
      </c>
      <c r="M23" s="7" t="s">
        <v>5145</v>
      </c>
      <c r="N23" s="7" t="s">
        <v>5146</v>
      </c>
      <c r="O23" s="7" t="s">
        <v>5147</v>
      </c>
      <c r="P23" s="7" t="s">
        <v>5148</v>
      </c>
      <c r="Q23" s="7" t="s">
        <v>5149</v>
      </c>
      <c r="R23" s="7" t="s">
        <v>5150</v>
      </c>
      <c r="S23" s="7" t="s">
        <v>4969</v>
      </c>
      <c r="T23" s="7" t="s">
        <v>4970</v>
      </c>
      <c r="U23" s="7"/>
      <c r="V23" s="7" t="s">
        <v>5151</v>
      </c>
      <c r="W23" s="14">
        <v>5</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Profile'!$B$9,_TECH_Industry_Templates!$B:$B,"Business Systems"),"")</f>
        <v>4</v>
      </c>
      <c r="AO23" s="48" t="str">
        <f t="shared" si="6"/>
        <v/>
      </c>
      <c r="AP23" s="48">
        <f>IFERROR(SUMIFS(_TECH_Industry_Templates!$E:$E,_TECH_Industry_Templates!$A:$A,'Company Profile'!$B$9,_TECH_Industry_Templates!$B:$B,"Business Systems"),1)</f>
        <v>1.1499999999999999</v>
      </c>
      <c r="AQ23" s="48" t="str">
        <f t="shared" si="7"/>
        <v/>
      </c>
      <c r="AR23" s="48" t="str">
        <f t="shared" si="8"/>
        <v/>
      </c>
      <c r="AS23" s="11">
        <f t="shared" si="9"/>
        <v>0</v>
      </c>
      <c r="AT23" s="11">
        <f t="shared" si="10"/>
        <v>0</v>
      </c>
    </row>
    <row r="24" spans="1:46" ht="71.25">
      <c r="A24" s="7" t="s">
        <v>5152</v>
      </c>
      <c r="B24" s="7" t="s">
        <v>1527</v>
      </c>
      <c r="C24" s="7" t="s">
        <v>5153</v>
      </c>
      <c r="D24" s="7" t="s">
        <v>4960</v>
      </c>
      <c r="E24" s="7" t="s">
        <v>4961</v>
      </c>
      <c r="F24" s="7" t="s">
        <v>5154</v>
      </c>
      <c r="G24" s="7">
        <v>5</v>
      </c>
      <c r="H24" s="153"/>
      <c r="I24" s="8" t="str">
        <f t="shared" si="0"/>
        <v/>
      </c>
      <c r="J24" s="8" t="str">
        <f t="shared" si="1"/>
        <v/>
      </c>
      <c r="K24" s="8" t="str">
        <f t="shared" si="2"/>
        <v/>
      </c>
      <c r="L24" s="7" t="str">
        <f t="shared" si="3"/>
        <v/>
      </c>
      <c r="M24" s="7" t="s">
        <v>5155</v>
      </c>
      <c r="N24" s="7" t="s">
        <v>5156</v>
      </c>
      <c r="O24" s="7" t="s">
        <v>5157</v>
      </c>
      <c r="P24" s="7" t="s">
        <v>5158</v>
      </c>
      <c r="Q24" s="7" t="s">
        <v>5159</v>
      </c>
      <c r="R24" s="7" t="s">
        <v>5160</v>
      </c>
      <c r="S24" s="7" t="s">
        <v>4969</v>
      </c>
      <c r="T24" s="7" t="s">
        <v>4970</v>
      </c>
      <c r="U24" s="7"/>
      <c r="V24" s="7" t="s">
        <v>5161</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Profile'!$B$9,_TECH_Industry_Templates!$B:$B,"Business Systems"),"")</f>
        <v>4</v>
      </c>
      <c r="AO24" s="48" t="str">
        <f t="shared" si="6"/>
        <v/>
      </c>
      <c r="AP24" s="48">
        <f>IFERROR(SUMIFS(_TECH_Industry_Templates!$E:$E,_TECH_Industry_Templates!$A:$A,'Company Profile'!$B$9,_TECH_Industry_Templates!$B:$B,"Business Systems"),1)</f>
        <v>1.1499999999999999</v>
      </c>
      <c r="AQ24" s="48" t="str">
        <f t="shared" si="7"/>
        <v/>
      </c>
      <c r="AR24" s="48" t="str">
        <f t="shared" si="8"/>
        <v/>
      </c>
      <c r="AS24" s="11">
        <f t="shared" si="9"/>
        <v>0</v>
      </c>
      <c r="AT24" s="11">
        <f t="shared" si="10"/>
        <v>0</v>
      </c>
    </row>
    <row r="25" spans="1:46" ht="71.25">
      <c r="A25" s="7" t="s">
        <v>5162</v>
      </c>
      <c r="B25" s="7" t="s">
        <v>1527</v>
      </c>
      <c r="C25" s="7" t="s">
        <v>5163</v>
      </c>
      <c r="D25" s="7" t="s">
        <v>4960</v>
      </c>
      <c r="E25" s="7" t="s">
        <v>4961</v>
      </c>
      <c r="F25" s="7" t="s">
        <v>5164</v>
      </c>
      <c r="G25" s="7">
        <v>5</v>
      </c>
      <c r="H25" s="153"/>
      <c r="I25" s="8" t="str">
        <f t="shared" si="0"/>
        <v/>
      </c>
      <c r="J25" s="8" t="str">
        <f t="shared" si="1"/>
        <v/>
      </c>
      <c r="K25" s="8" t="str">
        <f t="shared" si="2"/>
        <v/>
      </c>
      <c r="L25" s="7" t="str">
        <f t="shared" si="3"/>
        <v/>
      </c>
      <c r="M25" s="7" t="s">
        <v>5165</v>
      </c>
      <c r="N25" s="7" t="s">
        <v>5166</v>
      </c>
      <c r="O25" s="7" t="s">
        <v>5167</v>
      </c>
      <c r="P25" s="7" t="s">
        <v>5168</v>
      </c>
      <c r="Q25" s="7" t="s">
        <v>5169</v>
      </c>
      <c r="R25" s="7" t="s">
        <v>5170</v>
      </c>
      <c r="S25" s="7" t="s">
        <v>4969</v>
      </c>
      <c r="T25" s="7" t="s">
        <v>4970</v>
      </c>
      <c r="U25" s="7"/>
      <c r="V25" s="7" t="s">
        <v>5171</v>
      </c>
      <c r="W25" s="14">
        <v>5</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Profile'!$B$9,_TECH_Industry_Templates!$B:$B,"Business Systems"),"")</f>
        <v>4</v>
      </c>
      <c r="AO25" s="48" t="str">
        <f t="shared" si="6"/>
        <v/>
      </c>
      <c r="AP25" s="48">
        <f>IFERROR(SUMIFS(_TECH_Industry_Templates!$E:$E,_TECH_Industry_Templates!$A:$A,'Company Profile'!$B$9,_TECH_Industry_Templates!$B:$B,"Business Systems"),1)</f>
        <v>1.1499999999999999</v>
      </c>
      <c r="AQ25" s="48" t="str">
        <f t="shared" si="7"/>
        <v/>
      </c>
      <c r="AR25" s="48" t="str">
        <f t="shared" si="8"/>
        <v/>
      </c>
      <c r="AS25" s="11">
        <f t="shared" si="9"/>
        <v>0</v>
      </c>
      <c r="AT25" s="11">
        <f t="shared" si="10"/>
        <v>0</v>
      </c>
    </row>
    <row r="26" spans="1:46" ht="57">
      <c r="A26" s="7" t="s">
        <v>5172</v>
      </c>
      <c r="B26" s="7" t="s">
        <v>1527</v>
      </c>
      <c r="C26" s="7" t="s">
        <v>5173</v>
      </c>
      <c r="D26" s="7" t="s">
        <v>4960</v>
      </c>
      <c r="E26" s="7" t="s">
        <v>4961</v>
      </c>
      <c r="F26" s="7" t="s">
        <v>5174</v>
      </c>
      <c r="G26" s="7">
        <v>5</v>
      </c>
      <c r="H26" s="153"/>
      <c r="I26" s="8" t="str">
        <f t="shared" si="0"/>
        <v/>
      </c>
      <c r="J26" s="8" t="str">
        <f t="shared" si="1"/>
        <v/>
      </c>
      <c r="K26" s="8" t="str">
        <f t="shared" si="2"/>
        <v/>
      </c>
      <c r="L26" s="7" t="str">
        <f t="shared" si="3"/>
        <v/>
      </c>
      <c r="M26" s="7" t="s">
        <v>5175</v>
      </c>
      <c r="N26" s="7" t="s">
        <v>5176</v>
      </c>
      <c r="O26" s="7" t="s">
        <v>5177</v>
      </c>
      <c r="P26" s="7" t="s">
        <v>5178</v>
      </c>
      <c r="Q26" s="7" t="s">
        <v>5179</v>
      </c>
      <c r="R26" s="7" t="s">
        <v>5180</v>
      </c>
      <c r="S26" s="7" t="s">
        <v>4969</v>
      </c>
      <c r="T26" s="7" t="s">
        <v>4970</v>
      </c>
      <c r="U26" s="7"/>
      <c r="V26" s="7" t="s">
        <v>5181</v>
      </c>
      <c r="W26" s="14">
        <v>5</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Profile'!$B$9,_TECH_Industry_Templates!$B:$B,"Business Systems"),"")</f>
        <v>4</v>
      </c>
      <c r="AO26" s="48" t="str">
        <f t="shared" si="6"/>
        <v/>
      </c>
      <c r="AP26" s="48">
        <f>IFERROR(SUMIFS(_TECH_Industry_Templates!$E:$E,_TECH_Industry_Templates!$A:$A,'Company Profile'!$B$9,_TECH_Industry_Templates!$B:$B,"Business Systems"),1)</f>
        <v>1.1499999999999999</v>
      </c>
      <c r="AQ26" s="48" t="str">
        <f t="shared" si="7"/>
        <v/>
      </c>
      <c r="AR26" s="48" t="str">
        <f t="shared" si="8"/>
        <v/>
      </c>
      <c r="AS26" s="11">
        <f t="shared" si="9"/>
        <v>0</v>
      </c>
      <c r="AT26" s="11">
        <f t="shared" si="10"/>
        <v>0</v>
      </c>
    </row>
    <row r="27" spans="1:46" ht="57">
      <c r="A27" s="7" t="s">
        <v>5182</v>
      </c>
      <c r="B27" s="7" t="s">
        <v>1527</v>
      </c>
      <c r="C27" s="7" t="s">
        <v>5183</v>
      </c>
      <c r="D27" s="7" t="s">
        <v>4960</v>
      </c>
      <c r="E27" s="7" t="s">
        <v>4961</v>
      </c>
      <c r="F27" s="7" t="s">
        <v>5184</v>
      </c>
      <c r="G27" s="7">
        <v>5</v>
      </c>
      <c r="H27" s="153"/>
      <c r="I27" s="8" t="str">
        <f t="shared" si="0"/>
        <v/>
      </c>
      <c r="J27" s="8" t="str">
        <f t="shared" si="1"/>
        <v/>
      </c>
      <c r="K27" s="8" t="str">
        <f t="shared" si="2"/>
        <v/>
      </c>
      <c r="L27" s="7" t="str">
        <f t="shared" si="3"/>
        <v/>
      </c>
      <c r="M27" s="7" t="s">
        <v>5185</v>
      </c>
      <c r="N27" s="7" t="s">
        <v>5186</v>
      </c>
      <c r="O27" s="7" t="s">
        <v>5187</v>
      </c>
      <c r="P27" s="7" t="s">
        <v>5188</v>
      </c>
      <c r="Q27" s="7" t="s">
        <v>5189</v>
      </c>
      <c r="R27" s="7" t="s">
        <v>5190</v>
      </c>
      <c r="S27" s="7" t="s">
        <v>4969</v>
      </c>
      <c r="T27" s="7" t="s">
        <v>4970</v>
      </c>
      <c r="U27" s="7"/>
      <c r="V27" s="7" t="s">
        <v>5191</v>
      </c>
      <c r="W27" s="14">
        <v>5</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Profile'!$B$9,_TECH_Industry_Templates!$B:$B,"Business Systems"),"")</f>
        <v>4</v>
      </c>
      <c r="AO27" s="48" t="str">
        <f t="shared" si="6"/>
        <v/>
      </c>
      <c r="AP27" s="48">
        <f>IFERROR(SUMIFS(_TECH_Industry_Templates!$E:$E,_TECH_Industry_Templates!$A:$A,'Company Profile'!$B$9,_TECH_Industry_Templates!$B:$B,"Business Systems"),1)</f>
        <v>1.1499999999999999</v>
      </c>
      <c r="AQ27" s="48" t="str">
        <f t="shared" si="7"/>
        <v/>
      </c>
      <c r="AR27" s="48" t="str">
        <f t="shared" si="8"/>
        <v/>
      </c>
      <c r="AS27" s="11">
        <f t="shared" si="9"/>
        <v>0</v>
      </c>
      <c r="AT27" s="11">
        <f t="shared" si="10"/>
        <v>0</v>
      </c>
    </row>
  </sheetData>
  <mergeCells count="4">
    <mergeCell ref="A2:V2"/>
    <mergeCell ref="AA3:AG3"/>
    <mergeCell ref="A1:V1"/>
    <mergeCell ref="W3:Y3"/>
  </mergeCells>
  <conditionalFormatting sqref="H5:H27">
    <cfRule type="colorScale" priority="1">
      <colorScale>
        <cfvo type="min"/>
        <cfvo type="percentile" val="50"/>
        <cfvo type="max"/>
        <color rgb="FFF8696B"/>
        <color rgb="FFFFEB84"/>
        <color rgb="FF63BE7B"/>
      </colorScale>
    </cfRule>
  </conditionalFormatting>
  <conditionalFormatting sqref="L5:L27">
    <cfRule type="expression" dxfId="31" priority="2">
      <formula>$L5="Critical"</formula>
    </cfRule>
    <cfRule type="expression" dxfId="30" priority="3">
      <formula>$L5="High"</formula>
    </cfRule>
    <cfRule type="expression" dxfId="29" priority="4">
      <formula>$L5="Medium"</formula>
    </cfRule>
    <cfRule type="expression" dxfId="28" priority="5">
      <formula>$L5="Low"</formula>
    </cfRule>
    <cfRule type="expression" dxfId="27" priority="6">
      <formula>$L5="Resilient"</formula>
    </cfRule>
  </conditionalFormatting>
  <conditionalFormatting sqref="AC5:AC9">
    <cfRule type="colorScale" priority="7">
      <colorScale>
        <cfvo type="min"/>
        <cfvo type="percentile" val="50"/>
        <cfvo type="max"/>
        <color rgb="FFFEE2E2"/>
        <color rgb="FFFEF3C7"/>
        <color rgb="FFDCFCE7"/>
      </colorScale>
    </cfRule>
  </conditionalFormatting>
  <conditionalFormatting sqref="AD5:AD9">
    <cfRule type="dataBar" priority="8">
      <dataBar>
        <cfvo type="min"/>
        <cfvo type="max"/>
        <color rgb="FF2F75B5"/>
      </dataBar>
    </cfRule>
  </conditionalFormatting>
  <dataValidations count="4">
    <dataValidation type="list" sqref="H5:H27" ns2:uid="{00000000-0002-0000-2000-000000000000}">
      <formula1>"N/A,0,1,2,3,4,5"</formula1>
    </dataValidation>
    <dataValidation type="list" sqref="G5:G27" ns2:uid="{00000000-0002-0000-2000-000001000000}">
      <formula1>"1,2,3,4,5"</formula1>
    </dataValidation>
    <dataValidation type="list" sqref="W5:Y27" ns2:uid="{00000000-0002-0000-2000-000002000000}">
      <formula1>"0,1,2,3,4,5"</formula1>
    </dataValidation>
    <dataValidation type="list" allowBlank="1" sqref="AH5:AI27" ns2:uid="{00000000-0002-0000-20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100-000000000000}">
  <sheetPr>
    <tabColor rgb="FFED7D31"/>
  </sheetPr>
  <dimension ref="A1:AT31"/>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5192</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5193</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57">
      <c r="A5" s="7" t="s">
        <v>5194</v>
      </c>
      <c r="B5" s="7" t="s">
        <v>1535</v>
      </c>
      <c r="C5" s="7" t="s">
        <v>5195</v>
      </c>
      <c r="D5" s="7" t="s">
        <v>5196</v>
      </c>
      <c r="E5" s="7" t="s">
        <v>5197</v>
      </c>
      <c r="F5" s="7" t="s">
        <v>5198</v>
      </c>
      <c r="G5" s="7">
        <v>5</v>
      </c>
      <c r="H5" s="153"/>
      <c r="I5" s="8" t="str">
        <f t="shared" ref="I5:I31" si="0">IF($H5="","",IF($H5="N/A","",VALUE($H5)/5*$G5))</f>
        <v/>
      </c>
      <c r="J5" s="8" t="str">
        <f t="shared" ref="J5:J31" si="1">IF(OR($H5="",$H5="N/A"),"",$G5)</f>
        <v/>
      </c>
      <c r="K5" s="8" t="str">
        <f t="shared" ref="K5:K31" si="2">IF(OR($H5="",$H5="N/A"),"",$J5-$I5)</f>
        <v/>
      </c>
      <c r="L5" s="7" t="str">
        <f t="shared" ref="L5:L31" si="3">IF($H5="","",IF($H5="N/A","N/A",IF(VALUE($H5)&lt;=1,"Critical",IF(VALUE($H5)&lt;=2,"High",IF(VALUE($H5)&lt;=3,"Medium",IF(VALUE($H5)&lt;=4,"Low","Resilient"))))))</f>
        <v/>
      </c>
      <c r="M5" s="7" t="s">
        <v>5199</v>
      </c>
      <c r="N5" s="7" t="s">
        <v>5200</v>
      </c>
      <c r="O5" s="7" t="s">
        <v>5201</v>
      </c>
      <c r="P5" s="7" t="s">
        <v>5202</v>
      </c>
      <c r="Q5" s="7" t="s">
        <v>5203</v>
      </c>
      <c r="R5" s="7" t="s">
        <v>5204</v>
      </c>
      <c r="S5" s="7" t="s">
        <v>5205</v>
      </c>
      <c r="T5" s="7" t="s">
        <v>5206</v>
      </c>
      <c r="U5" s="7"/>
      <c r="V5" s="7" t="s">
        <v>5207</v>
      </c>
      <c r="W5" s="14">
        <v>5</v>
      </c>
      <c r="X5" s="14">
        <v>5</v>
      </c>
      <c r="Y5" s="14">
        <v>5</v>
      </c>
      <c r="AA5" t="s">
        <v>1535</v>
      </c>
      <c r="AB5" s="13">
        <f>COUNTIF($B$5:$B$31,$AA5)</f>
        <v>6</v>
      </c>
      <c r="AC5" s="15">
        <f>IFERROR(SUMPRODUCT(($B$5:$B$31=$AA5)*($H$5:$H$31&lt;&gt;"")*($H$5:$H$31&lt;&gt;"N/A")*IFERROR(VALUE($H$5:$H$31),0))/SUMPRODUCT(($B$5:$B$31=$AA5)*($H$5:$H$31&lt;&gt;"")*($H$5:$H$31&lt;&gt;"N/A")),0)</f>
        <v>0</v>
      </c>
      <c r="AD5" s="16">
        <f>AC5/5</f>
        <v>0</v>
      </c>
      <c r="AE5" s="13">
        <f>COUNTIFS($B$5:$B$31,$AA5,$L$5:$L$31,"Critical")+COUNTIFS($B$5:$B$31,$AA5,$L$5:$L$31,"High")</f>
        <v>0</v>
      </c>
      <c r="AF5" s="15">
        <f>5-AC5</f>
        <v>5</v>
      </c>
      <c r="AG5" s="13">
        <f>COUNTIFS($B$5:$B$31,$AA5,$H$5:$H$31,"&lt;&gt;")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31" si="4">IF(OR($H5="",$H5="N/A"),"",ROUND(VALUE($H5)*$AJ5*$AK5,2))</f>
        <v/>
      </c>
      <c r="AM5" s="48" t="str">
        <f t="shared" ref="AM5:AM31" si="5">IF($AL5="","",ROUND($AL5/5*100,1))</f>
        <v/>
      </c>
      <c r="AN5" s="48">
        <f>IFERROR(SUMIFS(_TECH_Industry_Templates!$D:$D,_TECH_Industry_Templates!$A:$A,'Company Profile'!$B$9,_TECH_Industry_Templates!$B:$B,"Data BI AI"),"")</f>
        <v>3.5</v>
      </c>
      <c r="AO5" s="48" t="str">
        <f t="shared" ref="AO5:AO31" si="6">IF($AL5="","",MAX(0,ROUND($AN5-$AL5,2)))</f>
        <v/>
      </c>
      <c r="AP5" s="48">
        <f>IFERROR(SUMIFS(_TECH_Industry_Templates!$E:$E,_TECH_Industry_Templates!$A:$A,'Company Profile'!$B$9,_TECH_Industry_Templates!$B:$B,"Data BI AI"),1)</f>
        <v>1</v>
      </c>
      <c r="AQ5" s="48" t="str">
        <f t="shared" ref="AQ5:AQ31" si="7">IF($AO5="","",ROUND($AO5*$AP5*($G5/5),2))</f>
        <v/>
      </c>
      <c r="AR5" s="48" t="str">
        <f t="shared" ref="AR5:AR31" si="8">IF($AO5="","",IF($AO5&gt;=2,"Critical industry gap",IF($AO5&gt;=1,"High industry gap",IF($AO5&gt;=0.5,"Moderate industry gap","Within target"))))</f>
        <v/>
      </c>
      <c r="AS5" s="11">
        <f t="shared" ref="AS5:AS31" si="9">IF(OR($H5="",$H5="N/A"),0,VALUE($H5)*(($AJ5+$AK5)/2))</f>
        <v>0</v>
      </c>
      <c r="AT5" s="11">
        <f t="shared" ref="AT5:AT31" si="10">IF(OR($H5="",$H5="N/A"),0,($AJ5+$AK5)/2)</f>
        <v>0</v>
      </c>
    </row>
    <row r="6" spans="1:46" ht="57">
      <c r="A6" s="7" t="s">
        <v>5208</v>
      </c>
      <c r="B6" s="7" t="s">
        <v>1535</v>
      </c>
      <c r="C6" s="7" t="s">
        <v>5209</v>
      </c>
      <c r="D6" s="7" t="s">
        <v>5196</v>
      </c>
      <c r="E6" s="7" t="s">
        <v>5197</v>
      </c>
      <c r="F6" s="7" t="s">
        <v>5210</v>
      </c>
      <c r="G6" s="7">
        <v>5</v>
      </c>
      <c r="H6" s="153"/>
      <c r="I6" s="8" t="str">
        <f t="shared" si="0"/>
        <v/>
      </c>
      <c r="J6" s="8" t="str">
        <f t="shared" si="1"/>
        <v/>
      </c>
      <c r="K6" s="8" t="str">
        <f t="shared" si="2"/>
        <v/>
      </c>
      <c r="L6" s="7" t="str">
        <f t="shared" si="3"/>
        <v/>
      </c>
      <c r="M6" s="7" t="s">
        <v>5211</v>
      </c>
      <c r="N6" s="7" t="s">
        <v>5212</v>
      </c>
      <c r="O6" s="7" t="s">
        <v>5213</v>
      </c>
      <c r="P6" s="7" t="s">
        <v>5214</v>
      </c>
      <c r="Q6" s="7" t="s">
        <v>5215</v>
      </c>
      <c r="R6" s="7" t="s">
        <v>5216</v>
      </c>
      <c r="S6" s="7" t="s">
        <v>5205</v>
      </c>
      <c r="T6" s="7" t="s">
        <v>5206</v>
      </c>
      <c r="U6" s="7"/>
      <c r="V6" s="7" t="s">
        <v>5217</v>
      </c>
      <c r="W6" s="14">
        <v>5</v>
      </c>
      <c r="X6" s="14">
        <v>5</v>
      </c>
      <c r="Y6" s="14">
        <v>5</v>
      </c>
      <c r="AA6" t="s">
        <v>1549</v>
      </c>
      <c r="AB6" s="13">
        <f>COUNTIF($B$5:$B$31,$AA6)</f>
        <v>6</v>
      </c>
      <c r="AC6" s="15">
        <f>IFERROR(SUMPRODUCT(($B$5:$B$31=$AA6)*($H$5:$H$31&lt;&gt;"")*($H$5:$H$31&lt;&gt;"N/A")*IFERROR(VALUE($H$5:$H$31),0))/SUMPRODUCT(($B$5:$B$31=$AA6)*($H$5:$H$31&lt;&gt;"")*($H$5:$H$31&lt;&gt;"N/A")),0)</f>
        <v>0</v>
      </c>
      <c r="AD6" s="16">
        <f>AC6/5</f>
        <v>0</v>
      </c>
      <c r="AE6" s="13">
        <f>COUNTIFS($B$5:$B$31,$AA6,$L$5:$L$31,"Critical")+COUNTIFS($B$5:$B$31,$AA6,$L$5:$L$31,"High")</f>
        <v>0</v>
      </c>
      <c r="AF6" s="15">
        <f>5-AC6</f>
        <v>5</v>
      </c>
      <c r="AG6" s="13">
        <f>COUNTIFS($B$5:$B$31,$AA6,$H$5:$H$31,"&lt;&gt;")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Profile'!$B$9,_TECH_Industry_Templates!$B:$B,"Data BI AI"),"")</f>
        <v>3.5</v>
      </c>
      <c r="AO6" s="48" t="str">
        <f t="shared" si="6"/>
        <v/>
      </c>
      <c r="AP6" s="48">
        <f>IFERROR(SUMIFS(_TECH_Industry_Templates!$E:$E,_TECH_Industry_Templates!$A:$A,'Company Profile'!$B$9,_TECH_Industry_Templates!$B:$B,"Data BI AI"),1)</f>
        <v>1</v>
      </c>
      <c r="AQ6" s="48" t="str">
        <f t="shared" si="7"/>
        <v/>
      </c>
      <c r="AR6" s="48" t="str">
        <f t="shared" si="8"/>
        <v/>
      </c>
      <c r="AS6" s="11">
        <f t="shared" si="9"/>
        <v>0</v>
      </c>
      <c r="AT6" s="11">
        <f t="shared" si="10"/>
        <v>0</v>
      </c>
    </row>
    <row r="7" spans="1:46" ht="71.25">
      <c r="A7" s="7" t="s">
        <v>5218</v>
      </c>
      <c r="B7" s="7" t="s">
        <v>1535</v>
      </c>
      <c r="C7" s="7" t="s">
        <v>5219</v>
      </c>
      <c r="D7" s="7" t="s">
        <v>5196</v>
      </c>
      <c r="E7" s="7" t="s">
        <v>5197</v>
      </c>
      <c r="F7" s="7" t="s">
        <v>5220</v>
      </c>
      <c r="G7" s="7">
        <v>3</v>
      </c>
      <c r="H7" s="153"/>
      <c r="I7" s="8" t="str">
        <f t="shared" si="0"/>
        <v/>
      </c>
      <c r="J7" s="8" t="str">
        <f t="shared" si="1"/>
        <v/>
      </c>
      <c r="K7" s="8" t="str">
        <f t="shared" si="2"/>
        <v/>
      </c>
      <c r="L7" s="7" t="str">
        <f t="shared" si="3"/>
        <v/>
      </c>
      <c r="M7" s="7" t="s">
        <v>5221</v>
      </c>
      <c r="N7" s="7" t="s">
        <v>5222</v>
      </c>
      <c r="O7" s="7" t="s">
        <v>5223</v>
      </c>
      <c r="P7" s="7" t="s">
        <v>5224</v>
      </c>
      <c r="Q7" s="7" t="s">
        <v>5225</v>
      </c>
      <c r="R7" s="7" t="s">
        <v>5226</v>
      </c>
      <c r="S7" s="7" t="s">
        <v>5205</v>
      </c>
      <c r="T7" s="7" t="s">
        <v>5206</v>
      </c>
      <c r="U7" s="7"/>
      <c r="V7" s="7" t="s">
        <v>5227</v>
      </c>
      <c r="W7" s="14">
        <v>5</v>
      </c>
      <c r="X7" s="14">
        <v>5</v>
      </c>
      <c r="Y7" s="14">
        <v>5</v>
      </c>
      <c r="AA7" t="s">
        <v>1557</v>
      </c>
      <c r="AB7" s="13">
        <f>COUNTIF($B$5:$B$31,$AA7)</f>
        <v>6</v>
      </c>
      <c r="AC7" s="15">
        <f>IFERROR(SUMPRODUCT(($B$5:$B$31=$AA7)*($H$5:$H$31&lt;&gt;"")*($H$5:$H$31&lt;&gt;"N/A")*IFERROR(VALUE($H$5:$H$31),0))/SUMPRODUCT(($B$5:$B$31=$AA7)*($H$5:$H$31&lt;&gt;"")*($H$5:$H$31&lt;&gt;"N/A")),0)</f>
        <v>0</v>
      </c>
      <c r="AD7" s="16">
        <f>AC7/5</f>
        <v>0</v>
      </c>
      <c r="AE7" s="13">
        <f>COUNTIFS($B$5:$B$31,$AA7,$L$5:$L$31,"Critical")+COUNTIFS($B$5:$B$31,$AA7,$L$5:$L$31,"High")</f>
        <v>0</v>
      </c>
      <c r="AF7" s="15">
        <f>5-AC7</f>
        <v>5</v>
      </c>
      <c r="AG7" s="13">
        <f>COUNTIFS($B$5:$B$31,$AA7,$H$5:$H$31,"&lt;&gt;")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Profile'!$B$9,_TECH_Industry_Templates!$B:$B,"Data BI AI"),"")</f>
        <v>3.5</v>
      </c>
      <c r="AO7" s="48" t="str">
        <f t="shared" si="6"/>
        <v/>
      </c>
      <c r="AP7" s="48">
        <f>IFERROR(SUMIFS(_TECH_Industry_Templates!$E:$E,_TECH_Industry_Templates!$A:$A,'Company Profile'!$B$9,_TECH_Industry_Templates!$B:$B,"Data BI AI"),1)</f>
        <v>1</v>
      </c>
      <c r="AQ7" s="48" t="str">
        <f t="shared" si="7"/>
        <v/>
      </c>
      <c r="AR7" s="48" t="str">
        <f t="shared" si="8"/>
        <v/>
      </c>
      <c r="AS7" s="11">
        <f t="shared" si="9"/>
        <v>0</v>
      </c>
      <c r="AT7" s="11">
        <f t="shared" si="10"/>
        <v>0</v>
      </c>
    </row>
    <row r="8" spans="1:46" ht="57">
      <c r="A8" s="7" t="s">
        <v>5228</v>
      </c>
      <c r="B8" s="7" t="s">
        <v>1535</v>
      </c>
      <c r="C8" s="7" t="s">
        <v>5229</v>
      </c>
      <c r="D8" s="7" t="s">
        <v>5196</v>
      </c>
      <c r="E8" s="7" t="s">
        <v>5197</v>
      </c>
      <c r="F8" s="7" t="s">
        <v>5230</v>
      </c>
      <c r="G8" s="7">
        <v>4</v>
      </c>
      <c r="H8" s="153"/>
      <c r="I8" s="8" t="str">
        <f t="shared" si="0"/>
        <v/>
      </c>
      <c r="J8" s="8" t="str">
        <f t="shared" si="1"/>
        <v/>
      </c>
      <c r="K8" s="8" t="str">
        <f t="shared" si="2"/>
        <v/>
      </c>
      <c r="L8" s="7" t="str">
        <f t="shared" si="3"/>
        <v/>
      </c>
      <c r="M8" s="7" t="s">
        <v>5231</v>
      </c>
      <c r="N8" s="7" t="s">
        <v>5232</v>
      </c>
      <c r="O8" s="7" t="s">
        <v>5233</v>
      </c>
      <c r="P8" s="7" t="s">
        <v>5234</v>
      </c>
      <c r="Q8" s="7" t="s">
        <v>5235</v>
      </c>
      <c r="R8" s="7" t="s">
        <v>5236</v>
      </c>
      <c r="S8" s="7" t="s">
        <v>5205</v>
      </c>
      <c r="T8" s="7" t="s">
        <v>5206</v>
      </c>
      <c r="U8" s="7"/>
      <c r="V8" s="7" t="s">
        <v>5237</v>
      </c>
      <c r="W8" s="14">
        <v>5</v>
      </c>
      <c r="X8" s="14">
        <v>5</v>
      </c>
      <c r="Y8" s="14">
        <v>5</v>
      </c>
      <c r="AA8" t="s">
        <v>1565</v>
      </c>
      <c r="AB8" s="13">
        <f>COUNTIF($B$5:$B$31,$AA8)</f>
        <v>4</v>
      </c>
      <c r="AC8" s="15">
        <f>IFERROR(SUMPRODUCT(($B$5:$B$31=$AA8)*($H$5:$H$31&lt;&gt;"")*($H$5:$H$31&lt;&gt;"N/A")*IFERROR(VALUE($H$5:$H$31),0))/SUMPRODUCT(($B$5:$B$31=$AA8)*($H$5:$H$31&lt;&gt;"")*($H$5:$H$31&lt;&gt;"N/A")),0)</f>
        <v>0</v>
      </c>
      <c r="AD8" s="16">
        <f>AC8/5</f>
        <v>0</v>
      </c>
      <c r="AE8" s="13">
        <f>COUNTIFS($B$5:$B$31,$AA8,$L$5:$L$31,"Critical")+COUNTIFS($B$5:$B$31,$AA8,$L$5:$L$31,"High")</f>
        <v>0</v>
      </c>
      <c r="AF8" s="15">
        <f>5-AC8</f>
        <v>5</v>
      </c>
      <c r="AG8" s="13">
        <f>COUNTIFS($B$5:$B$31,$AA8,$H$5:$H$31,"&lt;&gt;")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Profile'!$B$9,_TECH_Industry_Templates!$B:$B,"Data BI AI"),"")</f>
        <v>3.5</v>
      </c>
      <c r="AO8" s="48" t="str">
        <f t="shared" si="6"/>
        <v/>
      </c>
      <c r="AP8" s="48">
        <f>IFERROR(SUMIFS(_TECH_Industry_Templates!$E:$E,_TECH_Industry_Templates!$A:$A,'Company Profile'!$B$9,_TECH_Industry_Templates!$B:$B,"Data BI AI"),1)</f>
        <v>1</v>
      </c>
      <c r="AQ8" s="48" t="str">
        <f t="shared" si="7"/>
        <v/>
      </c>
      <c r="AR8" s="48" t="str">
        <f t="shared" si="8"/>
        <v/>
      </c>
      <c r="AS8" s="11">
        <f t="shared" si="9"/>
        <v>0</v>
      </c>
      <c r="AT8" s="11">
        <f t="shared" si="10"/>
        <v>0</v>
      </c>
    </row>
    <row r="9" spans="1:46" ht="71.25">
      <c r="A9" s="7" t="s">
        <v>5238</v>
      </c>
      <c r="B9" s="7" t="s">
        <v>1535</v>
      </c>
      <c r="C9" s="7" t="s">
        <v>5239</v>
      </c>
      <c r="D9" s="7" t="s">
        <v>5196</v>
      </c>
      <c r="E9" s="7" t="s">
        <v>5197</v>
      </c>
      <c r="F9" s="7" t="s">
        <v>5240</v>
      </c>
      <c r="G9" s="7">
        <v>5</v>
      </c>
      <c r="H9" s="153"/>
      <c r="I9" s="8" t="str">
        <f t="shared" si="0"/>
        <v/>
      </c>
      <c r="J9" s="8" t="str">
        <f t="shared" si="1"/>
        <v/>
      </c>
      <c r="K9" s="8" t="str">
        <f t="shared" si="2"/>
        <v/>
      </c>
      <c r="L9" s="7" t="str">
        <f t="shared" si="3"/>
        <v/>
      </c>
      <c r="M9" s="7" t="s">
        <v>5241</v>
      </c>
      <c r="N9" s="7" t="s">
        <v>5242</v>
      </c>
      <c r="O9" s="7" t="s">
        <v>5243</v>
      </c>
      <c r="P9" s="7" t="s">
        <v>5244</v>
      </c>
      <c r="Q9" s="7" t="s">
        <v>5245</v>
      </c>
      <c r="R9" s="7" t="s">
        <v>5246</v>
      </c>
      <c r="S9" s="7" t="s">
        <v>5205</v>
      </c>
      <c r="T9" s="7" t="s">
        <v>5206</v>
      </c>
      <c r="U9" s="7"/>
      <c r="V9" s="7" t="s">
        <v>5247</v>
      </c>
      <c r="W9" s="14">
        <v>5</v>
      </c>
      <c r="X9" s="14">
        <v>5</v>
      </c>
      <c r="Y9" s="14">
        <v>5</v>
      </c>
      <c r="AA9" t="s">
        <v>1573</v>
      </c>
      <c r="AB9" s="13">
        <f>COUNTIF($B$5:$B$31,$AA9)</f>
        <v>5</v>
      </c>
      <c r="AC9" s="15">
        <f>IFERROR(SUMPRODUCT(($B$5:$B$31=$AA9)*($H$5:$H$31&lt;&gt;"")*($H$5:$H$31&lt;&gt;"N/A")*IFERROR(VALUE($H$5:$H$31),0))/SUMPRODUCT(($B$5:$B$31=$AA9)*($H$5:$H$31&lt;&gt;"")*($H$5:$H$31&lt;&gt;"N/A")),0)</f>
        <v>0</v>
      </c>
      <c r="AD9" s="16">
        <f>AC9/5</f>
        <v>0</v>
      </c>
      <c r="AE9" s="13">
        <f>COUNTIFS($B$5:$B$31,$AA9,$L$5:$L$31,"Critical")+COUNTIFS($B$5:$B$31,$AA9,$L$5:$L$31,"High")</f>
        <v>0</v>
      </c>
      <c r="AF9" s="15">
        <f>5-AC9</f>
        <v>5</v>
      </c>
      <c r="AG9" s="13">
        <f>COUNTIFS($B$5:$B$31,$AA9,$H$5:$H$31,"&lt;&gt;")</f>
        <v>0</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Profile'!$B$9,_TECH_Industry_Templates!$B:$B,"Data BI AI"),"")</f>
        <v>3.5</v>
      </c>
      <c r="AO9" s="48" t="str">
        <f t="shared" si="6"/>
        <v/>
      </c>
      <c r="AP9" s="48">
        <f>IFERROR(SUMIFS(_TECH_Industry_Templates!$E:$E,_TECH_Industry_Templates!$A:$A,'Company Profile'!$B$9,_TECH_Industry_Templates!$B:$B,"Data BI AI"),1)</f>
        <v>1</v>
      </c>
      <c r="AQ9" s="48" t="str">
        <f t="shared" si="7"/>
        <v/>
      </c>
      <c r="AR9" s="48" t="str">
        <f t="shared" si="8"/>
        <v/>
      </c>
      <c r="AS9" s="11">
        <f t="shared" si="9"/>
        <v>0</v>
      </c>
      <c r="AT9" s="11">
        <f t="shared" si="10"/>
        <v>0</v>
      </c>
    </row>
    <row r="10" spans="1:46" ht="71.25">
      <c r="A10" s="7" t="s">
        <v>5248</v>
      </c>
      <c r="B10" s="7" t="s">
        <v>1535</v>
      </c>
      <c r="C10" s="7" t="s">
        <v>5249</v>
      </c>
      <c r="D10" s="7" t="s">
        <v>5196</v>
      </c>
      <c r="E10" s="7" t="s">
        <v>5197</v>
      </c>
      <c r="F10" s="7" t="s">
        <v>5250</v>
      </c>
      <c r="G10" s="7">
        <v>4</v>
      </c>
      <c r="H10" s="153"/>
      <c r="I10" s="8" t="str">
        <f t="shared" si="0"/>
        <v/>
      </c>
      <c r="J10" s="8" t="str">
        <f t="shared" si="1"/>
        <v/>
      </c>
      <c r="K10" s="8" t="str">
        <f t="shared" si="2"/>
        <v/>
      </c>
      <c r="L10" s="7" t="str">
        <f t="shared" si="3"/>
        <v/>
      </c>
      <c r="M10" s="7" t="s">
        <v>5251</v>
      </c>
      <c r="N10" s="7" t="s">
        <v>5252</v>
      </c>
      <c r="O10" s="7" t="s">
        <v>5253</v>
      </c>
      <c r="P10" s="7" t="s">
        <v>5254</v>
      </c>
      <c r="Q10" s="7" t="s">
        <v>5255</v>
      </c>
      <c r="R10" s="7" t="s">
        <v>5256</v>
      </c>
      <c r="S10" s="7" t="s">
        <v>5205</v>
      </c>
      <c r="T10" s="7" t="s">
        <v>5206</v>
      </c>
      <c r="U10" s="7"/>
      <c r="V10" s="7" t="s">
        <v>5257</v>
      </c>
      <c r="W10" s="14">
        <v>5</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Profile'!$B$9,_TECH_Industry_Templates!$B:$B,"Data BI AI"),"")</f>
        <v>3.5</v>
      </c>
      <c r="AO10" s="48" t="str">
        <f t="shared" si="6"/>
        <v/>
      </c>
      <c r="AP10" s="48">
        <f>IFERROR(SUMIFS(_TECH_Industry_Templates!$E:$E,_TECH_Industry_Templates!$A:$A,'Company Profile'!$B$9,_TECH_Industry_Templates!$B:$B,"Data BI AI"),1)</f>
        <v>1</v>
      </c>
      <c r="AQ10" s="48" t="str">
        <f t="shared" si="7"/>
        <v/>
      </c>
      <c r="AR10" s="48" t="str">
        <f t="shared" si="8"/>
        <v/>
      </c>
      <c r="AS10" s="11">
        <f t="shared" si="9"/>
        <v>0</v>
      </c>
      <c r="AT10" s="11">
        <f t="shared" si="10"/>
        <v>0</v>
      </c>
    </row>
    <row r="11" spans="1:46" ht="71.25">
      <c r="A11" s="7" t="s">
        <v>5258</v>
      </c>
      <c r="B11" s="7" t="s">
        <v>1549</v>
      </c>
      <c r="C11" s="7" t="s">
        <v>5259</v>
      </c>
      <c r="D11" s="7" t="s">
        <v>5196</v>
      </c>
      <c r="E11" s="7" t="s">
        <v>5197</v>
      </c>
      <c r="F11" s="7" t="s">
        <v>5260</v>
      </c>
      <c r="G11" s="7">
        <v>4</v>
      </c>
      <c r="H11" s="153"/>
      <c r="I11" s="8" t="str">
        <f t="shared" si="0"/>
        <v/>
      </c>
      <c r="J11" s="8" t="str">
        <f t="shared" si="1"/>
        <v/>
      </c>
      <c r="K11" s="8" t="str">
        <f t="shared" si="2"/>
        <v/>
      </c>
      <c r="L11" s="7" t="str">
        <f t="shared" si="3"/>
        <v/>
      </c>
      <c r="M11" s="7" t="s">
        <v>5261</v>
      </c>
      <c r="N11" s="7" t="s">
        <v>5262</v>
      </c>
      <c r="O11" s="7" t="s">
        <v>5263</v>
      </c>
      <c r="P11" s="7" t="s">
        <v>5264</v>
      </c>
      <c r="Q11" s="7" t="s">
        <v>5265</v>
      </c>
      <c r="R11" s="7" t="s">
        <v>5266</v>
      </c>
      <c r="S11" s="7" t="s">
        <v>5205</v>
      </c>
      <c r="T11" s="7" t="s">
        <v>5206</v>
      </c>
      <c r="U11" s="7"/>
      <c r="V11" s="7" t="s">
        <v>5267</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Profile'!$B$9,_TECH_Industry_Templates!$B:$B,"Data BI AI"),"")</f>
        <v>3.5</v>
      </c>
      <c r="AO11" s="48" t="str">
        <f t="shared" si="6"/>
        <v/>
      </c>
      <c r="AP11" s="48">
        <f>IFERROR(SUMIFS(_TECH_Industry_Templates!$E:$E,_TECH_Industry_Templates!$A:$A,'Company Profile'!$B$9,_TECH_Industry_Templates!$B:$B,"Data BI AI"),1)</f>
        <v>1</v>
      </c>
      <c r="AQ11" s="48" t="str">
        <f t="shared" si="7"/>
        <v/>
      </c>
      <c r="AR11" s="48" t="str">
        <f t="shared" si="8"/>
        <v/>
      </c>
      <c r="AS11" s="11">
        <f t="shared" si="9"/>
        <v>0</v>
      </c>
      <c r="AT11" s="11">
        <f t="shared" si="10"/>
        <v>0</v>
      </c>
    </row>
    <row r="12" spans="1:46" ht="71.25">
      <c r="A12" s="7" t="s">
        <v>5268</v>
      </c>
      <c r="B12" s="7" t="s">
        <v>1549</v>
      </c>
      <c r="C12" s="7" t="s">
        <v>5269</v>
      </c>
      <c r="D12" s="7" t="s">
        <v>5196</v>
      </c>
      <c r="E12" s="7" t="s">
        <v>5197</v>
      </c>
      <c r="F12" s="7" t="s">
        <v>5270</v>
      </c>
      <c r="G12" s="7">
        <v>3</v>
      </c>
      <c r="H12" s="153"/>
      <c r="I12" s="8" t="str">
        <f t="shared" si="0"/>
        <v/>
      </c>
      <c r="J12" s="8" t="str">
        <f t="shared" si="1"/>
        <v/>
      </c>
      <c r="K12" s="8" t="str">
        <f t="shared" si="2"/>
        <v/>
      </c>
      <c r="L12" s="7" t="str">
        <f t="shared" si="3"/>
        <v/>
      </c>
      <c r="M12" s="7" t="s">
        <v>5271</v>
      </c>
      <c r="N12" s="7" t="s">
        <v>5272</v>
      </c>
      <c r="O12" s="7" t="s">
        <v>5273</v>
      </c>
      <c r="P12" s="7" t="s">
        <v>5274</v>
      </c>
      <c r="Q12" s="7" t="s">
        <v>5275</v>
      </c>
      <c r="R12" s="7" t="s">
        <v>5276</v>
      </c>
      <c r="S12" s="7" t="s">
        <v>5205</v>
      </c>
      <c r="T12" s="7" t="s">
        <v>5206</v>
      </c>
      <c r="U12" s="7"/>
      <c r="V12" s="7" t="s">
        <v>5277</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Profile'!$B$9,_TECH_Industry_Templates!$B:$B,"Data BI AI"),"")</f>
        <v>3.5</v>
      </c>
      <c r="AO12" s="48" t="str">
        <f t="shared" si="6"/>
        <v/>
      </c>
      <c r="AP12" s="48">
        <f>IFERROR(SUMIFS(_TECH_Industry_Templates!$E:$E,_TECH_Industry_Templates!$A:$A,'Company Profile'!$B$9,_TECH_Industry_Templates!$B:$B,"Data BI AI"),1)</f>
        <v>1</v>
      </c>
      <c r="AQ12" s="48" t="str">
        <f t="shared" si="7"/>
        <v/>
      </c>
      <c r="AR12" s="48" t="str">
        <f t="shared" si="8"/>
        <v/>
      </c>
      <c r="AS12" s="11">
        <f t="shared" si="9"/>
        <v>0</v>
      </c>
      <c r="AT12" s="11">
        <f t="shared" si="10"/>
        <v>0</v>
      </c>
    </row>
    <row r="13" spans="1:46" ht="57">
      <c r="A13" s="7" t="s">
        <v>5278</v>
      </c>
      <c r="B13" s="7" t="s">
        <v>1549</v>
      </c>
      <c r="C13" s="7" t="s">
        <v>5279</v>
      </c>
      <c r="D13" s="7" t="s">
        <v>5196</v>
      </c>
      <c r="E13" s="7" t="s">
        <v>5197</v>
      </c>
      <c r="F13" s="7" t="s">
        <v>5280</v>
      </c>
      <c r="G13" s="7">
        <v>5</v>
      </c>
      <c r="H13" s="153"/>
      <c r="I13" s="8" t="str">
        <f t="shared" si="0"/>
        <v/>
      </c>
      <c r="J13" s="8" t="str">
        <f t="shared" si="1"/>
        <v/>
      </c>
      <c r="K13" s="8" t="str">
        <f t="shared" si="2"/>
        <v/>
      </c>
      <c r="L13" s="7" t="str">
        <f t="shared" si="3"/>
        <v/>
      </c>
      <c r="M13" s="7" t="s">
        <v>5281</v>
      </c>
      <c r="N13" s="7" t="s">
        <v>5282</v>
      </c>
      <c r="O13" s="7" t="s">
        <v>5283</v>
      </c>
      <c r="P13" s="7" t="s">
        <v>5284</v>
      </c>
      <c r="Q13" s="7" t="s">
        <v>5285</v>
      </c>
      <c r="R13" s="7" t="s">
        <v>5286</v>
      </c>
      <c r="S13" s="7" t="s">
        <v>5205</v>
      </c>
      <c r="T13" s="7" t="s">
        <v>5206</v>
      </c>
      <c r="U13" s="7"/>
      <c r="V13" s="7" t="s">
        <v>5287</v>
      </c>
      <c r="W13" s="14">
        <v>5</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Profile'!$B$9,_TECH_Industry_Templates!$B:$B,"Data BI AI"),"")</f>
        <v>3.5</v>
      </c>
      <c r="AO13" s="48" t="str">
        <f t="shared" si="6"/>
        <v/>
      </c>
      <c r="AP13" s="48">
        <f>IFERROR(SUMIFS(_TECH_Industry_Templates!$E:$E,_TECH_Industry_Templates!$A:$A,'Company Profile'!$B$9,_TECH_Industry_Templates!$B:$B,"Data BI AI"),1)</f>
        <v>1</v>
      </c>
      <c r="AQ13" s="48" t="str">
        <f t="shared" si="7"/>
        <v/>
      </c>
      <c r="AR13" s="48" t="str">
        <f t="shared" si="8"/>
        <v/>
      </c>
      <c r="AS13" s="11">
        <f t="shared" si="9"/>
        <v>0</v>
      </c>
      <c r="AT13" s="11">
        <f t="shared" si="10"/>
        <v>0</v>
      </c>
    </row>
    <row r="14" spans="1:46" ht="71.25">
      <c r="A14" s="7" t="s">
        <v>5288</v>
      </c>
      <c r="B14" s="7" t="s">
        <v>1549</v>
      </c>
      <c r="C14" s="7" t="s">
        <v>5289</v>
      </c>
      <c r="D14" s="7" t="s">
        <v>5196</v>
      </c>
      <c r="E14" s="7" t="s">
        <v>5197</v>
      </c>
      <c r="F14" s="7" t="s">
        <v>5290</v>
      </c>
      <c r="G14" s="7">
        <v>5</v>
      </c>
      <c r="H14" s="153"/>
      <c r="I14" s="8" t="str">
        <f t="shared" si="0"/>
        <v/>
      </c>
      <c r="J14" s="8" t="str">
        <f t="shared" si="1"/>
        <v/>
      </c>
      <c r="K14" s="8" t="str">
        <f t="shared" si="2"/>
        <v/>
      </c>
      <c r="L14" s="7" t="str">
        <f t="shared" si="3"/>
        <v/>
      </c>
      <c r="M14" s="7" t="s">
        <v>5291</v>
      </c>
      <c r="N14" s="7" t="s">
        <v>5292</v>
      </c>
      <c r="O14" s="7" t="s">
        <v>5293</v>
      </c>
      <c r="P14" s="7" t="s">
        <v>5294</v>
      </c>
      <c r="Q14" s="7" t="s">
        <v>5295</v>
      </c>
      <c r="R14" s="7" t="s">
        <v>5296</v>
      </c>
      <c r="S14" s="7" t="s">
        <v>5205</v>
      </c>
      <c r="T14" s="7" t="s">
        <v>5206</v>
      </c>
      <c r="U14" s="7"/>
      <c r="V14" s="7" t="s">
        <v>5297</v>
      </c>
      <c r="W14" s="14">
        <v>5</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Profile'!$B$9,_TECH_Industry_Templates!$B:$B,"Data BI AI"),"")</f>
        <v>3.5</v>
      </c>
      <c r="AO14" s="48" t="str">
        <f t="shared" si="6"/>
        <v/>
      </c>
      <c r="AP14" s="48">
        <f>IFERROR(SUMIFS(_TECH_Industry_Templates!$E:$E,_TECH_Industry_Templates!$A:$A,'Company Profile'!$B$9,_TECH_Industry_Templates!$B:$B,"Data BI AI"),1)</f>
        <v>1</v>
      </c>
      <c r="AQ14" s="48" t="str">
        <f t="shared" si="7"/>
        <v/>
      </c>
      <c r="AR14" s="48" t="str">
        <f t="shared" si="8"/>
        <v/>
      </c>
      <c r="AS14" s="11">
        <f t="shared" si="9"/>
        <v>0</v>
      </c>
      <c r="AT14" s="11">
        <f t="shared" si="10"/>
        <v>0</v>
      </c>
    </row>
    <row r="15" spans="1:46" ht="57">
      <c r="A15" s="7" t="s">
        <v>5298</v>
      </c>
      <c r="B15" s="7" t="s">
        <v>1549</v>
      </c>
      <c r="C15" s="7" t="s">
        <v>5299</v>
      </c>
      <c r="D15" s="7" t="s">
        <v>5196</v>
      </c>
      <c r="E15" s="7" t="s">
        <v>5197</v>
      </c>
      <c r="F15" s="7" t="s">
        <v>5300</v>
      </c>
      <c r="G15" s="7">
        <v>4</v>
      </c>
      <c r="H15" s="153"/>
      <c r="I15" s="8" t="str">
        <f t="shared" si="0"/>
        <v/>
      </c>
      <c r="J15" s="8" t="str">
        <f t="shared" si="1"/>
        <v/>
      </c>
      <c r="K15" s="8" t="str">
        <f t="shared" si="2"/>
        <v/>
      </c>
      <c r="L15" s="7" t="str">
        <f t="shared" si="3"/>
        <v/>
      </c>
      <c r="M15" s="7" t="s">
        <v>5301</v>
      </c>
      <c r="N15" s="7" t="s">
        <v>5302</v>
      </c>
      <c r="O15" s="7" t="s">
        <v>5303</v>
      </c>
      <c r="P15" s="7" t="s">
        <v>5304</v>
      </c>
      <c r="Q15" s="7" t="s">
        <v>5305</v>
      </c>
      <c r="R15" s="7" t="s">
        <v>5306</v>
      </c>
      <c r="S15" s="7" t="s">
        <v>5205</v>
      </c>
      <c r="T15" s="7" t="s">
        <v>5206</v>
      </c>
      <c r="U15" s="7"/>
      <c r="V15" s="7" t="s">
        <v>5307</v>
      </c>
      <c r="W15" s="14">
        <v>5</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Profile'!$B$9,_TECH_Industry_Templates!$B:$B,"Data BI AI"),"")</f>
        <v>3.5</v>
      </c>
      <c r="AO15" s="48" t="str">
        <f t="shared" si="6"/>
        <v/>
      </c>
      <c r="AP15" s="48">
        <f>IFERROR(SUMIFS(_TECH_Industry_Templates!$E:$E,_TECH_Industry_Templates!$A:$A,'Company Profile'!$B$9,_TECH_Industry_Templates!$B:$B,"Data BI AI"),1)</f>
        <v>1</v>
      </c>
      <c r="AQ15" s="48" t="str">
        <f t="shared" si="7"/>
        <v/>
      </c>
      <c r="AR15" s="48" t="str">
        <f t="shared" si="8"/>
        <v/>
      </c>
      <c r="AS15" s="11">
        <f t="shared" si="9"/>
        <v>0</v>
      </c>
      <c r="AT15" s="11">
        <f t="shared" si="10"/>
        <v>0</v>
      </c>
    </row>
    <row r="16" spans="1:46" ht="57">
      <c r="A16" s="7" t="s">
        <v>5308</v>
      </c>
      <c r="B16" s="7" t="s">
        <v>1549</v>
      </c>
      <c r="C16" s="7" t="s">
        <v>5309</v>
      </c>
      <c r="D16" s="7" t="s">
        <v>5196</v>
      </c>
      <c r="E16" s="7" t="s">
        <v>5197</v>
      </c>
      <c r="F16" s="7" t="s">
        <v>5310</v>
      </c>
      <c r="G16" s="7">
        <v>5</v>
      </c>
      <c r="H16" s="153"/>
      <c r="I16" s="8" t="str">
        <f t="shared" si="0"/>
        <v/>
      </c>
      <c r="J16" s="8" t="str">
        <f t="shared" si="1"/>
        <v/>
      </c>
      <c r="K16" s="8" t="str">
        <f t="shared" si="2"/>
        <v/>
      </c>
      <c r="L16" s="7" t="str">
        <f t="shared" si="3"/>
        <v/>
      </c>
      <c r="M16" s="7" t="s">
        <v>5311</v>
      </c>
      <c r="N16" s="7" t="s">
        <v>5312</v>
      </c>
      <c r="O16" s="7" t="s">
        <v>5313</v>
      </c>
      <c r="P16" s="7" t="s">
        <v>5314</v>
      </c>
      <c r="Q16" s="7" t="s">
        <v>5315</v>
      </c>
      <c r="R16" s="7" t="s">
        <v>5316</v>
      </c>
      <c r="S16" s="7" t="s">
        <v>5205</v>
      </c>
      <c r="T16" s="7" t="s">
        <v>5206</v>
      </c>
      <c r="U16" s="7"/>
      <c r="V16" s="7" t="s">
        <v>5317</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Profile'!$B$9,_TECH_Industry_Templates!$B:$B,"Data BI AI"),"")</f>
        <v>3.5</v>
      </c>
      <c r="AO16" s="48" t="str">
        <f t="shared" si="6"/>
        <v/>
      </c>
      <c r="AP16" s="48">
        <f>IFERROR(SUMIFS(_TECH_Industry_Templates!$E:$E,_TECH_Industry_Templates!$A:$A,'Company Profile'!$B$9,_TECH_Industry_Templates!$B:$B,"Data BI AI"),1)</f>
        <v>1</v>
      </c>
      <c r="AQ16" s="48" t="str">
        <f t="shared" si="7"/>
        <v/>
      </c>
      <c r="AR16" s="48" t="str">
        <f t="shared" si="8"/>
        <v/>
      </c>
      <c r="AS16" s="11">
        <f t="shared" si="9"/>
        <v>0</v>
      </c>
      <c r="AT16" s="11">
        <f t="shared" si="10"/>
        <v>0</v>
      </c>
    </row>
    <row r="17" spans="1:46" ht="71.25">
      <c r="A17" s="7" t="s">
        <v>5318</v>
      </c>
      <c r="B17" s="7" t="s">
        <v>1557</v>
      </c>
      <c r="C17" s="7" t="s">
        <v>5319</v>
      </c>
      <c r="D17" s="7" t="s">
        <v>5196</v>
      </c>
      <c r="E17" s="7" t="s">
        <v>5197</v>
      </c>
      <c r="F17" s="7" t="s">
        <v>5320</v>
      </c>
      <c r="G17" s="7">
        <v>5</v>
      </c>
      <c r="H17" s="153"/>
      <c r="I17" s="8" t="str">
        <f t="shared" si="0"/>
        <v/>
      </c>
      <c r="J17" s="8" t="str">
        <f t="shared" si="1"/>
        <v/>
      </c>
      <c r="K17" s="8" t="str">
        <f t="shared" si="2"/>
        <v/>
      </c>
      <c r="L17" s="7" t="str">
        <f t="shared" si="3"/>
        <v/>
      </c>
      <c r="M17" s="7" t="s">
        <v>5321</v>
      </c>
      <c r="N17" s="7" t="s">
        <v>5322</v>
      </c>
      <c r="O17" s="7" t="s">
        <v>5323</v>
      </c>
      <c r="P17" s="7" t="s">
        <v>5324</v>
      </c>
      <c r="Q17" s="7" t="s">
        <v>5325</v>
      </c>
      <c r="R17" s="7" t="s">
        <v>5326</v>
      </c>
      <c r="S17" s="7" t="s">
        <v>5205</v>
      </c>
      <c r="T17" s="7" t="s">
        <v>5206</v>
      </c>
      <c r="U17" s="7"/>
      <c r="V17" s="7" t="s">
        <v>5327</v>
      </c>
      <c r="W17" s="14">
        <v>5</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Profile'!$B$9,_TECH_Industry_Templates!$B:$B,"Data BI AI"),"")</f>
        <v>3.5</v>
      </c>
      <c r="AO17" s="48" t="str">
        <f t="shared" si="6"/>
        <v/>
      </c>
      <c r="AP17" s="48">
        <f>IFERROR(SUMIFS(_TECH_Industry_Templates!$E:$E,_TECH_Industry_Templates!$A:$A,'Company Profile'!$B$9,_TECH_Industry_Templates!$B:$B,"Data BI AI"),1)</f>
        <v>1</v>
      </c>
      <c r="AQ17" s="48" t="str">
        <f t="shared" si="7"/>
        <v/>
      </c>
      <c r="AR17" s="48" t="str">
        <f t="shared" si="8"/>
        <v/>
      </c>
      <c r="AS17" s="11">
        <f t="shared" si="9"/>
        <v>0</v>
      </c>
      <c r="AT17" s="11">
        <f t="shared" si="10"/>
        <v>0</v>
      </c>
    </row>
    <row r="18" spans="1:46" ht="57">
      <c r="A18" s="7" t="s">
        <v>5328</v>
      </c>
      <c r="B18" s="7" t="s">
        <v>1557</v>
      </c>
      <c r="C18" s="7" t="s">
        <v>5329</v>
      </c>
      <c r="D18" s="7" t="s">
        <v>5196</v>
      </c>
      <c r="E18" s="7" t="s">
        <v>5197</v>
      </c>
      <c r="F18" s="7" t="s">
        <v>5330</v>
      </c>
      <c r="G18" s="7">
        <v>5</v>
      </c>
      <c r="H18" s="153"/>
      <c r="I18" s="8" t="str">
        <f t="shared" si="0"/>
        <v/>
      </c>
      <c r="J18" s="8" t="str">
        <f t="shared" si="1"/>
        <v/>
      </c>
      <c r="K18" s="8" t="str">
        <f t="shared" si="2"/>
        <v/>
      </c>
      <c r="L18" s="7" t="str">
        <f t="shared" si="3"/>
        <v/>
      </c>
      <c r="M18" s="7" t="s">
        <v>5331</v>
      </c>
      <c r="N18" s="7" t="s">
        <v>5332</v>
      </c>
      <c r="O18" s="7" t="s">
        <v>5333</v>
      </c>
      <c r="P18" s="7" t="s">
        <v>5334</v>
      </c>
      <c r="Q18" s="7" t="s">
        <v>5335</v>
      </c>
      <c r="R18" s="7" t="s">
        <v>5336</v>
      </c>
      <c r="S18" s="7" t="s">
        <v>5205</v>
      </c>
      <c r="T18" s="7" t="s">
        <v>5206</v>
      </c>
      <c r="U18" s="7"/>
      <c r="V18" s="7" t="s">
        <v>5337</v>
      </c>
      <c r="W18" s="14">
        <v>5</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Profile'!$B$9,_TECH_Industry_Templates!$B:$B,"Data BI AI"),"")</f>
        <v>3.5</v>
      </c>
      <c r="AO18" s="48" t="str">
        <f t="shared" si="6"/>
        <v/>
      </c>
      <c r="AP18" s="48">
        <f>IFERROR(SUMIFS(_TECH_Industry_Templates!$E:$E,_TECH_Industry_Templates!$A:$A,'Company Profile'!$B$9,_TECH_Industry_Templates!$B:$B,"Data BI AI"),1)</f>
        <v>1</v>
      </c>
      <c r="AQ18" s="48" t="str">
        <f t="shared" si="7"/>
        <v/>
      </c>
      <c r="AR18" s="48" t="str">
        <f t="shared" si="8"/>
        <v/>
      </c>
      <c r="AS18" s="11">
        <f t="shared" si="9"/>
        <v>0</v>
      </c>
      <c r="AT18" s="11">
        <f t="shared" si="10"/>
        <v>0</v>
      </c>
    </row>
    <row r="19" spans="1:46" ht="71.25">
      <c r="A19" s="7" t="s">
        <v>5338</v>
      </c>
      <c r="B19" s="7" t="s">
        <v>1557</v>
      </c>
      <c r="C19" s="7" t="s">
        <v>5339</v>
      </c>
      <c r="D19" s="7" t="s">
        <v>5196</v>
      </c>
      <c r="E19" s="7" t="s">
        <v>5197</v>
      </c>
      <c r="F19" s="7" t="s">
        <v>5340</v>
      </c>
      <c r="G19" s="7">
        <v>5</v>
      </c>
      <c r="H19" s="153"/>
      <c r="I19" s="8" t="str">
        <f t="shared" si="0"/>
        <v/>
      </c>
      <c r="J19" s="8" t="str">
        <f t="shared" si="1"/>
        <v/>
      </c>
      <c r="K19" s="8" t="str">
        <f t="shared" si="2"/>
        <v/>
      </c>
      <c r="L19" s="7" t="str">
        <f t="shared" si="3"/>
        <v/>
      </c>
      <c r="M19" s="7" t="s">
        <v>5341</v>
      </c>
      <c r="N19" s="7" t="s">
        <v>5342</v>
      </c>
      <c r="O19" s="7" t="s">
        <v>5343</v>
      </c>
      <c r="P19" s="7" t="s">
        <v>5344</v>
      </c>
      <c r="Q19" s="7" t="s">
        <v>5345</v>
      </c>
      <c r="R19" s="7" t="s">
        <v>5346</v>
      </c>
      <c r="S19" s="7" t="s">
        <v>5205</v>
      </c>
      <c r="T19" s="7" t="s">
        <v>5206</v>
      </c>
      <c r="U19" s="7"/>
      <c r="V19" s="7" t="s">
        <v>5347</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Profile'!$B$9,_TECH_Industry_Templates!$B:$B,"Data BI AI"),"")</f>
        <v>3.5</v>
      </c>
      <c r="AO19" s="48" t="str">
        <f t="shared" si="6"/>
        <v/>
      </c>
      <c r="AP19" s="48">
        <f>IFERROR(SUMIFS(_TECH_Industry_Templates!$E:$E,_TECH_Industry_Templates!$A:$A,'Company Profile'!$B$9,_TECH_Industry_Templates!$B:$B,"Data BI AI"),1)</f>
        <v>1</v>
      </c>
      <c r="AQ19" s="48" t="str">
        <f t="shared" si="7"/>
        <v/>
      </c>
      <c r="AR19" s="48" t="str">
        <f t="shared" si="8"/>
        <v/>
      </c>
      <c r="AS19" s="11">
        <f t="shared" si="9"/>
        <v>0</v>
      </c>
      <c r="AT19" s="11">
        <f t="shared" si="10"/>
        <v>0</v>
      </c>
    </row>
    <row r="20" spans="1:46" ht="57">
      <c r="A20" s="7" t="s">
        <v>5348</v>
      </c>
      <c r="B20" s="7" t="s">
        <v>1557</v>
      </c>
      <c r="C20" s="7" t="s">
        <v>5349</v>
      </c>
      <c r="D20" s="7" t="s">
        <v>5196</v>
      </c>
      <c r="E20" s="7" t="s">
        <v>5197</v>
      </c>
      <c r="F20" s="7" t="s">
        <v>5350</v>
      </c>
      <c r="G20" s="7">
        <v>4</v>
      </c>
      <c r="H20" s="153"/>
      <c r="I20" s="8" t="str">
        <f t="shared" si="0"/>
        <v/>
      </c>
      <c r="J20" s="8" t="str">
        <f t="shared" si="1"/>
        <v/>
      </c>
      <c r="K20" s="8" t="str">
        <f t="shared" si="2"/>
        <v/>
      </c>
      <c r="L20" s="7" t="str">
        <f t="shared" si="3"/>
        <v/>
      </c>
      <c r="M20" s="7" t="s">
        <v>5351</v>
      </c>
      <c r="N20" s="7" t="s">
        <v>5352</v>
      </c>
      <c r="O20" s="7" t="s">
        <v>5353</v>
      </c>
      <c r="P20" s="7" t="s">
        <v>5354</v>
      </c>
      <c r="Q20" s="7" t="s">
        <v>5355</v>
      </c>
      <c r="R20" s="7" t="s">
        <v>5356</v>
      </c>
      <c r="S20" s="7" t="s">
        <v>5205</v>
      </c>
      <c r="T20" s="7" t="s">
        <v>5206</v>
      </c>
      <c r="U20" s="7"/>
      <c r="V20" s="7" t="s">
        <v>5357</v>
      </c>
      <c r="W20" s="14">
        <v>5</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Profile'!$B$9,_TECH_Industry_Templates!$B:$B,"Data BI AI"),"")</f>
        <v>3.5</v>
      </c>
      <c r="AO20" s="48" t="str">
        <f t="shared" si="6"/>
        <v/>
      </c>
      <c r="AP20" s="48">
        <f>IFERROR(SUMIFS(_TECH_Industry_Templates!$E:$E,_TECH_Industry_Templates!$A:$A,'Company Profile'!$B$9,_TECH_Industry_Templates!$B:$B,"Data BI AI"),1)</f>
        <v>1</v>
      </c>
      <c r="AQ20" s="48" t="str">
        <f t="shared" si="7"/>
        <v/>
      </c>
      <c r="AR20" s="48" t="str">
        <f t="shared" si="8"/>
        <v/>
      </c>
      <c r="AS20" s="11">
        <f t="shared" si="9"/>
        <v>0</v>
      </c>
      <c r="AT20" s="11">
        <f t="shared" si="10"/>
        <v>0</v>
      </c>
    </row>
    <row r="21" spans="1:46" ht="57">
      <c r="A21" s="7" t="s">
        <v>5358</v>
      </c>
      <c r="B21" s="7" t="s">
        <v>1557</v>
      </c>
      <c r="C21" s="7" t="s">
        <v>5359</v>
      </c>
      <c r="D21" s="7" t="s">
        <v>5196</v>
      </c>
      <c r="E21" s="7" t="s">
        <v>5197</v>
      </c>
      <c r="F21" s="7" t="s">
        <v>5360</v>
      </c>
      <c r="G21" s="7">
        <v>5</v>
      </c>
      <c r="H21" s="153"/>
      <c r="I21" s="8" t="str">
        <f t="shared" si="0"/>
        <v/>
      </c>
      <c r="J21" s="8" t="str">
        <f t="shared" si="1"/>
        <v/>
      </c>
      <c r="K21" s="8" t="str">
        <f t="shared" si="2"/>
        <v/>
      </c>
      <c r="L21" s="7" t="str">
        <f t="shared" si="3"/>
        <v/>
      </c>
      <c r="M21" s="7" t="s">
        <v>5361</v>
      </c>
      <c r="N21" s="7" t="s">
        <v>5362</v>
      </c>
      <c r="O21" s="7" t="s">
        <v>5363</v>
      </c>
      <c r="P21" s="7" t="s">
        <v>5364</v>
      </c>
      <c r="Q21" s="7" t="s">
        <v>5365</v>
      </c>
      <c r="R21" s="7" t="s">
        <v>5366</v>
      </c>
      <c r="S21" s="7" t="s">
        <v>5205</v>
      </c>
      <c r="T21" s="7" t="s">
        <v>5206</v>
      </c>
      <c r="U21" s="7"/>
      <c r="V21" s="7" t="s">
        <v>5367</v>
      </c>
      <c r="W21" s="14">
        <v>5</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Profile'!$B$9,_TECH_Industry_Templates!$B:$B,"Data BI AI"),"")</f>
        <v>3.5</v>
      </c>
      <c r="AO21" s="48" t="str">
        <f t="shared" si="6"/>
        <v/>
      </c>
      <c r="AP21" s="48">
        <f>IFERROR(SUMIFS(_TECH_Industry_Templates!$E:$E,_TECH_Industry_Templates!$A:$A,'Company Profile'!$B$9,_TECH_Industry_Templates!$B:$B,"Data BI AI"),1)</f>
        <v>1</v>
      </c>
      <c r="AQ21" s="48" t="str">
        <f t="shared" si="7"/>
        <v/>
      </c>
      <c r="AR21" s="48" t="str">
        <f t="shared" si="8"/>
        <v/>
      </c>
      <c r="AS21" s="11">
        <f t="shared" si="9"/>
        <v>0</v>
      </c>
      <c r="AT21" s="11">
        <f t="shared" si="10"/>
        <v>0</v>
      </c>
    </row>
    <row r="22" spans="1:46" ht="71.25">
      <c r="A22" s="7" t="s">
        <v>5368</v>
      </c>
      <c r="B22" s="7" t="s">
        <v>1557</v>
      </c>
      <c r="C22" s="7" t="s">
        <v>5369</v>
      </c>
      <c r="D22" s="7" t="s">
        <v>5196</v>
      </c>
      <c r="E22" s="7" t="s">
        <v>5197</v>
      </c>
      <c r="F22" s="7" t="s">
        <v>5370</v>
      </c>
      <c r="G22" s="7">
        <v>5</v>
      </c>
      <c r="H22" s="153"/>
      <c r="I22" s="8" t="str">
        <f t="shared" si="0"/>
        <v/>
      </c>
      <c r="J22" s="8" t="str">
        <f t="shared" si="1"/>
        <v/>
      </c>
      <c r="K22" s="8" t="str">
        <f t="shared" si="2"/>
        <v/>
      </c>
      <c r="L22" s="7" t="str">
        <f t="shared" si="3"/>
        <v/>
      </c>
      <c r="M22" s="7" t="s">
        <v>5371</v>
      </c>
      <c r="N22" s="7" t="s">
        <v>5372</v>
      </c>
      <c r="O22" s="7" t="s">
        <v>5373</v>
      </c>
      <c r="P22" s="7" t="s">
        <v>5374</v>
      </c>
      <c r="Q22" s="7" t="s">
        <v>5375</v>
      </c>
      <c r="R22" s="7" t="s">
        <v>5376</v>
      </c>
      <c r="S22" s="7" t="s">
        <v>5205</v>
      </c>
      <c r="T22" s="7" t="s">
        <v>5206</v>
      </c>
      <c r="U22" s="7"/>
      <c r="V22" s="7" t="s">
        <v>5377</v>
      </c>
      <c r="W22" s="14">
        <v>5</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Profile'!$B$9,_TECH_Industry_Templates!$B:$B,"Data BI AI"),"")</f>
        <v>3.5</v>
      </c>
      <c r="AO22" s="48" t="str">
        <f t="shared" si="6"/>
        <v/>
      </c>
      <c r="AP22" s="48">
        <f>IFERROR(SUMIFS(_TECH_Industry_Templates!$E:$E,_TECH_Industry_Templates!$A:$A,'Company Profile'!$B$9,_TECH_Industry_Templates!$B:$B,"Data BI AI"),1)</f>
        <v>1</v>
      </c>
      <c r="AQ22" s="48" t="str">
        <f t="shared" si="7"/>
        <v/>
      </c>
      <c r="AR22" s="48" t="str">
        <f t="shared" si="8"/>
        <v/>
      </c>
      <c r="AS22" s="11">
        <f t="shared" si="9"/>
        <v>0</v>
      </c>
      <c r="AT22" s="11">
        <f t="shared" si="10"/>
        <v>0</v>
      </c>
    </row>
    <row r="23" spans="1:46" ht="71.25">
      <c r="A23" s="7" t="s">
        <v>5378</v>
      </c>
      <c r="B23" s="7" t="s">
        <v>1565</v>
      </c>
      <c r="C23" s="7" t="s">
        <v>5379</v>
      </c>
      <c r="D23" s="7" t="s">
        <v>5196</v>
      </c>
      <c r="E23" s="7" t="s">
        <v>5197</v>
      </c>
      <c r="F23" s="7" t="s">
        <v>5380</v>
      </c>
      <c r="G23" s="7">
        <v>5</v>
      </c>
      <c r="H23" s="153"/>
      <c r="I23" s="8" t="str">
        <f t="shared" si="0"/>
        <v/>
      </c>
      <c r="J23" s="8" t="str">
        <f t="shared" si="1"/>
        <v/>
      </c>
      <c r="K23" s="8" t="str">
        <f t="shared" si="2"/>
        <v/>
      </c>
      <c r="L23" s="7" t="str">
        <f t="shared" si="3"/>
        <v/>
      </c>
      <c r="M23" s="7" t="s">
        <v>5381</v>
      </c>
      <c r="N23" s="7" t="s">
        <v>5382</v>
      </c>
      <c r="O23" s="7" t="s">
        <v>5383</v>
      </c>
      <c r="P23" s="7" t="s">
        <v>5384</v>
      </c>
      <c r="Q23" s="7" t="s">
        <v>5385</v>
      </c>
      <c r="R23" s="7" t="s">
        <v>5386</v>
      </c>
      <c r="S23" s="7" t="s">
        <v>5205</v>
      </c>
      <c r="T23" s="7" t="s">
        <v>5206</v>
      </c>
      <c r="U23" s="7"/>
      <c r="V23" s="7" t="s">
        <v>5387</v>
      </c>
      <c r="W23" s="14">
        <v>5</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Profile'!$B$9,_TECH_Industry_Templates!$B:$B,"Data BI AI"),"")</f>
        <v>3.5</v>
      </c>
      <c r="AO23" s="48" t="str">
        <f t="shared" si="6"/>
        <v/>
      </c>
      <c r="AP23" s="48">
        <f>IFERROR(SUMIFS(_TECH_Industry_Templates!$E:$E,_TECH_Industry_Templates!$A:$A,'Company Profile'!$B$9,_TECH_Industry_Templates!$B:$B,"Data BI AI"),1)</f>
        <v>1</v>
      </c>
      <c r="AQ23" s="48" t="str">
        <f t="shared" si="7"/>
        <v/>
      </c>
      <c r="AR23" s="48" t="str">
        <f t="shared" si="8"/>
        <v/>
      </c>
      <c r="AS23" s="11">
        <f t="shared" si="9"/>
        <v>0</v>
      </c>
      <c r="AT23" s="11">
        <f t="shared" si="10"/>
        <v>0</v>
      </c>
    </row>
    <row r="24" spans="1:46" ht="71.25">
      <c r="A24" s="7" t="s">
        <v>5388</v>
      </c>
      <c r="B24" s="7" t="s">
        <v>1565</v>
      </c>
      <c r="C24" s="7" t="s">
        <v>5389</v>
      </c>
      <c r="D24" s="7" t="s">
        <v>5196</v>
      </c>
      <c r="E24" s="7" t="s">
        <v>5197</v>
      </c>
      <c r="F24" s="7" t="s">
        <v>5390</v>
      </c>
      <c r="G24" s="7">
        <v>5</v>
      </c>
      <c r="H24" s="153"/>
      <c r="I24" s="8" t="str">
        <f t="shared" si="0"/>
        <v/>
      </c>
      <c r="J24" s="8" t="str">
        <f t="shared" si="1"/>
        <v/>
      </c>
      <c r="K24" s="8" t="str">
        <f t="shared" si="2"/>
        <v/>
      </c>
      <c r="L24" s="7" t="str">
        <f t="shared" si="3"/>
        <v/>
      </c>
      <c r="M24" s="7" t="s">
        <v>5391</v>
      </c>
      <c r="N24" s="7" t="s">
        <v>5392</v>
      </c>
      <c r="O24" s="7" t="s">
        <v>5393</v>
      </c>
      <c r="P24" s="7" t="s">
        <v>5394</v>
      </c>
      <c r="Q24" s="7" t="s">
        <v>5395</v>
      </c>
      <c r="R24" s="7" t="s">
        <v>5396</v>
      </c>
      <c r="S24" s="7" t="s">
        <v>5205</v>
      </c>
      <c r="T24" s="7" t="s">
        <v>5206</v>
      </c>
      <c r="U24" s="7"/>
      <c r="V24" s="7" t="s">
        <v>5397</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Profile'!$B$9,_TECH_Industry_Templates!$B:$B,"Data BI AI"),"")</f>
        <v>3.5</v>
      </c>
      <c r="AO24" s="48" t="str">
        <f t="shared" si="6"/>
        <v/>
      </c>
      <c r="AP24" s="48">
        <f>IFERROR(SUMIFS(_TECH_Industry_Templates!$E:$E,_TECH_Industry_Templates!$A:$A,'Company Profile'!$B$9,_TECH_Industry_Templates!$B:$B,"Data BI AI"),1)</f>
        <v>1</v>
      </c>
      <c r="AQ24" s="48" t="str">
        <f t="shared" si="7"/>
        <v/>
      </c>
      <c r="AR24" s="48" t="str">
        <f t="shared" si="8"/>
        <v/>
      </c>
      <c r="AS24" s="11">
        <f t="shared" si="9"/>
        <v>0</v>
      </c>
      <c r="AT24" s="11">
        <f t="shared" si="10"/>
        <v>0</v>
      </c>
    </row>
    <row r="25" spans="1:46" ht="57">
      <c r="A25" s="7" t="s">
        <v>5398</v>
      </c>
      <c r="B25" s="7" t="s">
        <v>1565</v>
      </c>
      <c r="C25" s="7" t="s">
        <v>5399</v>
      </c>
      <c r="D25" s="7" t="s">
        <v>5196</v>
      </c>
      <c r="E25" s="7" t="s">
        <v>5197</v>
      </c>
      <c r="F25" s="7" t="s">
        <v>5400</v>
      </c>
      <c r="G25" s="7">
        <v>4</v>
      </c>
      <c r="H25" s="153"/>
      <c r="I25" s="8" t="str">
        <f t="shared" si="0"/>
        <v/>
      </c>
      <c r="J25" s="8" t="str">
        <f t="shared" si="1"/>
        <v/>
      </c>
      <c r="K25" s="8" t="str">
        <f t="shared" si="2"/>
        <v/>
      </c>
      <c r="L25" s="7" t="str">
        <f t="shared" si="3"/>
        <v/>
      </c>
      <c r="M25" s="7" t="s">
        <v>5401</v>
      </c>
      <c r="N25" s="7" t="s">
        <v>5402</v>
      </c>
      <c r="O25" s="7" t="s">
        <v>5403</v>
      </c>
      <c r="P25" s="7" t="s">
        <v>5404</v>
      </c>
      <c r="Q25" s="7" t="s">
        <v>5405</v>
      </c>
      <c r="R25" s="7" t="s">
        <v>5406</v>
      </c>
      <c r="S25" s="7" t="s">
        <v>5205</v>
      </c>
      <c r="T25" s="7" t="s">
        <v>5206</v>
      </c>
      <c r="U25" s="7"/>
      <c r="V25" s="7" t="s">
        <v>5407</v>
      </c>
      <c r="W25" s="14">
        <v>5</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4"/>
        <v/>
      </c>
      <c r="AM25" s="48" t="str">
        <f t="shared" si="5"/>
        <v/>
      </c>
      <c r="AN25" s="48">
        <f>IFERROR(SUMIFS(_TECH_Industry_Templates!$D:$D,_TECH_Industry_Templates!$A:$A,'Company Profile'!$B$9,_TECH_Industry_Templates!$B:$B,"Data BI AI"),"")</f>
        <v>3.5</v>
      </c>
      <c r="AO25" s="48" t="str">
        <f t="shared" si="6"/>
        <v/>
      </c>
      <c r="AP25" s="48">
        <f>IFERROR(SUMIFS(_TECH_Industry_Templates!$E:$E,_TECH_Industry_Templates!$A:$A,'Company Profile'!$B$9,_TECH_Industry_Templates!$B:$B,"Data BI AI"),1)</f>
        <v>1</v>
      </c>
      <c r="AQ25" s="48" t="str">
        <f t="shared" si="7"/>
        <v/>
      </c>
      <c r="AR25" s="48" t="str">
        <f t="shared" si="8"/>
        <v/>
      </c>
      <c r="AS25" s="11">
        <f t="shared" si="9"/>
        <v>0</v>
      </c>
      <c r="AT25" s="11">
        <f t="shared" si="10"/>
        <v>0</v>
      </c>
    </row>
    <row r="26" spans="1:46" ht="57">
      <c r="A26" s="7" t="s">
        <v>5408</v>
      </c>
      <c r="B26" s="7" t="s">
        <v>1565</v>
      </c>
      <c r="C26" s="7" t="s">
        <v>5409</v>
      </c>
      <c r="D26" s="7" t="s">
        <v>5196</v>
      </c>
      <c r="E26" s="7" t="s">
        <v>5197</v>
      </c>
      <c r="F26" s="7" t="s">
        <v>5410</v>
      </c>
      <c r="G26" s="7">
        <v>4</v>
      </c>
      <c r="H26" s="153"/>
      <c r="I26" s="8" t="str">
        <f t="shared" si="0"/>
        <v/>
      </c>
      <c r="J26" s="8" t="str">
        <f t="shared" si="1"/>
        <v/>
      </c>
      <c r="K26" s="8" t="str">
        <f t="shared" si="2"/>
        <v/>
      </c>
      <c r="L26" s="7" t="str">
        <f t="shared" si="3"/>
        <v/>
      </c>
      <c r="M26" s="7" t="s">
        <v>5411</v>
      </c>
      <c r="N26" s="7" t="s">
        <v>5412</v>
      </c>
      <c r="O26" s="7" t="s">
        <v>5413</v>
      </c>
      <c r="P26" s="7" t="s">
        <v>5414</v>
      </c>
      <c r="Q26" s="7" t="s">
        <v>5415</v>
      </c>
      <c r="R26" s="7" t="s">
        <v>5416</v>
      </c>
      <c r="S26" s="7" t="s">
        <v>5205</v>
      </c>
      <c r="T26" s="7" t="s">
        <v>5206</v>
      </c>
      <c r="U26" s="7"/>
      <c r="V26" s="7" t="s">
        <v>5417</v>
      </c>
      <c r="W26" s="14">
        <v>5</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4"/>
        <v/>
      </c>
      <c r="AM26" s="48" t="str">
        <f t="shared" si="5"/>
        <v/>
      </c>
      <c r="AN26" s="48">
        <f>IFERROR(SUMIFS(_TECH_Industry_Templates!$D:$D,_TECH_Industry_Templates!$A:$A,'Company Profile'!$B$9,_TECH_Industry_Templates!$B:$B,"Data BI AI"),"")</f>
        <v>3.5</v>
      </c>
      <c r="AO26" s="48" t="str">
        <f t="shared" si="6"/>
        <v/>
      </c>
      <c r="AP26" s="48">
        <f>IFERROR(SUMIFS(_TECH_Industry_Templates!$E:$E,_TECH_Industry_Templates!$A:$A,'Company Profile'!$B$9,_TECH_Industry_Templates!$B:$B,"Data BI AI"),1)</f>
        <v>1</v>
      </c>
      <c r="AQ26" s="48" t="str">
        <f t="shared" si="7"/>
        <v/>
      </c>
      <c r="AR26" s="48" t="str">
        <f t="shared" si="8"/>
        <v/>
      </c>
      <c r="AS26" s="11">
        <f t="shared" si="9"/>
        <v>0</v>
      </c>
      <c r="AT26" s="11">
        <f t="shared" si="10"/>
        <v>0</v>
      </c>
    </row>
    <row r="27" spans="1:46" ht="57">
      <c r="A27" s="7" t="s">
        <v>5418</v>
      </c>
      <c r="B27" s="7" t="s">
        <v>1573</v>
      </c>
      <c r="C27" s="7" t="s">
        <v>5419</v>
      </c>
      <c r="D27" s="7" t="s">
        <v>5196</v>
      </c>
      <c r="E27" s="7" t="s">
        <v>5197</v>
      </c>
      <c r="F27" s="7" t="s">
        <v>5420</v>
      </c>
      <c r="G27" s="7">
        <v>4</v>
      </c>
      <c r="H27" s="153"/>
      <c r="I27" s="8" t="str">
        <f t="shared" si="0"/>
        <v/>
      </c>
      <c r="J27" s="8" t="str">
        <f t="shared" si="1"/>
        <v/>
      </c>
      <c r="K27" s="8" t="str">
        <f t="shared" si="2"/>
        <v/>
      </c>
      <c r="L27" s="7" t="str">
        <f t="shared" si="3"/>
        <v/>
      </c>
      <c r="M27" s="7" t="s">
        <v>5421</v>
      </c>
      <c r="N27" s="7" t="s">
        <v>5422</v>
      </c>
      <c r="O27" s="7" t="s">
        <v>5423</v>
      </c>
      <c r="P27" s="7" t="s">
        <v>5424</v>
      </c>
      <c r="Q27" s="7" t="s">
        <v>5425</v>
      </c>
      <c r="R27" s="7" t="s">
        <v>5426</v>
      </c>
      <c r="S27" s="7" t="s">
        <v>5205</v>
      </c>
      <c r="T27" s="7" t="s">
        <v>5206</v>
      </c>
      <c r="U27" s="7"/>
      <c r="V27" s="7" t="s">
        <v>5427</v>
      </c>
      <c r="W27" s="14">
        <v>5</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4"/>
        <v/>
      </c>
      <c r="AM27" s="48" t="str">
        <f t="shared" si="5"/>
        <v/>
      </c>
      <c r="AN27" s="48">
        <f>IFERROR(SUMIFS(_TECH_Industry_Templates!$D:$D,_TECH_Industry_Templates!$A:$A,'Company Profile'!$B$9,_TECH_Industry_Templates!$B:$B,"Data BI AI"),"")</f>
        <v>3.5</v>
      </c>
      <c r="AO27" s="48" t="str">
        <f t="shared" si="6"/>
        <v/>
      </c>
      <c r="AP27" s="48">
        <f>IFERROR(SUMIFS(_TECH_Industry_Templates!$E:$E,_TECH_Industry_Templates!$A:$A,'Company Profile'!$B$9,_TECH_Industry_Templates!$B:$B,"Data BI AI"),1)</f>
        <v>1</v>
      </c>
      <c r="AQ27" s="48" t="str">
        <f t="shared" si="7"/>
        <v/>
      </c>
      <c r="AR27" s="48" t="str">
        <f t="shared" si="8"/>
        <v/>
      </c>
      <c r="AS27" s="11">
        <f t="shared" si="9"/>
        <v>0</v>
      </c>
      <c r="AT27" s="11">
        <f t="shared" si="10"/>
        <v>0</v>
      </c>
    </row>
    <row r="28" spans="1:46" ht="71.25">
      <c r="A28" s="7" t="s">
        <v>5428</v>
      </c>
      <c r="B28" s="7" t="s">
        <v>1573</v>
      </c>
      <c r="C28" s="7" t="s">
        <v>5429</v>
      </c>
      <c r="D28" s="7" t="s">
        <v>5196</v>
      </c>
      <c r="E28" s="7" t="s">
        <v>5197</v>
      </c>
      <c r="F28" s="7" t="s">
        <v>5430</v>
      </c>
      <c r="G28" s="7">
        <v>4</v>
      </c>
      <c r="H28" s="153"/>
      <c r="I28" s="8" t="str">
        <f t="shared" si="0"/>
        <v/>
      </c>
      <c r="J28" s="8" t="str">
        <f t="shared" si="1"/>
        <v/>
      </c>
      <c r="K28" s="8" t="str">
        <f t="shared" si="2"/>
        <v/>
      </c>
      <c r="L28" s="7" t="str">
        <f t="shared" si="3"/>
        <v/>
      </c>
      <c r="M28" s="7" t="s">
        <v>5431</v>
      </c>
      <c r="N28" s="7" t="s">
        <v>5432</v>
      </c>
      <c r="O28" s="7" t="s">
        <v>5433</v>
      </c>
      <c r="P28" s="7" t="s">
        <v>5434</v>
      </c>
      <c r="Q28" s="7" t="s">
        <v>5435</v>
      </c>
      <c r="R28" s="7" t="s">
        <v>5436</v>
      </c>
      <c r="S28" s="7" t="s">
        <v>5205</v>
      </c>
      <c r="T28" s="7" t="s">
        <v>5206</v>
      </c>
      <c r="U28" s="7"/>
      <c r="V28" s="7" t="s">
        <v>5437</v>
      </c>
      <c r="W28" s="14">
        <v>5</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4"/>
        <v/>
      </c>
      <c r="AM28" s="48" t="str">
        <f t="shared" si="5"/>
        <v/>
      </c>
      <c r="AN28" s="48">
        <f>IFERROR(SUMIFS(_TECH_Industry_Templates!$D:$D,_TECH_Industry_Templates!$A:$A,'Company Profile'!$B$9,_TECH_Industry_Templates!$B:$B,"Data BI AI"),"")</f>
        <v>3.5</v>
      </c>
      <c r="AO28" s="48" t="str">
        <f t="shared" si="6"/>
        <v/>
      </c>
      <c r="AP28" s="48">
        <f>IFERROR(SUMIFS(_TECH_Industry_Templates!$E:$E,_TECH_Industry_Templates!$A:$A,'Company Profile'!$B$9,_TECH_Industry_Templates!$B:$B,"Data BI AI"),1)</f>
        <v>1</v>
      </c>
      <c r="AQ28" s="48" t="str">
        <f t="shared" si="7"/>
        <v/>
      </c>
      <c r="AR28" s="48" t="str">
        <f t="shared" si="8"/>
        <v/>
      </c>
      <c r="AS28" s="11">
        <f t="shared" si="9"/>
        <v>0</v>
      </c>
      <c r="AT28" s="11">
        <f t="shared" si="10"/>
        <v>0</v>
      </c>
    </row>
    <row r="29" spans="1:46" ht="57">
      <c r="A29" s="7" t="s">
        <v>5438</v>
      </c>
      <c r="B29" s="7" t="s">
        <v>1573</v>
      </c>
      <c r="C29" s="7" t="s">
        <v>5439</v>
      </c>
      <c r="D29" s="7" t="s">
        <v>5196</v>
      </c>
      <c r="E29" s="7" t="s">
        <v>5197</v>
      </c>
      <c r="F29" s="7" t="s">
        <v>5440</v>
      </c>
      <c r="G29" s="7">
        <v>4</v>
      </c>
      <c r="H29" s="153"/>
      <c r="I29" s="8" t="str">
        <f t="shared" si="0"/>
        <v/>
      </c>
      <c r="J29" s="8" t="str">
        <f t="shared" si="1"/>
        <v/>
      </c>
      <c r="K29" s="8" t="str">
        <f t="shared" si="2"/>
        <v/>
      </c>
      <c r="L29" s="7" t="str">
        <f t="shared" si="3"/>
        <v/>
      </c>
      <c r="M29" s="7" t="s">
        <v>5441</v>
      </c>
      <c r="N29" s="7" t="s">
        <v>5442</v>
      </c>
      <c r="O29" s="7" t="s">
        <v>5443</v>
      </c>
      <c r="P29" s="7" t="s">
        <v>5444</v>
      </c>
      <c r="Q29" s="7" t="s">
        <v>5445</v>
      </c>
      <c r="R29" s="7" t="s">
        <v>5446</v>
      </c>
      <c r="S29" s="7" t="s">
        <v>5205</v>
      </c>
      <c r="T29" s="7" t="s">
        <v>5206</v>
      </c>
      <c r="U29" s="7"/>
      <c r="V29" s="7" t="s">
        <v>5447</v>
      </c>
      <c r="W29" s="14">
        <v>5</v>
      </c>
      <c r="X29" s="14">
        <v>5</v>
      </c>
      <c r="Y29" s="14">
        <v>5</v>
      </c>
      <c r="AH29" s="81"/>
      <c r="AI29" s="81"/>
      <c r="AJ29" s="48" t="str">
        <f>IF(OR($H29="",$H29="N/A"),"",IF($AH29="",VLOOKUP('Company Profile'!$B$40,_TECH_Scoring_Settings!$A$5:$B$8,2,FALSE),IFERROR(VLOOKUP($AH29,_TECH_Scoring_Settings!$A$5:$B$8,2,FALSE),0.9)))</f>
        <v/>
      </c>
      <c r="AK29" s="48" t="str">
        <f>IF(OR($H29="",$H29="N/A"),"",IF($AI29="",VLOOKUP('Company Profile'!$B$41,_TECH_Scoring_Settings!$A$5:$B$8,2,FALSE),IFERROR(VLOOKUP($AI29,_TECH_Scoring_Settings!$A$5:$B$8,2,FALSE),0.9)))</f>
        <v/>
      </c>
      <c r="AL29" s="48" t="str">
        <f t="shared" si="4"/>
        <v/>
      </c>
      <c r="AM29" s="48" t="str">
        <f t="shared" si="5"/>
        <v/>
      </c>
      <c r="AN29" s="48">
        <f>IFERROR(SUMIFS(_TECH_Industry_Templates!$D:$D,_TECH_Industry_Templates!$A:$A,'Company Profile'!$B$9,_TECH_Industry_Templates!$B:$B,"Data BI AI"),"")</f>
        <v>3.5</v>
      </c>
      <c r="AO29" s="48" t="str">
        <f t="shared" si="6"/>
        <v/>
      </c>
      <c r="AP29" s="48">
        <f>IFERROR(SUMIFS(_TECH_Industry_Templates!$E:$E,_TECH_Industry_Templates!$A:$A,'Company Profile'!$B$9,_TECH_Industry_Templates!$B:$B,"Data BI AI"),1)</f>
        <v>1</v>
      </c>
      <c r="AQ29" s="48" t="str">
        <f t="shared" si="7"/>
        <v/>
      </c>
      <c r="AR29" s="48" t="str">
        <f t="shared" si="8"/>
        <v/>
      </c>
      <c r="AS29" s="11">
        <f t="shared" si="9"/>
        <v>0</v>
      </c>
      <c r="AT29" s="11">
        <f t="shared" si="10"/>
        <v>0</v>
      </c>
    </row>
    <row r="30" spans="1:46" ht="71.25">
      <c r="A30" s="7" t="s">
        <v>5448</v>
      </c>
      <c r="B30" s="7" t="s">
        <v>1573</v>
      </c>
      <c r="C30" s="7" t="s">
        <v>5449</v>
      </c>
      <c r="D30" s="7" t="s">
        <v>5196</v>
      </c>
      <c r="E30" s="7" t="s">
        <v>5197</v>
      </c>
      <c r="F30" s="7" t="s">
        <v>5450</v>
      </c>
      <c r="G30" s="7">
        <v>5</v>
      </c>
      <c r="H30" s="153"/>
      <c r="I30" s="8" t="str">
        <f t="shared" si="0"/>
        <v/>
      </c>
      <c r="J30" s="8" t="str">
        <f t="shared" si="1"/>
        <v/>
      </c>
      <c r="K30" s="8" t="str">
        <f t="shared" si="2"/>
        <v/>
      </c>
      <c r="L30" s="7" t="str">
        <f t="shared" si="3"/>
        <v/>
      </c>
      <c r="M30" s="7" t="s">
        <v>5451</v>
      </c>
      <c r="N30" s="7" t="s">
        <v>5452</v>
      </c>
      <c r="O30" s="7" t="s">
        <v>5453</v>
      </c>
      <c r="P30" s="7" t="s">
        <v>5454</v>
      </c>
      <c r="Q30" s="7" t="s">
        <v>5455</v>
      </c>
      <c r="R30" s="7" t="s">
        <v>5456</v>
      </c>
      <c r="S30" s="7" t="s">
        <v>5205</v>
      </c>
      <c r="T30" s="7" t="s">
        <v>5206</v>
      </c>
      <c r="U30" s="7"/>
      <c r="V30" s="7" t="s">
        <v>5457</v>
      </c>
      <c r="W30" s="14">
        <v>5</v>
      </c>
      <c r="X30" s="14">
        <v>5</v>
      </c>
      <c r="Y30" s="14">
        <v>5</v>
      </c>
      <c r="AH30" s="81"/>
      <c r="AI30" s="81"/>
      <c r="AJ30" s="48" t="str">
        <f>IF(OR($H30="",$H30="N/A"),"",IF($AH30="",VLOOKUP('Company Profile'!$B$40,_TECH_Scoring_Settings!$A$5:$B$8,2,FALSE),IFERROR(VLOOKUP($AH30,_TECH_Scoring_Settings!$A$5:$B$8,2,FALSE),0.9)))</f>
        <v/>
      </c>
      <c r="AK30" s="48" t="str">
        <f>IF(OR($H30="",$H30="N/A"),"",IF($AI30="",VLOOKUP('Company Profile'!$B$41,_TECH_Scoring_Settings!$A$5:$B$8,2,FALSE),IFERROR(VLOOKUP($AI30,_TECH_Scoring_Settings!$A$5:$B$8,2,FALSE),0.9)))</f>
        <v/>
      </c>
      <c r="AL30" s="48" t="str">
        <f t="shared" si="4"/>
        <v/>
      </c>
      <c r="AM30" s="48" t="str">
        <f t="shared" si="5"/>
        <v/>
      </c>
      <c r="AN30" s="48">
        <f>IFERROR(SUMIFS(_TECH_Industry_Templates!$D:$D,_TECH_Industry_Templates!$A:$A,'Company Profile'!$B$9,_TECH_Industry_Templates!$B:$B,"Data BI AI"),"")</f>
        <v>3.5</v>
      </c>
      <c r="AO30" s="48" t="str">
        <f t="shared" si="6"/>
        <v/>
      </c>
      <c r="AP30" s="48">
        <f>IFERROR(SUMIFS(_TECH_Industry_Templates!$E:$E,_TECH_Industry_Templates!$A:$A,'Company Profile'!$B$9,_TECH_Industry_Templates!$B:$B,"Data BI AI"),1)</f>
        <v>1</v>
      </c>
      <c r="AQ30" s="48" t="str">
        <f t="shared" si="7"/>
        <v/>
      </c>
      <c r="AR30" s="48" t="str">
        <f t="shared" si="8"/>
        <v/>
      </c>
      <c r="AS30" s="11">
        <f t="shared" si="9"/>
        <v>0</v>
      </c>
      <c r="AT30" s="11">
        <f t="shared" si="10"/>
        <v>0</v>
      </c>
    </row>
    <row r="31" spans="1:46" ht="71.25">
      <c r="A31" s="7" t="s">
        <v>5458</v>
      </c>
      <c r="B31" s="7" t="s">
        <v>1573</v>
      </c>
      <c r="C31" s="7" t="s">
        <v>5459</v>
      </c>
      <c r="D31" s="7" t="s">
        <v>5196</v>
      </c>
      <c r="E31" s="7" t="s">
        <v>5197</v>
      </c>
      <c r="F31" s="7" t="s">
        <v>5460</v>
      </c>
      <c r="G31" s="7">
        <v>4</v>
      </c>
      <c r="H31" s="153"/>
      <c r="I31" s="8" t="str">
        <f t="shared" si="0"/>
        <v/>
      </c>
      <c r="J31" s="8" t="str">
        <f t="shared" si="1"/>
        <v/>
      </c>
      <c r="K31" s="8" t="str">
        <f t="shared" si="2"/>
        <v/>
      </c>
      <c r="L31" s="7" t="str">
        <f t="shared" si="3"/>
        <v/>
      </c>
      <c r="M31" s="7" t="s">
        <v>5461</v>
      </c>
      <c r="N31" s="7" t="s">
        <v>5462</v>
      </c>
      <c r="O31" s="7" t="s">
        <v>5463</v>
      </c>
      <c r="P31" s="7" t="s">
        <v>5464</v>
      </c>
      <c r="Q31" s="7" t="s">
        <v>5465</v>
      </c>
      <c r="R31" s="7" t="s">
        <v>5466</v>
      </c>
      <c r="S31" s="7" t="s">
        <v>5205</v>
      </c>
      <c r="T31" s="7" t="s">
        <v>5206</v>
      </c>
      <c r="U31" s="7"/>
      <c r="V31" s="7" t="s">
        <v>5467</v>
      </c>
      <c r="W31" s="14">
        <v>5</v>
      </c>
      <c r="X31" s="14">
        <v>5</v>
      </c>
      <c r="Y31" s="14">
        <v>5</v>
      </c>
      <c r="AH31" s="81"/>
      <c r="AI31" s="81"/>
      <c r="AJ31" s="48" t="str">
        <f>IF(OR($H31="",$H31="N/A"),"",IF($AH31="",VLOOKUP('Company Profile'!$B$40,_TECH_Scoring_Settings!$A$5:$B$8,2,FALSE),IFERROR(VLOOKUP($AH31,_TECH_Scoring_Settings!$A$5:$B$8,2,FALSE),0.9)))</f>
        <v/>
      </c>
      <c r="AK31" s="48" t="str">
        <f>IF(OR($H31="",$H31="N/A"),"",IF($AI31="",VLOOKUP('Company Profile'!$B$41,_TECH_Scoring_Settings!$A$5:$B$8,2,FALSE),IFERROR(VLOOKUP($AI31,_TECH_Scoring_Settings!$A$5:$B$8,2,FALSE),0.9)))</f>
        <v/>
      </c>
      <c r="AL31" s="48" t="str">
        <f t="shared" si="4"/>
        <v/>
      </c>
      <c r="AM31" s="48" t="str">
        <f t="shared" si="5"/>
        <v/>
      </c>
      <c r="AN31" s="48">
        <f>IFERROR(SUMIFS(_TECH_Industry_Templates!$D:$D,_TECH_Industry_Templates!$A:$A,'Company Profile'!$B$9,_TECH_Industry_Templates!$B:$B,"Data BI AI"),"")</f>
        <v>3.5</v>
      </c>
      <c r="AO31" s="48" t="str">
        <f t="shared" si="6"/>
        <v/>
      </c>
      <c r="AP31" s="48">
        <f>IFERROR(SUMIFS(_TECH_Industry_Templates!$E:$E,_TECH_Industry_Templates!$A:$A,'Company Profile'!$B$9,_TECH_Industry_Templates!$B:$B,"Data BI AI"),1)</f>
        <v>1</v>
      </c>
      <c r="AQ31" s="48" t="str">
        <f t="shared" si="7"/>
        <v/>
      </c>
      <c r="AR31" s="48" t="str">
        <f t="shared" si="8"/>
        <v/>
      </c>
      <c r="AS31" s="11">
        <f t="shared" si="9"/>
        <v>0</v>
      </c>
      <c r="AT31" s="11">
        <f t="shared" si="10"/>
        <v>0</v>
      </c>
    </row>
  </sheetData>
  <mergeCells count="4">
    <mergeCell ref="A2:V2"/>
    <mergeCell ref="AA3:AG3"/>
    <mergeCell ref="A1:V1"/>
    <mergeCell ref="W3:Y3"/>
  </mergeCells>
  <conditionalFormatting sqref="H5:H31">
    <cfRule type="colorScale" priority="1">
      <colorScale>
        <cfvo type="min"/>
        <cfvo type="percentile" val="50"/>
        <cfvo type="max"/>
        <color rgb="FFF8696B"/>
        <color rgb="FFFFEB84"/>
        <color rgb="FF63BE7B"/>
      </colorScale>
    </cfRule>
  </conditionalFormatting>
  <conditionalFormatting sqref="L5:L31">
    <cfRule type="expression" dxfId="26" priority="2">
      <formula>$L5="Critical"</formula>
    </cfRule>
    <cfRule type="expression" dxfId="25" priority="3">
      <formula>$L5="High"</formula>
    </cfRule>
    <cfRule type="expression" dxfId="24" priority="4">
      <formula>$L5="Medium"</formula>
    </cfRule>
    <cfRule type="expression" dxfId="23" priority="5">
      <formula>$L5="Low"</formula>
    </cfRule>
    <cfRule type="expression" dxfId="22" priority="6">
      <formula>$L5="Resilient"</formula>
    </cfRule>
  </conditionalFormatting>
  <conditionalFormatting sqref="AC5:AC9">
    <cfRule type="colorScale" priority="7">
      <colorScale>
        <cfvo type="min"/>
        <cfvo type="percentile" val="50"/>
        <cfvo type="max"/>
        <color rgb="FFFEE2E2"/>
        <color rgb="FFFEF3C7"/>
        <color rgb="FFDCFCE7"/>
      </colorScale>
    </cfRule>
  </conditionalFormatting>
  <conditionalFormatting sqref="AD5:AD9">
    <cfRule type="dataBar" priority="8">
      <dataBar>
        <cfvo type="min"/>
        <cfvo type="max"/>
        <color rgb="FF2F75B5"/>
      </dataBar>
    </cfRule>
  </conditionalFormatting>
  <dataValidations count="4">
    <dataValidation type="list" sqref="H5:H31" ns2:uid="{00000000-0002-0000-2100-000000000000}">
      <formula1>"N/A,0,1,2,3,4,5"</formula1>
    </dataValidation>
    <dataValidation type="list" sqref="G5:G31" ns2:uid="{00000000-0002-0000-2100-000001000000}">
      <formula1>"1,2,3,4,5"</formula1>
    </dataValidation>
    <dataValidation type="list" sqref="W5:Y31" ns2:uid="{00000000-0002-0000-2100-000002000000}">
      <formula1>"0,1,2,3,4,5"</formula1>
    </dataValidation>
    <dataValidation type="list" allowBlank="1" sqref="AH5:AI31" ns2:uid="{00000000-0002-0000-21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5.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200-000000000000}">
  <sheetPr>
    <tabColor rgb="FFED7D31"/>
  </sheetPr>
  <dimension ref="A1:AT38"/>
  <sheetViews>
    <sheetView workbookViewId="0"/>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5468</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5469</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71.25">
      <c r="A5" s="7" t="s">
        <v>5470</v>
      </c>
      <c r="B5" s="7" t="s">
        <v>1581</v>
      </c>
      <c r="C5" s="7" t="s">
        <v>5471</v>
      </c>
      <c r="D5" s="7" t="s">
        <v>5472</v>
      </c>
      <c r="E5" s="7" t="s">
        <v>5473</v>
      </c>
      <c r="F5" s="7" t="s">
        <v>5474</v>
      </c>
      <c r="G5" s="7">
        <v>4</v>
      </c>
      <c r="H5" s="153"/>
      <c r="I5" s="8" t="str">
        <f t="shared" ref="I5:I38" si="0">IF($H5="","",IF($H5="N/A","",VALUE($H5)/5*$G5))</f>
        <v/>
      </c>
      <c r="J5" s="8" t="str">
        <f t="shared" ref="J5:J38" si="1">IF(OR($H5="",$H5="N/A"),"",$G5)</f>
        <v/>
      </c>
      <c r="K5" s="8" t="str">
        <f t="shared" ref="K5:K38" si="2">IF(OR($H5="",$H5="N/A"),"",$J5-$I5)</f>
        <v/>
      </c>
      <c r="L5" s="7" t="str">
        <f t="shared" ref="L5:L38" si="3">IF($H5="","",IF($H5="N/A","N/A",IF(VALUE($H5)&lt;=1,"Critical",IF(VALUE($H5)&lt;=2,"High",IF(VALUE($H5)&lt;=3,"Medium",IF(VALUE($H5)&lt;=4,"Low","Resilient"))))))</f>
        <v/>
      </c>
      <c r="M5" s="7" t="s">
        <v>5475</v>
      </c>
      <c r="N5" s="7" t="s">
        <v>5476</v>
      </c>
      <c r="O5" s="7" t="s">
        <v>5477</v>
      </c>
      <c r="P5" s="7" t="s">
        <v>5478</v>
      </c>
      <c r="Q5" s="7" t="s">
        <v>5479</v>
      </c>
      <c r="R5" s="7" t="s">
        <v>5480</v>
      </c>
      <c r="S5" s="7" t="s">
        <v>5481</v>
      </c>
      <c r="T5" s="7" t="s">
        <v>5482</v>
      </c>
      <c r="U5" s="7"/>
      <c r="V5" s="7" t="s">
        <v>5483</v>
      </c>
      <c r="W5" s="14">
        <v>5</v>
      </c>
      <c r="X5" s="14">
        <v>5</v>
      </c>
      <c r="Y5" s="14">
        <v>5</v>
      </c>
      <c r="AA5" t="s">
        <v>1581</v>
      </c>
      <c r="AB5" s="13">
        <f t="shared" ref="AB5:AB10" si="4">COUNTIF($B$5:$B$38,$AA5)</f>
        <v>6</v>
      </c>
      <c r="AC5" s="15">
        <f t="shared" ref="AC5:AC10" si="5">IFERROR(SUMPRODUCT(($B$5:$B$38=$AA5)*($H$5:$H$38&lt;&gt;"")*($H$5:$H$38&lt;&gt;"N/A")*IFERROR(VALUE($H$5:$H$38),0))/SUMPRODUCT(($B$5:$B$38=$AA5)*($H$5:$H$38&lt;&gt;"")*($H$5:$H$38&lt;&gt;"N/A")),0)</f>
        <v>0</v>
      </c>
      <c r="AD5" s="16">
        <f t="shared" ref="AD5:AD10" si="6">AC5/5</f>
        <v>0</v>
      </c>
      <c r="AE5" s="13">
        <f t="shared" ref="AE5:AE10" si="7">COUNTIFS($B$5:$B$38,$AA5,$L$5:$L$38,"Critical")+COUNTIFS($B$5:$B$38,$AA5,$L$5:$L$38,"High")</f>
        <v>0</v>
      </c>
      <c r="AF5" s="15">
        <f t="shared" ref="AF5:AF10" si="8">5-AC5</f>
        <v>5</v>
      </c>
      <c r="AG5" s="13">
        <f t="shared" ref="AG5:AG10" si="9">COUNTIFS($B$5:$B$38,$AA5,$H$5:$H$38,"&lt;&gt;")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38" si="10">IF(OR($H5="",$H5="N/A"),"",ROUND(VALUE($H5)*$AJ5*$AK5,2))</f>
        <v/>
      </c>
      <c r="AM5" s="48" t="str">
        <f t="shared" ref="AM5:AM38" si="11">IF($AL5="","",ROUND($AL5/5*100,1))</f>
        <v/>
      </c>
      <c r="AN5" s="48">
        <f>IFERROR(SUMIFS(_TECH_Industry_Templates!$D:$D,_TECH_Industry_Templates!$A:$A,'Company Profile'!$B$9,_TECH_Industry_Templates!$B:$B,"Cyber Privacy"),"")</f>
        <v>4</v>
      </c>
      <c r="AO5" s="48" t="str">
        <f t="shared" ref="AO5:AO38" si="12">IF($AL5="","",MAX(0,ROUND($AN5-$AL5,2)))</f>
        <v/>
      </c>
      <c r="AP5" s="48">
        <f>IFERROR(SUMIFS(_TECH_Industry_Templates!$E:$E,_TECH_Industry_Templates!$A:$A,'Company Profile'!$B$9,_TECH_Industry_Templates!$B:$B,"Cyber Privacy"),1)</f>
        <v>1.1499999999999999</v>
      </c>
      <c r="AQ5" s="48" t="str">
        <f t="shared" ref="AQ5:AQ38" si="13">IF($AO5="","",ROUND($AO5*$AP5*($G5/5),2))</f>
        <v/>
      </c>
      <c r="AR5" s="48" t="str">
        <f t="shared" ref="AR5:AR38" si="14">IF($AO5="","",IF($AO5&gt;=2,"Critical industry gap",IF($AO5&gt;=1,"High industry gap",IF($AO5&gt;=0.5,"Moderate industry gap","Within target"))))</f>
        <v/>
      </c>
      <c r="AS5" s="11">
        <f t="shared" ref="AS5:AS38" si="15">IF(OR($H5="",$H5="N/A"),0,VALUE($H5)*(($AJ5+$AK5)/2))</f>
        <v>0</v>
      </c>
      <c r="AT5" s="11">
        <f t="shared" ref="AT5:AT38" si="16">IF(OR($H5="",$H5="N/A"),0,($AJ5+$AK5)/2)</f>
        <v>0</v>
      </c>
    </row>
    <row r="6" spans="1:46" ht="57">
      <c r="A6" s="7" t="s">
        <v>5484</v>
      </c>
      <c r="B6" s="7" t="s">
        <v>1581</v>
      </c>
      <c r="C6" s="7" t="s">
        <v>5485</v>
      </c>
      <c r="D6" s="7" t="s">
        <v>5472</v>
      </c>
      <c r="E6" s="7" t="s">
        <v>5473</v>
      </c>
      <c r="F6" s="7" t="s">
        <v>5486</v>
      </c>
      <c r="G6" s="7">
        <v>5</v>
      </c>
      <c r="H6" s="153"/>
      <c r="I6" s="8" t="str">
        <f t="shared" si="0"/>
        <v/>
      </c>
      <c r="J6" s="8" t="str">
        <f t="shared" si="1"/>
        <v/>
      </c>
      <c r="K6" s="8" t="str">
        <f t="shared" si="2"/>
        <v/>
      </c>
      <c r="L6" s="7" t="str">
        <f t="shared" si="3"/>
        <v/>
      </c>
      <c r="M6" s="7" t="s">
        <v>5487</v>
      </c>
      <c r="N6" s="7" t="s">
        <v>5488</v>
      </c>
      <c r="O6" s="7" t="s">
        <v>5489</v>
      </c>
      <c r="P6" s="7" t="s">
        <v>5490</v>
      </c>
      <c r="Q6" s="7" t="s">
        <v>5491</v>
      </c>
      <c r="R6" s="7" t="s">
        <v>5492</v>
      </c>
      <c r="S6" s="7" t="s">
        <v>5481</v>
      </c>
      <c r="T6" s="7" t="s">
        <v>5482</v>
      </c>
      <c r="U6" s="7"/>
      <c r="V6" s="7" t="s">
        <v>5493</v>
      </c>
      <c r="W6" s="14">
        <v>5</v>
      </c>
      <c r="X6" s="14">
        <v>5</v>
      </c>
      <c r="Y6" s="14">
        <v>5</v>
      </c>
      <c r="AA6" t="s">
        <v>1596</v>
      </c>
      <c r="AB6" s="13">
        <f t="shared" si="4"/>
        <v>6</v>
      </c>
      <c r="AC6" s="15">
        <f t="shared" si="5"/>
        <v>0</v>
      </c>
      <c r="AD6" s="16">
        <f t="shared" si="6"/>
        <v>0</v>
      </c>
      <c r="AE6" s="13">
        <f t="shared" si="7"/>
        <v>0</v>
      </c>
      <c r="AF6" s="15">
        <f t="shared" si="8"/>
        <v>5</v>
      </c>
      <c r="AG6" s="13">
        <f t="shared" si="9"/>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10"/>
        <v/>
      </c>
      <c r="AM6" s="48" t="str">
        <f t="shared" si="11"/>
        <v/>
      </c>
      <c r="AN6" s="48">
        <f>IFERROR(SUMIFS(_TECH_Industry_Templates!$D:$D,_TECH_Industry_Templates!$A:$A,'Company Profile'!$B$9,_TECH_Industry_Templates!$B:$B,"Cyber Privacy"),"")</f>
        <v>4</v>
      </c>
      <c r="AO6" s="48" t="str">
        <f t="shared" si="12"/>
        <v/>
      </c>
      <c r="AP6" s="48">
        <f>IFERROR(SUMIFS(_TECH_Industry_Templates!$E:$E,_TECH_Industry_Templates!$A:$A,'Company Profile'!$B$9,_TECH_Industry_Templates!$B:$B,"Cyber Privacy"),1)</f>
        <v>1.1499999999999999</v>
      </c>
      <c r="AQ6" s="48" t="str">
        <f t="shared" si="13"/>
        <v/>
      </c>
      <c r="AR6" s="48" t="str">
        <f t="shared" si="14"/>
        <v/>
      </c>
      <c r="AS6" s="11">
        <f t="shared" si="15"/>
        <v>0</v>
      </c>
      <c r="AT6" s="11">
        <f t="shared" si="16"/>
        <v>0</v>
      </c>
    </row>
    <row r="7" spans="1:46" ht="71.25">
      <c r="A7" s="7" t="s">
        <v>5494</v>
      </c>
      <c r="B7" s="7" t="s">
        <v>1581</v>
      </c>
      <c r="C7" s="7" t="s">
        <v>5495</v>
      </c>
      <c r="D7" s="7" t="s">
        <v>5472</v>
      </c>
      <c r="E7" s="7" t="s">
        <v>5473</v>
      </c>
      <c r="F7" s="7" t="s">
        <v>5496</v>
      </c>
      <c r="G7" s="7">
        <v>5</v>
      </c>
      <c r="H7" s="153"/>
      <c r="I7" s="8" t="str">
        <f t="shared" si="0"/>
        <v/>
      </c>
      <c r="J7" s="8" t="str">
        <f t="shared" si="1"/>
        <v/>
      </c>
      <c r="K7" s="8" t="str">
        <f t="shared" si="2"/>
        <v/>
      </c>
      <c r="L7" s="7" t="str">
        <f t="shared" si="3"/>
        <v/>
      </c>
      <c r="M7" s="7" t="s">
        <v>5497</v>
      </c>
      <c r="N7" s="7" t="s">
        <v>5498</v>
      </c>
      <c r="O7" s="7" t="s">
        <v>5499</v>
      </c>
      <c r="P7" s="7" t="s">
        <v>5500</v>
      </c>
      <c r="Q7" s="7" t="s">
        <v>5501</v>
      </c>
      <c r="R7" s="7" t="s">
        <v>5502</v>
      </c>
      <c r="S7" s="7" t="s">
        <v>5481</v>
      </c>
      <c r="T7" s="7" t="s">
        <v>5482</v>
      </c>
      <c r="U7" s="7"/>
      <c r="V7" s="7" t="s">
        <v>5503</v>
      </c>
      <c r="W7" s="14">
        <v>5</v>
      </c>
      <c r="X7" s="14">
        <v>5</v>
      </c>
      <c r="Y7" s="14">
        <v>5</v>
      </c>
      <c r="AA7" t="s">
        <v>1604</v>
      </c>
      <c r="AB7" s="13">
        <f t="shared" si="4"/>
        <v>8</v>
      </c>
      <c r="AC7" s="15">
        <f t="shared" si="5"/>
        <v>0</v>
      </c>
      <c r="AD7" s="16">
        <f t="shared" si="6"/>
        <v>0</v>
      </c>
      <c r="AE7" s="13">
        <f t="shared" si="7"/>
        <v>0</v>
      </c>
      <c r="AF7" s="15">
        <f t="shared" si="8"/>
        <v>5</v>
      </c>
      <c r="AG7" s="13">
        <f t="shared" si="9"/>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10"/>
        <v/>
      </c>
      <c r="AM7" s="48" t="str">
        <f t="shared" si="11"/>
        <v/>
      </c>
      <c r="AN7" s="48">
        <f>IFERROR(SUMIFS(_TECH_Industry_Templates!$D:$D,_TECH_Industry_Templates!$A:$A,'Company Profile'!$B$9,_TECH_Industry_Templates!$B:$B,"Cyber Privacy"),"")</f>
        <v>4</v>
      </c>
      <c r="AO7" s="48" t="str">
        <f t="shared" si="12"/>
        <v/>
      </c>
      <c r="AP7" s="48">
        <f>IFERROR(SUMIFS(_TECH_Industry_Templates!$E:$E,_TECH_Industry_Templates!$A:$A,'Company Profile'!$B$9,_TECH_Industry_Templates!$B:$B,"Cyber Privacy"),1)</f>
        <v>1.1499999999999999</v>
      </c>
      <c r="AQ7" s="48" t="str">
        <f t="shared" si="13"/>
        <v/>
      </c>
      <c r="AR7" s="48" t="str">
        <f t="shared" si="14"/>
        <v/>
      </c>
      <c r="AS7" s="11">
        <f t="shared" si="15"/>
        <v>0</v>
      </c>
      <c r="AT7" s="11">
        <f t="shared" si="16"/>
        <v>0</v>
      </c>
    </row>
    <row r="8" spans="1:46" ht="71.25">
      <c r="A8" s="7" t="s">
        <v>5504</v>
      </c>
      <c r="B8" s="7" t="s">
        <v>1581</v>
      </c>
      <c r="C8" s="7" t="s">
        <v>5505</v>
      </c>
      <c r="D8" s="7" t="s">
        <v>5472</v>
      </c>
      <c r="E8" s="7" t="s">
        <v>5473</v>
      </c>
      <c r="F8" s="7" t="s">
        <v>5506</v>
      </c>
      <c r="G8" s="7">
        <v>4</v>
      </c>
      <c r="H8" s="153"/>
      <c r="I8" s="8" t="str">
        <f t="shared" si="0"/>
        <v/>
      </c>
      <c r="J8" s="8" t="str">
        <f t="shared" si="1"/>
        <v/>
      </c>
      <c r="K8" s="8" t="str">
        <f t="shared" si="2"/>
        <v/>
      </c>
      <c r="L8" s="7" t="str">
        <f t="shared" si="3"/>
        <v/>
      </c>
      <c r="M8" s="7" t="s">
        <v>5507</v>
      </c>
      <c r="N8" s="7" t="s">
        <v>5508</v>
      </c>
      <c r="O8" s="7" t="s">
        <v>5509</v>
      </c>
      <c r="P8" s="7" t="s">
        <v>5510</v>
      </c>
      <c r="Q8" s="7" t="s">
        <v>5511</v>
      </c>
      <c r="R8" s="7" t="s">
        <v>5512</v>
      </c>
      <c r="S8" s="7" t="s">
        <v>5481</v>
      </c>
      <c r="T8" s="7" t="s">
        <v>5482</v>
      </c>
      <c r="U8" s="7"/>
      <c r="V8" s="7" t="s">
        <v>5513</v>
      </c>
      <c r="W8" s="14">
        <v>5</v>
      </c>
      <c r="X8" s="14">
        <v>5</v>
      </c>
      <c r="Y8" s="14">
        <v>5</v>
      </c>
      <c r="AA8" t="s">
        <v>1612</v>
      </c>
      <c r="AB8" s="13">
        <f t="shared" si="4"/>
        <v>6</v>
      </c>
      <c r="AC8" s="15">
        <f t="shared" si="5"/>
        <v>0</v>
      </c>
      <c r="AD8" s="16">
        <f t="shared" si="6"/>
        <v>0</v>
      </c>
      <c r="AE8" s="13">
        <f t="shared" si="7"/>
        <v>0</v>
      </c>
      <c r="AF8" s="15">
        <f t="shared" si="8"/>
        <v>5</v>
      </c>
      <c r="AG8" s="13">
        <f t="shared" si="9"/>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10"/>
        <v/>
      </c>
      <c r="AM8" s="48" t="str">
        <f t="shared" si="11"/>
        <v/>
      </c>
      <c r="AN8" s="48">
        <f>IFERROR(SUMIFS(_TECH_Industry_Templates!$D:$D,_TECH_Industry_Templates!$A:$A,'Company Profile'!$B$9,_TECH_Industry_Templates!$B:$B,"Cyber Privacy"),"")</f>
        <v>4</v>
      </c>
      <c r="AO8" s="48" t="str">
        <f t="shared" si="12"/>
        <v/>
      </c>
      <c r="AP8" s="48">
        <f>IFERROR(SUMIFS(_TECH_Industry_Templates!$E:$E,_TECH_Industry_Templates!$A:$A,'Company Profile'!$B$9,_TECH_Industry_Templates!$B:$B,"Cyber Privacy"),1)</f>
        <v>1.1499999999999999</v>
      </c>
      <c r="AQ8" s="48" t="str">
        <f t="shared" si="13"/>
        <v/>
      </c>
      <c r="AR8" s="48" t="str">
        <f t="shared" si="14"/>
        <v/>
      </c>
      <c r="AS8" s="11">
        <f t="shared" si="15"/>
        <v>0</v>
      </c>
      <c r="AT8" s="11">
        <f t="shared" si="16"/>
        <v>0</v>
      </c>
    </row>
    <row r="9" spans="1:46" ht="57">
      <c r="A9" s="7" t="s">
        <v>5514</v>
      </c>
      <c r="B9" s="7" t="s">
        <v>1581</v>
      </c>
      <c r="C9" s="7" t="s">
        <v>5515</v>
      </c>
      <c r="D9" s="7" t="s">
        <v>5472</v>
      </c>
      <c r="E9" s="7" t="s">
        <v>5473</v>
      </c>
      <c r="F9" s="7" t="s">
        <v>5516</v>
      </c>
      <c r="G9" s="7">
        <v>5</v>
      </c>
      <c r="H9" s="153"/>
      <c r="I9" s="8" t="str">
        <f t="shared" si="0"/>
        <v/>
      </c>
      <c r="J9" s="8" t="str">
        <f t="shared" si="1"/>
        <v/>
      </c>
      <c r="K9" s="8" t="str">
        <f t="shared" si="2"/>
        <v/>
      </c>
      <c r="L9" s="7" t="str">
        <f t="shared" si="3"/>
        <v/>
      </c>
      <c r="M9" s="7" t="s">
        <v>5517</v>
      </c>
      <c r="N9" s="7" t="s">
        <v>5518</v>
      </c>
      <c r="O9" s="7" t="s">
        <v>5519</v>
      </c>
      <c r="P9" s="7" t="s">
        <v>5520</v>
      </c>
      <c r="Q9" s="7" t="s">
        <v>5521</v>
      </c>
      <c r="R9" s="7" t="s">
        <v>5522</v>
      </c>
      <c r="S9" s="7" t="s">
        <v>5481</v>
      </c>
      <c r="T9" s="7" t="s">
        <v>5482</v>
      </c>
      <c r="U9" s="7"/>
      <c r="V9" s="7" t="s">
        <v>5523</v>
      </c>
      <c r="W9" s="14">
        <v>5</v>
      </c>
      <c r="X9" s="14">
        <v>5</v>
      </c>
      <c r="Y9" s="14">
        <v>5</v>
      </c>
      <c r="AA9" t="s">
        <v>1620</v>
      </c>
      <c r="AB9" s="13">
        <f t="shared" si="4"/>
        <v>5</v>
      </c>
      <c r="AC9" s="15">
        <f t="shared" si="5"/>
        <v>0</v>
      </c>
      <c r="AD9" s="16">
        <f t="shared" si="6"/>
        <v>0</v>
      </c>
      <c r="AE9" s="13">
        <f t="shared" si="7"/>
        <v>0</v>
      </c>
      <c r="AF9" s="15">
        <f t="shared" si="8"/>
        <v>5</v>
      </c>
      <c r="AG9" s="13">
        <f t="shared" si="9"/>
        <v>0</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10"/>
        <v/>
      </c>
      <c r="AM9" s="48" t="str">
        <f t="shared" si="11"/>
        <v/>
      </c>
      <c r="AN9" s="48">
        <f>IFERROR(SUMIFS(_TECH_Industry_Templates!$D:$D,_TECH_Industry_Templates!$A:$A,'Company Profile'!$B$9,_TECH_Industry_Templates!$B:$B,"Cyber Privacy"),"")</f>
        <v>4</v>
      </c>
      <c r="AO9" s="48" t="str">
        <f t="shared" si="12"/>
        <v/>
      </c>
      <c r="AP9" s="48">
        <f>IFERROR(SUMIFS(_TECH_Industry_Templates!$E:$E,_TECH_Industry_Templates!$A:$A,'Company Profile'!$B$9,_TECH_Industry_Templates!$B:$B,"Cyber Privacy"),1)</f>
        <v>1.1499999999999999</v>
      </c>
      <c r="AQ9" s="48" t="str">
        <f t="shared" si="13"/>
        <v/>
      </c>
      <c r="AR9" s="48" t="str">
        <f t="shared" si="14"/>
        <v/>
      </c>
      <c r="AS9" s="11">
        <f t="shared" si="15"/>
        <v>0</v>
      </c>
      <c r="AT9" s="11">
        <f t="shared" si="16"/>
        <v>0</v>
      </c>
    </row>
    <row r="10" spans="1:46" ht="57">
      <c r="A10" s="7" t="s">
        <v>5524</v>
      </c>
      <c r="B10" s="7" t="s">
        <v>1581</v>
      </c>
      <c r="C10" s="7" t="s">
        <v>5525</v>
      </c>
      <c r="D10" s="7" t="s">
        <v>5472</v>
      </c>
      <c r="E10" s="7" t="s">
        <v>5473</v>
      </c>
      <c r="F10" s="7" t="s">
        <v>5526</v>
      </c>
      <c r="G10" s="7">
        <v>4</v>
      </c>
      <c r="H10" s="153"/>
      <c r="I10" s="8" t="str">
        <f t="shared" si="0"/>
        <v/>
      </c>
      <c r="J10" s="8" t="str">
        <f t="shared" si="1"/>
        <v/>
      </c>
      <c r="K10" s="8" t="str">
        <f t="shared" si="2"/>
        <v/>
      </c>
      <c r="L10" s="7" t="str">
        <f t="shared" si="3"/>
        <v/>
      </c>
      <c r="M10" s="7" t="s">
        <v>5527</v>
      </c>
      <c r="N10" s="7" t="s">
        <v>5528</v>
      </c>
      <c r="O10" s="7" t="s">
        <v>5529</v>
      </c>
      <c r="P10" s="7" t="s">
        <v>5530</v>
      </c>
      <c r="Q10" s="7" t="s">
        <v>5531</v>
      </c>
      <c r="R10" s="7" t="s">
        <v>5532</v>
      </c>
      <c r="S10" s="7" t="s">
        <v>5481</v>
      </c>
      <c r="T10" s="7" t="s">
        <v>5482</v>
      </c>
      <c r="U10" s="7"/>
      <c r="V10" s="7" t="s">
        <v>5533</v>
      </c>
      <c r="W10" s="14">
        <v>5</v>
      </c>
      <c r="X10" s="14">
        <v>5</v>
      </c>
      <c r="Y10" s="14">
        <v>5</v>
      </c>
      <c r="AA10" t="s">
        <v>1628</v>
      </c>
      <c r="AB10" s="13">
        <f t="shared" si="4"/>
        <v>3</v>
      </c>
      <c r="AC10" s="15">
        <f t="shared" si="5"/>
        <v>0</v>
      </c>
      <c r="AD10" s="16">
        <f t="shared" si="6"/>
        <v>0</v>
      </c>
      <c r="AE10" s="13">
        <f t="shared" si="7"/>
        <v>0</v>
      </c>
      <c r="AF10" s="15">
        <f t="shared" si="8"/>
        <v>5</v>
      </c>
      <c r="AG10" s="13">
        <f t="shared" si="9"/>
        <v>0</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10"/>
        <v/>
      </c>
      <c r="AM10" s="48" t="str">
        <f t="shared" si="11"/>
        <v/>
      </c>
      <c r="AN10" s="48">
        <f>IFERROR(SUMIFS(_TECH_Industry_Templates!$D:$D,_TECH_Industry_Templates!$A:$A,'Company Profile'!$B$9,_TECH_Industry_Templates!$B:$B,"Cyber Privacy"),"")</f>
        <v>4</v>
      </c>
      <c r="AO10" s="48" t="str">
        <f t="shared" si="12"/>
        <v/>
      </c>
      <c r="AP10" s="48">
        <f>IFERROR(SUMIFS(_TECH_Industry_Templates!$E:$E,_TECH_Industry_Templates!$A:$A,'Company Profile'!$B$9,_TECH_Industry_Templates!$B:$B,"Cyber Privacy"),1)</f>
        <v>1.1499999999999999</v>
      </c>
      <c r="AQ10" s="48" t="str">
        <f t="shared" si="13"/>
        <v/>
      </c>
      <c r="AR10" s="48" t="str">
        <f t="shared" si="14"/>
        <v/>
      </c>
      <c r="AS10" s="11">
        <f t="shared" si="15"/>
        <v>0</v>
      </c>
      <c r="AT10" s="11">
        <f t="shared" si="16"/>
        <v>0</v>
      </c>
    </row>
    <row r="11" spans="1:46" ht="57">
      <c r="A11" s="7" t="s">
        <v>5534</v>
      </c>
      <c r="B11" s="7" t="s">
        <v>1596</v>
      </c>
      <c r="C11" s="7" t="s">
        <v>5535</v>
      </c>
      <c r="D11" s="7" t="s">
        <v>5472</v>
      </c>
      <c r="E11" s="7" t="s">
        <v>5473</v>
      </c>
      <c r="F11" s="7" t="s">
        <v>5536</v>
      </c>
      <c r="G11" s="7">
        <v>4</v>
      </c>
      <c r="H11" s="153"/>
      <c r="I11" s="8" t="str">
        <f t="shared" si="0"/>
        <v/>
      </c>
      <c r="J11" s="8" t="str">
        <f t="shared" si="1"/>
        <v/>
      </c>
      <c r="K11" s="8" t="str">
        <f t="shared" si="2"/>
        <v/>
      </c>
      <c r="L11" s="7" t="str">
        <f t="shared" si="3"/>
        <v/>
      </c>
      <c r="M11" s="7" t="s">
        <v>5537</v>
      </c>
      <c r="N11" s="7" t="s">
        <v>5538</v>
      </c>
      <c r="O11" s="7" t="s">
        <v>5539</v>
      </c>
      <c r="P11" s="7" t="s">
        <v>5540</v>
      </c>
      <c r="Q11" s="7" t="s">
        <v>5541</v>
      </c>
      <c r="R11" s="7" t="s">
        <v>5542</v>
      </c>
      <c r="S11" s="7" t="s">
        <v>5481</v>
      </c>
      <c r="T11" s="7" t="s">
        <v>5482</v>
      </c>
      <c r="U11" s="7"/>
      <c r="V11" s="7" t="s">
        <v>5543</v>
      </c>
      <c r="W11" s="14">
        <v>5</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10"/>
        <v/>
      </c>
      <c r="AM11" s="48" t="str">
        <f t="shared" si="11"/>
        <v/>
      </c>
      <c r="AN11" s="48">
        <f>IFERROR(SUMIFS(_TECH_Industry_Templates!$D:$D,_TECH_Industry_Templates!$A:$A,'Company Profile'!$B$9,_TECH_Industry_Templates!$B:$B,"Cyber Privacy"),"")</f>
        <v>4</v>
      </c>
      <c r="AO11" s="48" t="str">
        <f t="shared" si="12"/>
        <v/>
      </c>
      <c r="AP11" s="48">
        <f>IFERROR(SUMIFS(_TECH_Industry_Templates!$E:$E,_TECH_Industry_Templates!$A:$A,'Company Profile'!$B$9,_TECH_Industry_Templates!$B:$B,"Cyber Privacy"),1)</f>
        <v>1.1499999999999999</v>
      </c>
      <c r="AQ11" s="48" t="str">
        <f t="shared" si="13"/>
        <v/>
      </c>
      <c r="AR11" s="48" t="str">
        <f t="shared" si="14"/>
        <v/>
      </c>
      <c r="AS11" s="11">
        <f t="shared" si="15"/>
        <v>0</v>
      </c>
      <c r="AT11" s="11">
        <f t="shared" si="16"/>
        <v>0</v>
      </c>
    </row>
    <row r="12" spans="1:46" ht="71.25">
      <c r="A12" s="7" t="s">
        <v>5544</v>
      </c>
      <c r="B12" s="7" t="s">
        <v>1596</v>
      </c>
      <c r="C12" s="7" t="s">
        <v>5545</v>
      </c>
      <c r="D12" s="7" t="s">
        <v>5472</v>
      </c>
      <c r="E12" s="7" t="s">
        <v>5473</v>
      </c>
      <c r="F12" s="7" t="s">
        <v>5546</v>
      </c>
      <c r="G12" s="7">
        <v>5</v>
      </c>
      <c r="H12" s="153"/>
      <c r="I12" s="8" t="str">
        <f t="shared" si="0"/>
        <v/>
      </c>
      <c r="J12" s="8" t="str">
        <f t="shared" si="1"/>
        <v/>
      </c>
      <c r="K12" s="8" t="str">
        <f t="shared" si="2"/>
        <v/>
      </c>
      <c r="L12" s="7" t="str">
        <f t="shared" si="3"/>
        <v/>
      </c>
      <c r="M12" s="7" t="s">
        <v>5547</v>
      </c>
      <c r="N12" s="7" t="s">
        <v>5548</v>
      </c>
      <c r="O12" s="7" t="s">
        <v>5549</v>
      </c>
      <c r="P12" s="7" t="s">
        <v>5550</v>
      </c>
      <c r="Q12" s="7" t="s">
        <v>5551</v>
      </c>
      <c r="R12" s="7" t="s">
        <v>5552</v>
      </c>
      <c r="S12" s="7" t="s">
        <v>5481</v>
      </c>
      <c r="T12" s="7" t="s">
        <v>5482</v>
      </c>
      <c r="U12" s="7"/>
      <c r="V12" s="7" t="s">
        <v>5553</v>
      </c>
      <c r="W12" s="14">
        <v>5</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10"/>
        <v/>
      </c>
      <c r="AM12" s="48" t="str">
        <f t="shared" si="11"/>
        <v/>
      </c>
      <c r="AN12" s="48">
        <f>IFERROR(SUMIFS(_TECH_Industry_Templates!$D:$D,_TECH_Industry_Templates!$A:$A,'Company Profile'!$B$9,_TECH_Industry_Templates!$B:$B,"Cyber Privacy"),"")</f>
        <v>4</v>
      </c>
      <c r="AO12" s="48" t="str">
        <f t="shared" si="12"/>
        <v/>
      </c>
      <c r="AP12" s="48">
        <f>IFERROR(SUMIFS(_TECH_Industry_Templates!$E:$E,_TECH_Industry_Templates!$A:$A,'Company Profile'!$B$9,_TECH_Industry_Templates!$B:$B,"Cyber Privacy"),1)</f>
        <v>1.1499999999999999</v>
      </c>
      <c r="AQ12" s="48" t="str">
        <f t="shared" si="13"/>
        <v/>
      </c>
      <c r="AR12" s="48" t="str">
        <f t="shared" si="14"/>
        <v/>
      </c>
      <c r="AS12" s="11">
        <f t="shared" si="15"/>
        <v>0</v>
      </c>
      <c r="AT12" s="11">
        <f t="shared" si="16"/>
        <v>0</v>
      </c>
    </row>
    <row r="13" spans="1:46" ht="57">
      <c r="A13" s="7" t="s">
        <v>5554</v>
      </c>
      <c r="B13" s="7" t="s">
        <v>1596</v>
      </c>
      <c r="C13" s="7" t="s">
        <v>5555</v>
      </c>
      <c r="D13" s="7" t="s">
        <v>5472</v>
      </c>
      <c r="E13" s="7" t="s">
        <v>5473</v>
      </c>
      <c r="F13" s="7" t="s">
        <v>5556</v>
      </c>
      <c r="G13" s="7">
        <v>4</v>
      </c>
      <c r="H13" s="153"/>
      <c r="I13" s="8" t="str">
        <f t="shared" si="0"/>
        <v/>
      </c>
      <c r="J13" s="8" t="str">
        <f t="shared" si="1"/>
        <v/>
      </c>
      <c r="K13" s="8" t="str">
        <f t="shared" si="2"/>
        <v/>
      </c>
      <c r="L13" s="7" t="str">
        <f t="shared" si="3"/>
        <v/>
      </c>
      <c r="M13" s="7" t="s">
        <v>5557</v>
      </c>
      <c r="N13" s="7" t="s">
        <v>5558</v>
      </c>
      <c r="O13" s="7" t="s">
        <v>5559</v>
      </c>
      <c r="P13" s="7" t="s">
        <v>5560</v>
      </c>
      <c r="Q13" s="7" t="s">
        <v>5561</v>
      </c>
      <c r="R13" s="7" t="s">
        <v>5562</v>
      </c>
      <c r="S13" s="7" t="s">
        <v>5481</v>
      </c>
      <c r="T13" s="7" t="s">
        <v>5482</v>
      </c>
      <c r="U13" s="7"/>
      <c r="V13" s="7" t="s">
        <v>5563</v>
      </c>
      <c r="W13" s="14">
        <v>5</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10"/>
        <v/>
      </c>
      <c r="AM13" s="48" t="str">
        <f t="shared" si="11"/>
        <v/>
      </c>
      <c r="AN13" s="48">
        <f>IFERROR(SUMIFS(_TECH_Industry_Templates!$D:$D,_TECH_Industry_Templates!$A:$A,'Company Profile'!$B$9,_TECH_Industry_Templates!$B:$B,"Cyber Privacy"),"")</f>
        <v>4</v>
      </c>
      <c r="AO13" s="48" t="str">
        <f t="shared" si="12"/>
        <v/>
      </c>
      <c r="AP13" s="48">
        <f>IFERROR(SUMIFS(_TECH_Industry_Templates!$E:$E,_TECH_Industry_Templates!$A:$A,'Company Profile'!$B$9,_TECH_Industry_Templates!$B:$B,"Cyber Privacy"),1)</f>
        <v>1.1499999999999999</v>
      </c>
      <c r="AQ13" s="48" t="str">
        <f t="shared" si="13"/>
        <v/>
      </c>
      <c r="AR13" s="48" t="str">
        <f t="shared" si="14"/>
        <v/>
      </c>
      <c r="AS13" s="11">
        <f t="shared" si="15"/>
        <v>0</v>
      </c>
      <c r="AT13" s="11">
        <f t="shared" si="16"/>
        <v>0</v>
      </c>
    </row>
    <row r="14" spans="1:46" ht="57">
      <c r="A14" s="7" t="s">
        <v>5564</v>
      </c>
      <c r="B14" s="7" t="s">
        <v>1596</v>
      </c>
      <c r="C14" s="7" t="s">
        <v>5565</v>
      </c>
      <c r="D14" s="7" t="s">
        <v>5472</v>
      </c>
      <c r="E14" s="7" t="s">
        <v>5473</v>
      </c>
      <c r="F14" s="7" t="s">
        <v>5566</v>
      </c>
      <c r="G14" s="7">
        <v>3</v>
      </c>
      <c r="H14" s="153"/>
      <c r="I14" s="8" t="str">
        <f t="shared" si="0"/>
        <v/>
      </c>
      <c r="J14" s="8" t="str">
        <f t="shared" si="1"/>
        <v/>
      </c>
      <c r="K14" s="8" t="str">
        <f t="shared" si="2"/>
        <v/>
      </c>
      <c r="L14" s="7" t="str">
        <f t="shared" si="3"/>
        <v/>
      </c>
      <c r="M14" s="7" t="s">
        <v>5567</v>
      </c>
      <c r="N14" s="7" t="s">
        <v>5568</v>
      </c>
      <c r="O14" s="7" t="s">
        <v>5569</v>
      </c>
      <c r="P14" s="7" t="s">
        <v>5570</v>
      </c>
      <c r="Q14" s="7" t="s">
        <v>5571</v>
      </c>
      <c r="R14" s="7" t="s">
        <v>5572</v>
      </c>
      <c r="S14" s="7" t="s">
        <v>5481</v>
      </c>
      <c r="T14" s="7" t="s">
        <v>5482</v>
      </c>
      <c r="U14" s="7"/>
      <c r="V14" s="7" t="s">
        <v>5573</v>
      </c>
      <c r="W14" s="14">
        <v>5</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10"/>
        <v/>
      </c>
      <c r="AM14" s="48" t="str">
        <f t="shared" si="11"/>
        <v/>
      </c>
      <c r="AN14" s="48">
        <f>IFERROR(SUMIFS(_TECH_Industry_Templates!$D:$D,_TECH_Industry_Templates!$A:$A,'Company Profile'!$B$9,_TECH_Industry_Templates!$B:$B,"Cyber Privacy"),"")</f>
        <v>4</v>
      </c>
      <c r="AO14" s="48" t="str">
        <f t="shared" si="12"/>
        <v/>
      </c>
      <c r="AP14" s="48">
        <f>IFERROR(SUMIFS(_TECH_Industry_Templates!$E:$E,_TECH_Industry_Templates!$A:$A,'Company Profile'!$B$9,_TECH_Industry_Templates!$B:$B,"Cyber Privacy"),1)</f>
        <v>1.1499999999999999</v>
      </c>
      <c r="AQ14" s="48" t="str">
        <f t="shared" si="13"/>
        <v/>
      </c>
      <c r="AR14" s="48" t="str">
        <f t="shared" si="14"/>
        <v/>
      </c>
      <c r="AS14" s="11">
        <f t="shared" si="15"/>
        <v>0</v>
      </c>
      <c r="AT14" s="11">
        <f t="shared" si="16"/>
        <v>0</v>
      </c>
    </row>
    <row r="15" spans="1:46" ht="57">
      <c r="A15" s="7" t="s">
        <v>5574</v>
      </c>
      <c r="B15" s="7" t="s">
        <v>1596</v>
      </c>
      <c r="C15" s="7" t="s">
        <v>5575</v>
      </c>
      <c r="D15" s="7" t="s">
        <v>5472</v>
      </c>
      <c r="E15" s="7" t="s">
        <v>5473</v>
      </c>
      <c r="F15" s="7" t="s">
        <v>5576</v>
      </c>
      <c r="G15" s="7">
        <v>4</v>
      </c>
      <c r="H15" s="153"/>
      <c r="I15" s="8" t="str">
        <f t="shared" si="0"/>
        <v/>
      </c>
      <c r="J15" s="8" t="str">
        <f t="shared" si="1"/>
        <v/>
      </c>
      <c r="K15" s="8" t="str">
        <f t="shared" si="2"/>
        <v/>
      </c>
      <c r="L15" s="7" t="str">
        <f t="shared" si="3"/>
        <v/>
      </c>
      <c r="M15" s="7" t="s">
        <v>5577</v>
      </c>
      <c r="N15" s="7" t="s">
        <v>5578</v>
      </c>
      <c r="O15" s="7" t="s">
        <v>5579</v>
      </c>
      <c r="P15" s="7" t="s">
        <v>5580</v>
      </c>
      <c r="Q15" s="7" t="s">
        <v>5581</v>
      </c>
      <c r="R15" s="7" t="s">
        <v>5582</v>
      </c>
      <c r="S15" s="7" t="s">
        <v>5481</v>
      </c>
      <c r="T15" s="7" t="s">
        <v>5482</v>
      </c>
      <c r="U15" s="7"/>
      <c r="V15" s="7" t="s">
        <v>5583</v>
      </c>
      <c r="W15" s="14">
        <v>5</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10"/>
        <v/>
      </c>
      <c r="AM15" s="48" t="str">
        <f t="shared" si="11"/>
        <v/>
      </c>
      <c r="AN15" s="48">
        <f>IFERROR(SUMIFS(_TECH_Industry_Templates!$D:$D,_TECH_Industry_Templates!$A:$A,'Company Profile'!$B$9,_TECH_Industry_Templates!$B:$B,"Cyber Privacy"),"")</f>
        <v>4</v>
      </c>
      <c r="AO15" s="48" t="str">
        <f t="shared" si="12"/>
        <v/>
      </c>
      <c r="AP15" s="48">
        <f>IFERROR(SUMIFS(_TECH_Industry_Templates!$E:$E,_TECH_Industry_Templates!$A:$A,'Company Profile'!$B$9,_TECH_Industry_Templates!$B:$B,"Cyber Privacy"),1)</f>
        <v>1.1499999999999999</v>
      </c>
      <c r="AQ15" s="48" t="str">
        <f t="shared" si="13"/>
        <v/>
      </c>
      <c r="AR15" s="48" t="str">
        <f t="shared" si="14"/>
        <v/>
      </c>
      <c r="AS15" s="11">
        <f t="shared" si="15"/>
        <v>0</v>
      </c>
      <c r="AT15" s="11">
        <f t="shared" si="16"/>
        <v>0</v>
      </c>
    </row>
    <row r="16" spans="1:46" ht="71.25">
      <c r="A16" s="7" t="s">
        <v>5584</v>
      </c>
      <c r="B16" s="7" t="s">
        <v>1596</v>
      </c>
      <c r="C16" s="7" t="s">
        <v>5585</v>
      </c>
      <c r="D16" s="7" t="s">
        <v>5472</v>
      </c>
      <c r="E16" s="7" t="s">
        <v>5473</v>
      </c>
      <c r="F16" s="7" t="s">
        <v>5586</v>
      </c>
      <c r="G16" s="7">
        <v>5</v>
      </c>
      <c r="H16" s="153"/>
      <c r="I16" s="8" t="str">
        <f t="shared" si="0"/>
        <v/>
      </c>
      <c r="J16" s="8" t="str">
        <f t="shared" si="1"/>
        <v/>
      </c>
      <c r="K16" s="8" t="str">
        <f t="shared" si="2"/>
        <v/>
      </c>
      <c r="L16" s="7" t="str">
        <f t="shared" si="3"/>
        <v/>
      </c>
      <c r="M16" s="7" t="s">
        <v>5587</v>
      </c>
      <c r="N16" s="7" t="s">
        <v>5588</v>
      </c>
      <c r="O16" s="7" t="s">
        <v>5589</v>
      </c>
      <c r="P16" s="7" t="s">
        <v>5590</v>
      </c>
      <c r="Q16" s="7" t="s">
        <v>5591</v>
      </c>
      <c r="R16" s="7" t="s">
        <v>5592</v>
      </c>
      <c r="S16" s="7" t="s">
        <v>5481</v>
      </c>
      <c r="T16" s="7" t="s">
        <v>5482</v>
      </c>
      <c r="U16" s="7"/>
      <c r="V16" s="7" t="s">
        <v>5593</v>
      </c>
      <c r="W16" s="14">
        <v>5</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10"/>
        <v/>
      </c>
      <c r="AM16" s="48" t="str">
        <f t="shared" si="11"/>
        <v/>
      </c>
      <c r="AN16" s="48">
        <f>IFERROR(SUMIFS(_TECH_Industry_Templates!$D:$D,_TECH_Industry_Templates!$A:$A,'Company Profile'!$B$9,_TECH_Industry_Templates!$B:$B,"Cyber Privacy"),"")</f>
        <v>4</v>
      </c>
      <c r="AO16" s="48" t="str">
        <f t="shared" si="12"/>
        <v/>
      </c>
      <c r="AP16" s="48">
        <f>IFERROR(SUMIFS(_TECH_Industry_Templates!$E:$E,_TECH_Industry_Templates!$A:$A,'Company Profile'!$B$9,_TECH_Industry_Templates!$B:$B,"Cyber Privacy"),1)</f>
        <v>1.1499999999999999</v>
      </c>
      <c r="AQ16" s="48" t="str">
        <f t="shared" si="13"/>
        <v/>
      </c>
      <c r="AR16" s="48" t="str">
        <f t="shared" si="14"/>
        <v/>
      </c>
      <c r="AS16" s="11">
        <f t="shared" si="15"/>
        <v>0</v>
      </c>
      <c r="AT16" s="11">
        <f t="shared" si="16"/>
        <v>0</v>
      </c>
    </row>
    <row r="17" spans="1:46" ht="71.25">
      <c r="A17" s="7" t="s">
        <v>5594</v>
      </c>
      <c r="B17" s="7" t="s">
        <v>1604</v>
      </c>
      <c r="C17" s="7" t="s">
        <v>5595</v>
      </c>
      <c r="D17" s="7" t="s">
        <v>5472</v>
      </c>
      <c r="E17" s="7" t="s">
        <v>5473</v>
      </c>
      <c r="F17" s="7" t="s">
        <v>5596</v>
      </c>
      <c r="G17" s="7">
        <v>5</v>
      </c>
      <c r="H17" s="153"/>
      <c r="I17" s="8" t="str">
        <f t="shared" si="0"/>
        <v/>
      </c>
      <c r="J17" s="8" t="str">
        <f t="shared" si="1"/>
        <v/>
      </c>
      <c r="K17" s="8" t="str">
        <f t="shared" si="2"/>
        <v/>
      </c>
      <c r="L17" s="7" t="str">
        <f t="shared" si="3"/>
        <v/>
      </c>
      <c r="M17" s="7" t="s">
        <v>5597</v>
      </c>
      <c r="N17" s="7" t="s">
        <v>5598</v>
      </c>
      <c r="O17" s="7" t="s">
        <v>5599</v>
      </c>
      <c r="P17" s="7" t="s">
        <v>5600</v>
      </c>
      <c r="Q17" s="7" t="s">
        <v>5601</v>
      </c>
      <c r="R17" s="7" t="s">
        <v>5602</v>
      </c>
      <c r="S17" s="7" t="s">
        <v>5481</v>
      </c>
      <c r="T17" s="7" t="s">
        <v>5482</v>
      </c>
      <c r="U17" s="7"/>
      <c r="V17" s="7" t="s">
        <v>5603</v>
      </c>
      <c r="W17" s="14">
        <v>5</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10"/>
        <v/>
      </c>
      <c r="AM17" s="48" t="str">
        <f t="shared" si="11"/>
        <v/>
      </c>
      <c r="AN17" s="48">
        <f>IFERROR(SUMIFS(_TECH_Industry_Templates!$D:$D,_TECH_Industry_Templates!$A:$A,'Company Profile'!$B$9,_TECH_Industry_Templates!$B:$B,"Cyber Privacy"),"")</f>
        <v>4</v>
      </c>
      <c r="AO17" s="48" t="str">
        <f t="shared" si="12"/>
        <v/>
      </c>
      <c r="AP17" s="48">
        <f>IFERROR(SUMIFS(_TECH_Industry_Templates!$E:$E,_TECH_Industry_Templates!$A:$A,'Company Profile'!$B$9,_TECH_Industry_Templates!$B:$B,"Cyber Privacy"),1)</f>
        <v>1.1499999999999999</v>
      </c>
      <c r="AQ17" s="48" t="str">
        <f t="shared" si="13"/>
        <v/>
      </c>
      <c r="AR17" s="48" t="str">
        <f t="shared" si="14"/>
        <v/>
      </c>
      <c r="AS17" s="11">
        <f t="shared" si="15"/>
        <v>0</v>
      </c>
      <c r="AT17" s="11">
        <f t="shared" si="16"/>
        <v>0</v>
      </c>
    </row>
    <row r="18" spans="1:46" ht="71.25">
      <c r="A18" s="7" t="s">
        <v>5604</v>
      </c>
      <c r="B18" s="7" t="s">
        <v>1604</v>
      </c>
      <c r="C18" s="7" t="s">
        <v>5605</v>
      </c>
      <c r="D18" s="7" t="s">
        <v>5472</v>
      </c>
      <c r="E18" s="7" t="s">
        <v>5473</v>
      </c>
      <c r="F18" s="7" t="s">
        <v>5606</v>
      </c>
      <c r="G18" s="7">
        <v>5</v>
      </c>
      <c r="H18" s="153"/>
      <c r="I18" s="8" t="str">
        <f t="shared" si="0"/>
        <v/>
      </c>
      <c r="J18" s="8" t="str">
        <f t="shared" si="1"/>
        <v/>
      </c>
      <c r="K18" s="8" t="str">
        <f t="shared" si="2"/>
        <v/>
      </c>
      <c r="L18" s="7" t="str">
        <f t="shared" si="3"/>
        <v/>
      </c>
      <c r="M18" s="7" t="s">
        <v>5607</v>
      </c>
      <c r="N18" s="7" t="s">
        <v>5608</v>
      </c>
      <c r="O18" s="7" t="s">
        <v>5609</v>
      </c>
      <c r="P18" s="7" t="s">
        <v>5610</v>
      </c>
      <c r="Q18" s="7" t="s">
        <v>5611</v>
      </c>
      <c r="R18" s="7" t="s">
        <v>5612</v>
      </c>
      <c r="S18" s="7" t="s">
        <v>5481</v>
      </c>
      <c r="T18" s="7" t="s">
        <v>5482</v>
      </c>
      <c r="U18" s="7"/>
      <c r="V18" s="7" t="s">
        <v>5613</v>
      </c>
      <c r="W18" s="14">
        <v>5</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10"/>
        <v/>
      </c>
      <c r="AM18" s="48" t="str">
        <f t="shared" si="11"/>
        <v/>
      </c>
      <c r="AN18" s="48">
        <f>IFERROR(SUMIFS(_TECH_Industry_Templates!$D:$D,_TECH_Industry_Templates!$A:$A,'Company Profile'!$B$9,_TECH_Industry_Templates!$B:$B,"Cyber Privacy"),"")</f>
        <v>4</v>
      </c>
      <c r="AO18" s="48" t="str">
        <f t="shared" si="12"/>
        <v/>
      </c>
      <c r="AP18" s="48">
        <f>IFERROR(SUMIFS(_TECH_Industry_Templates!$E:$E,_TECH_Industry_Templates!$A:$A,'Company Profile'!$B$9,_TECH_Industry_Templates!$B:$B,"Cyber Privacy"),1)</f>
        <v>1.1499999999999999</v>
      </c>
      <c r="AQ18" s="48" t="str">
        <f t="shared" si="13"/>
        <v/>
      </c>
      <c r="AR18" s="48" t="str">
        <f t="shared" si="14"/>
        <v/>
      </c>
      <c r="AS18" s="11">
        <f t="shared" si="15"/>
        <v>0</v>
      </c>
      <c r="AT18" s="11">
        <f t="shared" si="16"/>
        <v>0</v>
      </c>
    </row>
    <row r="19" spans="1:46" ht="71.25">
      <c r="A19" s="7" t="s">
        <v>5614</v>
      </c>
      <c r="B19" s="7" t="s">
        <v>1604</v>
      </c>
      <c r="C19" s="7" t="s">
        <v>5615</v>
      </c>
      <c r="D19" s="7" t="s">
        <v>5472</v>
      </c>
      <c r="E19" s="7" t="s">
        <v>5473</v>
      </c>
      <c r="F19" s="7" t="s">
        <v>5616</v>
      </c>
      <c r="G19" s="7">
        <v>5</v>
      </c>
      <c r="H19" s="153"/>
      <c r="I19" s="8" t="str">
        <f t="shared" si="0"/>
        <v/>
      </c>
      <c r="J19" s="8" t="str">
        <f t="shared" si="1"/>
        <v/>
      </c>
      <c r="K19" s="8" t="str">
        <f t="shared" si="2"/>
        <v/>
      </c>
      <c r="L19" s="7" t="str">
        <f t="shared" si="3"/>
        <v/>
      </c>
      <c r="M19" s="7" t="s">
        <v>5617</v>
      </c>
      <c r="N19" s="7" t="s">
        <v>5618</v>
      </c>
      <c r="O19" s="7" t="s">
        <v>5619</v>
      </c>
      <c r="P19" s="7" t="s">
        <v>5620</v>
      </c>
      <c r="Q19" s="7" t="s">
        <v>5621</v>
      </c>
      <c r="R19" s="7" t="s">
        <v>5622</v>
      </c>
      <c r="S19" s="7" t="s">
        <v>5481</v>
      </c>
      <c r="T19" s="7" t="s">
        <v>5482</v>
      </c>
      <c r="U19" s="7"/>
      <c r="V19" s="7" t="s">
        <v>5623</v>
      </c>
      <c r="W19" s="14">
        <v>5</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10"/>
        <v/>
      </c>
      <c r="AM19" s="48" t="str">
        <f t="shared" si="11"/>
        <v/>
      </c>
      <c r="AN19" s="48">
        <f>IFERROR(SUMIFS(_TECH_Industry_Templates!$D:$D,_TECH_Industry_Templates!$A:$A,'Company Profile'!$B$9,_TECH_Industry_Templates!$B:$B,"Cyber Privacy"),"")</f>
        <v>4</v>
      </c>
      <c r="AO19" s="48" t="str">
        <f t="shared" si="12"/>
        <v/>
      </c>
      <c r="AP19" s="48">
        <f>IFERROR(SUMIFS(_TECH_Industry_Templates!$E:$E,_TECH_Industry_Templates!$A:$A,'Company Profile'!$B$9,_TECH_Industry_Templates!$B:$B,"Cyber Privacy"),1)</f>
        <v>1.1499999999999999</v>
      </c>
      <c r="AQ19" s="48" t="str">
        <f t="shared" si="13"/>
        <v/>
      </c>
      <c r="AR19" s="48" t="str">
        <f t="shared" si="14"/>
        <v/>
      </c>
      <c r="AS19" s="11">
        <f t="shared" si="15"/>
        <v>0</v>
      </c>
      <c r="AT19" s="11">
        <f t="shared" si="16"/>
        <v>0</v>
      </c>
    </row>
    <row r="20" spans="1:46" ht="71.25">
      <c r="A20" s="7" t="s">
        <v>5624</v>
      </c>
      <c r="B20" s="7" t="s">
        <v>1604</v>
      </c>
      <c r="C20" s="7" t="s">
        <v>5625</v>
      </c>
      <c r="D20" s="7" t="s">
        <v>5472</v>
      </c>
      <c r="E20" s="7" t="s">
        <v>5473</v>
      </c>
      <c r="F20" s="7" t="s">
        <v>5626</v>
      </c>
      <c r="G20" s="7">
        <v>3</v>
      </c>
      <c r="H20" s="153"/>
      <c r="I20" s="8" t="str">
        <f t="shared" si="0"/>
        <v/>
      </c>
      <c r="J20" s="8" t="str">
        <f t="shared" si="1"/>
        <v/>
      </c>
      <c r="K20" s="8" t="str">
        <f t="shared" si="2"/>
        <v/>
      </c>
      <c r="L20" s="7" t="str">
        <f t="shared" si="3"/>
        <v/>
      </c>
      <c r="M20" s="7" t="s">
        <v>5627</v>
      </c>
      <c r="N20" s="7" t="s">
        <v>5628</v>
      </c>
      <c r="O20" s="7" t="s">
        <v>5629</v>
      </c>
      <c r="P20" s="7" t="s">
        <v>5630</v>
      </c>
      <c r="Q20" s="7" t="s">
        <v>5631</v>
      </c>
      <c r="R20" s="7" t="s">
        <v>5632</v>
      </c>
      <c r="S20" s="7" t="s">
        <v>5481</v>
      </c>
      <c r="T20" s="7" t="s">
        <v>5482</v>
      </c>
      <c r="U20" s="7"/>
      <c r="V20" s="7" t="s">
        <v>5633</v>
      </c>
      <c r="W20" s="14">
        <v>5</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10"/>
        <v/>
      </c>
      <c r="AM20" s="48" t="str">
        <f t="shared" si="11"/>
        <v/>
      </c>
      <c r="AN20" s="48">
        <f>IFERROR(SUMIFS(_TECH_Industry_Templates!$D:$D,_TECH_Industry_Templates!$A:$A,'Company Profile'!$B$9,_TECH_Industry_Templates!$B:$B,"Cyber Privacy"),"")</f>
        <v>4</v>
      </c>
      <c r="AO20" s="48" t="str">
        <f t="shared" si="12"/>
        <v/>
      </c>
      <c r="AP20" s="48">
        <f>IFERROR(SUMIFS(_TECH_Industry_Templates!$E:$E,_TECH_Industry_Templates!$A:$A,'Company Profile'!$B$9,_TECH_Industry_Templates!$B:$B,"Cyber Privacy"),1)</f>
        <v>1.1499999999999999</v>
      </c>
      <c r="AQ20" s="48" t="str">
        <f t="shared" si="13"/>
        <v/>
      </c>
      <c r="AR20" s="48" t="str">
        <f t="shared" si="14"/>
        <v/>
      </c>
      <c r="AS20" s="11">
        <f t="shared" si="15"/>
        <v>0</v>
      </c>
      <c r="AT20" s="11">
        <f t="shared" si="16"/>
        <v>0</v>
      </c>
    </row>
    <row r="21" spans="1:46" ht="71.25">
      <c r="A21" s="7" t="s">
        <v>5634</v>
      </c>
      <c r="B21" s="7" t="s">
        <v>1604</v>
      </c>
      <c r="C21" s="7" t="s">
        <v>5635</v>
      </c>
      <c r="D21" s="7" t="s">
        <v>5472</v>
      </c>
      <c r="E21" s="7" t="s">
        <v>5473</v>
      </c>
      <c r="F21" s="7" t="s">
        <v>5636</v>
      </c>
      <c r="G21" s="7">
        <v>5</v>
      </c>
      <c r="H21" s="153"/>
      <c r="I21" s="8" t="str">
        <f t="shared" si="0"/>
        <v/>
      </c>
      <c r="J21" s="8" t="str">
        <f t="shared" si="1"/>
        <v/>
      </c>
      <c r="K21" s="8" t="str">
        <f t="shared" si="2"/>
        <v/>
      </c>
      <c r="L21" s="7" t="str">
        <f t="shared" si="3"/>
        <v/>
      </c>
      <c r="M21" s="7" t="s">
        <v>5637</v>
      </c>
      <c r="N21" s="7" t="s">
        <v>5638</v>
      </c>
      <c r="O21" s="7" t="s">
        <v>5639</v>
      </c>
      <c r="P21" s="7" t="s">
        <v>5640</v>
      </c>
      <c r="Q21" s="7" t="s">
        <v>5641</v>
      </c>
      <c r="R21" s="7" t="s">
        <v>5642</v>
      </c>
      <c r="S21" s="7" t="s">
        <v>5481</v>
      </c>
      <c r="T21" s="7" t="s">
        <v>5482</v>
      </c>
      <c r="U21" s="7"/>
      <c r="V21" s="7" t="s">
        <v>5643</v>
      </c>
      <c r="W21" s="14">
        <v>5</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10"/>
        <v/>
      </c>
      <c r="AM21" s="48" t="str">
        <f t="shared" si="11"/>
        <v/>
      </c>
      <c r="AN21" s="48">
        <f>IFERROR(SUMIFS(_TECH_Industry_Templates!$D:$D,_TECH_Industry_Templates!$A:$A,'Company Profile'!$B$9,_TECH_Industry_Templates!$B:$B,"Cyber Privacy"),"")</f>
        <v>4</v>
      </c>
      <c r="AO21" s="48" t="str">
        <f t="shared" si="12"/>
        <v/>
      </c>
      <c r="AP21" s="48">
        <f>IFERROR(SUMIFS(_TECH_Industry_Templates!$E:$E,_TECH_Industry_Templates!$A:$A,'Company Profile'!$B$9,_TECH_Industry_Templates!$B:$B,"Cyber Privacy"),1)</f>
        <v>1.1499999999999999</v>
      </c>
      <c r="AQ21" s="48" t="str">
        <f t="shared" si="13"/>
        <v/>
      </c>
      <c r="AR21" s="48" t="str">
        <f t="shared" si="14"/>
        <v/>
      </c>
      <c r="AS21" s="11">
        <f t="shared" si="15"/>
        <v>0</v>
      </c>
      <c r="AT21" s="11">
        <f t="shared" si="16"/>
        <v>0</v>
      </c>
    </row>
    <row r="22" spans="1:46" ht="57">
      <c r="A22" s="7" t="s">
        <v>5644</v>
      </c>
      <c r="B22" s="7" t="s">
        <v>1604</v>
      </c>
      <c r="C22" s="7" t="s">
        <v>5645</v>
      </c>
      <c r="D22" s="7" t="s">
        <v>5472</v>
      </c>
      <c r="E22" s="7" t="s">
        <v>5473</v>
      </c>
      <c r="F22" s="7" t="s">
        <v>5646</v>
      </c>
      <c r="G22" s="7">
        <v>3</v>
      </c>
      <c r="H22" s="153"/>
      <c r="I22" s="8" t="str">
        <f t="shared" si="0"/>
        <v/>
      </c>
      <c r="J22" s="8" t="str">
        <f t="shared" si="1"/>
        <v/>
      </c>
      <c r="K22" s="8" t="str">
        <f t="shared" si="2"/>
        <v/>
      </c>
      <c r="L22" s="7" t="str">
        <f t="shared" si="3"/>
        <v/>
      </c>
      <c r="M22" s="7" t="s">
        <v>5647</v>
      </c>
      <c r="N22" s="7" t="s">
        <v>5648</v>
      </c>
      <c r="O22" s="7" t="s">
        <v>5649</v>
      </c>
      <c r="P22" s="7" t="s">
        <v>5650</v>
      </c>
      <c r="Q22" s="7" t="s">
        <v>5651</v>
      </c>
      <c r="R22" s="7" t="s">
        <v>5652</v>
      </c>
      <c r="S22" s="7" t="s">
        <v>5481</v>
      </c>
      <c r="T22" s="7" t="s">
        <v>5482</v>
      </c>
      <c r="U22" s="7"/>
      <c r="V22" s="7" t="s">
        <v>5653</v>
      </c>
      <c r="W22" s="14">
        <v>5</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10"/>
        <v/>
      </c>
      <c r="AM22" s="48" t="str">
        <f t="shared" si="11"/>
        <v/>
      </c>
      <c r="AN22" s="48">
        <f>IFERROR(SUMIFS(_TECH_Industry_Templates!$D:$D,_TECH_Industry_Templates!$A:$A,'Company Profile'!$B$9,_TECH_Industry_Templates!$B:$B,"Cyber Privacy"),"")</f>
        <v>4</v>
      </c>
      <c r="AO22" s="48" t="str">
        <f t="shared" si="12"/>
        <v/>
      </c>
      <c r="AP22" s="48">
        <f>IFERROR(SUMIFS(_TECH_Industry_Templates!$E:$E,_TECH_Industry_Templates!$A:$A,'Company Profile'!$B$9,_TECH_Industry_Templates!$B:$B,"Cyber Privacy"),1)</f>
        <v>1.1499999999999999</v>
      </c>
      <c r="AQ22" s="48" t="str">
        <f t="shared" si="13"/>
        <v/>
      </c>
      <c r="AR22" s="48" t="str">
        <f t="shared" si="14"/>
        <v/>
      </c>
      <c r="AS22" s="11">
        <f t="shared" si="15"/>
        <v>0</v>
      </c>
      <c r="AT22" s="11">
        <f t="shared" si="16"/>
        <v>0</v>
      </c>
    </row>
    <row r="23" spans="1:46" ht="57">
      <c r="A23" s="7" t="s">
        <v>5654</v>
      </c>
      <c r="B23" s="7" t="s">
        <v>1604</v>
      </c>
      <c r="C23" s="7" t="s">
        <v>5655</v>
      </c>
      <c r="D23" s="7" t="s">
        <v>5472</v>
      </c>
      <c r="E23" s="7" t="s">
        <v>5473</v>
      </c>
      <c r="F23" s="7" t="s">
        <v>5656</v>
      </c>
      <c r="G23" s="7">
        <v>4</v>
      </c>
      <c r="H23" s="153"/>
      <c r="I23" s="8" t="str">
        <f t="shared" si="0"/>
        <v/>
      </c>
      <c r="J23" s="8" t="str">
        <f t="shared" si="1"/>
        <v/>
      </c>
      <c r="K23" s="8" t="str">
        <f t="shared" si="2"/>
        <v/>
      </c>
      <c r="L23" s="7" t="str">
        <f t="shared" si="3"/>
        <v/>
      </c>
      <c r="M23" s="7" t="s">
        <v>5657</v>
      </c>
      <c r="N23" s="7" t="s">
        <v>5658</v>
      </c>
      <c r="O23" s="7" t="s">
        <v>5659</v>
      </c>
      <c r="P23" s="7" t="s">
        <v>5660</v>
      </c>
      <c r="Q23" s="7" t="s">
        <v>5661</v>
      </c>
      <c r="R23" s="7" t="s">
        <v>5662</v>
      </c>
      <c r="S23" s="7" t="s">
        <v>5481</v>
      </c>
      <c r="T23" s="7" t="s">
        <v>5482</v>
      </c>
      <c r="U23" s="7"/>
      <c r="V23" s="7" t="s">
        <v>5663</v>
      </c>
      <c r="W23" s="14">
        <v>5</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10"/>
        <v/>
      </c>
      <c r="AM23" s="48" t="str">
        <f t="shared" si="11"/>
        <v/>
      </c>
      <c r="AN23" s="48">
        <f>IFERROR(SUMIFS(_TECH_Industry_Templates!$D:$D,_TECH_Industry_Templates!$A:$A,'Company Profile'!$B$9,_TECH_Industry_Templates!$B:$B,"Cyber Privacy"),"")</f>
        <v>4</v>
      </c>
      <c r="AO23" s="48" t="str">
        <f t="shared" si="12"/>
        <v/>
      </c>
      <c r="AP23" s="48">
        <f>IFERROR(SUMIFS(_TECH_Industry_Templates!$E:$E,_TECH_Industry_Templates!$A:$A,'Company Profile'!$B$9,_TECH_Industry_Templates!$B:$B,"Cyber Privacy"),1)</f>
        <v>1.1499999999999999</v>
      </c>
      <c r="AQ23" s="48" t="str">
        <f t="shared" si="13"/>
        <v/>
      </c>
      <c r="AR23" s="48" t="str">
        <f t="shared" si="14"/>
        <v/>
      </c>
      <c r="AS23" s="11">
        <f t="shared" si="15"/>
        <v>0</v>
      </c>
      <c r="AT23" s="11">
        <f t="shared" si="16"/>
        <v>0</v>
      </c>
    </row>
    <row r="24" spans="1:46" ht="71.25">
      <c r="A24" s="7" t="s">
        <v>5664</v>
      </c>
      <c r="B24" s="7" t="s">
        <v>1604</v>
      </c>
      <c r="C24" s="7" t="s">
        <v>5665</v>
      </c>
      <c r="D24" s="7" t="s">
        <v>5472</v>
      </c>
      <c r="E24" s="7" t="s">
        <v>5473</v>
      </c>
      <c r="F24" s="7" t="s">
        <v>5666</v>
      </c>
      <c r="G24" s="7">
        <v>5</v>
      </c>
      <c r="H24" s="153"/>
      <c r="I24" s="8" t="str">
        <f t="shared" si="0"/>
        <v/>
      </c>
      <c r="J24" s="8" t="str">
        <f t="shared" si="1"/>
        <v/>
      </c>
      <c r="K24" s="8" t="str">
        <f t="shared" si="2"/>
        <v/>
      </c>
      <c r="L24" s="7" t="str">
        <f t="shared" si="3"/>
        <v/>
      </c>
      <c r="M24" s="7" t="s">
        <v>5667</v>
      </c>
      <c r="N24" s="7" t="s">
        <v>5668</v>
      </c>
      <c r="O24" s="7" t="s">
        <v>5669</v>
      </c>
      <c r="P24" s="7" t="s">
        <v>5670</v>
      </c>
      <c r="Q24" s="7" t="s">
        <v>5671</v>
      </c>
      <c r="R24" s="7" t="s">
        <v>5672</v>
      </c>
      <c r="S24" s="7" t="s">
        <v>5481</v>
      </c>
      <c r="T24" s="7" t="s">
        <v>5482</v>
      </c>
      <c r="U24" s="7"/>
      <c r="V24" s="7" t="s">
        <v>5673</v>
      </c>
      <c r="W24" s="14">
        <v>5</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10"/>
        <v/>
      </c>
      <c r="AM24" s="48" t="str">
        <f t="shared" si="11"/>
        <v/>
      </c>
      <c r="AN24" s="48">
        <f>IFERROR(SUMIFS(_TECH_Industry_Templates!$D:$D,_TECH_Industry_Templates!$A:$A,'Company Profile'!$B$9,_TECH_Industry_Templates!$B:$B,"Cyber Privacy"),"")</f>
        <v>4</v>
      </c>
      <c r="AO24" s="48" t="str">
        <f t="shared" si="12"/>
        <v/>
      </c>
      <c r="AP24" s="48">
        <f>IFERROR(SUMIFS(_TECH_Industry_Templates!$E:$E,_TECH_Industry_Templates!$A:$A,'Company Profile'!$B$9,_TECH_Industry_Templates!$B:$B,"Cyber Privacy"),1)</f>
        <v>1.1499999999999999</v>
      </c>
      <c r="AQ24" s="48" t="str">
        <f t="shared" si="13"/>
        <v/>
      </c>
      <c r="AR24" s="48" t="str">
        <f t="shared" si="14"/>
        <v/>
      </c>
      <c r="AS24" s="11">
        <f t="shared" si="15"/>
        <v>0</v>
      </c>
      <c r="AT24" s="11">
        <f t="shared" si="16"/>
        <v>0</v>
      </c>
    </row>
    <row r="25" spans="1:46" ht="71.25">
      <c r="A25" s="7" t="s">
        <v>5674</v>
      </c>
      <c r="B25" s="7" t="s">
        <v>1612</v>
      </c>
      <c r="C25" s="7" t="s">
        <v>5675</v>
      </c>
      <c r="D25" s="7" t="s">
        <v>5472</v>
      </c>
      <c r="E25" s="7" t="s">
        <v>5473</v>
      </c>
      <c r="F25" s="7" t="s">
        <v>5676</v>
      </c>
      <c r="G25" s="7">
        <v>5</v>
      </c>
      <c r="H25" s="153"/>
      <c r="I25" s="8" t="str">
        <f t="shared" si="0"/>
        <v/>
      </c>
      <c r="J25" s="8" t="str">
        <f t="shared" si="1"/>
        <v/>
      </c>
      <c r="K25" s="8" t="str">
        <f t="shared" si="2"/>
        <v/>
      </c>
      <c r="L25" s="7" t="str">
        <f t="shared" si="3"/>
        <v/>
      </c>
      <c r="M25" s="7" t="s">
        <v>5677</v>
      </c>
      <c r="N25" s="7" t="s">
        <v>5678</v>
      </c>
      <c r="O25" s="7" t="s">
        <v>5679</v>
      </c>
      <c r="P25" s="7" t="s">
        <v>5680</v>
      </c>
      <c r="Q25" s="7" t="s">
        <v>5681</v>
      </c>
      <c r="R25" s="7" t="s">
        <v>5682</v>
      </c>
      <c r="S25" s="7" t="s">
        <v>5481</v>
      </c>
      <c r="T25" s="7" t="s">
        <v>5482</v>
      </c>
      <c r="U25" s="7"/>
      <c r="V25" s="7" t="s">
        <v>5683</v>
      </c>
      <c r="W25" s="14">
        <v>5</v>
      </c>
      <c r="X25" s="14">
        <v>5</v>
      </c>
      <c r="Y25" s="14">
        <v>5</v>
      </c>
      <c r="AH25" s="81"/>
      <c r="AI25" s="81"/>
      <c r="AJ25" s="48" t="str">
        <f>IF(OR($H25="",$H25="N/A"),"",IF($AH25="",VLOOKUP('Company Profile'!$B$40,_TECH_Scoring_Settings!$A$5:$B$8,2,FALSE),IFERROR(VLOOKUP($AH25,_TECH_Scoring_Settings!$A$5:$B$8,2,FALSE),0.9)))</f>
        <v/>
      </c>
      <c r="AK25" s="48" t="str">
        <f>IF(OR($H25="",$H25="N/A"),"",IF($AI25="",VLOOKUP('Company Profile'!$B$41,_TECH_Scoring_Settings!$A$5:$B$8,2,FALSE),IFERROR(VLOOKUP($AI25,_TECH_Scoring_Settings!$A$5:$B$8,2,FALSE),0.9)))</f>
        <v/>
      </c>
      <c r="AL25" s="48" t="str">
        <f t="shared" si="10"/>
        <v/>
      </c>
      <c r="AM25" s="48" t="str">
        <f t="shared" si="11"/>
        <v/>
      </c>
      <c r="AN25" s="48">
        <f>IFERROR(SUMIFS(_TECH_Industry_Templates!$D:$D,_TECH_Industry_Templates!$A:$A,'Company Profile'!$B$9,_TECH_Industry_Templates!$B:$B,"Cyber Privacy"),"")</f>
        <v>4</v>
      </c>
      <c r="AO25" s="48" t="str">
        <f t="shared" si="12"/>
        <v/>
      </c>
      <c r="AP25" s="48">
        <f>IFERROR(SUMIFS(_TECH_Industry_Templates!$E:$E,_TECH_Industry_Templates!$A:$A,'Company Profile'!$B$9,_TECH_Industry_Templates!$B:$B,"Cyber Privacy"),1)</f>
        <v>1.1499999999999999</v>
      </c>
      <c r="AQ25" s="48" t="str">
        <f t="shared" si="13"/>
        <v/>
      </c>
      <c r="AR25" s="48" t="str">
        <f t="shared" si="14"/>
        <v/>
      </c>
      <c r="AS25" s="11">
        <f t="shared" si="15"/>
        <v>0</v>
      </c>
      <c r="AT25" s="11">
        <f t="shared" si="16"/>
        <v>0</v>
      </c>
    </row>
    <row r="26" spans="1:46" ht="57">
      <c r="A26" s="7" t="s">
        <v>5684</v>
      </c>
      <c r="B26" s="7" t="s">
        <v>1612</v>
      </c>
      <c r="C26" s="7" t="s">
        <v>5685</v>
      </c>
      <c r="D26" s="7" t="s">
        <v>5472</v>
      </c>
      <c r="E26" s="7" t="s">
        <v>5473</v>
      </c>
      <c r="F26" s="7" t="s">
        <v>5686</v>
      </c>
      <c r="G26" s="7">
        <v>3</v>
      </c>
      <c r="H26" s="153"/>
      <c r="I26" s="8" t="str">
        <f t="shared" si="0"/>
        <v/>
      </c>
      <c r="J26" s="8" t="str">
        <f t="shared" si="1"/>
        <v/>
      </c>
      <c r="K26" s="8" t="str">
        <f t="shared" si="2"/>
        <v/>
      </c>
      <c r="L26" s="7" t="str">
        <f t="shared" si="3"/>
        <v/>
      </c>
      <c r="M26" s="7" t="s">
        <v>5687</v>
      </c>
      <c r="N26" s="7" t="s">
        <v>5688</v>
      </c>
      <c r="O26" s="7" t="s">
        <v>5689</v>
      </c>
      <c r="P26" s="7" t="s">
        <v>5690</v>
      </c>
      <c r="Q26" s="7" t="s">
        <v>5691</v>
      </c>
      <c r="R26" s="7" t="s">
        <v>5692</v>
      </c>
      <c r="S26" s="7" t="s">
        <v>5481</v>
      </c>
      <c r="T26" s="7" t="s">
        <v>5482</v>
      </c>
      <c r="U26" s="7"/>
      <c r="V26" s="7" t="s">
        <v>5693</v>
      </c>
      <c r="W26" s="14">
        <v>5</v>
      </c>
      <c r="X26" s="14">
        <v>5</v>
      </c>
      <c r="Y26" s="14">
        <v>5</v>
      </c>
      <c r="AH26" s="81"/>
      <c r="AI26" s="81"/>
      <c r="AJ26" s="48" t="str">
        <f>IF(OR($H26="",$H26="N/A"),"",IF($AH26="",VLOOKUP('Company Profile'!$B$40,_TECH_Scoring_Settings!$A$5:$B$8,2,FALSE),IFERROR(VLOOKUP($AH26,_TECH_Scoring_Settings!$A$5:$B$8,2,FALSE),0.9)))</f>
        <v/>
      </c>
      <c r="AK26" s="48" t="str">
        <f>IF(OR($H26="",$H26="N/A"),"",IF($AI26="",VLOOKUP('Company Profile'!$B$41,_TECH_Scoring_Settings!$A$5:$B$8,2,FALSE),IFERROR(VLOOKUP($AI26,_TECH_Scoring_Settings!$A$5:$B$8,2,FALSE),0.9)))</f>
        <v/>
      </c>
      <c r="AL26" s="48" t="str">
        <f t="shared" si="10"/>
        <v/>
      </c>
      <c r="AM26" s="48" t="str">
        <f t="shared" si="11"/>
        <v/>
      </c>
      <c r="AN26" s="48">
        <f>IFERROR(SUMIFS(_TECH_Industry_Templates!$D:$D,_TECH_Industry_Templates!$A:$A,'Company Profile'!$B$9,_TECH_Industry_Templates!$B:$B,"Cyber Privacy"),"")</f>
        <v>4</v>
      </c>
      <c r="AO26" s="48" t="str">
        <f t="shared" si="12"/>
        <v/>
      </c>
      <c r="AP26" s="48">
        <f>IFERROR(SUMIFS(_TECH_Industry_Templates!$E:$E,_TECH_Industry_Templates!$A:$A,'Company Profile'!$B$9,_TECH_Industry_Templates!$B:$B,"Cyber Privacy"),1)</f>
        <v>1.1499999999999999</v>
      </c>
      <c r="AQ26" s="48" t="str">
        <f t="shared" si="13"/>
        <v/>
      </c>
      <c r="AR26" s="48" t="str">
        <f t="shared" si="14"/>
        <v/>
      </c>
      <c r="AS26" s="11">
        <f t="shared" si="15"/>
        <v>0</v>
      </c>
      <c r="AT26" s="11">
        <f t="shared" si="16"/>
        <v>0</v>
      </c>
    </row>
    <row r="27" spans="1:46" ht="71.25">
      <c r="A27" s="7" t="s">
        <v>5694</v>
      </c>
      <c r="B27" s="7" t="s">
        <v>1612</v>
      </c>
      <c r="C27" s="7" t="s">
        <v>5695</v>
      </c>
      <c r="D27" s="7" t="s">
        <v>5472</v>
      </c>
      <c r="E27" s="7" t="s">
        <v>5473</v>
      </c>
      <c r="F27" s="7" t="s">
        <v>5696</v>
      </c>
      <c r="G27" s="7">
        <v>5</v>
      </c>
      <c r="H27" s="153"/>
      <c r="I27" s="8" t="str">
        <f t="shared" si="0"/>
        <v/>
      </c>
      <c r="J27" s="8" t="str">
        <f t="shared" si="1"/>
        <v/>
      </c>
      <c r="K27" s="8" t="str">
        <f t="shared" si="2"/>
        <v/>
      </c>
      <c r="L27" s="7" t="str">
        <f t="shared" si="3"/>
        <v/>
      </c>
      <c r="M27" s="7" t="s">
        <v>5697</v>
      </c>
      <c r="N27" s="7" t="s">
        <v>5698</v>
      </c>
      <c r="O27" s="7" t="s">
        <v>5699</v>
      </c>
      <c r="P27" s="7" t="s">
        <v>5700</v>
      </c>
      <c r="Q27" s="7" t="s">
        <v>5701</v>
      </c>
      <c r="R27" s="7" t="s">
        <v>5702</v>
      </c>
      <c r="S27" s="7" t="s">
        <v>5481</v>
      </c>
      <c r="T27" s="7" t="s">
        <v>5482</v>
      </c>
      <c r="U27" s="7"/>
      <c r="V27" s="7" t="s">
        <v>5703</v>
      </c>
      <c r="W27" s="14">
        <v>5</v>
      </c>
      <c r="X27" s="14">
        <v>5</v>
      </c>
      <c r="Y27" s="14">
        <v>5</v>
      </c>
      <c r="AH27" s="81"/>
      <c r="AI27" s="81"/>
      <c r="AJ27" s="48" t="str">
        <f>IF(OR($H27="",$H27="N/A"),"",IF($AH27="",VLOOKUP('Company Profile'!$B$40,_TECH_Scoring_Settings!$A$5:$B$8,2,FALSE),IFERROR(VLOOKUP($AH27,_TECH_Scoring_Settings!$A$5:$B$8,2,FALSE),0.9)))</f>
        <v/>
      </c>
      <c r="AK27" s="48" t="str">
        <f>IF(OR($H27="",$H27="N/A"),"",IF($AI27="",VLOOKUP('Company Profile'!$B$41,_TECH_Scoring_Settings!$A$5:$B$8,2,FALSE),IFERROR(VLOOKUP($AI27,_TECH_Scoring_Settings!$A$5:$B$8,2,FALSE),0.9)))</f>
        <v/>
      </c>
      <c r="AL27" s="48" t="str">
        <f t="shared" si="10"/>
        <v/>
      </c>
      <c r="AM27" s="48" t="str">
        <f t="shared" si="11"/>
        <v/>
      </c>
      <c r="AN27" s="48">
        <f>IFERROR(SUMIFS(_TECH_Industry_Templates!$D:$D,_TECH_Industry_Templates!$A:$A,'Company Profile'!$B$9,_TECH_Industry_Templates!$B:$B,"Cyber Privacy"),"")</f>
        <v>4</v>
      </c>
      <c r="AO27" s="48" t="str">
        <f t="shared" si="12"/>
        <v/>
      </c>
      <c r="AP27" s="48">
        <f>IFERROR(SUMIFS(_TECH_Industry_Templates!$E:$E,_TECH_Industry_Templates!$A:$A,'Company Profile'!$B$9,_TECH_Industry_Templates!$B:$B,"Cyber Privacy"),1)</f>
        <v>1.1499999999999999</v>
      </c>
      <c r="AQ27" s="48" t="str">
        <f t="shared" si="13"/>
        <v/>
      </c>
      <c r="AR27" s="48" t="str">
        <f t="shared" si="14"/>
        <v/>
      </c>
      <c r="AS27" s="11">
        <f t="shared" si="15"/>
        <v>0</v>
      </c>
      <c r="AT27" s="11">
        <f t="shared" si="16"/>
        <v>0</v>
      </c>
    </row>
    <row r="28" spans="1:46" ht="71.25">
      <c r="A28" s="7" t="s">
        <v>5704</v>
      </c>
      <c r="B28" s="7" t="s">
        <v>1612</v>
      </c>
      <c r="C28" s="7" t="s">
        <v>5705</v>
      </c>
      <c r="D28" s="7" t="s">
        <v>5472</v>
      </c>
      <c r="E28" s="7" t="s">
        <v>5473</v>
      </c>
      <c r="F28" s="7" t="s">
        <v>5706</v>
      </c>
      <c r="G28" s="7">
        <v>5</v>
      </c>
      <c r="H28" s="153"/>
      <c r="I28" s="8" t="str">
        <f t="shared" si="0"/>
        <v/>
      </c>
      <c r="J28" s="8" t="str">
        <f t="shared" si="1"/>
        <v/>
      </c>
      <c r="K28" s="8" t="str">
        <f t="shared" si="2"/>
        <v/>
      </c>
      <c r="L28" s="7" t="str">
        <f t="shared" si="3"/>
        <v/>
      </c>
      <c r="M28" s="7" t="s">
        <v>5707</v>
      </c>
      <c r="N28" s="7" t="s">
        <v>5708</v>
      </c>
      <c r="O28" s="7" t="s">
        <v>5709</v>
      </c>
      <c r="P28" s="7" t="s">
        <v>5710</v>
      </c>
      <c r="Q28" s="7" t="s">
        <v>5711</v>
      </c>
      <c r="R28" s="7" t="s">
        <v>5712</v>
      </c>
      <c r="S28" s="7" t="s">
        <v>5481</v>
      </c>
      <c r="T28" s="7" t="s">
        <v>5482</v>
      </c>
      <c r="U28" s="7"/>
      <c r="V28" s="7" t="s">
        <v>5713</v>
      </c>
      <c r="W28" s="14">
        <v>5</v>
      </c>
      <c r="X28" s="14">
        <v>5</v>
      </c>
      <c r="Y28" s="14">
        <v>5</v>
      </c>
      <c r="AH28" s="81"/>
      <c r="AI28" s="81"/>
      <c r="AJ28" s="48" t="str">
        <f>IF(OR($H28="",$H28="N/A"),"",IF($AH28="",VLOOKUP('Company Profile'!$B$40,_TECH_Scoring_Settings!$A$5:$B$8,2,FALSE),IFERROR(VLOOKUP($AH28,_TECH_Scoring_Settings!$A$5:$B$8,2,FALSE),0.9)))</f>
        <v/>
      </c>
      <c r="AK28" s="48" t="str">
        <f>IF(OR($H28="",$H28="N/A"),"",IF($AI28="",VLOOKUP('Company Profile'!$B$41,_TECH_Scoring_Settings!$A$5:$B$8,2,FALSE),IFERROR(VLOOKUP($AI28,_TECH_Scoring_Settings!$A$5:$B$8,2,FALSE),0.9)))</f>
        <v/>
      </c>
      <c r="AL28" s="48" t="str">
        <f t="shared" si="10"/>
        <v/>
      </c>
      <c r="AM28" s="48" t="str">
        <f t="shared" si="11"/>
        <v/>
      </c>
      <c r="AN28" s="48">
        <f>IFERROR(SUMIFS(_TECH_Industry_Templates!$D:$D,_TECH_Industry_Templates!$A:$A,'Company Profile'!$B$9,_TECH_Industry_Templates!$B:$B,"Cyber Privacy"),"")</f>
        <v>4</v>
      </c>
      <c r="AO28" s="48" t="str">
        <f t="shared" si="12"/>
        <v/>
      </c>
      <c r="AP28" s="48">
        <f>IFERROR(SUMIFS(_TECH_Industry_Templates!$E:$E,_TECH_Industry_Templates!$A:$A,'Company Profile'!$B$9,_TECH_Industry_Templates!$B:$B,"Cyber Privacy"),1)</f>
        <v>1.1499999999999999</v>
      </c>
      <c r="AQ28" s="48" t="str">
        <f t="shared" si="13"/>
        <v/>
      </c>
      <c r="AR28" s="48" t="str">
        <f t="shared" si="14"/>
        <v/>
      </c>
      <c r="AS28" s="11">
        <f t="shared" si="15"/>
        <v>0</v>
      </c>
      <c r="AT28" s="11">
        <f t="shared" si="16"/>
        <v>0</v>
      </c>
    </row>
    <row r="29" spans="1:46" ht="71.25">
      <c r="A29" s="7" t="s">
        <v>5714</v>
      </c>
      <c r="B29" s="7" t="s">
        <v>1612</v>
      </c>
      <c r="C29" s="7" t="s">
        <v>5715</v>
      </c>
      <c r="D29" s="7" t="s">
        <v>5472</v>
      </c>
      <c r="E29" s="7" t="s">
        <v>5473</v>
      </c>
      <c r="F29" s="7" t="s">
        <v>5716</v>
      </c>
      <c r="G29" s="7">
        <v>5</v>
      </c>
      <c r="H29" s="153"/>
      <c r="I29" s="8" t="str">
        <f t="shared" si="0"/>
        <v/>
      </c>
      <c r="J29" s="8" t="str">
        <f t="shared" si="1"/>
        <v/>
      </c>
      <c r="K29" s="8" t="str">
        <f t="shared" si="2"/>
        <v/>
      </c>
      <c r="L29" s="7" t="str">
        <f t="shared" si="3"/>
        <v/>
      </c>
      <c r="M29" s="7" t="s">
        <v>5717</v>
      </c>
      <c r="N29" s="7" t="s">
        <v>5718</v>
      </c>
      <c r="O29" s="7" t="s">
        <v>5719</v>
      </c>
      <c r="P29" s="7" t="s">
        <v>5720</v>
      </c>
      <c r="Q29" s="7" t="s">
        <v>5721</v>
      </c>
      <c r="R29" s="7" t="s">
        <v>5722</v>
      </c>
      <c r="S29" s="7" t="s">
        <v>5481</v>
      </c>
      <c r="T29" s="7" t="s">
        <v>5482</v>
      </c>
      <c r="U29" s="7"/>
      <c r="V29" s="7" t="s">
        <v>5723</v>
      </c>
      <c r="W29" s="14">
        <v>5</v>
      </c>
      <c r="X29" s="14">
        <v>5</v>
      </c>
      <c r="Y29" s="14">
        <v>5</v>
      </c>
      <c r="AH29" s="81"/>
      <c r="AI29" s="81"/>
      <c r="AJ29" s="48" t="str">
        <f>IF(OR($H29="",$H29="N/A"),"",IF($AH29="",VLOOKUP('Company Profile'!$B$40,_TECH_Scoring_Settings!$A$5:$B$8,2,FALSE),IFERROR(VLOOKUP($AH29,_TECH_Scoring_Settings!$A$5:$B$8,2,FALSE),0.9)))</f>
        <v/>
      </c>
      <c r="AK29" s="48" t="str">
        <f>IF(OR($H29="",$H29="N/A"),"",IF($AI29="",VLOOKUP('Company Profile'!$B$41,_TECH_Scoring_Settings!$A$5:$B$8,2,FALSE),IFERROR(VLOOKUP($AI29,_TECH_Scoring_Settings!$A$5:$B$8,2,FALSE),0.9)))</f>
        <v/>
      </c>
      <c r="AL29" s="48" t="str">
        <f t="shared" si="10"/>
        <v/>
      </c>
      <c r="AM29" s="48" t="str">
        <f t="shared" si="11"/>
        <v/>
      </c>
      <c r="AN29" s="48">
        <f>IFERROR(SUMIFS(_TECH_Industry_Templates!$D:$D,_TECH_Industry_Templates!$A:$A,'Company Profile'!$B$9,_TECH_Industry_Templates!$B:$B,"Cyber Privacy"),"")</f>
        <v>4</v>
      </c>
      <c r="AO29" s="48" t="str">
        <f t="shared" si="12"/>
        <v/>
      </c>
      <c r="AP29" s="48">
        <f>IFERROR(SUMIFS(_TECH_Industry_Templates!$E:$E,_TECH_Industry_Templates!$A:$A,'Company Profile'!$B$9,_TECH_Industry_Templates!$B:$B,"Cyber Privacy"),1)</f>
        <v>1.1499999999999999</v>
      </c>
      <c r="AQ29" s="48" t="str">
        <f t="shared" si="13"/>
        <v/>
      </c>
      <c r="AR29" s="48" t="str">
        <f t="shared" si="14"/>
        <v/>
      </c>
      <c r="AS29" s="11">
        <f t="shared" si="15"/>
        <v>0</v>
      </c>
      <c r="AT29" s="11">
        <f t="shared" si="16"/>
        <v>0</v>
      </c>
    </row>
    <row r="30" spans="1:46" ht="57">
      <c r="A30" s="7" t="s">
        <v>5724</v>
      </c>
      <c r="B30" s="7" t="s">
        <v>1612</v>
      </c>
      <c r="C30" s="7" t="s">
        <v>5725</v>
      </c>
      <c r="D30" s="7" t="s">
        <v>5472</v>
      </c>
      <c r="E30" s="7" t="s">
        <v>5473</v>
      </c>
      <c r="F30" s="7" t="s">
        <v>5726</v>
      </c>
      <c r="G30" s="7">
        <v>5</v>
      </c>
      <c r="H30" s="153"/>
      <c r="I30" s="8" t="str">
        <f t="shared" si="0"/>
        <v/>
      </c>
      <c r="J30" s="8" t="str">
        <f t="shared" si="1"/>
        <v/>
      </c>
      <c r="K30" s="8" t="str">
        <f t="shared" si="2"/>
        <v/>
      </c>
      <c r="L30" s="7" t="str">
        <f t="shared" si="3"/>
        <v/>
      </c>
      <c r="M30" s="7" t="s">
        <v>5727</v>
      </c>
      <c r="N30" s="7" t="s">
        <v>5728</v>
      </c>
      <c r="O30" s="7" t="s">
        <v>5729</v>
      </c>
      <c r="P30" s="7" t="s">
        <v>5730</v>
      </c>
      <c r="Q30" s="7" t="s">
        <v>5731</v>
      </c>
      <c r="R30" s="7" t="s">
        <v>5732</v>
      </c>
      <c r="S30" s="7" t="s">
        <v>5481</v>
      </c>
      <c r="T30" s="7" t="s">
        <v>5482</v>
      </c>
      <c r="U30" s="7"/>
      <c r="V30" s="7" t="s">
        <v>5733</v>
      </c>
      <c r="W30" s="14">
        <v>5</v>
      </c>
      <c r="X30" s="14">
        <v>5</v>
      </c>
      <c r="Y30" s="14">
        <v>5</v>
      </c>
      <c r="AH30" s="81"/>
      <c r="AI30" s="81"/>
      <c r="AJ30" s="48" t="str">
        <f>IF(OR($H30="",$H30="N/A"),"",IF($AH30="",VLOOKUP('Company Profile'!$B$40,_TECH_Scoring_Settings!$A$5:$B$8,2,FALSE),IFERROR(VLOOKUP($AH30,_TECH_Scoring_Settings!$A$5:$B$8,2,FALSE),0.9)))</f>
        <v/>
      </c>
      <c r="AK30" s="48" t="str">
        <f>IF(OR($H30="",$H30="N/A"),"",IF($AI30="",VLOOKUP('Company Profile'!$B$41,_TECH_Scoring_Settings!$A$5:$B$8,2,FALSE),IFERROR(VLOOKUP($AI30,_TECH_Scoring_Settings!$A$5:$B$8,2,FALSE),0.9)))</f>
        <v/>
      </c>
      <c r="AL30" s="48" t="str">
        <f t="shared" si="10"/>
        <v/>
      </c>
      <c r="AM30" s="48" t="str">
        <f t="shared" si="11"/>
        <v/>
      </c>
      <c r="AN30" s="48">
        <f>IFERROR(SUMIFS(_TECH_Industry_Templates!$D:$D,_TECH_Industry_Templates!$A:$A,'Company Profile'!$B$9,_TECH_Industry_Templates!$B:$B,"Cyber Privacy"),"")</f>
        <v>4</v>
      </c>
      <c r="AO30" s="48" t="str">
        <f t="shared" si="12"/>
        <v/>
      </c>
      <c r="AP30" s="48">
        <f>IFERROR(SUMIFS(_TECH_Industry_Templates!$E:$E,_TECH_Industry_Templates!$A:$A,'Company Profile'!$B$9,_TECH_Industry_Templates!$B:$B,"Cyber Privacy"),1)</f>
        <v>1.1499999999999999</v>
      </c>
      <c r="AQ30" s="48" t="str">
        <f t="shared" si="13"/>
        <v/>
      </c>
      <c r="AR30" s="48" t="str">
        <f t="shared" si="14"/>
        <v/>
      </c>
      <c r="AS30" s="11">
        <f t="shared" si="15"/>
        <v>0</v>
      </c>
      <c r="AT30" s="11">
        <f t="shared" si="16"/>
        <v>0</v>
      </c>
    </row>
    <row r="31" spans="1:46" ht="57">
      <c r="A31" s="7" t="s">
        <v>5734</v>
      </c>
      <c r="B31" s="7" t="s">
        <v>1620</v>
      </c>
      <c r="C31" s="7" t="s">
        <v>5735</v>
      </c>
      <c r="D31" s="7" t="s">
        <v>5472</v>
      </c>
      <c r="E31" s="7" t="s">
        <v>5473</v>
      </c>
      <c r="F31" s="7" t="s">
        <v>5736</v>
      </c>
      <c r="G31" s="7">
        <v>3</v>
      </c>
      <c r="H31" s="153"/>
      <c r="I31" s="8" t="str">
        <f t="shared" si="0"/>
        <v/>
      </c>
      <c r="J31" s="8" t="str">
        <f t="shared" si="1"/>
        <v/>
      </c>
      <c r="K31" s="8" t="str">
        <f t="shared" si="2"/>
        <v/>
      </c>
      <c r="L31" s="7" t="str">
        <f t="shared" si="3"/>
        <v/>
      </c>
      <c r="M31" s="7" t="s">
        <v>5737</v>
      </c>
      <c r="N31" s="7" t="s">
        <v>5738</v>
      </c>
      <c r="O31" s="7" t="s">
        <v>5739</v>
      </c>
      <c r="P31" s="7" t="s">
        <v>5740</v>
      </c>
      <c r="Q31" s="7" t="s">
        <v>5741</v>
      </c>
      <c r="R31" s="7" t="s">
        <v>5742</v>
      </c>
      <c r="S31" s="7" t="s">
        <v>5481</v>
      </c>
      <c r="T31" s="7" t="s">
        <v>5482</v>
      </c>
      <c r="U31" s="7"/>
      <c r="V31" s="7" t="s">
        <v>5743</v>
      </c>
      <c r="W31" s="14">
        <v>5</v>
      </c>
      <c r="X31" s="14">
        <v>5</v>
      </c>
      <c r="Y31" s="14">
        <v>5</v>
      </c>
      <c r="AH31" s="81"/>
      <c r="AI31" s="81"/>
      <c r="AJ31" s="48" t="str">
        <f>IF(OR($H31="",$H31="N/A"),"",IF($AH31="",VLOOKUP('Company Profile'!$B$40,_TECH_Scoring_Settings!$A$5:$B$8,2,FALSE),IFERROR(VLOOKUP($AH31,_TECH_Scoring_Settings!$A$5:$B$8,2,FALSE),0.9)))</f>
        <v/>
      </c>
      <c r="AK31" s="48" t="str">
        <f>IF(OR($H31="",$H31="N/A"),"",IF($AI31="",VLOOKUP('Company Profile'!$B$41,_TECH_Scoring_Settings!$A$5:$B$8,2,FALSE),IFERROR(VLOOKUP($AI31,_TECH_Scoring_Settings!$A$5:$B$8,2,FALSE),0.9)))</f>
        <v/>
      </c>
      <c r="AL31" s="48" t="str">
        <f t="shared" si="10"/>
        <v/>
      </c>
      <c r="AM31" s="48" t="str">
        <f t="shared" si="11"/>
        <v/>
      </c>
      <c r="AN31" s="48">
        <f>IFERROR(SUMIFS(_TECH_Industry_Templates!$D:$D,_TECH_Industry_Templates!$A:$A,'Company Profile'!$B$9,_TECH_Industry_Templates!$B:$B,"Cyber Privacy"),"")</f>
        <v>4</v>
      </c>
      <c r="AO31" s="48" t="str">
        <f t="shared" si="12"/>
        <v/>
      </c>
      <c r="AP31" s="48">
        <f>IFERROR(SUMIFS(_TECH_Industry_Templates!$E:$E,_TECH_Industry_Templates!$A:$A,'Company Profile'!$B$9,_TECH_Industry_Templates!$B:$B,"Cyber Privacy"),1)</f>
        <v>1.1499999999999999</v>
      </c>
      <c r="AQ31" s="48" t="str">
        <f t="shared" si="13"/>
        <v/>
      </c>
      <c r="AR31" s="48" t="str">
        <f t="shared" si="14"/>
        <v/>
      </c>
      <c r="AS31" s="11">
        <f t="shared" si="15"/>
        <v>0</v>
      </c>
      <c r="AT31" s="11">
        <f t="shared" si="16"/>
        <v>0</v>
      </c>
    </row>
    <row r="32" spans="1:46" ht="71.25">
      <c r="A32" s="7" t="s">
        <v>5744</v>
      </c>
      <c r="B32" s="7" t="s">
        <v>1620</v>
      </c>
      <c r="C32" s="7" t="s">
        <v>5745</v>
      </c>
      <c r="D32" s="7" t="s">
        <v>5472</v>
      </c>
      <c r="E32" s="7" t="s">
        <v>5473</v>
      </c>
      <c r="F32" s="7" t="s">
        <v>5746</v>
      </c>
      <c r="G32" s="7">
        <v>3</v>
      </c>
      <c r="H32" s="153"/>
      <c r="I32" s="8" t="str">
        <f t="shared" si="0"/>
        <v/>
      </c>
      <c r="J32" s="8" t="str">
        <f t="shared" si="1"/>
        <v/>
      </c>
      <c r="K32" s="8" t="str">
        <f t="shared" si="2"/>
        <v/>
      </c>
      <c r="L32" s="7" t="str">
        <f t="shared" si="3"/>
        <v/>
      </c>
      <c r="M32" s="7" t="s">
        <v>5747</v>
      </c>
      <c r="N32" s="7" t="s">
        <v>5748</v>
      </c>
      <c r="O32" s="7" t="s">
        <v>5749</v>
      </c>
      <c r="P32" s="7" t="s">
        <v>5750</v>
      </c>
      <c r="Q32" s="7" t="s">
        <v>5751</v>
      </c>
      <c r="R32" s="7" t="s">
        <v>5752</v>
      </c>
      <c r="S32" s="7" t="s">
        <v>5481</v>
      </c>
      <c r="T32" s="7" t="s">
        <v>5482</v>
      </c>
      <c r="U32" s="7"/>
      <c r="V32" s="7" t="s">
        <v>5753</v>
      </c>
      <c r="W32" s="14">
        <v>5</v>
      </c>
      <c r="X32" s="14">
        <v>5</v>
      </c>
      <c r="Y32" s="14">
        <v>5</v>
      </c>
      <c r="AH32" s="81"/>
      <c r="AI32" s="81"/>
      <c r="AJ32" s="48" t="str">
        <f>IF(OR($H32="",$H32="N/A"),"",IF($AH32="",VLOOKUP('Company Profile'!$B$40,_TECH_Scoring_Settings!$A$5:$B$8,2,FALSE),IFERROR(VLOOKUP($AH32,_TECH_Scoring_Settings!$A$5:$B$8,2,FALSE),0.9)))</f>
        <v/>
      </c>
      <c r="AK32" s="48" t="str">
        <f>IF(OR($H32="",$H32="N/A"),"",IF($AI32="",VLOOKUP('Company Profile'!$B$41,_TECH_Scoring_Settings!$A$5:$B$8,2,FALSE),IFERROR(VLOOKUP($AI32,_TECH_Scoring_Settings!$A$5:$B$8,2,FALSE),0.9)))</f>
        <v/>
      </c>
      <c r="AL32" s="48" t="str">
        <f t="shared" si="10"/>
        <v/>
      </c>
      <c r="AM32" s="48" t="str">
        <f t="shared" si="11"/>
        <v/>
      </c>
      <c r="AN32" s="48">
        <f>IFERROR(SUMIFS(_TECH_Industry_Templates!$D:$D,_TECH_Industry_Templates!$A:$A,'Company Profile'!$B$9,_TECH_Industry_Templates!$B:$B,"Cyber Privacy"),"")</f>
        <v>4</v>
      </c>
      <c r="AO32" s="48" t="str">
        <f t="shared" si="12"/>
        <v/>
      </c>
      <c r="AP32" s="48">
        <f>IFERROR(SUMIFS(_TECH_Industry_Templates!$E:$E,_TECH_Industry_Templates!$A:$A,'Company Profile'!$B$9,_TECH_Industry_Templates!$B:$B,"Cyber Privacy"),1)</f>
        <v>1.1499999999999999</v>
      </c>
      <c r="AQ32" s="48" t="str">
        <f t="shared" si="13"/>
        <v/>
      </c>
      <c r="AR32" s="48" t="str">
        <f t="shared" si="14"/>
        <v/>
      </c>
      <c r="AS32" s="11">
        <f t="shared" si="15"/>
        <v>0</v>
      </c>
      <c r="AT32" s="11">
        <f t="shared" si="16"/>
        <v>0</v>
      </c>
    </row>
    <row r="33" spans="1:46" ht="71.25">
      <c r="A33" s="7" t="s">
        <v>5754</v>
      </c>
      <c r="B33" s="7" t="s">
        <v>1620</v>
      </c>
      <c r="C33" s="7" t="s">
        <v>4229</v>
      </c>
      <c r="D33" s="7" t="s">
        <v>5472</v>
      </c>
      <c r="E33" s="7" t="s">
        <v>5473</v>
      </c>
      <c r="F33" s="7" t="s">
        <v>4230</v>
      </c>
      <c r="G33" s="7">
        <v>4</v>
      </c>
      <c r="H33" s="153"/>
      <c r="I33" s="8" t="str">
        <f t="shared" si="0"/>
        <v/>
      </c>
      <c r="J33" s="8" t="str">
        <f t="shared" si="1"/>
        <v/>
      </c>
      <c r="K33" s="8" t="str">
        <f t="shared" si="2"/>
        <v/>
      </c>
      <c r="L33" s="7" t="str">
        <f t="shared" si="3"/>
        <v/>
      </c>
      <c r="M33" s="7" t="s">
        <v>4231</v>
      </c>
      <c r="N33" s="7" t="s">
        <v>4232</v>
      </c>
      <c r="O33" s="7" t="s">
        <v>4233</v>
      </c>
      <c r="P33" s="7" t="s">
        <v>4234</v>
      </c>
      <c r="Q33" s="7" t="s">
        <v>4235</v>
      </c>
      <c r="R33" s="7" t="s">
        <v>4236</v>
      </c>
      <c r="S33" s="7" t="s">
        <v>5481</v>
      </c>
      <c r="T33" s="7" t="s">
        <v>5482</v>
      </c>
      <c r="U33" s="7"/>
      <c r="V33" s="7" t="s">
        <v>5755</v>
      </c>
      <c r="W33" s="14">
        <v>5</v>
      </c>
      <c r="X33" s="14">
        <v>5</v>
      </c>
      <c r="Y33" s="14">
        <v>5</v>
      </c>
      <c r="AH33" s="81"/>
      <c r="AI33" s="81"/>
      <c r="AJ33" s="48" t="str">
        <f>IF(OR($H33="",$H33="N/A"),"",IF($AH33="",VLOOKUP('Company Profile'!$B$40,_TECH_Scoring_Settings!$A$5:$B$8,2,FALSE),IFERROR(VLOOKUP($AH33,_TECH_Scoring_Settings!$A$5:$B$8,2,FALSE),0.9)))</f>
        <v/>
      </c>
      <c r="AK33" s="48" t="str">
        <f>IF(OR($H33="",$H33="N/A"),"",IF($AI33="",VLOOKUP('Company Profile'!$B$41,_TECH_Scoring_Settings!$A$5:$B$8,2,FALSE),IFERROR(VLOOKUP($AI33,_TECH_Scoring_Settings!$A$5:$B$8,2,FALSE),0.9)))</f>
        <v/>
      </c>
      <c r="AL33" s="48" t="str">
        <f t="shared" si="10"/>
        <v/>
      </c>
      <c r="AM33" s="48" t="str">
        <f t="shared" si="11"/>
        <v/>
      </c>
      <c r="AN33" s="48">
        <f>IFERROR(SUMIFS(_TECH_Industry_Templates!$D:$D,_TECH_Industry_Templates!$A:$A,'Company Profile'!$B$9,_TECH_Industry_Templates!$B:$B,"Cyber Privacy"),"")</f>
        <v>4</v>
      </c>
      <c r="AO33" s="48" t="str">
        <f t="shared" si="12"/>
        <v/>
      </c>
      <c r="AP33" s="48">
        <f>IFERROR(SUMIFS(_TECH_Industry_Templates!$E:$E,_TECH_Industry_Templates!$A:$A,'Company Profile'!$B$9,_TECH_Industry_Templates!$B:$B,"Cyber Privacy"),1)</f>
        <v>1.1499999999999999</v>
      </c>
      <c r="AQ33" s="48" t="str">
        <f t="shared" si="13"/>
        <v/>
      </c>
      <c r="AR33" s="48" t="str">
        <f t="shared" si="14"/>
        <v/>
      </c>
      <c r="AS33" s="11">
        <f t="shared" si="15"/>
        <v>0</v>
      </c>
      <c r="AT33" s="11">
        <f t="shared" si="16"/>
        <v>0</v>
      </c>
    </row>
    <row r="34" spans="1:46" ht="57">
      <c r="A34" s="7" t="s">
        <v>5756</v>
      </c>
      <c r="B34" s="7" t="s">
        <v>1620</v>
      </c>
      <c r="C34" s="7" t="s">
        <v>5757</v>
      </c>
      <c r="D34" s="7" t="s">
        <v>5472</v>
      </c>
      <c r="E34" s="7" t="s">
        <v>5473</v>
      </c>
      <c r="F34" s="7" t="s">
        <v>5758</v>
      </c>
      <c r="G34" s="7">
        <v>4</v>
      </c>
      <c r="H34" s="153"/>
      <c r="I34" s="8" t="str">
        <f t="shared" si="0"/>
        <v/>
      </c>
      <c r="J34" s="8" t="str">
        <f t="shared" si="1"/>
        <v/>
      </c>
      <c r="K34" s="8" t="str">
        <f t="shared" si="2"/>
        <v/>
      </c>
      <c r="L34" s="7" t="str">
        <f t="shared" si="3"/>
        <v/>
      </c>
      <c r="M34" s="7" t="s">
        <v>5759</v>
      </c>
      <c r="N34" s="7" t="s">
        <v>5760</v>
      </c>
      <c r="O34" s="7" t="s">
        <v>5761</v>
      </c>
      <c r="P34" s="7" t="s">
        <v>5762</v>
      </c>
      <c r="Q34" s="7" t="s">
        <v>5763</v>
      </c>
      <c r="R34" s="7" t="s">
        <v>5764</v>
      </c>
      <c r="S34" s="7" t="s">
        <v>5481</v>
      </c>
      <c r="T34" s="7" t="s">
        <v>5482</v>
      </c>
      <c r="U34" s="7"/>
      <c r="V34" s="7" t="s">
        <v>5765</v>
      </c>
      <c r="W34" s="14">
        <v>5</v>
      </c>
      <c r="X34" s="14">
        <v>5</v>
      </c>
      <c r="Y34" s="14">
        <v>5</v>
      </c>
      <c r="AH34" s="81"/>
      <c r="AI34" s="81"/>
      <c r="AJ34" s="48" t="str">
        <f>IF(OR($H34="",$H34="N/A"),"",IF($AH34="",VLOOKUP('Company Profile'!$B$40,_TECH_Scoring_Settings!$A$5:$B$8,2,FALSE),IFERROR(VLOOKUP($AH34,_TECH_Scoring_Settings!$A$5:$B$8,2,FALSE),0.9)))</f>
        <v/>
      </c>
      <c r="AK34" s="48" t="str">
        <f>IF(OR($H34="",$H34="N/A"),"",IF($AI34="",VLOOKUP('Company Profile'!$B$41,_TECH_Scoring_Settings!$A$5:$B$8,2,FALSE),IFERROR(VLOOKUP($AI34,_TECH_Scoring_Settings!$A$5:$B$8,2,FALSE),0.9)))</f>
        <v/>
      </c>
      <c r="AL34" s="48" t="str">
        <f t="shared" si="10"/>
        <v/>
      </c>
      <c r="AM34" s="48" t="str">
        <f t="shared" si="11"/>
        <v/>
      </c>
      <c r="AN34" s="48">
        <f>IFERROR(SUMIFS(_TECH_Industry_Templates!$D:$D,_TECH_Industry_Templates!$A:$A,'Company Profile'!$B$9,_TECH_Industry_Templates!$B:$B,"Cyber Privacy"),"")</f>
        <v>4</v>
      </c>
      <c r="AO34" s="48" t="str">
        <f t="shared" si="12"/>
        <v/>
      </c>
      <c r="AP34" s="48">
        <f>IFERROR(SUMIFS(_TECH_Industry_Templates!$E:$E,_TECH_Industry_Templates!$A:$A,'Company Profile'!$B$9,_TECH_Industry_Templates!$B:$B,"Cyber Privacy"),1)</f>
        <v>1.1499999999999999</v>
      </c>
      <c r="AQ34" s="48" t="str">
        <f t="shared" si="13"/>
        <v/>
      </c>
      <c r="AR34" s="48" t="str">
        <f t="shared" si="14"/>
        <v/>
      </c>
      <c r="AS34" s="11">
        <f t="shared" si="15"/>
        <v>0</v>
      </c>
      <c r="AT34" s="11">
        <f t="shared" si="16"/>
        <v>0</v>
      </c>
    </row>
    <row r="35" spans="1:46" ht="57">
      <c r="A35" s="7" t="s">
        <v>5766</v>
      </c>
      <c r="B35" s="7" t="s">
        <v>1620</v>
      </c>
      <c r="C35" s="7" t="s">
        <v>5767</v>
      </c>
      <c r="D35" s="7" t="s">
        <v>5472</v>
      </c>
      <c r="E35" s="7" t="s">
        <v>5473</v>
      </c>
      <c r="F35" s="7" t="s">
        <v>5768</v>
      </c>
      <c r="G35" s="7">
        <v>5</v>
      </c>
      <c r="H35" s="153"/>
      <c r="I35" s="8" t="str">
        <f t="shared" si="0"/>
        <v/>
      </c>
      <c r="J35" s="8" t="str">
        <f t="shared" si="1"/>
        <v/>
      </c>
      <c r="K35" s="8" t="str">
        <f t="shared" si="2"/>
        <v/>
      </c>
      <c r="L35" s="7" t="str">
        <f t="shared" si="3"/>
        <v/>
      </c>
      <c r="M35" s="7" t="s">
        <v>5769</v>
      </c>
      <c r="N35" s="7" t="s">
        <v>5770</v>
      </c>
      <c r="O35" s="7" t="s">
        <v>5771</v>
      </c>
      <c r="P35" s="7" t="s">
        <v>5772</v>
      </c>
      <c r="Q35" s="7" t="s">
        <v>5773</v>
      </c>
      <c r="R35" s="7" t="s">
        <v>5774</v>
      </c>
      <c r="S35" s="7" t="s">
        <v>5481</v>
      </c>
      <c r="T35" s="7" t="s">
        <v>5482</v>
      </c>
      <c r="U35" s="7"/>
      <c r="V35" s="7" t="s">
        <v>5775</v>
      </c>
      <c r="W35" s="14">
        <v>5</v>
      </c>
      <c r="X35" s="14">
        <v>5</v>
      </c>
      <c r="Y35" s="14">
        <v>5</v>
      </c>
      <c r="AH35" s="81"/>
      <c r="AI35" s="81"/>
      <c r="AJ35" s="48" t="str">
        <f>IF(OR($H35="",$H35="N/A"),"",IF($AH35="",VLOOKUP('Company Profile'!$B$40,_TECH_Scoring_Settings!$A$5:$B$8,2,FALSE),IFERROR(VLOOKUP($AH35,_TECH_Scoring_Settings!$A$5:$B$8,2,FALSE),0.9)))</f>
        <v/>
      </c>
      <c r="AK35" s="48" t="str">
        <f>IF(OR($H35="",$H35="N/A"),"",IF($AI35="",VLOOKUP('Company Profile'!$B$41,_TECH_Scoring_Settings!$A$5:$B$8,2,FALSE),IFERROR(VLOOKUP($AI35,_TECH_Scoring_Settings!$A$5:$B$8,2,FALSE),0.9)))</f>
        <v/>
      </c>
      <c r="AL35" s="48" t="str">
        <f t="shared" si="10"/>
        <v/>
      </c>
      <c r="AM35" s="48" t="str">
        <f t="shared" si="11"/>
        <v/>
      </c>
      <c r="AN35" s="48">
        <f>IFERROR(SUMIFS(_TECH_Industry_Templates!$D:$D,_TECH_Industry_Templates!$A:$A,'Company Profile'!$B$9,_TECH_Industry_Templates!$B:$B,"Cyber Privacy"),"")</f>
        <v>4</v>
      </c>
      <c r="AO35" s="48" t="str">
        <f t="shared" si="12"/>
        <v/>
      </c>
      <c r="AP35" s="48">
        <f>IFERROR(SUMIFS(_TECH_Industry_Templates!$E:$E,_TECH_Industry_Templates!$A:$A,'Company Profile'!$B$9,_TECH_Industry_Templates!$B:$B,"Cyber Privacy"),1)</f>
        <v>1.1499999999999999</v>
      </c>
      <c r="AQ35" s="48" t="str">
        <f t="shared" si="13"/>
        <v/>
      </c>
      <c r="AR35" s="48" t="str">
        <f t="shared" si="14"/>
        <v/>
      </c>
      <c r="AS35" s="11">
        <f t="shared" si="15"/>
        <v>0</v>
      </c>
      <c r="AT35" s="11">
        <f t="shared" si="16"/>
        <v>0</v>
      </c>
    </row>
    <row r="36" spans="1:46" ht="71.25">
      <c r="A36" s="7" t="s">
        <v>5776</v>
      </c>
      <c r="B36" s="7" t="s">
        <v>1628</v>
      </c>
      <c r="C36" s="7" t="s">
        <v>5777</v>
      </c>
      <c r="D36" s="7" t="s">
        <v>5472</v>
      </c>
      <c r="E36" s="7" t="s">
        <v>5473</v>
      </c>
      <c r="F36" s="7" t="s">
        <v>5778</v>
      </c>
      <c r="G36" s="7">
        <v>4</v>
      </c>
      <c r="H36" s="153"/>
      <c r="I36" s="8" t="str">
        <f t="shared" si="0"/>
        <v/>
      </c>
      <c r="J36" s="8" t="str">
        <f t="shared" si="1"/>
        <v/>
      </c>
      <c r="K36" s="8" t="str">
        <f t="shared" si="2"/>
        <v/>
      </c>
      <c r="L36" s="7" t="str">
        <f t="shared" si="3"/>
        <v/>
      </c>
      <c r="M36" s="7" t="s">
        <v>5779</v>
      </c>
      <c r="N36" s="7" t="s">
        <v>5780</v>
      </c>
      <c r="O36" s="7" t="s">
        <v>5781</v>
      </c>
      <c r="P36" s="7" t="s">
        <v>5782</v>
      </c>
      <c r="Q36" s="7" t="s">
        <v>5783</v>
      </c>
      <c r="R36" s="7" t="s">
        <v>5784</v>
      </c>
      <c r="S36" s="7" t="s">
        <v>5481</v>
      </c>
      <c r="T36" s="7" t="s">
        <v>5482</v>
      </c>
      <c r="U36" s="7"/>
      <c r="V36" s="7" t="s">
        <v>5785</v>
      </c>
      <c r="W36" s="14">
        <v>5</v>
      </c>
      <c r="X36" s="14">
        <v>5</v>
      </c>
      <c r="Y36" s="14">
        <v>5</v>
      </c>
      <c r="AH36" s="81"/>
      <c r="AI36" s="81"/>
      <c r="AJ36" s="48" t="str">
        <f>IF(OR($H36="",$H36="N/A"),"",IF($AH36="",VLOOKUP('Company Profile'!$B$40,_TECH_Scoring_Settings!$A$5:$B$8,2,FALSE),IFERROR(VLOOKUP($AH36,_TECH_Scoring_Settings!$A$5:$B$8,2,FALSE),0.9)))</f>
        <v/>
      </c>
      <c r="AK36" s="48" t="str">
        <f>IF(OR($H36="",$H36="N/A"),"",IF($AI36="",VLOOKUP('Company Profile'!$B$41,_TECH_Scoring_Settings!$A$5:$B$8,2,FALSE),IFERROR(VLOOKUP($AI36,_TECH_Scoring_Settings!$A$5:$B$8,2,FALSE),0.9)))</f>
        <v/>
      </c>
      <c r="AL36" s="48" t="str">
        <f t="shared" si="10"/>
        <v/>
      </c>
      <c r="AM36" s="48" t="str">
        <f t="shared" si="11"/>
        <v/>
      </c>
      <c r="AN36" s="48">
        <f>IFERROR(SUMIFS(_TECH_Industry_Templates!$D:$D,_TECH_Industry_Templates!$A:$A,'Company Profile'!$B$9,_TECH_Industry_Templates!$B:$B,"Cyber Privacy"),"")</f>
        <v>4</v>
      </c>
      <c r="AO36" s="48" t="str">
        <f t="shared" si="12"/>
        <v/>
      </c>
      <c r="AP36" s="48">
        <f>IFERROR(SUMIFS(_TECH_Industry_Templates!$E:$E,_TECH_Industry_Templates!$A:$A,'Company Profile'!$B$9,_TECH_Industry_Templates!$B:$B,"Cyber Privacy"),1)</f>
        <v>1.1499999999999999</v>
      </c>
      <c r="AQ36" s="48" t="str">
        <f t="shared" si="13"/>
        <v/>
      </c>
      <c r="AR36" s="48" t="str">
        <f t="shared" si="14"/>
        <v/>
      </c>
      <c r="AS36" s="11">
        <f t="shared" si="15"/>
        <v>0</v>
      </c>
      <c r="AT36" s="11">
        <f t="shared" si="16"/>
        <v>0</v>
      </c>
    </row>
    <row r="37" spans="1:46" ht="71.25">
      <c r="A37" s="7" t="s">
        <v>5786</v>
      </c>
      <c r="B37" s="7" t="s">
        <v>1628</v>
      </c>
      <c r="C37" s="7" t="s">
        <v>5787</v>
      </c>
      <c r="D37" s="7" t="s">
        <v>5472</v>
      </c>
      <c r="E37" s="7" t="s">
        <v>5473</v>
      </c>
      <c r="F37" s="7" t="s">
        <v>5788</v>
      </c>
      <c r="G37" s="7">
        <v>4</v>
      </c>
      <c r="H37" s="153"/>
      <c r="I37" s="8" t="str">
        <f t="shared" si="0"/>
        <v/>
      </c>
      <c r="J37" s="8" t="str">
        <f t="shared" si="1"/>
        <v/>
      </c>
      <c r="K37" s="8" t="str">
        <f t="shared" si="2"/>
        <v/>
      </c>
      <c r="L37" s="7" t="str">
        <f t="shared" si="3"/>
        <v/>
      </c>
      <c r="M37" s="7" t="s">
        <v>5789</v>
      </c>
      <c r="N37" s="7" t="s">
        <v>5790</v>
      </c>
      <c r="O37" s="7" t="s">
        <v>5791</v>
      </c>
      <c r="P37" s="7" t="s">
        <v>5792</v>
      </c>
      <c r="Q37" s="7" t="s">
        <v>5793</v>
      </c>
      <c r="R37" s="7" t="s">
        <v>5794</v>
      </c>
      <c r="S37" s="7" t="s">
        <v>5481</v>
      </c>
      <c r="T37" s="7" t="s">
        <v>5482</v>
      </c>
      <c r="U37" s="7"/>
      <c r="V37" s="7" t="s">
        <v>5795</v>
      </c>
      <c r="W37" s="14">
        <v>5</v>
      </c>
      <c r="X37" s="14">
        <v>5</v>
      </c>
      <c r="Y37" s="14">
        <v>5</v>
      </c>
      <c r="AH37" s="81"/>
      <c r="AI37" s="81"/>
      <c r="AJ37" s="48" t="str">
        <f>IF(OR($H37="",$H37="N/A"),"",IF($AH37="",VLOOKUP('Company Profile'!$B$40,_TECH_Scoring_Settings!$A$5:$B$8,2,FALSE),IFERROR(VLOOKUP($AH37,_TECH_Scoring_Settings!$A$5:$B$8,2,FALSE),0.9)))</f>
        <v/>
      </c>
      <c r="AK37" s="48" t="str">
        <f>IF(OR($H37="",$H37="N/A"),"",IF($AI37="",VLOOKUP('Company Profile'!$B$41,_TECH_Scoring_Settings!$A$5:$B$8,2,FALSE),IFERROR(VLOOKUP($AI37,_TECH_Scoring_Settings!$A$5:$B$8,2,FALSE),0.9)))</f>
        <v/>
      </c>
      <c r="AL37" s="48" t="str">
        <f t="shared" si="10"/>
        <v/>
      </c>
      <c r="AM37" s="48" t="str">
        <f t="shared" si="11"/>
        <v/>
      </c>
      <c r="AN37" s="48">
        <f>IFERROR(SUMIFS(_TECH_Industry_Templates!$D:$D,_TECH_Industry_Templates!$A:$A,'Company Profile'!$B$9,_TECH_Industry_Templates!$B:$B,"Cyber Privacy"),"")</f>
        <v>4</v>
      </c>
      <c r="AO37" s="48" t="str">
        <f t="shared" si="12"/>
        <v/>
      </c>
      <c r="AP37" s="48">
        <f>IFERROR(SUMIFS(_TECH_Industry_Templates!$E:$E,_TECH_Industry_Templates!$A:$A,'Company Profile'!$B$9,_TECH_Industry_Templates!$B:$B,"Cyber Privacy"),1)</f>
        <v>1.1499999999999999</v>
      </c>
      <c r="AQ37" s="48" t="str">
        <f t="shared" si="13"/>
        <v/>
      </c>
      <c r="AR37" s="48" t="str">
        <f t="shared" si="14"/>
        <v/>
      </c>
      <c r="AS37" s="11">
        <f t="shared" si="15"/>
        <v>0</v>
      </c>
      <c r="AT37" s="11">
        <f t="shared" si="16"/>
        <v>0</v>
      </c>
    </row>
    <row r="38" spans="1:46" ht="71.25">
      <c r="A38" s="7" t="s">
        <v>5796</v>
      </c>
      <c r="B38" s="7" t="s">
        <v>1628</v>
      </c>
      <c r="C38" s="7" t="s">
        <v>5797</v>
      </c>
      <c r="D38" s="7" t="s">
        <v>5472</v>
      </c>
      <c r="E38" s="7" t="s">
        <v>5473</v>
      </c>
      <c r="F38" s="7" t="s">
        <v>5798</v>
      </c>
      <c r="G38" s="7">
        <v>5</v>
      </c>
      <c r="H38" s="153"/>
      <c r="I38" s="8" t="str">
        <f t="shared" si="0"/>
        <v/>
      </c>
      <c r="J38" s="8" t="str">
        <f t="shared" si="1"/>
        <v/>
      </c>
      <c r="K38" s="8" t="str">
        <f t="shared" si="2"/>
        <v/>
      </c>
      <c r="L38" s="7" t="str">
        <f t="shared" si="3"/>
        <v/>
      </c>
      <c r="M38" s="7" t="s">
        <v>5799</v>
      </c>
      <c r="N38" s="7" t="s">
        <v>5800</v>
      </c>
      <c r="O38" s="7" t="s">
        <v>5801</v>
      </c>
      <c r="P38" s="7" t="s">
        <v>5802</v>
      </c>
      <c r="Q38" s="7" t="s">
        <v>5803</v>
      </c>
      <c r="R38" s="7" t="s">
        <v>5804</v>
      </c>
      <c r="S38" s="7" t="s">
        <v>5481</v>
      </c>
      <c r="T38" s="7" t="s">
        <v>5482</v>
      </c>
      <c r="U38" s="7"/>
      <c r="V38" s="7" t="s">
        <v>5805</v>
      </c>
      <c r="W38" s="14">
        <v>5</v>
      </c>
      <c r="X38" s="14">
        <v>5</v>
      </c>
      <c r="Y38" s="14">
        <v>5</v>
      </c>
      <c r="AH38" s="81"/>
      <c r="AI38" s="81"/>
      <c r="AJ38" s="48" t="str">
        <f>IF(OR($H38="",$H38="N/A"),"",IF($AH38="",VLOOKUP('Company Profile'!$B$40,_TECH_Scoring_Settings!$A$5:$B$8,2,FALSE),IFERROR(VLOOKUP($AH38,_TECH_Scoring_Settings!$A$5:$B$8,2,FALSE),0.9)))</f>
        <v/>
      </c>
      <c r="AK38" s="48" t="str">
        <f>IF(OR($H38="",$H38="N/A"),"",IF($AI38="",VLOOKUP('Company Profile'!$B$41,_TECH_Scoring_Settings!$A$5:$B$8,2,FALSE),IFERROR(VLOOKUP($AI38,_TECH_Scoring_Settings!$A$5:$B$8,2,FALSE),0.9)))</f>
        <v/>
      </c>
      <c r="AL38" s="48" t="str">
        <f t="shared" si="10"/>
        <v/>
      </c>
      <c r="AM38" s="48" t="str">
        <f t="shared" si="11"/>
        <v/>
      </c>
      <c r="AN38" s="48">
        <f>IFERROR(SUMIFS(_TECH_Industry_Templates!$D:$D,_TECH_Industry_Templates!$A:$A,'Company Profile'!$B$9,_TECH_Industry_Templates!$B:$B,"Cyber Privacy"),"")</f>
        <v>4</v>
      </c>
      <c r="AO38" s="48" t="str">
        <f t="shared" si="12"/>
        <v/>
      </c>
      <c r="AP38" s="48">
        <f>IFERROR(SUMIFS(_TECH_Industry_Templates!$E:$E,_TECH_Industry_Templates!$A:$A,'Company Profile'!$B$9,_TECH_Industry_Templates!$B:$B,"Cyber Privacy"),1)</f>
        <v>1.1499999999999999</v>
      </c>
      <c r="AQ38" s="48" t="str">
        <f t="shared" si="13"/>
        <v/>
      </c>
      <c r="AR38" s="48" t="str">
        <f t="shared" si="14"/>
        <v/>
      </c>
      <c r="AS38" s="11">
        <f t="shared" si="15"/>
        <v>0</v>
      </c>
      <c r="AT38" s="11">
        <f t="shared" si="16"/>
        <v>0</v>
      </c>
    </row>
  </sheetData>
  <mergeCells count="4">
    <mergeCell ref="A2:V2"/>
    <mergeCell ref="AA3:AG3"/>
    <mergeCell ref="A1:V1"/>
    <mergeCell ref="W3:Y3"/>
  </mergeCells>
  <conditionalFormatting sqref="H5:H38">
    <cfRule type="colorScale" priority="1">
      <colorScale>
        <cfvo type="min"/>
        <cfvo type="percentile" val="50"/>
        <cfvo type="max"/>
        <color rgb="FFF8696B"/>
        <color rgb="FFFFEB84"/>
        <color rgb="FF63BE7B"/>
      </colorScale>
    </cfRule>
  </conditionalFormatting>
  <conditionalFormatting sqref="L5:L38">
    <cfRule type="expression" dxfId="21" priority="2">
      <formula>$L5="Critical"</formula>
    </cfRule>
    <cfRule type="expression" dxfId="20" priority="3">
      <formula>$L5="High"</formula>
    </cfRule>
    <cfRule type="expression" dxfId="19" priority="4">
      <formula>$L5="Medium"</formula>
    </cfRule>
    <cfRule type="expression" dxfId="18" priority="5">
      <formula>$L5="Low"</formula>
    </cfRule>
    <cfRule type="expression" dxfId="17" priority="6">
      <formula>$L5="Resilient"</formula>
    </cfRule>
  </conditionalFormatting>
  <conditionalFormatting sqref="AC5:AC10">
    <cfRule type="colorScale" priority="7">
      <colorScale>
        <cfvo type="min"/>
        <cfvo type="percentile" val="50"/>
        <cfvo type="max"/>
        <color rgb="FFFEE2E2"/>
        <color rgb="FFFEF3C7"/>
        <color rgb="FFDCFCE7"/>
      </colorScale>
    </cfRule>
  </conditionalFormatting>
  <conditionalFormatting sqref="AD5:AD10">
    <cfRule type="dataBar" priority="8">
      <dataBar>
        <cfvo type="min"/>
        <cfvo type="max"/>
        <color rgb="FF2F75B5"/>
      </dataBar>
    </cfRule>
  </conditionalFormatting>
  <dataValidations count="4">
    <dataValidation type="list" sqref="H5:H38" ns2:uid="{00000000-0002-0000-2200-000000000000}">
      <formula1>"N/A,0,1,2,3,4,5"</formula1>
    </dataValidation>
    <dataValidation type="list" sqref="G5:G38" ns2:uid="{00000000-0002-0000-2200-000001000000}">
      <formula1>"1,2,3,4,5"</formula1>
    </dataValidation>
    <dataValidation type="list" sqref="W5:Y38" ns2:uid="{00000000-0002-0000-2200-000002000000}">
      <formula1>"0,1,2,3,4,5"</formula1>
    </dataValidation>
    <dataValidation type="list" allowBlank="1" sqref="AH5:AI38" ns2:uid="{00000000-0002-0000-22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300-000000000000}">
  <sheetPr>
    <tabColor rgb="FFED7D31"/>
  </sheetPr>
  <dimension ref="A1:AT24"/>
  <sheetViews>
    <sheetView workbookViewId="0">
      <selection sqref="A1:V1"/>
    </sheetView>
  </sheetViews>
  <sheetFormatPr defaultRowHeight="14.25"/>
  <cols>
    <col min="1" max="1" width="11" customWidth="1"/>
    <col min="2" max="2" width="24" customWidth="1"/>
    <col min="3" max="3" width="62" customWidth="1"/>
    <col min="4" max="4" width="48" customWidth="1"/>
    <col min="5" max="5" width="38" customWidth="1"/>
    <col min="6" max="6" width="48" customWidth="1"/>
    <col min="7" max="7" width="10" customWidth="1"/>
    <col min="8" max="9" width="13" customWidth="1"/>
    <col min="10" max="10" width="11" customWidth="1"/>
    <col min="11" max="11" width="10" customWidth="1"/>
    <col min="12" max="12" width="12" customWidth="1"/>
    <col min="13" max="14" width="42" customWidth="1"/>
    <col min="15" max="18" width="46" customWidth="1"/>
    <col min="19" max="19" width="34" customWidth="1"/>
    <col min="20" max="20" width="20" customWidth="1"/>
    <col min="21" max="21" width="44" customWidth="1"/>
    <col min="22" max="22" width="54" customWidth="1"/>
    <col min="23" max="25" width="15" customWidth="1"/>
    <col min="27" max="27" width="24" customWidth="1"/>
    <col min="28" max="33" width="14" customWidth="1"/>
    <col min="34" max="35" width="18" customWidth="1"/>
    <col min="36" max="37" width="14" customWidth="1"/>
    <col min="38" max="38" width="20" customWidth="1"/>
    <col min="39" max="41" width="18" customWidth="1"/>
    <col min="42" max="42" width="20" customWidth="1"/>
    <col min="43" max="43" width="22" customWidth="1"/>
    <col min="44" max="44" width="24" customWidth="1"/>
  </cols>
  <sheetData>
    <row r="1" spans="1:46" ht="27.95" customHeight="1">
      <c r="A1" s="160" t="s">
        <v>5806</v>
      </c>
      <c r="B1" s="158"/>
      <c r="C1" s="158"/>
      <c r="D1" s="158"/>
      <c r="E1" s="158"/>
      <c r="F1" s="158"/>
      <c r="G1" s="158"/>
      <c r="H1" s="158"/>
      <c r="I1" s="158"/>
      <c r="J1" s="158"/>
      <c r="K1" s="158"/>
      <c r="L1" s="158"/>
      <c r="M1" s="158"/>
      <c r="N1" s="158"/>
      <c r="O1" s="158"/>
      <c r="P1" s="158"/>
      <c r="Q1" s="158"/>
      <c r="R1" s="158"/>
      <c r="S1" s="158"/>
      <c r="T1" s="158"/>
      <c r="U1" s="158"/>
      <c r="V1" s="158"/>
    </row>
    <row r="2" spans="1:46" ht="38.1" customHeight="1">
      <c r="A2" s="157" t="s">
        <v>5807</v>
      </c>
      <c r="B2" s="158"/>
      <c r="C2" s="158"/>
      <c r="D2" s="158"/>
      <c r="E2" s="158"/>
      <c r="F2" s="158"/>
      <c r="G2" s="158"/>
      <c r="H2" s="158"/>
      <c r="I2" s="158"/>
      <c r="J2" s="158"/>
      <c r="K2" s="158"/>
      <c r="L2" s="158"/>
      <c r="M2" s="158"/>
      <c r="N2" s="158"/>
      <c r="O2" s="158"/>
      <c r="P2" s="158"/>
      <c r="Q2" s="158"/>
      <c r="R2" s="158"/>
      <c r="S2" s="158"/>
      <c r="T2" s="158"/>
      <c r="U2" s="158"/>
      <c r="V2" s="158"/>
    </row>
    <row r="3" spans="1:46" ht="15">
      <c r="W3" s="171" t="s">
        <v>1816</v>
      </c>
      <c r="X3" s="158"/>
      <c r="Y3" s="158"/>
      <c r="AA3" s="171" t="s">
        <v>1817</v>
      </c>
      <c r="AB3" s="158"/>
      <c r="AC3" s="158"/>
      <c r="AD3" s="158"/>
      <c r="AE3" s="158"/>
      <c r="AF3" s="158"/>
      <c r="AG3" s="158"/>
      <c r="AH3" s="80" t="s">
        <v>1818</v>
      </c>
    </row>
    <row r="4" spans="1:46" ht="36" customHeight="1">
      <c r="A4" s="6" t="s">
        <v>864</v>
      </c>
      <c r="B4" s="6" t="s">
        <v>759</v>
      </c>
      <c r="C4" s="6" t="s">
        <v>1819</v>
      </c>
      <c r="D4" s="6" t="s">
        <v>1820</v>
      </c>
      <c r="E4" s="6" t="s">
        <v>1821</v>
      </c>
      <c r="F4" s="6" t="s">
        <v>1822</v>
      </c>
      <c r="G4" s="6" t="s">
        <v>1823</v>
      </c>
      <c r="H4" s="6" t="s">
        <v>1824</v>
      </c>
      <c r="I4" s="6" t="s">
        <v>40</v>
      </c>
      <c r="J4" s="6" t="s">
        <v>41</v>
      </c>
      <c r="K4" s="6" t="s">
        <v>44</v>
      </c>
      <c r="L4" s="6" t="s">
        <v>222</v>
      </c>
      <c r="M4" s="6" t="s">
        <v>1825</v>
      </c>
      <c r="N4" s="6" t="s">
        <v>1826</v>
      </c>
      <c r="O4" s="6" t="s">
        <v>1827</v>
      </c>
      <c r="P4" s="6" t="s">
        <v>1828</v>
      </c>
      <c r="Q4" s="6" t="s">
        <v>1829</v>
      </c>
      <c r="R4" s="6" t="s">
        <v>1830</v>
      </c>
      <c r="S4" s="6" t="s">
        <v>1831</v>
      </c>
      <c r="T4" s="6" t="s">
        <v>1832</v>
      </c>
      <c r="U4" s="6" t="s">
        <v>1833</v>
      </c>
      <c r="V4" s="6" t="s">
        <v>1834</v>
      </c>
      <c r="W4" s="12" t="s">
        <v>1835</v>
      </c>
      <c r="X4" s="12" t="s">
        <v>1836</v>
      </c>
      <c r="Y4" s="12" t="s">
        <v>1837</v>
      </c>
      <c r="Z4" s="5"/>
      <c r="AA4" s="12" t="s">
        <v>1838</v>
      </c>
      <c r="AB4" s="12" t="s">
        <v>37</v>
      </c>
      <c r="AC4" s="12" t="s">
        <v>1839</v>
      </c>
      <c r="AD4" s="12" t="s">
        <v>42</v>
      </c>
      <c r="AE4" s="12" t="s">
        <v>1840</v>
      </c>
      <c r="AF4" s="12" t="s">
        <v>703</v>
      </c>
      <c r="AG4" s="12" t="s">
        <v>38</v>
      </c>
      <c r="AH4" s="50" t="s">
        <v>394</v>
      </c>
      <c r="AI4" s="50" t="s">
        <v>396</v>
      </c>
      <c r="AJ4" s="50" t="s">
        <v>1841</v>
      </c>
      <c r="AK4" s="50" t="s">
        <v>1842</v>
      </c>
      <c r="AL4" s="50" t="s">
        <v>1843</v>
      </c>
      <c r="AM4" s="50" t="s">
        <v>1844</v>
      </c>
      <c r="AN4" s="50" t="s">
        <v>788</v>
      </c>
      <c r="AO4" s="50" t="s">
        <v>1845</v>
      </c>
      <c r="AP4" s="50" t="s">
        <v>1846</v>
      </c>
      <c r="AQ4" s="50" t="s">
        <v>1847</v>
      </c>
      <c r="AR4" s="50" t="s">
        <v>1848</v>
      </c>
      <c r="AS4" s="106" t="s">
        <v>1849</v>
      </c>
      <c r="AT4" s="106" t="s">
        <v>1850</v>
      </c>
    </row>
    <row r="5" spans="1:46" ht="57">
      <c r="A5" s="7" t="s">
        <v>5808</v>
      </c>
      <c r="B5" s="7" t="s">
        <v>1636</v>
      </c>
      <c r="C5" s="7" t="s">
        <v>5809</v>
      </c>
      <c r="D5" s="7" t="s">
        <v>5810</v>
      </c>
      <c r="E5" s="7" t="s">
        <v>5811</v>
      </c>
      <c r="F5" s="7" t="s">
        <v>5812</v>
      </c>
      <c r="G5" s="7">
        <v>3</v>
      </c>
      <c r="H5" s="153"/>
      <c r="I5" s="8" t="str">
        <f t="shared" ref="I5:I24" si="0">IF($H5="","",IF($H5="N/A","",VALUE($H5)/5*$G5))</f>
        <v/>
      </c>
      <c r="J5" s="8" t="str">
        <f t="shared" ref="J5:J24" si="1">IF(OR($H5="",$H5="N/A"),"",$G5)</f>
        <v/>
      </c>
      <c r="K5" s="8" t="str">
        <f t="shared" ref="K5:K24" si="2">IF(OR($H5="",$H5="N/A"),"",$J5-$I5)</f>
        <v/>
      </c>
      <c r="L5" s="7" t="str">
        <f t="shared" ref="L5:L24" si="3">IF($H5="","",IF($H5="N/A","N/A",IF(VALUE($H5)&lt;=1,"Critical",IF(VALUE($H5)&lt;=2,"High",IF(VALUE($H5)&lt;=3,"Medium",IF(VALUE($H5)&lt;=4,"Low","Resilient"))))))</f>
        <v/>
      </c>
      <c r="M5" s="7" t="s">
        <v>5813</v>
      </c>
      <c r="N5" s="7" t="s">
        <v>5814</v>
      </c>
      <c r="O5" s="7" t="s">
        <v>5815</v>
      </c>
      <c r="P5" s="7" t="s">
        <v>5816</v>
      </c>
      <c r="Q5" s="7" t="s">
        <v>5817</v>
      </c>
      <c r="R5" s="7" t="s">
        <v>5818</v>
      </c>
      <c r="S5" s="7" t="s">
        <v>5819</v>
      </c>
      <c r="T5" s="7" t="s">
        <v>5820</v>
      </c>
      <c r="U5" s="7"/>
      <c r="V5" s="7" t="s">
        <v>5821</v>
      </c>
      <c r="W5" s="14">
        <v>4</v>
      </c>
      <c r="X5" s="14">
        <v>5</v>
      </c>
      <c r="Y5" s="14">
        <v>5</v>
      </c>
      <c r="AA5" t="s">
        <v>1636</v>
      </c>
      <c r="AB5" s="13">
        <f>COUNTIF($B$5:$B$24,$AA5)</f>
        <v>5</v>
      </c>
      <c r="AC5" s="15">
        <f>IFERROR(SUMPRODUCT(($B$5:$B$24=$AA5)*($H$5:$H$24&lt;&gt;"")*($H$5:$H$24&lt;&gt;"N/A")*IFERROR(VALUE($H$5:$H$24),0))/SUMPRODUCT(($B$5:$B$24=$AA5)*($H$5:$H$24&lt;&gt;"")*($H$5:$H$24&lt;&gt;"N/A")),0)</f>
        <v>0</v>
      </c>
      <c r="AD5" s="16">
        <f>AC5/5</f>
        <v>0</v>
      </c>
      <c r="AE5" s="13">
        <f>COUNTIFS($B$5:$B$24,$AA5,$L$5:$L$24,"Critical")+COUNTIFS($B$5:$B$24,$AA5,$L$5:$L$24,"High")</f>
        <v>0</v>
      </c>
      <c r="AF5" s="15">
        <f>5-AC5</f>
        <v>5</v>
      </c>
      <c r="AG5" s="13">
        <f>COUNTIFS($B$5:$B$24,$AA5,$H$5:$H$24,"&lt;&gt;")</f>
        <v>0</v>
      </c>
      <c r="AH5" s="81"/>
      <c r="AI5" s="81"/>
      <c r="AJ5" s="48" t="str">
        <f>IF(OR($H5="",$H5="N/A"),"",IF($AH5="",VLOOKUP('Company Profile'!$B$40,_TECH_Scoring_Settings!$A$5:$B$8,2,FALSE),IFERROR(VLOOKUP($AH5,_TECH_Scoring_Settings!$A$5:$B$8,2,FALSE),0.9)))</f>
        <v/>
      </c>
      <c r="AK5" s="48" t="str">
        <f>IF(OR($H5="",$H5="N/A"),"",IF($AI5="",VLOOKUP('Company Profile'!$B$41,_TECH_Scoring_Settings!$A$5:$B$8,2,FALSE),IFERROR(VLOOKUP($AI5,_TECH_Scoring_Settings!$A$5:$B$8,2,FALSE),0.9)))</f>
        <v/>
      </c>
      <c r="AL5" s="48" t="str">
        <f t="shared" ref="AL5:AL24" si="4">IF(OR($H5="",$H5="N/A"),"",ROUND(VALUE($H5)*$AJ5*$AK5,2))</f>
        <v/>
      </c>
      <c r="AM5" s="48" t="str">
        <f t="shared" ref="AM5:AM24" si="5">IF($AL5="","",ROUND($AL5/5*100,1))</f>
        <v/>
      </c>
      <c r="AN5" s="48">
        <f>IFERROR(SUMIFS(_TECH_Industry_Templates!$D:$D,_TECH_Industry_Templates!$A:$A,'Company Profile'!$B$9,_TECH_Industry_Templates!$B:$B,"Quality Portfolio"),"")</f>
        <v>4</v>
      </c>
      <c r="AO5" s="48" t="str">
        <f t="shared" ref="AO5:AO24" si="6">IF($AL5="","",MAX(0,ROUND($AN5-$AL5,2)))</f>
        <v/>
      </c>
      <c r="AP5" s="48">
        <f>IFERROR(SUMIFS(_TECH_Industry_Templates!$E:$E,_TECH_Industry_Templates!$A:$A,'Company Profile'!$B$9,_TECH_Industry_Templates!$B:$B,"Quality Portfolio"),1)</f>
        <v>1.2</v>
      </c>
      <c r="AQ5" s="48" t="str">
        <f t="shared" ref="AQ5:AQ24" si="7">IF($AO5="","",ROUND($AO5*$AP5*($G5/5),2))</f>
        <v/>
      </c>
      <c r="AR5" s="48" t="str">
        <f t="shared" ref="AR5:AR24" si="8">IF($AO5="","",IF($AO5&gt;=2,"Critical industry gap",IF($AO5&gt;=1,"High industry gap",IF($AO5&gt;=0.5,"Moderate industry gap","Within target"))))</f>
        <v/>
      </c>
      <c r="AS5" s="11">
        <f t="shared" ref="AS5:AS24" si="9">IF(OR($H5="",$H5="N/A"),0,VALUE($H5)*(($AJ5+$AK5)/2))</f>
        <v>0</v>
      </c>
      <c r="AT5" s="11">
        <f t="shared" ref="AT5:AT24" si="10">IF(OR($H5="",$H5="N/A"),0,($AJ5+$AK5)/2)</f>
        <v>0</v>
      </c>
    </row>
    <row r="6" spans="1:46" ht="57">
      <c r="A6" s="7" t="s">
        <v>5822</v>
      </c>
      <c r="B6" s="7" t="s">
        <v>1636</v>
      </c>
      <c r="C6" s="7" t="s">
        <v>5823</v>
      </c>
      <c r="D6" s="7" t="s">
        <v>5810</v>
      </c>
      <c r="E6" s="7" t="s">
        <v>5811</v>
      </c>
      <c r="F6" s="7" t="s">
        <v>5824</v>
      </c>
      <c r="G6" s="7">
        <v>5</v>
      </c>
      <c r="H6" s="153"/>
      <c r="I6" s="8" t="str">
        <f t="shared" si="0"/>
        <v/>
      </c>
      <c r="J6" s="8" t="str">
        <f t="shared" si="1"/>
        <v/>
      </c>
      <c r="K6" s="8" t="str">
        <f t="shared" si="2"/>
        <v/>
      </c>
      <c r="L6" s="7" t="str">
        <f t="shared" si="3"/>
        <v/>
      </c>
      <c r="M6" s="7" t="s">
        <v>5825</v>
      </c>
      <c r="N6" s="7" t="s">
        <v>5826</v>
      </c>
      <c r="O6" s="7" t="s">
        <v>5827</v>
      </c>
      <c r="P6" s="7" t="s">
        <v>5828</v>
      </c>
      <c r="Q6" s="7" t="s">
        <v>5829</v>
      </c>
      <c r="R6" s="7" t="s">
        <v>5830</v>
      </c>
      <c r="S6" s="7" t="s">
        <v>5819</v>
      </c>
      <c r="T6" s="7" t="s">
        <v>5820</v>
      </c>
      <c r="U6" s="7"/>
      <c r="V6" s="7" t="s">
        <v>5831</v>
      </c>
      <c r="W6" s="14">
        <v>4</v>
      </c>
      <c r="X6" s="14">
        <v>5</v>
      </c>
      <c r="Y6" s="14">
        <v>5</v>
      </c>
      <c r="AA6" t="s">
        <v>1647</v>
      </c>
      <c r="AB6" s="13">
        <f>COUNTIF($B$5:$B$24,$AA6)</f>
        <v>5</v>
      </c>
      <c r="AC6" s="15">
        <f>IFERROR(SUMPRODUCT(($B$5:$B$24=$AA6)*($H$5:$H$24&lt;&gt;"")*($H$5:$H$24&lt;&gt;"N/A")*IFERROR(VALUE($H$5:$H$24),0))/SUMPRODUCT(($B$5:$B$24=$AA6)*($H$5:$H$24&lt;&gt;"")*($H$5:$H$24&lt;&gt;"N/A")),0)</f>
        <v>0</v>
      </c>
      <c r="AD6" s="16">
        <f>AC6/5</f>
        <v>0</v>
      </c>
      <c r="AE6" s="13">
        <f>COUNTIFS($B$5:$B$24,$AA6,$L$5:$L$24,"Critical")+COUNTIFS($B$5:$B$24,$AA6,$L$5:$L$24,"High")</f>
        <v>0</v>
      </c>
      <c r="AF6" s="15">
        <f>5-AC6</f>
        <v>5</v>
      </c>
      <c r="AG6" s="13">
        <f>COUNTIFS($B$5:$B$24,$AA6,$H$5:$H$24,"&lt;&gt;")</f>
        <v>0</v>
      </c>
      <c r="AH6" s="81"/>
      <c r="AI6" s="81"/>
      <c r="AJ6" s="48" t="str">
        <f>IF(OR($H6="",$H6="N/A"),"",IF($AH6="",VLOOKUP('Company Profile'!$B$40,_TECH_Scoring_Settings!$A$5:$B$8,2,FALSE),IFERROR(VLOOKUP($AH6,_TECH_Scoring_Settings!$A$5:$B$8,2,FALSE),0.9)))</f>
        <v/>
      </c>
      <c r="AK6" s="48" t="str">
        <f>IF(OR($H6="",$H6="N/A"),"",IF($AI6="",VLOOKUP('Company Profile'!$B$41,_TECH_Scoring_Settings!$A$5:$B$8,2,FALSE),IFERROR(VLOOKUP($AI6,_TECH_Scoring_Settings!$A$5:$B$8,2,FALSE),0.9)))</f>
        <v/>
      </c>
      <c r="AL6" s="48" t="str">
        <f t="shared" si="4"/>
        <v/>
      </c>
      <c r="AM6" s="48" t="str">
        <f t="shared" si="5"/>
        <v/>
      </c>
      <c r="AN6" s="48">
        <f>IFERROR(SUMIFS(_TECH_Industry_Templates!$D:$D,_TECH_Industry_Templates!$A:$A,'Company Profile'!$B$9,_TECH_Industry_Templates!$B:$B,"Quality Portfolio"),"")</f>
        <v>4</v>
      </c>
      <c r="AO6" s="48" t="str">
        <f t="shared" si="6"/>
        <v/>
      </c>
      <c r="AP6" s="48">
        <f>IFERROR(SUMIFS(_TECH_Industry_Templates!$E:$E,_TECH_Industry_Templates!$A:$A,'Company Profile'!$B$9,_TECH_Industry_Templates!$B:$B,"Quality Portfolio"),1)</f>
        <v>1.2</v>
      </c>
      <c r="AQ6" s="48" t="str">
        <f t="shared" si="7"/>
        <v/>
      </c>
      <c r="AR6" s="48" t="str">
        <f t="shared" si="8"/>
        <v/>
      </c>
      <c r="AS6" s="11">
        <f t="shared" si="9"/>
        <v>0</v>
      </c>
      <c r="AT6" s="11">
        <f t="shared" si="10"/>
        <v>0</v>
      </c>
    </row>
    <row r="7" spans="1:46" ht="71.25">
      <c r="A7" s="7" t="s">
        <v>5832</v>
      </c>
      <c r="B7" s="7" t="s">
        <v>1636</v>
      </c>
      <c r="C7" s="7" t="s">
        <v>5833</v>
      </c>
      <c r="D7" s="7" t="s">
        <v>5810</v>
      </c>
      <c r="E7" s="7" t="s">
        <v>5811</v>
      </c>
      <c r="F7" s="7" t="s">
        <v>5834</v>
      </c>
      <c r="G7" s="7">
        <v>3</v>
      </c>
      <c r="H7" s="153"/>
      <c r="I7" s="8" t="str">
        <f t="shared" si="0"/>
        <v/>
      </c>
      <c r="J7" s="8" t="str">
        <f t="shared" si="1"/>
        <v/>
      </c>
      <c r="K7" s="8" t="str">
        <f t="shared" si="2"/>
        <v/>
      </c>
      <c r="L7" s="7" t="str">
        <f t="shared" si="3"/>
        <v/>
      </c>
      <c r="M7" s="7" t="s">
        <v>5835</v>
      </c>
      <c r="N7" s="7" t="s">
        <v>5836</v>
      </c>
      <c r="O7" s="7" t="s">
        <v>5837</v>
      </c>
      <c r="P7" s="7" t="s">
        <v>5838</v>
      </c>
      <c r="Q7" s="7" t="s">
        <v>5839</v>
      </c>
      <c r="R7" s="7" t="s">
        <v>5840</v>
      </c>
      <c r="S7" s="7" t="s">
        <v>5819</v>
      </c>
      <c r="T7" s="7" t="s">
        <v>5820</v>
      </c>
      <c r="U7" s="7"/>
      <c r="V7" s="7" t="s">
        <v>5841</v>
      </c>
      <c r="W7" s="14">
        <v>4</v>
      </c>
      <c r="X7" s="14">
        <v>5</v>
      </c>
      <c r="Y7" s="14">
        <v>5</v>
      </c>
      <c r="AA7" t="s">
        <v>1655</v>
      </c>
      <c r="AB7" s="13">
        <f>COUNTIF($B$5:$B$24,$AA7)</f>
        <v>5</v>
      </c>
      <c r="AC7" s="15">
        <f>IFERROR(SUMPRODUCT(($B$5:$B$24=$AA7)*($H$5:$H$24&lt;&gt;"")*($H$5:$H$24&lt;&gt;"N/A")*IFERROR(VALUE($H$5:$H$24),0))/SUMPRODUCT(($B$5:$B$24=$AA7)*($H$5:$H$24&lt;&gt;"")*($H$5:$H$24&lt;&gt;"N/A")),0)</f>
        <v>0</v>
      </c>
      <c r="AD7" s="16">
        <f>AC7/5</f>
        <v>0</v>
      </c>
      <c r="AE7" s="13">
        <f>COUNTIFS($B$5:$B$24,$AA7,$L$5:$L$24,"Critical")+COUNTIFS($B$5:$B$24,$AA7,$L$5:$L$24,"High")</f>
        <v>0</v>
      </c>
      <c r="AF7" s="15">
        <f>5-AC7</f>
        <v>5</v>
      </c>
      <c r="AG7" s="13">
        <f>COUNTIFS($B$5:$B$24,$AA7,$H$5:$H$24,"&lt;&gt;")</f>
        <v>0</v>
      </c>
      <c r="AH7" s="81"/>
      <c r="AI7" s="81"/>
      <c r="AJ7" s="48" t="str">
        <f>IF(OR($H7="",$H7="N/A"),"",IF($AH7="",VLOOKUP('Company Profile'!$B$40,_TECH_Scoring_Settings!$A$5:$B$8,2,FALSE),IFERROR(VLOOKUP($AH7,_TECH_Scoring_Settings!$A$5:$B$8,2,FALSE),0.9)))</f>
        <v/>
      </c>
      <c r="AK7" s="48" t="str">
        <f>IF(OR($H7="",$H7="N/A"),"",IF($AI7="",VLOOKUP('Company Profile'!$B$41,_TECH_Scoring_Settings!$A$5:$B$8,2,FALSE),IFERROR(VLOOKUP($AI7,_TECH_Scoring_Settings!$A$5:$B$8,2,FALSE),0.9)))</f>
        <v/>
      </c>
      <c r="AL7" s="48" t="str">
        <f t="shared" si="4"/>
        <v/>
      </c>
      <c r="AM7" s="48" t="str">
        <f t="shared" si="5"/>
        <v/>
      </c>
      <c r="AN7" s="48">
        <f>IFERROR(SUMIFS(_TECH_Industry_Templates!$D:$D,_TECH_Industry_Templates!$A:$A,'Company Profile'!$B$9,_TECH_Industry_Templates!$B:$B,"Quality Portfolio"),"")</f>
        <v>4</v>
      </c>
      <c r="AO7" s="48" t="str">
        <f t="shared" si="6"/>
        <v/>
      </c>
      <c r="AP7" s="48">
        <f>IFERROR(SUMIFS(_TECH_Industry_Templates!$E:$E,_TECH_Industry_Templates!$A:$A,'Company Profile'!$B$9,_TECH_Industry_Templates!$B:$B,"Quality Portfolio"),1)</f>
        <v>1.2</v>
      </c>
      <c r="AQ7" s="48" t="str">
        <f t="shared" si="7"/>
        <v/>
      </c>
      <c r="AR7" s="48" t="str">
        <f t="shared" si="8"/>
        <v/>
      </c>
      <c r="AS7" s="11">
        <f t="shared" si="9"/>
        <v>0</v>
      </c>
      <c r="AT7" s="11">
        <f t="shared" si="10"/>
        <v>0</v>
      </c>
    </row>
    <row r="8" spans="1:46" ht="71.25">
      <c r="A8" s="7" t="s">
        <v>5842</v>
      </c>
      <c r="B8" s="7" t="s">
        <v>1636</v>
      </c>
      <c r="C8" s="7" t="s">
        <v>5843</v>
      </c>
      <c r="D8" s="7" t="s">
        <v>5810</v>
      </c>
      <c r="E8" s="7" t="s">
        <v>5811</v>
      </c>
      <c r="F8" s="7" t="s">
        <v>5844</v>
      </c>
      <c r="G8" s="7">
        <v>3</v>
      </c>
      <c r="H8" s="153"/>
      <c r="I8" s="8" t="str">
        <f t="shared" si="0"/>
        <v/>
      </c>
      <c r="J8" s="8" t="str">
        <f t="shared" si="1"/>
        <v/>
      </c>
      <c r="K8" s="8" t="str">
        <f t="shared" si="2"/>
        <v/>
      </c>
      <c r="L8" s="7" t="str">
        <f t="shared" si="3"/>
        <v/>
      </c>
      <c r="M8" s="7" t="s">
        <v>5845</v>
      </c>
      <c r="N8" s="7" t="s">
        <v>5846</v>
      </c>
      <c r="O8" s="7" t="s">
        <v>5847</v>
      </c>
      <c r="P8" s="7" t="s">
        <v>5848</v>
      </c>
      <c r="Q8" s="7" t="s">
        <v>5849</v>
      </c>
      <c r="R8" s="7" t="s">
        <v>5850</v>
      </c>
      <c r="S8" s="7" t="s">
        <v>5819</v>
      </c>
      <c r="T8" s="7" t="s">
        <v>5820</v>
      </c>
      <c r="U8" s="7"/>
      <c r="V8" s="7" t="s">
        <v>5851</v>
      </c>
      <c r="W8" s="14">
        <v>4</v>
      </c>
      <c r="X8" s="14">
        <v>5</v>
      </c>
      <c r="Y8" s="14">
        <v>5</v>
      </c>
      <c r="AA8" t="s">
        <v>1663</v>
      </c>
      <c r="AB8" s="13">
        <f>COUNTIF($B$5:$B$24,$AA8)</f>
        <v>5</v>
      </c>
      <c r="AC8" s="15">
        <f>IFERROR(SUMPRODUCT(($B$5:$B$24=$AA8)*($H$5:$H$24&lt;&gt;"")*($H$5:$H$24&lt;&gt;"N/A")*IFERROR(VALUE($H$5:$H$24),0))/SUMPRODUCT(($B$5:$B$24=$AA8)*($H$5:$H$24&lt;&gt;"")*($H$5:$H$24&lt;&gt;"N/A")),0)</f>
        <v>0</v>
      </c>
      <c r="AD8" s="16">
        <f>AC8/5</f>
        <v>0</v>
      </c>
      <c r="AE8" s="13">
        <f>COUNTIFS($B$5:$B$24,$AA8,$L$5:$L$24,"Critical")+COUNTIFS($B$5:$B$24,$AA8,$L$5:$L$24,"High")</f>
        <v>0</v>
      </c>
      <c r="AF8" s="15">
        <f>5-AC8</f>
        <v>5</v>
      </c>
      <c r="AG8" s="13">
        <f>COUNTIFS($B$5:$B$24,$AA8,$H$5:$H$24,"&lt;&gt;")</f>
        <v>0</v>
      </c>
      <c r="AH8" s="81"/>
      <c r="AI8" s="81"/>
      <c r="AJ8" s="48" t="str">
        <f>IF(OR($H8="",$H8="N/A"),"",IF($AH8="",VLOOKUP('Company Profile'!$B$40,_TECH_Scoring_Settings!$A$5:$B$8,2,FALSE),IFERROR(VLOOKUP($AH8,_TECH_Scoring_Settings!$A$5:$B$8,2,FALSE),0.9)))</f>
        <v/>
      </c>
      <c r="AK8" s="48" t="str">
        <f>IF(OR($H8="",$H8="N/A"),"",IF($AI8="",VLOOKUP('Company Profile'!$B$41,_TECH_Scoring_Settings!$A$5:$B$8,2,FALSE),IFERROR(VLOOKUP($AI8,_TECH_Scoring_Settings!$A$5:$B$8,2,FALSE),0.9)))</f>
        <v/>
      </c>
      <c r="AL8" s="48" t="str">
        <f t="shared" si="4"/>
        <v/>
      </c>
      <c r="AM8" s="48" t="str">
        <f t="shared" si="5"/>
        <v/>
      </c>
      <c r="AN8" s="48">
        <f>IFERROR(SUMIFS(_TECH_Industry_Templates!$D:$D,_TECH_Industry_Templates!$A:$A,'Company Profile'!$B$9,_TECH_Industry_Templates!$B:$B,"Quality Portfolio"),"")</f>
        <v>4</v>
      </c>
      <c r="AO8" s="48" t="str">
        <f t="shared" si="6"/>
        <v/>
      </c>
      <c r="AP8" s="48">
        <f>IFERROR(SUMIFS(_TECH_Industry_Templates!$E:$E,_TECH_Industry_Templates!$A:$A,'Company Profile'!$B$9,_TECH_Industry_Templates!$B:$B,"Quality Portfolio"),1)</f>
        <v>1.2</v>
      </c>
      <c r="AQ8" s="48" t="str">
        <f t="shared" si="7"/>
        <v/>
      </c>
      <c r="AR8" s="48" t="str">
        <f t="shared" si="8"/>
        <v/>
      </c>
      <c r="AS8" s="11">
        <f t="shared" si="9"/>
        <v>0</v>
      </c>
      <c r="AT8" s="11">
        <f t="shared" si="10"/>
        <v>0</v>
      </c>
    </row>
    <row r="9" spans="1:46" ht="57">
      <c r="A9" s="7" t="s">
        <v>5852</v>
      </c>
      <c r="B9" s="7" t="s">
        <v>1636</v>
      </c>
      <c r="C9" s="7" t="s">
        <v>5853</v>
      </c>
      <c r="D9" s="7" t="s">
        <v>5810</v>
      </c>
      <c r="E9" s="7" t="s">
        <v>5811</v>
      </c>
      <c r="F9" s="7" t="s">
        <v>5854</v>
      </c>
      <c r="G9" s="7">
        <v>3</v>
      </c>
      <c r="H9" s="153"/>
      <c r="I9" s="8" t="str">
        <f t="shared" si="0"/>
        <v/>
      </c>
      <c r="J9" s="8" t="str">
        <f t="shared" si="1"/>
        <v/>
      </c>
      <c r="K9" s="8" t="str">
        <f t="shared" si="2"/>
        <v/>
      </c>
      <c r="L9" s="7" t="str">
        <f t="shared" si="3"/>
        <v/>
      </c>
      <c r="M9" s="7" t="s">
        <v>5855</v>
      </c>
      <c r="N9" s="7" t="s">
        <v>5856</v>
      </c>
      <c r="O9" s="7" t="s">
        <v>5857</v>
      </c>
      <c r="P9" s="7" t="s">
        <v>5858</v>
      </c>
      <c r="Q9" s="7" t="s">
        <v>5859</v>
      </c>
      <c r="R9" s="7" t="s">
        <v>5860</v>
      </c>
      <c r="S9" s="7" t="s">
        <v>5819</v>
      </c>
      <c r="T9" s="7" t="s">
        <v>5820</v>
      </c>
      <c r="U9" s="7"/>
      <c r="V9" s="7" t="s">
        <v>5861</v>
      </c>
      <c r="W9" s="14">
        <v>4</v>
      </c>
      <c r="X9" s="14">
        <v>5</v>
      </c>
      <c r="Y9" s="14">
        <v>5</v>
      </c>
      <c r="AH9" s="81"/>
      <c r="AI9" s="81"/>
      <c r="AJ9" s="48" t="str">
        <f>IF(OR($H9="",$H9="N/A"),"",IF($AH9="",VLOOKUP('Company Profile'!$B$40,_TECH_Scoring_Settings!$A$5:$B$8,2,FALSE),IFERROR(VLOOKUP($AH9,_TECH_Scoring_Settings!$A$5:$B$8,2,FALSE),0.9)))</f>
        <v/>
      </c>
      <c r="AK9" s="48" t="str">
        <f>IF(OR($H9="",$H9="N/A"),"",IF($AI9="",VLOOKUP('Company Profile'!$B$41,_TECH_Scoring_Settings!$A$5:$B$8,2,FALSE),IFERROR(VLOOKUP($AI9,_TECH_Scoring_Settings!$A$5:$B$8,2,FALSE),0.9)))</f>
        <v/>
      </c>
      <c r="AL9" s="48" t="str">
        <f t="shared" si="4"/>
        <v/>
      </c>
      <c r="AM9" s="48" t="str">
        <f t="shared" si="5"/>
        <v/>
      </c>
      <c r="AN9" s="48">
        <f>IFERROR(SUMIFS(_TECH_Industry_Templates!$D:$D,_TECH_Industry_Templates!$A:$A,'Company Profile'!$B$9,_TECH_Industry_Templates!$B:$B,"Quality Portfolio"),"")</f>
        <v>4</v>
      </c>
      <c r="AO9" s="48" t="str">
        <f t="shared" si="6"/>
        <v/>
      </c>
      <c r="AP9" s="48">
        <f>IFERROR(SUMIFS(_TECH_Industry_Templates!$E:$E,_TECH_Industry_Templates!$A:$A,'Company Profile'!$B$9,_TECH_Industry_Templates!$B:$B,"Quality Portfolio"),1)</f>
        <v>1.2</v>
      </c>
      <c r="AQ9" s="48" t="str">
        <f t="shared" si="7"/>
        <v/>
      </c>
      <c r="AR9" s="48" t="str">
        <f t="shared" si="8"/>
        <v/>
      </c>
      <c r="AS9" s="11">
        <f t="shared" si="9"/>
        <v>0</v>
      </c>
      <c r="AT9" s="11">
        <f t="shared" si="10"/>
        <v>0</v>
      </c>
    </row>
    <row r="10" spans="1:46" ht="57">
      <c r="A10" s="7" t="s">
        <v>5862</v>
      </c>
      <c r="B10" s="7" t="s">
        <v>1647</v>
      </c>
      <c r="C10" s="7" t="s">
        <v>5863</v>
      </c>
      <c r="D10" s="7" t="s">
        <v>5810</v>
      </c>
      <c r="E10" s="7" t="s">
        <v>5811</v>
      </c>
      <c r="F10" s="7" t="s">
        <v>5864</v>
      </c>
      <c r="G10" s="7">
        <v>4</v>
      </c>
      <c r="H10" s="153"/>
      <c r="I10" s="8" t="str">
        <f t="shared" si="0"/>
        <v/>
      </c>
      <c r="J10" s="8" t="str">
        <f t="shared" si="1"/>
        <v/>
      </c>
      <c r="K10" s="8" t="str">
        <f t="shared" si="2"/>
        <v/>
      </c>
      <c r="L10" s="7" t="str">
        <f t="shared" si="3"/>
        <v/>
      </c>
      <c r="M10" s="7" t="s">
        <v>5865</v>
      </c>
      <c r="N10" s="7" t="s">
        <v>5866</v>
      </c>
      <c r="O10" s="7" t="s">
        <v>5867</v>
      </c>
      <c r="P10" s="7" t="s">
        <v>5868</v>
      </c>
      <c r="Q10" s="7" t="s">
        <v>5869</v>
      </c>
      <c r="R10" s="7" t="s">
        <v>5870</v>
      </c>
      <c r="S10" s="7" t="s">
        <v>5819</v>
      </c>
      <c r="T10" s="7" t="s">
        <v>5820</v>
      </c>
      <c r="U10" s="7"/>
      <c r="V10" s="7" t="s">
        <v>5871</v>
      </c>
      <c r="W10" s="14">
        <v>4</v>
      </c>
      <c r="X10" s="14">
        <v>5</v>
      </c>
      <c r="Y10" s="14">
        <v>5</v>
      </c>
      <c r="AH10" s="81"/>
      <c r="AI10" s="81"/>
      <c r="AJ10" s="48" t="str">
        <f>IF(OR($H10="",$H10="N/A"),"",IF($AH10="",VLOOKUP('Company Profile'!$B$40,_TECH_Scoring_Settings!$A$5:$B$8,2,FALSE),IFERROR(VLOOKUP($AH10,_TECH_Scoring_Settings!$A$5:$B$8,2,FALSE),0.9)))</f>
        <v/>
      </c>
      <c r="AK10" s="48" t="str">
        <f>IF(OR($H10="",$H10="N/A"),"",IF($AI10="",VLOOKUP('Company Profile'!$B$41,_TECH_Scoring_Settings!$A$5:$B$8,2,FALSE),IFERROR(VLOOKUP($AI10,_TECH_Scoring_Settings!$A$5:$B$8,2,FALSE),0.9)))</f>
        <v/>
      </c>
      <c r="AL10" s="48" t="str">
        <f t="shared" si="4"/>
        <v/>
      </c>
      <c r="AM10" s="48" t="str">
        <f t="shared" si="5"/>
        <v/>
      </c>
      <c r="AN10" s="48">
        <f>IFERROR(SUMIFS(_TECH_Industry_Templates!$D:$D,_TECH_Industry_Templates!$A:$A,'Company Profile'!$B$9,_TECH_Industry_Templates!$B:$B,"Quality Portfolio"),"")</f>
        <v>4</v>
      </c>
      <c r="AO10" s="48" t="str">
        <f t="shared" si="6"/>
        <v/>
      </c>
      <c r="AP10" s="48">
        <f>IFERROR(SUMIFS(_TECH_Industry_Templates!$E:$E,_TECH_Industry_Templates!$A:$A,'Company Profile'!$B$9,_TECH_Industry_Templates!$B:$B,"Quality Portfolio"),1)</f>
        <v>1.2</v>
      </c>
      <c r="AQ10" s="48" t="str">
        <f t="shared" si="7"/>
        <v/>
      </c>
      <c r="AR10" s="48" t="str">
        <f t="shared" si="8"/>
        <v/>
      </c>
      <c r="AS10" s="11">
        <f t="shared" si="9"/>
        <v>0</v>
      </c>
      <c r="AT10" s="11">
        <f t="shared" si="10"/>
        <v>0</v>
      </c>
    </row>
    <row r="11" spans="1:46" ht="57">
      <c r="A11" s="7" t="s">
        <v>5872</v>
      </c>
      <c r="B11" s="7" t="s">
        <v>1647</v>
      </c>
      <c r="C11" s="7" t="s">
        <v>5873</v>
      </c>
      <c r="D11" s="7" t="s">
        <v>5810</v>
      </c>
      <c r="E11" s="7" t="s">
        <v>5811</v>
      </c>
      <c r="F11" s="7" t="s">
        <v>5874</v>
      </c>
      <c r="G11" s="7">
        <v>3</v>
      </c>
      <c r="H11" s="153"/>
      <c r="I11" s="8" t="str">
        <f t="shared" si="0"/>
        <v/>
      </c>
      <c r="J11" s="8" t="str">
        <f t="shared" si="1"/>
        <v/>
      </c>
      <c r="K11" s="8" t="str">
        <f t="shared" si="2"/>
        <v/>
      </c>
      <c r="L11" s="7" t="str">
        <f t="shared" si="3"/>
        <v/>
      </c>
      <c r="M11" s="7" t="s">
        <v>5875</v>
      </c>
      <c r="N11" s="7" t="s">
        <v>5876</v>
      </c>
      <c r="O11" s="7" t="s">
        <v>5877</v>
      </c>
      <c r="P11" s="7" t="s">
        <v>5878</v>
      </c>
      <c r="Q11" s="7" t="s">
        <v>5879</v>
      </c>
      <c r="R11" s="7" t="s">
        <v>5880</v>
      </c>
      <c r="S11" s="7" t="s">
        <v>5819</v>
      </c>
      <c r="T11" s="7" t="s">
        <v>5820</v>
      </c>
      <c r="U11" s="7"/>
      <c r="V11" s="7" t="s">
        <v>5881</v>
      </c>
      <c r="W11" s="14">
        <v>4</v>
      </c>
      <c r="X11" s="14">
        <v>5</v>
      </c>
      <c r="Y11" s="14">
        <v>5</v>
      </c>
      <c r="AH11" s="81"/>
      <c r="AI11" s="81"/>
      <c r="AJ11" s="48" t="str">
        <f>IF(OR($H11="",$H11="N/A"),"",IF($AH11="",VLOOKUP('Company Profile'!$B$40,_TECH_Scoring_Settings!$A$5:$B$8,2,FALSE),IFERROR(VLOOKUP($AH11,_TECH_Scoring_Settings!$A$5:$B$8,2,FALSE),0.9)))</f>
        <v/>
      </c>
      <c r="AK11" s="48" t="str">
        <f>IF(OR($H11="",$H11="N/A"),"",IF($AI11="",VLOOKUP('Company Profile'!$B$41,_TECH_Scoring_Settings!$A$5:$B$8,2,FALSE),IFERROR(VLOOKUP($AI11,_TECH_Scoring_Settings!$A$5:$B$8,2,FALSE),0.9)))</f>
        <v/>
      </c>
      <c r="AL11" s="48" t="str">
        <f t="shared" si="4"/>
        <v/>
      </c>
      <c r="AM11" s="48" t="str">
        <f t="shared" si="5"/>
        <v/>
      </c>
      <c r="AN11" s="48">
        <f>IFERROR(SUMIFS(_TECH_Industry_Templates!$D:$D,_TECH_Industry_Templates!$A:$A,'Company Profile'!$B$9,_TECH_Industry_Templates!$B:$B,"Quality Portfolio"),"")</f>
        <v>4</v>
      </c>
      <c r="AO11" s="48" t="str">
        <f t="shared" si="6"/>
        <v/>
      </c>
      <c r="AP11" s="48">
        <f>IFERROR(SUMIFS(_TECH_Industry_Templates!$E:$E,_TECH_Industry_Templates!$A:$A,'Company Profile'!$B$9,_TECH_Industry_Templates!$B:$B,"Quality Portfolio"),1)</f>
        <v>1.2</v>
      </c>
      <c r="AQ11" s="48" t="str">
        <f t="shared" si="7"/>
        <v/>
      </c>
      <c r="AR11" s="48" t="str">
        <f t="shared" si="8"/>
        <v/>
      </c>
      <c r="AS11" s="11">
        <f t="shared" si="9"/>
        <v>0</v>
      </c>
      <c r="AT11" s="11">
        <f t="shared" si="10"/>
        <v>0</v>
      </c>
    </row>
    <row r="12" spans="1:46" ht="57">
      <c r="A12" s="7" t="s">
        <v>5882</v>
      </c>
      <c r="B12" s="7" t="s">
        <v>1647</v>
      </c>
      <c r="C12" s="7" t="s">
        <v>5883</v>
      </c>
      <c r="D12" s="7" t="s">
        <v>5810</v>
      </c>
      <c r="E12" s="7" t="s">
        <v>5811</v>
      </c>
      <c r="F12" s="7" t="s">
        <v>5884</v>
      </c>
      <c r="G12" s="7">
        <v>5</v>
      </c>
      <c r="H12" s="153"/>
      <c r="I12" s="8" t="str">
        <f t="shared" si="0"/>
        <v/>
      </c>
      <c r="J12" s="8" t="str">
        <f t="shared" si="1"/>
        <v/>
      </c>
      <c r="K12" s="8" t="str">
        <f t="shared" si="2"/>
        <v/>
      </c>
      <c r="L12" s="7" t="str">
        <f t="shared" si="3"/>
        <v/>
      </c>
      <c r="M12" s="7" t="s">
        <v>5885</v>
      </c>
      <c r="N12" s="7" t="s">
        <v>5886</v>
      </c>
      <c r="O12" s="7" t="s">
        <v>5887</v>
      </c>
      <c r="P12" s="7" t="s">
        <v>5888</v>
      </c>
      <c r="Q12" s="7" t="s">
        <v>5889</v>
      </c>
      <c r="R12" s="7" t="s">
        <v>5890</v>
      </c>
      <c r="S12" s="7" t="s">
        <v>5819</v>
      </c>
      <c r="T12" s="7" t="s">
        <v>5820</v>
      </c>
      <c r="U12" s="7"/>
      <c r="V12" s="7" t="s">
        <v>5891</v>
      </c>
      <c r="W12" s="14">
        <v>4</v>
      </c>
      <c r="X12" s="14">
        <v>5</v>
      </c>
      <c r="Y12" s="14">
        <v>5</v>
      </c>
      <c r="AH12" s="81"/>
      <c r="AI12" s="81"/>
      <c r="AJ12" s="48" t="str">
        <f>IF(OR($H12="",$H12="N/A"),"",IF($AH12="",VLOOKUP('Company Profile'!$B$40,_TECH_Scoring_Settings!$A$5:$B$8,2,FALSE),IFERROR(VLOOKUP($AH12,_TECH_Scoring_Settings!$A$5:$B$8,2,FALSE),0.9)))</f>
        <v/>
      </c>
      <c r="AK12" s="48" t="str">
        <f>IF(OR($H12="",$H12="N/A"),"",IF($AI12="",VLOOKUP('Company Profile'!$B$41,_TECH_Scoring_Settings!$A$5:$B$8,2,FALSE),IFERROR(VLOOKUP($AI12,_TECH_Scoring_Settings!$A$5:$B$8,2,FALSE),0.9)))</f>
        <v/>
      </c>
      <c r="AL12" s="48" t="str">
        <f t="shared" si="4"/>
        <v/>
      </c>
      <c r="AM12" s="48" t="str">
        <f t="shared" si="5"/>
        <v/>
      </c>
      <c r="AN12" s="48">
        <f>IFERROR(SUMIFS(_TECH_Industry_Templates!$D:$D,_TECH_Industry_Templates!$A:$A,'Company Profile'!$B$9,_TECH_Industry_Templates!$B:$B,"Quality Portfolio"),"")</f>
        <v>4</v>
      </c>
      <c r="AO12" s="48" t="str">
        <f t="shared" si="6"/>
        <v/>
      </c>
      <c r="AP12" s="48">
        <f>IFERROR(SUMIFS(_TECH_Industry_Templates!$E:$E,_TECH_Industry_Templates!$A:$A,'Company Profile'!$B$9,_TECH_Industry_Templates!$B:$B,"Quality Portfolio"),1)</f>
        <v>1.2</v>
      </c>
      <c r="AQ12" s="48" t="str">
        <f t="shared" si="7"/>
        <v/>
      </c>
      <c r="AR12" s="48" t="str">
        <f t="shared" si="8"/>
        <v/>
      </c>
      <c r="AS12" s="11">
        <f t="shared" si="9"/>
        <v>0</v>
      </c>
      <c r="AT12" s="11">
        <f t="shared" si="10"/>
        <v>0</v>
      </c>
    </row>
    <row r="13" spans="1:46" ht="57">
      <c r="A13" s="7" t="s">
        <v>5892</v>
      </c>
      <c r="B13" s="7" t="s">
        <v>1647</v>
      </c>
      <c r="C13" s="7" t="s">
        <v>5893</v>
      </c>
      <c r="D13" s="7" t="s">
        <v>5810</v>
      </c>
      <c r="E13" s="7" t="s">
        <v>5811</v>
      </c>
      <c r="F13" s="7" t="s">
        <v>5894</v>
      </c>
      <c r="G13" s="7">
        <v>3</v>
      </c>
      <c r="H13" s="153"/>
      <c r="I13" s="8" t="str">
        <f t="shared" si="0"/>
        <v/>
      </c>
      <c r="J13" s="8" t="str">
        <f t="shared" si="1"/>
        <v/>
      </c>
      <c r="K13" s="8" t="str">
        <f t="shared" si="2"/>
        <v/>
      </c>
      <c r="L13" s="7" t="str">
        <f t="shared" si="3"/>
        <v/>
      </c>
      <c r="M13" s="7" t="s">
        <v>5895</v>
      </c>
      <c r="N13" s="7" t="s">
        <v>5896</v>
      </c>
      <c r="O13" s="7" t="s">
        <v>5897</v>
      </c>
      <c r="P13" s="7" t="s">
        <v>5898</v>
      </c>
      <c r="Q13" s="7" t="s">
        <v>5899</v>
      </c>
      <c r="R13" s="7" t="s">
        <v>5900</v>
      </c>
      <c r="S13" s="7" t="s">
        <v>5819</v>
      </c>
      <c r="T13" s="7" t="s">
        <v>5820</v>
      </c>
      <c r="U13" s="7"/>
      <c r="V13" s="7" t="s">
        <v>5901</v>
      </c>
      <c r="W13" s="14">
        <v>4</v>
      </c>
      <c r="X13" s="14">
        <v>5</v>
      </c>
      <c r="Y13" s="14">
        <v>5</v>
      </c>
      <c r="AH13" s="81"/>
      <c r="AI13" s="81"/>
      <c r="AJ13" s="48" t="str">
        <f>IF(OR($H13="",$H13="N/A"),"",IF($AH13="",VLOOKUP('Company Profile'!$B$40,_TECH_Scoring_Settings!$A$5:$B$8,2,FALSE),IFERROR(VLOOKUP($AH13,_TECH_Scoring_Settings!$A$5:$B$8,2,FALSE),0.9)))</f>
        <v/>
      </c>
      <c r="AK13" s="48" t="str">
        <f>IF(OR($H13="",$H13="N/A"),"",IF($AI13="",VLOOKUP('Company Profile'!$B$41,_TECH_Scoring_Settings!$A$5:$B$8,2,FALSE),IFERROR(VLOOKUP($AI13,_TECH_Scoring_Settings!$A$5:$B$8,2,FALSE),0.9)))</f>
        <v/>
      </c>
      <c r="AL13" s="48" t="str">
        <f t="shared" si="4"/>
        <v/>
      </c>
      <c r="AM13" s="48" t="str">
        <f t="shared" si="5"/>
        <v/>
      </c>
      <c r="AN13" s="48">
        <f>IFERROR(SUMIFS(_TECH_Industry_Templates!$D:$D,_TECH_Industry_Templates!$A:$A,'Company Profile'!$B$9,_TECH_Industry_Templates!$B:$B,"Quality Portfolio"),"")</f>
        <v>4</v>
      </c>
      <c r="AO13" s="48" t="str">
        <f t="shared" si="6"/>
        <v/>
      </c>
      <c r="AP13" s="48">
        <f>IFERROR(SUMIFS(_TECH_Industry_Templates!$E:$E,_TECH_Industry_Templates!$A:$A,'Company Profile'!$B$9,_TECH_Industry_Templates!$B:$B,"Quality Portfolio"),1)</f>
        <v>1.2</v>
      </c>
      <c r="AQ13" s="48" t="str">
        <f t="shared" si="7"/>
        <v/>
      </c>
      <c r="AR13" s="48" t="str">
        <f t="shared" si="8"/>
        <v/>
      </c>
      <c r="AS13" s="11">
        <f t="shared" si="9"/>
        <v>0</v>
      </c>
      <c r="AT13" s="11">
        <f t="shared" si="10"/>
        <v>0</v>
      </c>
    </row>
    <row r="14" spans="1:46" ht="57">
      <c r="A14" s="7" t="s">
        <v>5902</v>
      </c>
      <c r="B14" s="7" t="s">
        <v>1647</v>
      </c>
      <c r="C14" s="7" t="s">
        <v>5903</v>
      </c>
      <c r="D14" s="7" t="s">
        <v>5810</v>
      </c>
      <c r="E14" s="7" t="s">
        <v>5811</v>
      </c>
      <c r="F14" s="7" t="s">
        <v>5904</v>
      </c>
      <c r="G14" s="7">
        <v>4</v>
      </c>
      <c r="H14" s="153"/>
      <c r="I14" s="8" t="str">
        <f t="shared" si="0"/>
        <v/>
      </c>
      <c r="J14" s="8" t="str">
        <f t="shared" si="1"/>
        <v/>
      </c>
      <c r="K14" s="8" t="str">
        <f t="shared" si="2"/>
        <v/>
      </c>
      <c r="L14" s="7" t="str">
        <f t="shared" si="3"/>
        <v/>
      </c>
      <c r="M14" s="7" t="s">
        <v>5905</v>
      </c>
      <c r="N14" s="7" t="s">
        <v>5906</v>
      </c>
      <c r="O14" s="7" t="s">
        <v>5907</v>
      </c>
      <c r="P14" s="7" t="s">
        <v>5908</v>
      </c>
      <c r="Q14" s="7" t="s">
        <v>5909</v>
      </c>
      <c r="R14" s="7" t="s">
        <v>5910</v>
      </c>
      <c r="S14" s="7" t="s">
        <v>5819</v>
      </c>
      <c r="T14" s="7" t="s">
        <v>5820</v>
      </c>
      <c r="U14" s="7"/>
      <c r="V14" s="7" t="s">
        <v>5911</v>
      </c>
      <c r="W14" s="14">
        <v>4</v>
      </c>
      <c r="X14" s="14">
        <v>5</v>
      </c>
      <c r="Y14" s="14">
        <v>5</v>
      </c>
      <c r="AH14" s="81"/>
      <c r="AI14" s="81"/>
      <c r="AJ14" s="48" t="str">
        <f>IF(OR($H14="",$H14="N/A"),"",IF($AH14="",VLOOKUP('Company Profile'!$B$40,_TECH_Scoring_Settings!$A$5:$B$8,2,FALSE),IFERROR(VLOOKUP($AH14,_TECH_Scoring_Settings!$A$5:$B$8,2,FALSE),0.9)))</f>
        <v/>
      </c>
      <c r="AK14" s="48" t="str">
        <f>IF(OR($H14="",$H14="N/A"),"",IF($AI14="",VLOOKUP('Company Profile'!$B$41,_TECH_Scoring_Settings!$A$5:$B$8,2,FALSE),IFERROR(VLOOKUP($AI14,_TECH_Scoring_Settings!$A$5:$B$8,2,FALSE),0.9)))</f>
        <v/>
      </c>
      <c r="AL14" s="48" t="str">
        <f t="shared" si="4"/>
        <v/>
      </c>
      <c r="AM14" s="48" t="str">
        <f t="shared" si="5"/>
        <v/>
      </c>
      <c r="AN14" s="48">
        <f>IFERROR(SUMIFS(_TECH_Industry_Templates!$D:$D,_TECH_Industry_Templates!$A:$A,'Company Profile'!$B$9,_TECH_Industry_Templates!$B:$B,"Quality Portfolio"),"")</f>
        <v>4</v>
      </c>
      <c r="AO14" s="48" t="str">
        <f t="shared" si="6"/>
        <v/>
      </c>
      <c r="AP14" s="48">
        <f>IFERROR(SUMIFS(_TECH_Industry_Templates!$E:$E,_TECH_Industry_Templates!$A:$A,'Company Profile'!$B$9,_TECH_Industry_Templates!$B:$B,"Quality Portfolio"),1)</f>
        <v>1.2</v>
      </c>
      <c r="AQ14" s="48" t="str">
        <f t="shared" si="7"/>
        <v/>
      </c>
      <c r="AR14" s="48" t="str">
        <f t="shared" si="8"/>
        <v/>
      </c>
      <c r="AS14" s="11">
        <f t="shared" si="9"/>
        <v>0</v>
      </c>
      <c r="AT14" s="11">
        <f t="shared" si="10"/>
        <v>0</v>
      </c>
    </row>
    <row r="15" spans="1:46" ht="71.25">
      <c r="A15" s="7" t="s">
        <v>5912</v>
      </c>
      <c r="B15" s="7" t="s">
        <v>1655</v>
      </c>
      <c r="C15" s="7" t="s">
        <v>5913</v>
      </c>
      <c r="D15" s="7" t="s">
        <v>5810</v>
      </c>
      <c r="E15" s="7" t="s">
        <v>5811</v>
      </c>
      <c r="F15" s="7" t="s">
        <v>5914</v>
      </c>
      <c r="G15" s="7">
        <v>4</v>
      </c>
      <c r="H15" s="153"/>
      <c r="I15" s="8" t="str">
        <f t="shared" si="0"/>
        <v/>
      </c>
      <c r="J15" s="8" t="str">
        <f t="shared" si="1"/>
        <v/>
      </c>
      <c r="K15" s="8" t="str">
        <f t="shared" si="2"/>
        <v/>
      </c>
      <c r="L15" s="7" t="str">
        <f t="shared" si="3"/>
        <v/>
      </c>
      <c r="M15" s="7" t="s">
        <v>5915</v>
      </c>
      <c r="N15" s="7" t="s">
        <v>5916</v>
      </c>
      <c r="O15" s="7" t="s">
        <v>5917</v>
      </c>
      <c r="P15" s="7" t="s">
        <v>5918</v>
      </c>
      <c r="Q15" s="7" t="s">
        <v>5919</v>
      </c>
      <c r="R15" s="7" t="s">
        <v>5920</v>
      </c>
      <c r="S15" s="7" t="s">
        <v>5819</v>
      </c>
      <c r="T15" s="7" t="s">
        <v>5820</v>
      </c>
      <c r="U15" s="7"/>
      <c r="V15" s="7" t="s">
        <v>5921</v>
      </c>
      <c r="W15" s="14">
        <v>4</v>
      </c>
      <c r="X15" s="14">
        <v>5</v>
      </c>
      <c r="Y15" s="14">
        <v>5</v>
      </c>
      <c r="AH15" s="81"/>
      <c r="AI15" s="81"/>
      <c r="AJ15" s="48" t="str">
        <f>IF(OR($H15="",$H15="N/A"),"",IF($AH15="",VLOOKUP('Company Profile'!$B$40,_TECH_Scoring_Settings!$A$5:$B$8,2,FALSE),IFERROR(VLOOKUP($AH15,_TECH_Scoring_Settings!$A$5:$B$8,2,FALSE),0.9)))</f>
        <v/>
      </c>
      <c r="AK15" s="48" t="str">
        <f>IF(OR($H15="",$H15="N/A"),"",IF($AI15="",VLOOKUP('Company Profile'!$B$41,_TECH_Scoring_Settings!$A$5:$B$8,2,FALSE),IFERROR(VLOOKUP($AI15,_TECH_Scoring_Settings!$A$5:$B$8,2,FALSE),0.9)))</f>
        <v/>
      </c>
      <c r="AL15" s="48" t="str">
        <f t="shared" si="4"/>
        <v/>
      </c>
      <c r="AM15" s="48" t="str">
        <f t="shared" si="5"/>
        <v/>
      </c>
      <c r="AN15" s="48">
        <f>IFERROR(SUMIFS(_TECH_Industry_Templates!$D:$D,_TECH_Industry_Templates!$A:$A,'Company Profile'!$B$9,_TECH_Industry_Templates!$B:$B,"Quality Portfolio"),"")</f>
        <v>4</v>
      </c>
      <c r="AO15" s="48" t="str">
        <f t="shared" si="6"/>
        <v/>
      </c>
      <c r="AP15" s="48">
        <f>IFERROR(SUMIFS(_TECH_Industry_Templates!$E:$E,_TECH_Industry_Templates!$A:$A,'Company Profile'!$B$9,_TECH_Industry_Templates!$B:$B,"Quality Portfolio"),1)</f>
        <v>1.2</v>
      </c>
      <c r="AQ15" s="48" t="str">
        <f t="shared" si="7"/>
        <v/>
      </c>
      <c r="AR15" s="48" t="str">
        <f t="shared" si="8"/>
        <v/>
      </c>
      <c r="AS15" s="11">
        <f t="shared" si="9"/>
        <v>0</v>
      </c>
      <c r="AT15" s="11">
        <f t="shared" si="10"/>
        <v>0</v>
      </c>
    </row>
    <row r="16" spans="1:46" ht="71.25">
      <c r="A16" s="7" t="s">
        <v>5922</v>
      </c>
      <c r="B16" s="7" t="s">
        <v>1655</v>
      </c>
      <c r="C16" s="7" t="s">
        <v>5923</v>
      </c>
      <c r="D16" s="7" t="s">
        <v>5810</v>
      </c>
      <c r="E16" s="7" t="s">
        <v>5811</v>
      </c>
      <c r="F16" s="7" t="s">
        <v>5924</v>
      </c>
      <c r="G16" s="7">
        <v>5</v>
      </c>
      <c r="H16" s="153"/>
      <c r="I16" s="8" t="str">
        <f t="shared" si="0"/>
        <v/>
      </c>
      <c r="J16" s="8" t="str">
        <f t="shared" si="1"/>
        <v/>
      </c>
      <c r="K16" s="8" t="str">
        <f t="shared" si="2"/>
        <v/>
      </c>
      <c r="L16" s="7" t="str">
        <f t="shared" si="3"/>
        <v/>
      </c>
      <c r="M16" s="7" t="s">
        <v>5925</v>
      </c>
      <c r="N16" s="7" t="s">
        <v>5926</v>
      </c>
      <c r="O16" s="7" t="s">
        <v>5927</v>
      </c>
      <c r="P16" s="7" t="s">
        <v>5928</v>
      </c>
      <c r="Q16" s="7" t="s">
        <v>5929</v>
      </c>
      <c r="R16" s="7" t="s">
        <v>5930</v>
      </c>
      <c r="S16" s="7" t="s">
        <v>5819</v>
      </c>
      <c r="T16" s="7" t="s">
        <v>5820</v>
      </c>
      <c r="U16" s="7"/>
      <c r="V16" s="7" t="s">
        <v>5931</v>
      </c>
      <c r="W16" s="14">
        <v>4</v>
      </c>
      <c r="X16" s="14">
        <v>5</v>
      </c>
      <c r="Y16" s="14">
        <v>5</v>
      </c>
      <c r="AH16" s="81"/>
      <c r="AI16" s="81"/>
      <c r="AJ16" s="48" t="str">
        <f>IF(OR($H16="",$H16="N/A"),"",IF($AH16="",VLOOKUP('Company Profile'!$B$40,_TECH_Scoring_Settings!$A$5:$B$8,2,FALSE),IFERROR(VLOOKUP($AH16,_TECH_Scoring_Settings!$A$5:$B$8,2,FALSE),0.9)))</f>
        <v/>
      </c>
      <c r="AK16" s="48" t="str">
        <f>IF(OR($H16="",$H16="N/A"),"",IF($AI16="",VLOOKUP('Company Profile'!$B$41,_TECH_Scoring_Settings!$A$5:$B$8,2,FALSE),IFERROR(VLOOKUP($AI16,_TECH_Scoring_Settings!$A$5:$B$8,2,FALSE),0.9)))</f>
        <v/>
      </c>
      <c r="AL16" s="48" t="str">
        <f t="shared" si="4"/>
        <v/>
      </c>
      <c r="AM16" s="48" t="str">
        <f t="shared" si="5"/>
        <v/>
      </c>
      <c r="AN16" s="48">
        <f>IFERROR(SUMIFS(_TECH_Industry_Templates!$D:$D,_TECH_Industry_Templates!$A:$A,'Company Profile'!$B$9,_TECH_Industry_Templates!$B:$B,"Quality Portfolio"),"")</f>
        <v>4</v>
      </c>
      <c r="AO16" s="48" t="str">
        <f t="shared" si="6"/>
        <v/>
      </c>
      <c r="AP16" s="48">
        <f>IFERROR(SUMIFS(_TECH_Industry_Templates!$E:$E,_TECH_Industry_Templates!$A:$A,'Company Profile'!$B$9,_TECH_Industry_Templates!$B:$B,"Quality Portfolio"),1)</f>
        <v>1.2</v>
      </c>
      <c r="AQ16" s="48" t="str">
        <f t="shared" si="7"/>
        <v/>
      </c>
      <c r="AR16" s="48" t="str">
        <f t="shared" si="8"/>
        <v/>
      </c>
      <c r="AS16" s="11">
        <f t="shared" si="9"/>
        <v>0</v>
      </c>
      <c r="AT16" s="11">
        <f t="shared" si="10"/>
        <v>0</v>
      </c>
    </row>
    <row r="17" spans="1:46" ht="57">
      <c r="A17" s="7" t="s">
        <v>5932</v>
      </c>
      <c r="B17" s="7" t="s">
        <v>1655</v>
      </c>
      <c r="C17" s="7" t="s">
        <v>5933</v>
      </c>
      <c r="D17" s="7" t="s">
        <v>5810</v>
      </c>
      <c r="E17" s="7" t="s">
        <v>5811</v>
      </c>
      <c r="F17" s="7" t="s">
        <v>5934</v>
      </c>
      <c r="G17" s="7">
        <v>3</v>
      </c>
      <c r="H17" s="153"/>
      <c r="I17" s="8" t="str">
        <f t="shared" si="0"/>
        <v/>
      </c>
      <c r="J17" s="8" t="str">
        <f t="shared" si="1"/>
        <v/>
      </c>
      <c r="K17" s="8" t="str">
        <f t="shared" si="2"/>
        <v/>
      </c>
      <c r="L17" s="7" t="str">
        <f t="shared" si="3"/>
        <v/>
      </c>
      <c r="M17" s="7" t="s">
        <v>5935</v>
      </c>
      <c r="N17" s="7" t="s">
        <v>5936</v>
      </c>
      <c r="O17" s="7" t="s">
        <v>5937</v>
      </c>
      <c r="P17" s="7" t="s">
        <v>5938</v>
      </c>
      <c r="Q17" s="7" t="s">
        <v>5939</v>
      </c>
      <c r="R17" s="7" t="s">
        <v>5940</v>
      </c>
      <c r="S17" s="7" t="s">
        <v>5819</v>
      </c>
      <c r="T17" s="7" t="s">
        <v>5820</v>
      </c>
      <c r="U17" s="7"/>
      <c r="V17" s="7" t="s">
        <v>5941</v>
      </c>
      <c r="W17" s="14">
        <v>4</v>
      </c>
      <c r="X17" s="14">
        <v>5</v>
      </c>
      <c r="Y17" s="14">
        <v>5</v>
      </c>
      <c r="AH17" s="81"/>
      <c r="AI17" s="81"/>
      <c r="AJ17" s="48" t="str">
        <f>IF(OR($H17="",$H17="N/A"),"",IF($AH17="",VLOOKUP('Company Profile'!$B$40,_TECH_Scoring_Settings!$A$5:$B$8,2,FALSE),IFERROR(VLOOKUP($AH17,_TECH_Scoring_Settings!$A$5:$B$8,2,FALSE),0.9)))</f>
        <v/>
      </c>
      <c r="AK17" s="48" t="str">
        <f>IF(OR($H17="",$H17="N/A"),"",IF($AI17="",VLOOKUP('Company Profile'!$B$41,_TECH_Scoring_Settings!$A$5:$B$8,2,FALSE),IFERROR(VLOOKUP($AI17,_TECH_Scoring_Settings!$A$5:$B$8,2,FALSE),0.9)))</f>
        <v/>
      </c>
      <c r="AL17" s="48" t="str">
        <f t="shared" si="4"/>
        <v/>
      </c>
      <c r="AM17" s="48" t="str">
        <f t="shared" si="5"/>
        <v/>
      </c>
      <c r="AN17" s="48">
        <f>IFERROR(SUMIFS(_TECH_Industry_Templates!$D:$D,_TECH_Industry_Templates!$A:$A,'Company Profile'!$B$9,_TECH_Industry_Templates!$B:$B,"Quality Portfolio"),"")</f>
        <v>4</v>
      </c>
      <c r="AO17" s="48" t="str">
        <f t="shared" si="6"/>
        <v/>
      </c>
      <c r="AP17" s="48">
        <f>IFERROR(SUMIFS(_TECH_Industry_Templates!$E:$E,_TECH_Industry_Templates!$A:$A,'Company Profile'!$B$9,_TECH_Industry_Templates!$B:$B,"Quality Portfolio"),1)</f>
        <v>1.2</v>
      </c>
      <c r="AQ17" s="48" t="str">
        <f t="shared" si="7"/>
        <v/>
      </c>
      <c r="AR17" s="48" t="str">
        <f t="shared" si="8"/>
        <v/>
      </c>
      <c r="AS17" s="11">
        <f t="shared" si="9"/>
        <v>0</v>
      </c>
      <c r="AT17" s="11">
        <f t="shared" si="10"/>
        <v>0</v>
      </c>
    </row>
    <row r="18" spans="1:46" ht="71.25">
      <c r="A18" s="7" t="s">
        <v>5942</v>
      </c>
      <c r="B18" s="7" t="s">
        <v>1655</v>
      </c>
      <c r="C18" s="7" t="s">
        <v>5943</v>
      </c>
      <c r="D18" s="7" t="s">
        <v>5810</v>
      </c>
      <c r="E18" s="7" t="s">
        <v>5811</v>
      </c>
      <c r="F18" s="7" t="s">
        <v>5944</v>
      </c>
      <c r="G18" s="7">
        <v>3</v>
      </c>
      <c r="H18" s="153"/>
      <c r="I18" s="8" t="str">
        <f t="shared" si="0"/>
        <v/>
      </c>
      <c r="J18" s="8" t="str">
        <f t="shared" si="1"/>
        <v/>
      </c>
      <c r="K18" s="8" t="str">
        <f t="shared" si="2"/>
        <v/>
      </c>
      <c r="L18" s="7" t="str">
        <f t="shared" si="3"/>
        <v/>
      </c>
      <c r="M18" s="7" t="s">
        <v>5945</v>
      </c>
      <c r="N18" s="7" t="s">
        <v>5946</v>
      </c>
      <c r="O18" s="7" t="s">
        <v>5947</v>
      </c>
      <c r="P18" s="7" t="s">
        <v>5948</v>
      </c>
      <c r="Q18" s="7" t="s">
        <v>5949</v>
      </c>
      <c r="R18" s="7" t="s">
        <v>5950</v>
      </c>
      <c r="S18" s="7" t="s">
        <v>5819</v>
      </c>
      <c r="T18" s="7" t="s">
        <v>5820</v>
      </c>
      <c r="U18" s="7"/>
      <c r="V18" s="7" t="s">
        <v>5951</v>
      </c>
      <c r="W18" s="14">
        <v>4</v>
      </c>
      <c r="X18" s="14">
        <v>5</v>
      </c>
      <c r="Y18" s="14">
        <v>5</v>
      </c>
      <c r="AH18" s="81"/>
      <c r="AI18" s="81"/>
      <c r="AJ18" s="48" t="str">
        <f>IF(OR($H18="",$H18="N/A"),"",IF($AH18="",VLOOKUP('Company Profile'!$B$40,_TECH_Scoring_Settings!$A$5:$B$8,2,FALSE),IFERROR(VLOOKUP($AH18,_TECH_Scoring_Settings!$A$5:$B$8,2,FALSE),0.9)))</f>
        <v/>
      </c>
      <c r="AK18" s="48" t="str">
        <f>IF(OR($H18="",$H18="N/A"),"",IF($AI18="",VLOOKUP('Company Profile'!$B$41,_TECH_Scoring_Settings!$A$5:$B$8,2,FALSE),IFERROR(VLOOKUP($AI18,_TECH_Scoring_Settings!$A$5:$B$8,2,FALSE),0.9)))</f>
        <v/>
      </c>
      <c r="AL18" s="48" t="str">
        <f t="shared" si="4"/>
        <v/>
      </c>
      <c r="AM18" s="48" t="str">
        <f t="shared" si="5"/>
        <v/>
      </c>
      <c r="AN18" s="48">
        <f>IFERROR(SUMIFS(_TECH_Industry_Templates!$D:$D,_TECH_Industry_Templates!$A:$A,'Company Profile'!$B$9,_TECH_Industry_Templates!$B:$B,"Quality Portfolio"),"")</f>
        <v>4</v>
      </c>
      <c r="AO18" s="48" t="str">
        <f t="shared" si="6"/>
        <v/>
      </c>
      <c r="AP18" s="48">
        <f>IFERROR(SUMIFS(_TECH_Industry_Templates!$E:$E,_TECH_Industry_Templates!$A:$A,'Company Profile'!$B$9,_TECH_Industry_Templates!$B:$B,"Quality Portfolio"),1)</f>
        <v>1.2</v>
      </c>
      <c r="AQ18" s="48" t="str">
        <f t="shared" si="7"/>
        <v/>
      </c>
      <c r="AR18" s="48" t="str">
        <f t="shared" si="8"/>
        <v/>
      </c>
      <c r="AS18" s="11">
        <f t="shared" si="9"/>
        <v>0</v>
      </c>
      <c r="AT18" s="11">
        <f t="shared" si="10"/>
        <v>0</v>
      </c>
    </row>
    <row r="19" spans="1:46" ht="71.25">
      <c r="A19" s="7" t="s">
        <v>5952</v>
      </c>
      <c r="B19" s="7" t="s">
        <v>1655</v>
      </c>
      <c r="C19" s="7" t="s">
        <v>5953</v>
      </c>
      <c r="D19" s="7" t="s">
        <v>5810</v>
      </c>
      <c r="E19" s="7" t="s">
        <v>5811</v>
      </c>
      <c r="F19" s="7" t="s">
        <v>5954</v>
      </c>
      <c r="G19" s="7">
        <v>5</v>
      </c>
      <c r="H19" s="153"/>
      <c r="I19" s="8" t="str">
        <f t="shared" si="0"/>
        <v/>
      </c>
      <c r="J19" s="8" t="str">
        <f t="shared" si="1"/>
        <v/>
      </c>
      <c r="K19" s="8" t="str">
        <f t="shared" si="2"/>
        <v/>
      </c>
      <c r="L19" s="7" t="str">
        <f t="shared" si="3"/>
        <v/>
      </c>
      <c r="M19" s="7" t="s">
        <v>5955</v>
      </c>
      <c r="N19" s="7" t="s">
        <v>5956</v>
      </c>
      <c r="O19" s="7" t="s">
        <v>5957</v>
      </c>
      <c r="P19" s="7" t="s">
        <v>5958</v>
      </c>
      <c r="Q19" s="7" t="s">
        <v>5959</v>
      </c>
      <c r="R19" s="7" t="s">
        <v>5960</v>
      </c>
      <c r="S19" s="7" t="s">
        <v>5819</v>
      </c>
      <c r="T19" s="7" t="s">
        <v>5820</v>
      </c>
      <c r="U19" s="7"/>
      <c r="V19" s="7" t="s">
        <v>5961</v>
      </c>
      <c r="W19" s="14">
        <v>4</v>
      </c>
      <c r="X19" s="14">
        <v>5</v>
      </c>
      <c r="Y19" s="14">
        <v>5</v>
      </c>
      <c r="AH19" s="81"/>
      <c r="AI19" s="81"/>
      <c r="AJ19" s="48" t="str">
        <f>IF(OR($H19="",$H19="N/A"),"",IF($AH19="",VLOOKUP('Company Profile'!$B$40,_TECH_Scoring_Settings!$A$5:$B$8,2,FALSE),IFERROR(VLOOKUP($AH19,_TECH_Scoring_Settings!$A$5:$B$8,2,FALSE),0.9)))</f>
        <v/>
      </c>
      <c r="AK19" s="48" t="str">
        <f>IF(OR($H19="",$H19="N/A"),"",IF($AI19="",VLOOKUP('Company Profile'!$B$41,_TECH_Scoring_Settings!$A$5:$B$8,2,FALSE),IFERROR(VLOOKUP($AI19,_TECH_Scoring_Settings!$A$5:$B$8,2,FALSE),0.9)))</f>
        <v/>
      </c>
      <c r="AL19" s="48" t="str">
        <f t="shared" si="4"/>
        <v/>
      </c>
      <c r="AM19" s="48" t="str">
        <f t="shared" si="5"/>
        <v/>
      </c>
      <c r="AN19" s="48">
        <f>IFERROR(SUMIFS(_TECH_Industry_Templates!$D:$D,_TECH_Industry_Templates!$A:$A,'Company Profile'!$B$9,_TECH_Industry_Templates!$B:$B,"Quality Portfolio"),"")</f>
        <v>4</v>
      </c>
      <c r="AO19" s="48" t="str">
        <f t="shared" si="6"/>
        <v/>
      </c>
      <c r="AP19" s="48">
        <f>IFERROR(SUMIFS(_TECH_Industry_Templates!$E:$E,_TECH_Industry_Templates!$A:$A,'Company Profile'!$B$9,_TECH_Industry_Templates!$B:$B,"Quality Portfolio"),1)</f>
        <v>1.2</v>
      </c>
      <c r="AQ19" s="48" t="str">
        <f t="shared" si="7"/>
        <v/>
      </c>
      <c r="AR19" s="48" t="str">
        <f t="shared" si="8"/>
        <v/>
      </c>
      <c r="AS19" s="11">
        <f t="shared" si="9"/>
        <v>0</v>
      </c>
      <c r="AT19" s="11">
        <f t="shared" si="10"/>
        <v>0</v>
      </c>
    </row>
    <row r="20" spans="1:46" ht="57">
      <c r="A20" s="7" t="s">
        <v>5962</v>
      </c>
      <c r="B20" s="7" t="s">
        <v>1663</v>
      </c>
      <c r="C20" s="7" t="s">
        <v>5963</v>
      </c>
      <c r="D20" s="7" t="s">
        <v>5810</v>
      </c>
      <c r="E20" s="7" t="s">
        <v>5811</v>
      </c>
      <c r="F20" s="7" t="s">
        <v>5964</v>
      </c>
      <c r="G20" s="7">
        <v>5</v>
      </c>
      <c r="H20" s="153"/>
      <c r="I20" s="8" t="str">
        <f t="shared" si="0"/>
        <v/>
      </c>
      <c r="J20" s="8" t="str">
        <f t="shared" si="1"/>
        <v/>
      </c>
      <c r="K20" s="8" t="str">
        <f t="shared" si="2"/>
        <v/>
      </c>
      <c r="L20" s="7" t="str">
        <f t="shared" si="3"/>
        <v/>
      </c>
      <c r="M20" s="7" t="s">
        <v>5965</v>
      </c>
      <c r="N20" s="7" t="s">
        <v>5966</v>
      </c>
      <c r="O20" s="7" t="s">
        <v>5967</v>
      </c>
      <c r="P20" s="7" t="s">
        <v>5968</v>
      </c>
      <c r="Q20" s="7" t="s">
        <v>5969</v>
      </c>
      <c r="R20" s="7" t="s">
        <v>5970</v>
      </c>
      <c r="S20" s="7" t="s">
        <v>5819</v>
      </c>
      <c r="T20" s="7" t="s">
        <v>5820</v>
      </c>
      <c r="U20" s="7"/>
      <c r="V20" s="7" t="s">
        <v>5971</v>
      </c>
      <c r="W20" s="14">
        <v>4</v>
      </c>
      <c r="X20" s="14">
        <v>5</v>
      </c>
      <c r="Y20" s="14">
        <v>5</v>
      </c>
      <c r="AH20" s="81"/>
      <c r="AI20" s="81"/>
      <c r="AJ20" s="48" t="str">
        <f>IF(OR($H20="",$H20="N/A"),"",IF($AH20="",VLOOKUP('Company Profile'!$B$40,_TECH_Scoring_Settings!$A$5:$B$8,2,FALSE),IFERROR(VLOOKUP($AH20,_TECH_Scoring_Settings!$A$5:$B$8,2,FALSE),0.9)))</f>
        <v/>
      </c>
      <c r="AK20" s="48" t="str">
        <f>IF(OR($H20="",$H20="N/A"),"",IF($AI20="",VLOOKUP('Company Profile'!$B$41,_TECH_Scoring_Settings!$A$5:$B$8,2,FALSE),IFERROR(VLOOKUP($AI20,_TECH_Scoring_Settings!$A$5:$B$8,2,FALSE),0.9)))</f>
        <v/>
      </c>
      <c r="AL20" s="48" t="str">
        <f t="shared" si="4"/>
        <v/>
      </c>
      <c r="AM20" s="48" t="str">
        <f t="shared" si="5"/>
        <v/>
      </c>
      <c r="AN20" s="48">
        <f>IFERROR(SUMIFS(_TECH_Industry_Templates!$D:$D,_TECH_Industry_Templates!$A:$A,'Company Profile'!$B$9,_TECH_Industry_Templates!$B:$B,"Quality Portfolio"),"")</f>
        <v>4</v>
      </c>
      <c r="AO20" s="48" t="str">
        <f t="shared" si="6"/>
        <v/>
      </c>
      <c r="AP20" s="48">
        <f>IFERROR(SUMIFS(_TECH_Industry_Templates!$E:$E,_TECH_Industry_Templates!$A:$A,'Company Profile'!$B$9,_TECH_Industry_Templates!$B:$B,"Quality Portfolio"),1)</f>
        <v>1.2</v>
      </c>
      <c r="AQ20" s="48" t="str">
        <f t="shared" si="7"/>
        <v/>
      </c>
      <c r="AR20" s="48" t="str">
        <f t="shared" si="8"/>
        <v/>
      </c>
      <c r="AS20" s="11">
        <f t="shared" si="9"/>
        <v>0</v>
      </c>
      <c r="AT20" s="11">
        <f t="shared" si="10"/>
        <v>0</v>
      </c>
    </row>
    <row r="21" spans="1:46" ht="71.25">
      <c r="A21" s="7" t="s">
        <v>5972</v>
      </c>
      <c r="B21" s="7" t="s">
        <v>1663</v>
      </c>
      <c r="C21" s="7" t="s">
        <v>5973</v>
      </c>
      <c r="D21" s="7" t="s">
        <v>5810</v>
      </c>
      <c r="E21" s="7" t="s">
        <v>5811</v>
      </c>
      <c r="F21" s="7" t="s">
        <v>5974</v>
      </c>
      <c r="G21" s="7">
        <v>5</v>
      </c>
      <c r="H21" s="153"/>
      <c r="I21" s="8" t="str">
        <f t="shared" si="0"/>
        <v/>
      </c>
      <c r="J21" s="8" t="str">
        <f t="shared" si="1"/>
        <v/>
      </c>
      <c r="K21" s="8" t="str">
        <f t="shared" si="2"/>
        <v/>
      </c>
      <c r="L21" s="7" t="str">
        <f t="shared" si="3"/>
        <v/>
      </c>
      <c r="M21" s="7" t="s">
        <v>5975</v>
      </c>
      <c r="N21" s="7" t="s">
        <v>5976</v>
      </c>
      <c r="O21" s="7" t="s">
        <v>5977</v>
      </c>
      <c r="P21" s="7" t="s">
        <v>5978</v>
      </c>
      <c r="Q21" s="7" t="s">
        <v>5979</v>
      </c>
      <c r="R21" s="7" t="s">
        <v>5980</v>
      </c>
      <c r="S21" s="7" t="s">
        <v>5819</v>
      </c>
      <c r="T21" s="7" t="s">
        <v>5820</v>
      </c>
      <c r="U21" s="7"/>
      <c r="V21" s="7" t="s">
        <v>5981</v>
      </c>
      <c r="W21" s="14">
        <v>4</v>
      </c>
      <c r="X21" s="14">
        <v>5</v>
      </c>
      <c r="Y21" s="14">
        <v>5</v>
      </c>
      <c r="AH21" s="81"/>
      <c r="AI21" s="81"/>
      <c r="AJ21" s="48" t="str">
        <f>IF(OR($H21="",$H21="N/A"),"",IF($AH21="",VLOOKUP('Company Profile'!$B$40,_TECH_Scoring_Settings!$A$5:$B$8,2,FALSE),IFERROR(VLOOKUP($AH21,_TECH_Scoring_Settings!$A$5:$B$8,2,FALSE),0.9)))</f>
        <v/>
      </c>
      <c r="AK21" s="48" t="str">
        <f>IF(OR($H21="",$H21="N/A"),"",IF($AI21="",VLOOKUP('Company Profile'!$B$41,_TECH_Scoring_Settings!$A$5:$B$8,2,FALSE),IFERROR(VLOOKUP($AI21,_TECH_Scoring_Settings!$A$5:$B$8,2,FALSE),0.9)))</f>
        <v/>
      </c>
      <c r="AL21" s="48" t="str">
        <f t="shared" si="4"/>
        <v/>
      </c>
      <c r="AM21" s="48" t="str">
        <f t="shared" si="5"/>
        <v/>
      </c>
      <c r="AN21" s="48">
        <f>IFERROR(SUMIFS(_TECH_Industry_Templates!$D:$D,_TECH_Industry_Templates!$A:$A,'Company Profile'!$B$9,_TECH_Industry_Templates!$B:$B,"Quality Portfolio"),"")</f>
        <v>4</v>
      </c>
      <c r="AO21" s="48" t="str">
        <f t="shared" si="6"/>
        <v/>
      </c>
      <c r="AP21" s="48">
        <f>IFERROR(SUMIFS(_TECH_Industry_Templates!$E:$E,_TECH_Industry_Templates!$A:$A,'Company Profile'!$B$9,_TECH_Industry_Templates!$B:$B,"Quality Portfolio"),1)</f>
        <v>1.2</v>
      </c>
      <c r="AQ21" s="48" t="str">
        <f t="shared" si="7"/>
        <v/>
      </c>
      <c r="AR21" s="48" t="str">
        <f t="shared" si="8"/>
        <v/>
      </c>
      <c r="AS21" s="11">
        <f t="shared" si="9"/>
        <v>0</v>
      </c>
      <c r="AT21" s="11">
        <f t="shared" si="10"/>
        <v>0</v>
      </c>
    </row>
    <row r="22" spans="1:46" ht="71.25">
      <c r="A22" s="7" t="s">
        <v>5982</v>
      </c>
      <c r="B22" s="7" t="s">
        <v>1663</v>
      </c>
      <c r="C22" s="7" t="s">
        <v>5983</v>
      </c>
      <c r="D22" s="7" t="s">
        <v>5810</v>
      </c>
      <c r="E22" s="7" t="s">
        <v>5811</v>
      </c>
      <c r="F22" s="7" t="s">
        <v>5984</v>
      </c>
      <c r="G22" s="7">
        <v>4</v>
      </c>
      <c r="H22" s="153"/>
      <c r="I22" s="8" t="str">
        <f t="shared" si="0"/>
        <v/>
      </c>
      <c r="J22" s="8" t="str">
        <f t="shared" si="1"/>
        <v/>
      </c>
      <c r="K22" s="8" t="str">
        <f t="shared" si="2"/>
        <v/>
      </c>
      <c r="L22" s="7" t="str">
        <f t="shared" si="3"/>
        <v/>
      </c>
      <c r="M22" s="7" t="s">
        <v>5985</v>
      </c>
      <c r="N22" s="7" t="s">
        <v>5986</v>
      </c>
      <c r="O22" s="7" t="s">
        <v>5987</v>
      </c>
      <c r="P22" s="7" t="s">
        <v>5988</v>
      </c>
      <c r="Q22" s="7" t="s">
        <v>5989</v>
      </c>
      <c r="R22" s="7" t="s">
        <v>5990</v>
      </c>
      <c r="S22" s="7" t="s">
        <v>5819</v>
      </c>
      <c r="T22" s="7" t="s">
        <v>5820</v>
      </c>
      <c r="U22" s="7"/>
      <c r="V22" s="7" t="s">
        <v>5991</v>
      </c>
      <c r="W22" s="14">
        <v>4</v>
      </c>
      <c r="X22" s="14">
        <v>5</v>
      </c>
      <c r="Y22" s="14">
        <v>5</v>
      </c>
      <c r="AH22" s="81"/>
      <c r="AI22" s="81"/>
      <c r="AJ22" s="48" t="str">
        <f>IF(OR($H22="",$H22="N/A"),"",IF($AH22="",VLOOKUP('Company Profile'!$B$40,_TECH_Scoring_Settings!$A$5:$B$8,2,FALSE),IFERROR(VLOOKUP($AH22,_TECH_Scoring_Settings!$A$5:$B$8,2,FALSE),0.9)))</f>
        <v/>
      </c>
      <c r="AK22" s="48" t="str">
        <f>IF(OR($H22="",$H22="N/A"),"",IF($AI22="",VLOOKUP('Company Profile'!$B$41,_TECH_Scoring_Settings!$A$5:$B$8,2,FALSE),IFERROR(VLOOKUP($AI22,_TECH_Scoring_Settings!$A$5:$B$8,2,FALSE),0.9)))</f>
        <v/>
      </c>
      <c r="AL22" s="48" t="str">
        <f t="shared" si="4"/>
        <v/>
      </c>
      <c r="AM22" s="48" t="str">
        <f t="shared" si="5"/>
        <v/>
      </c>
      <c r="AN22" s="48">
        <f>IFERROR(SUMIFS(_TECH_Industry_Templates!$D:$D,_TECH_Industry_Templates!$A:$A,'Company Profile'!$B$9,_TECH_Industry_Templates!$B:$B,"Quality Portfolio"),"")</f>
        <v>4</v>
      </c>
      <c r="AO22" s="48" t="str">
        <f t="shared" si="6"/>
        <v/>
      </c>
      <c r="AP22" s="48">
        <f>IFERROR(SUMIFS(_TECH_Industry_Templates!$E:$E,_TECH_Industry_Templates!$A:$A,'Company Profile'!$B$9,_TECH_Industry_Templates!$B:$B,"Quality Portfolio"),1)</f>
        <v>1.2</v>
      </c>
      <c r="AQ22" s="48" t="str">
        <f t="shared" si="7"/>
        <v/>
      </c>
      <c r="AR22" s="48" t="str">
        <f t="shared" si="8"/>
        <v/>
      </c>
      <c r="AS22" s="11">
        <f t="shared" si="9"/>
        <v>0</v>
      </c>
      <c r="AT22" s="11">
        <f t="shared" si="10"/>
        <v>0</v>
      </c>
    </row>
    <row r="23" spans="1:46" ht="57">
      <c r="A23" s="7" t="s">
        <v>5992</v>
      </c>
      <c r="B23" s="7" t="s">
        <v>1663</v>
      </c>
      <c r="C23" s="7" t="s">
        <v>5993</v>
      </c>
      <c r="D23" s="7" t="s">
        <v>5810</v>
      </c>
      <c r="E23" s="7" t="s">
        <v>5811</v>
      </c>
      <c r="F23" s="7" t="s">
        <v>5994</v>
      </c>
      <c r="G23" s="7">
        <v>5</v>
      </c>
      <c r="H23" s="153"/>
      <c r="I23" s="8" t="str">
        <f t="shared" si="0"/>
        <v/>
      </c>
      <c r="J23" s="8" t="str">
        <f t="shared" si="1"/>
        <v/>
      </c>
      <c r="K23" s="8" t="str">
        <f t="shared" si="2"/>
        <v/>
      </c>
      <c r="L23" s="7" t="str">
        <f t="shared" si="3"/>
        <v/>
      </c>
      <c r="M23" s="7" t="s">
        <v>5995</v>
      </c>
      <c r="N23" s="7" t="s">
        <v>5996</v>
      </c>
      <c r="O23" s="7" t="s">
        <v>5997</v>
      </c>
      <c r="P23" s="7" t="s">
        <v>5998</v>
      </c>
      <c r="Q23" s="7" t="s">
        <v>5999</v>
      </c>
      <c r="R23" s="7" t="s">
        <v>6000</v>
      </c>
      <c r="S23" s="7" t="s">
        <v>5819</v>
      </c>
      <c r="T23" s="7" t="s">
        <v>5820</v>
      </c>
      <c r="U23" s="7"/>
      <c r="V23" s="7" t="s">
        <v>6001</v>
      </c>
      <c r="W23" s="14">
        <v>4</v>
      </c>
      <c r="X23" s="14">
        <v>5</v>
      </c>
      <c r="Y23" s="14">
        <v>5</v>
      </c>
      <c r="AH23" s="81"/>
      <c r="AI23" s="81"/>
      <c r="AJ23" s="48" t="str">
        <f>IF(OR($H23="",$H23="N/A"),"",IF($AH23="",VLOOKUP('Company Profile'!$B$40,_TECH_Scoring_Settings!$A$5:$B$8,2,FALSE),IFERROR(VLOOKUP($AH23,_TECH_Scoring_Settings!$A$5:$B$8,2,FALSE),0.9)))</f>
        <v/>
      </c>
      <c r="AK23" s="48" t="str">
        <f>IF(OR($H23="",$H23="N/A"),"",IF($AI23="",VLOOKUP('Company Profile'!$B$41,_TECH_Scoring_Settings!$A$5:$B$8,2,FALSE),IFERROR(VLOOKUP($AI23,_TECH_Scoring_Settings!$A$5:$B$8,2,FALSE),0.9)))</f>
        <v/>
      </c>
      <c r="AL23" s="48" t="str">
        <f t="shared" si="4"/>
        <v/>
      </c>
      <c r="AM23" s="48" t="str">
        <f t="shared" si="5"/>
        <v/>
      </c>
      <c r="AN23" s="48">
        <f>IFERROR(SUMIFS(_TECH_Industry_Templates!$D:$D,_TECH_Industry_Templates!$A:$A,'Company Profile'!$B$9,_TECH_Industry_Templates!$B:$B,"Quality Portfolio"),"")</f>
        <v>4</v>
      </c>
      <c r="AO23" s="48" t="str">
        <f t="shared" si="6"/>
        <v/>
      </c>
      <c r="AP23" s="48">
        <f>IFERROR(SUMIFS(_TECH_Industry_Templates!$E:$E,_TECH_Industry_Templates!$A:$A,'Company Profile'!$B$9,_TECH_Industry_Templates!$B:$B,"Quality Portfolio"),1)</f>
        <v>1.2</v>
      </c>
      <c r="AQ23" s="48" t="str">
        <f t="shared" si="7"/>
        <v/>
      </c>
      <c r="AR23" s="48" t="str">
        <f t="shared" si="8"/>
        <v/>
      </c>
      <c r="AS23" s="11">
        <f t="shared" si="9"/>
        <v>0</v>
      </c>
      <c r="AT23" s="11">
        <f t="shared" si="10"/>
        <v>0</v>
      </c>
    </row>
    <row r="24" spans="1:46" ht="57">
      <c r="A24" s="7" t="s">
        <v>6002</v>
      </c>
      <c r="B24" s="7" t="s">
        <v>1663</v>
      </c>
      <c r="C24" s="7" t="s">
        <v>6003</v>
      </c>
      <c r="D24" s="7" t="s">
        <v>5810</v>
      </c>
      <c r="E24" s="7" t="s">
        <v>5811</v>
      </c>
      <c r="F24" s="7" t="s">
        <v>6004</v>
      </c>
      <c r="G24" s="7">
        <v>3</v>
      </c>
      <c r="H24" s="153"/>
      <c r="I24" s="8" t="str">
        <f t="shared" si="0"/>
        <v/>
      </c>
      <c r="J24" s="8" t="str">
        <f t="shared" si="1"/>
        <v/>
      </c>
      <c r="K24" s="8" t="str">
        <f t="shared" si="2"/>
        <v/>
      </c>
      <c r="L24" s="7" t="str">
        <f t="shared" si="3"/>
        <v/>
      </c>
      <c r="M24" s="7" t="s">
        <v>6005</v>
      </c>
      <c r="N24" s="7" t="s">
        <v>6006</v>
      </c>
      <c r="O24" s="7" t="s">
        <v>6007</v>
      </c>
      <c r="P24" s="7" t="s">
        <v>6008</v>
      </c>
      <c r="Q24" s="7" t="s">
        <v>6009</v>
      </c>
      <c r="R24" s="7" t="s">
        <v>6010</v>
      </c>
      <c r="S24" s="7" t="s">
        <v>5819</v>
      </c>
      <c r="T24" s="7" t="s">
        <v>5820</v>
      </c>
      <c r="U24" s="7"/>
      <c r="V24" s="7" t="s">
        <v>6011</v>
      </c>
      <c r="W24" s="14">
        <v>4</v>
      </c>
      <c r="X24" s="14">
        <v>5</v>
      </c>
      <c r="Y24" s="14">
        <v>5</v>
      </c>
      <c r="AH24" s="81"/>
      <c r="AI24" s="81"/>
      <c r="AJ24" s="48" t="str">
        <f>IF(OR($H24="",$H24="N/A"),"",IF($AH24="",VLOOKUP('Company Profile'!$B$40,_TECH_Scoring_Settings!$A$5:$B$8,2,FALSE),IFERROR(VLOOKUP($AH24,_TECH_Scoring_Settings!$A$5:$B$8,2,FALSE),0.9)))</f>
        <v/>
      </c>
      <c r="AK24" s="48" t="str">
        <f>IF(OR($H24="",$H24="N/A"),"",IF($AI24="",VLOOKUP('Company Profile'!$B$41,_TECH_Scoring_Settings!$A$5:$B$8,2,FALSE),IFERROR(VLOOKUP($AI24,_TECH_Scoring_Settings!$A$5:$B$8,2,FALSE),0.9)))</f>
        <v/>
      </c>
      <c r="AL24" s="48" t="str">
        <f t="shared" si="4"/>
        <v/>
      </c>
      <c r="AM24" s="48" t="str">
        <f t="shared" si="5"/>
        <v/>
      </c>
      <c r="AN24" s="48">
        <f>IFERROR(SUMIFS(_TECH_Industry_Templates!$D:$D,_TECH_Industry_Templates!$A:$A,'Company Profile'!$B$9,_TECH_Industry_Templates!$B:$B,"Quality Portfolio"),"")</f>
        <v>4</v>
      </c>
      <c r="AO24" s="48" t="str">
        <f t="shared" si="6"/>
        <v/>
      </c>
      <c r="AP24" s="48">
        <f>IFERROR(SUMIFS(_TECH_Industry_Templates!$E:$E,_TECH_Industry_Templates!$A:$A,'Company Profile'!$B$9,_TECH_Industry_Templates!$B:$B,"Quality Portfolio"),1)</f>
        <v>1.2</v>
      </c>
      <c r="AQ24" s="48" t="str">
        <f t="shared" si="7"/>
        <v/>
      </c>
      <c r="AR24" s="48" t="str">
        <f t="shared" si="8"/>
        <v/>
      </c>
      <c r="AS24" s="11">
        <f t="shared" si="9"/>
        <v>0</v>
      </c>
      <c r="AT24" s="11">
        <f t="shared" si="10"/>
        <v>0</v>
      </c>
    </row>
  </sheetData>
  <mergeCells count="4">
    <mergeCell ref="A2:V2"/>
    <mergeCell ref="AA3:AG3"/>
    <mergeCell ref="A1:V1"/>
    <mergeCell ref="W3:Y3"/>
  </mergeCells>
  <conditionalFormatting sqref="H5:H24">
    <cfRule type="colorScale" priority="1">
      <colorScale>
        <cfvo type="min"/>
        <cfvo type="percentile" val="50"/>
        <cfvo type="max"/>
        <color rgb="FFF8696B"/>
        <color rgb="FFFFEB84"/>
        <color rgb="FF63BE7B"/>
      </colorScale>
    </cfRule>
  </conditionalFormatting>
  <conditionalFormatting sqref="L5:L24">
    <cfRule type="expression" dxfId="16" priority="2">
      <formula>$L5="Critical"</formula>
    </cfRule>
    <cfRule type="expression" dxfId="15" priority="3">
      <formula>$L5="High"</formula>
    </cfRule>
    <cfRule type="expression" dxfId="14" priority="4">
      <formula>$L5="Medium"</formula>
    </cfRule>
    <cfRule type="expression" dxfId="13" priority="5">
      <formula>$L5="Low"</formula>
    </cfRule>
    <cfRule type="expression" dxfId="12" priority="6">
      <formula>$L5="Resilient"</formula>
    </cfRule>
  </conditionalFormatting>
  <conditionalFormatting sqref="AC5:AC8">
    <cfRule type="colorScale" priority="7">
      <colorScale>
        <cfvo type="min"/>
        <cfvo type="percentile" val="50"/>
        <cfvo type="max"/>
        <color rgb="FFFEE2E2"/>
        <color rgb="FFFEF3C7"/>
        <color rgb="FFDCFCE7"/>
      </colorScale>
    </cfRule>
  </conditionalFormatting>
  <conditionalFormatting sqref="AD5:AD8">
    <cfRule type="dataBar" priority="8">
      <dataBar>
        <cfvo type="min"/>
        <cfvo type="max"/>
        <color rgb="FF2F75B5"/>
      </dataBar>
    </cfRule>
  </conditionalFormatting>
  <dataValidations count="4">
    <dataValidation type="list" sqref="H5:H24" ns2:uid="{00000000-0002-0000-2300-000000000000}">
      <formula1>"N/A,0,1,2,3,4,5"</formula1>
    </dataValidation>
    <dataValidation type="list" sqref="G5:G24" ns2:uid="{00000000-0002-0000-2300-000001000000}">
      <formula1>"1,2,3,4,5"</formula1>
    </dataValidation>
    <dataValidation type="list" sqref="W5:Y24" ns2:uid="{00000000-0002-0000-2300-000002000000}">
      <formula1>"0,1,2,3,4,5"</formula1>
    </dataValidation>
    <dataValidation type="list" allowBlank="1" sqref="AH5:AI24" ns2:uid="{00000000-0002-0000-2300-000003000000}">
      <formula1>"Not assessed,Low,Medium,High"</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legacyDrawing r:id="rId2"/>
  <tableParts count="1">
    <tablePart r:id="rId3"/>
  </tableParts>
</worksheet>
</file>

<file path=xl/worksheets/sheet37.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400-000000000000}">
  <sheetPr>
    <tabColor rgb="FF548235"/>
  </sheetPr>
  <dimension ref="A1:R51"/>
  <sheetViews>
    <sheetView workbookViewId="0">
      <selection sqref="A1:Q1"/>
    </sheetView>
  </sheetViews>
  <sheetFormatPr defaultRowHeight="14.25"/>
  <cols>
    <col min="1" max="1" width="24" customWidth="1"/>
    <col min="2" max="5" width="14" customWidth="1"/>
    <col min="7" max="7" width="20" customWidth="1"/>
    <col min="8" max="9" width="14" customWidth="1"/>
    <col min="10" max="10" width="48" customWidth="1"/>
    <col min="12" max="12" width="24" customWidth="1"/>
    <col min="13" max="18" width="16" customWidth="1"/>
  </cols>
  <sheetData>
    <row r="1" spans="1:18">
      <c r="A1" s="171" t="s">
        <v>6012</v>
      </c>
      <c r="B1" s="158"/>
      <c r="C1" s="158"/>
      <c r="D1" s="158"/>
      <c r="E1" s="158"/>
      <c r="F1" s="158"/>
      <c r="G1" s="158"/>
      <c r="H1" s="158"/>
      <c r="I1" s="158"/>
      <c r="J1" s="158"/>
      <c r="K1" s="158"/>
      <c r="L1" s="158"/>
      <c r="M1" s="158"/>
      <c r="N1" s="158"/>
      <c r="O1" s="158"/>
      <c r="P1" s="158"/>
      <c r="Q1" s="158"/>
    </row>
    <row r="2" spans="1:18">
      <c r="A2" s="193" t="s">
        <v>6013</v>
      </c>
      <c r="B2" s="158"/>
      <c r="C2" s="158"/>
      <c r="D2" s="158"/>
      <c r="E2" s="158"/>
      <c r="F2" s="158"/>
      <c r="G2" s="158"/>
      <c r="H2" s="158"/>
      <c r="I2" s="158"/>
      <c r="J2" s="158"/>
      <c r="K2" s="158"/>
      <c r="L2" s="158"/>
      <c r="M2" s="158"/>
      <c r="N2" s="158"/>
      <c r="O2" s="158"/>
      <c r="P2" s="158"/>
      <c r="Q2" s="158"/>
    </row>
    <row r="4" spans="1:18" ht="33.950000000000003" customHeight="1">
      <c r="A4" s="12" t="s">
        <v>36</v>
      </c>
      <c r="B4" s="12" t="s">
        <v>43</v>
      </c>
      <c r="C4" s="12" t="s">
        <v>42</v>
      </c>
      <c r="D4" s="12" t="s">
        <v>39</v>
      </c>
      <c r="E4" s="12" t="s">
        <v>6014</v>
      </c>
      <c r="G4" s="12" t="s">
        <v>6015</v>
      </c>
      <c r="H4" s="12" t="s">
        <v>6016</v>
      </c>
      <c r="I4" s="12" t="s">
        <v>42</v>
      </c>
      <c r="J4" s="12" t="s">
        <v>6017</v>
      </c>
      <c r="L4" s="12" t="s">
        <v>36</v>
      </c>
      <c r="M4" s="12" t="s">
        <v>6018</v>
      </c>
      <c r="N4" s="12" t="s">
        <v>6019</v>
      </c>
      <c r="O4" s="12" t="s">
        <v>6020</v>
      </c>
      <c r="P4" s="12" t="s">
        <v>6021</v>
      </c>
      <c r="Q4" s="12" t="s">
        <v>6022</v>
      </c>
      <c r="R4" s="12" t="s">
        <v>6023</v>
      </c>
    </row>
    <row r="5" spans="1:18" ht="42.75">
      <c r="A5" s="18" t="s">
        <v>54</v>
      </c>
      <c r="B5" s="21">
        <f>Dashboard!$H$5</f>
        <v>0</v>
      </c>
      <c r="C5" s="22">
        <f>Dashboard!$G$5</f>
        <v>0</v>
      </c>
      <c r="D5" s="22">
        <f>Dashboard!$D$5</f>
        <v>0</v>
      </c>
      <c r="E5" s="23">
        <f>Dashboard!$J$5+Dashboard!$K$5</f>
        <v>0</v>
      </c>
      <c r="F5" s="18"/>
      <c r="G5" s="20" t="s">
        <v>302</v>
      </c>
      <c r="H5" s="24">
        <f>IFERROR(SUMPRODUCT($M$5:$M$21,$N$5:$N$21)/SUM($N$5:$N$21),0)</f>
        <v>0</v>
      </c>
      <c r="I5" s="25">
        <f>H5/5</f>
        <v>0</v>
      </c>
      <c r="J5" s="20" t="s">
        <v>6024</v>
      </c>
      <c r="K5" s="18"/>
      <c r="L5" s="18" t="s">
        <v>54</v>
      </c>
      <c r="M5" s="19">
        <f>IFERROR(SUMPRODUCT(('Company Geography'!$H$5:$H$24&lt;&gt;"")*('Company Geography'!$H$5:$H$24&lt;&gt;"N/A"),IFERROR(VALUE('Company Geography'!$H$5:$H$24),0),'Company Geography'!$G$5:$G$24,'Company Geography'!$W$5:$W$24)/SUMPRODUCT(('Company Geography'!$H$5:$H$24&lt;&gt;"")*('Company Geography'!$H$5:$H$24&lt;&gt;"N/A"),'Company Geography'!$G$5:$G$24,'Company Geography'!$W$5:$W$24),0)</f>
        <v>0</v>
      </c>
      <c r="N5" s="19">
        <f>SUMPRODUCT(('Company Geography'!$H$5:$H$24&lt;&gt;"")*('Company Geography'!$H$5:$H$24&lt;&gt;"N/A"),'Company Geography'!$G$5:$G$24,'Company Geography'!$W$5:$W$24)</f>
        <v>0</v>
      </c>
      <c r="O5" s="19">
        <f>IFERROR(SUMPRODUCT(('Company Geography'!$H$5:$H$24&lt;&gt;"")*('Company Geography'!$H$5:$H$24&lt;&gt;"N/A"),IFERROR(VALUE('Company Geography'!$H$5:$H$24),0),'Company Geography'!$G$5:$G$24,'Company Geography'!$X$5:$X$24)/SUMPRODUCT(('Company Geography'!$H$5:$H$24&lt;&gt;"")*('Company Geography'!$H$5:$H$24&lt;&gt;"N/A"),'Company Geography'!$G$5:$G$24,'Company Geography'!$X$5:$X$24),0)</f>
        <v>0</v>
      </c>
      <c r="P5" s="19">
        <f>SUMPRODUCT(('Company Geography'!$H$5:$H$24&lt;&gt;"")*('Company Geography'!$H$5:$H$24&lt;&gt;"N/A"),'Company Geography'!$G$5:$G$24,'Company Geography'!$X$5:$X$24)</f>
        <v>0</v>
      </c>
      <c r="Q5" s="19">
        <f>IFERROR(SUMPRODUCT(('Company Geography'!$H$5:$H$24&lt;&gt;"")*('Company Geography'!$H$5:$H$24&lt;&gt;"N/A"),IFERROR(VALUE('Company Geography'!$H$5:$H$24),0),'Company Geography'!$G$5:$G$24,'Company Geography'!$Y$5:$Y$24)/SUMPRODUCT(('Company Geography'!$H$5:$H$24&lt;&gt;"")*('Company Geography'!$H$5:$H$24&lt;&gt;"N/A"),'Company Geography'!$G$5:$G$24,'Company Geography'!$Y$5:$Y$24),0)</f>
        <v>0</v>
      </c>
      <c r="R5" s="19">
        <f>SUMPRODUCT(('Company Geography'!$H$5:$H$24&lt;&gt;"")*('Company Geography'!$H$5:$H$24&lt;&gt;"N/A"),'Company Geography'!$G$5:$G$24,'Company Geography'!$Y$5:$Y$24)</f>
        <v>0</v>
      </c>
    </row>
    <row r="6" spans="1:18" ht="28.5">
      <c r="A6" s="18" t="s">
        <v>57</v>
      </c>
      <c r="B6" s="21">
        <f>Dashboard!$H$6</f>
        <v>0</v>
      </c>
      <c r="C6" s="22">
        <f>Dashboard!$G$6</f>
        <v>0</v>
      </c>
      <c r="D6" s="22">
        <f>Dashboard!$D$6</f>
        <v>0</v>
      </c>
      <c r="E6" s="23">
        <f>Dashboard!$J$6+Dashboard!$K$6</f>
        <v>0</v>
      </c>
      <c r="F6" s="18"/>
      <c r="G6" s="20" t="s">
        <v>305</v>
      </c>
      <c r="H6" s="24">
        <f>IFERROR(SUMPRODUCT($O$5:$O$21,$P$5:$P$21)/SUM($P$5:$P$21),0)</f>
        <v>0</v>
      </c>
      <c r="I6" s="25">
        <f>H6/5</f>
        <v>0</v>
      </c>
      <c r="J6" s="20" t="s">
        <v>6025</v>
      </c>
      <c r="K6" s="18"/>
      <c r="L6" s="18" t="s">
        <v>57</v>
      </c>
      <c r="M6" s="19">
        <f>IFERROR(SUMPRODUCT(('Strategy GTM'!$H$5:$H$28&lt;&gt;"")*('Strategy GTM'!$H$5:$H$28&lt;&gt;"N/A"),IFERROR(VALUE('Strategy GTM'!$H$5:$H$28),0),'Strategy GTM'!$G$5:$G$28,'Strategy GTM'!$W$5:$W$28)/SUMPRODUCT(('Strategy GTM'!$H$5:$H$28&lt;&gt;"")*('Strategy GTM'!$H$5:$H$28&lt;&gt;"N/A"),'Strategy GTM'!$G$5:$G$28,'Strategy GTM'!$W$5:$W$28),0)</f>
        <v>0</v>
      </c>
      <c r="N6" s="19">
        <f>SUMPRODUCT(('Strategy GTM'!$H$5:$H$28&lt;&gt;"")*('Strategy GTM'!$H$5:$H$28&lt;&gt;"N/A"),'Strategy GTM'!$G$5:$G$28,'Strategy GTM'!$W$5:$W$28)</f>
        <v>0</v>
      </c>
      <c r="O6" s="19">
        <f>IFERROR(SUMPRODUCT(('Strategy GTM'!$H$5:$H$28&lt;&gt;"")*('Strategy GTM'!$H$5:$H$28&lt;&gt;"N/A"),IFERROR(VALUE('Strategy GTM'!$H$5:$H$28),0),'Strategy GTM'!$G$5:$G$28,'Strategy GTM'!$X$5:$X$28)/SUMPRODUCT(('Strategy GTM'!$H$5:$H$28&lt;&gt;"")*('Strategy GTM'!$H$5:$H$28&lt;&gt;"N/A"),'Strategy GTM'!$G$5:$G$28,'Strategy GTM'!$X$5:$X$28),0)</f>
        <v>0</v>
      </c>
      <c r="P6" s="19">
        <f>SUMPRODUCT(('Strategy GTM'!$H$5:$H$28&lt;&gt;"")*('Strategy GTM'!$H$5:$H$28&lt;&gt;"N/A"),'Strategy GTM'!$G$5:$G$28,'Strategy GTM'!$X$5:$X$28)</f>
        <v>0</v>
      </c>
      <c r="Q6" s="19">
        <f>IFERROR(SUMPRODUCT(('Strategy GTM'!$H$5:$H$28&lt;&gt;"")*('Strategy GTM'!$H$5:$H$28&lt;&gt;"N/A"),IFERROR(VALUE('Strategy GTM'!$H$5:$H$28),0),'Strategy GTM'!$G$5:$G$28,'Strategy GTM'!$Y$5:$Y$28)/SUMPRODUCT(('Strategy GTM'!$H$5:$H$28&lt;&gt;"")*('Strategy GTM'!$H$5:$H$28&lt;&gt;"N/A"),'Strategy GTM'!$G$5:$G$28,'Strategy GTM'!$Y$5:$Y$28),0)</f>
        <v>0</v>
      </c>
      <c r="R6" s="19">
        <f>SUMPRODUCT(('Strategy GTM'!$H$5:$H$28&lt;&gt;"")*('Strategy GTM'!$H$5:$H$28&lt;&gt;"N/A"),'Strategy GTM'!$G$5:$G$28,'Strategy GTM'!$Y$5:$Y$28)</f>
        <v>0</v>
      </c>
    </row>
    <row r="7" spans="1:18" ht="28.5">
      <c r="A7" s="18" t="s">
        <v>60</v>
      </c>
      <c r="B7" s="21">
        <f>Dashboard!$H$7</f>
        <v>0</v>
      </c>
      <c r="C7" s="22">
        <f>Dashboard!$G$7</f>
        <v>0</v>
      </c>
      <c r="D7" s="22">
        <f>Dashboard!$D$7</f>
        <v>0</v>
      </c>
      <c r="E7" s="23">
        <f>Dashboard!$J$7+Dashboard!$K$7</f>
        <v>0</v>
      </c>
      <c r="F7" s="18"/>
      <c r="G7" s="20" t="s">
        <v>308</v>
      </c>
      <c r="H7" s="24">
        <f>IFERROR(SUMPRODUCT($Q$5:$Q$21,$R$5:$R$21)/SUM($R$5:$R$21),0)</f>
        <v>0</v>
      </c>
      <c r="I7" s="25">
        <f>H7/5</f>
        <v>0</v>
      </c>
      <c r="J7" s="20" t="s">
        <v>6026</v>
      </c>
      <c r="K7" s="18"/>
      <c r="L7" s="18" t="s">
        <v>60</v>
      </c>
      <c r="M7" s="19">
        <f>IFERROR(SUMPRODUCT(('Governance Crisis'!$H$5:$H$23&lt;&gt;"")*('Governance Crisis'!$H$5:$H$23&lt;&gt;"N/A"),IFERROR(VALUE('Governance Crisis'!$H$5:$H$23),0),'Governance Crisis'!$G$5:$G$23,'Governance Crisis'!$W$5:$W$23)/SUMPRODUCT(('Governance Crisis'!$H$5:$H$23&lt;&gt;"")*('Governance Crisis'!$H$5:$H$23&lt;&gt;"N/A"),'Governance Crisis'!$G$5:$G$23,'Governance Crisis'!$W$5:$W$23),0)</f>
        <v>0</v>
      </c>
      <c r="N7" s="19">
        <f>SUMPRODUCT(('Governance Crisis'!$H$5:$H$23&lt;&gt;"")*('Governance Crisis'!$H$5:$H$23&lt;&gt;"N/A"),'Governance Crisis'!$G$5:$G$23,'Governance Crisis'!$W$5:$W$23)</f>
        <v>0</v>
      </c>
      <c r="O7" s="19">
        <f>IFERROR(SUMPRODUCT(('Governance Crisis'!$H$5:$H$23&lt;&gt;"")*('Governance Crisis'!$H$5:$H$23&lt;&gt;"N/A"),IFERROR(VALUE('Governance Crisis'!$H$5:$H$23),0),'Governance Crisis'!$G$5:$G$23,'Governance Crisis'!$X$5:$X$23)/SUMPRODUCT(('Governance Crisis'!$H$5:$H$23&lt;&gt;"")*('Governance Crisis'!$H$5:$H$23&lt;&gt;"N/A"),'Governance Crisis'!$G$5:$G$23,'Governance Crisis'!$X$5:$X$23),0)</f>
        <v>0</v>
      </c>
      <c r="P7" s="19">
        <f>SUMPRODUCT(('Governance Crisis'!$H$5:$H$23&lt;&gt;"")*('Governance Crisis'!$H$5:$H$23&lt;&gt;"N/A"),'Governance Crisis'!$G$5:$G$23,'Governance Crisis'!$X$5:$X$23)</f>
        <v>0</v>
      </c>
      <c r="Q7" s="19">
        <f>IFERROR(SUMPRODUCT(('Governance Crisis'!$H$5:$H$23&lt;&gt;"")*('Governance Crisis'!$H$5:$H$23&lt;&gt;"N/A"),IFERROR(VALUE('Governance Crisis'!$H$5:$H$23),0),'Governance Crisis'!$G$5:$G$23,'Governance Crisis'!$Y$5:$Y$23)/SUMPRODUCT(('Governance Crisis'!$H$5:$H$23&lt;&gt;"")*('Governance Crisis'!$H$5:$H$23&lt;&gt;"N/A"),'Governance Crisis'!$G$5:$G$23,'Governance Crisis'!$Y$5:$Y$23),0)</f>
        <v>0</v>
      </c>
      <c r="R7" s="19">
        <f>SUMPRODUCT(('Governance Crisis'!$H$5:$H$23&lt;&gt;"")*('Governance Crisis'!$H$5:$H$23&lt;&gt;"N/A"),'Governance Crisis'!$G$5:$G$23,'Governance Crisis'!$Y$5:$Y$23)</f>
        <v>0</v>
      </c>
    </row>
    <row r="8" spans="1:18">
      <c r="A8" s="18" t="s">
        <v>63</v>
      </c>
      <c r="B8" s="21">
        <f>Dashboard!$H$8</f>
        <v>0</v>
      </c>
      <c r="C8" s="22">
        <f>Dashboard!$G$8</f>
        <v>0</v>
      </c>
      <c r="D8" s="22">
        <f>Dashboard!$D$8</f>
        <v>0</v>
      </c>
      <c r="E8" s="23">
        <f>Dashboard!$J$8+Dashboard!$K$8</f>
        <v>0</v>
      </c>
      <c r="F8" s="18"/>
      <c r="G8" s="18"/>
      <c r="H8" s="18"/>
      <c r="I8" s="18"/>
      <c r="J8" s="18"/>
      <c r="K8" s="18"/>
      <c r="L8" s="18" t="s">
        <v>63</v>
      </c>
      <c r="M8" s="19">
        <f>IFERROR(SUMPRODUCT(('HR Workforce'!$H$5:$H$28&lt;&gt;"")*('HR Workforce'!$H$5:$H$28&lt;&gt;"N/A"),IFERROR(VALUE('HR Workforce'!$H$5:$H$28),0),'HR Workforce'!$G$5:$G$28,'HR Workforce'!$W$5:$W$28)/SUMPRODUCT(('HR Workforce'!$H$5:$H$28&lt;&gt;"")*('HR Workforce'!$H$5:$H$28&lt;&gt;"N/A"),'HR Workforce'!$G$5:$G$28,'HR Workforce'!$W$5:$W$28),0)</f>
        <v>0</v>
      </c>
      <c r="N8" s="19">
        <f>SUMPRODUCT(('HR Workforce'!$H$5:$H$28&lt;&gt;"")*('HR Workforce'!$H$5:$H$28&lt;&gt;"N/A"),'HR Workforce'!$G$5:$G$28,'HR Workforce'!$W$5:$W$28)</f>
        <v>0</v>
      </c>
      <c r="O8" s="19">
        <f>IFERROR(SUMPRODUCT(('HR Workforce'!$H$5:$H$28&lt;&gt;"")*('HR Workforce'!$H$5:$H$28&lt;&gt;"N/A"),IFERROR(VALUE('HR Workforce'!$H$5:$H$28),0),'HR Workforce'!$G$5:$G$28,'HR Workforce'!$X$5:$X$28)/SUMPRODUCT(('HR Workforce'!$H$5:$H$28&lt;&gt;"")*('HR Workforce'!$H$5:$H$28&lt;&gt;"N/A"),'HR Workforce'!$G$5:$G$28,'HR Workforce'!$X$5:$X$28),0)</f>
        <v>0</v>
      </c>
      <c r="P8" s="19">
        <f>SUMPRODUCT(('HR Workforce'!$H$5:$H$28&lt;&gt;"")*('HR Workforce'!$H$5:$H$28&lt;&gt;"N/A"),'HR Workforce'!$G$5:$G$28,'HR Workforce'!$X$5:$X$28)</f>
        <v>0</v>
      </c>
      <c r="Q8" s="19">
        <f>IFERROR(SUMPRODUCT(('HR Workforce'!$H$5:$H$28&lt;&gt;"")*('HR Workforce'!$H$5:$H$28&lt;&gt;"N/A"),IFERROR(VALUE('HR Workforce'!$H$5:$H$28),0),'HR Workforce'!$G$5:$G$28,'HR Workforce'!$Y$5:$Y$28)/SUMPRODUCT(('HR Workforce'!$H$5:$H$28&lt;&gt;"")*('HR Workforce'!$H$5:$H$28&lt;&gt;"N/A"),'HR Workforce'!$G$5:$G$28,'HR Workforce'!$Y$5:$Y$28),0)</f>
        <v>0</v>
      </c>
      <c r="R8" s="19">
        <f>SUMPRODUCT(('HR Workforce'!$H$5:$H$28&lt;&gt;"")*('HR Workforce'!$H$5:$H$28&lt;&gt;"N/A"),'HR Workforce'!$G$5:$G$28,'HR Workforce'!$Y$5:$Y$28)</f>
        <v>0</v>
      </c>
    </row>
    <row r="9" spans="1:18">
      <c r="A9" s="18" t="s">
        <v>66</v>
      </c>
      <c r="B9" s="21">
        <f>Dashboard!$H$9</f>
        <v>0</v>
      </c>
      <c r="C9" s="22">
        <f>Dashboard!$G$9</f>
        <v>0</v>
      </c>
      <c r="D9" s="22">
        <f>Dashboard!$D$9</f>
        <v>0</v>
      </c>
      <c r="E9" s="23">
        <f>Dashboard!$J$9+Dashboard!$K$9</f>
        <v>0</v>
      </c>
      <c r="F9" s="18"/>
      <c r="G9" s="18"/>
      <c r="H9" s="18"/>
      <c r="I9" s="18"/>
      <c r="J9" s="18"/>
      <c r="K9" s="18"/>
      <c r="L9" s="18" t="s">
        <v>66</v>
      </c>
      <c r="M9" s="19">
        <f>IFERROR(SUMPRODUCT(('Finance Procurement'!$H$5:$H$28&lt;&gt;"")*('Finance Procurement'!$H$5:$H$28&lt;&gt;"N/A"),IFERROR(VALUE('Finance Procurement'!$H$5:$H$28),0),'Finance Procurement'!$G$5:$G$28,'Finance Procurement'!$W$5:$W$28)/SUMPRODUCT(('Finance Procurement'!$H$5:$H$28&lt;&gt;"")*('Finance Procurement'!$H$5:$H$28&lt;&gt;"N/A"),'Finance Procurement'!$G$5:$G$28,'Finance Procurement'!$W$5:$W$28),0)</f>
        <v>0</v>
      </c>
      <c r="N9" s="19">
        <f>SUMPRODUCT(('Finance Procurement'!$H$5:$H$28&lt;&gt;"")*('Finance Procurement'!$H$5:$H$28&lt;&gt;"N/A"),'Finance Procurement'!$G$5:$G$28,'Finance Procurement'!$W$5:$W$28)</f>
        <v>0</v>
      </c>
      <c r="O9" s="19">
        <f>IFERROR(SUMPRODUCT(('Finance Procurement'!$H$5:$H$28&lt;&gt;"")*('Finance Procurement'!$H$5:$H$28&lt;&gt;"N/A"),IFERROR(VALUE('Finance Procurement'!$H$5:$H$28),0),'Finance Procurement'!$G$5:$G$28,'Finance Procurement'!$X$5:$X$28)/SUMPRODUCT(('Finance Procurement'!$H$5:$H$28&lt;&gt;"")*('Finance Procurement'!$H$5:$H$28&lt;&gt;"N/A"),'Finance Procurement'!$G$5:$G$28,'Finance Procurement'!$X$5:$X$28),0)</f>
        <v>0</v>
      </c>
      <c r="P9" s="19">
        <f>SUMPRODUCT(('Finance Procurement'!$H$5:$H$28&lt;&gt;"")*('Finance Procurement'!$H$5:$H$28&lt;&gt;"N/A"),'Finance Procurement'!$G$5:$G$28,'Finance Procurement'!$X$5:$X$28)</f>
        <v>0</v>
      </c>
      <c r="Q9" s="19">
        <f>IFERROR(SUMPRODUCT(('Finance Procurement'!$H$5:$H$28&lt;&gt;"")*('Finance Procurement'!$H$5:$H$28&lt;&gt;"N/A"),IFERROR(VALUE('Finance Procurement'!$H$5:$H$28),0),'Finance Procurement'!$G$5:$G$28,'Finance Procurement'!$Y$5:$Y$28)/SUMPRODUCT(('Finance Procurement'!$H$5:$H$28&lt;&gt;"")*('Finance Procurement'!$H$5:$H$28&lt;&gt;"N/A"),'Finance Procurement'!$G$5:$G$28,'Finance Procurement'!$Y$5:$Y$28),0)</f>
        <v>0</v>
      </c>
      <c r="R9" s="19">
        <f>SUMPRODUCT(('Finance Procurement'!$H$5:$H$28&lt;&gt;"")*('Finance Procurement'!$H$5:$H$28&lt;&gt;"N/A"),'Finance Procurement'!$G$5:$G$28,'Finance Procurement'!$Y$5:$Y$28)</f>
        <v>0</v>
      </c>
    </row>
    <row r="10" spans="1:18">
      <c r="A10" s="18" t="s">
        <v>69</v>
      </c>
      <c r="B10" s="21">
        <f>Dashboard!$H$10</f>
        <v>0</v>
      </c>
      <c r="C10" s="22">
        <f>Dashboard!$G$10</f>
        <v>0</v>
      </c>
      <c r="D10" s="22">
        <f>Dashboard!$D$10</f>
        <v>0</v>
      </c>
      <c r="E10" s="23">
        <f>Dashboard!$J$10+Dashboard!$K$10</f>
        <v>0</v>
      </c>
      <c r="F10" s="18"/>
      <c r="G10" s="18"/>
      <c r="H10" s="18"/>
      <c r="I10" s="18"/>
      <c r="J10" s="18"/>
      <c r="K10" s="18"/>
      <c r="L10" s="18" t="s">
        <v>69</v>
      </c>
      <c r="M10" s="19">
        <f>IFERROR(SUMPRODUCT(('Legal Risk'!$H$5:$H$24&lt;&gt;"")*('Legal Risk'!$H$5:$H$24&lt;&gt;"N/A"),IFERROR(VALUE('Legal Risk'!$H$5:$H$24),0),'Legal Risk'!$G$5:$G$24,'Legal Risk'!$W$5:$W$24)/SUMPRODUCT(('Legal Risk'!$H$5:$H$24&lt;&gt;"")*('Legal Risk'!$H$5:$H$24&lt;&gt;"N/A"),'Legal Risk'!$G$5:$G$24,'Legal Risk'!$W$5:$W$24),0)</f>
        <v>0</v>
      </c>
      <c r="N10" s="19">
        <f>SUMPRODUCT(('Legal Risk'!$H$5:$H$24&lt;&gt;"")*('Legal Risk'!$H$5:$H$24&lt;&gt;"N/A"),'Legal Risk'!$G$5:$G$24,'Legal Risk'!$W$5:$W$24)</f>
        <v>0</v>
      </c>
      <c r="O10" s="19">
        <f>IFERROR(SUMPRODUCT(('Legal Risk'!$H$5:$H$24&lt;&gt;"")*('Legal Risk'!$H$5:$H$24&lt;&gt;"N/A"),IFERROR(VALUE('Legal Risk'!$H$5:$H$24),0),'Legal Risk'!$G$5:$G$24,'Legal Risk'!$X$5:$X$24)/SUMPRODUCT(('Legal Risk'!$H$5:$H$24&lt;&gt;"")*('Legal Risk'!$H$5:$H$24&lt;&gt;"N/A"),'Legal Risk'!$G$5:$G$24,'Legal Risk'!$X$5:$X$24),0)</f>
        <v>0</v>
      </c>
      <c r="P10" s="19">
        <f>SUMPRODUCT(('Legal Risk'!$H$5:$H$24&lt;&gt;"")*('Legal Risk'!$H$5:$H$24&lt;&gt;"N/A"),'Legal Risk'!$G$5:$G$24,'Legal Risk'!$X$5:$X$24)</f>
        <v>0</v>
      </c>
      <c r="Q10" s="19">
        <f>IFERROR(SUMPRODUCT(('Legal Risk'!$H$5:$H$24&lt;&gt;"")*('Legal Risk'!$H$5:$H$24&lt;&gt;"N/A"),IFERROR(VALUE('Legal Risk'!$H$5:$H$24),0),'Legal Risk'!$G$5:$G$24,'Legal Risk'!$Y$5:$Y$24)/SUMPRODUCT(('Legal Risk'!$H$5:$H$24&lt;&gt;"")*('Legal Risk'!$H$5:$H$24&lt;&gt;"N/A"),'Legal Risk'!$G$5:$G$24,'Legal Risk'!$Y$5:$Y$24),0)</f>
        <v>0</v>
      </c>
      <c r="R10" s="19">
        <f>SUMPRODUCT(('Legal Risk'!$H$5:$H$24&lt;&gt;"")*('Legal Risk'!$H$5:$H$24&lt;&gt;"N/A"),'Legal Risk'!$G$5:$G$24,'Legal Risk'!$Y$5:$Y$24)</f>
        <v>0</v>
      </c>
    </row>
    <row r="11" spans="1:18">
      <c r="A11" s="18" t="s">
        <v>72</v>
      </c>
      <c r="B11" s="21">
        <f>Dashboard!$H$11</f>
        <v>0</v>
      </c>
      <c r="C11" s="22">
        <f>Dashboard!$G$11</f>
        <v>0</v>
      </c>
      <c r="D11" s="22">
        <f>Dashboard!$D$11</f>
        <v>0</v>
      </c>
      <c r="E11" s="23">
        <f>Dashboard!$J$11+Dashboard!$K$11</f>
        <v>0</v>
      </c>
      <c r="F11" s="18"/>
      <c r="G11" s="18"/>
      <c r="H11" s="18"/>
      <c r="I11" s="18"/>
      <c r="J11" s="18"/>
      <c r="K11" s="18"/>
      <c r="L11" s="18" t="s">
        <v>72</v>
      </c>
      <c r="M11" s="19">
        <f>IFERROR(SUMPRODUCT(('Physical Safety'!$H$5:$H$32&lt;&gt;"")*('Physical Safety'!$H$5:$H$32&lt;&gt;"N/A"),IFERROR(VALUE('Physical Safety'!$H$5:$H$32),0),'Physical Safety'!$G$5:$G$32,'Physical Safety'!$W$5:$W$32)/SUMPRODUCT(('Physical Safety'!$H$5:$H$32&lt;&gt;"")*('Physical Safety'!$H$5:$H$32&lt;&gt;"N/A"),'Physical Safety'!$G$5:$G$32,'Physical Safety'!$W$5:$W$32),0)</f>
        <v>0</v>
      </c>
      <c r="N11" s="19">
        <f>SUMPRODUCT(('Physical Safety'!$H$5:$H$32&lt;&gt;"")*('Physical Safety'!$H$5:$H$32&lt;&gt;"N/A"),'Physical Safety'!$G$5:$G$32,'Physical Safety'!$W$5:$W$32)</f>
        <v>0</v>
      </c>
      <c r="O11" s="19">
        <f>IFERROR(SUMPRODUCT(('Physical Safety'!$H$5:$H$32&lt;&gt;"")*('Physical Safety'!$H$5:$H$32&lt;&gt;"N/A"),IFERROR(VALUE('Physical Safety'!$H$5:$H$32),0),'Physical Safety'!$G$5:$G$32,'Physical Safety'!$X$5:$X$32)/SUMPRODUCT(('Physical Safety'!$H$5:$H$32&lt;&gt;"")*('Physical Safety'!$H$5:$H$32&lt;&gt;"N/A"),'Physical Safety'!$G$5:$G$32,'Physical Safety'!$X$5:$X$32),0)</f>
        <v>0</v>
      </c>
      <c r="P11" s="19">
        <f>SUMPRODUCT(('Physical Safety'!$H$5:$H$32&lt;&gt;"")*('Physical Safety'!$H$5:$H$32&lt;&gt;"N/A"),'Physical Safety'!$G$5:$G$32,'Physical Safety'!$X$5:$X$32)</f>
        <v>0</v>
      </c>
      <c r="Q11" s="19">
        <f>IFERROR(SUMPRODUCT(('Physical Safety'!$H$5:$H$32&lt;&gt;"")*('Physical Safety'!$H$5:$H$32&lt;&gt;"N/A"),IFERROR(VALUE('Physical Safety'!$H$5:$H$32),0),'Physical Safety'!$G$5:$G$32,'Physical Safety'!$Y$5:$Y$32)/SUMPRODUCT(('Physical Safety'!$H$5:$H$32&lt;&gt;"")*('Physical Safety'!$H$5:$H$32&lt;&gt;"N/A"),'Physical Safety'!$G$5:$G$32,'Physical Safety'!$Y$5:$Y$32),0)</f>
        <v>0</v>
      </c>
      <c r="R11" s="19">
        <f>SUMPRODUCT(('Physical Safety'!$H$5:$H$32&lt;&gt;"")*('Physical Safety'!$H$5:$H$32&lt;&gt;"N/A"),'Physical Safety'!$G$5:$G$32,'Physical Safety'!$Y$5:$Y$32)</f>
        <v>0</v>
      </c>
    </row>
    <row r="12" spans="1:18">
      <c r="A12" s="18" t="s">
        <v>75</v>
      </c>
      <c r="B12" s="21">
        <f>Dashboard!$H$12</f>
        <v>0</v>
      </c>
      <c r="C12" s="22">
        <f>Dashboard!$G$12</f>
        <v>0</v>
      </c>
      <c r="D12" s="22">
        <f>Dashboard!$D$12</f>
        <v>0</v>
      </c>
      <c r="E12" s="23">
        <f>Dashboard!$J$12+Dashboard!$K$12</f>
        <v>0</v>
      </c>
      <c r="F12" s="18"/>
      <c r="G12" s="18"/>
      <c r="H12" s="18"/>
      <c r="I12" s="18"/>
      <c r="J12" s="18"/>
      <c r="K12" s="18"/>
      <c r="L12" s="18" t="s">
        <v>75</v>
      </c>
      <c r="M12" s="19">
        <f>IFERROR(SUMPRODUCT(('Delivery Ops'!$H$5:$H$28&lt;&gt;"")*('Delivery Ops'!$H$5:$H$28&lt;&gt;"N/A"),IFERROR(VALUE('Delivery Ops'!$H$5:$H$28),0),'Delivery Ops'!$G$5:$G$28,'Delivery Ops'!$W$5:$W$28)/SUMPRODUCT(('Delivery Ops'!$H$5:$H$28&lt;&gt;"")*('Delivery Ops'!$H$5:$H$28&lt;&gt;"N/A"),'Delivery Ops'!$G$5:$G$28,'Delivery Ops'!$W$5:$W$28),0)</f>
        <v>0</v>
      </c>
      <c r="N12" s="19">
        <f>SUMPRODUCT(('Delivery Ops'!$H$5:$H$28&lt;&gt;"")*('Delivery Ops'!$H$5:$H$28&lt;&gt;"N/A"),'Delivery Ops'!$G$5:$G$28,'Delivery Ops'!$W$5:$W$28)</f>
        <v>0</v>
      </c>
      <c r="O12" s="19">
        <f>IFERROR(SUMPRODUCT(('Delivery Ops'!$H$5:$H$28&lt;&gt;"")*('Delivery Ops'!$H$5:$H$28&lt;&gt;"N/A"),IFERROR(VALUE('Delivery Ops'!$H$5:$H$28),0),'Delivery Ops'!$G$5:$G$28,'Delivery Ops'!$X$5:$X$28)/SUMPRODUCT(('Delivery Ops'!$H$5:$H$28&lt;&gt;"")*('Delivery Ops'!$H$5:$H$28&lt;&gt;"N/A"),'Delivery Ops'!$G$5:$G$28,'Delivery Ops'!$X$5:$X$28),0)</f>
        <v>0</v>
      </c>
      <c r="P12" s="19">
        <f>SUMPRODUCT(('Delivery Ops'!$H$5:$H$28&lt;&gt;"")*('Delivery Ops'!$H$5:$H$28&lt;&gt;"N/A"),'Delivery Ops'!$G$5:$G$28,'Delivery Ops'!$X$5:$X$28)</f>
        <v>0</v>
      </c>
      <c r="Q12" s="19">
        <f>IFERROR(SUMPRODUCT(('Delivery Ops'!$H$5:$H$28&lt;&gt;"")*('Delivery Ops'!$H$5:$H$28&lt;&gt;"N/A"),IFERROR(VALUE('Delivery Ops'!$H$5:$H$28),0),'Delivery Ops'!$G$5:$G$28,'Delivery Ops'!$Y$5:$Y$28)/SUMPRODUCT(('Delivery Ops'!$H$5:$H$28&lt;&gt;"")*('Delivery Ops'!$H$5:$H$28&lt;&gt;"N/A"),'Delivery Ops'!$G$5:$G$28,'Delivery Ops'!$Y$5:$Y$28),0)</f>
        <v>0</v>
      </c>
      <c r="R12" s="19">
        <f>SUMPRODUCT(('Delivery Ops'!$H$5:$H$28&lt;&gt;"")*('Delivery Ops'!$H$5:$H$28&lt;&gt;"N/A"),'Delivery Ops'!$G$5:$G$28,'Delivery Ops'!$Y$5:$Y$28)</f>
        <v>0</v>
      </c>
    </row>
    <row r="13" spans="1:18">
      <c r="A13" s="18" t="s">
        <v>78</v>
      </c>
      <c r="B13" s="21">
        <f>Dashboard!$H$13</f>
        <v>0</v>
      </c>
      <c r="C13" s="22">
        <f>Dashboard!$G$13</f>
        <v>0</v>
      </c>
      <c r="D13" s="22">
        <f>Dashboard!$D$13</f>
        <v>0</v>
      </c>
      <c r="E13" s="23">
        <f>Dashboard!$J$13+Dashboard!$K$13</f>
        <v>0</v>
      </c>
      <c r="F13" s="18"/>
      <c r="G13" s="18"/>
      <c r="H13" s="18"/>
      <c r="I13" s="18"/>
      <c r="J13" s="18"/>
      <c r="K13" s="18"/>
      <c r="L13" s="18" t="s">
        <v>78</v>
      </c>
      <c r="M13" s="19">
        <f>IFERROR(SUMPRODUCT(('Supply Chain'!$H$5:$H$29&lt;&gt;"")*('Supply Chain'!$H$5:$H$29&lt;&gt;"N/A"),IFERROR(VALUE('Supply Chain'!$H$5:$H$29),0),'Supply Chain'!$G$5:$G$29,'Supply Chain'!$W$5:$W$29)/SUMPRODUCT(('Supply Chain'!$H$5:$H$29&lt;&gt;"")*('Supply Chain'!$H$5:$H$29&lt;&gt;"N/A"),'Supply Chain'!$G$5:$G$29,'Supply Chain'!$W$5:$W$29),0)</f>
        <v>0</v>
      </c>
      <c r="N13" s="19">
        <f>SUMPRODUCT(('Supply Chain'!$H$5:$H$29&lt;&gt;"")*('Supply Chain'!$H$5:$H$29&lt;&gt;"N/A"),'Supply Chain'!$G$5:$G$29,'Supply Chain'!$W$5:$W$29)</f>
        <v>0</v>
      </c>
      <c r="O13" s="19">
        <f>IFERROR(SUMPRODUCT(('Supply Chain'!$H$5:$H$29&lt;&gt;"")*('Supply Chain'!$H$5:$H$29&lt;&gt;"N/A"),IFERROR(VALUE('Supply Chain'!$H$5:$H$29),0),'Supply Chain'!$G$5:$G$29,'Supply Chain'!$X$5:$X$29)/SUMPRODUCT(('Supply Chain'!$H$5:$H$29&lt;&gt;"")*('Supply Chain'!$H$5:$H$29&lt;&gt;"N/A"),'Supply Chain'!$G$5:$G$29,'Supply Chain'!$X$5:$X$29),0)</f>
        <v>0</v>
      </c>
      <c r="P13" s="19">
        <f>SUMPRODUCT(('Supply Chain'!$H$5:$H$29&lt;&gt;"")*('Supply Chain'!$H$5:$H$29&lt;&gt;"N/A"),'Supply Chain'!$G$5:$G$29,'Supply Chain'!$X$5:$X$29)</f>
        <v>0</v>
      </c>
      <c r="Q13" s="19">
        <f>IFERROR(SUMPRODUCT(('Supply Chain'!$H$5:$H$29&lt;&gt;"")*('Supply Chain'!$H$5:$H$29&lt;&gt;"N/A"),IFERROR(VALUE('Supply Chain'!$H$5:$H$29),0),'Supply Chain'!$G$5:$G$29,'Supply Chain'!$Y$5:$Y$29)/SUMPRODUCT(('Supply Chain'!$H$5:$H$29&lt;&gt;"")*('Supply Chain'!$H$5:$H$29&lt;&gt;"N/A"),'Supply Chain'!$G$5:$G$29,'Supply Chain'!$Y$5:$Y$29),0)</f>
        <v>0</v>
      </c>
      <c r="R13" s="19">
        <f>SUMPRODUCT(('Supply Chain'!$H$5:$H$29&lt;&gt;"")*('Supply Chain'!$H$5:$H$29&lt;&gt;"N/A"),'Supply Chain'!$G$5:$G$29,'Supply Chain'!$Y$5:$Y$29)</f>
        <v>0</v>
      </c>
    </row>
    <row r="14" spans="1:18">
      <c r="A14" s="18" t="s">
        <v>81</v>
      </c>
      <c r="B14" s="21">
        <f>Dashboard!$H$14</f>
        <v>0</v>
      </c>
      <c r="C14" s="22">
        <f>Dashboard!$G$14</f>
        <v>0</v>
      </c>
      <c r="D14" s="22">
        <f>Dashboard!$D$14</f>
        <v>0</v>
      </c>
      <c r="E14" s="23">
        <f>Dashboard!$J$14+Dashboard!$K$14</f>
        <v>0</v>
      </c>
      <c r="F14" s="18"/>
      <c r="G14" s="18"/>
      <c r="H14" s="18"/>
      <c r="I14" s="18"/>
      <c r="J14" s="18"/>
      <c r="K14" s="18"/>
      <c r="L14" s="18" t="s">
        <v>81</v>
      </c>
      <c r="M14" s="19">
        <f>IFERROR(SUMPRODUCT(('Manufacturing MES'!$H$5:$H$32&lt;&gt;"")*('Manufacturing MES'!$H$5:$H$32&lt;&gt;"N/A"),IFERROR(VALUE('Manufacturing MES'!$H$5:$H$32),0),'Manufacturing MES'!$G$5:$G$32,'Manufacturing MES'!$W$5:$W$32)/SUMPRODUCT(('Manufacturing MES'!$H$5:$H$32&lt;&gt;"")*('Manufacturing MES'!$H$5:$H$32&lt;&gt;"N/A"),'Manufacturing MES'!$G$5:$G$32,'Manufacturing MES'!$W$5:$W$32),0)</f>
        <v>0</v>
      </c>
      <c r="N14" s="19">
        <f>SUMPRODUCT(('Manufacturing MES'!$H$5:$H$32&lt;&gt;"")*('Manufacturing MES'!$H$5:$H$32&lt;&gt;"N/A"),'Manufacturing MES'!$G$5:$G$32,'Manufacturing MES'!$W$5:$W$32)</f>
        <v>0</v>
      </c>
      <c r="O14" s="19">
        <f>IFERROR(SUMPRODUCT(('Manufacturing MES'!$H$5:$H$32&lt;&gt;"")*('Manufacturing MES'!$H$5:$H$32&lt;&gt;"N/A"),IFERROR(VALUE('Manufacturing MES'!$H$5:$H$32),0),'Manufacturing MES'!$G$5:$G$32,'Manufacturing MES'!$X$5:$X$32)/SUMPRODUCT(('Manufacturing MES'!$H$5:$H$32&lt;&gt;"")*('Manufacturing MES'!$H$5:$H$32&lt;&gt;"N/A"),'Manufacturing MES'!$G$5:$G$32,'Manufacturing MES'!$X$5:$X$32),0)</f>
        <v>0</v>
      </c>
      <c r="P14" s="19">
        <f>SUMPRODUCT(('Manufacturing MES'!$H$5:$H$32&lt;&gt;"")*('Manufacturing MES'!$H$5:$H$32&lt;&gt;"N/A"),'Manufacturing MES'!$G$5:$G$32,'Manufacturing MES'!$X$5:$X$32)</f>
        <v>0</v>
      </c>
      <c r="Q14" s="19">
        <f>IFERROR(SUMPRODUCT(('Manufacturing MES'!$H$5:$H$32&lt;&gt;"")*('Manufacturing MES'!$H$5:$H$32&lt;&gt;"N/A"),IFERROR(VALUE('Manufacturing MES'!$H$5:$H$32),0),'Manufacturing MES'!$G$5:$G$32,'Manufacturing MES'!$Y$5:$Y$32)/SUMPRODUCT(('Manufacturing MES'!$H$5:$H$32&lt;&gt;"")*('Manufacturing MES'!$H$5:$H$32&lt;&gt;"N/A"),'Manufacturing MES'!$G$5:$G$32,'Manufacturing MES'!$Y$5:$Y$32),0)</f>
        <v>0</v>
      </c>
      <c r="R14" s="19">
        <f>SUMPRODUCT(('Manufacturing MES'!$H$5:$H$32&lt;&gt;"")*('Manufacturing MES'!$H$5:$H$32&lt;&gt;"N/A"),'Manufacturing MES'!$G$5:$G$32,'Manufacturing MES'!$Y$5:$Y$32)</f>
        <v>0</v>
      </c>
    </row>
    <row r="15" spans="1:18">
      <c r="A15" s="18" t="s">
        <v>84</v>
      </c>
      <c r="B15" s="21">
        <f>Dashboard!$H$15</f>
        <v>0</v>
      </c>
      <c r="C15" s="22">
        <f>Dashboard!$G$15</f>
        <v>0</v>
      </c>
      <c r="D15" s="22">
        <f>Dashboard!$D$15</f>
        <v>0</v>
      </c>
      <c r="E15" s="23">
        <f>Dashboard!$J$15+Dashboard!$K$15</f>
        <v>0</v>
      </c>
      <c r="F15" s="18"/>
      <c r="G15" s="18"/>
      <c r="H15" s="18"/>
      <c r="I15" s="18"/>
      <c r="J15" s="18"/>
      <c r="K15" s="18"/>
      <c r="L15" s="18" t="s">
        <v>84</v>
      </c>
      <c r="M15" s="19">
        <f>IFERROR(SUMPRODUCT(('Sales CRM'!$H$5:$H$25&lt;&gt;"")*('Sales CRM'!$H$5:$H$25&lt;&gt;"N/A"),IFERROR(VALUE('Sales CRM'!$H$5:$H$25),0),'Sales CRM'!$G$5:$G$25,'Sales CRM'!$W$5:$W$25)/SUMPRODUCT(('Sales CRM'!$H$5:$H$25&lt;&gt;"")*('Sales CRM'!$H$5:$H$25&lt;&gt;"N/A"),'Sales CRM'!$G$5:$G$25,'Sales CRM'!$W$5:$W$25),0)</f>
        <v>0</v>
      </c>
      <c r="N15" s="19">
        <f>SUMPRODUCT(('Sales CRM'!$H$5:$H$25&lt;&gt;"")*('Sales CRM'!$H$5:$H$25&lt;&gt;"N/A"),'Sales CRM'!$G$5:$G$25,'Sales CRM'!$W$5:$W$25)</f>
        <v>0</v>
      </c>
      <c r="O15" s="19">
        <f>IFERROR(SUMPRODUCT(('Sales CRM'!$H$5:$H$25&lt;&gt;"")*('Sales CRM'!$H$5:$H$25&lt;&gt;"N/A"),IFERROR(VALUE('Sales CRM'!$H$5:$H$25),0),'Sales CRM'!$G$5:$G$25,'Sales CRM'!$X$5:$X$25)/SUMPRODUCT(('Sales CRM'!$H$5:$H$25&lt;&gt;"")*('Sales CRM'!$H$5:$H$25&lt;&gt;"N/A"),'Sales CRM'!$G$5:$G$25,'Sales CRM'!$X$5:$X$25),0)</f>
        <v>0</v>
      </c>
      <c r="P15" s="19">
        <f>SUMPRODUCT(('Sales CRM'!$H$5:$H$25&lt;&gt;"")*('Sales CRM'!$H$5:$H$25&lt;&gt;"N/A"),'Sales CRM'!$G$5:$G$25,'Sales CRM'!$X$5:$X$25)</f>
        <v>0</v>
      </c>
      <c r="Q15" s="19">
        <f>IFERROR(SUMPRODUCT(('Sales CRM'!$H$5:$H$25&lt;&gt;"")*('Sales CRM'!$H$5:$H$25&lt;&gt;"N/A"),IFERROR(VALUE('Sales CRM'!$H$5:$H$25),0),'Sales CRM'!$G$5:$G$25,'Sales CRM'!$Y$5:$Y$25)/SUMPRODUCT(('Sales CRM'!$H$5:$H$25&lt;&gt;"")*('Sales CRM'!$H$5:$H$25&lt;&gt;"N/A"),'Sales CRM'!$G$5:$G$25,'Sales CRM'!$Y$5:$Y$25),0)</f>
        <v>0</v>
      </c>
      <c r="R15" s="19">
        <f>SUMPRODUCT(('Sales CRM'!$H$5:$H$25&lt;&gt;"")*('Sales CRM'!$H$5:$H$25&lt;&gt;"N/A"),'Sales CRM'!$G$5:$G$25,'Sales CRM'!$Y$5:$Y$25)</f>
        <v>0</v>
      </c>
    </row>
    <row r="16" spans="1:18">
      <c r="A16" s="18" t="s">
        <v>87</v>
      </c>
      <c r="B16" s="21">
        <f>Dashboard!$H$16</f>
        <v>0</v>
      </c>
      <c r="C16" s="22">
        <f>Dashboard!$G$16</f>
        <v>0</v>
      </c>
      <c r="D16" s="22">
        <f>Dashboard!$D$16</f>
        <v>0</v>
      </c>
      <c r="E16" s="23">
        <f>Dashboard!$J$16+Dashboard!$K$16</f>
        <v>0</v>
      </c>
      <c r="F16" s="18"/>
      <c r="G16" s="18"/>
      <c r="H16" s="18"/>
      <c r="I16" s="18"/>
      <c r="J16" s="18"/>
      <c r="K16" s="18"/>
      <c r="L16" s="18" t="s">
        <v>87</v>
      </c>
      <c r="M16" s="19">
        <f>IFERROR(SUMPRODUCT(('Marketing Comms'!$H$5:$H$21&lt;&gt;"")*('Marketing Comms'!$H$5:$H$21&lt;&gt;"N/A"),IFERROR(VALUE('Marketing Comms'!$H$5:$H$21),0),'Marketing Comms'!$G$5:$G$21,'Marketing Comms'!$W$5:$W$21)/SUMPRODUCT(('Marketing Comms'!$H$5:$H$21&lt;&gt;"")*('Marketing Comms'!$H$5:$H$21&lt;&gt;"N/A"),'Marketing Comms'!$G$5:$G$21,'Marketing Comms'!$W$5:$W$21),0)</f>
        <v>0</v>
      </c>
      <c r="N16" s="19">
        <f>SUMPRODUCT(('Marketing Comms'!$H$5:$H$21&lt;&gt;"")*('Marketing Comms'!$H$5:$H$21&lt;&gt;"N/A"),'Marketing Comms'!$G$5:$G$21,'Marketing Comms'!$W$5:$W$21)</f>
        <v>0</v>
      </c>
      <c r="O16" s="19">
        <f>IFERROR(SUMPRODUCT(('Marketing Comms'!$H$5:$H$21&lt;&gt;"")*('Marketing Comms'!$H$5:$H$21&lt;&gt;"N/A"),IFERROR(VALUE('Marketing Comms'!$H$5:$H$21),0),'Marketing Comms'!$G$5:$G$21,'Marketing Comms'!$X$5:$X$21)/SUMPRODUCT(('Marketing Comms'!$H$5:$H$21&lt;&gt;"")*('Marketing Comms'!$H$5:$H$21&lt;&gt;"N/A"),'Marketing Comms'!$G$5:$G$21,'Marketing Comms'!$X$5:$X$21),0)</f>
        <v>0</v>
      </c>
      <c r="P16" s="19">
        <f>SUMPRODUCT(('Marketing Comms'!$H$5:$H$21&lt;&gt;"")*('Marketing Comms'!$H$5:$H$21&lt;&gt;"N/A"),'Marketing Comms'!$G$5:$G$21,'Marketing Comms'!$X$5:$X$21)</f>
        <v>0</v>
      </c>
      <c r="Q16" s="19">
        <f>IFERROR(SUMPRODUCT(('Marketing Comms'!$H$5:$H$21&lt;&gt;"")*('Marketing Comms'!$H$5:$H$21&lt;&gt;"N/A"),IFERROR(VALUE('Marketing Comms'!$H$5:$H$21),0),'Marketing Comms'!$G$5:$G$21,'Marketing Comms'!$Y$5:$Y$21)/SUMPRODUCT(('Marketing Comms'!$H$5:$H$21&lt;&gt;"")*('Marketing Comms'!$H$5:$H$21&lt;&gt;"N/A"),'Marketing Comms'!$G$5:$G$21,'Marketing Comms'!$Y$5:$Y$21),0)</f>
        <v>0</v>
      </c>
      <c r="R16" s="19">
        <f>SUMPRODUCT(('Marketing Comms'!$H$5:$H$21&lt;&gt;"")*('Marketing Comms'!$H$5:$H$21&lt;&gt;"N/A"),'Marketing Comms'!$G$5:$G$21,'Marketing Comms'!$Y$5:$Y$21)</f>
        <v>0</v>
      </c>
    </row>
    <row r="17" spans="1:18">
      <c r="A17" s="18" t="s">
        <v>90</v>
      </c>
      <c r="B17" s="21">
        <f>Dashboard!$H$17</f>
        <v>0</v>
      </c>
      <c r="C17" s="22">
        <f>Dashboard!$G$17</f>
        <v>0</v>
      </c>
      <c r="D17" s="22">
        <f>Dashboard!$D$17</f>
        <v>0</v>
      </c>
      <c r="E17" s="23">
        <f>Dashboard!$J$17+Dashboard!$K$17</f>
        <v>0</v>
      </c>
      <c r="F17" s="18"/>
      <c r="G17" s="18"/>
      <c r="H17" s="18"/>
      <c r="I17" s="18"/>
      <c r="J17" s="18"/>
      <c r="K17" s="18"/>
      <c r="L17" s="18" t="s">
        <v>90</v>
      </c>
      <c r="M17" s="19">
        <f>IFERROR(SUMPRODUCT(('IT Cloud DR'!$H$5:$H$33&lt;&gt;"")*('IT Cloud DR'!$H$5:$H$33&lt;&gt;"N/A"),IFERROR(VALUE('IT Cloud DR'!$H$5:$H$33),0),'IT Cloud DR'!$G$5:$G$33,'IT Cloud DR'!$W$5:$W$33)/SUMPRODUCT(('IT Cloud DR'!$H$5:$H$33&lt;&gt;"")*('IT Cloud DR'!$H$5:$H$33&lt;&gt;"N/A"),'IT Cloud DR'!$G$5:$G$33,'IT Cloud DR'!$W$5:$W$33),0)</f>
        <v>0</v>
      </c>
      <c r="N17" s="19">
        <f>SUMPRODUCT(('IT Cloud DR'!$H$5:$H$33&lt;&gt;"")*('IT Cloud DR'!$H$5:$H$33&lt;&gt;"N/A"),'IT Cloud DR'!$G$5:$G$33,'IT Cloud DR'!$W$5:$W$33)</f>
        <v>0</v>
      </c>
      <c r="O17" s="19">
        <f>IFERROR(SUMPRODUCT(('IT Cloud DR'!$H$5:$H$33&lt;&gt;"")*('IT Cloud DR'!$H$5:$H$33&lt;&gt;"N/A"),IFERROR(VALUE('IT Cloud DR'!$H$5:$H$33),0),'IT Cloud DR'!$G$5:$G$33,'IT Cloud DR'!$X$5:$X$33)/SUMPRODUCT(('IT Cloud DR'!$H$5:$H$33&lt;&gt;"")*('IT Cloud DR'!$H$5:$H$33&lt;&gt;"N/A"),'IT Cloud DR'!$G$5:$G$33,'IT Cloud DR'!$X$5:$X$33),0)</f>
        <v>0</v>
      </c>
      <c r="P17" s="19">
        <f>SUMPRODUCT(('IT Cloud DR'!$H$5:$H$33&lt;&gt;"")*('IT Cloud DR'!$H$5:$H$33&lt;&gt;"N/A"),'IT Cloud DR'!$G$5:$G$33,'IT Cloud DR'!$X$5:$X$33)</f>
        <v>0</v>
      </c>
      <c r="Q17" s="19">
        <f>IFERROR(SUMPRODUCT(('IT Cloud DR'!$H$5:$H$33&lt;&gt;"")*('IT Cloud DR'!$H$5:$H$33&lt;&gt;"N/A"),IFERROR(VALUE('IT Cloud DR'!$H$5:$H$33),0),'IT Cloud DR'!$G$5:$G$33,'IT Cloud DR'!$Y$5:$Y$33)/SUMPRODUCT(('IT Cloud DR'!$H$5:$H$33&lt;&gt;"")*('IT Cloud DR'!$H$5:$H$33&lt;&gt;"N/A"),'IT Cloud DR'!$G$5:$G$33,'IT Cloud DR'!$Y$5:$Y$33),0)</f>
        <v>0</v>
      </c>
      <c r="R17" s="19">
        <f>SUMPRODUCT(('IT Cloud DR'!$H$5:$H$33&lt;&gt;"")*('IT Cloud DR'!$H$5:$H$33&lt;&gt;"N/A"),'IT Cloud DR'!$G$5:$G$33,'IT Cloud DR'!$Y$5:$Y$33)</f>
        <v>0</v>
      </c>
    </row>
    <row r="18" spans="1:18">
      <c r="A18" s="18" t="s">
        <v>91</v>
      </c>
      <c r="B18" s="21">
        <f>Dashboard!$H$18</f>
        <v>0</v>
      </c>
      <c r="C18" s="22">
        <f>Dashboard!$G$18</f>
        <v>0</v>
      </c>
      <c r="D18" s="22">
        <f>Dashboard!$D$18</f>
        <v>0</v>
      </c>
      <c r="E18" s="23">
        <f>Dashboard!$J$18+Dashboard!$K$18</f>
        <v>0</v>
      </c>
      <c r="F18" s="18"/>
      <c r="G18" s="18"/>
      <c r="H18" s="18"/>
      <c r="I18" s="18"/>
      <c r="J18" s="18"/>
      <c r="K18" s="18"/>
      <c r="L18" s="18" t="s">
        <v>91</v>
      </c>
      <c r="M18" s="19">
        <f>IFERROR(SUMPRODUCT(('Business Systems'!$H$5:$H$27&lt;&gt;"")*('Business Systems'!$H$5:$H$27&lt;&gt;"N/A"),IFERROR(VALUE('Business Systems'!$H$5:$H$27),0),'Business Systems'!$G$5:$G$27,'Business Systems'!$W$5:$W$27)/SUMPRODUCT(('Business Systems'!$H$5:$H$27&lt;&gt;"")*('Business Systems'!$H$5:$H$27&lt;&gt;"N/A"),'Business Systems'!$G$5:$G$27,'Business Systems'!$W$5:$W$27),0)</f>
        <v>0</v>
      </c>
      <c r="N18" s="19">
        <f>SUMPRODUCT(('Business Systems'!$H$5:$H$27&lt;&gt;"")*('Business Systems'!$H$5:$H$27&lt;&gt;"N/A"),'Business Systems'!$G$5:$G$27,'Business Systems'!$W$5:$W$27)</f>
        <v>0</v>
      </c>
      <c r="O18" s="19">
        <f>IFERROR(SUMPRODUCT(('Business Systems'!$H$5:$H$27&lt;&gt;"")*('Business Systems'!$H$5:$H$27&lt;&gt;"N/A"),IFERROR(VALUE('Business Systems'!$H$5:$H$27),0),'Business Systems'!$G$5:$G$27,'Business Systems'!$X$5:$X$27)/SUMPRODUCT(('Business Systems'!$H$5:$H$27&lt;&gt;"")*('Business Systems'!$H$5:$H$27&lt;&gt;"N/A"),'Business Systems'!$G$5:$G$27,'Business Systems'!$X$5:$X$27),0)</f>
        <v>0</v>
      </c>
      <c r="P18" s="19">
        <f>SUMPRODUCT(('Business Systems'!$H$5:$H$27&lt;&gt;"")*('Business Systems'!$H$5:$H$27&lt;&gt;"N/A"),'Business Systems'!$G$5:$G$27,'Business Systems'!$X$5:$X$27)</f>
        <v>0</v>
      </c>
      <c r="Q18" s="19">
        <f>IFERROR(SUMPRODUCT(('Business Systems'!$H$5:$H$27&lt;&gt;"")*('Business Systems'!$H$5:$H$27&lt;&gt;"N/A"),IFERROR(VALUE('Business Systems'!$H$5:$H$27),0),'Business Systems'!$G$5:$G$27,'Business Systems'!$Y$5:$Y$27)/SUMPRODUCT(('Business Systems'!$H$5:$H$27&lt;&gt;"")*('Business Systems'!$H$5:$H$27&lt;&gt;"N/A"),'Business Systems'!$G$5:$G$27,'Business Systems'!$Y$5:$Y$27),0)</f>
        <v>0</v>
      </c>
      <c r="R18" s="19">
        <f>SUMPRODUCT(('Business Systems'!$H$5:$H$27&lt;&gt;"")*('Business Systems'!$H$5:$H$27&lt;&gt;"N/A"),'Business Systems'!$G$5:$G$27,'Business Systems'!$Y$5:$Y$27)</f>
        <v>0</v>
      </c>
    </row>
    <row r="19" spans="1:18">
      <c r="A19" s="18" t="s">
        <v>92</v>
      </c>
      <c r="B19" s="21">
        <f>Dashboard!$H$19</f>
        <v>0</v>
      </c>
      <c r="C19" s="22">
        <f>Dashboard!$G$19</f>
        <v>0</v>
      </c>
      <c r="D19" s="22">
        <f>Dashboard!$D$19</f>
        <v>0</v>
      </c>
      <c r="E19" s="23">
        <f>Dashboard!$J$19+Dashboard!$K$19</f>
        <v>0</v>
      </c>
      <c r="F19" s="18"/>
      <c r="G19" s="18"/>
      <c r="H19" s="18"/>
      <c r="I19" s="18"/>
      <c r="J19" s="18"/>
      <c r="K19" s="18"/>
      <c r="L19" s="18" t="s">
        <v>92</v>
      </c>
      <c r="M19" s="19">
        <f>IFERROR(SUMPRODUCT(('Data BI AI'!$H$5:$H$31&lt;&gt;"")*('Data BI AI'!$H$5:$H$31&lt;&gt;"N/A"),IFERROR(VALUE('Data BI AI'!$H$5:$H$31),0),'Data BI AI'!$G$5:$G$31,'Data BI AI'!$W$5:$W$31)/SUMPRODUCT(('Data BI AI'!$H$5:$H$31&lt;&gt;"")*('Data BI AI'!$H$5:$H$31&lt;&gt;"N/A"),'Data BI AI'!$G$5:$G$31,'Data BI AI'!$W$5:$W$31),0)</f>
        <v>0</v>
      </c>
      <c r="N19" s="19">
        <f>SUMPRODUCT(('Data BI AI'!$H$5:$H$31&lt;&gt;"")*('Data BI AI'!$H$5:$H$31&lt;&gt;"N/A"),'Data BI AI'!$G$5:$G$31,'Data BI AI'!$W$5:$W$31)</f>
        <v>0</v>
      </c>
      <c r="O19" s="19">
        <f>IFERROR(SUMPRODUCT(('Data BI AI'!$H$5:$H$31&lt;&gt;"")*('Data BI AI'!$H$5:$H$31&lt;&gt;"N/A"),IFERROR(VALUE('Data BI AI'!$H$5:$H$31),0),'Data BI AI'!$G$5:$G$31,'Data BI AI'!$X$5:$X$31)/SUMPRODUCT(('Data BI AI'!$H$5:$H$31&lt;&gt;"")*('Data BI AI'!$H$5:$H$31&lt;&gt;"N/A"),'Data BI AI'!$G$5:$G$31,'Data BI AI'!$X$5:$X$31),0)</f>
        <v>0</v>
      </c>
      <c r="P19" s="19">
        <f>SUMPRODUCT(('Data BI AI'!$H$5:$H$31&lt;&gt;"")*('Data BI AI'!$H$5:$H$31&lt;&gt;"N/A"),'Data BI AI'!$G$5:$G$31,'Data BI AI'!$X$5:$X$31)</f>
        <v>0</v>
      </c>
      <c r="Q19" s="19">
        <f>IFERROR(SUMPRODUCT(('Data BI AI'!$H$5:$H$31&lt;&gt;"")*('Data BI AI'!$H$5:$H$31&lt;&gt;"N/A"),IFERROR(VALUE('Data BI AI'!$H$5:$H$31),0),'Data BI AI'!$G$5:$G$31,'Data BI AI'!$Y$5:$Y$31)/SUMPRODUCT(('Data BI AI'!$H$5:$H$31&lt;&gt;"")*('Data BI AI'!$H$5:$H$31&lt;&gt;"N/A"),'Data BI AI'!$G$5:$G$31,'Data BI AI'!$Y$5:$Y$31),0)</f>
        <v>0</v>
      </c>
      <c r="R19" s="19">
        <f>SUMPRODUCT(('Data BI AI'!$H$5:$H$31&lt;&gt;"")*('Data BI AI'!$H$5:$H$31&lt;&gt;"N/A"),'Data BI AI'!$G$5:$G$31,'Data BI AI'!$Y$5:$Y$31)</f>
        <v>0</v>
      </c>
    </row>
    <row r="20" spans="1:18">
      <c r="A20" s="18" t="s">
        <v>93</v>
      </c>
      <c r="B20" s="21">
        <f>Dashboard!$H$20</f>
        <v>0</v>
      </c>
      <c r="C20" s="22">
        <f>Dashboard!$G$20</f>
        <v>0</v>
      </c>
      <c r="D20" s="22">
        <f>Dashboard!$D$20</f>
        <v>0</v>
      </c>
      <c r="E20" s="23">
        <f>Dashboard!$J$20+Dashboard!$K$20</f>
        <v>0</v>
      </c>
      <c r="F20" s="18"/>
      <c r="G20" s="18"/>
      <c r="H20" s="18"/>
      <c r="I20" s="18"/>
      <c r="J20" s="18"/>
      <c r="K20" s="18"/>
      <c r="L20" s="18" t="s">
        <v>93</v>
      </c>
      <c r="M20" s="19">
        <f>IFERROR(SUMPRODUCT(('Cyber Privacy'!$H$5:$H$38&lt;&gt;"")*('Cyber Privacy'!$H$5:$H$38&lt;&gt;"N/A"),IFERROR(VALUE('Cyber Privacy'!$H$5:$H$38),0),'Cyber Privacy'!$G$5:$G$38,'Cyber Privacy'!$W$5:$W$38)/SUMPRODUCT(('Cyber Privacy'!$H$5:$H$38&lt;&gt;"")*('Cyber Privacy'!$H$5:$H$38&lt;&gt;"N/A"),'Cyber Privacy'!$G$5:$G$38,'Cyber Privacy'!$W$5:$W$38),0)</f>
        <v>0</v>
      </c>
      <c r="N20" s="19">
        <f>SUMPRODUCT(('Cyber Privacy'!$H$5:$H$38&lt;&gt;"")*('Cyber Privacy'!$H$5:$H$38&lt;&gt;"N/A"),'Cyber Privacy'!$G$5:$G$38,'Cyber Privacy'!$W$5:$W$38)</f>
        <v>0</v>
      </c>
      <c r="O20" s="19">
        <f>IFERROR(SUMPRODUCT(('Cyber Privacy'!$H$5:$H$38&lt;&gt;"")*('Cyber Privacy'!$H$5:$H$38&lt;&gt;"N/A"),IFERROR(VALUE('Cyber Privacy'!$H$5:$H$38),0),'Cyber Privacy'!$G$5:$G$38,'Cyber Privacy'!$X$5:$X$38)/SUMPRODUCT(('Cyber Privacy'!$H$5:$H$38&lt;&gt;"")*('Cyber Privacy'!$H$5:$H$38&lt;&gt;"N/A"),'Cyber Privacy'!$G$5:$G$38,'Cyber Privacy'!$X$5:$X$38),0)</f>
        <v>0</v>
      </c>
      <c r="P20" s="19">
        <f>SUMPRODUCT(('Cyber Privacy'!$H$5:$H$38&lt;&gt;"")*('Cyber Privacy'!$H$5:$H$38&lt;&gt;"N/A"),'Cyber Privacy'!$G$5:$G$38,'Cyber Privacy'!$X$5:$X$38)</f>
        <v>0</v>
      </c>
      <c r="Q20" s="19">
        <f>IFERROR(SUMPRODUCT(('Cyber Privacy'!$H$5:$H$38&lt;&gt;"")*('Cyber Privacy'!$H$5:$H$38&lt;&gt;"N/A"),IFERROR(VALUE('Cyber Privacy'!$H$5:$H$38),0),'Cyber Privacy'!$G$5:$G$38,'Cyber Privacy'!$Y$5:$Y$38)/SUMPRODUCT(('Cyber Privacy'!$H$5:$H$38&lt;&gt;"")*('Cyber Privacy'!$H$5:$H$38&lt;&gt;"N/A"),'Cyber Privacy'!$G$5:$G$38,'Cyber Privacy'!$Y$5:$Y$38),0)</f>
        <v>0</v>
      </c>
      <c r="R20" s="19">
        <f>SUMPRODUCT(('Cyber Privacy'!$H$5:$H$38&lt;&gt;"")*('Cyber Privacy'!$H$5:$H$38&lt;&gt;"N/A"),'Cyber Privacy'!$G$5:$G$38,'Cyber Privacy'!$Y$5:$Y$38)</f>
        <v>0</v>
      </c>
    </row>
    <row r="21" spans="1:18">
      <c r="A21" s="18" t="s">
        <v>94</v>
      </c>
      <c r="B21" s="21">
        <f>Dashboard!$H$21</f>
        <v>0</v>
      </c>
      <c r="C21" s="22">
        <f>Dashboard!$G$21</f>
        <v>0</v>
      </c>
      <c r="D21" s="22">
        <f>Dashboard!$D$21</f>
        <v>0</v>
      </c>
      <c r="E21" s="23">
        <f>Dashboard!$J$21+Dashboard!$K$21</f>
        <v>0</v>
      </c>
      <c r="F21" s="18"/>
      <c r="G21" s="18"/>
      <c r="H21" s="18"/>
      <c r="I21" s="18"/>
      <c r="J21" s="18"/>
      <c r="K21" s="18"/>
      <c r="L21" s="18" t="s">
        <v>94</v>
      </c>
      <c r="M21" s="19">
        <f>IFERROR(SUMPRODUCT(('Quality Portfolio'!$H$5:$H$24&lt;&gt;"")*('Quality Portfolio'!$H$5:$H$24&lt;&gt;"N/A"),IFERROR(VALUE('Quality Portfolio'!$H$5:$H$24),0),'Quality Portfolio'!$G$5:$G$24,'Quality Portfolio'!$W$5:$W$24)/SUMPRODUCT(('Quality Portfolio'!$H$5:$H$24&lt;&gt;"")*('Quality Portfolio'!$H$5:$H$24&lt;&gt;"N/A"),'Quality Portfolio'!$G$5:$G$24,'Quality Portfolio'!$W$5:$W$24),0)</f>
        <v>0</v>
      </c>
      <c r="N21" s="19">
        <f>SUMPRODUCT(('Quality Portfolio'!$H$5:$H$24&lt;&gt;"")*('Quality Portfolio'!$H$5:$H$24&lt;&gt;"N/A"),'Quality Portfolio'!$G$5:$G$24,'Quality Portfolio'!$W$5:$W$24)</f>
        <v>0</v>
      </c>
      <c r="O21" s="19">
        <f>IFERROR(SUMPRODUCT(('Quality Portfolio'!$H$5:$H$24&lt;&gt;"")*('Quality Portfolio'!$H$5:$H$24&lt;&gt;"N/A"),IFERROR(VALUE('Quality Portfolio'!$H$5:$H$24),0),'Quality Portfolio'!$G$5:$G$24,'Quality Portfolio'!$X$5:$X$24)/SUMPRODUCT(('Quality Portfolio'!$H$5:$H$24&lt;&gt;"")*('Quality Portfolio'!$H$5:$H$24&lt;&gt;"N/A"),'Quality Portfolio'!$G$5:$G$24,'Quality Portfolio'!$X$5:$X$24),0)</f>
        <v>0</v>
      </c>
      <c r="P21" s="19">
        <f>SUMPRODUCT(('Quality Portfolio'!$H$5:$H$24&lt;&gt;"")*('Quality Portfolio'!$H$5:$H$24&lt;&gt;"N/A"),'Quality Portfolio'!$G$5:$G$24,'Quality Portfolio'!$X$5:$X$24)</f>
        <v>0</v>
      </c>
      <c r="Q21" s="19">
        <f>IFERROR(SUMPRODUCT(('Quality Portfolio'!$H$5:$H$24&lt;&gt;"")*('Quality Portfolio'!$H$5:$H$24&lt;&gt;"N/A"),IFERROR(VALUE('Quality Portfolio'!$H$5:$H$24),0),'Quality Portfolio'!$G$5:$G$24,'Quality Portfolio'!$Y$5:$Y$24)/SUMPRODUCT(('Quality Portfolio'!$H$5:$H$24&lt;&gt;"")*('Quality Portfolio'!$H$5:$H$24&lt;&gt;"N/A"),'Quality Portfolio'!$G$5:$G$24,'Quality Portfolio'!$Y$5:$Y$24),0)</f>
        <v>0</v>
      </c>
      <c r="R21" s="19">
        <f>SUMPRODUCT(('Quality Portfolio'!$H$5:$H$24&lt;&gt;"")*('Quality Portfolio'!$H$5:$H$24&lt;&gt;"N/A"),'Quality Portfolio'!$G$5:$G$24,'Quality Portfolio'!$Y$5:$Y$24)</f>
        <v>0</v>
      </c>
    </row>
    <row r="24" spans="1:18" ht="18">
      <c r="A24" s="171"/>
      <c r="B24" s="158"/>
      <c r="C24" s="158"/>
      <c r="D24" s="158"/>
      <c r="E24" s="158"/>
      <c r="F24" s="158"/>
      <c r="G24" s="158"/>
      <c r="H24" s="158"/>
      <c r="I24" s="158"/>
      <c r="J24" s="158"/>
    </row>
    <row r="25" spans="1:18" ht="15">
      <c r="A25" s="17"/>
      <c r="B25" s="5"/>
    </row>
    <row r="26" spans="1:18" ht="15">
      <c r="A26" s="17"/>
      <c r="B26" s="5"/>
    </row>
    <row r="27" spans="1:18" ht="15">
      <c r="A27" s="17"/>
      <c r="B27" s="5"/>
    </row>
    <row r="28" spans="1:18" ht="15">
      <c r="A28" s="17"/>
      <c r="B28" s="5"/>
    </row>
    <row r="47" spans="1:10">
      <c r="A47" s="192" t="s">
        <v>6027</v>
      </c>
      <c r="B47" s="158"/>
      <c r="C47" s="158"/>
      <c r="D47" s="158"/>
      <c r="E47" s="158"/>
      <c r="F47" s="158"/>
      <c r="G47" s="158"/>
      <c r="H47" s="158"/>
      <c r="I47" s="158"/>
      <c r="J47" s="158"/>
    </row>
    <row r="48" spans="1:10" ht="36" customHeight="1">
      <c r="A48" s="17" t="s">
        <v>296</v>
      </c>
      <c r="B48" s="193" t="s">
        <v>6028</v>
      </c>
      <c r="C48" s="158"/>
      <c r="D48" s="158"/>
      <c r="E48" s="158"/>
      <c r="F48" s="158"/>
      <c r="G48" s="158"/>
      <c r="H48" s="158"/>
      <c r="I48" s="158"/>
      <c r="J48" s="158"/>
    </row>
    <row r="49" spans="1:10" ht="36" customHeight="1">
      <c r="A49" s="17" t="s">
        <v>6029</v>
      </c>
      <c r="B49" s="193" t="s">
        <v>6030</v>
      </c>
      <c r="C49" s="158"/>
      <c r="D49" s="158"/>
      <c r="E49" s="158"/>
      <c r="F49" s="158"/>
      <c r="G49" s="158"/>
      <c r="H49" s="158"/>
      <c r="I49" s="158"/>
      <c r="J49" s="158"/>
    </row>
    <row r="50" spans="1:10" ht="36" customHeight="1">
      <c r="A50" s="17" t="s">
        <v>6031</v>
      </c>
      <c r="B50" s="193" t="s">
        <v>6032</v>
      </c>
      <c r="C50" s="158"/>
      <c r="D50" s="158"/>
      <c r="E50" s="158"/>
      <c r="F50" s="158"/>
      <c r="G50" s="158"/>
      <c r="H50" s="158"/>
      <c r="I50" s="158"/>
      <c r="J50" s="158"/>
    </row>
    <row r="51" spans="1:10" ht="36" customHeight="1">
      <c r="A51" s="17" t="s">
        <v>6033</v>
      </c>
      <c r="B51" s="193" t="s">
        <v>6034</v>
      </c>
      <c r="C51" s="158"/>
      <c r="D51" s="158"/>
      <c r="E51" s="158"/>
      <c r="F51" s="158"/>
      <c r="G51" s="158"/>
      <c r="H51" s="158"/>
      <c r="I51" s="158"/>
      <c r="J51" s="158"/>
    </row>
  </sheetData>
  <mergeCells count="8">
    <mergeCell ref="A1:Q1"/>
    <mergeCell ref="B48:J48"/>
    <mergeCell ref="A47:J47"/>
    <mergeCell ref="B51:J51"/>
    <mergeCell ref="B50:J50"/>
    <mergeCell ref="A2:Q2"/>
    <mergeCell ref="B49:J49"/>
    <mergeCell ref="A24:J24"/>
  </mergeCells>
  <conditionalFormatting sqref="B5:B21">
    <cfRule type="colorScale" priority="1">
      <colorScale>
        <cfvo type="min"/>
        <cfvo type="percentile" val="50"/>
        <cfvo type="max"/>
        <color rgb="FFFEE2E2"/>
        <color rgb="FFFEF3C7"/>
        <color rgb="FFDCFCE7"/>
      </colorScale>
    </cfRule>
  </conditionalFormatting>
  <conditionalFormatting sqref="H5:H7">
    <cfRule type="colorScale" priority="2">
      <colorScale>
        <cfvo type="min"/>
        <cfvo type="percentile" val="50"/>
        <cfvo type="max"/>
        <color rgb="FFFEE2E2"/>
        <color rgb="FFFEF3C7"/>
        <color rgb="FFDCFCE7"/>
      </colorScale>
    </cfRule>
  </conditionalFormatting>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drawing r:id="rId1"/>
</worksheet>
</file>

<file path=xl/worksheets/sheet38.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500-000000000000}">
  <sheetPr>
    <tabColor rgb="FF808080"/>
  </sheetPr>
  <dimension ref="A1:V411"/>
  <sheetViews>
    <sheetView showGridLines="0" workbookViewId="0"/>
  </sheetViews>
  <sheetFormatPr defaultRowHeight="14.25"/>
  <cols>
    <col min="1" max="1" width="14" customWidth="1"/>
    <col min="2" max="2" width="20" customWidth="1"/>
    <col min="3" max="3" width="24" customWidth="1"/>
    <col min="4" max="4" width="45" customWidth="1"/>
    <col min="5" max="10" width="42" customWidth="1"/>
    <col min="11" max="11" width="38" customWidth="1"/>
    <col min="12" max="17" width="13" customWidth="1"/>
    <col min="18" max="18" width="28" customWidth="1"/>
    <col min="19" max="19" width="36" customWidth="1"/>
    <col min="20" max="20" width="28" customWidth="1"/>
    <col min="21" max="21" width="22" customWidth="1"/>
    <col min="22" max="22" width="18" customWidth="1"/>
  </cols>
  <sheetData>
    <row r="1" spans="1:22" ht="20.25">
      <c r="A1" s="195" t="s">
        <v>6035</v>
      </c>
      <c r="B1" s="158"/>
      <c r="C1" s="158"/>
      <c r="D1" s="158"/>
      <c r="E1" s="158"/>
      <c r="F1" s="158"/>
      <c r="G1" s="158"/>
      <c r="H1" s="158"/>
      <c r="I1" s="158"/>
      <c r="J1" s="158"/>
      <c r="K1" s="158"/>
      <c r="L1" s="158"/>
      <c r="M1" s="158"/>
      <c r="N1" s="158"/>
      <c r="O1" s="158"/>
      <c r="P1" s="158"/>
      <c r="Q1" s="158"/>
      <c r="R1" s="158"/>
      <c r="S1" s="158"/>
      <c r="T1" s="158"/>
      <c r="U1" s="158"/>
      <c r="V1" s="158"/>
    </row>
    <row r="2" spans="1:22">
      <c r="A2" s="194" t="s">
        <v>6036</v>
      </c>
      <c r="B2" s="158"/>
      <c r="C2" s="158"/>
      <c r="D2" s="158"/>
      <c r="E2" s="158"/>
      <c r="F2" s="158"/>
      <c r="G2" s="158"/>
      <c r="H2" s="158"/>
      <c r="I2" s="158"/>
      <c r="J2" s="158"/>
      <c r="K2" s="158"/>
      <c r="L2" s="158"/>
      <c r="M2" s="158"/>
      <c r="N2" s="158"/>
      <c r="O2" s="158"/>
      <c r="P2" s="158"/>
      <c r="Q2" s="158"/>
      <c r="R2" s="158"/>
      <c r="S2" s="158"/>
      <c r="T2" s="158"/>
      <c r="U2" s="158"/>
      <c r="V2" s="158"/>
    </row>
    <row r="4" spans="1:22" ht="36" customHeight="1">
      <c r="A4" s="26" t="s">
        <v>6037</v>
      </c>
      <c r="B4" s="26" t="s">
        <v>36</v>
      </c>
      <c r="C4" s="26" t="s">
        <v>759</v>
      </c>
      <c r="D4" s="26" t="s">
        <v>1819</v>
      </c>
      <c r="E4" s="26" t="s">
        <v>6038</v>
      </c>
      <c r="F4" s="26" t="s">
        <v>6039</v>
      </c>
      <c r="G4" s="26" t="s">
        <v>6040</v>
      </c>
      <c r="H4" s="26" t="s">
        <v>6041</v>
      </c>
      <c r="I4" s="26" t="s">
        <v>6042</v>
      </c>
      <c r="J4" s="26" t="s">
        <v>6043</v>
      </c>
      <c r="K4" s="26" t="s">
        <v>6044</v>
      </c>
      <c r="L4" s="26" t="s">
        <v>6045</v>
      </c>
      <c r="M4" s="26" t="s">
        <v>6046</v>
      </c>
      <c r="N4" s="26" t="s">
        <v>6047</v>
      </c>
      <c r="O4" s="26" t="s">
        <v>6048</v>
      </c>
      <c r="P4" s="26" t="s">
        <v>6049</v>
      </c>
      <c r="Q4" s="26" t="s">
        <v>6050</v>
      </c>
      <c r="R4" s="26" t="s">
        <v>1821</v>
      </c>
      <c r="S4" s="26" t="s">
        <v>1822</v>
      </c>
      <c r="T4" s="26" t="s">
        <v>6051</v>
      </c>
      <c r="U4" s="26" t="s">
        <v>1832</v>
      </c>
      <c r="V4" s="26" t="s">
        <v>6052</v>
      </c>
    </row>
    <row r="5" spans="1:22" ht="71.25">
      <c r="A5" s="7" t="s">
        <v>1851</v>
      </c>
      <c r="B5" s="7" t="s">
        <v>54</v>
      </c>
      <c r="C5" s="7" t="s">
        <v>998</v>
      </c>
      <c r="D5" s="7" t="s">
        <v>1852</v>
      </c>
      <c r="E5" s="7" t="s">
        <v>6053</v>
      </c>
      <c r="F5" s="7" t="s">
        <v>6054</v>
      </c>
      <c r="G5" s="7" t="s">
        <v>6055</v>
      </c>
      <c r="H5" s="7" t="s">
        <v>6056</v>
      </c>
      <c r="I5" s="7" t="s">
        <v>6057</v>
      </c>
      <c r="J5" s="7" t="s">
        <v>6058</v>
      </c>
      <c r="K5" s="7" t="s">
        <v>6059</v>
      </c>
      <c r="L5" s="7">
        <v>3</v>
      </c>
      <c r="M5" s="7">
        <v>3</v>
      </c>
      <c r="N5" s="7">
        <v>2</v>
      </c>
      <c r="O5" s="7">
        <v>2</v>
      </c>
      <c r="P5" s="7">
        <v>1</v>
      </c>
      <c r="Q5" s="7">
        <v>1</v>
      </c>
      <c r="R5" s="7" t="s">
        <v>1854</v>
      </c>
      <c r="S5" s="7" t="s">
        <v>1855</v>
      </c>
      <c r="T5" s="7" t="s">
        <v>1862</v>
      </c>
      <c r="U5" s="7" t="s">
        <v>1863</v>
      </c>
      <c r="V5" s="7" t="s">
        <v>6060</v>
      </c>
    </row>
    <row r="6" spans="1:22" ht="71.25">
      <c r="A6" s="7" t="s">
        <v>1865</v>
      </c>
      <c r="B6" s="7" t="s">
        <v>54</v>
      </c>
      <c r="C6" s="7" t="s">
        <v>998</v>
      </c>
      <c r="D6" s="7" t="s">
        <v>1866</v>
      </c>
      <c r="E6" s="7" t="s">
        <v>6061</v>
      </c>
      <c r="F6" s="7" t="s">
        <v>6062</v>
      </c>
      <c r="G6" s="7" t="s">
        <v>6063</v>
      </c>
      <c r="H6" s="7" t="s">
        <v>6064</v>
      </c>
      <c r="I6" s="7" t="s">
        <v>6065</v>
      </c>
      <c r="J6" s="7" t="s">
        <v>6066</v>
      </c>
      <c r="K6" s="7" t="s">
        <v>6059</v>
      </c>
      <c r="L6" s="7">
        <v>3</v>
      </c>
      <c r="M6" s="7">
        <v>3</v>
      </c>
      <c r="N6" s="7">
        <v>2</v>
      </c>
      <c r="O6" s="7">
        <v>2</v>
      </c>
      <c r="P6" s="7">
        <v>1</v>
      </c>
      <c r="Q6" s="7">
        <v>1</v>
      </c>
      <c r="R6" s="7" t="s">
        <v>1854</v>
      </c>
      <c r="S6" s="7" t="s">
        <v>1867</v>
      </c>
      <c r="T6" s="7" t="s">
        <v>1862</v>
      </c>
      <c r="U6" s="7" t="s">
        <v>1863</v>
      </c>
      <c r="V6" s="7" t="s">
        <v>6067</v>
      </c>
    </row>
    <row r="7" spans="1:22" ht="71.25">
      <c r="A7" s="7" t="s">
        <v>1875</v>
      </c>
      <c r="B7" s="7" t="s">
        <v>54</v>
      </c>
      <c r="C7" s="7" t="s">
        <v>998</v>
      </c>
      <c r="D7" s="7" t="s">
        <v>1876</v>
      </c>
      <c r="E7" s="7" t="s">
        <v>6068</v>
      </c>
      <c r="F7" s="7" t="s">
        <v>6069</v>
      </c>
      <c r="G7" s="7" t="s">
        <v>6070</v>
      </c>
      <c r="H7" s="7" t="s">
        <v>6071</v>
      </c>
      <c r="I7" s="7" t="s">
        <v>6072</v>
      </c>
      <c r="J7" s="7" t="s">
        <v>6073</v>
      </c>
      <c r="K7" s="7" t="s">
        <v>6059</v>
      </c>
      <c r="L7" s="7">
        <v>3</v>
      </c>
      <c r="M7" s="7">
        <v>3</v>
      </c>
      <c r="N7" s="7">
        <v>2</v>
      </c>
      <c r="O7" s="7">
        <v>2</v>
      </c>
      <c r="P7" s="7">
        <v>1</v>
      </c>
      <c r="Q7" s="7">
        <v>1</v>
      </c>
      <c r="R7" s="7" t="s">
        <v>1854</v>
      </c>
      <c r="S7" s="7" t="s">
        <v>1877</v>
      </c>
      <c r="T7" s="7" t="s">
        <v>1862</v>
      </c>
      <c r="U7" s="7" t="s">
        <v>1863</v>
      </c>
      <c r="V7" s="7" t="s">
        <v>6074</v>
      </c>
    </row>
    <row r="8" spans="1:22" ht="71.25">
      <c r="A8" s="7" t="s">
        <v>1885</v>
      </c>
      <c r="B8" s="7" t="s">
        <v>54</v>
      </c>
      <c r="C8" s="7" t="s">
        <v>998</v>
      </c>
      <c r="D8" s="7" t="s">
        <v>1886</v>
      </c>
      <c r="E8" s="7" t="s">
        <v>6075</v>
      </c>
      <c r="F8" s="7" t="s">
        <v>6076</v>
      </c>
      <c r="G8" s="7" t="s">
        <v>6077</v>
      </c>
      <c r="H8" s="7" t="s">
        <v>6078</v>
      </c>
      <c r="I8" s="7" t="s">
        <v>6079</v>
      </c>
      <c r="J8" s="7" t="s">
        <v>6080</v>
      </c>
      <c r="K8" s="7" t="s">
        <v>6059</v>
      </c>
      <c r="L8" s="7">
        <v>3</v>
      </c>
      <c r="M8" s="7">
        <v>3</v>
      </c>
      <c r="N8" s="7">
        <v>2</v>
      </c>
      <c r="O8" s="7">
        <v>2</v>
      </c>
      <c r="P8" s="7">
        <v>1</v>
      </c>
      <c r="Q8" s="7">
        <v>1</v>
      </c>
      <c r="R8" s="7" t="s">
        <v>1854</v>
      </c>
      <c r="S8" s="7" t="s">
        <v>1887</v>
      </c>
      <c r="T8" s="7" t="s">
        <v>1862</v>
      </c>
      <c r="U8" s="7" t="s">
        <v>1863</v>
      </c>
      <c r="V8" s="7" t="s">
        <v>6081</v>
      </c>
    </row>
    <row r="9" spans="1:22" ht="85.5">
      <c r="A9" s="7" t="s">
        <v>1895</v>
      </c>
      <c r="B9" s="7" t="s">
        <v>54</v>
      </c>
      <c r="C9" s="7" t="s">
        <v>998</v>
      </c>
      <c r="D9" s="7" t="s">
        <v>1896</v>
      </c>
      <c r="E9" s="7" t="s">
        <v>6082</v>
      </c>
      <c r="F9" s="7" t="s">
        <v>6083</v>
      </c>
      <c r="G9" s="7" t="s">
        <v>6084</v>
      </c>
      <c r="H9" s="7" t="s">
        <v>6085</v>
      </c>
      <c r="I9" s="7" t="s">
        <v>6086</v>
      </c>
      <c r="J9" s="7" t="s">
        <v>6087</v>
      </c>
      <c r="K9" s="7" t="s">
        <v>6059</v>
      </c>
      <c r="L9" s="7">
        <v>3</v>
      </c>
      <c r="M9" s="7">
        <v>3</v>
      </c>
      <c r="N9" s="7">
        <v>2</v>
      </c>
      <c r="O9" s="7">
        <v>2</v>
      </c>
      <c r="P9" s="7">
        <v>1</v>
      </c>
      <c r="Q9" s="7">
        <v>1</v>
      </c>
      <c r="R9" s="7" t="s">
        <v>1854</v>
      </c>
      <c r="S9" s="7" t="s">
        <v>1897</v>
      </c>
      <c r="T9" s="7" t="s">
        <v>1862</v>
      </c>
      <c r="U9" s="7" t="s">
        <v>1863</v>
      </c>
      <c r="V9" s="7" t="s">
        <v>6088</v>
      </c>
    </row>
    <row r="10" spans="1:22" ht="71.25">
      <c r="A10" s="7" t="s">
        <v>1905</v>
      </c>
      <c r="B10" s="7" t="s">
        <v>54</v>
      </c>
      <c r="C10" s="7" t="s">
        <v>998</v>
      </c>
      <c r="D10" s="7" t="s">
        <v>1906</v>
      </c>
      <c r="E10" s="7" t="s">
        <v>6089</v>
      </c>
      <c r="F10" s="7" t="s">
        <v>6090</v>
      </c>
      <c r="G10" s="7" t="s">
        <v>6091</v>
      </c>
      <c r="H10" s="7" t="s">
        <v>6092</v>
      </c>
      <c r="I10" s="7" t="s">
        <v>6093</v>
      </c>
      <c r="J10" s="7" t="s">
        <v>6094</v>
      </c>
      <c r="K10" s="7" t="s">
        <v>6059</v>
      </c>
      <c r="L10" s="7">
        <v>3</v>
      </c>
      <c r="M10" s="7">
        <v>3</v>
      </c>
      <c r="N10" s="7">
        <v>2</v>
      </c>
      <c r="O10" s="7">
        <v>2</v>
      </c>
      <c r="P10" s="7">
        <v>1</v>
      </c>
      <c r="Q10" s="7">
        <v>1</v>
      </c>
      <c r="R10" s="7" t="s">
        <v>1854</v>
      </c>
      <c r="S10" s="7" t="s">
        <v>1907</v>
      </c>
      <c r="T10" s="7" t="s">
        <v>1862</v>
      </c>
      <c r="U10" s="7" t="s">
        <v>1863</v>
      </c>
      <c r="V10" s="7" t="s">
        <v>6095</v>
      </c>
    </row>
    <row r="11" spans="1:22" ht="85.5">
      <c r="A11" s="7" t="s">
        <v>1915</v>
      </c>
      <c r="B11" s="7" t="s">
        <v>54</v>
      </c>
      <c r="C11" s="7" t="s">
        <v>998</v>
      </c>
      <c r="D11" s="7" t="s">
        <v>1916</v>
      </c>
      <c r="E11" s="7" t="s">
        <v>6096</v>
      </c>
      <c r="F11" s="7" t="s">
        <v>6097</v>
      </c>
      <c r="G11" s="7" t="s">
        <v>6098</v>
      </c>
      <c r="H11" s="7" t="s">
        <v>6099</v>
      </c>
      <c r="I11" s="7" t="s">
        <v>6100</v>
      </c>
      <c r="J11" s="7" t="s">
        <v>6101</v>
      </c>
      <c r="K11" s="7" t="s">
        <v>6059</v>
      </c>
      <c r="L11" s="7">
        <v>4</v>
      </c>
      <c r="M11" s="7">
        <v>4</v>
      </c>
      <c r="N11" s="7">
        <v>3</v>
      </c>
      <c r="O11" s="7">
        <v>2</v>
      </c>
      <c r="P11" s="7">
        <v>1</v>
      </c>
      <c r="Q11" s="7">
        <v>1</v>
      </c>
      <c r="R11" s="7" t="s">
        <v>1854</v>
      </c>
      <c r="S11" s="7" t="s">
        <v>1917</v>
      </c>
      <c r="T11" s="7" t="s">
        <v>1862</v>
      </c>
      <c r="U11" s="7" t="s">
        <v>1863</v>
      </c>
      <c r="V11" s="7" t="s">
        <v>6102</v>
      </c>
    </row>
    <row r="12" spans="1:22" ht="71.25">
      <c r="A12" s="7" t="s">
        <v>1925</v>
      </c>
      <c r="B12" s="7" t="s">
        <v>54</v>
      </c>
      <c r="C12" s="7" t="s">
        <v>1016</v>
      </c>
      <c r="D12" s="7" t="s">
        <v>1926</v>
      </c>
      <c r="E12" s="7" t="s">
        <v>6103</v>
      </c>
      <c r="F12" s="7" t="s">
        <v>6104</v>
      </c>
      <c r="G12" s="7" t="s">
        <v>6105</v>
      </c>
      <c r="H12" s="7" t="s">
        <v>6106</v>
      </c>
      <c r="I12" s="7" t="s">
        <v>6107</v>
      </c>
      <c r="J12" s="7" t="s">
        <v>6108</v>
      </c>
      <c r="K12" s="7" t="s">
        <v>6109</v>
      </c>
      <c r="L12" s="7">
        <v>5</v>
      </c>
      <c r="M12" s="7">
        <v>5</v>
      </c>
      <c r="N12" s="7">
        <v>5</v>
      </c>
      <c r="O12" s="7">
        <v>4</v>
      </c>
      <c r="P12" s="7">
        <v>3</v>
      </c>
      <c r="Q12" s="7">
        <v>1</v>
      </c>
      <c r="R12" s="7" t="s">
        <v>1854</v>
      </c>
      <c r="S12" s="7" t="s">
        <v>1927</v>
      </c>
      <c r="T12" s="7" t="s">
        <v>1862</v>
      </c>
      <c r="U12" s="7" t="s">
        <v>1863</v>
      </c>
      <c r="V12" s="7" t="s">
        <v>6110</v>
      </c>
    </row>
    <row r="13" spans="1:22" ht="85.5">
      <c r="A13" s="7" t="s">
        <v>1935</v>
      </c>
      <c r="B13" s="7" t="s">
        <v>54</v>
      </c>
      <c r="C13" s="7" t="s">
        <v>1016</v>
      </c>
      <c r="D13" s="7" t="s">
        <v>1936</v>
      </c>
      <c r="E13" s="7" t="s">
        <v>6111</v>
      </c>
      <c r="F13" s="7" t="s">
        <v>6112</v>
      </c>
      <c r="G13" s="7" t="s">
        <v>6113</v>
      </c>
      <c r="H13" s="7" t="s">
        <v>6114</v>
      </c>
      <c r="I13" s="7" t="s">
        <v>6115</v>
      </c>
      <c r="J13" s="7" t="s">
        <v>6116</v>
      </c>
      <c r="K13" s="7" t="s">
        <v>6109</v>
      </c>
      <c r="L13" s="7">
        <v>5</v>
      </c>
      <c r="M13" s="7">
        <v>5</v>
      </c>
      <c r="N13" s="7">
        <v>5</v>
      </c>
      <c r="O13" s="7">
        <v>4</v>
      </c>
      <c r="P13" s="7">
        <v>3</v>
      </c>
      <c r="Q13" s="7">
        <v>1</v>
      </c>
      <c r="R13" s="7" t="s">
        <v>1854</v>
      </c>
      <c r="S13" s="7" t="s">
        <v>1937</v>
      </c>
      <c r="T13" s="7" t="s">
        <v>1862</v>
      </c>
      <c r="U13" s="7" t="s">
        <v>1863</v>
      </c>
      <c r="V13" s="7" t="s">
        <v>6117</v>
      </c>
    </row>
    <row r="14" spans="1:22" ht="85.5">
      <c r="A14" s="7" t="s">
        <v>1945</v>
      </c>
      <c r="B14" s="7" t="s">
        <v>54</v>
      </c>
      <c r="C14" s="7" t="s">
        <v>1016</v>
      </c>
      <c r="D14" s="7" t="s">
        <v>1946</v>
      </c>
      <c r="E14" s="7" t="s">
        <v>6118</v>
      </c>
      <c r="F14" s="7" t="s">
        <v>6119</v>
      </c>
      <c r="G14" s="7" t="s">
        <v>6120</v>
      </c>
      <c r="H14" s="7" t="s">
        <v>6121</v>
      </c>
      <c r="I14" s="7" t="s">
        <v>6122</v>
      </c>
      <c r="J14" s="7" t="s">
        <v>6123</v>
      </c>
      <c r="K14" s="7" t="s">
        <v>6109</v>
      </c>
      <c r="L14" s="7">
        <v>5</v>
      </c>
      <c r="M14" s="7">
        <v>5</v>
      </c>
      <c r="N14" s="7">
        <v>5</v>
      </c>
      <c r="O14" s="7">
        <v>4</v>
      </c>
      <c r="P14" s="7">
        <v>3</v>
      </c>
      <c r="Q14" s="7">
        <v>1</v>
      </c>
      <c r="R14" s="7" t="s">
        <v>1854</v>
      </c>
      <c r="S14" s="7" t="s">
        <v>1947</v>
      </c>
      <c r="T14" s="7" t="s">
        <v>1862</v>
      </c>
      <c r="U14" s="7" t="s">
        <v>1863</v>
      </c>
      <c r="V14" s="7" t="s">
        <v>6124</v>
      </c>
    </row>
    <row r="15" spans="1:22" ht="71.25">
      <c r="A15" s="7" t="s">
        <v>1955</v>
      </c>
      <c r="B15" s="7" t="s">
        <v>54</v>
      </c>
      <c r="C15" s="7" t="s">
        <v>1016</v>
      </c>
      <c r="D15" s="7" t="s">
        <v>1956</v>
      </c>
      <c r="E15" s="7" t="s">
        <v>6125</v>
      </c>
      <c r="F15" s="7" t="s">
        <v>6126</v>
      </c>
      <c r="G15" s="7" t="s">
        <v>6127</v>
      </c>
      <c r="H15" s="7" t="s">
        <v>6128</v>
      </c>
      <c r="I15" s="7" t="s">
        <v>6129</v>
      </c>
      <c r="J15" s="7" t="s">
        <v>6130</v>
      </c>
      <c r="K15" s="7" t="s">
        <v>6109</v>
      </c>
      <c r="L15" s="7">
        <v>5</v>
      </c>
      <c r="M15" s="7">
        <v>5</v>
      </c>
      <c r="N15" s="7">
        <v>5</v>
      </c>
      <c r="O15" s="7">
        <v>4</v>
      </c>
      <c r="P15" s="7">
        <v>3</v>
      </c>
      <c r="Q15" s="7">
        <v>1</v>
      </c>
      <c r="R15" s="7" t="s">
        <v>1854</v>
      </c>
      <c r="S15" s="7" t="s">
        <v>1957</v>
      </c>
      <c r="T15" s="7" t="s">
        <v>1862</v>
      </c>
      <c r="U15" s="7" t="s">
        <v>1863</v>
      </c>
      <c r="V15" s="7" t="s">
        <v>6131</v>
      </c>
    </row>
    <row r="16" spans="1:22" ht="71.25">
      <c r="A16" s="7" t="s">
        <v>1965</v>
      </c>
      <c r="B16" s="7" t="s">
        <v>54</v>
      </c>
      <c r="C16" s="7" t="s">
        <v>1016</v>
      </c>
      <c r="D16" s="7" t="s">
        <v>1966</v>
      </c>
      <c r="E16" s="7" t="s">
        <v>6132</v>
      </c>
      <c r="F16" s="7" t="s">
        <v>6133</v>
      </c>
      <c r="G16" s="7" t="s">
        <v>6134</v>
      </c>
      <c r="H16" s="7" t="s">
        <v>6135</v>
      </c>
      <c r="I16" s="7" t="s">
        <v>6136</v>
      </c>
      <c r="J16" s="7" t="s">
        <v>6137</v>
      </c>
      <c r="K16" s="7" t="s">
        <v>6109</v>
      </c>
      <c r="L16" s="7">
        <v>5</v>
      </c>
      <c r="M16" s="7">
        <v>5</v>
      </c>
      <c r="N16" s="7">
        <v>5</v>
      </c>
      <c r="O16" s="7">
        <v>4</v>
      </c>
      <c r="P16" s="7">
        <v>3</v>
      </c>
      <c r="Q16" s="7">
        <v>1</v>
      </c>
      <c r="R16" s="7" t="s">
        <v>1854</v>
      </c>
      <c r="S16" s="7" t="s">
        <v>1967</v>
      </c>
      <c r="T16" s="7" t="s">
        <v>1862</v>
      </c>
      <c r="U16" s="7" t="s">
        <v>1863</v>
      </c>
      <c r="V16" s="7" t="s">
        <v>6138</v>
      </c>
    </row>
    <row r="17" spans="1:22" ht="85.5">
      <c r="A17" s="7" t="s">
        <v>1975</v>
      </c>
      <c r="B17" s="7" t="s">
        <v>54</v>
      </c>
      <c r="C17" s="7" t="s">
        <v>1016</v>
      </c>
      <c r="D17" s="7" t="s">
        <v>1976</v>
      </c>
      <c r="E17" s="7" t="s">
        <v>6139</v>
      </c>
      <c r="F17" s="7" t="s">
        <v>6140</v>
      </c>
      <c r="G17" s="7" t="s">
        <v>6141</v>
      </c>
      <c r="H17" s="7" t="s">
        <v>6142</v>
      </c>
      <c r="I17" s="7" t="s">
        <v>6143</v>
      </c>
      <c r="J17" s="7" t="s">
        <v>6144</v>
      </c>
      <c r="K17" s="7" t="s">
        <v>6109</v>
      </c>
      <c r="L17" s="7">
        <v>5</v>
      </c>
      <c r="M17" s="7">
        <v>5</v>
      </c>
      <c r="N17" s="7">
        <v>5</v>
      </c>
      <c r="O17" s="7">
        <v>4</v>
      </c>
      <c r="P17" s="7">
        <v>3</v>
      </c>
      <c r="Q17" s="7">
        <v>1</v>
      </c>
      <c r="R17" s="7" t="s">
        <v>1854</v>
      </c>
      <c r="S17" s="7" t="s">
        <v>1977</v>
      </c>
      <c r="T17" s="7" t="s">
        <v>1862</v>
      </c>
      <c r="U17" s="7" t="s">
        <v>1863</v>
      </c>
      <c r="V17" s="7" t="s">
        <v>6145</v>
      </c>
    </row>
    <row r="18" spans="1:22" ht="71.25">
      <c r="A18" s="7" t="s">
        <v>1985</v>
      </c>
      <c r="B18" s="7" t="s">
        <v>54</v>
      </c>
      <c r="C18" s="7" t="s">
        <v>1016</v>
      </c>
      <c r="D18" s="7" t="s">
        <v>1986</v>
      </c>
      <c r="E18" s="7" t="s">
        <v>6146</v>
      </c>
      <c r="F18" s="7" t="s">
        <v>6147</v>
      </c>
      <c r="G18" s="7" t="s">
        <v>6148</v>
      </c>
      <c r="H18" s="7" t="s">
        <v>6149</v>
      </c>
      <c r="I18" s="7" t="s">
        <v>6150</v>
      </c>
      <c r="J18" s="7" t="s">
        <v>6151</v>
      </c>
      <c r="K18" s="7" t="s">
        <v>6109</v>
      </c>
      <c r="L18" s="7">
        <v>5</v>
      </c>
      <c r="M18" s="7">
        <v>5</v>
      </c>
      <c r="N18" s="7">
        <v>5</v>
      </c>
      <c r="O18" s="7">
        <v>4</v>
      </c>
      <c r="P18" s="7">
        <v>3</v>
      </c>
      <c r="Q18" s="7">
        <v>1</v>
      </c>
      <c r="R18" s="7" t="s">
        <v>1854</v>
      </c>
      <c r="S18" s="7" t="s">
        <v>1987</v>
      </c>
      <c r="T18" s="7" t="s">
        <v>1862</v>
      </c>
      <c r="U18" s="7" t="s">
        <v>1863</v>
      </c>
      <c r="V18" s="7" t="s">
        <v>6152</v>
      </c>
    </row>
    <row r="19" spans="1:22" ht="85.5">
      <c r="A19" s="7" t="s">
        <v>1995</v>
      </c>
      <c r="B19" s="7" t="s">
        <v>54</v>
      </c>
      <c r="C19" s="7" t="s">
        <v>1024</v>
      </c>
      <c r="D19" s="7" t="s">
        <v>1996</v>
      </c>
      <c r="E19" s="7" t="s">
        <v>6153</v>
      </c>
      <c r="F19" s="7" t="s">
        <v>6154</v>
      </c>
      <c r="G19" s="7" t="s">
        <v>6155</v>
      </c>
      <c r="H19" s="7" t="s">
        <v>6156</v>
      </c>
      <c r="I19" s="7" t="s">
        <v>6157</v>
      </c>
      <c r="J19" s="7" t="s">
        <v>6158</v>
      </c>
      <c r="K19" s="7" t="s">
        <v>6159</v>
      </c>
      <c r="L19" s="7">
        <v>4</v>
      </c>
      <c r="M19" s="7">
        <v>4</v>
      </c>
      <c r="N19" s="7">
        <v>3</v>
      </c>
      <c r="O19" s="7">
        <v>2</v>
      </c>
      <c r="P19" s="7">
        <v>1</v>
      </c>
      <c r="Q19" s="7">
        <v>1</v>
      </c>
      <c r="R19" s="7" t="s">
        <v>1854</v>
      </c>
      <c r="S19" s="7" t="s">
        <v>1997</v>
      </c>
      <c r="T19" s="7" t="s">
        <v>1862</v>
      </c>
      <c r="U19" s="7" t="s">
        <v>1863</v>
      </c>
      <c r="V19" s="7" t="s">
        <v>6160</v>
      </c>
    </row>
    <row r="20" spans="1:22" ht="71.25">
      <c r="A20" s="7" t="s">
        <v>2005</v>
      </c>
      <c r="B20" s="7" t="s">
        <v>54</v>
      </c>
      <c r="C20" s="7" t="s">
        <v>1024</v>
      </c>
      <c r="D20" s="7" t="s">
        <v>2006</v>
      </c>
      <c r="E20" s="7" t="s">
        <v>6161</v>
      </c>
      <c r="F20" s="7" t="s">
        <v>6162</v>
      </c>
      <c r="G20" s="7" t="s">
        <v>6163</v>
      </c>
      <c r="H20" s="7" t="s">
        <v>6164</v>
      </c>
      <c r="I20" s="7" t="s">
        <v>6165</v>
      </c>
      <c r="J20" s="7" t="s">
        <v>6166</v>
      </c>
      <c r="K20" s="7" t="s">
        <v>6159</v>
      </c>
      <c r="L20" s="7">
        <v>4</v>
      </c>
      <c r="M20" s="7">
        <v>4</v>
      </c>
      <c r="N20" s="7">
        <v>3</v>
      </c>
      <c r="O20" s="7">
        <v>2</v>
      </c>
      <c r="P20" s="7">
        <v>1</v>
      </c>
      <c r="Q20" s="7">
        <v>1</v>
      </c>
      <c r="R20" s="7" t="s">
        <v>1854</v>
      </c>
      <c r="S20" s="7" t="s">
        <v>2007</v>
      </c>
      <c r="T20" s="7" t="s">
        <v>1862</v>
      </c>
      <c r="U20" s="7" t="s">
        <v>1863</v>
      </c>
      <c r="V20" s="7" t="s">
        <v>6167</v>
      </c>
    </row>
    <row r="21" spans="1:22" ht="85.5">
      <c r="A21" s="7" t="s">
        <v>2015</v>
      </c>
      <c r="B21" s="7" t="s">
        <v>54</v>
      </c>
      <c r="C21" s="7" t="s">
        <v>1024</v>
      </c>
      <c r="D21" s="7" t="s">
        <v>2016</v>
      </c>
      <c r="E21" s="7" t="s">
        <v>6168</v>
      </c>
      <c r="F21" s="7" t="s">
        <v>6169</v>
      </c>
      <c r="G21" s="7" t="s">
        <v>6170</v>
      </c>
      <c r="H21" s="7" t="s">
        <v>6171</v>
      </c>
      <c r="I21" s="7" t="s">
        <v>6172</v>
      </c>
      <c r="J21" s="7" t="s">
        <v>6173</v>
      </c>
      <c r="K21" s="7" t="s">
        <v>6159</v>
      </c>
      <c r="L21" s="7">
        <v>4</v>
      </c>
      <c r="M21" s="7">
        <v>4</v>
      </c>
      <c r="N21" s="7">
        <v>3</v>
      </c>
      <c r="O21" s="7">
        <v>2</v>
      </c>
      <c r="P21" s="7">
        <v>1</v>
      </c>
      <c r="Q21" s="7">
        <v>1</v>
      </c>
      <c r="R21" s="7" t="s">
        <v>1854</v>
      </c>
      <c r="S21" s="7" t="s">
        <v>2017</v>
      </c>
      <c r="T21" s="7" t="s">
        <v>1862</v>
      </c>
      <c r="U21" s="7" t="s">
        <v>1863</v>
      </c>
      <c r="V21" s="7" t="s">
        <v>6174</v>
      </c>
    </row>
    <row r="22" spans="1:22" ht="85.5">
      <c r="A22" s="7" t="s">
        <v>2025</v>
      </c>
      <c r="B22" s="7" t="s">
        <v>54</v>
      </c>
      <c r="C22" s="7" t="s">
        <v>1024</v>
      </c>
      <c r="D22" s="7" t="s">
        <v>2026</v>
      </c>
      <c r="E22" s="7" t="s">
        <v>6175</v>
      </c>
      <c r="F22" s="7" t="s">
        <v>6176</v>
      </c>
      <c r="G22" s="7" t="s">
        <v>6177</v>
      </c>
      <c r="H22" s="7" t="s">
        <v>6178</v>
      </c>
      <c r="I22" s="7" t="s">
        <v>6179</v>
      </c>
      <c r="J22" s="7" t="s">
        <v>6180</v>
      </c>
      <c r="K22" s="7" t="s">
        <v>6159</v>
      </c>
      <c r="L22" s="7">
        <v>4</v>
      </c>
      <c r="M22" s="7">
        <v>4</v>
      </c>
      <c r="N22" s="7">
        <v>3</v>
      </c>
      <c r="O22" s="7">
        <v>2</v>
      </c>
      <c r="P22" s="7">
        <v>1</v>
      </c>
      <c r="Q22" s="7">
        <v>1</v>
      </c>
      <c r="R22" s="7" t="s">
        <v>1854</v>
      </c>
      <c r="S22" s="7" t="s">
        <v>2027</v>
      </c>
      <c r="T22" s="7" t="s">
        <v>1862</v>
      </c>
      <c r="U22" s="7" t="s">
        <v>1863</v>
      </c>
      <c r="V22" s="7" t="s">
        <v>6181</v>
      </c>
    </row>
    <row r="23" spans="1:22" ht="85.5">
      <c r="A23" s="7" t="s">
        <v>2035</v>
      </c>
      <c r="B23" s="7" t="s">
        <v>54</v>
      </c>
      <c r="C23" s="7" t="s">
        <v>1024</v>
      </c>
      <c r="D23" s="7" t="s">
        <v>2036</v>
      </c>
      <c r="E23" s="7" t="s">
        <v>6182</v>
      </c>
      <c r="F23" s="7" t="s">
        <v>6183</v>
      </c>
      <c r="G23" s="7" t="s">
        <v>6184</v>
      </c>
      <c r="H23" s="7" t="s">
        <v>6185</v>
      </c>
      <c r="I23" s="7" t="s">
        <v>6186</v>
      </c>
      <c r="J23" s="7" t="s">
        <v>6187</v>
      </c>
      <c r="K23" s="7" t="s">
        <v>6159</v>
      </c>
      <c r="L23" s="7">
        <v>4</v>
      </c>
      <c r="M23" s="7">
        <v>4</v>
      </c>
      <c r="N23" s="7">
        <v>3</v>
      </c>
      <c r="O23" s="7">
        <v>2</v>
      </c>
      <c r="P23" s="7">
        <v>1</v>
      </c>
      <c r="Q23" s="7">
        <v>1</v>
      </c>
      <c r="R23" s="7" t="s">
        <v>1854</v>
      </c>
      <c r="S23" s="7" t="s">
        <v>2037</v>
      </c>
      <c r="T23" s="7" t="s">
        <v>1862</v>
      </c>
      <c r="U23" s="7" t="s">
        <v>1863</v>
      </c>
      <c r="V23" s="7" t="s">
        <v>6188</v>
      </c>
    </row>
    <row r="24" spans="1:22" ht="71.25">
      <c r="A24" s="7" t="s">
        <v>2045</v>
      </c>
      <c r="B24" s="7" t="s">
        <v>54</v>
      </c>
      <c r="C24" s="7" t="s">
        <v>1024</v>
      </c>
      <c r="D24" s="7" t="s">
        <v>2046</v>
      </c>
      <c r="E24" s="7" t="s">
        <v>6189</v>
      </c>
      <c r="F24" s="7" t="s">
        <v>6190</v>
      </c>
      <c r="G24" s="7" t="s">
        <v>6191</v>
      </c>
      <c r="H24" s="7" t="s">
        <v>6192</v>
      </c>
      <c r="I24" s="7" t="s">
        <v>6193</v>
      </c>
      <c r="J24" s="7" t="s">
        <v>6194</v>
      </c>
      <c r="K24" s="7" t="s">
        <v>6159</v>
      </c>
      <c r="L24" s="7">
        <v>4</v>
      </c>
      <c r="M24" s="7">
        <v>4</v>
      </c>
      <c r="N24" s="7">
        <v>3</v>
      </c>
      <c r="O24" s="7">
        <v>2</v>
      </c>
      <c r="P24" s="7">
        <v>1</v>
      </c>
      <c r="Q24" s="7">
        <v>1</v>
      </c>
      <c r="R24" s="7" t="s">
        <v>1854</v>
      </c>
      <c r="S24" s="7" t="s">
        <v>2047</v>
      </c>
      <c r="T24" s="7" t="s">
        <v>1862</v>
      </c>
      <c r="U24" s="7" t="s">
        <v>1863</v>
      </c>
      <c r="V24" s="7" t="s">
        <v>6195</v>
      </c>
    </row>
    <row r="25" spans="1:22" ht="85.5">
      <c r="A25" s="7" t="s">
        <v>2057</v>
      </c>
      <c r="B25" s="7" t="s">
        <v>57</v>
      </c>
      <c r="C25" s="7" t="s">
        <v>1032</v>
      </c>
      <c r="D25" s="7" t="s">
        <v>2058</v>
      </c>
      <c r="E25" s="7" t="s">
        <v>6196</v>
      </c>
      <c r="F25" s="7" t="s">
        <v>6197</v>
      </c>
      <c r="G25" s="7" t="s">
        <v>6198</v>
      </c>
      <c r="H25" s="7" t="s">
        <v>6199</v>
      </c>
      <c r="I25" s="7" t="s">
        <v>6200</v>
      </c>
      <c r="J25" s="7" t="s">
        <v>6201</v>
      </c>
      <c r="K25" s="7" t="s">
        <v>6202</v>
      </c>
      <c r="L25" s="7">
        <v>5</v>
      </c>
      <c r="M25" s="7">
        <v>5</v>
      </c>
      <c r="N25" s="7">
        <v>4</v>
      </c>
      <c r="O25" s="7">
        <v>3</v>
      </c>
      <c r="P25" s="7">
        <v>2</v>
      </c>
      <c r="Q25" s="7">
        <v>1</v>
      </c>
      <c r="R25" s="7" t="s">
        <v>2060</v>
      </c>
      <c r="S25" s="7" t="s">
        <v>2061</v>
      </c>
      <c r="T25" s="7" t="s">
        <v>2068</v>
      </c>
      <c r="U25" s="7" t="s">
        <v>2069</v>
      </c>
      <c r="V25" s="7" t="s">
        <v>6203</v>
      </c>
    </row>
    <row r="26" spans="1:22" ht="71.25">
      <c r="A26" s="7" t="s">
        <v>2071</v>
      </c>
      <c r="B26" s="7" t="s">
        <v>57</v>
      </c>
      <c r="C26" s="7" t="s">
        <v>1032</v>
      </c>
      <c r="D26" s="7" t="s">
        <v>2072</v>
      </c>
      <c r="E26" s="7" t="s">
        <v>6204</v>
      </c>
      <c r="F26" s="7" t="s">
        <v>6205</v>
      </c>
      <c r="G26" s="7" t="s">
        <v>6206</v>
      </c>
      <c r="H26" s="7" t="s">
        <v>6207</v>
      </c>
      <c r="I26" s="7" t="s">
        <v>6208</v>
      </c>
      <c r="J26" s="7" t="s">
        <v>6209</v>
      </c>
      <c r="K26" s="7" t="s">
        <v>6202</v>
      </c>
      <c r="L26" s="7">
        <v>5</v>
      </c>
      <c r="M26" s="7">
        <v>5</v>
      </c>
      <c r="N26" s="7">
        <v>4</v>
      </c>
      <c r="O26" s="7">
        <v>3</v>
      </c>
      <c r="P26" s="7">
        <v>2</v>
      </c>
      <c r="Q26" s="7">
        <v>1</v>
      </c>
      <c r="R26" s="7" t="s">
        <v>2060</v>
      </c>
      <c r="S26" s="7" t="s">
        <v>2073</v>
      </c>
      <c r="T26" s="7" t="s">
        <v>2068</v>
      </c>
      <c r="U26" s="7" t="s">
        <v>2069</v>
      </c>
      <c r="V26" s="7" t="s">
        <v>6210</v>
      </c>
    </row>
    <row r="27" spans="1:22" ht="85.5">
      <c r="A27" s="7" t="s">
        <v>2081</v>
      </c>
      <c r="B27" s="7" t="s">
        <v>57</v>
      </c>
      <c r="C27" s="7" t="s">
        <v>1032</v>
      </c>
      <c r="D27" s="7" t="s">
        <v>2082</v>
      </c>
      <c r="E27" s="7" t="s">
        <v>6211</v>
      </c>
      <c r="F27" s="7" t="s">
        <v>6212</v>
      </c>
      <c r="G27" s="7" t="s">
        <v>6213</v>
      </c>
      <c r="H27" s="7" t="s">
        <v>6214</v>
      </c>
      <c r="I27" s="7" t="s">
        <v>6215</v>
      </c>
      <c r="J27" s="7" t="s">
        <v>6216</v>
      </c>
      <c r="K27" s="7" t="s">
        <v>6202</v>
      </c>
      <c r="L27" s="7">
        <v>5</v>
      </c>
      <c r="M27" s="7">
        <v>5</v>
      </c>
      <c r="N27" s="7">
        <v>4</v>
      </c>
      <c r="O27" s="7">
        <v>3</v>
      </c>
      <c r="P27" s="7">
        <v>2</v>
      </c>
      <c r="Q27" s="7">
        <v>1</v>
      </c>
      <c r="R27" s="7" t="s">
        <v>2060</v>
      </c>
      <c r="S27" s="7" t="s">
        <v>2083</v>
      </c>
      <c r="T27" s="7" t="s">
        <v>2068</v>
      </c>
      <c r="U27" s="7" t="s">
        <v>2069</v>
      </c>
      <c r="V27" s="7" t="s">
        <v>6217</v>
      </c>
    </row>
    <row r="28" spans="1:22" ht="85.5">
      <c r="A28" s="7" t="s">
        <v>2091</v>
      </c>
      <c r="B28" s="7" t="s">
        <v>57</v>
      </c>
      <c r="C28" s="7" t="s">
        <v>1032</v>
      </c>
      <c r="D28" s="7" t="s">
        <v>2092</v>
      </c>
      <c r="E28" s="7" t="s">
        <v>6218</v>
      </c>
      <c r="F28" s="7" t="s">
        <v>6219</v>
      </c>
      <c r="G28" s="7" t="s">
        <v>6220</v>
      </c>
      <c r="H28" s="7" t="s">
        <v>6221</v>
      </c>
      <c r="I28" s="7" t="s">
        <v>6222</v>
      </c>
      <c r="J28" s="7" t="s">
        <v>6223</v>
      </c>
      <c r="K28" s="7" t="s">
        <v>6202</v>
      </c>
      <c r="L28" s="7">
        <v>5</v>
      </c>
      <c r="M28" s="7">
        <v>5</v>
      </c>
      <c r="N28" s="7">
        <v>4</v>
      </c>
      <c r="O28" s="7">
        <v>3</v>
      </c>
      <c r="P28" s="7">
        <v>2</v>
      </c>
      <c r="Q28" s="7">
        <v>1</v>
      </c>
      <c r="R28" s="7" t="s">
        <v>2060</v>
      </c>
      <c r="S28" s="7" t="s">
        <v>2093</v>
      </c>
      <c r="T28" s="7" t="s">
        <v>2068</v>
      </c>
      <c r="U28" s="7" t="s">
        <v>2069</v>
      </c>
      <c r="V28" s="7" t="s">
        <v>6224</v>
      </c>
    </row>
    <row r="29" spans="1:22" ht="85.5">
      <c r="A29" s="7" t="s">
        <v>2101</v>
      </c>
      <c r="B29" s="7" t="s">
        <v>57</v>
      </c>
      <c r="C29" s="7" t="s">
        <v>1032</v>
      </c>
      <c r="D29" s="7" t="s">
        <v>2102</v>
      </c>
      <c r="E29" s="7" t="s">
        <v>6225</v>
      </c>
      <c r="F29" s="7" t="s">
        <v>6226</v>
      </c>
      <c r="G29" s="7" t="s">
        <v>6227</v>
      </c>
      <c r="H29" s="7" t="s">
        <v>6228</v>
      </c>
      <c r="I29" s="7" t="s">
        <v>6229</v>
      </c>
      <c r="J29" s="7" t="s">
        <v>6230</v>
      </c>
      <c r="K29" s="7" t="s">
        <v>6202</v>
      </c>
      <c r="L29" s="7">
        <v>5</v>
      </c>
      <c r="M29" s="7">
        <v>5</v>
      </c>
      <c r="N29" s="7">
        <v>4</v>
      </c>
      <c r="O29" s="7">
        <v>3</v>
      </c>
      <c r="P29" s="7">
        <v>2</v>
      </c>
      <c r="Q29" s="7">
        <v>1</v>
      </c>
      <c r="R29" s="7" t="s">
        <v>2060</v>
      </c>
      <c r="S29" s="7" t="s">
        <v>2103</v>
      </c>
      <c r="T29" s="7" t="s">
        <v>2068</v>
      </c>
      <c r="U29" s="7" t="s">
        <v>2069</v>
      </c>
      <c r="V29" s="7" t="s">
        <v>6231</v>
      </c>
    </row>
    <row r="30" spans="1:22" ht="85.5">
      <c r="A30" s="7" t="s">
        <v>2111</v>
      </c>
      <c r="B30" s="7" t="s">
        <v>57</v>
      </c>
      <c r="C30" s="7" t="s">
        <v>1032</v>
      </c>
      <c r="D30" s="7" t="s">
        <v>2112</v>
      </c>
      <c r="E30" s="7" t="s">
        <v>6232</v>
      </c>
      <c r="F30" s="7" t="s">
        <v>6233</v>
      </c>
      <c r="G30" s="7" t="s">
        <v>6234</v>
      </c>
      <c r="H30" s="7" t="s">
        <v>6235</v>
      </c>
      <c r="I30" s="7" t="s">
        <v>6236</v>
      </c>
      <c r="J30" s="7" t="s">
        <v>6237</v>
      </c>
      <c r="K30" s="7" t="s">
        <v>6202</v>
      </c>
      <c r="L30" s="7">
        <v>5</v>
      </c>
      <c r="M30" s="7">
        <v>5</v>
      </c>
      <c r="N30" s="7">
        <v>4</v>
      </c>
      <c r="O30" s="7">
        <v>3</v>
      </c>
      <c r="P30" s="7">
        <v>2</v>
      </c>
      <c r="Q30" s="7">
        <v>1</v>
      </c>
      <c r="R30" s="7" t="s">
        <v>2060</v>
      </c>
      <c r="S30" s="7" t="s">
        <v>2113</v>
      </c>
      <c r="T30" s="7" t="s">
        <v>2068</v>
      </c>
      <c r="U30" s="7" t="s">
        <v>2069</v>
      </c>
      <c r="V30" s="7" t="s">
        <v>6238</v>
      </c>
    </row>
    <row r="31" spans="1:22" ht="85.5">
      <c r="A31" s="7" t="s">
        <v>2121</v>
      </c>
      <c r="B31" s="7" t="s">
        <v>57</v>
      </c>
      <c r="C31" s="7" t="s">
        <v>1048</v>
      </c>
      <c r="D31" s="7" t="s">
        <v>2122</v>
      </c>
      <c r="E31" s="7" t="s">
        <v>6239</v>
      </c>
      <c r="F31" s="7" t="s">
        <v>6240</v>
      </c>
      <c r="G31" s="7" t="s">
        <v>6241</v>
      </c>
      <c r="H31" s="7" t="s">
        <v>6242</v>
      </c>
      <c r="I31" s="7" t="s">
        <v>6243</v>
      </c>
      <c r="J31" s="7" t="s">
        <v>6244</v>
      </c>
      <c r="K31" s="7" t="s">
        <v>6245</v>
      </c>
      <c r="L31" s="7">
        <v>4</v>
      </c>
      <c r="M31" s="7">
        <v>4</v>
      </c>
      <c r="N31" s="7">
        <v>3</v>
      </c>
      <c r="O31" s="7">
        <v>2</v>
      </c>
      <c r="P31" s="7">
        <v>1</v>
      </c>
      <c r="Q31" s="7">
        <v>1</v>
      </c>
      <c r="R31" s="7" t="s">
        <v>2060</v>
      </c>
      <c r="S31" s="7" t="s">
        <v>2123</v>
      </c>
      <c r="T31" s="7" t="s">
        <v>2068</v>
      </c>
      <c r="U31" s="7" t="s">
        <v>2069</v>
      </c>
      <c r="V31" s="7" t="s">
        <v>6246</v>
      </c>
    </row>
    <row r="32" spans="1:22" ht="85.5">
      <c r="A32" s="7" t="s">
        <v>2131</v>
      </c>
      <c r="B32" s="7" t="s">
        <v>57</v>
      </c>
      <c r="C32" s="7" t="s">
        <v>1048</v>
      </c>
      <c r="D32" s="7" t="s">
        <v>2132</v>
      </c>
      <c r="E32" s="7" t="s">
        <v>6247</v>
      </c>
      <c r="F32" s="7" t="s">
        <v>6248</v>
      </c>
      <c r="G32" s="7" t="s">
        <v>6249</v>
      </c>
      <c r="H32" s="7" t="s">
        <v>6250</v>
      </c>
      <c r="I32" s="7" t="s">
        <v>6251</v>
      </c>
      <c r="J32" s="7" t="s">
        <v>6252</v>
      </c>
      <c r="K32" s="7" t="s">
        <v>6245</v>
      </c>
      <c r="L32" s="7">
        <v>4</v>
      </c>
      <c r="M32" s="7">
        <v>4</v>
      </c>
      <c r="N32" s="7">
        <v>3</v>
      </c>
      <c r="O32" s="7">
        <v>2</v>
      </c>
      <c r="P32" s="7">
        <v>1</v>
      </c>
      <c r="Q32" s="7">
        <v>1</v>
      </c>
      <c r="R32" s="7" t="s">
        <v>2060</v>
      </c>
      <c r="S32" s="7" t="s">
        <v>2133</v>
      </c>
      <c r="T32" s="7" t="s">
        <v>2068</v>
      </c>
      <c r="U32" s="7" t="s">
        <v>2069</v>
      </c>
      <c r="V32" s="7" t="s">
        <v>6253</v>
      </c>
    </row>
    <row r="33" spans="1:22" ht="85.5">
      <c r="A33" s="7" t="s">
        <v>2141</v>
      </c>
      <c r="B33" s="7" t="s">
        <v>57</v>
      </c>
      <c r="C33" s="7" t="s">
        <v>1048</v>
      </c>
      <c r="D33" s="7" t="s">
        <v>2142</v>
      </c>
      <c r="E33" s="7" t="s">
        <v>6254</v>
      </c>
      <c r="F33" s="7" t="s">
        <v>6255</v>
      </c>
      <c r="G33" s="7" t="s">
        <v>6256</v>
      </c>
      <c r="H33" s="7" t="s">
        <v>6257</v>
      </c>
      <c r="I33" s="7" t="s">
        <v>6258</v>
      </c>
      <c r="J33" s="7" t="s">
        <v>6259</v>
      </c>
      <c r="K33" s="7" t="s">
        <v>6245</v>
      </c>
      <c r="L33" s="7">
        <v>4</v>
      </c>
      <c r="M33" s="7">
        <v>4</v>
      </c>
      <c r="N33" s="7">
        <v>3</v>
      </c>
      <c r="O33" s="7">
        <v>2</v>
      </c>
      <c r="P33" s="7">
        <v>1</v>
      </c>
      <c r="Q33" s="7">
        <v>1</v>
      </c>
      <c r="R33" s="7" t="s">
        <v>2060</v>
      </c>
      <c r="S33" s="7" t="s">
        <v>2143</v>
      </c>
      <c r="T33" s="7" t="s">
        <v>2068</v>
      </c>
      <c r="U33" s="7" t="s">
        <v>2069</v>
      </c>
      <c r="V33" s="7" t="s">
        <v>6260</v>
      </c>
    </row>
    <row r="34" spans="1:22" ht="85.5">
      <c r="A34" s="7" t="s">
        <v>2151</v>
      </c>
      <c r="B34" s="7" t="s">
        <v>57</v>
      </c>
      <c r="C34" s="7" t="s">
        <v>1048</v>
      </c>
      <c r="D34" s="7" t="s">
        <v>2152</v>
      </c>
      <c r="E34" s="7" t="s">
        <v>6261</v>
      </c>
      <c r="F34" s="7" t="s">
        <v>6262</v>
      </c>
      <c r="G34" s="7" t="s">
        <v>6263</v>
      </c>
      <c r="H34" s="7" t="s">
        <v>6264</v>
      </c>
      <c r="I34" s="7" t="s">
        <v>6265</v>
      </c>
      <c r="J34" s="7" t="s">
        <v>6266</v>
      </c>
      <c r="K34" s="7" t="s">
        <v>6245</v>
      </c>
      <c r="L34" s="7">
        <v>5</v>
      </c>
      <c r="M34" s="7">
        <v>5</v>
      </c>
      <c r="N34" s="7">
        <v>4</v>
      </c>
      <c r="O34" s="7">
        <v>3</v>
      </c>
      <c r="P34" s="7">
        <v>2</v>
      </c>
      <c r="Q34" s="7">
        <v>1</v>
      </c>
      <c r="R34" s="7" t="s">
        <v>2060</v>
      </c>
      <c r="S34" s="7" t="s">
        <v>2153</v>
      </c>
      <c r="T34" s="7" t="s">
        <v>2068</v>
      </c>
      <c r="U34" s="7" t="s">
        <v>2069</v>
      </c>
      <c r="V34" s="7" t="s">
        <v>6267</v>
      </c>
    </row>
    <row r="35" spans="1:22" ht="85.5">
      <c r="A35" s="7" t="s">
        <v>2161</v>
      </c>
      <c r="B35" s="7" t="s">
        <v>57</v>
      </c>
      <c r="C35" s="7" t="s">
        <v>1048</v>
      </c>
      <c r="D35" s="7" t="s">
        <v>2162</v>
      </c>
      <c r="E35" s="7" t="s">
        <v>6268</v>
      </c>
      <c r="F35" s="7" t="s">
        <v>6269</v>
      </c>
      <c r="G35" s="7" t="s">
        <v>6270</v>
      </c>
      <c r="H35" s="7" t="s">
        <v>6271</v>
      </c>
      <c r="I35" s="7" t="s">
        <v>6272</v>
      </c>
      <c r="J35" s="7" t="s">
        <v>6273</v>
      </c>
      <c r="K35" s="7" t="s">
        <v>6245</v>
      </c>
      <c r="L35" s="7">
        <v>4</v>
      </c>
      <c r="M35" s="7">
        <v>4</v>
      </c>
      <c r="N35" s="7">
        <v>3</v>
      </c>
      <c r="O35" s="7">
        <v>2</v>
      </c>
      <c r="P35" s="7">
        <v>1</v>
      </c>
      <c r="Q35" s="7">
        <v>1</v>
      </c>
      <c r="R35" s="7" t="s">
        <v>2060</v>
      </c>
      <c r="S35" s="7" t="s">
        <v>2163</v>
      </c>
      <c r="T35" s="7" t="s">
        <v>2068</v>
      </c>
      <c r="U35" s="7" t="s">
        <v>2069</v>
      </c>
      <c r="V35" s="7" t="s">
        <v>6274</v>
      </c>
    </row>
    <row r="36" spans="1:22" ht="85.5">
      <c r="A36" s="7" t="s">
        <v>2171</v>
      </c>
      <c r="B36" s="7" t="s">
        <v>57</v>
      </c>
      <c r="C36" s="7" t="s">
        <v>1048</v>
      </c>
      <c r="D36" s="7" t="s">
        <v>2172</v>
      </c>
      <c r="E36" s="7" t="s">
        <v>6275</v>
      </c>
      <c r="F36" s="7" t="s">
        <v>6276</v>
      </c>
      <c r="G36" s="7" t="s">
        <v>6277</v>
      </c>
      <c r="H36" s="7" t="s">
        <v>6278</v>
      </c>
      <c r="I36" s="7" t="s">
        <v>6279</v>
      </c>
      <c r="J36" s="7" t="s">
        <v>6280</v>
      </c>
      <c r="K36" s="7" t="s">
        <v>6245</v>
      </c>
      <c r="L36" s="7">
        <v>4</v>
      </c>
      <c r="M36" s="7">
        <v>4</v>
      </c>
      <c r="N36" s="7">
        <v>3</v>
      </c>
      <c r="O36" s="7">
        <v>2</v>
      </c>
      <c r="P36" s="7">
        <v>1</v>
      </c>
      <c r="Q36" s="7">
        <v>1</v>
      </c>
      <c r="R36" s="7" t="s">
        <v>2060</v>
      </c>
      <c r="S36" s="7" t="s">
        <v>2173</v>
      </c>
      <c r="T36" s="7" t="s">
        <v>2068</v>
      </c>
      <c r="U36" s="7" t="s">
        <v>2069</v>
      </c>
      <c r="V36" s="7" t="s">
        <v>6281</v>
      </c>
    </row>
    <row r="37" spans="1:22" ht="85.5">
      <c r="A37" s="7" t="s">
        <v>2181</v>
      </c>
      <c r="B37" s="7" t="s">
        <v>57</v>
      </c>
      <c r="C37" s="7" t="s">
        <v>1059</v>
      </c>
      <c r="D37" s="7" t="s">
        <v>2182</v>
      </c>
      <c r="E37" s="7" t="s">
        <v>6282</v>
      </c>
      <c r="F37" s="7" t="s">
        <v>6283</v>
      </c>
      <c r="G37" s="7" t="s">
        <v>6284</v>
      </c>
      <c r="H37" s="7" t="s">
        <v>6285</v>
      </c>
      <c r="I37" s="7" t="s">
        <v>6286</v>
      </c>
      <c r="J37" s="7" t="s">
        <v>6287</v>
      </c>
      <c r="K37" s="7" t="s">
        <v>6288</v>
      </c>
      <c r="L37" s="7">
        <v>5</v>
      </c>
      <c r="M37" s="7">
        <v>5</v>
      </c>
      <c r="N37" s="7">
        <v>4</v>
      </c>
      <c r="O37" s="7">
        <v>3</v>
      </c>
      <c r="P37" s="7">
        <v>2</v>
      </c>
      <c r="Q37" s="7">
        <v>1</v>
      </c>
      <c r="R37" s="7" t="s">
        <v>2060</v>
      </c>
      <c r="S37" s="7" t="s">
        <v>2183</v>
      </c>
      <c r="T37" s="7" t="s">
        <v>2068</v>
      </c>
      <c r="U37" s="7" t="s">
        <v>2069</v>
      </c>
      <c r="V37" s="7" t="s">
        <v>6289</v>
      </c>
    </row>
    <row r="38" spans="1:22" ht="85.5">
      <c r="A38" s="7" t="s">
        <v>2191</v>
      </c>
      <c r="B38" s="7" t="s">
        <v>57</v>
      </c>
      <c r="C38" s="7" t="s">
        <v>1059</v>
      </c>
      <c r="D38" s="7" t="s">
        <v>2192</v>
      </c>
      <c r="E38" s="7" t="s">
        <v>6290</v>
      </c>
      <c r="F38" s="7" t="s">
        <v>6291</v>
      </c>
      <c r="G38" s="7" t="s">
        <v>6292</v>
      </c>
      <c r="H38" s="7" t="s">
        <v>6293</v>
      </c>
      <c r="I38" s="7" t="s">
        <v>6294</v>
      </c>
      <c r="J38" s="7" t="s">
        <v>6295</v>
      </c>
      <c r="K38" s="7" t="s">
        <v>6288</v>
      </c>
      <c r="L38" s="7">
        <v>4</v>
      </c>
      <c r="M38" s="7">
        <v>4</v>
      </c>
      <c r="N38" s="7">
        <v>3</v>
      </c>
      <c r="O38" s="7">
        <v>2</v>
      </c>
      <c r="P38" s="7">
        <v>1</v>
      </c>
      <c r="Q38" s="7">
        <v>1</v>
      </c>
      <c r="R38" s="7" t="s">
        <v>2060</v>
      </c>
      <c r="S38" s="7" t="s">
        <v>2193</v>
      </c>
      <c r="T38" s="7" t="s">
        <v>2068</v>
      </c>
      <c r="U38" s="7" t="s">
        <v>2069</v>
      </c>
      <c r="V38" s="7" t="s">
        <v>6296</v>
      </c>
    </row>
    <row r="39" spans="1:22" ht="85.5">
      <c r="A39" s="7" t="s">
        <v>2201</v>
      </c>
      <c r="B39" s="7" t="s">
        <v>57</v>
      </c>
      <c r="C39" s="7" t="s">
        <v>1059</v>
      </c>
      <c r="D39" s="7" t="s">
        <v>2202</v>
      </c>
      <c r="E39" s="7" t="s">
        <v>6297</v>
      </c>
      <c r="F39" s="7" t="s">
        <v>6298</v>
      </c>
      <c r="G39" s="7" t="s">
        <v>6299</v>
      </c>
      <c r="H39" s="7" t="s">
        <v>6300</v>
      </c>
      <c r="I39" s="7" t="s">
        <v>6301</v>
      </c>
      <c r="J39" s="7" t="s">
        <v>6302</v>
      </c>
      <c r="K39" s="7" t="s">
        <v>6288</v>
      </c>
      <c r="L39" s="7">
        <v>4</v>
      </c>
      <c r="M39" s="7">
        <v>4</v>
      </c>
      <c r="N39" s="7">
        <v>3</v>
      </c>
      <c r="O39" s="7">
        <v>2</v>
      </c>
      <c r="P39" s="7">
        <v>1</v>
      </c>
      <c r="Q39" s="7">
        <v>1</v>
      </c>
      <c r="R39" s="7" t="s">
        <v>2060</v>
      </c>
      <c r="S39" s="7" t="s">
        <v>2203</v>
      </c>
      <c r="T39" s="7" t="s">
        <v>2068</v>
      </c>
      <c r="U39" s="7" t="s">
        <v>2069</v>
      </c>
      <c r="V39" s="7" t="s">
        <v>6303</v>
      </c>
    </row>
    <row r="40" spans="1:22" ht="85.5">
      <c r="A40" s="7" t="s">
        <v>2211</v>
      </c>
      <c r="B40" s="7" t="s">
        <v>57</v>
      </c>
      <c r="C40" s="7" t="s">
        <v>1059</v>
      </c>
      <c r="D40" s="7" t="s">
        <v>2212</v>
      </c>
      <c r="E40" s="7" t="s">
        <v>6304</v>
      </c>
      <c r="F40" s="7" t="s">
        <v>6305</v>
      </c>
      <c r="G40" s="7" t="s">
        <v>6306</v>
      </c>
      <c r="H40" s="7" t="s">
        <v>6307</v>
      </c>
      <c r="I40" s="7" t="s">
        <v>6308</v>
      </c>
      <c r="J40" s="7" t="s">
        <v>6309</v>
      </c>
      <c r="K40" s="7" t="s">
        <v>6288</v>
      </c>
      <c r="L40" s="7">
        <v>4</v>
      </c>
      <c r="M40" s="7">
        <v>4</v>
      </c>
      <c r="N40" s="7">
        <v>3</v>
      </c>
      <c r="O40" s="7">
        <v>2</v>
      </c>
      <c r="P40" s="7">
        <v>1</v>
      </c>
      <c r="Q40" s="7">
        <v>1</v>
      </c>
      <c r="R40" s="7" t="s">
        <v>2060</v>
      </c>
      <c r="S40" s="7" t="s">
        <v>2213</v>
      </c>
      <c r="T40" s="7" t="s">
        <v>2068</v>
      </c>
      <c r="U40" s="7" t="s">
        <v>2069</v>
      </c>
      <c r="V40" s="7" t="s">
        <v>6310</v>
      </c>
    </row>
    <row r="41" spans="1:22" ht="85.5">
      <c r="A41" s="7" t="s">
        <v>2221</v>
      </c>
      <c r="B41" s="7" t="s">
        <v>57</v>
      </c>
      <c r="C41" s="7" t="s">
        <v>1059</v>
      </c>
      <c r="D41" s="7" t="s">
        <v>2222</v>
      </c>
      <c r="E41" s="7" t="s">
        <v>6311</v>
      </c>
      <c r="F41" s="7" t="s">
        <v>6312</v>
      </c>
      <c r="G41" s="7" t="s">
        <v>6313</v>
      </c>
      <c r="H41" s="7" t="s">
        <v>6314</v>
      </c>
      <c r="I41" s="7" t="s">
        <v>6315</v>
      </c>
      <c r="J41" s="7" t="s">
        <v>6316</v>
      </c>
      <c r="K41" s="7" t="s">
        <v>6288</v>
      </c>
      <c r="L41" s="7">
        <v>4</v>
      </c>
      <c r="M41" s="7">
        <v>4</v>
      </c>
      <c r="N41" s="7">
        <v>3</v>
      </c>
      <c r="O41" s="7">
        <v>2</v>
      </c>
      <c r="P41" s="7">
        <v>1</v>
      </c>
      <c r="Q41" s="7">
        <v>1</v>
      </c>
      <c r="R41" s="7" t="s">
        <v>2060</v>
      </c>
      <c r="S41" s="7" t="s">
        <v>2223</v>
      </c>
      <c r="T41" s="7" t="s">
        <v>2068</v>
      </c>
      <c r="U41" s="7" t="s">
        <v>2069</v>
      </c>
      <c r="V41" s="7" t="s">
        <v>6317</v>
      </c>
    </row>
    <row r="42" spans="1:22" ht="85.5">
      <c r="A42" s="7" t="s">
        <v>2231</v>
      </c>
      <c r="B42" s="7" t="s">
        <v>57</v>
      </c>
      <c r="C42" s="7" t="s">
        <v>1059</v>
      </c>
      <c r="D42" s="7" t="s">
        <v>2232</v>
      </c>
      <c r="E42" s="7" t="s">
        <v>6318</v>
      </c>
      <c r="F42" s="7" t="s">
        <v>6319</v>
      </c>
      <c r="G42" s="7" t="s">
        <v>6320</v>
      </c>
      <c r="H42" s="7" t="s">
        <v>6321</v>
      </c>
      <c r="I42" s="7" t="s">
        <v>6322</v>
      </c>
      <c r="J42" s="7" t="s">
        <v>6323</v>
      </c>
      <c r="K42" s="7" t="s">
        <v>6288</v>
      </c>
      <c r="L42" s="7">
        <v>4</v>
      </c>
      <c r="M42" s="7">
        <v>4</v>
      </c>
      <c r="N42" s="7">
        <v>3</v>
      </c>
      <c r="O42" s="7">
        <v>2</v>
      </c>
      <c r="P42" s="7">
        <v>1</v>
      </c>
      <c r="Q42" s="7">
        <v>1</v>
      </c>
      <c r="R42" s="7" t="s">
        <v>2060</v>
      </c>
      <c r="S42" s="7" t="s">
        <v>2233</v>
      </c>
      <c r="T42" s="7" t="s">
        <v>2068</v>
      </c>
      <c r="U42" s="7" t="s">
        <v>2069</v>
      </c>
      <c r="V42" s="7" t="s">
        <v>6324</v>
      </c>
    </row>
    <row r="43" spans="1:22" ht="85.5">
      <c r="A43" s="7" t="s">
        <v>2241</v>
      </c>
      <c r="B43" s="7" t="s">
        <v>57</v>
      </c>
      <c r="C43" s="7" t="s">
        <v>1067</v>
      </c>
      <c r="D43" s="7" t="s">
        <v>2242</v>
      </c>
      <c r="E43" s="7" t="s">
        <v>6325</v>
      </c>
      <c r="F43" s="7" t="s">
        <v>6326</v>
      </c>
      <c r="G43" s="7" t="s">
        <v>6327</v>
      </c>
      <c r="H43" s="7" t="s">
        <v>6328</v>
      </c>
      <c r="I43" s="7" t="s">
        <v>6329</v>
      </c>
      <c r="J43" s="7" t="s">
        <v>6330</v>
      </c>
      <c r="K43" s="7" t="s">
        <v>6331</v>
      </c>
      <c r="L43" s="7">
        <v>4</v>
      </c>
      <c r="M43" s="7">
        <v>4</v>
      </c>
      <c r="N43" s="7">
        <v>3</v>
      </c>
      <c r="O43" s="7">
        <v>2</v>
      </c>
      <c r="P43" s="7">
        <v>1</v>
      </c>
      <c r="Q43" s="7">
        <v>1</v>
      </c>
      <c r="R43" s="7" t="s">
        <v>2060</v>
      </c>
      <c r="S43" s="7" t="s">
        <v>2243</v>
      </c>
      <c r="T43" s="7" t="s">
        <v>2068</v>
      </c>
      <c r="U43" s="7" t="s">
        <v>2069</v>
      </c>
      <c r="V43" s="7" t="s">
        <v>6332</v>
      </c>
    </row>
    <row r="44" spans="1:22" ht="85.5">
      <c r="A44" s="7" t="s">
        <v>2251</v>
      </c>
      <c r="B44" s="7" t="s">
        <v>57</v>
      </c>
      <c r="C44" s="7" t="s">
        <v>1067</v>
      </c>
      <c r="D44" s="7" t="s">
        <v>2252</v>
      </c>
      <c r="E44" s="7" t="s">
        <v>6333</v>
      </c>
      <c r="F44" s="7" t="s">
        <v>6334</v>
      </c>
      <c r="G44" s="7" t="s">
        <v>6335</v>
      </c>
      <c r="H44" s="7" t="s">
        <v>6336</v>
      </c>
      <c r="I44" s="7" t="s">
        <v>6337</v>
      </c>
      <c r="J44" s="7" t="s">
        <v>6338</v>
      </c>
      <c r="K44" s="7" t="s">
        <v>6331</v>
      </c>
      <c r="L44" s="7">
        <v>5</v>
      </c>
      <c r="M44" s="7">
        <v>5</v>
      </c>
      <c r="N44" s="7">
        <v>4</v>
      </c>
      <c r="O44" s="7">
        <v>3</v>
      </c>
      <c r="P44" s="7">
        <v>2</v>
      </c>
      <c r="Q44" s="7">
        <v>1</v>
      </c>
      <c r="R44" s="7" t="s">
        <v>2060</v>
      </c>
      <c r="S44" s="7" t="s">
        <v>2253</v>
      </c>
      <c r="T44" s="7" t="s">
        <v>2068</v>
      </c>
      <c r="U44" s="7" t="s">
        <v>2069</v>
      </c>
      <c r="V44" s="7" t="s">
        <v>6339</v>
      </c>
    </row>
    <row r="45" spans="1:22" ht="85.5">
      <c r="A45" s="7" t="s">
        <v>2261</v>
      </c>
      <c r="B45" s="7" t="s">
        <v>57</v>
      </c>
      <c r="C45" s="7" t="s">
        <v>1067</v>
      </c>
      <c r="D45" s="7" t="s">
        <v>2262</v>
      </c>
      <c r="E45" s="7" t="s">
        <v>6340</v>
      </c>
      <c r="F45" s="7" t="s">
        <v>6341</v>
      </c>
      <c r="G45" s="7" t="s">
        <v>6342</v>
      </c>
      <c r="H45" s="7" t="s">
        <v>6343</v>
      </c>
      <c r="I45" s="7" t="s">
        <v>6344</v>
      </c>
      <c r="J45" s="7" t="s">
        <v>6345</v>
      </c>
      <c r="K45" s="7" t="s">
        <v>6331</v>
      </c>
      <c r="L45" s="7">
        <v>4</v>
      </c>
      <c r="M45" s="7">
        <v>4</v>
      </c>
      <c r="N45" s="7">
        <v>3</v>
      </c>
      <c r="O45" s="7">
        <v>2</v>
      </c>
      <c r="P45" s="7">
        <v>1</v>
      </c>
      <c r="Q45" s="7">
        <v>1</v>
      </c>
      <c r="R45" s="7" t="s">
        <v>2060</v>
      </c>
      <c r="S45" s="7" t="s">
        <v>2263</v>
      </c>
      <c r="T45" s="7" t="s">
        <v>2068</v>
      </c>
      <c r="U45" s="7" t="s">
        <v>2069</v>
      </c>
      <c r="V45" s="7" t="s">
        <v>6346</v>
      </c>
    </row>
    <row r="46" spans="1:22" ht="71.25">
      <c r="A46" s="7" t="s">
        <v>2271</v>
      </c>
      <c r="B46" s="7" t="s">
        <v>57</v>
      </c>
      <c r="C46" s="7" t="s">
        <v>1067</v>
      </c>
      <c r="D46" s="7" t="s">
        <v>2272</v>
      </c>
      <c r="E46" s="7" t="s">
        <v>6347</v>
      </c>
      <c r="F46" s="7" t="s">
        <v>6348</v>
      </c>
      <c r="G46" s="7" t="s">
        <v>6349</v>
      </c>
      <c r="H46" s="7" t="s">
        <v>6350</v>
      </c>
      <c r="I46" s="7" t="s">
        <v>6351</v>
      </c>
      <c r="J46" s="7" t="s">
        <v>6352</v>
      </c>
      <c r="K46" s="7" t="s">
        <v>6331</v>
      </c>
      <c r="L46" s="7">
        <v>5</v>
      </c>
      <c r="M46" s="7">
        <v>5</v>
      </c>
      <c r="N46" s="7">
        <v>4</v>
      </c>
      <c r="O46" s="7">
        <v>3</v>
      </c>
      <c r="P46" s="7">
        <v>2</v>
      </c>
      <c r="Q46" s="7">
        <v>1</v>
      </c>
      <c r="R46" s="7" t="s">
        <v>2060</v>
      </c>
      <c r="S46" s="7" t="s">
        <v>2273</v>
      </c>
      <c r="T46" s="7" t="s">
        <v>2068</v>
      </c>
      <c r="U46" s="7" t="s">
        <v>2069</v>
      </c>
      <c r="V46" s="7" t="s">
        <v>6353</v>
      </c>
    </row>
    <row r="47" spans="1:22" ht="85.5">
      <c r="A47" s="7" t="s">
        <v>2281</v>
      </c>
      <c r="B47" s="7" t="s">
        <v>57</v>
      </c>
      <c r="C47" s="7" t="s">
        <v>1067</v>
      </c>
      <c r="D47" s="7" t="s">
        <v>2282</v>
      </c>
      <c r="E47" s="7" t="s">
        <v>6354</v>
      </c>
      <c r="F47" s="7" t="s">
        <v>6355</v>
      </c>
      <c r="G47" s="7" t="s">
        <v>6356</v>
      </c>
      <c r="H47" s="7" t="s">
        <v>6357</v>
      </c>
      <c r="I47" s="7" t="s">
        <v>6358</v>
      </c>
      <c r="J47" s="7" t="s">
        <v>6359</v>
      </c>
      <c r="K47" s="7" t="s">
        <v>6331</v>
      </c>
      <c r="L47" s="7">
        <v>4</v>
      </c>
      <c r="M47" s="7">
        <v>4</v>
      </c>
      <c r="N47" s="7">
        <v>3</v>
      </c>
      <c r="O47" s="7">
        <v>2</v>
      </c>
      <c r="P47" s="7">
        <v>1</v>
      </c>
      <c r="Q47" s="7">
        <v>1</v>
      </c>
      <c r="R47" s="7" t="s">
        <v>2060</v>
      </c>
      <c r="S47" s="7" t="s">
        <v>2283</v>
      </c>
      <c r="T47" s="7" t="s">
        <v>2068</v>
      </c>
      <c r="U47" s="7" t="s">
        <v>2069</v>
      </c>
      <c r="V47" s="7" t="s">
        <v>6360</v>
      </c>
    </row>
    <row r="48" spans="1:22" ht="85.5">
      <c r="A48" s="7" t="s">
        <v>2291</v>
      </c>
      <c r="B48" s="7" t="s">
        <v>57</v>
      </c>
      <c r="C48" s="7" t="s">
        <v>1067</v>
      </c>
      <c r="D48" s="7" t="s">
        <v>2292</v>
      </c>
      <c r="E48" s="7" t="s">
        <v>6361</v>
      </c>
      <c r="F48" s="7" t="s">
        <v>6362</v>
      </c>
      <c r="G48" s="7" t="s">
        <v>6363</v>
      </c>
      <c r="H48" s="7" t="s">
        <v>6364</v>
      </c>
      <c r="I48" s="7" t="s">
        <v>6365</v>
      </c>
      <c r="J48" s="7" t="s">
        <v>6366</v>
      </c>
      <c r="K48" s="7" t="s">
        <v>6331</v>
      </c>
      <c r="L48" s="7">
        <v>4</v>
      </c>
      <c r="M48" s="7">
        <v>4</v>
      </c>
      <c r="N48" s="7">
        <v>3</v>
      </c>
      <c r="O48" s="7">
        <v>2</v>
      </c>
      <c r="P48" s="7">
        <v>1</v>
      </c>
      <c r="Q48" s="7">
        <v>1</v>
      </c>
      <c r="R48" s="7" t="s">
        <v>2060</v>
      </c>
      <c r="S48" s="7" t="s">
        <v>2293</v>
      </c>
      <c r="T48" s="7" t="s">
        <v>2068</v>
      </c>
      <c r="U48" s="7" t="s">
        <v>2069</v>
      </c>
      <c r="V48" s="7" t="s">
        <v>6367</v>
      </c>
    </row>
    <row r="49" spans="1:22" ht="85.5">
      <c r="A49" s="7" t="s">
        <v>2303</v>
      </c>
      <c r="B49" s="7" t="s">
        <v>60</v>
      </c>
      <c r="C49" s="7" t="s">
        <v>1075</v>
      </c>
      <c r="D49" s="7" t="s">
        <v>2304</v>
      </c>
      <c r="E49" s="7" t="s">
        <v>6368</v>
      </c>
      <c r="F49" s="7" t="s">
        <v>6369</v>
      </c>
      <c r="G49" s="7" t="s">
        <v>6370</v>
      </c>
      <c r="H49" s="7" t="s">
        <v>6371</v>
      </c>
      <c r="I49" s="7" t="s">
        <v>6372</v>
      </c>
      <c r="J49" s="7" t="s">
        <v>6373</v>
      </c>
      <c r="K49" s="7" t="s">
        <v>6374</v>
      </c>
      <c r="L49" s="7">
        <v>4</v>
      </c>
      <c r="M49" s="7">
        <v>4</v>
      </c>
      <c r="N49" s="7">
        <v>3</v>
      </c>
      <c r="O49" s="7">
        <v>2</v>
      </c>
      <c r="P49" s="7">
        <v>1</v>
      </c>
      <c r="Q49" s="7">
        <v>1</v>
      </c>
      <c r="R49" s="7" t="s">
        <v>2306</v>
      </c>
      <c r="S49" s="7" t="s">
        <v>2307</v>
      </c>
      <c r="T49" s="7" t="s">
        <v>2314</v>
      </c>
      <c r="U49" s="7" t="s">
        <v>1863</v>
      </c>
      <c r="V49" s="7" t="s">
        <v>6375</v>
      </c>
    </row>
    <row r="50" spans="1:22" ht="71.25">
      <c r="A50" s="7" t="s">
        <v>2316</v>
      </c>
      <c r="B50" s="7" t="s">
        <v>60</v>
      </c>
      <c r="C50" s="7" t="s">
        <v>1075</v>
      </c>
      <c r="D50" s="7" t="s">
        <v>2317</v>
      </c>
      <c r="E50" s="7" t="s">
        <v>6376</v>
      </c>
      <c r="F50" s="7" t="s">
        <v>6377</v>
      </c>
      <c r="G50" s="7" t="s">
        <v>6378</v>
      </c>
      <c r="H50" s="7" t="s">
        <v>6379</v>
      </c>
      <c r="I50" s="7" t="s">
        <v>6380</v>
      </c>
      <c r="J50" s="7" t="s">
        <v>6381</v>
      </c>
      <c r="K50" s="7" t="s">
        <v>6374</v>
      </c>
      <c r="L50" s="7">
        <v>4</v>
      </c>
      <c r="M50" s="7">
        <v>4</v>
      </c>
      <c r="N50" s="7">
        <v>3</v>
      </c>
      <c r="O50" s="7">
        <v>2</v>
      </c>
      <c r="P50" s="7">
        <v>1</v>
      </c>
      <c r="Q50" s="7">
        <v>1</v>
      </c>
      <c r="R50" s="7" t="s">
        <v>2306</v>
      </c>
      <c r="S50" s="7" t="s">
        <v>2318</v>
      </c>
      <c r="T50" s="7" t="s">
        <v>2314</v>
      </c>
      <c r="U50" s="7" t="s">
        <v>1863</v>
      </c>
      <c r="V50" s="7" t="s">
        <v>6382</v>
      </c>
    </row>
    <row r="51" spans="1:22" ht="85.5">
      <c r="A51" s="7" t="s">
        <v>2326</v>
      </c>
      <c r="B51" s="7" t="s">
        <v>60</v>
      </c>
      <c r="C51" s="7" t="s">
        <v>1075</v>
      </c>
      <c r="D51" s="7" t="s">
        <v>2327</v>
      </c>
      <c r="E51" s="7" t="s">
        <v>6383</v>
      </c>
      <c r="F51" s="7" t="s">
        <v>6384</v>
      </c>
      <c r="G51" s="7" t="s">
        <v>6385</v>
      </c>
      <c r="H51" s="7" t="s">
        <v>6386</v>
      </c>
      <c r="I51" s="7" t="s">
        <v>6387</v>
      </c>
      <c r="J51" s="7" t="s">
        <v>6388</v>
      </c>
      <c r="K51" s="7" t="s">
        <v>6374</v>
      </c>
      <c r="L51" s="7">
        <v>4</v>
      </c>
      <c r="M51" s="7">
        <v>4</v>
      </c>
      <c r="N51" s="7">
        <v>3</v>
      </c>
      <c r="O51" s="7">
        <v>2</v>
      </c>
      <c r="P51" s="7">
        <v>1</v>
      </c>
      <c r="Q51" s="7">
        <v>1</v>
      </c>
      <c r="R51" s="7" t="s">
        <v>2306</v>
      </c>
      <c r="S51" s="7" t="s">
        <v>2328</v>
      </c>
      <c r="T51" s="7" t="s">
        <v>2314</v>
      </c>
      <c r="U51" s="7" t="s">
        <v>1863</v>
      </c>
      <c r="V51" s="7" t="s">
        <v>6389</v>
      </c>
    </row>
    <row r="52" spans="1:22" ht="85.5">
      <c r="A52" s="7" t="s">
        <v>2336</v>
      </c>
      <c r="B52" s="7" t="s">
        <v>60</v>
      </c>
      <c r="C52" s="7" t="s">
        <v>1075</v>
      </c>
      <c r="D52" s="7" t="s">
        <v>2337</v>
      </c>
      <c r="E52" s="7" t="s">
        <v>6390</v>
      </c>
      <c r="F52" s="7" t="s">
        <v>6391</v>
      </c>
      <c r="G52" s="7" t="s">
        <v>6392</v>
      </c>
      <c r="H52" s="7" t="s">
        <v>6393</v>
      </c>
      <c r="I52" s="7" t="s">
        <v>6394</v>
      </c>
      <c r="J52" s="7" t="s">
        <v>6395</v>
      </c>
      <c r="K52" s="7" t="s">
        <v>6374</v>
      </c>
      <c r="L52" s="7">
        <v>4</v>
      </c>
      <c r="M52" s="7">
        <v>4</v>
      </c>
      <c r="N52" s="7">
        <v>3</v>
      </c>
      <c r="O52" s="7">
        <v>2</v>
      </c>
      <c r="P52" s="7">
        <v>1</v>
      </c>
      <c r="Q52" s="7">
        <v>1</v>
      </c>
      <c r="R52" s="7" t="s">
        <v>2306</v>
      </c>
      <c r="S52" s="7" t="s">
        <v>2338</v>
      </c>
      <c r="T52" s="7" t="s">
        <v>2314</v>
      </c>
      <c r="U52" s="7" t="s">
        <v>1863</v>
      </c>
      <c r="V52" s="7" t="s">
        <v>6396</v>
      </c>
    </row>
    <row r="53" spans="1:22" ht="71.25">
      <c r="A53" s="7" t="s">
        <v>2346</v>
      </c>
      <c r="B53" s="7" t="s">
        <v>60</v>
      </c>
      <c r="C53" s="7" t="s">
        <v>1075</v>
      </c>
      <c r="D53" s="7" t="s">
        <v>2347</v>
      </c>
      <c r="E53" s="7" t="s">
        <v>6397</v>
      </c>
      <c r="F53" s="7" t="s">
        <v>6398</v>
      </c>
      <c r="G53" s="7" t="s">
        <v>6399</v>
      </c>
      <c r="H53" s="7" t="s">
        <v>6400</v>
      </c>
      <c r="I53" s="7" t="s">
        <v>6401</v>
      </c>
      <c r="J53" s="7" t="s">
        <v>6402</v>
      </c>
      <c r="K53" s="7" t="s">
        <v>6374</v>
      </c>
      <c r="L53" s="7">
        <v>5</v>
      </c>
      <c r="M53" s="7">
        <v>5</v>
      </c>
      <c r="N53" s="7">
        <v>4</v>
      </c>
      <c r="O53" s="7">
        <v>3</v>
      </c>
      <c r="P53" s="7">
        <v>2</v>
      </c>
      <c r="Q53" s="7">
        <v>1</v>
      </c>
      <c r="R53" s="7" t="s">
        <v>2306</v>
      </c>
      <c r="S53" s="7" t="s">
        <v>2348</v>
      </c>
      <c r="T53" s="7" t="s">
        <v>2314</v>
      </c>
      <c r="U53" s="7" t="s">
        <v>1863</v>
      </c>
      <c r="V53" s="7" t="s">
        <v>6403</v>
      </c>
    </row>
    <row r="54" spans="1:22" ht="71.25">
      <c r="A54" s="7" t="s">
        <v>2356</v>
      </c>
      <c r="B54" s="7" t="s">
        <v>60</v>
      </c>
      <c r="C54" s="7" t="s">
        <v>1075</v>
      </c>
      <c r="D54" s="7" t="s">
        <v>2357</v>
      </c>
      <c r="E54" s="7" t="s">
        <v>6404</v>
      </c>
      <c r="F54" s="7" t="s">
        <v>6405</v>
      </c>
      <c r="G54" s="7" t="s">
        <v>6406</v>
      </c>
      <c r="H54" s="7" t="s">
        <v>6407</v>
      </c>
      <c r="I54" s="7" t="s">
        <v>6408</v>
      </c>
      <c r="J54" s="7" t="s">
        <v>6409</v>
      </c>
      <c r="K54" s="7" t="s">
        <v>6374</v>
      </c>
      <c r="L54" s="7">
        <v>4</v>
      </c>
      <c r="M54" s="7">
        <v>4</v>
      </c>
      <c r="N54" s="7">
        <v>3</v>
      </c>
      <c r="O54" s="7">
        <v>2</v>
      </c>
      <c r="P54" s="7">
        <v>1</v>
      </c>
      <c r="Q54" s="7">
        <v>1</v>
      </c>
      <c r="R54" s="7" t="s">
        <v>2306</v>
      </c>
      <c r="S54" s="7" t="s">
        <v>2358</v>
      </c>
      <c r="T54" s="7" t="s">
        <v>2314</v>
      </c>
      <c r="U54" s="7" t="s">
        <v>1863</v>
      </c>
      <c r="V54" s="7" t="s">
        <v>6410</v>
      </c>
    </row>
    <row r="55" spans="1:22" ht="85.5">
      <c r="A55" s="7" t="s">
        <v>2366</v>
      </c>
      <c r="B55" s="7" t="s">
        <v>60</v>
      </c>
      <c r="C55" s="7" t="s">
        <v>1084</v>
      </c>
      <c r="D55" s="7" t="s">
        <v>2367</v>
      </c>
      <c r="E55" s="7" t="s">
        <v>6411</v>
      </c>
      <c r="F55" s="7" t="s">
        <v>6412</v>
      </c>
      <c r="G55" s="7" t="s">
        <v>6413</v>
      </c>
      <c r="H55" s="7" t="s">
        <v>6414</v>
      </c>
      <c r="I55" s="7" t="s">
        <v>6415</v>
      </c>
      <c r="J55" s="7" t="s">
        <v>6416</v>
      </c>
      <c r="K55" s="7" t="s">
        <v>6417</v>
      </c>
      <c r="L55" s="7">
        <v>5</v>
      </c>
      <c r="M55" s="7">
        <v>5</v>
      </c>
      <c r="N55" s="7">
        <v>4</v>
      </c>
      <c r="O55" s="7">
        <v>3</v>
      </c>
      <c r="P55" s="7">
        <v>2</v>
      </c>
      <c r="Q55" s="7">
        <v>1</v>
      </c>
      <c r="R55" s="7" t="s">
        <v>2306</v>
      </c>
      <c r="S55" s="7" t="s">
        <v>2368</v>
      </c>
      <c r="T55" s="7" t="s">
        <v>2314</v>
      </c>
      <c r="U55" s="7" t="s">
        <v>1863</v>
      </c>
      <c r="V55" s="7" t="s">
        <v>6418</v>
      </c>
    </row>
    <row r="56" spans="1:22" ht="85.5">
      <c r="A56" s="7" t="s">
        <v>2376</v>
      </c>
      <c r="B56" s="7" t="s">
        <v>60</v>
      </c>
      <c r="C56" s="7" t="s">
        <v>1084</v>
      </c>
      <c r="D56" s="7" t="s">
        <v>2377</v>
      </c>
      <c r="E56" s="7" t="s">
        <v>6419</v>
      </c>
      <c r="F56" s="7" t="s">
        <v>6420</v>
      </c>
      <c r="G56" s="7" t="s">
        <v>6421</v>
      </c>
      <c r="H56" s="7" t="s">
        <v>6422</v>
      </c>
      <c r="I56" s="7" t="s">
        <v>6423</v>
      </c>
      <c r="J56" s="7" t="s">
        <v>6424</v>
      </c>
      <c r="K56" s="7" t="s">
        <v>6417</v>
      </c>
      <c r="L56" s="7">
        <v>5</v>
      </c>
      <c r="M56" s="7">
        <v>5</v>
      </c>
      <c r="N56" s="7">
        <v>4</v>
      </c>
      <c r="O56" s="7">
        <v>3</v>
      </c>
      <c r="P56" s="7">
        <v>2</v>
      </c>
      <c r="Q56" s="7">
        <v>1</v>
      </c>
      <c r="R56" s="7" t="s">
        <v>2306</v>
      </c>
      <c r="S56" s="7" t="s">
        <v>2378</v>
      </c>
      <c r="T56" s="7" t="s">
        <v>2314</v>
      </c>
      <c r="U56" s="7" t="s">
        <v>1863</v>
      </c>
      <c r="V56" s="7" t="s">
        <v>6425</v>
      </c>
    </row>
    <row r="57" spans="1:22" ht="85.5">
      <c r="A57" s="7" t="s">
        <v>2386</v>
      </c>
      <c r="B57" s="7" t="s">
        <v>60</v>
      </c>
      <c r="C57" s="7" t="s">
        <v>1084</v>
      </c>
      <c r="D57" s="7" t="s">
        <v>2387</v>
      </c>
      <c r="E57" s="7" t="s">
        <v>6426</v>
      </c>
      <c r="F57" s="7" t="s">
        <v>6427</v>
      </c>
      <c r="G57" s="7" t="s">
        <v>6428</v>
      </c>
      <c r="H57" s="7" t="s">
        <v>6429</v>
      </c>
      <c r="I57" s="7" t="s">
        <v>6430</v>
      </c>
      <c r="J57" s="7" t="s">
        <v>6431</v>
      </c>
      <c r="K57" s="7" t="s">
        <v>6417</v>
      </c>
      <c r="L57" s="7">
        <v>4</v>
      </c>
      <c r="M57" s="7">
        <v>4</v>
      </c>
      <c r="N57" s="7">
        <v>3</v>
      </c>
      <c r="O57" s="7">
        <v>2</v>
      </c>
      <c r="P57" s="7">
        <v>1</v>
      </c>
      <c r="Q57" s="7">
        <v>1</v>
      </c>
      <c r="R57" s="7" t="s">
        <v>2306</v>
      </c>
      <c r="S57" s="7" t="s">
        <v>2388</v>
      </c>
      <c r="T57" s="7" t="s">
        <v>2314</v>
      </c>
      <c r="U57" s="7" t="s">
        <v>1863</v>
      </c>
      <c r="V57" s="7" t="s">
        <v>6432</v>
      </c>
    </row>
    <row r="58" spans="1:22" ht="85.5">
      <c r="A58" s="7" t="s">
        <v>2396</v>
      </c>
      <c r="B58" s="7" t="s">
        <v>60</v>
      </c>
      <c r="C58" s="7" t="s">
        <v>1084</v>
      </c>
      <c r="D58" s="7" t="s">
        <v>2397</v>
      </c>
      <c r="E58" s="7" t="s">
        <v>6433</v>
      </c>
      <c r="F58" s="7" t="s">
        <v>6434</v>
      </c>
      <c r="G58" s="7" t="s">
        <v>6435</v>
      </c>
      <c r="H58" s="7" t="s">
        <v>6436</v>
      </c>
      <c r="I58" s="7" t="s">
        <v>6437</v>
      </c>
      <c r="J58" s="7" t="s">
        <v>6438</v>
      </c>
      <c r="K58" s="7" t="s">
        <v>6417</v>
      </c>
      <c r="L58" s="7">
        <v>4</v>
      </c>
      <c r="M58" s="7">
        <v>4</v>
      </c>
      <c r="N58" s="7">
        <v>3</v>
      </c>
      <c r="O58" s="7">
        <v>2</v>
      </c>
      <c r="P58" s="7">
        <v>1</v>
      </c>
      <c r="Q58" s="7">
        <v>1</v>
      </c>
      <c r="R58" s="7" t="s">
        <v>2306</v>
      </c>
      <c r="S58" s="7" t="s">
        <v>2398</v>
      </c>
      <c r="T58" s="7" t="s">
        <v>2314</v>
      </c>
      <c r="U58" s="7" t="s">
        <v>1863</v>
      </c>
      <c r="V58" s="7" t="s">
        <v>6439</v>
      </c>
    </row>
    <row r="59" spans="1:22" ht="85.5">
      <c r="A59" s="7" t="s">
        <v>2406</v>
      </c>
      <c r="B59" s="7" t="s">
        <v>60</v>
      </c>
      <c r="C59" s="7" t="s">
        <v>1084</v>
      </c>
      <c r="D59" s="7" t="s">
        <v>2407</v>
      </c>
      <c r="E59" s="7" t="s">
        <v>6440</v>
      </c>
      <c r="F59" s="7" t="s">
        <v>6441</v>
      </c>
      <c r="G59" s="7" t="s">
        <v>6442</v>
      </c>
      <c r="H59" s="7" t="s">
        <v>6443</v>
      </c>
      <c r="I59" s="7" t="s">
        <v>6444</v>
      </c>
      <c r="J59" s="7" t="s">
        <v>6445</v>
      </c>
      <c r="K59" s="7" t="s">
        <v>6417</v>
      </c>
      <c r="L59" s="7">
        <v>5</v>
      </c>
      <c r="M59" s="7">
        <v>5</v>
      </c>
      <c r="N59" s="7">
        <v>5</v>
      </c>
      <c r="O59" s="7">
        <v>4</v>
      </c>
      <c r="P59" s="7">
        <v>3</v>
      </c>
      <c r="Q59" s="7">
        <v>1</v>
      </c>
      <c r="R59" s="7" t="s">
        <v>2306</v>
      </c>
      <c r="S59" s="7" t="s">
        <v>2408</v>
      </c>
      <c r="T59" s="7" t="s">
        <v>2314</v>
      </c>
      <c r="U59" s="7" t="s">
        <v>1863</v>
      </c>
      <c r="V59" s="7" t="s">
        <v>6446</v>
      </c>
    </row>
    <row r="60" spans="1:22" ht="99.75">
      <c r="A60" s="7" t="s">
        <v>2416</v>
      </c>
      <c r="B60" s="7" t="s">
        <v>60</v>
      </c>
      <c r="C60" s="7" t="s">
        <v>1084</v>
      </c>
      <c r="D60" s="7" t="s">
        <v>2417</v>
      </c>
      <c r="E60" s="7" t="s">
        <v>6447</v>
      </c>
      <c r="F60" s="7" t="s">
        <v>6448</v>
      </c>
      <c r="G60" s="7" t="s">
        <v>6449</v>
      </c>
      <c r="H60" s="7" t="s">
        <v>6450</v>
      </c>
      <c r="I60" s="7" t="s">
        <v>6451</v>
      </c>
      <c r="J60" s="7" t="s">
        <v>6452</v>
      </c>
      <c r="K60" s="7" t="s">
        <v>6417</v>
      </c>
      <c r="L60" s="7">
        <v>5</v>
      </c>
      <c r="M60" s="7">
        <v>5</v>
      </c>
      <c r="N60" s="7">
        <v>4</v>
      </c>
      <c r="O60" s="7">
        <v>3</v>
      </c>
      <c r="P60" s="7">
        <v>2</v>
      </c>
      <c r="Q60" s="7">
        <v>1</v>
      </c>
      <c r="R60" s="7" t="s">
        <v>2306</v>
      </c>
      <c r="S60" s="7" t="s">
        <v>2418</v>
      </c>
      <c r="T60" s="7" t="s">
        <v>2314</v>
      </c>
      <c r="U60" s="7" t="s">
        <v>1863</v>
      </c>
      <c r="V60" s="7" t="s">
        <v>6453</v>
      </c>
    </row>
    <row r="61" spans="1:22" ht="85.5">
      <c r="A61" s="7" t="s">
        <v>2426</v>
      </c>
      <c r="B61" s="7" t="s">
        <v>60</v>
      </c>
      <c r="C61" s="7" t="s">
        <v>1084</v>
      </c>
      <c r="D61" s="7" t="s">
        <v>2427</v>
      </c>
      <c r="E61" s="7" t="s">
        <v>6454</v>
      </c>
      <c r="F61" s="7" t="s">
        <v>6455</v>
      </c>
      <c r="G61" s="7" t="s">
        <v>6456</v>
      </c>
      <c r="H61" s="7" t="s">
        <v>6457</v>
      </c>
      <c r="I61" s="7" t="s">
        <v>6458</v>
      </c>
      <c r="J61" s="7" t="s">
        <v>6459</v>
      </c>
      <c r="K61" s="7" t="s">
        <v>6417</v>
      </c>
      <c r="L61" s="7">
        <v>4</v>
      </c>
      <c r="M61" s="7">
        <v>4</v>
      </c>
      <c r="N61" s="7">
        <v>3</v>
      </c>
      <c r="O61" s="7">
        <v>2</v>
      </c>
      <c r="P61" s="7">
        <v>1</v>
      </c>
      <c r="Q61" s="7">
        <v>1</v>
      </c>
      <c r="R61" s="7" t="s">
        <v>2306</v>
      </c>
      <c r="S61" s="7" t="s">
        <v>2428</v>
      </c>
      <c r="T61" s="7" t="s">
        <v>2314</v>
      </c>
      <c r="U61" s="7" t="s">
        <v>1863</v>
      </c>
      <c r="V61" s="7" t="s">
        <v>6460</v>
      </c>
    </row>
    <row r="62" spans="1:22" ht="85.5">
      <c r="A62" s="7" t="s">
        <v>2436</v>
      </c>
      <c r="B62" s="7" t="s">
        <v>60</v>
      </c>
      <c r="C62" s="7" t="s">
        <v>1092</v>
      </c>
      <c r="D62" s="7" t="s">
        <v>2437</v>
      </c>
      <c r="E62" s="7" t="s">
        <v>6461</v>
      </c>
      <c r="F62" s="7" t="s">
        <v>6462</v>
      </c>
      <c r="G62" s="7" t="s">
        <v>6463</v>
      </c>
      <c r="H62" s="7" t="s">
        <v>6464</v>
      </c>
      <c r="I62" s="7" t="s">
        <v>6465</v>
      </c>
      <c r="J62" s="7" t="s">
        <v>6466</v>
      </c>
      <c r="K62" s="7" t="s">
        <v>6467</v>
      </c>
      <c r="L62" s="7">
        <v>4</v>
      </c>
      <c r="M62" s="7">
        <v>4</v>
      </c>
      <c r="N62" s="7">
        <v>3</v>
      </c>
      <c r="O62" s="7">
        <v>2</v>
      </c>
      <c r="P62" s="7">
        <v>1</v>
      </c>
      <c r="Q62" s="7">
        <v>1</v>
      </c>
      <c r="R62" s="7" t="s">
        <v>2306</v>
      </c>
      <c r="S62" s="7" t="s">
        <v>2438</v>
      </c>
      <c r="T62" s="7" t="s">
        <v>2314</v>
      </c>
      <c r="U62" s="7" t="s">
        <v>1863</v>
      </c>
      <c r="V62" s="7" t="s">
        <v>6468</v>
      </c>
    </row>
    <row r="63" spans="1:22" ht="85.5">
      <c r="A63" s="7" t="s">
        <v>2446</v>
      </c>
      <c r="B63" s="7" t="s">
        <v>60</v>
      </c>
      <c r="C63" s="7" t="s">
        <v>1092</v>
      </c>
      <c r="D63" s="7" t="s">
        <v>2447</v>
      </c>
      <c r="E63" s="7" t="s">
        <v>6469</v>
      </c>
      <c r="F63" s="7" t="s">
        <v>6470</v>
      </c>
      <c r="G63" s="7" t="s">
        <v>6471</v>
      </c>
      <c r="H63" s="7" t="s">
        <v>6472</v>
      </c>
      <c r="I63" s="7" t="s">
        <v>6473</v>
      </c>
      <c r="J63" s="7" t="s">
        <v>6474</v>
      </c>
      <c r="K63" s="7" t="s">
        <v>6467</v>
      </c>
      <c r="L63" s="7">
        <v>4</v>
      </c>
      <c r="M63" s="7">
        <v>4</v>
      </c>
      <c r="N63" s="7">
        <v>3</v>
      </c>
      <c r="O63" s="7">
        <v>2</v>
      </c>
      <c r="P63" s="7">
        <v>1</v>
      </c>
      <c r="Q63" s="7">
        <v>1</v>
      </c>
      <c r="R63" s="7" t="s">
        <v>2306</v>
      </c>
      <c r="S63" s="7" t="s">
        <v>2448</v>
      </c>
      <c r="T63" s="7" t="s">
        <v>2314</v>
      </c>
      <c r="U63" s="7" t="s">
        <v>1863</v>
      </c>
      <c r="V63" s="7" t="s">
        <v>6475</v>
      </c>
    </row>
    <row r="64" spans="1:22" ht="85.5">
      <c r="A64" s="7" t="s">
        <v>2456</v>
      </c>
      <c r="B64" s="7" t="s">
        <v>60</v>
      </c>
      <c r="C64" s="7" t="s">
        <v>1092</v>
      </c>
      <c r="D64" s="7" t="s">
        <v>2457</v>
      </c>
      <c r="E64" s="7" t="s">
        <v>6476</v>
      </c>
      <c r="F64" s="7" t="s">
        <v>6477</v>
      </c>
      <c r="G64" s="7" t="s">
        <v>6478</v>
      </c>
      <c r="H64" s="7" t="s">
        <v>6479</v>
      </c>
      <c r="I64" s="7" t="s">
        <v>6480</v>
      </c>
      <c r="J64" s="7" t="s">
        <v>6481</v>
      </c>
      <c r="K64" s="7" t="s">
        <v>6467</v>
      </c>
      <c r="L64" s="7">
        <v>4</v>
      </c>
      <c r="M64" s="7">
        <v>4</v>
      </c>
      <c r="N64" s="7">
        <v>3</v>
      </c>
      <c r="O64" s="7">
        <v>2</v>
      </c>
      <c r="P64" s="7">
        <v>1</v>
      </c>
      <c r="Q64" s="7">
        <v>1</v>
      </c>
      <c r="R64" s="7" t="s">
        <v>2306</v>
      </c>
      <c r="S64" s="7" t="s">
        <v>2458</v>
      </c>
      <c r="T64" s="7" t="s">
        <v>2314</v>
      </c>
      <c r="U64" s="7" t="s">
        <v>1863</v>
      </c>
      <c r="V64" s="7" t="s">
        <v>6482</v>
      </c>
    </row>
    <row r="65" spans="1:22" ht="85.5">
      <c r="A65" s="7" t="s">
        <v>2466</v>
      </c>
      <c r="B65" s="7" t="s">
        <v>60</v>
      </c>
      <c r="C65" s="7" t="s">
        <v>1092</v>
      </c>
      <c r="D65" s="7" t="s">
        <v>2467</v>
      </c>
      <c r="E65" s="7" t="s">
        <v>6483</v>
      </c>
      <c r="F65" s="7" t="s">
        <v>6484</v>
      </c>
      <c r="G65" s="7" t="s">
        <v>6485</v>
      </c>
      <c r="H65" s="7" t="s">
        <v>6486</v>
      </c>
      <c r="I65" s="7" t="s">
        <v>6487</v>
      </c>
      <c r="J65" s="7" t="s">
        <v>6488</v>
      </c>
      <c r="K65" s="7" t="s">
        <v>6467</v>
      </c>
      <c r="L65" s="7">
        <v>4</v>
      </c>
      <c r="M65" s="7">
        <v>4</v>
      </c>
      <c r="N65" s="7">
        <v>3</v>
      </c>
      <c r="O65" s="7">
        <v>2</v>
      </c>
      <c r="P65" s="7">
        <v>1</v>
      </c>
      <c r="Q65" s="7">
        <v>1</v>
      </c>
      <c r="R65" s="7" t="s">
        <v>2306</v>
      </c>
      <c r="S65" s="7" t="s">
        <v>2468</v>
      </c>
      <c r="T65" s="7" t="s">
        <v>2314</v>
      </c>
      <c r="U65" s="7" t="s">
        <v>1863</v>
      </c>
      <c r="V65" s="7" t="s">
        <v>6489</v>
      </c>
    </row>
    <row r="66" spans="1:22" ht="71.25">
      <c r="A66" s="7" t="s">
        <v>2476</v>
      </c>
      <c r="B66" s="7" t="s">
        <v>60</v>
      </c>
      <c r="C66" s="7" t="s">
        <v>1092</v>
      </c>
      <c r="D66" s="7" t="s">
        <v>2477</v>
      </c>
      <c r="E66" s="7" t="s">
        <v>6490</v>
      </c>
      <c r="F66" s="7" t="s">
        <v>6491</v>
      </c>
      <c r="G66" s="7" t="s">
        <v>6492</v>
      </c>
      <c r="H66" s="7" t="s">
        <v>6493</v>
      </c>
      <c r="I66" s="7" t="s">
        <v>6494</v>
      </c>
      <c r="J66" s="7" t="s">
        <v>6495</v>
      </c>
      <c r="K66" s="7" t="s">
        <v>6467</v>
      </c>
      <c r="L66" s="7">
        <v>4</v>
      </c>
      <c r="M66" s="7">
        <v>4</v>
      </c>
      <c r="N66" s="7">
        <v>3</v>
      </c>
      <c r="O66" s="7">
        <v>2</v>
      </c>
      <c r="P66" s="7">
        <v>1</v>
      </c>
      <c r="Q66" s="7">
        <v>1</v>
      </c>
      <c r="R66" s="7" t="s">
        <v>2306</v>
      </c>
      <c r="S66" s="7" t="s">
        <v>2478</v>
      </c>
      <c r="T66" s="7" t="s">
        <v>2314</v>
      </c>
      <c r="U66" s="7" t="s">
        <v>1863</v>
      </c>
      <c r="V66" s="7" t="s">
        <v>6496</v>
      </c>
    </row>
    <row r="67" spans="1:22" ht="85.5">
      <c r="A67" s="7" t="s">
        <v>2486</v>
      </c>
      <c r="B67" s="7" t="s">
        <v>60</v>
      </c>
      <c r="C67" s="7" t="s">
        <v>1092</v>
      </c>
      <c r="D67" s="7" t="s">
        <v>2487</v>
      </c>
      <c r="E67" s="7" t="s">
        <v>6497</v>
      </c>
      <c r="F67" s="7" t="s">
        <v>6498</v>
      </c>
      <c r="G67" s="7" t="s">
        <v>6499</v>
      </c>
      <c r="H67" s="7" t="s">
        <v>6500</v>
      </c>
      <c r="I67" s="7" t="s">
        <v>6501</v>
      </c>
      <c r="J67" s="7" t="s">
        <v>6502</v>
      </c>
      <c r="K67" s="7" t="s">
        <v>6467</v>
      </c>
      <c r="L67" s="7">
        <v>4</v>
      </c>
      <c r="M67" s="7">
        <v>4</v>
      </c>
      <c r="N67" s="7">
        <v>3</v>
      </c>
      <c r="O67" s="7">
        <v>2</v>
      </c>
      <c r="P67" s="7">
        <v>1</v>
      </c>
      <c r="Q67" s="7">
        <v>1</v>
      </c>
      <c r="R67" s="7" t="s">
        <v>2306</v>
      </c>
      <c r="S67" s="7" t="s">
        <v>2488</v>
      </c>
      <c r="T67" s="7" t="s">
        <v>2314</v>
      </c>
      <c r="U67" s="7" t="s">
        <v>1863</v>
      </c>
      <c r="V67" s="7" t="s">
        <v>6503</v>
      </c>
    </row>
    <row r="68" spans="1:22" ht="85.5">
      <c r="A68" s="7" t="s">
        <v>2498</v>
      </c>
      <c r="B68" s="7" t="s">
        <v>63</v>
      </c>
      <c r="C68" s="7" t="s">
        <v>1100</v>
      </c>
      <c r="D68" s="7" t="s">
        <v>2499</v>
      </c>
      <c r="E68" s="7" t="s">
        <v>6504</v>
      </c>
      <c r="F68" s="7" t="s">
        <v>6505</v>
      </c>
      <c r="G68" s="7" t="s">
        <v>6506</v>
      </c>
      <c r="H68" s="7" t="s">
        <v>6507</v>
      </c>
      <c r="I68" s="7" t="s">
        <v>6508</v>
      </c>
      <c r="J68" s="7" t="s">
        <v>6509</v>
      </c>
      <c r="K68" s="7" t="s">
        <v>6510</v>
      </c>
      <c r="L68" s="7">
        <v>5</v>
      </c>
      <c r="M68" s="7">
        <v>5</v>
      </c>
      <c r="N68" s="7">
        <v>4</v>
      </c>
      <c r="O68" s="7">
        <v>3</v>
      </c>
      <c r="P68" s="7">
        <v>2</v>
      </c>
      <c r="Q68" s="7">
        <v>1</v>
      </c>
      <c r="R68" s="7" t="s">
        <v>2501</v>
      </c>
      <c r="S68" s="7" t="s">
        <v>2502</v>
      </c>
      <c r="T68" s="7" t="s">
        <v>2509</v>
      </c>
      <c r="U68" s="7" t="s">
        <v>2510</v>
      </c>
      <c r="V68" s="7" t="s">
        <v>6511</v>
      </c>
    </row>
    <row r="69" spans="1:22" ht="85.5">
      <c r="A69" s="7" t="s">
        <v>2512</v>
      </c>
      <c r="B69" s="7" t="s">
        <v>63</v>
      </c>
      <c r="C69" s="7" t="s">
        <v>1100</v>
      </c>
      <c r="D69" s="7" t="s">
        <v>2513</v>
      </c>
      <c r="E69" s="7" t="s">
        <v>6512</v>
      </c>
      <c r="F69" s="7" t="s">
        <v>6513</v>
      </c>
      <c r="G69" s="7" t="s">
        <v>6514</v>
      </c>
      <c r="H69" s="7" t="s">
        <v>6515</v>
      </c>
      <c r="I69" s="7" t="s">
        <v>6516</v>
      </c>
      <c r="J69" s="7" t="s">
        <v>6517</v>
      </c>
      <c r="K69" s="7" t="s">
        <v>6510</v>
      </c>
      <c r="L69" s="7">
        <v>5</v>
      </c>
      <c r="M69" s="7">
        <v>5</v>
      </c>
      <c r="N69" s="7">
        <v>4</v>
      </c>
      <c r="O69" s="7">
        <v>3</v>
      </c>
      <c r="P69" s="7">
        <v>2</v>
      </c>
      <c r="Q69" s="7">
        <v>1</v>
      </c>
      <c r="R69" s="7" t="s">
        <v>2501</v>
      </c>
      <c r="S69" s="7" t="s">
        <v>2514</v>
      </c>
      <c r="T69" s="7" t="s">
        <v>2509</v>
      </c>
      <c r="U69" s="7" t="s">
        <v>2510</v>
      </c>
      <c r="V69" s="7" t="s">
        <v>6518</v>
      </c>
    </row>
    <row r="70" spans="1:22" ht="85.5">
      <c r="A70" s="7" t="s">
        <v>2522</v>
      </c>
      <c r="B70" s="7" t="s">
        <v>63</v>
      </c>
      <c r="C70" s="7" t="s">
        <v>1100</v>
      </c>
      <c r="D70" s="7" t="s">
        <v>2523</v>
      </c>
      <c r="E70" s="7" t="s">
        <v>6519</v>
      </c>
      <c r="F70" s="7" t="s">
        <v>6520</v>
      </c>
      <c r="G70" s="7" t="s">
        <v>6521</v>
      </c>
      <c r="H70" s="7" t="s">
        <v>6522</v>
      </c>
      <c r="I70" s="7" t="s">
        <v>6523</v>
      </c>
      <c r="J70" s="7" t="s">
        <v>6524</v>
      </c>
      <c r="K70" s="7" t="s">
        <v>6510</v>
      </c>
      <c r="L70" s="7">
        <v>5</v>
      </c>
      <c r="M70" s="7">
        <v>5</v>
      </c>
      <c r="N70" s="7">
        <v>5</v>
      </c>
      <c r="O70" s="7">
        <v>4</v>
      </c>
      <c r="P70" s="7">
        <v>3</v>
      </c>
      <c r="Q70" s="7">
        <v>1</v>
      </c>
      <c r="R70" s="7" t="s">
        <v>2501</v>
      </c>
      <c r="S70" s="7" t="s">
        <v>2524</v>
      </c>
      <c r="T70" s="7" t="s">
        <v>2509</v>
      </c>
      <c r="U70" s="7" t="s">
        <v>2510</v>
      </c>
      <c r="V70" s="7" t="s">
        <v>6525</v>
      </c>
    </row>
    <row r="71" spans="1:22" ht="85.5">
      <c r="A71" s="7" t="s">
        <v>2532</v>
      </c>
      <c r="B71" s="7" t="s">
        <v>63</v>
      </c>
      <c r="C71" s="7" t="s">
        <v>1100</v>
      </c>
      <c r="D71" s="7" t="s">
        <v>2533</v>
      </c>
      <c r="E71" s="7" t="s">
        <v>6526</v>
      </c>
      <c r="F71" s="7" t="s">
        <v>6527</v>
      </c>
      <c r="G71" s="7" t="s">
        <v>6528</v>
      </c>
      <c r="H71" s="7" t="s">
        <v>6529</v>
      </c>
      <c r="I71" s="7" t="s">
        <v>6530</v>
      </c>
      <c r="J71" s="7" t="s">
        <v>6531</v>
      </c>
      <c r="K71" s="7" t="s">
        <v>6510</v>
      </c>
      <c r="L71" s="7">
        <v>5</v>
      </c>
      <c r="M71" s="7">
        <v>5</v>
      </c>
      <c r="N71" s="7">
        <v>4</v>
      </c>
      <c r="O71" s="7">
        <v>3</v>
      </c>
      <c r="P71" s="7">
        <v>2</v>
      </c>
      <c r="Q71" s="7">
        <v>1</v>
      </c>
      <c r="R71" s="7" t="s">
        <v>2501</v>
      </c>
      <c r="S71" s="7" t="s">
        <v>2534</v>
      </c>
      <c r="T71" s="7" t="s">
        <v>2509</v>
      </c>
      <c r="U71" s="7" t="s">
        <v>2510</v>
      </c>
      <c r="V71" s="7" t="s">
        <v>6532</v>
      </c>
    </row>
    <row r="72" spans="1:22" ht="85.5">
      <c r="A72" s="7" t="s">
        <v>2542</v>
      </c>
      <c r="B72" s="7" t="s">
        <v>63</v>
      </c>
      <c r="C72" s="7" t="s">
        <v>1100</v>
      </c>
      <c r="D72" s="7" t="s">
        <v>2543</v>
      </c>
      <c r="E72" s="7" t="s">
        <v>6533</v>
      </c>
      <c r="F72" s="7" t="s">
        <v>6534</v>
      </c>
      <c r="G72" s="7" t="s">
        <v>6535</v>
      </c>
      <c r="H72" s="7" t="s">
        <v>6536</v>
      </c>
      <c r="I72" s="7" t="s">
        <v>6537</v>
      </c>
      <c r="J72" s="7" t="s">
        <v>6538</v>
      </c>
      <c r="K72" s="7" t="s">
        <v>6510</v>
      </c>
      <c r="L72" s="7">
        <v>5</v>
      </c>
      <c r="M72" s="7">
        <v>5</v>
      </c>
      <c r="N72" s="7">
        <v>4</v>
      </c>
      <c r="O72" s="7">
        <v>3</v>
      </c>
      <c r="P72" s="7">
        <v>2</v>
      </c>
      <c r="Q72" s="7">
        <v>1</v>
      </c>
      <c r="R72" s="7" t="s">
        <v>2501</v>
      </c>
      <c r="S72" s="7" t="s">
        <v>2544</v>
      </c>
      <c r="T72" s="7" t="s">
        <v>2509</v>
      </c>
      <c r="U72" s="7" t="s">
        <v>2510</v>
      </c>
      <c r="V72" s="7" t="s">
        <v>6539</v>
      </c>
    </row>
    <row r="73" spans="1:22" ht="71.25">
      <c r="A73" s="7" t="s">
        <v>2552</v>
      </c>
      <c r="B73" s="7" t="s">
        <v>63</v>
      </c>
      <c r="C73" s="7" t="s">
        <v>1100</v>
      </c>
      <c r="D73" s="7" t="s">
        <v>2553</v>
      </c>
      <c r="E73" s="7" t="s">
        <v>6540</v>
      </c>
      <c r="F73" s="7" t="s">
        <v>6541</v>
      </c>
      <c r="G73" s="7" t="s">
        <v>6542</v>
      </c>
      <c r="H73" s="7" t="s">
        <v>6543</v>
      </c>
      <c r="I73" s="7" t="s">
        <v>6544</v>
      </c>
      <c r="J73" s="7" t="s">
        <v>6545</v>
      </c>
      <c r="K73" s="7" t="s">
        <v>6510</v>
      </c>
      <c r="L73" s="7">
        <v>5</v>
      </c>
      <c r="M73" s="7">
        <v>5</v>
      </c>
      <c r="N73" s="7">
        <v>4</v>
      </c>
      <c r="O73" s="7">
        <v>3</v>
      </c>
      <c r="P73" s="7">
        <v>2</v>
      </c>
      <c r="Q73" s="7">
        <v>1</v>
      </c>
      <c r="R73" s="7" t="s">
        <v>2501</v>
      </c>
      <c r="S73" s="7" t="s">
        <v>2554</v>
      </c>
      <c r="T73" s="7" t="s">
        <v>2509</v>
      </c>
      <c r="U73" s="7" t="s">
        <v>2510</v>
      </c>
      <c r="V73" s="7" t="s">
        <v>6546</v>
      </c>
    </row>
    <row r="74" spans="1:22" ht="85.5">
      <c r="A74" s="7" t="s">
        <v>2562</v>
      </c>
      <c r="B74" s="7" t="s">
        <v>63</v>
      </c>
      <c r="C74" s="7" t="s">
        <v>1113</v>
      </c>
      <c r="D74" s="7" t="s">
        <v>2563</v>
      </c>
      <c r="E74" s="7" t="s">
        <v>6547</v>
      </c>
      <c r="F74" s="7" t="s">
        <v>6548</v>
      </c>
      <c r="G74" s="7" t="s">
        <v>6549</v>
      </c>
      <c r="H74" s="7" t="s">
        <v>6550</v>
      </c>
      <c r="I74" s="7" t="s">
        <v>6551</v>
      </c>
      <c r="J74" s="7" t="s">
        <v>6552</v>
      </c>
      <c r="K74" s="7" t="s">
        <v>6553</v>
      </c>
      <c r="L74" s="7">
        <v>4</v>
      </c>
      <c r="M74" s="7">
        <v>4</v>
      </c>
      <c r="N74" s="7">
        <v>3</v>
      </c>
      <c r="O74" s="7">
        <v>2</v>
      </c>
      <c r="P74" s="7">
        <v>1</v>
      </c>
      <c r="Q74" s="7">
        <v>1</v>
      </c>
      <c r="R74" s="7" t="s">
        <v>2501</v>
      </c>
      <c r="S74" s="7" t="s">
        <v>2564</v>
      </c>
      <c r="T74" s="7" t="s">
        <v>2509</v>
      </c>
      <c r="U74" s="7" t="s">
        <v>2510</v>
      </c>
      <c r="V74" s="7" t="s">
        <v>6554</v>
      </c>
    </row>
    <row r="75" spans="1:22" ht="71.25">
      <c r="A75" s="7" t="s">
        <v>2572</v>
      </c>
      <c r="B75" s="7" t="s">
        <v>63</v>
      </c>
      <c r="C75" s="7" t="s">
        <v>1113</v>
      </c>
      <c r="D75" s="7" t="s">
        <v>2573</v>
      </c>
      <c r="E75" s="7" t="s">
        <v>6555</v>
      </c>
      <c r="F75" s="7" t="s">
        <v>6556</v>
      </c>
      <c r="G75" s="7" t="s">
        <v>6557</v>
      </c>
      <c r="H75" s="7" t="s">
        <v>6558</v>
      </c>
      <c r="I75" s="7" t="s">
        <v>6559</v>
      </c>
      <c r="J75" s="7" t="s">
        <v>6560</v>
      </c>
      <c r="K75" s="7" t="s">
        <v>6553</v>
      </c>
      <c r="L75" s="7">
        <v>4</v>
      </c>
      <c r="M75" s="7">
        <v>4</v>
      </c>
      <c r="N75" s="7">
        <v>3</v>
      </c>
      <c r="O75" s="7">
        <v>2</v>
      </c>
      <c r="P75" s="7">
        <v>1</v>
      </c>
      <c r="Q75" s="7">
        <v>1</v>
      </c>
      <c r="R75" s="7" t="s">
        <v>2501</v>
      </c>
      <c r="S75" s="7" t="s">
        <v>2574</v>
      </c>
      <c r="T75" s="7" t="s">
        <v>2509</v>
      </c>
      <c r="U75" s="7" t="s">
        <v>2510</v>
      </c>
      <c r="V75" s="7" t="s">
        <v>6561</v>
      </c>
    </row>
    <row r="76" spans="1:22" ht="71.25">
      <c r="A76" s="7" t="s">
        <v>2582</v>
      </c>
      <c r="B76" s="7" t="s">
        <v>63</v>
      </c>
      <c r="C76" s="7" t="s">
        <v>1113</v>
      </c>
      <c r="D76" s="7" t="s">
        <v>2583</v>
      </c>
      <c r="E76" s="7" t="s">
        <v>6562</v>
      </c>
      <c r="F76" s="7" t="s">
        <v>6563</v>
      </c>
      <c r="G76" s="7" t="s">
        <v>6564</v>
      </c>
      <c r="H76" s="7" t="s">
        <v>6565</v>
      </c>
      <c r="I76" s="7" t="s">
        <v>6566</v>
      </c>
      <c r="J76" s="7" t="s">
        <v>6567</v>
      </c>
      <c r="K76" s="7" t="s">
        <v>6553</v>
      </c>
      <c r="L76" s="7">
        <v>4</v>
      </c>
      <c r="M76" s="7">
        <v>4</v>
      </c>
      <c r="N76" s="7">
        <v>3</v>
      </c>
      <c r="O76" s="7">
        <v>2</v>
      </c>
      <c r="P76" s="7">
        <v>1</v>
      </c>
      <c r="Q76" s="7">
        <v>1</v>
      </c>
      <c r="R76" s="7" t="s">
        <v>2501</v>
      </c>
      <c r="S76" s="7" t="s">
        <v>2584</v>
      </c>
      <c r="T76" s="7" t="s">
        <v>2509</v>
      </c>
      <c r="U76" s="7" t="s">
        <v>2510</v>
      </c>
      <c r="V76" s="7" t="s">
        <v>6568</v>
      </c>
    </row>
    <row r="77" spans="1:22" ht="85.5">
      <c r="A77" s="7" t="s">
        <v>2592</v>
      </c>
      <c r="B77" s="7" t="s">
        <v>63</v>
      </c>
      <c r="C77" s="7" t="s">
        <v>1113</v>
      </c>
      <c r="D77" s="7" t="s">
        <v>2593</v>
      </c>
      <c r="E77" s="7" t="s">
        <v>6569</v>
      </c>
      <c r="F77" s="7" t="s">
        <v>6570</v>
      </c>
      <c r="G77" s="7" t="s">
        <v>6571</v>
      </c>
      <c r="H77" s="7" t="s">
        <v>6572</v>
      </c>
      <c r="I77" s="7" t="s">
        <v>6573</v>
      </c>
      <c r="J77" s="7" t="s">
        <v>6574</v>
      </c>
      <c r="K77" s="7" t="s">
        <v>6553</v>
      </c>
      <c r="L77" s="7">
        <v>5</v>
      </c>
      <c r="M77" s="7">
        <v>5</v>
      </c>
      <c r="N77" s="7">
        <v>5</v>
      </c>
      <c r="O77" s="7">
        <v>4</v>
      </c>
      <c r="P77" s="7">
        <v>3</v>
      </c>
      <c r="Q77" s="7">
        <v>1</v>
      </c>
      <c r="R77" s="7" t="s">
        <v>2501</v>
      </c>
      <c r="S77" s="7" t="s">
        <v>2594</v>
      </c>
      <c r="T77" s="7" t="s">
        <v>2509</v>
      </c>
      <c r="U77" s="7" t="s">
        <v>2510</v>
      </c>
      <c r="V77" s="7" t="s">
        <v>6575</v>
      </c>
    </row>
    <row r="78" spans="1:22" ht="71.25">
      <c r="A78" s="7" t="s">
        <v>2602</v>
      </c>
      <c r="B78" s="7" t="s">
        <v>63</v>
      </c>
      <c r="C78" s="7" t="s">
        <v>1113</v>
      </c>
      <c r="D78" s="7" t="s">
        <v>2603</v>
      </c>
      <c r="E78" s="7" t="s">
        <v>6576</v>
      </c>
      <c r="F78" s="7" t="s">
        <v>6577</v>
      </c>
      <c r="G78" s="7" t="s">
        <v>6578</v>
      </c>
      <c r="H78" s="7" t="s">
        <v>6579</v>
      </c>
      <c r="I78" s="7" t="s">
        <v>6580</v>
      </c>
      <c r="J78" s="7" t="s">
        <v>6581</v>
      </c>
      <c r="K78" s="7" t="s">
        <v>6553</v>
      </c>
      <c r="L78" s="7">
        <v>4</v>
      </c>
      <c r="M78" s="7">
        <v>4</v>
      </c>
      <c r="N78" s="7">
        <v>3</v>
      </c>
      <c r="O78" s="7">
        <v>2</v>
      </c>
      <c r="P78" s="7">
        <v>1</v>
      </c>
      <c r="Q78" s="7">
        <v>1</v>
      </c>
      <c r="R78" s="7" t="s">
        <v>2501</v>
      </c>
      <c r="S78" s="7" t="s">
        <v>2604</v>
      </c>
      <c r="T78" s="7" t="s">
        <v>2509</v>
      </c>
      <c r="U78" s="7" t="s">
        <v>2510</v>
      </c>
      <c r="V78" s="7" t="s">
        <v>6582</v>
      </c>
    </row>
    <row r="79" spans="1:22" ht="71.25">
      <c r="A79" s="7" t="s">
        <v>2612</v>
      </c>
      <c r="B79" s="7" t="s">
        <v>63</v>
      </c>
      <c r="C79" s="7" t="s">
        <v>1113</v>
      </c>
      <c r="D79" s="7" t="s">
        <v>2613</v>
      </c>
      <c r="E79" s="7" t="s">
        <v>6583</v>
      </c>
      <c r="F79" s="7" t="s">
        <v>6584</v>
      </c>
      <c r="G79" s="7" t="s">
        <v>6585</v>
      </c>
      <c r="H79" s="7" t="s">
        <v>6586</v>
      </c>
      <c r="I79" s="7" t="s">
        <v>6587</v>
      </c>
      <c r="J79" s="7" t="s">
        <v>6588</v>
      </c>
      <c r="K79" s="7" t="s">
        <v>6553</v>
      </c>
      <c r="L79" s="7">
        <v>4</v>
      </c>
      <c r="M79" s="7">
        <v>4</v>
      </c>
      <c r="N79" s="7">
        <v>3</v>
      </c>
      <c r="O79" s="7">
        <v>2</v>
      </c>
      <c r="P79" s="7">
        <v>1</v>
      </c>
      <c r="Q79" s="7">
        <v>1</v>
      </c>
      <c r="R79" s="7" t="s">
        <v>2501</v>
      </c>
      <c r="S79" s="7" t="s">
        <v>2614</v>
      </c>
      <c r="T79" s="7" t="s">
        <v>2509</v>
      </c>
      <c r="U79" s="7" t="s">
        <v>2510</v>
      </c>
      <c r="V79" s="7" t="s">
        <v>6589</v>
      </c>
    </row>
    <row r="80" spans="1:22" ht="71.25">
      <c r="A80" s="7" t="s">
        <v>2622</v>
      </c>
      <c r="B80" s="7" t="s">
        <v>63</v>
      </c>
      <c r="C80" s="7" t="s">
        <v>1121</v>
      </c>
      <c r="D80" s="7" t="s">
        <v>2623</v>
      </c>
      <c r="E80" s="7" t="s">
        <v>6590</v>
      </c>
      <c r="F80" s="7" t="s">
        <v>6591</v>
      </c>
      <c r="G80" s="7" t="s">
        <v>6592</v>
      </c>
      <c r="H80" s="7" t="s">
        <v>6593</v>
      </c>
      <c r="I80" s="7" t="s">
        <v>6594</v>
      </c>
      <c r="J80" s="7" t="s">
        <v>6595</v>
      </c>
      <c r="K80" s="7" t="s">
        <v>6596</v>
      </c>
      <c r="L80" s="7">
        <v>4</v>
      </c>
      <c r="M80" s="7">
        <v>4</v>
      </c>
      <c r="N80" s="7">
        <v>3</v>
      </c>
      <c r="O80" s="7">
        <v>2</v>
      </c>
      <c r="P80" s="7">
        <v>1</v>
      </c>
      <c r="Q80" s="7">
        <v>1</v>
      </c>
      <c r="R80" s="7" t="s">
        <v>2501</v>
      </c>
      <c r="S80" s="7" t="s">
        <v>2624</v>
      </c>
      <c r="T80" s="7" t="s">
        <v>2509</v>
      </c>
      <c r="U80" s="7" t="s">
        <v>2510</v>
      </c>
      <c r="V80" s="7" t="s">
        <v>6597</v>
      </c>
    </row>
    <row r="81" spans="1:22" ht="85.5">
      <c r="A81" s="7" t="s">
        <v>2632</v>
      </c>
      <c r="B81" s="7" t="s">
        <v>63</v>
      </c>
      <c r="C81" s="7" t="s">
        <v>1121</v>
      </c>
      <c r="D81" s="7" t="s">
        <v>2633</v>
      </c>
      <c r="E81" s="7" t="s">
        <v>6598</v>
      </c>
      <c r="F81" s="7" t="s">
        <v>6599</v>
      </c>
      <c r="G81" s="7" t="s">
        <v>6600</v>
      </c>
      <c r="H81" s="7" t="s">
        <v>6601</v>
      </c>
      <c r="I81" s="7" t="s">
        <v>6602</v>
      </c>
      <c r="J81" s="7" t="s">
        <v>6603</v>
      </c>
      <c r="K81" s="7" t="s">
        <v>6596</v>
      </c>
      <c r="L81" s="7">
        <v>5</v>
      </c>
      <c r="M81" s="7">
        <v>5</v>
      </c>
      <c r="N81" s="7">
        <v>4</v>
      </c>
      <c r="O81" s="7">
        <v>3</v>
      </c>
      <c r="P81" s="7">
        <v>2</v>
      </c>
      <c r="Q81" s="7">
        <v>1</v>
      </c>
      <c r="R81" s="7" t="s">
        <v>2501</v>
      </c>
      <c r="S81" s="7" t="s">
        <v>2634</v>
      </c>
      <c r="T81" s="7" t="s">
        <v>2509</v>
      </c>
      <c r="U81" s="7" t="s">
        <v>2510</v>
      </c>
      <c r="V81" s="7" t="s">
        <v>6604</v>
      </c>
    </row>
    <row r="82" spans="1:22" ht="71.25">
      <c r="A82" s="7" t="s">
        <v>2642</v>
      </c>
      <c r="B82" s="7" t="s">
        <v>63</v>
      </c>
      <c r="C82" s="7" t="s">
        <v>1121</v>
      </c>
      <c r="D82" s="7" t="s">
        <v>2643</v>
      </c>
      <c r="E82" s="7" t="s">
        <v>6605</v>
      </c>
      <c r="F82" s="7" t="s">
        <v>6606</v>
      </c>
      <c r="G82" s="7" t="s">
        <v>6607</v>
      </c>
      <c r="H82" s="7" t="s">
        <v>6608</v>
      </c>
      <c r="I82" s="7" t="s">
        <v>6609</v>
      </c>
      <c r="J82" s="7" t="s">
        <v>6610</v>
      </c>
      <c r="K82" s="7" t="s">
        <v>6596</v>
      </c>
      <c r="L82" s="7">
        <v>5</v>
      </c>
      <c r="M82" s="7">
        <v>5</v>
      </c>
      <c r="N82" s="7">
        <v>4</v>
      </c>
      <c r="O82" s="7">
        <v>3</v>
      </c>
      <c r="P82" s="7">
        <v>2</v>
      </c>
      <c r="Q82" s="7">
        <v>1</v>
      </c>
      <c r="R82" s="7" t="s">
        <v>2501</v>
      </c>
      <c r="S82" s="7" t="s">
        <v>2644</v>
      </c>
      <c r="T82" s="7" t="s">
        <v>2509</v>
      </c>
      <c r="U82" s="7" t="s">
        <v>2510</v>
      </c>
      <c r="V82" s="7" t="s">
        <v>6611</v>
      </c>
    </row>
    <row r="83" spans="1:22" ht="71.25">
      <c r="A83" s="7" t="s">
        <v>2652</v>
      </c>
      <c r="B83" s="7" t="s">
        <v>63</v>
      </c>
      <c r="C83" s="7" t="s">
        <v>1121</v>
      </c>
      <c r="D83" s="7" t="s">
        <v>2653</v>
      </c>
      <c r="E83" s="7" t="s">
        <v>6612</v>
      </c>
      <c r="F83" s="7" t="s">
        <v>6613</v>
      </c>
      <c r="G83" s="7" t="s">
        <v>6614</v>
      </c>
      <c r="H83" s="7" t="s">
        <v>6615</v>
      </c>
      <c r="I83" s="7" t="s">
        <v>6616</v>
      </c>
      <c r="J83" s="7" t="s">
        <v>6617</v>
      </c>
      <c r="K83" s="7" t="s">
        <v>6596</v>
      </c>
      <c r="L83" s="7">
        <v>4</v>
      </c>
      <c r="M83" s="7">
        <v>4</v>
      </c>
      <c r="N83" s="7">
        <v>3</v>
      </c>
      <c r="O83" s="7">
        <v>2</v>
      </c>
      <c r="P83" s="7">
        <v>1</v>
      </c>
      <c r="Q83" s="7">
        <v>1</v>
      </c>
      <c r="R83" s="7" t="s">
        <v>2501</v>
      </c>
      <c r="S83" s="7" t="s">
        <v>2654</v>
      </c>
      <c r="T83" s="7" t="s">
        <v>2509</v>
      </c>
      <c r="U83" s="7" t="s">
        <v>2510</v>
      </c>
      <c r="V83" s="7" t="s">
        <v>6618</v>
      </c>
    </row>
    <row r="84" spans="1:22" ht="85.5">
      <c r="A84" s="7" t="s">
        <v>2662</v>
      </c>
      <c r="B84" s="7" t="s">
        <v>63</v>
      </c>
      <c r="C84" s="7" t="s">
        <v>1121</v>
      </c>
      <c r="D84" s="7" t="s">
        <v>2663</v>
      </c>
      <c r="E84" s="7" t="s">
        <v>6619</v>
      </c>
      <c r="F84" s="7" t="s">
        <v>6620</v>
      </c>
      <c r="G84" s="7" t="s">
        <v>6621</v>
      </c>
      <c r="H84" s="7" t="s">
        <v>6622</v>
      </c>
      <c r="I84" s="7" t="s">
        <v>6623</v>
      </c>
      <c r="J84" s="7" t="s">
        <v>6624</v>
      </c>
      <c r="K84" s="7" t="s">
        <v>6596</v>
      </c>
      <c r="L84" s="7">
        <v>4</v>
      </c>
      <c r="M84" s="7">
        <v>4</v>
      </c>
      <c r="N84" s="7">
        <v>3</v>
      </c>
      <c r="O84" s="7">
        <v>2</v>
      </c>
      <c r="P84" s="7">
        <v>1</v>
      </c>
      <c r="Q84" s="7">
        <v>1</v>
      </c>
      <c r="R84" s="7" t="s">
        <v>2501</v>
      </c>
      <c r="S84" s="7" t="s">
        <v>2664</v>
      </c>
      <c r="T84" s="7" t="s">
        <v>2509</v>
      </c>
      <c r="U84" s="7" t="s">
        <v>2510</v>
      </c>
      <c r="V84" s="7" t="s">
        <v>6625</v>
      </c>
    </row>
    <row r="85" spans="1:22" ht="85.5">
      <c r="A85" s="7" t="s">
        <v>2672</v>
      </c>
      <c r="B85" s="7" t="s">
        <v>63</v>
      </c>
      <c r="C85" s="7" t="s">
        <v>1121</v>
      </c>
      <c r="D85" s="7" t="s">
        <v>2673</v>
      </c>
      <c r="E85" s="7" t="s">
        <v>6626</v>
      </c>
      <c r="F85" s="7" t="s">
        <v>6627</v>
      </c>
      <c r="G85" s="7" t="s">
        <v>6628</v>
      </c>
      <c r="H85" s="7" t="s">
        <v>6629</v>
      </c>
      <c r="I85" s="7" t="s">
        <v>6630</v>
      </c>
      <c r="J85" s="7" t="s">
        <v>6631</v>
      </c>
      <c r="K85" s="7" t="s">
        <v>6596</v>
      </c>
      <c r="L85" s="7">
        <v>4</v>
      </c>
      <c r="M85" s="7">
        <v>4</v>
      </c>
      <c r="N85" s="7">
        <v>3</v>
      </c>
      <c r="O85" s="7">
        <v>2</v>
      </c>
      <c r="P85" s="7">
        <v>1</v>
      </c>
      <c r="Q85" s="7">
        <v>1</v>
      </c>
      <c r="R85" s="7" t="s">
        <v>2501</v>
      </c>
      <c r="S85" s="7" t="s">
        <v>2674</v>
      </c>
      <c r="T85" s="7" t="s">
        <v>2509</v>
      </c>
      <c r="U85" s="7" t="s">
        <v>2510</v>
      </c>
      <c r="V85" s="7" t="s">
        <v>6632</v>
      </c>
    </row>
    <row r="86" spans="1:22" ht="71.25">
      <c r="A86" s="7" t="s">
        <v>2682</v>
      </c>
      <c r="B86" s="7" t="s">
        <v>63</v>
      </c>
      <c r="C86" s="7" t="s">
        <v>1121</v>
      </c>
      <c r="D86" s="7" t="s">
        <v>2683</v>
      </c>
      <c r="E86" s="7" t="s">
        <v>6633</v>
      </c>
      <c r="F86" s="7" t="s">
        <v>6634</v>
      </c>
      <c r="G86" s="7" t="s">
        <v>6635</v>
      </c>
      <c r="H86" s="7" t="s">
        <v>6636</v>
      </c>
      <c r="I86" s="7" t="s">
        <v>6637</v>
      </c>
      <c r="J86" s="7" t="s">
        <v>6638</v>
      </c>
      <c r="K86" s="7" t="s">
        <v>6596</v>
      </c>
      <c r="L86" s="7">
        <v>4</v>
      </c>
      <c r="M86" s="7">
        <v>4</v>
      </c>
      <c r="N86" s="7">
        <v>3</v>
      </c>
      <c r="O86" s="7">
        <v>2</v>
      </c>
      <c r="P86" s="7">
        <v>1</v>
      </c>
      <c r="Q86" s="7">
        <v>1</v>
      </c>
      <c r="R86" s="7" t="s">
        <v>2501</v>
      </c>
      <c r="S86" s="7" t="s">
        <v>2684</v>
      </c>
      <c r="T86" s="7" t="s">
        <v>2509</v>
      </c>
      <c r="U86" s="7" t="s">
        <v>2510</v>
      </c>
      <c r="V86" s="7" t="s">
        <v>6639</v>
      </c>
    </row>
    <row r="87" spans="1:22" ht="85.5">
      <c r="A87" s="7" t="s">
        <v>2692</v>
      </c>
      <c r="B87" s="7" t="s">
        <v>63</v>
      </c>
      <c r="C87" s="7" t="s">
        <v>1129</v>
      </c>
      <c r="D87" s="7" t="s">
        <v>2693</v>
      </c>
      <c r="E87" s="7" t="s">
        <v>6640</v>
      </c>
      <c r="F87" s="7" t="s">
        <v>6641</v>
      </c>
      <c r="G87" s="7" t="s">
        <v>6642</v>
      </c>
      <c r="H87" s="7" t="s">
        <v>6643</v>
      </c>
      <c r="I87" s="7" t="s">
        <v>6644</v>
      </c>
      <c r="J87" s="7" t="s">
        <v>6645</v>
      </c>
      <c r="K87" s="7" t="s">
        <v>6646</v>
      </c>
      <c r="L87" s="7">
        <v>5</v>
      </c>
      <c r="M87" s="7">
        <v>5</v>
      </c>
      <c r="N87" s="7">
        <v>4</v>
      </c>
      <c r="O87" s="7">
        <v>3</v>
      </c>
      <c r="P87" s="7">
        <v>2</v>
      </c>
      <c r="Q87" s="7">
        <v>1</v>
      </c>
      <c r="R87" s="7" t="s">
        <v>2501</v>
      </c>
      <c r="S87" s="7" t="s">
        <v>2694</v>
      </c>
      <c r="T87" s="7" t="s">
        <v>2509</v>
      </c>
      <c r="U87" s="7" t="s">
        <v>2510</v>
      </c>
      <c r="V87" s="7" t="s">
        <v>6647</v>
      </c>
    </row>
    <row r="88" spans="1:22" ht="71.25">
      <c r="A88" s="7" t="s">
        <v>2702</v>
      </c>
      <c r="B88" s="7" t="s">
        <v>63</v>
      </c>
      <c r="C88" s="7" t="s">
        <v>1129</v>
      </c>
      <c r="D88" s="7" t="s">
        <v>2703</v>
      </c>
      <c r="E88" s="7" t="s">
        <v>6648</v>
      </c>
      <c r="F88" s="7" t="s">
        <v>6649</v>
      </c>
      <c r="G88" s="7" t="s">
        <v>6650</v>
      </c>
      <c r="H88" s="7" t="s">
        <v>6651</v>
      </c>
      <c r="I88" s="7" t="s">
        <v>6652</v>
      </c>
      <c r="J88" s="7" t="s">
        <v>6653</v>
      </c>
      <c r="K88" s="7" t="s">
        <v>6646</v>
      </c>
      <c r="L88" s="7">
        <v>4</v>
      </c>
      <c r="M88" s="7">
        <v>4</v>
      </c>
      <c r="N88" s="7">
        <v>3</v>
      </c>
      <c r="O88" s="7">
        <v>2</v>
      </c>
      <c r="P88" s="7">
        <v>1</v>
      </c>
      <c r="Q88" s="7">
        <v>1</v>
      </c>
      <c r="R88" s="7" t="s">
        <v>2501</v>
      </c>
      <c r="S88" s="7" t="s">
        <v>2704</v>
      </c>
      <c r="T88" s="7" t="s">
        <v>2509</v>
      </c>
      <c r="U88" s="7" t="s">
        <v>2510</v>
      </c>
      <c r="V88" s="7" t="s">
        <v>6654</v>
      </c>
    </row>
    <row r="89" spans="1:22" ht="85.5">
      <c r="A89" s="7" t="s">
        <v>2712</v>
      </c>
      <c r="B89" s="7" t="s">
        <v>63</v>
      </c>
      <c r="C89" s="7" t="s">
        <v>1129</v>
      </c>
      <c r="D89" s="7" t="s">
        <v>2713</v>
      </c>
      <c r="E89" s="7" t="s">
        <v>6655</v>
      </c>
      <c r="F89" s="7" t="s">
        <v>6656</v>
      </c>
      <c r="G89" s="7" t="s">
        <v>6657</v>
      </c>
      <c r="H89" s="7" t="s">
        <v>6658</v>
      </c>
      <c r="I89" s="7" t="s">
        <v>6659</v>
      </c>
      <c r="J89" s="7" t="s">
        <v>6660</v>
      </c>
      <c r="K89" s="7" t="s">
        <v>6646</v>
      </c>
      <c r="L89" s="7">
        <v>4</v>
      </c>
      <c r="M89" s="7">
        <v>4</v>
      </c>
      <c r="N89" s="7">
        <v>3</v>
      </c>
      <c r="O89" s="7">
        <v>2</v>
      </c>
      <c r="P89" s="7">
        <v>1</v>
      </c>
      <c r="Q89" s="7">
        <v>1</v>
      </c>
      <c r="R89" s="7" t="s">
        <v>2501</v>
      </c>
      <c r="S89" s="7" t="s">
        <v>2714</v>
      </c>
      <c r="T89" s="7" t="s">
        <v>2509</v>
      </c>
      <c r="U89" s="7" t="s">
        <v>2510</v>
      </c>
      <c r="V89" s="7" t="s">
        <v>6661</v>
      </c>
    </row>
    <row r="90" spans="1:22" ht="71.25">
      <c r="A90" s="7" t="s">
        <v>2722</v>
      </c>
      <c r="B90" s="7" t="s">
        <v>63</v>
      </c>
      <c r="C90" s="7" t="s">
        <v>1129</v>
      </c>
      <c r="D90" s="7" t="s">
        <v>2723</v>
      </c>
      <c r="E90" s="7" t="s">
        <v>6662</v>
      </c>
      <c r="F90" s="7" t="s">
        <v>6663</v>
      </c>
      <c r="G90" s="7" t="s">
        <v>6664</v>
      </c>
      <c r="H90" s="7" t="s">
        <v>6665</v>
      </c>
      <c r="I90" s="7" t="s">
        <v>6666</v>
      </c>
      <c r="J90" s="7" t="s">
        <v>6667</v>
      </c>
      <c r="K90" s="7" t="s">
        <v>6646</v>
      </c>
      <c r="L90" s="7">
        <v>4</v>
      </c>
      <c r="M90" s="7">
        <v>4</v>
      </c>
      <c r="N90" s="7">
        <v>3</v>
      </c>
      <c r="O90" s="7">
        <v>2</v>
      </c>
      <c r="P90" s="7">
        <v>1</v>
      </c>
      <c r="Q90" s="7">
        <v>1</v>
      </c>
      <c r="R90" s="7" t="s">
        <v>2501</v>
      </c>
      <c r="S90" s="7" t="s">
        <v>2724</v>
      </c>
      <c r="T90" s="7" t="s">
        <v>2509</v>
      </c>
      <c r="U90" s="7" t="s">
        <v>2510</v>
      </c>
      <c r="V90" s="7" t="s">
        <v>6668</v>
      </c>
    </row>
    <row r="91" spans="1:22" ht="85.5">
      <c r="A91" s="7" t="s">
        <v>2732</v>
      </c>
      <c r="B91" s="7" t="s">
        <v>63</v>
      </c>
      <c r="C91" s="7" t="s">
        <v>1129</v>
      </c>
      <c r="D91" s="7" t="s">
        <v>2733</v>
      </c>
      <c r="E91" s="7" t="s">
        <v>6669</v>
      </c>
      <c r="F91" s="7" t="s">
        <v>6670</v>
      </c>
      <c r="G91" s="7" t="s">
        <v>6671</v>
      </c>
      <c r="H91" s="7" t="s">
        <v>6672</v>
      </c>
      <c r="I91" s="7" t="s">
        <v>6673</v>
      </c>
      <c r="J91" s="7" t="s">
        <v>6674</v>
      </c>
      <c r="K91" s="7" t="s">
        <v>6646</v>
      </c>
      <c r="L91" s="7">
        <v>4</v>
      </c>
      <c r="M91" s="7">
        <v>4</v>
      </c>
      <c r="N91" s="7">
        <v>3</v>
      </c>
      <c r="O91" s="7">
        <v>2</v>
      </c>
      <c r="P91" s="7">
        <v>1</v>
      </c>
      <c r="Q91" s="7">
        <v>1</v>
      </c>
      <c r="R91" s="7" t="s">
        <v>2501</v>
      </c>
      <c r="S91" s="7" t="s">
        <v>2734</v>
      </c>
      <c r="T91" s="7" t="s">
        <v>2509</v>
      </c>
      <c r="U91" s="7" t="s">
        <v>2510</v>
      </c>
      <c r="V91" s="7" t="s">
        <v>6675</v>
      </c>
    </row>
    <row r="92" spans="1:22" ht="85.5">
      <c r="A92" s="7" t="s">
        <v>2744</v>
      </c>
      <c r="B92" s="7" t="s">
        <v>66</v>
      </c>
      <c r="C92" s="7" t="s">
        <v>1137</v>
      </c>
      <c r="D92" s="7" t="s">
        <v>2745</v>
      </c>
      <c r="E92" s="7" t="s">
        <v>6676</v>
      </c>
      <c r="F92" s="7" t="s">
        <v>6677</v>
      </c>
      <c r="G92" s="7" t="s">
        <v>6678</v>
      </c>
      <c r="H92" s="7" t="s">
        <v>6679</v>
      </c>
      <c r="I92" s="7" t="s">
        <v>6680</v>
      </c>
      <c r="J92" s="7" t="s">
        <v>6681</v>
      </c>
      <c r="K92" s="7" t="s">
        <v>6682</v>
      </c>
      <c r="L92" s="7">
        <v>5</v>
      </c>
      <c r="M92" s="7">
        <v>5</v>
      </c>
      <c r="N92" s="7">
        <v>4</v>
      </c>
      <c r="O92" s="7">
        <v>3</v>
      </c>
      <c r="P92" s="7">
        <v>2</v>
      </c>
      <c r="Q92" s="7">
        <v>1</v>
      </c>
      <c r="R92" s="7" t="s">
        <v>2747</v>
      </c>
      <c r="S92" s="7" t="s">
        <v>2748</v>
      </c>
      <c r="T92" s="7" t="s">
        <v>2755</v>
      </c>
      <c r="U92" s="7" t="s">
        <v>2756</v>
      </c>
      <c r="V92" s="7" t="s">
        <v>6683</v>
      </c>
    </row>
    <row r="93" spans="1:22" ht="71.25">
      <c r="A93" s="7" t="s">
        <v>2758</v>
      </c>
      <c r="B93" s="7" t="s">
        <v>66</v>
      </c>
      <c r="C93" s="7" t="s">
        <v>1137</v>
      </c>
      <c r="D93" s="7" t="s">
        <v>2759</v>
      </c>
      <c r="E93" s="7" t="s">
        <v>6684</v>
      </c>
      <c r="F93" s="7" t="s">
        <v>6685</v>
      </c>
      <c r="G93" s="7" t="s">
        <v>6686</v>
      </c>
      <c r="H93" s="7" t="s">
        <v>6687</v>
      </c>
      <c r="I93" s="7" t="s">
        <v>6688</v>
      </c>
      <c r="J93" s="7" t="s">
        <v>6689</v>
      </c>
      <c r="K93" s="7" t="s">
        <v>6682</v>
      </c>
      <c r="L93" s="7">
        <v>4</v>
      </c>
      <c r="M93" s="7">
        <v>4</v>
      </c>
      <c r="N93" s="7">
        <v>3</v>
      </c>
      <c r="O93" s="7">
        <v>2</v>
      </c>
      <c r="P93" s="7">
        <v>1</v>
      </c>
      <c r="Q93" s="7">
        <v>1</v>
      </c>
      <c r="R93" s="7" t="s">
        <v>2747</v>
      </c>
      <c r="S93" s="7" t="s">
        <v>2760</v>
      </c>
      <c r="T93" s="7" t="s">
        <v>2755</v>
      </c>
      <c r="U93" s="7" t="s">
        <v>2756</v>
      </c>
      <c r="V93" s="7" t="s">
        <v>6690</v>
      </c>
    </row>
    <row r="94" spans="1:22" ht="71.25">
      <c r="A94" s="7" t="s">
        <v>2768</v>
      </c>
      <c r="B94" s="7" t="s">
        <v>66</v>
      </c>
      <c r="C94" s="7" t="s">
        <v>1137</v>
      </c>
      <c r="D94" s="7" t="s">
        <v>2769</v>
      </c>
      <c r="E94" s="7" t="s">
        <v>6691</v>
      </c>
      <c r="F94" s="7" t="s">
        <v>6692</v>
      </c>
      <c r="G94" s="7" t="s">
        <v>6693</v>
      </c>
      <c r="H94" s="7" t="s">
        <v>6694</v>
      </c>
      <c r="I94" s="7" t="s">
        <v>6695</v>
      </c>
      <c r="J94" s="7" t="s">
        <v>6696</v>
      </c>
      <c r="K94" s="7" t="s">
        <v>6682</v>
      </c>
      <c r="L94" s="7">
        <v>4</v>
      </c>
      <c r="M94" s="7">
        <v>4</v>
      </c>
      <c r="N94" s="7">
        <v>3</v>
      </c>
      <c r="O94" s="7">
        <v>2</v>
      </c>
      <c r="P94" s="7">
        <v>1</v>
      </c>
      <c r="Q94" s="7">
        <v>1</v>
      </c>
      <c r="R94" s="7" t="s">
        <v>2747</v>
      </c>
      <c r="S94" s="7" t="s">
        <v>2770</v>
      </c>
      <c r="T94" s="7" t="s">
        <v>2755</v>
      </c>
      <c r="U94" s="7" t="s">
        <v>2756</v>
      </c>
      <c r="V94" s="7" t="s">
        <v>6697</v>
      </c>
    </row>
    <row r="95" spans="1:22" ht="85.5">
      <c r="A95" s="7" t="s">
        <v>2778</v>
      </c>
      <c r="B95" s="7" t="s">
        <v>66</v>
      </c>
      <c r="C95" s="7" t="s">
        <v>1137</v>
      </c>
      <c r="D95" s="7" t="s">
        <v>2779</v>
      </c>
      <c r="E95" s="7" t="s">
        <v>6698</v>
      </c>
      <c r="F95" s="7" t="s">
        <v>6699</v>
      </c>
      <c r="G95" s="7" t="s">
        <v>6700</v>
      </c>
      <c r="H95" s="7" t="s">
        <v>6701</v>
      </c>
      <c r="I95" s="7" t="s">
        <v>6702</v>
      </c>
      <c r="J95" s="7" t="s">
        <v>6703</v>
      </c>
      <c r="K95" s="7" t="s">
        <v>6682</v>
      </c>
      <c r="L95" s="7">
        <v>4</v>
      </c>
      <c r="M95" s="7">
        <v>4</v>
      </c>
      <c r="N95" s="7">
        <v>3</v>
      </c>
      <c r="O95" s="7">
        <v>2</v>
      </c>
      <c r="P95" s="7">
        <v>1</v>
      </c>
      <c r="Q95" s="7">
        <v>1</v>
      </c>
      <c r="R95" s="7" t="s">
        <v>2747</v>
      </c>
      <c r="S95" s="7" t="s">
        <v>2780</v>
      </c>
      <c r="T95" s="7" t="s">
        <v>2755</v>
      </c>
      <c r="U95" s="7" t="s">
        <v>2756</v>
      </c>
      <c r="V95" s="7" t="s">
        <v>6704</v>
      </c>
    </row>
    <row r="96" spans="1:22" ht="71.25">
      <c r="A96" s="7" t="s">
        <v>2788</v>
      </c>
      <c r="B96" s="7" t="s">
        <v>66</v>
      </c>
      <c r="C96" s="7" t="s">
        <v>1137</v>
      </c>
      <c r="D96" s="7" t="s">
        <v>2789</v>
      </c>
      <c r="E96" s="7" t="s">
        <v>6705</v>
      </c>
      <c r="F96" s="7" t="s">
        <v>6706</v>
      </c>
      <c r="G96" s="7" t="s">
        <v>6707</v>
      </c>
      <c r="H96" s="7" t="s">
        <v>6708</v>
      </c>
      <c r="I96" s="7" t="s">
        <v>6709</v>
      </c>
      <c r="J96" s="7" t="s">
        <v>6710</v>
      </c>
      <c r="K96" s="7" t="s">
        <v>6682</v>
      </c>
      <c r="L96" s="7">
        <v>5</v>
      </c>
      <c r="M96" s="7">
        <v>5</v>
      </c>
      <c r="N96" s="7">
        <v>4</v>
      </c>
      <c r="O96" s="7">
        <v>3</v>
      </c>
      <c r="P96" s="7">
        <v>2</v>
      </c>
      <c r="Q96" s="7">
        <v>1</v>
      </c>
      <c r="R96" s="7" t="s">
        <v>2747</v>
      </c>
      <c r="S96" s="7" t="s">
        <v>2790</v>
      </c>
      <c r="T96" s="7" t="s">
        <v>2755</v>
      </c>
      <c r="U96" s="7" t="s">
        <v>2756</v>
      </c>
      <c r="V96" s="7" t="s">
        <v>6711</v>
      </c>
    </row>
    <row r="97" spans="1:22" ht="99.75">
      <c r="A97" s="7" t="s">
        <v>2798</v>
      </c>
      <c r="B97" s="7" t="s">
        <v>66</v>
      </c>
      <c r="C97" s="7" t="s">
        <v>1137</v>
      </c>
      <c r="D97" s="7" t="s">
        <v>2799</v>
      </c>
      <c r="E97" s="7" t="s">
        <v>6712</v>
      </c>
      <c r="F97" s="7" t="s">
        <v>6713</v>
      </c>
      <c r="G97" s="7" t="s">
        <v>6714</v>
      </c>
      <c r="H97" s="7" t="s">
        <v>6715</v>
      </c>
      <c r="I97" s="7" t="s">
        <v>6716</v>
      </c>
      <c r="J97" s="7" t="s">
        <v>6717</v>
      </c>
      <c r="K97" s="7" t="s">
        <v>6682</v>
      </c>
      <c r="L97" s="7">
        <v>4</v>
      </c>
      <c r="M97" s="7">
        <v>4</v>
      </c>
      <c r="N97" s="7">
        <v>3</v>
      </c>
      <c r="O97" s="7">
        <v>2</v>
      </c>
      <c r="P97" s="7">
        <v>1</v>
      </c>
      <c r="Q97" s="7">
        <v>1</v>
      </c>
      <c r="R97" s="7" t="s">
        <v>2747</v>
      </c>
      <c r="S97" s="7" t="s">
        <v>2800</v>
      </c>
      <c r="T97" s="7" t="s">
        <v>2755</v>
      </c>
      <c r="U97" s="7" t="s">
        <v>2756</v>
      </c>
      <c r="V97" s="7" t="s">
        <v>6718</v>
      </c>
    </row>
    <row r="98" spans="1:22" ht="85.5">
      <c r="A98" s="7" t="s">
        <v>2808</v>
      </c>
      <c r="B98" s="7" t="s">
        <v>66</v>
      </c>
      <c r="C98" s="7" t="s">
        <v>1147</v>
      </c>
      <c r="D98" s="7" t="s">
        <v>2809</v>
      </c>
      <c r="E98" s="7" t="s">
        <v>6719</v>
      </c>
      <c r="F98" s="7" t="s">
        <v>6720</v>
      </c>
      <c r="G98" s="7" t="s">
        <v>6721</v>
      </c>
      <c r="H98" s="7" t="s">
        <v>6722</v>
      </c>
      <c r="I98" s="7" t="s">
        <v>6723</v>
      </c>
      <c r="J98" s="7" t="s">
        <v>6724</v>
      </c>
      <c r="K98" s="7" t="s">
        <v>6725</v>
      </c>
      <c r="L98" s="7">
        <v>4</v>
      </c>
      <c r="M98" s="7">
        <v>4</v>
      </c>
      <c r="N98" s="7">
        <v>3</v>
      </c>
      <c r="O98" s="7">
        <v>2</v>
      </c>
      <c r="P98" s="7">
        <v>1</v>
      </c>
      <c r="Q98" s="7">
        <v>1</v>
      </c>
      <c r="R98" s="7" t="s">
        <v>2747</v>
      </c>
      <c r="S98" s="7" t="s">
        <v>2810</v>
      </c>
      <c r="T98" s="7" t="s">
        <v>2755</v>
      </c>
      <c r="U98" s="7" t="s">
        <v>2756</v>
      </c>
      <c r="V98" s="7" t="s">
        <v>6726</v>
      </c>
    </row>
    <row r="99" spans="1:22" ht="85.5">
      <c r="A99" s="7" t="s">
        <v>2818</v>
      </c>
      <c r="B99" s="7" t="s">
        <v>66</v>
      </c>
      <c r="C99" s="7" t="s">
        <v>1147</v>
      </c>
      <c r="D99" s="7" t="s">
        <v>2819</v>
      </c>
      <c r="E99" s="7" t="s">
        <v>6727</v>
      </c>
      <c r="F99" s="7" t="s">
        <v>6728</v>
      </c>
      <c r="G99" s="7" t="s">
        <v>6729</v>
      </c>
      <c r="H99" s="7" t="s">
        <v>6730</v>
      </c>
      <c r="I99" s="7" t="s">
        <v>6731</v>
      </c>
      <c r="J99" s="7" t="s">
        <v>6732</v>
      </c>
      <c r="K99" s="7" t="s">
        <v>6725</v>
      </c>
      <c r="L99" s="7">
        <v>5</v>
      </c>
      <c r="M99" s="7">
        <v>5</v>
      </c>
      <c r="N99" s="7">
        <v>4</v>
      </c>
      <c r="O99" s="7">
        <v>3</v>
      </c>
      <c r="P99" s="7">
        <v>2</v>
      </c>
      <c r="Q99" s="7">
        <v>1</v>
      </c>
      <c r="R99" s="7" t="s">
        <v>2747</v>
      </c>
      <c r="S99" s="7" t="s">
        <v>2820</v>
      </c>
      <c r="T99" s="7" t="s">
        <v>2755</v>
      </c>
      <c r="U99" s="7" t="s">
        <v>2756</v>
      </c>
      <c r="V99" s="7" t="s">
        <v>6733</v>
      </c>
    </row>
    <row r="100" spans="1:22" ht="85.5">
      <c r="A100" s="7" t="s">
        <v>2828</v>
      </c>
      <c r="B100" s="7" t="s">
        <v>66</v>
      </c>
      <c r="C100" s="7" t="s">
        <v>1147</v>
      </c>
      <c r="D100" s="7" t="s">
        <v>2829</v>
      </c>
      <c r="E100" s="7" t="s">
        <v>6734</v>
      </c>
      <c r="F100" s="7" t="s">
        <v>6735</v>
      </c>
      <c r="G100" s="7" t="s">
        <v>6736</v>
      </c>
      <c r="H100" s="7" t="s">
        <v>6737</v>
      </c>
      <c r="I100" s="7" t="s">
        <v>6738</v>
      </c>
      <c r="J100" s="7" t="s">
        <v>6739</v>
      </c>
      <c r="K100" s="7" t="s">
        <v>6725</v>
      </c>
      <c r="L100" s="7">
        <v>4</v>
      </c>
      <c r="M100" s="7">
        <v>4</v>
      </c>
      <c r="N100" s="7">
        <v>3</v>
      </c>
      <c r="O100" s="7">
        <v>2</v>
      </c>
      <c r="P100" s="7">
        <v>1</v>
      </c>
      <c r="Q100" s="7">
        <v>1</v>
      </c>
      <c r="R100" s="7" t="s">
        <v>2747</v>
      </c>
      <c r="S100" s="7" t="s">
        <v>2830</v>
      </c>
      <c r="T100" s="7" t="s">
        <v>2755</v>
      </c>
      <c r="U100" s="7" t="s">
        <v>2756</v>
      </c>
      <c r="V100" s="7" t="s">
        <v>6740</v>
      </c>
    </row>
    <row r="101" spans="1:22" ht="85.5">
      <c r="A101" s="7" t="s">
        <v>2838</v>
      </c>
      <c r="B101" s="7" t="s">
        <v>66</v>
      </c>
      <c r="C101" s="7" t="s">
        <v>1147</v>
      </c>
      <c r="D101" s="7" t="s">
        <v>2839</v>
      </c>
      <c r="E101" s="7" t="s">
        <v>6741</v>
      </c>
      <c r="F101" s="7" t="s">
        <v>6742</v>
      </c>
      <c r="G101" s="7" t="s">
        <v>6743</v>
      </c>
      <c r="H101" s="7" t="s">
        <v>6744</v>
      </c>
      <c r="I101" s="7" t="s">
        <v>6745</v>
      </c>
      <c r="J101" s="7" t="s">
        <v>6746</v>
      </c>
      <c r="K101" s="7" t="s">
        <v>6725</v>
      </c>
      <c r="L101" s="7">
        <v>5</v>
      </c>
      <c r="M101" s="7">
        <v>5</v>
      </c>
      <c r="N101" s="7">
        <v>4</v>
      </c>
      <c r="O101" s="7">
        <v>3</v>
      </c>
      <c r="P101" s="7">
        <v>2</v>
      </c>
      <c r="Q101" s="7">
        <v>1</v>
      </c>
      <c r="R101" s="7" t="s">
        <v>2747</v>
      </c>
      <c r="S101" s="7" t="s">
        <v>2840</v>
      </c>
      <c r="T101" s="7" t="s">
        <v>2755</v>
      </c>
      <c r="U101" s="7" t="s">
        <v>2756</v>
      </c>
      <c r="V101" s="7" t="s">
        <v>6747</v>
      </c>
    </row>
    <row r="102" spans="1:22" ht="85.5">
      <c r="A102" s="7" t="s">
        <v>2848</v>
      </c>
      <c r="B102" s="7" t="s">
        <v>66</v>
      </c>
      <c r="C102" s="7" t="s">
        <v>1147</v>
      </c>
      <c r="D102" s="7" t="s">
        <v>2849</v>
      </c>
      <c r="E102" s="7" t="s">
        <v>6748</v>
      </c>
      <c r="F102" s="7" t="s">
        <v>6749</v>
      </c>
      <c r="G102" s="7" t="s">
        <v>6750</v>
      </c>
      <c r="H102" s="7" t="s">
        <v>6751</v>
      </c>
      <c r="I102" s="7" t="s">
        <v>6752</v>
      </c>
      <c r="J102" s="7" t="s">
        <v>6753</v>
      </c>
      <c r="K102" s="7" t="s">
        <v>6725</v>
      </c>
      <c r="L102" s="7">
        <v>4</v>
      </c>
      <c r="M102" s="7">
        <v>4</v>
      </c>
      <c r="N102" s="7">
        <v>3</v>
      </c>
      <c r="O102" s="7">
        <v>2</v>
      </c>
      <c r="P102" s="7">
        <v>1</v>
      </c>
      <c r="Q102" s="7">
        <v>1</v>
      </c>
      <c r="R102" s="7" t="s">
        <v>2747</v>
      </c>
      <c r="S102" s="7" t="s">
        <v>2850</v>
      </c>
      <c r="T102" s="7" t="s">
        <v>2755</v>
      </c>
      <c r="U102" s="7" t="s">
        <v>2756</v>
      </c>
      <c r="V102" s="7" t="s">
        <v>6754</v>
      </c>
    </row>
    <row r="103" spans="1:22" ht="85.5">
      <c r="A103" s="7" t="s">
        <v>2858</v>
      </c>
      <c r="B103" s="7" t="s">
        <v>66</v>
      </c>
      <c r="C103" s="7" t="s">
        <v>1147</v>
      </c>
      <c r="D103" s="7" t="s">
        <v>2859</v>
      </c>
      <c r="E103" s="7" t="s">
        <v>6755</v>
      </c>
      <c r="F103" s="7" t="s">
        <v>6756</v>
      </c>
      <c r="G103" s="7" t="s">
        <v>6757</v>
      </c>
      <c r="H103" s="7" t="s">
        <v>6758</v>
      </c>
      <c r="I103" s="7" t="s">
        <v>6759</v>
      </c>
      <c r="J103" s="7" t="s">
        <v>6760</v>
      </c>
      <c r="K103" s="7" t="s">
        <v>6725</v>
      </c>
      <c r="L103" s="7">
        <v>4</v>
      </c>
      <c r="M103" s="7">
        <v>4</v>
      </c>
      <c r="N103" s="7">
        <v>3</v>
      </c>
      <c r="O103" s="7">
        <v>2</v>
      </c>
      <c r="P103" s="7">
        <v>1</v>
      </c>
      <c r="Q103" s="7">
        <v>1</v>
      </c>
      <c r="R103" s="7" t="s">
        <v>2747</v>
      </c>
      <c r="S103" s="7" t="s">
        <v>2860</v>
      </c>
      <c r="T103" s="7" t="s">
        <v>2755</v>
      </c>
      <c r="U103" s="7" t="s">
        <v>2756</v>
      </c>
      <c r="V103" s="7" t="s">
        <v>6761</v>
      </c>
    </row>
    <row r="104" spans="1:22" ht="85.5">
      <c r="A104" s="7" t="s">
        <v>2868</v>
      </c>
      <c r="B104" s="7" t="s">
        <v>66</v>
      </c>
      <c r="C104" s="7" t="s">
        <v>1158</v>
      </c>
      <c r="D104" s="7" t="s">
        <v>2869</v>
      </c>
      <c r="E104" s="7" t="s">
        <v>6762</v>
      </c>
      <c r="F104" s="7" t="s">
        <v>6763</v>
      </c>
      <c r="G104" s="7" t="s">
        <v>6764</v>
      </c>
      <c r="H104" s="7" t="s">
        <v>6765</v>
      </c>
      <c r="I104" s="7" t="s">
        <v>6766</v>
      </c>
      <c r="J104" s="7" t="s">
        <v>6767</v>
      </c>
      <c r="K104" s="7" t="s">
        <v>6768</v>
      </c>
      <c r="L104" s="7">
        <v>4</v>
      </c>
      <c r="M104" s="7">
        <v>4</v>
      </c>
      <c r="N104" s="7">
        <v>3</v>
      </c>
      <c r="O104" s="7">
        <v>2</v>
      </c>
      <c r="P104" s="7">
        <v>1</v>
      </c>
      <c r="Q104" s="7">
        <v>1</v>
      </c>
      <c r="R104" s="7" t="s">
        <v>2747</v>
      </c>
      <c r="S104" s="7" t="s">
        <v>2870</v>
      </c>
      <c r="T104" s="7" t="s">
        <v>2755</v>
      </c>
      <c r="U104" s="7" t="s">
        <v>2756</v>
      </c>
      <c r="V104" s="7" t="s">
        <v>6769</v>
      </c>
    </row>
    <row r="105" spans="1:22" ht="85.5">
      <c r="A105" s="7" t="s">
        <v>2878</v>
      </c>
      <c r="B105" s="7" t="s">
        <v>66</v>
      </c>
      <c r="C105" s="7" t="s">
        <v>1158</v>
      </c>
      <c r="D105" s="7" t="s">
        <v>2879</v>
      </c>
      <c r="E105" s="7" t="s">
        <v>6770</v>
      </c>
      <c r="F105" s="7" t="s">
        <v>6771</v>
      </c>
      <c r="G105" s="7" t="s">
        <v>6772</v>
      </c>
      <c r="H105" s="7" t="s">
        <v>6773</v>
      </c>
      <c r="I105" s="7" t="s">
        <v>6774</v>
      </c>
      <c r="J105" s="7" t="s">
        <v>6775</v>
      </c>
      <c r="K105" s="7" t="s">
        <v>6768</v>
      </c>
      <c r="L105" s="7">
        <v>5</v>
      </c>
      <c r="M105" s="7">
        <v>5</v>
      </c>
      <c r="N105" s="7">
        <v>4</v>
      </c>
      <c r="O105" s="7">
        <v>3</v>
      </c>
      <c r="P105" s="7">
        <v>2</v>
      </c>
      <c r="Q105" s="7">
        <v>1</v>
      </c>
      <c r="R105" s="7" t="s">
        <v>2747</v>
      </c>
      <c r="S105" s="7" t="s">
        <v>2880</v>
      </c>
      <c r="T105" s="7" t="s">
        <v>2755</v>
      </c>
      <c r="U105" s="7" t="s">
        <v>2756</v>
      </c>
      <c r="V105" s="7" t="s">
        <v>6776</v>
      </c>
    </row>
    <row r="106" spans="1:22" ht="71.25">
      <c r="A106" s="7" t="s">
        <v>2888</v>
      </c>
      <c r="B106" s="7" t="s">
        <v>66</v>
      </c>
      <c r="C106" s="7" t="s">
        <v>1158</v>
      </c>
      <c r="D106" s="7" t="s">
        <v>2889</v>
      </c>
      <c r="E106" s="7" t="s">
        <v>6777</v>
      </c>
      <c r="F106" s="7" t="s">
        <v>6778</v>
      </c>
      <c r="G106" s="7" t="s">
        <v>6779</v>
      </c>
      <c r="H106" s="7" t="s">
        <v>6780</v>
      </c>
      <c r="I106" s="7" t="s">
        <v>6781</v>
      </c>
      <c r="J106" s="7" t="s">
        <v>6782</v>
      </c>
      <c r="K106" s="7" t="s">
        <v>6768</v>
      </c>
      <c r="L106" s="7">
        <v>4</v>
      </c>
      <c r="M106" s="7">
        <v>4</v>
      </c>
      <c r="N106" s="7">
        <v>3</v>
      </c>
      <c r="O106" s="7">
        <v>2</v>
      </c>
      <c r="P106" s="7">
        <v>1</v>
      </c>
      <c r="Q106" s="7">
        <v>1</v>
      </c>
      <c r="R106" s="7" t="s">
        <v>2747</v>
      </c>
      <c r="S106" s="7" t="s">
        <v>2890</v>
      </c>
      <c r="T106" s="7" t="s">
        <v>2755</v>
      </c>
      <c r="U106" s="7" t="s">
        <v>2756</v>
      </c>
      <c r="V106" s="7" t="s">
        <v>6783</v>
      </c>
    </row>
    <row r="107" spans="1:22" ht="85.5">
      <c r="A107" s="7" t="s">
        <v>2898</v>
      </c>
      <c r="B107" s="7" t="s">
        <v>66</v>
      </c>
      <c r="C107" s="7" t="s">
        <v>1158</v>
      </c>
      <c r="D107" s="7" t="s">
        <v>2899</v>
      </c>
      <c r="E107" s="7" t="s">
        <v>6784</v>
      </c>
      <c r="F107" s="7" t="s">
        <v>6785</v>
      </c>
      <c r="G107" s="7" t="s">
        <v>6786</v>
      </c>
      <c r="H107" s="7" t="s">
        <v>6787</v>
      </c>
      <c r="I107" s="7" t="s">
        <v>6788</v>
      </c>
      <c r="J107" s="7" t="s">
        <v>6789</v>
      </c>
      <c r="K107" s="7" t="s">
        <v>6768</v>
      </c>
      <c r="L107" s="7">
        <v>5</v>
      </c>
      <c r="M107" s="7">
        <v>5</v>
      </c>
      <c r="N107" s="7">
        <v>4</v>
      </c>
      <c r="O107" s="7">
        <v>3</v>
      </c>
      <c r="P107" s="7">
        <v>2</v>
      </c>
      <c r="Q107" s="7">
        <v>1</v>
      </c>
      <c r="R107" s="7" t="s">
        <v>2747</v>
      </c>
      <c r="S107" s="7" t="s">
        <v>2900</v>
      </c>
      <c r="T107" s="7" t="s">
        <v>2755</v>
      </c>
      <c r="U107" s="7" t="s">
        <v>2756</v>
      </c>
      <c r="V107" s="7" t="s">
        <v>6790</v>
      </c>
    </row>
    <row r="108" spans="1:22" ht="85.5">
      <c r="A108" s="7" t="s">
        <v>2908</v>
      </c>
      <c r="B108" s="7" t="s">
        <v>66</v>
      </c>
      <c r="C108" s="7" t="s">
        <v>1158</v>
      </c>
      <c r="D108" s="7" t="s">
        <v>2909</v>
      </c>
      <c r="E108" s="7" t="s">
        <v>6791</v>
      </c>
      <c r="F108" s="7" t="s">
        <v>6792</v>
      </c>
      <c r="G108" s="7" t="s">
        <v>6793</v>
      </c>
      <c r="H108" s="7" t="s">
        <v>6794</v>
      </c>
      <c r="I108" s="7" t="s">
        <v>6795</v>
      </c>
      <c r="J108" s="7" t="s">
        <v>6796</v>
      </c>
      <c r="K108" s="7" t="s">
        <v>6768</v>
      </c>
      <c r="L108" s="7">
        <v>5</v>
      </c>
      <c r="M108" s="7">
        <v>5</v>
      </c>
      <c r="N108" s="7">
        <v>4</v>
      </c>
      <c r="O108" s="7">
        <v>3</v>
      </c>
      <c r="P108" s="7">
        <v>2</v>
      </c>
      <c r="Q108" s="7">
        <v>1</v>
      </c>
      <c r="R108" s="7" t="s">
        <v>2747</v>
      </c>
      <c r="S108" s="7" t="s">
        <v>2910</v>
      </c>
      <c r="T108" s="7" t="s">
        <v>2755</v>
      </c>
      <c r="U108" s="7" t="s">
        <v>2756</v>
      </c>
      <c r="V108" s="7" t="s">
        <v>6797</v>
      </c>
    </row>
    <row r="109" spans="1:22" ht="85.5">
      <c r="A109" s="7" t="s">
        <v>2918</v>
      </c>
      <c r="B109" s="7" t="s">
        <v>66</v>
      </c>
      <c r="C109" s="7" t="s">
        <v>1158</v>
      </c>
      <c r="D109" s="7" t="s">
        <v>2919</v>
      </c>
      <c r="E109" s="7" t="s">
        <v>6798</v>
      </c>
      <c r="F109" s="7" t="s">
        <v>6799</v>
      </c>
      <c r="G109" s="7" t="s">
        <v>6800</v>
      </c>
      <c r="H109" s="7" t="s">
        <v>6801</v>
      </c>
      <c r="I109" s="7" t="s">
        <v>6802</v>
      </c>
      <c r="J109" s="7" t="s">
        <v>6803</v>
      </c>
      <c r="K109" s="7" t="s">
        <v>6768</v>
      </c>
      <c r="L109" s="7">
        <v>4</v>
      </c>
      <c r="M109" s="7">
        <v>4</v>
      </c>
      <c r="N109" s="7">
        <v>3</v>
      </c>
      <c r="O109" s="7">
        <v>2</v>
      </c>
      <c r="P109" s="7">
        <v>1</v>
      </c>
      <c r="Q109" s="7">
        <v>1</v>
      </c>
      <c r="R109" s="7" t="s">
        <v>2747</v>
      </c>
      <c r="S109" s="7" t="s">
        <v>2920</v>
      </c>
      <c r="T109" s="7" t="s">
        <v>2755</v>
      </c>
      <c r="U109" s="7" t="s">
        <v>2756</v>
      </c>
      <c r="V109" s="7" t="s">
        <v>6804</v>
      </c>
    </row>
    <row r="110" spans="1:22" ht="85.5">
      <c r="A110" s="7" t="s">
        <v>2928</v>
      </c>
      <c r="B110" s="7" t="s">
        <v>66</v>
      </c>
      <c r="C110" s="7" t="s">
        <v>1158</v>
      </c>
      <c r="D110" s="7" t="s">
        <v>2929</v>
      </c>
      <c r="E110" s="7" t="s">
        <v>6805</v>
      </c>
      <c r="F110" s="7" t="s">
        <v>6806</v>
      </c>
      <c r="G110" s="7" t="s">
        <v>6807</v>
      </c>
      <c r="H110" s="7" t="s">
        <v>6808</v>
      </c>
      <c r="I110" s="7" t="s">
        <v>6809</v>
      </c>
      <c r="J110" s="7" t="s">
        <v>6810</v>
      </c>
      <c r="K110" s="7" t="s">
        <v>6768</v>
      </c>
      <c r="L110" s="7">
        <v>4</v>
      </c>
      <c r="M110" s="7">
        <v>4</v>
      </c>
      <c r="N110" s="7">
        <v>3</v>
      </c>
      <c r="O110" s="7">
        <v>2</v>
      </c>
      <c r="P110" s="7">
        <v>1</v>
      </c>
      <c r="Q110" s="7">
        <v>1</v>
      </c>
      <c r="R110" s="7" t="s">
        <v>2747</v>
      </c>
      <c r="S110" s="7" t="s">
        <v>2930</v>
      </c>
      <c r="T110" s="7" t="s">
        <v>2755</v>
      </c>
      <c r="U110" s="7" t="s">
        <v>2756</v>
      </c>
      <c r="V110" s="7" t="s">
        <v>6811</v>
      </c>
    </row>
    <row r="111" spans="1:22" ht="71.25">
      <c r="A111" s="7" t="s">
        <v>2938</v>
      </c>
      <c r="B111" s="7" t="s">
        <v>66</v>
      </c>
      <c r="C111" s="7" t="s">
        <v>1169</v>
      </c>
      <c r="D111" s="7" t="s">
        <v>2939</v>
      </c>
      <c r="E111" s="7" t="s">
        <v>6812</v>
      </c>
      <c r="F111" s="7" t="s">
        <v>6813</v>
      </c>
      <c r="G111" s="7" t="s">
        <v>6814</v>
      </c>
      <c r="H111" s="7" t="s">
        <v>6815</v>
      </c>
      <c r="I111" s="7" t="s">
        <v>6816</v>
      </c>
      <c r="J111" s="7" t="s">
        <v>6817</v>
      </c>
      <c r="K111" s="7" t="s">
        <v>6818</v>
      </c>
      <c r="L111" s="7">
        <v>4</v>
      </c>
      <c r="M111" s="7">
        <v>4</v>
      </c>
      <c r="N111" s="7">
        <v>3</v>
      </c>
      <c r="O111" s="7">
        <v>2</v>
      </c>
      <c r="P111" s="7">
        <v>1</v>
      </c>
      <c r="Q111" s="7">
        <v>1</v>
      </c>
      <c r="R111" s="7" t="s">
        <v>2747</v>
      </c>
      <c r="S111" s="7" t="s">
        <v>2940</v>
      </c>
      <c r="T111" s="7" t="s">
        <v>2755</v>
      </c>
      <c r="U111" s="7" t="s">
        <v>2756</v>
      </c>
      <c r="V111" s="7" t="s">
        <v>6819</v>
      </c>
    </row>
    <row r="112" spans="1:22" ht="71.25">
      <c r="A112" s="7" t="s">
        <v>2948</v>
      </c>
      <c r="B112" s="7" t="s">
        <v>66</v>
      </c>
      <c r="C112" s="7" t="s">
        <v>1169</v>
      </c>
      <c r="D112" s="7" t="s">
        <v>2949</v>
      </c>
      <c r="E112" s="7" t="s">
        <v>6820</v>
      </c>
      <c r="F112" s="7" t="s">
        <v>6821</v>
      </c>
      <c r="G112" s="7" t="s">
        <v>6822</v>
      </c>
      <c r="H112" s="7" t="s">
        <v>6823</v>
      </c>
      <c r="I112" s="7" t="s">
        <v>6824</v>
      </c>
      <c r="J112" s="7" t="s">
        <v>6825</v>
      </c>
      <c r="K112" s="7" t="s">
        <v>6818</v>
      </c>
      <c r="L112" s="7">
        <v>4</v>
      </c>
      <c r="M112" s="7">
        <v>4</v>
      </c>
      <c r="N112" s="7">
        <v>3</v>
      </c>
      <c r="O112" s="7">
        <v>2</v>
      </c>
      <c r="P112" s="7">
        <v>1</v>
      </c>
      <c r="Q112" s="7">
        <v>1</v>
      </c>
      <c r="R112" s="7" t="s">
        <v>2747</v>
      </c>
      <c r="S112" s="7" t="s">
        <v>2950</v>
      </c>
      <c r="T112" s="7" t="s">
        <v>2755</v>
      </c>
      <c r="U112" s="7" t="s">
        <v>2756</v>
      </c>
      <c r="V112" s="7" t="s">
        <v>6826</v>
      </c>
    </row>
    <row r="113" spans="1:22" ht="85.5">
      <c r="A113" s="7" t="s">
        <v>2958</v>
      </c>
      <c r="B113" s="7" t="s">
        <v>66</v>
      </c>
      <c r="C113" s="7" t="s">
        <v>1169</v>
      </c>
      <c r="D113" s="7" t="s">
        <v>2959</v>
      </c>
      <c r="E113" s="7" t="s">
        <v>6827</v>
      </c>
      <c r="F113" s="7" t="s">
        <v>6828</v>
      </c>
      <c r="G113" s="7" t="s">
        <v>6829</v>
      </c>
      <c r="H113" s="7" t="s">
        <v>6830</v>
      </c>
      <c r="I113" s="7" t="s">
        <v>6831</v>
      </c>
      <c r="J113" s="7" t="s">
        <v>6832</v>
      </c>
      <c r="K113" s="7" t="s">
        <v>6818</v>
      </c>
      <c r="L113" s="7">
        <v>5</v>
      </c>
      <c r="M113" s="7">
        <v>5</v>
      </c>
      <c r="N113" s="7">
        <v>4</v>
      </c>
      <c r="O113" s="7">
        <v>3</v>
      </c>
      <c r="P113" s="7">
        <v>2</v>
      </c>
      <c r="Q113" s="7">
        <v>1</v>
      </c>
      <c r="R113" s="7" t="s">
        <v>2747</v>
      </c>
      <c r="S113" s="7" t="s">
        <v>2960</v>
      </c>
      <c r="T113" s="7" t="s">
        <v>2755</v>
      </c>
      <c r="U113" s="7" t="s">
        <v>2756</v>
      </c>
      <c r="V113" s="7" t="s">
        <v>6833</v>
      </c>
    </row>
    <row r="114" spans="1:22" ht="71.25">
      <c r="A114" s="7" t="s">
        <v>2968</v>
      </c>
      <c r="B114" s="7" t="s">
        <v>66</v>
      </c>
      <c r="C114" s="7" t="s">
        <v>1169</v>
      </c>
      <c r="D114" s="7" t="s">
        <v>2969</v>
      </c>
      <c r="E114" s="7" t="s">
        <v>6834</v>
      </c>
      <c r="F114" s="7" t="s">
        <v>6835</v>
      </c>
      <c r="G114" s="7" t="s">
        <v>6836</v>
      </c>
      <c r="H114" s="7" t="s">
        <v>6837</v>
      </c>
      <c r="I114" s="7" t="s">
        <v>6838</v>
      </c>
      <c r="J114" s="7" t="s">
        <v>6839</v>
      </c>
      <c r="K114" s="7" t="s">
        <v>6818</v>
      </c>
      <c r="L114" s="7">
        <v>4</v>
      </c>
      <c r="M114" s="7">
        <v>4</v>
      </c>
      <c r="N114" s="7">
        <v>3</v>
      </c>
      <c r="O114" s="7">
        <v>2</v>
      </c>
      <c r="P114" s="7">
        <v>1</v>
      </c>
      <c r="Q114" s="7">
        <v>1</v>
      </c>
      <c r="R114" s="7" t="s">
        <v>2747</v>
      </c>
      <c r="S114" s="7" t="s">
        <v>2970</v>
      </c>
      <c r="T114" s="7" t="s">
        <v>2755</v>
      </c>
      <c r="U114" s="7" t="s">
        <v>2756</v>
      </c>
      <c r="V114" s="7" t="s">
        <v>6840</v>
      </c>
    </row>
    <row r="115" spans="1:22" ht="71.25">
      <c r="A115" s="7" t="s">
        <v>2978</v>
      </c>
      <c r="B115" s="7" t="s">
        <v>66</v>
      </c>
      <c r="C115" s="7" t="s">
        <v>1169</v>
      </c>
      <c r="D115" s="7" t="s">
        <v>2979</v>
      </c>
      <c r="E115" s="7" t="s">
        <v>6841</v>
      </c>
      <c r="F115" s="7" t="s">
        <v>6842</v>
      </c>
      <c r="G115" s="7" t="s">
        <v>6843</v>
      </c>
      <c r="H115" s="7" t="s">
        <v>6844</v>
      </c>
      <c r="I115" s="7" t="s">
        <v>6845</v>
      </c>
      <c r="J115" s="7" t="s">
        <v>6846</v>
      </c>
      <c r="K115" s="7" t="s">
        <v>6818</v>
      </c>
      <c r="L115" s="7">
        <v>4</v>
      </c>
      <c r="M115" s="7">
        <v>4</v>
      </c>
      <c r="N115" s="7">
        <v>3</v>
      </c>
      <c r="O115" s="7">
        <v>2</v>
      </c>
      <c r="P115" s="7">
        <v>1</v>
      </c>
      <c r="Q115" s="7">
        <v>1</v>
      </c>
      <c r="R115" s="7" t="s">
        <v>2747</v>
      </c>
      <c r="S115" s="7" t="s">
        <v>2980</v>
      </c>
      <c r="T115" s="7" t="s">
        <v>2755</v>
      </c>
      <c r="U115" s="7" t="s">
        <v>2756</v>
      </c>
      <c r="V115" s="7" t="s">
        <v>6847</v>
      </c>
    </row>
    <row r="116" spans="1:22" ht="85.5">
      <c r="A116" s="7" t="s">
        <v>2990</v>
      </c>
      <c r="B116" s="7" t="s">
        <v>69</v>
      </c>
      <c r="C116" s="7" t="s">
        <v>1177</v>
      </c>
      <c r="D116" s="7" t="s">
        <v>2991</v>
      </c>
      <c r="E116" s="7" t="s">
        <v>6848</v>
      </c>
      <c r="F116" s="7" t="s">
        <v>6849</v>
      </c>
      <c r="G116" s="7" t="s">
        <v>6850</v>
      </c>
      <c r="H116" s="7" t="s">
        <v>6851</v>
      </c>
      <c r="I116" s="7" t="s">
        <v>6852</v>
      </c>
      <c r="J116" s="7" t="s">
        <v>6853</v>
      </c>
      <c r="K116" s="7" t="s">
        <v>6854</v>
      </c>
      <c r="L116" s="7">
        <v>4</v>
      </c>
      <c r="M116" s="7">
        <v>4</v>
      </c>
      <c r="N116" s="7">
        <v>3</v>
      </c>
      <c r="O116" s="7">
        <v>2</v>
      </c>
      <c r="P116" s="7">
        <v>1</v>
      </c>
      <c r="Q116" s="7">
        <v>1</v>
      </c>
      <c r="R116" s="7" t="s">
        <v>2993</v>
      </c>
      <c r="S116" s="7" t="s">
        <v>2994</v>
      </c>
      <c r="T116" s="7" t="s">
        <v>3001</v>
      </c>
      <c r="U116" s="7" t="s">
        <v>3002</v>
      </c>
      <c r="V116" s="7" t="s">
        <v>6855</v>
      </c>
    </row>
    <row r="117" spans="1:22" ht="85.5">
      <c r="A117" s="7" t="s">
        <v>3004</v>
      </c>
      <c r="B117" s="7" t="s">
        <v>69</v>
      </c>
      <c r="C117" s="7" t="s">
        <v>1177</v>
      </c>
      <c r="D117" s="7" t="s">
        <v>3005</v>
      </c>
      <c r="E117" s="7" t="s">
        <v>6856</v>
      </c>
      <c r="F117" s="7" t="s">
        <v>6857</v>
      </c>
      <c r="G117" s="7" t="s">
        <v>6858</v>
      </c>
      <c r="H117" s="7" t="s">
        <v>6859</v>
      </c>
      <c r="I117" s="7" t="s">
        <v>6860</v>
      </c>
      <c r="J117" s="7" t="s">
        <v>6861</v>
      </c>
      <c r="K117" s="7" t="s">
        <v>6854</v>
      </c>
      <c r="L117" s="7">
        <v>5</v>
      </c>
      <c r="M117" s="7">
        <v>5</v>
      </c>
      <c r="N117" s="7">
        <v>4</v>
      </c>
      <c r="O117" s="7">
        <v>3</v>
      </c>
      <c r="P117" s="7">
        <v>2</v>
      </c>
      <c r="Q117" s="7">
        <v>1</v>
      </c>
      <c r="R117" s="7" t="s">
        <v>2993</v>
      </c>
      <c r="S117" s="7" t="s">
        <v>3006</v>
      </c>
      <c r="T117" s="7" t="s">
        <v>3001</v>
      </c>
      <c r="U117" s="7" t="s">
        <v>3002</v>
      </c>
      <c r="V117" s="7" t="s">
        <v>6862</v>
      </c>
    </row>
    <row r="118" spans="1:22" ht="85.5">
      <c r="A118" s="7" t="s">
        <v>3014</v>
      </c>
      <c r="B118" s="7" t="s">
        <v>69</v>
      </c>
      <c r="C118" s="7" t="s">
        <v>1177</v>
      </c>
      <c r="D118" s="7" t="s">
        <v>3015</v>
      </c>
      <c r="E118" s="7" t="s">
        <v>6863</v>
      </c>
      <c r="F118" s="7" t="s">
        <v>6864</v>
      </c>
      <c r="G118" s="7" t="s">
        <v>6865</v>
      </c>
      <c r="H118" s="7" t="s">
        <v>6866</v>
      </c>
      <c r="I118" s="7" t="s">
        <v>6867</v>
      </c>
      <c r="J118" s="7" t="s">
        <v>6868</v>
      </c>
      <c r="K118" s="7" t="s">
        <v>6854</v>
      </c>
      <c r="L118" s="7">
        <v>4</v>
      </c>
      <c r="M118" s="7">
        <v>4</v>
      </c>
      <c r="N118" s="7">
        <v>3</v>
      </c>
      <c r="O118" s="7">
        <v>2</v>
      </c>
      <c r="P118" s="7">
        <v>1</v>
      </c>
      <c r="Q118" s="7">
        <v>1</v>
      </c>
      <c r="R118" s="7" t="s">
        <v>2993</v>
      </c>
      <c r="S118" s="7" t="s">
        <v>3016</v>
      </c>
      <c r="T118" s="7" t="s">
        <v>3001</v>
      </c>
      <c r="U118" s="7" t="s">
        <v>3002</v>
      </c>
      <c r="V118" s="7" t="s">
        <v>6869</v>
      </c>
    </row>
    <row r="119" spans="1:22" ht="85.5">
      <c r="A119" s="7" t="s">
        <v>3024</v>
      </c>
      <c r="B119" s="7" t="s">
        <v>69</v>
      </c>
      <c r="C119" s="7" t="s">
        <v>1177</v>
      </c>
      <c r="D119" s="7" t="s">
        <v>3025</v>
      </c>
      <c r="E119" s="7" t="s">
        <v>6870</v>
      </c>
      <c r="F119" s="7" t="s">
        <v>6871</v>
      </c>
      <c r="G119" s="7" t="s">
        <v>6872</v>
      </c>
      <c r="H119" s="7" t="s">
        <v>6873</v>
      </c>
      <c r="I119" s="7" t="s">
        <v>6874</v>
      </c>
      <c r="J119" s="7" t="s">
        <v>6875</v>
      </c>
      <c r="K119" s="7" t="s">
        <v>6854</v>
      </c>
      <c r="L119" s="7">
        <v>4</v>
      </c>
      <c r="M119" s="7">
        <v>4</v>
      </c>
      <c r="N119" s="7">
        <v>3</v>
      </c>
      <c r="O119" s="7">
        <v>2</v>
      </c>
      <c r="P119" s="7">
        <v>1</v>
      </c>
      <c r="Q119" s="7">
        <v>1</v>
      </c>
      <c r="R119" s="7" t="s">
        <v>2993</v>
      </c>
      <c r="S119" s="7" t="s">
        <v>3026</v>
      </c>
      <c r="T119" s="7" t="s">
        <v>3001</v>
      </c>
      <c r="U119" s="7" t="s">
        <v>3002</v>
      </c>
      <c r="V119" s="7" t="s">
        <v>6876</v>
      </c>
    </row>
    <row r="120" spans="1:22" ht="85.5">
      <c r="A120" s="7" t="s">
        <v>3034</v>
      </c>
      <c r="B120" s="7" t="s">
        <v>69</v>
      </c>
      <c r="C120" s="7" t="s">
        <v>1177</v>
      </c>
      <c r="D120" s="7" t="s">
        <v>3035</v>
      </c>
      <c r="E120" s="7" t="s">
        <v>6877</v>
      </c>
      <c r="F120" s="7" t="s">
        <v>6878</v>
      </c>
      <c r="G120" s="7" t="s">
        <v>6879</v>
      </c>
      <c r="H120" s="7" t="s">
        <v>6880</v>
      </c>
      <c r="I120" s="7" t="s">
        <v>6881</v>
      </c>
      <c r="J120" s="7" t="s">
        <v>6882</v>
      </c>
      <c r="K120" s="7" t="s">
        <v>6854</v>
      </c>
      <c r="L120" s="7">
        <v>4</v>
      </c>
      <c r="M120" s="7">
        <v>4</v>
      </c>
      <c r="N120" s="7">
        <v>3</v>
      </c>
      <c r="O120" s="7">
        <v>2</v>
      </c>
      <c r="P120" s="7">
        <v>1</v>
      </c>
      <c r="Q120" s="7">
        <v>1</v>
      </c>
      <c r="R120" s="7" t="s">
        <v>2993</v>
      </c>
      <c r="S120" s="7" t="s">
        <v>3036</v>
      </c>
      <c r="T120" s="7" t="s">
        <v>3001</v>
      </c>
      <c r="U120" s="7" t="s">
        <v>3002</v>
      </c>
      <c r="V120" s="7" t="s">
        <v>6883</v>
      </c>
    </row>
    <row r="121" spans="1:22" ht="71.25">
      <c r="A121" s="7" t="s">
        <v>3044</v>
      </c>
      <c r="B121" s="7" t="s">
        <v>69</v>
      </c>
      <c r="C121" s="7" t="s">
        <v>1177</v>
      </c>
      <c r="D121" s="7" t="s">
        <v>3045</v>
      </c>
      <c r="E121" s="7" t="s">
        <v>6884</v>
      </c>
      <c r="F121" s="7" t="s">
        <v>6885</v>
      </c>
      <c r="G121" s="7" t="s">
        <v>6886</v>
      </c>
      <c r="H121" s="7" t="s">
        <v>6887</v>
      </c>
      <c r="I121" s="7" t="s">
        <v>6888</v>
      </c>
      <c r="J121" s="7" t="s">
        <v>6889</v>
      </c>
      <c r="K121" s="7" t="s">
        <v>6854</v>
      </c>
      <c r="L121" s="7">
        <v>4</v>
      </c>
      <c r="M121" s="7">
        <v>4</v>
      </c>
      <c r="N121" s="7">
        <v>3</v>
      </c>
      <c r="O121" s="7">
        <v>2</v>
      </c>
      <c r="P121" s="7">
        <v>1</v>
      </c>
      <c r="Q121" s="7">
        <v>1</v>
      </c>
      <c r="R121" s="7" t="s">
        <v>2993</v>
      </c>
      <c r="S121" s="7" t="s">
        <v>3046</v>
      </c>
      <c r="T121" s="7" t="s">
        <v>3001</v>
      </c>
      <c r="U121" s="7" t="s">
        <v>3002</v>
      </c>
      <c r="V121" s="7" t="s">
        <v>6890</v>
      </c>
    </row>
    <row r="122" spans="1:22" ht="85.5">
      <c r="A122" s="7" t="s">
        <v>3054</v>
      </c>
      <c r="B122" s="7" t="s">
        <v>69</v>
      </c>
      <c r="C122" s="7" t="s">
        <v>1187</v>
      </c>
      <c r="D122" s="7" t="s">
        <v>3055</v>
      </c>
      <c r="E122" s="7" t="s">
        <v>6891</v>
      </c>
      <c r="F122" s="7" t="s">
        <v>6892</v>
      </c>
      <c r="G122" s="7" t="s">
        <v>6893</v>
      </c>
      <c r="H122" s="7" t="s">
        <v>6894</v>
      </c>
      <c r="I122" s="7" t="s">
        <v>6895</v>
      </c>
      <c r="J122" s="7" t="s">
        <v>6896</v>
      </c>
      <c r="K122" s="7" t="s">
        <v>6897</v>
      </c>
      <c r="L122" s="7">
        <v>4</v>
      </c>
      <c r="M122" s="7">
        <v>4</v>
      </c>
      <c r="N122" s="7">
        <v>3</v>
      </c>
      <c r="O122" s="7">
        <v>2</v>
      </c>
      <c r="P122" s="7">
        <v>1</v>
      </c>
      <c r="Q122" s="7">
        <v>1</v>
      </c>
      <c r="R122" s="7" t="s">
        <v>2993</v>
      </c>
      <c r="S122" s="7" t="s">
        <v>3056</v>
      </c>
      <c r="T122" s="7" t="s">
        <v>3001</v>
      </c>
      <c r="U122" s="7" t="s">
        <v>3002</v>
      </c>
      <c r="V122" s="7" t="s">
        <v>6898</v>
      </c>
    </row>
    <row r="123" spans="1:22" ht="85.5">
      <c r="A123" s="7" t="s">
        <v>3064</v>
      </c>
      <c r="B123" s="7" t="s">
        <v>69</v>
      </c>
      <c r="C123" s="7" t="s">
        <v>1187</v>
      </c>
      <c r="D123" s="7" t="s">
        <v>3065</v>
      </c>
      <c r="E123" s="7" t="s">
        <v>6899</v>
      </c>
      <c r="F123" s="7" t="s">
        <v>6900</v>
      </c>
      <c r="G123" s="7" t="s">
        <v>6901</v>
      </c>
      <c r="H123" s="7" t="s">
        <v>6902</v>
      </c>
      <c r="I123" s="7" t="s">
        <v>6903</v>
      </c>
      <c r="J123" s="7" t="s">
        <v>6904</v>
      </c>
      <c r="K123" s="7" t="s">
        <v>6897</v>
      </c>
      <c r="L123" s="7">
        <v>5</v>
      </c>
      <c r="M123" s="7">
        <v>5</v>
      </c>
      <c r="N123" s="7">
        <v>4</v>
      </c>
      <c r="O123" s="7">
        <v>3</v>
      </c>
      <c r="P123" s="7">
        <v>2</v>
      </c>
      <c r="Q123" s="7">
        <v>1</v>
      </c>
      <c r="R123" s="7" t="s">
        <v>2993</v>
      </c>
      <c r="S123" s="7" t="s">
        <v>3066</v>
      </c>
      <c r="T123" s="7" t="s">
        <v>3001</v>
      </c>
      <c r="U123" s="7" t="s">
        <v>3002</v>
      </c>
      <c r="V123" s="7" t="s">
        <v>6905</v>
      </c>
    </row>
    <row r="124" spans="1:22" ht="85.5">
      <c r="A124" s="7" t="s">
        <v>3074</v>
      </c>
      <c r="B124" s="7" t="s">
        <v>69</v>
      </c>
      <c r="C124" s="7" t="s">
        <v>1187</v>
      </c>
      <c r="D124" s="7" t="s">
        <v>3075</v>
      </c>
      <c r="E124" s="7" t="s">
        <v>6906</v>
      </c>
      <c r="F124" s="7" t="s">
        <v>6907</v>
      </c>
      <c r="G124" s="7" t="s">
        <v>6908</v>
      </c>
      <c r="H124" s="7" t="s">
        <v>6909</v>
      </c>
      <c r="I124" s="7" t="s">
        <v>6910</v>
      </c>
      <c r="J124" s="7" t="s">
        <v>6911</v>
      </c>
      <c r="K124" s="7" t="s">
        <v>6897</v>
      </c>
      <c r="L124" s="7">
        <v>4</v>
      </c>
      <c r="M124" s="7">
        <v>4</v>
      </c>
      <c r="N124" s="7">
        <v>3</v>
      </c>
      <c r="O124" s="7">
        <v>2</v>
      </c>
      <c r="P124" s="7">
        <v>1</v>
      </c>
      <c r="Q124" s="7">
        <v>1</v>
      </c>
      <c r="R124" s="7" t="s">
        <v>2993</v>
      </c>
      <c r="S124" s="7" t="s">
        <v>3076</v>
      </c>
      <c r="T124" s="7" t="s">
        <v>3001</v>
      </c>
      <c r="U124" s="7" t="s">
        <v>3002</v>
      </c>
      <c r="V124" s="7" t="s">
        <v>6912</v>
      </c>
    </row>
    <row r="125" spans="1:22" ht="85.5">
      <c r="A125" s="7" t="s">
        <v>3084</v>
      </c>
      <c r="B125" s="7" t="s">
        <v>69</v>
      </c>
      <c r="C125" s="7" t="s">
        <v>1187</v>
      </c>
      <c r="D125" s="7" t="s">
        <v>3085</v>
      </c>
      <c r="E125" s="7" t="s">
        <v>6913</v>
      </c>
      <c r="F125" s="7" t="s">
        <v>6914</v>
      </c>
      <c r="G125" s="7" t="s">
        <v>6915</v>
      </c>
      <c r="H125" s="7" t="s">
        <v>6916</v>
      </c>
      <c r="I125" s="7" t="s">
        <v>6917</v>
      </c>
      <c r="J125" s="7" t="s">
        <v>6918</v>
      </c>
      <c r="K125" s="7" t="s">
        <v>6897</v>
      </c>
      <c r="L125" s="7">
        <v>4</v>
      </c>
      <c r="M125" s="7">
        <v>4</v>
      </c>
      <c r="N125" s="7">
        <v>3</v>
      </c>
      <c r="O125" s="7">
        <v>2</v>
      </c>
      <c r="P125" s="7">
        <v>1</v>
      </c>
      <c r="Q125" s="7">
        <v>1</v>
      </c>
      <c r="R125" s="7" t="s">
        <v>2993</v>
      </c>
      <c r="S125" s="7" t="s">
        <v>3086</v>
      </c>
      <c r="T125" s="7" t="s">
        <v>3001</v>
      </c>
      <c r="U125" s="7" t="s">
        <v>3002</v>
      </c>
      <c r="V125" s="7" t="s">
        <v>6919</v>
      </c>
    </row>
    <row r="126" spans="1:22" ht="85.5">
      <c r="A126" s="7" t="s">
        <v>3094</v>
      </c>
      <c r="B126" s="7" t="s">
        <v>69</v>
      </c>
      <c r="C126" s="7" t="s">
        <v>1187</v>
      </c>
      <c r="D126" s="7" t="s">
        <v>3095</v>
      </c>
      <c r="E126" s="7" t="s">
        <v>6920</v>
      </c>
      <c r="F126" s="7" t="s">
        <v>6921</v>
      </c>
      <c r="G126" s="7" t="s">
        <v>6922</v>
      </c>
      <c r="H126" s="7" t="s">
        <v>6923</v>
      </c>
      <c r="I126" s="7" t="s">
        <v>6924</v>
      </c>
      <c r="J126" s="7" t="s">
        <v>6925</v>
      </c>
      <c r="K126" s="7" t="s">
        <v>6897</v>
      </c>
      <c r="L126" s="7">
        <v>4</v>
      </c>
      <c r="M126" s="7">
        <v>4</v>
      </c>
      <c r="N126" s="7">
        <v>3</v>
      </c>
      <c r="O126" s="7">
        <v>2</v>
      </c>
      <c r="P126" s="7">
        <v>1</v>
      </c>
      <c r="Q126" s="7">
        <v>1</v>
      </c>
      <c r="R126" s="7" t="s">
        <v>2993</v>
      </c>
      <c r="S126" s="7" t="s">
        <v>3096</v>
      </c>
      <c r="T126" s="7" t="s">
        <v>3001</v>
      </c>
      <c r="U126" s="7" t="s">
        <v>3002</v>
      </c>
      <c r="V126" s="7" t="s">
        <v>6926</v>
      </c>
    </row>
    <row r="127" spans="1:22" ht="71.25">
      <c r="A127" s="7" t="s">
        <v>3104</v>
      </c>
      <c r="B127" s="7" t="s">
        <v>69</v>
      </c>
      <c r="C127" s="7" t="s">
        <v>1187</v>
      </c>
      <c r="D127" s="7" t="s">
        <v>3105</v>
      </c>
      <c r="E127" s="7" t="s">
        <v>6927</v>
      </c>
      <c r="F127" s="7" t="s">
        <v>6928</v>
      </c>
      <c r="G127" s="7" t="s">
        <v>6929</v>
      </c>
      <c r="H127" s="7" t="s">
        <v>6930</v>
      </c>
      <c r="I127" s="7" t="s">
        <v>6931</v>
      </c>
      <c r="J127" s="7" t="s">
        <v>6932</v>
      </c>
      <c r="K127" s="7" t="s">
        <v>6897</v>
      </c>
      <c r="L127" s="7">
        <v>4</v>
      </c>
      <c r="M127" s="7">
        <v>4</v>
      </c>
      <c r="N127" s="7">
        <v>3</v>
      </c>
      <c r="O127" s="7">
        <v>2</v>
      </c>
      <c r="P127" s="7">
        <v>1</v>
      </c>
      <c r="Q127" s="7">
        <v>1</v>
      </c>
      <c r="R127" s="7" t="s">
        <v>2993</v>
      </c>
      <c r="S127" s="7" t="s">
        <v>3106</v>
      </c>
      <c r="T127" s="7" t="s">
        <v>3001</v>
      </c>
      <c r="U127" s="7" t="s">
        <v>3002</v>
      </c>
      <c r="V127" s="7" t="s">
        <v>6933</v>
      </c>
    </row>
    <row r="128" spans="1:22" ht="85.5">
      <c r="A128" s="7" t="s">
        <v>3114</v>
      </c>
      <c r="B128" s="7" t="s">
        <v>69</v>
      </c>
      <c r="C128" s="7" t="s">
        <v>1195</v>
      </c>
      <c r="D128" s="7" t="s">
        <v>3115</v>
      </c>
      <c r="E128" s="7" t="s">
        <v>6934</v>
      </c>
      <c r="F128" s="7" t="s">
        <v>6935</v>
      </c>
      <c r="G128" s="7" t="s">
        <v>6936</v>
      </c>
      <c r="H128" s="7" t="s">
        <v>6937</v>
      </c>
      <c r="I128" s="7" t="s">
        <v>6938</v>
      </c>
      <c r="J128" s="7" t="s">
        <v>6939</v>
      </c>
      <c r="K128" s="7" t="s">
        <v>6940</v>
      </c>
      <c r="L128" s="7">
        <v>5</v>
      </c>
      <c r="M128" s="7">
        <v>5</v>
      </c>
      <c r="N128" s="7">
        <v>4</v>
      </c>
      <c r="O128" s="7">
        <v>3</v>
      </c>
      <c r="P128" s="7">
        <v>2</v>
      </c>
      <c r="Q128" s="7">
        <v>1</v>
      </c>
      <c r="R128" s="7" t="s">
        <v>2993</v>
      </c>
      <c r="S128" s="7" t="s">
        <v>3116</v>
      </c>
      <c r="T128" s="7" t="s">
        <v>3001</v>
      </c>
      <c r="U128" s="7" t="s">
        <v>3002</v>
      </c>
      <c r="V128" s="7" t="s">
        <v>6941</v>
      </c>
    </row>
    <row r="129" spans="1:22" ht="85.5">
      <c r="A129" s="7" t="s">
        <v>3124</v>
      </c>
      <c r="B129" s="7" t="s">
        <v>69</v>
      </c>
      <c r="C129" s="7" t="s">
        <v>1195</v>
      </c>
      <c r="D129" s="7" t="s">
        <v>3125</v>
      </c>
      <c r="E129" s="7" t="s">
        <v>6942</v>
      </c>
      <c r="F129" s="7" t="s">
        <v>6943</v>
      </c>
      <c r="G129" s="7" t="s">
        <v>6944</v>
      </c>
      <c r="H129" s="7" t="s">
        <v>6945</v>
      </c>
      <c r="I129" s="7" t="s">
        <v>6946</v>
      </c>
      <c r="J129" s="7" t="s">
        <v>6947</v>
      </c>
      <c r="K129" s="7" t="s">
        <v>6940</v>
      </c>
      <c r="L129" s="7">
        <v>4</v>
      </c>
      <c r="M129" s="7">
        <v>4</v>
      </c>
      <c r="N129" s="7">
        <v>3</v>
      </c>
      <c r="O129" s="7">
        <v>2</v>
      </c>
      <c r="P129" s="7">
        <v>1</v>
      </c>
      <c r="Q129" s="7">
        <v>1</v>
      </c>
      <c r="R129" s="7" t="s">
        <v>2993</v>
      </c>
      <c r="S129" s="7" t="s">
        <v>3126</v>
      </c>
      <c r="T129" s="7" t="s">
        <v>3001</v>
      </c>
      <c r="U129" s="7" t="s">
        <v>3002</v>
      </c>
      <c r="V129" s="7" t="s">
        <v>6948</v>
      </c>
    </row>
    <row r="130" spans="1:22" ht="85.5">
      <c r="A130" s="7" t="s">
        <v>3134</v>
      </c>
      <c r="B130" s="7" t="s">
        <v>69</v>
      </c>
      <c r="C130" s="7" t="s">
        <v>1195</v>
      </c>
      <c r="D130" s="7" t="s">
        <v>3135</v>
      </c>
      <c r="E130" s="7" t="s">
        <v>6949</v>
      </c>
      <c r="F130" s="7" t="s">
        <v>6950</v>
      </c>
      <c r="G130" s="7" t="s">
        <v>6951</v>
      </c>
      <c r="H130" s="7" t="s">
        <v>6952</v>
      </c>
      <c r="I130" s="7" t="s">
        <v>6953</v>
      </c>
      <c r="J130" s="7" t="s">
        <v>6954</v>
      </c>
      <c r="K130" s="7" t="s">
        <v>6940</v>
      </c>
      <c r="L130" s="7">
        <v>4</v>
      </c>
      <c r="M130" s="7">
        <v>4</v>
      </c>
      <c r="N130" s="7">
        <v>3</v>
      </c>
      <c r="O130" s="7">
        <v>2</v>
      </c>
      <c r="P130" s="7">
        <v>1</v>
      </c>
      <c r="Q130" s="7">
        <v>1</v>
      </c>
      <c r="R130" s="7" t="s">
        <v>2993</v>
      </c>
      <c r="S130" s="7" t="s">
        <v>3136</v>
      </c>
      <c r="T130" s="7" t="s">
        <v>3001</v>
      </c>
      <c r="U130" s="7" t="s">
        <v>3002</v>
      </c>
      <c r="V130" s="7" t="s">
        <v>6955</v>
      </c>
    </row>
    <row r="131" spans="1:22" ht="85.5">
      <c r="A131" s="7" t="s">
        <v>3144</v>
      </c>
      <c r="B131" s="7" t="s">
        <v>69</v>
      </c>
      <c r="C131" s="7" t="s">
        <v>1195</v>
      </c>
      <c r="D131" s="7" t="s">
        <v>3145</v>
      </c>
      <c r="E131" s="7" t="s">
        <v>6956</v>
      </c>
      <c r="F131" s="7" t="s">
        <v>6957</v>
      </c>
      <c r="G131" s="7" t="s">
        <v>6958</v>
      </c>
      <c r="H131" s="7" t="s">
        <v>6959</v>
      </c>
      <c r="I131" s="7" t="s">
        <v>6960</v>
      </c>
      <c r="J131" s="7" t="s">
        <v>6961</v>
      </c>
      <c r="K131" s="7" t="s">
        <v>6940</v>
      </c>
      <c r="L131" s="7">
        <v>4</v>
      </c>
      <c r="M131" s="7">
        <v>4</v>
      </c>
      <c r="N131" s="7">
        <v>3</v>
      </c>
      <c r="O131" s="7">
        <v>2</v>
      </c>
      <c r="P131" s="7">
        <v>1</v>
      </c>
      <c r="Q131" s="7">
        <v>1</v>
      </c>
      <c r="R131" s="7" t="s">
        <v>2993</v>
      </c>
      <c r="S131" s="7" t="s">
        <v>3146</v>
      </c>
      <c r="T131" s="7" t="s">
        <v>3001</v>
      </c>
      <c r="U131" s="7" t="s">
        <v>3002</v>
      </c>
      <c r="V131" s="7" t="s">
        <v>6962</v>
      </c>
    </row>
    <row r="132" spans="1:22" ht="85.5">
      <c r="A132" s="7" t="s">
        <v>3154</v>
      </c>
      <c r="B132" s="7" t="s">
        <v>69</v>
      </c>
      <c r="C132" s="7" t="s">
        <v>1195</v>
      </c>
      <c r="D132" s="7" t="s">
        <v>3155</v>
      </c>
      <c r="E132" s="7" t="s">
        <v>6963</v>
      </c>
      <c r="F132" s="7" t="s">
        <v>6964</v>
      </c>
      <c r="G132" s="7" t="s">
        <v>6965</v>
      </c>
      <c r="H132" s="7" t="s">
        <v>6966</v>
      </c>
      <c r="I132" s="7" t="s">
        <v>6967</v>
      </c>
      <c r="J132" s="7" t="s">
        <v>6968</v>
      </c>
      <c r="K132" s="7" t="s">
        <v>6940</v>
      </c>
      <c r="L132" s="7">
        <v>4</v>
      </c>
      <c r="M132" s="7">
        <v>4</v>
      </c>
      <c r="N132" s="7">
        <v>3</v>
      </c>
      <c r="O132" s="7">
        <v>2</v>
      </c>
      <c r="P132" s="7">
        <v>1</v>
      </c>
      <c r="Q132" s="7">
        <v>1</v>
      </c>
      <c r="R132" s="7" t="s">
        <v>2993</v>
      </c>
      <c r="S132" s="7" t="s">
        <v>3156</v>
      </c>
      <c r="T132" s="7" t="s">
        <v>3001</v>
      </c>
      <c r="U132" s="7" t="s">
        <v>3002</v>
      </c>
      <c r="V132" s="7" t="s">
        <v>6969</v>
      </c>
    </row>
    <row r="133" spans="1:22" ht="85.5">
      <c r="A133" s="7" t="s">
        <v>3164</v>
      </c>
      <c r="B133" s="7" t="s">
        <v>69</v>
      </c>
      <c r="C133" s="7" t="s">
        <v>1195</v>
      </c>
      <c r="D133" s="7" t="s">
        <v>3165</v>
      </c>
      <c r="E133" s="7" t="s">
        <v>6970</v>
      </c>
      <c r="F133" s="7" t="s">
        <v>6971</v>
      </c>
      <c r="G133" s="7" t="s">
        <v>6972</v>
      </c>
      <c r="H133" s="7" t="s">
        <v>6973</v>
      </c>
      <c r="I133" s="7" t="s">
        <v>6974</v>
      </c>
      <c r="J133" s="7" t="s">
        <v>6975</v>
      </c>
      <c r="K133" s="7" t="s">
        <v>6940</v>
      </c>
      <c r="L133" s="7">
        <v>4</v>
      </c>
      <c r="M133" s="7">
        <v>4</v>
      </c>
      <c r="N133" s="7">
        <v>3</v>
      </c>
      <c r="O133" s="7">
        <v>2</v>
      </c>
      <c r="P133" s="7">
        <v>1</v>
      </c>
      <c r="Q133" s="7">
        <v>1</v>
      </c>
      <c r="R133" s="7" t="s">
        <v>2993</v>
      </c>
      <c r="S133" s="7" t="s">
        <v>3166</v>
      </c>
      <c r="T133" s="7" t="s">
        <v>3001</v>
      </c>
      <c r="U133" s="7" t="s">
        <v>3002</v>
      </c>
      <c r="V133" s="7" t="s">
        <v>6976</v>
      </c>
    </row>
    <row r="134" spans="1:22" ht="85.5">
      <c r="A134" s="7" t="s">
        <v>3174</v>
      </c>
      <c r="B134" s="7" t="s">
        <v>69</v>
      </c>
      <c r="C134" s="7" t="s">
        <v>1203</v>
      </c>
      <c r="D134" s="7" t="s">
        <v>3175</v>
      </c>
      <c r="E134" s="7" t="s">
        <v>6977</v>
      </c>
      <c r="F134" s="7" t="s">
        <v>6978</v>
      </c>
      <c r="G134" s="7" t="s">
        <v>6979</v>
      </c>
      <c r="H134" s="7" t="s">
        <v>6980</v>
      </c>
      <c r="I134" s="7" t="s">
        <v>6981</v>
      </c>
      <c r="J134" s="7" t="s">
        <v>6982</v>
      </c>
      <c r="K134" s="7" t="s">
        <v>6983</v>
      </c>
      <c r="L134" s="7">
        <v>4</v>
      </c>
      <c r="M134" s="7">
        <v>4</v>
      </c>
      <c r="N134" s="7">
        <v>3</v>
      </c>
      <c r="O134" s="7">
        <v>2</v>
      </c>
      <c r="P134" s="7">
        <v>1</v>
      </c>
      <c r="Q134" s="7">
        <v>1</v>
      </c>
      <c r="R134" s="7" t="s">
        <v>2993</v>
      </c>
      <c r="S134" s="7" t="s">
        <v>3176</v>
      </c>
      <c r="T134" s="7" t="s">
        <v>3001</v>
      </c>
      <c r="U134" s="7" t="s">
        <v>3002</v>
      </c>
      <c r="V134" s="7" t="s">
        <v>6984</v>
      </c>
    </row>
    <row r="135" spans="1:22" ht="85.5">
      <c r="A135" s="7" t="s">
        <v>3184</v>
      </c>
      <c r="B135" s="7" t="s">
        <v>69</v>
      </c>
      <c r="C135" s="7" t="s">
        <v>1203</v>
      </c>
      <c r="D135" s="7" t="s">
        <v>3185</v>
      </c>
      <c r="E135" s="7" t="s">
        <v>6985</v>
      </c>
      <c r="F135" s="7" t="s">
        <v>6986</v>
      </c>
      <c r="G135" s="7" t="s">
        <v>6987</v>
      </c>
      <c r="H135" s="7" t="s">
        <v>6988</v>
      </c>
      <c r="I135" s="7" t="s">
        <v>6989</v>
      </c>
      <c r="J135" s="7" t="s">
        <v>6990</v>
      </c>
      <c r="K135" s="7" t="s">
        <v>6983</v>
      </c>
      <c r="L135" s="7">
        <v>4</v>
      </c>
      <c r="M135" s="7">
        <v>4</v>
      </c>
      <c r="N135" s="7">
        <v>3</v>
      </c>
      <c r="O135" s="7">
        <v>2</v>
      </c>
      <c r="P135" s="7">
        <v>1</v>
      </c>
      <c r="Q135" s="7">
        <v>1</v>
      </c>
      <c r="R135" s="7" t="s">
        <v>2993</v>
      </c>
      <c r="S135" s="7" t="s">
        <v>3186</v>
      </c>
      <c r="T135" s="7" t="s">
        <v>3001</v>
      </c>
      <c r="U135" s="7" t="s">
        <v>3002</v>
      </c>
      <c r="V135" s="7" t="s">
        <v>6991</v>
      </c>
    </row>
    <row r="136" spans="1:22" ht="99.75">
      <c r="A136" s="7" t="s">
        <v>3196</v>
      </c>
      <c r="B136" s="7" t="s">
        <v>72</v>
      </c>
      <c r="C136" s="7" t="s">
        <v>1211</v>
      </c>
      <c r="D136" s="7" t="s">
        <v>3197</v>
      </c>
      <c r="E136" s="7" t="s">
        <v>6992</v>
      </c>
      <c r="F136" s="7" t="s">
        <v>6993</v>
      </c>
      <c r="G136" s="7" t="s">
        <v>6994</v>
      </c>
      <c r="H136" s="7" t="s">
        <v>6995</v>
      </c>
      <c r="I136" s="7" t="s">
        <v>6996</v>
      </c>
      <c r="J136" s="7" t="s">
        <v>6997</v>
      </c>
      <c r="K136" s="7" t="s">
        <v>6998</v>
      </c>
      <c r="L136" s="7">
        <v>5</v>
      </c>
      <c r="M136" s="7">
        <v>5</v>
      </c>
      <c r="N136" s="7">
        <v>4</v>
      </c>
      <c r="O136" s="7">
        <v>3</v>
      </c>
      <c r="P136" s="7">
        <v>2</v>
      </c>
      <c r="Q136" s="7">
        <v>1</v>
      </c>
      <c r="R136" s="7" t="s">
        <v>3199</v>
      </c>
      <c r="S136" s="7" t="s">
        <v>3200</v>
      </c>
      <c r="T136" s="7" t="s">
        <v>3207</v>
      </c>
      <c r="U136" s="7" t="s">
        <v>3208</v>
      </c>
      <c r="V136" s="7" t="s">
        <v>6999</v>
      </c>
    </row>
    <row r="137" spans="1:22" ht="85.5">
      <c r="A137" s="7" t="s">
        <v>3210</v>
      </c>
      <c r="B137" s="7" t="s">
        <v>72</v>
      </c>
      <c r="C137" s="7" t="s">
        <v>1211</v>
      </c>
      <c r="D137" s="7" t="s">
        <v>3211</v>
      </c>
      <c r="E137" s="7" t="s">
        <v>7000</v>
      </c>
      <c r="F137" s="7" t="s">
        <v>7001</v>
      </c>
      <c r="G137" s="7" t="s">
        <v>7002</v>
      </c>
      <c r="H137" s="7" t="s">
        <v>7003</v>
      </c>
      <c r="I137" s="7" t="s">
        <v>7004</v>
      </c>
      <c r="J137" s="7" t="s">
        <v>7005</v>
      </c>
      <c r="K137" s="7" t="s">
        <v>6998</v>
      </c>
      <c r="L137" s="7">
        <v>5</v>
      </c>
      <c r="M137" s="7">
        <v>5</v>
      </c>
      <c r="N137" s="7">
        <v>4</v>
      </c>
      <c r="O137" s="7">
        <v>3</v>
      </c>
      <c r="P137" s="7">
        <v>2</v>
      </c>
      <c r="Q137" s="7">
        <v>1</v>
      </c>
      <c r="R137" s="7" t="s">
        <v>3199</v>
      </c>
      <c r="S137" s="7" t="s">
        <v>3212</v>
      </c>
      <c r="T137" s="7" t="s">
        <v>3207</v>
      </c>
      <c r="U137" s="7" t="s">
        <v>3208</v>
      </c>
      <c r="V137" s="7" t="s">
        <v>7006</v>
      </c>
    </row>
    <row r="138" spans="1:22" ht="71.25">
      <c r="A138" s="7" t="s">
        <v>3220</v>
      </c>
      <c r="B138" s="7" t="s">
        <v>72</v>
      </c>
      <c r="C138" s="7" t="s">
        <v>1211</v>
      </c>
      <c r="D138" s="7" t="s">
        <v>3221</v>
      </c>
      <c r="E138" s="7" t="s">
        <v>7007</v>
      </c>
      <c r="F138" s="7" t="s">
        <v>7008</v>
      </c>
      <c r="G138" s="7" t="s">
        <v>7009</v>
      </c>
      <c r="H138" s="7" t="s">
        <v>7010</v>
      </c>
      <c r="I138" s="7" t="s">
        <v>7011</v>
      </c>
      <c r="J138" s="7" t="s">
        <v>7012</v>
      </c>
      <c r="K138" s="7" t="s">
        <v>6998</v>
      </c>
      <c r="L138" s="7">
        <v>5</v>
      </c>
      <c r="M138" s="7">
        <v>5</v>
      </c>
      <c r="N138" s="7">
        <v>4</v>
      </c>
      <c r="O138" s="7">
        <v>3</v>
      </c>
      <c r="P138" s="7">
        <v>2</v>
      </c>
      <c r="Q138" s="7">
        <v>1</v>
      </c>
      <c r="R138" s="7" t="s">
        <v>3199</v>
      </c>
      <c r="S138" s="7" t="s">
        <v>3222</v>
      </c>
      <c r="T138" s="7" t="s">
        <v>3207</v>
      </c>
      <c r="U138" s="7" t="s">
        <v>3208</v>
      </c>
      <c r="V138" s="7" t="s">
        <v>7013</v>
      </c>
    </row>
    <row r="139" spans="1:22" ht="85.5">
      <c r="A139" s="7" t="s">
        <v>3230</v>
      </c>
      <c r="B139" s="7" t="s">
        <v>72</v>
      </c>
      <c r="C139" s="7" t="s">
        <v>1211</v>
      </c>
      <c r="D139" s="7" t="s">
        <v>3231</v>
      </c>
      <c r="E139" s="7" t="s">
        <v>7014</v>
      </c>
      <c r="F139" s="7" t="s">
        <v>7015</v>
      </c>
      <c r="G139" s="7" t="s">
        <v>7016</v>
      </c>
      <c r="H139" s="7" t="s">
        <v>7017</v>
      </c>
      <c r="I139" s="7" t="s">
        <v>7018</v>
      </c>
      <c r="J139" s="7" t="s">
        <v>7019</v>
      </c>
      <c r="K139" s="7" t="s">
        <v>6998</v>
      </c>
      <c r="L139" s="7">
        <v>5</v>
      </c>
      <c r="M139" s="7">
        <v>5</v>
      </c>
      <c r="N139" s="7">
        <v>4</v>
      </c>
      <c r="O139" s="7">
        <v>3</v>
      </c>
      <c r="P139" s="7">
        <v>2</v>
      </c>
      <c r="Q139" s="7">
        <v>1</v>
      </c>
      <c r="R139" s="7" t="s">
        <v>3199</v>
      </c>
      <c r="S139" s="7" t="s">
        <v>3232</v>
      </c>
      <c r="T139" s="7" t="s">
        <v>3207</v>
      </c>
      <c r="U139" s="7" t="s">
        <v>3208</v>
      </c>
      <c r="V139" s="7" t="s">
        <v>7020</v>
      </c>
    </row>
    <row r="140" spans="1:22" ht="71.25">
      <c r="A140" s="7" t="s">
        <v>3240</v>
      </c>
      <c r="B140" s="7" t="s">
        <v>72</v>
      </c>
      <c r="C140" s="7" t="s">
        <v>1211</v>
      </c>
      <c r="D140" s="7" t="s">
        <v>3241</v>
      </c>
      <c r="E140" s="7" t="s">
        <v>7021</v>
      </c>
      <c r="F140" s="7" t="s">
        <v>7022</v>
      </c>
      <c r="G140" s="7" t="s">
        <v>7023</v>
      </c>
      <c r="H140" s="7" t="s">
        <v>7024</v>
      </c>
      <c r="I140" s="7" t="s">
        <v>7025</v>
      </c>
      <c r="J140" s="7" t="s">
        <v>7026</v>
      </c>
      <c r="K140" s="7" t="s">
        <v>6998</v>
      </c>
      <c r="L140" s="7">
        <v>5</v>
      </c>
      <c r="M140" s="7">
        <v>5</v>
      </c>
      <c r="N140" s="7">
        <v>4</v>
      </c>
      <c r="O140" s="7">
        <v>3</v>
      </c>
      <c r="P140" s="7">
        <v>2</v>
      </c>
      <c r="Q140" s="7">
        <v>1</v>
      </c>
      <c r="R140" s="7" t="s">
        <v>3199</v>
      </c>
      <c r="S140" s="7" t="s">
        <v>3242</v>
      </c>
      <c r="T140" s="7" t="s">
        <v>3207</v>
      </c>
      <c r="U140" s="7" t="s">
        <v>3208</v>
      </c>
      <c r="V140" s="7" t="s">
        <v>7027</v>
      </c>
    </row>
    <row r="141" spans="1:22" ht="71.25">
      <c r="A141" s="7" t="s">
        <v>3250</v>
      </c>
      <c r="B141" s="7" t="s">
        <v>72</v>
      </c>
      <c r="C141" s="7" t="s">
        <v>1211</v>
      </c>
      <c r="D141" s="7" t="s">
        <v>3251</v>
      </c>
      <c r="E141" s="7" t="s">
        <v>7028</v>
      </c>
      <c r="F141" s="7" t="s">
        <v>7029</v>
      </c>
      <c r="G141" s="7" t="s">
        <v>7030</v>
      </c>
      <c r="H141" s="7" t="s">
        <v>7031</v>
      </c>
      <c r="I141" s="7" t="s">
        <v>7032</v>
      </c>
      <c r="J141" s="7" t="s">
        <v>7033</v>
      </c>
      <c r="K141" s="7" t="s">
        <v>6998</v>
      </c>
      <c r="L141" s="7">
        <v>5</v>
      </c>
      <c r="M141" s="7">
        <v>5</v>
      </c>
      <c r="N141" s="7">
        <v>4</v>
      </c>
      <c r="O141" s="7">
        <v>3</v>
      </c>
      <c r="P141" s="7">
        <v>2</v>
      </c>
      <c r="Q141" s="7">
        <v>1</v>
      </c>
      <c r="R141" s="7" t="s">
        <v>3199</v>
      </c>
      <c r="S141" s="7" t="s">
        <v>3252</v>
      </c>
      <c r="T141" s="7" t="s">
        <v>3207</v>
      </c>
      <c r="U141" s="7" t="s">
        <v>3208</v>
      </c>
      <c r="V141" s="7" t="s">
        <v>7034</v>
      </c>
    </row>
    <row r="142" spans="1:22" ht="85.5">
      <c r="A142" s="7" t="s">
        <v>3260</v>
      </c>
      <c r="B142" s="7" t="s">
        <v>72</v>
      </c>
      <c r="C142" s="7" t="s">
        <v>1226</v>
      </c>
      <c r="D142" s="7" t="s">
        <v>3261</v>
      </c>
      <c r="E142" s="7" t="s">
        <v>7035</v>
      </c>
      <c r="F142" s="7" t="s">
        <v>7036</v>
      </c>
      <c r="G142" s="7" t="s">
        <v>7037</v>
      </c>
      <c r="H142" s="7" t="s">
        <v>7038</v>
      </c>
      <c r="I142" s="7" t="s">
        <v>7039</v>
      </c>
      <c r="J142" s="7" t="s">
        <v>7040</v>
      </c>
      <c r="K142" s="7" t="s">
        <v>7041</v>
      </c>
      <c r="L142" s="7">
        <v>5</v>
      </c>
      <c r="M142" s="7">
        <v>5</v>
      </c>
      <c r="N142" s="7">
        <v>4</v>
      </c>
      <c r="O142" s="7">
        <v>3</v>
      </c>
      <c r="P142" s="7">
        <v>2</v>
      </c>
      <c r="Q142" s="7">
        <v>1</v>
      </c>
      <c r="R142" s="7" t="s">
        <v>3199</v>
      </c>
      <c r="S142" s="7" t="s">
        <v>3262</v>
      </c>
      <c r="T142" s="7" t="s">
        <v>3207</v>
      </c>
      <c r="U142" s="7" t="s">
        <v>3208</v>
      </c>
      <c r="V142" s="7" t="s">
        <v>7042</v>
      </c>
    </row>
    <row r="143" spans="1:22" ht="85.5">
      <c r="A143" s="7" t="s">
        <v>3270</v>
      </c>
      <c r="B143" s="7" t="s">
        <v>72</v>
      </c>
      <c r="C143" s="7" t="s">
        <v>1226</v>
      </c>
      <c r="D143" s="7" t="s">
        <v>3271</v>
      </c>
      <c r="E143" s="7" t="s">
        <v>7043</v>
      </c>
      <c r="F143" s="7" t="s">
        <v>7044</v>
      </c>
      <c r="G143" s="7" t="s">
        <v>7045</v>
      </c>
      <c r="H143" s="7" t="s">
        <v>7046</v>
      </c>
      <c r="I143" s="7" t="s">
        <v>7047</v>
      </c>
      <c r="J143" s="7" t="s">
        <v>7048</v>
      </c>
      <c r="K143" s="7" t="s">
        <v>7041</v>
      </c>
      <c r="L143" s="7">
        <v>5</v>
      </c>
      <c r="M143" s="7">
        <v>5</v>
      </c>
      <c r="N143" s="7">
        <v>4</v>
      </c>
      <c r="O143" s="7">
        <v>3</v>
      </c>
      <c r="P143" s="7">
        <v>2</v>
      </c>
      <c r="Q143" s="7">
        <v>1</v>
      </c>
      <c r="R143" s="7" t="s">
        <v>3199</v>
      </c>
      <c r="S143" s="7" t="s">
        <v>3272</v>
      </c>
      <c r="T143" s="7" t="s">
        <v>3207</v>
      </c>
      <c r="U143" s="7" t="s">
        <v>3208</v>
      </c>
      <c r="V143" s="7" t="s">
        <v>7049</v>
      </c>
    </row>
    <row r="144" spans="1:22" ht="85.5">
      <c r="A144" s="7" t="s">
        <v>3280</v>
      </c>
      <c r="B144" s="7" t="s">
        <v>72</v>
      </c>
      <c r="C144" s="7" t="s">
        <v>1226</v>
      </c>
      <c r="D144" s="7" t="s">
        <v>3281</v>
      </c>
      <c r="E144" s="7" t="s">
        <v>7050</v>
      </c>
      <c r="F144" s="7" t="s">
        <v>7051</v>
      </c>
      <c r="G144" s="7" t="s">
        <v>7052</v>
      </c>
      <c r="H144" s="7" t="s">
        <v>7053</v>
      </c>
      <c r="I144" s="7" t="s">
        <v>7054</v>
      </c>
      <c r="J144" s="7" t="s">
        <v>7055</v>
      </c>
      <c r="K144" s="7" t="s">
        <v>7041</v>
      </c>
      <c r="L144" s="7">
        <v>5</v>
      </c>
      <c r="M144" s="7">
        <v>5</v>
      </c>
      <c r="N144" s="7">
        <v>4</v>
      </c>
      <c r="O144" s="7">
        <v>3</v>
      </c>
      <c r="P144" s="7">
        <v>2</v>
      </c>
      <c r="Q144" s="7">
        <v>1</v>
      </c>
      <c r="R144" s="7" t="s">
        <v>3199</v>
      </c>
      <c r="S144" s="7" t="s">
        <v>3282</v>
      </c>
      <c r="T144" s="7" t="s">
        <v>3207</v>
      </c>
      <c r="U144" s="7" t="s">
        <v>3208</v>
      </c>
      <c r="V144" s="7" t="s">
        <v>7056</v>
      </c>
    </row>
    <row r="145" spans="1:22" ht="85.5">
      <c r="A145" s="7" t="s">
        <v>3290</v>
      </c>
      <c r="B145" s="7" t="s">
        <v>72</v>
      </c>
      <c r="C145" s="7" t="s">
        <v>1226</v>
      </c>
      <c r="D145" s="7" t="s">
        <v>3291</v>
      </c>
      <c r="E145" s="7" t="s">
        <v>7057</v>
      </c>
      <c r="F145" s="7" t="s">
        <v>7058</v>
      </c>
      <c r="G145" s="7" t="s">
        <v>7059</v>
      </c>
      <c r="H145" s="7" t="s">
        <v>7060</v>
      </c>
      <c r="I145" s="7" t="s">
        <v>7061</v>
      </c>
      <c r="J145" s="7" t="s">
        <v>7062</v>
      </c>
      <c r="K145" s="7" t="s">
        <v>7041</v>
      </c>
      <c r="L145" s="7">
        <v>5</v>
      </c>
      <c r="M145" s="7">
        <v>5</v>
      </c>
      <c r="N145" s="7">
        <v>4</v>
      </c>
      <c r="O145" s="7">
        <v>3</v>
      </c>
      <c r="P145" s="7">
        <v>2</v>
      </c>
      <c r="Q145" s="7">
        <v>1</v>
      </c>
      <c r="R145" s="7" t="s">
        <v>3199</v>
      </c>
      <c r="S145" s="7" t="s">
        <v>3292</v>
      </c>
      <c r="T145" s="7" t="s">
        <v>3207</v>
      </c>
      <c r="U145" s="7" t="s">
        <v>3208</v>
      </c>
      <c r="V145" s="7" t="s">
        <v>7063</v>
      </c>
    </row>
    <row r="146" spans="1:22" ht="71.25">
      <c r="A146" s="7" t="s">
        <v>3300</v>
      </c>
      <c r="B146" s="7" t="s">
        <v>72</v>
      </c>
      <c r="C146" s="7" t="s">
        <v>1226</v>
      </c>
      <c r="D146" s="7" t="s">
        <v>3301</v>
      </c>
      <c r="E146" s="7" t="s">
        <v>7064</v>
      </c>
      <c r="F146" s="7" t="s">
        <v>7065</v>
      </c>
      <c r="G146" s="7" t="s">
        <v>7066</v>
      </c>
      <c r="H146" s="7" t="s">
        <v>7067</v>
      </c>
      <c r="I146" s="7" t="s">
        <v>7068</v>
      </c>
      <c r="J146" s="7" t="s">
        <v>7069</v>
      </c>
      <c r="K146" s="7" t="s">
        <v>7041</v>
      </c>
      <c r="L146" s="7">
        <v>5</v>
      </c>
      <c r="M146" s="7">
        <v>5</v>
      </c>
      <c r="N146" s="7">
        <v>4</v>
      </c>
      <c r="O146" s="7">
        <v>3</v>
      </c>
      <c r="P146" s="7">
        <v>2</v>
      </c>
      <c r="Q146" s="7">
        <v>1</v>
      </c>
      <c r="R146" s="7" t="s">
        <v>3199</v>
      </c>
      <c r="S146" s="7" t="s">
        <v>3302</v>
      </c>
      <c r="T146" s="7" t="s">
        <v>3207</v>
      </c>
      <c r="U146" s="7" t="s">
        <v>3208</v>
      </c>
      <c r="V146" s="7" t="s">
        <v>7070</v>
      </c>
    </row>
    <row r="147" spans="1:22" ht="85.5">
      <c r="A147" s="7" t="s">
        <v>3310</v>
      </c>
      <c r="B147" s="7" t="s">
        <v>72</v>
      </c>
      <c r="C147" s="7" t="s">
        <v>1226</v>
      </c>
      <c r="D147" s="7" t="s">
        <v>3311</v>
      </c>
      <c r="E147" s="7" t="s">
        <v>7071</v>
      </c>
      <c r="F147" s="7" t="s">
        <v>7072</v>
      </c>
      <c r="G147" s="7" t="s">
        <v>7073</v>
      </c>
      <c r="H147" s="7" t="s">
        <v>7074</v>
      </c>
      <c r="I147" s="7" t="s">
        <v>7075</v>
      </c>
      <c r="J147" s="7" t="s">
        <v>7076</v>
      </c>
      <c r="K147" s="7" t="s">
        <v>7041</v>
      </c>
      <c r="L147" s="7">
        <v>5</v>
      </c>
      <c r="M147" s="7">
        <v>5</v>
      </c>
      <c r="N147" s="7">
        <v>4</v>
      </c>
      <c r="O147" s="7">
        <v>3</v>
      </c>
      <c r="P147" s="7">
        <v>2</v>
      </c>
      <c r="Q147" s="7">
        <v>1</v>
      </c>
      <c r="R147" s="7" t="s">
        <v>3199</v>
      </c>
      <c r="S147" s="7" t="s">
        <v>3312</v>
      </c>
      <c r="T147" s="7" t="s">
        <v>3207</v>
      </c>
      <c r="U147" s="7" t="s">
        <v>3208</v>
      </c>
      <c r="V147" s="7" t="s">
        <v>7077</v>
      </c>
    </row>
    <row r="148" spans="1:22" ht="99.75">
      <c r="A148" s="7" t="s">
        <v>3320</v>
      </c>
      <c r="B148" s="7" t="s">
        <v>72</v>
      </c>
      <c r="C148" s="7" t="s">
        <v>1234</v>
      </c>
      <c r="D148" s="7" t="s">
        <v>3321</v>
      </c>
      <c r="E148" s="7" t="s">
        <v>7078</v>
      </c>
      <c r="F148" s="7" t="s">
        <v>7079</v>
      </c>
      <c r="G148" s="7" t="s">
        <v>7080</v>
      </c>
      <c r="H148" s="7" t="s">
        <v>7081</v>
      </c>
      <c r="I148" s="7" t="s">
        <v>7082</v>
      </c>
      <c r="J148" s="7" t="s">
        <v>7083</v>
      </c>
      <c r="K148" s="7" t="s">
        <v>7084</v>
      </c>
      <c r="L148" s="7">
        <v>5</v>
      </c>
      <c r="M148" s="7">
        <v>5</v>
      </c>
      <c r="N148" s="7">
        <v>4</v>
      </c>
      <c r="O148" s="7">
        <v>3</v>
      </c>
      <c r="P148" s="7">
        <v>2</v>
      </c>
      <c r="Q148" s="7">
        <v>1</v>
      </c>
      <c r="R148" s="7" t="s">
        <v>3199</v>
      </c>
      <c r="S148" s="7" t="s">
        <v>3322</v>
      </c>
      <c r="T148" s="7" t="s">
        <v>3207</v>
      </c>
      <c r="U148" s="7" t="s">
        <v>3208</v>
      </c>
      <c r="V148" s="7" t="s">
        <v>7085</v>
      </c>
    </row>
    <row r="149" spans="1:22" ht="85.5">
      <c r="A149" s="7" t="s">
        <v>3330</v>
      </c>
      <c r="B149" s="7" t="s">
        <v>72</v>
      </c>
      <c r="C149" s="7" t="s">
        <v>1234</v>
      </c>
      <c r="D149" s="7" t="s">
        <v>3331</v>
      </c>
      <c r="E149" s="7" t="s">
        <v>7086</v>
      </c>
      <c r="F149" s="7" t="s">
        <v>7087</v>
      </c>
      <c r="G149" s="7" t="s">
        <v>7088</v>
      </c>
      <c r="H149" s="7" t="s">
        <v>7089</v>
      </c>
      <c r="I149" s="7" t="s">
        <v>7090</v>
      </c>
      <c r="J149" s="7" t="s">
        <v>7091</v>
      </c>
      <c r="K149" s="7" t="s">
        <v>7084</v>
      </c>
      <c r="L149" s="7">
        <v>5</v>
      </c>
      <c r="M149" s="7">
        <v>5</v>
      </c>
      <c r="N149" s="7">
        <v>4</v>
      </c>
      <c r="O149" s="7">
        <v>3</v>
      </c>
      <c r="P149" s="7">
        <v>2</v>
      </c>
      <c r="Q149" s="7">
        <v>1</v>
      </c>
      <c r="R149" s="7" t="s">
        <v>3199</v>
      </c>
      <c r="S149" s="7" t="s">
        <v>3332</v>
      </c>
      <c r="T149" s="7" t="s">
        <v>3207</v>
      </c>
      <c r="U149" s="7" t="s">
        <v>3208</v>
      </c>
      <c r="V149" s="7" t="s">
        <v>7092</v>
      </c>
    </row>
    <row r="150" spans="1:22" ht="85.5">
      <c r="A150" s="7" t="s">
        <v>3340</v>
      </c>
      <c r="B150" s="7" t="s">
        <v>72</v>
      </c>
      <c r="C150" s="7" t="s">
        <v>1234</v>
      </c>
      <c r="D150" s="7" t="s">
        <v>3341</v>
      </c>
      <c r="E150" s="7" t="s">
        <v>7093</v>
      </c>
      <c r="F150" s="7" t="s">
        <v>7094</v>
      </c>
      <c r="G150" s="7" t="s">
        <v>7095</v>
      </c>
      <c r="H150" s="7" t="s">
        <v>7096</v>
      </c>
      <c r="I150" s="7" t="s">
        <v>7097</v>
      </c>
      <c r="J150" s="7" t="s">
        <v>7098</v>
      </c>
      <c r="K150" s="7" t="s">
        <v>7084</v>
      </c>
      <c r="L150" s="7">
        <v>5</v>
      </c>
      <c r="M150" s="7">
        <v>5</v>
      </c>
      <c r="N150" s="7">
        <v>4</v>
      </c>
      <c r="O150" s="7">
        <v>3</v>
      </c>
      <c r="P150" s="7">
        <v>2</v>
      </c>
      <c r="Q150" s="7">
        <v>1</v>
      </c>
      <c r="R150" s="7" t="s">
        <v>3199</v>
      </c>
      <c r="S150" s="7" t="s">
        <v>3342</v>
      </c>
      <c r="T150" s="7" t="s">
        <v>3207</v>
      </c>
      <c r="U150" s="7" t="s">
        <v>3208</v>
      </c>
      <c r="V150" s="7" t="s">
        <v>7099</v>
      </c>
    </row>
    <row r="151" spans="1:22" ht="71.25">
      <c r="A151" s="7" t="s">
        <v>3350</v>
      </c>
      <c r="B151" s="7" t="s">
        <v>72</v>
      </c>
      <c r="C151" s="7" t="s">
        <v>1234</v>
      </c>
      <c r="D151" s="7" t="s">
        <v>3351</v>
      </c>
      <c r="E151" s="7" t="s">
        <v>7100</v>
      </c>
      <c r="F151" s="7" t="s">
        <v>7101</v>
      </c>
      <c r="G151" s="7" t="s">
        <v>7102</v>
      </c>
      <c r="H151" s="7" t="s">
        <v>7103</v>
      </c>
      <c r="I151" s="7" t="s">
        <v>7104</v>
      </c>
      <c r="J151" s="7" t="s">
        <v>7105</v>
      </c>
      <c r="K151" s="7" t="s">
        <v>7084</v>
      </c>
      <c r="L151" s="7">
        <v>5</v>
      </c>
      <c r="M151" s="7">
        <v>5</v>
      </c>
      <c r="N151" s="7">
        <v>4</v>
      </c>
      <c r="O151" s="7">
        <v>3</v>
      </c>
      <c r="P151" s="7">
        <v>2</v>
      </c>
      <c r="Q151" s="7">
        <v>1</v>
      </c>
      <c r="R151" s="7" t="s">
        <v>3199</v>
      </c>
      <c r="S151" s="7" t="s">
        <v>3352</v>
      </c>
      <c r="T151" s="7" t="s">
        <v>3207</v>
      </c>
      <c r="U151" s="7" t="s">
        <v>3208</v>
      </c>
      <c r="V151" s="7" t="s">
        <v>7106</v>
      </c>
    </row>
    <row r="152" spans="1:22" ht="71.25">
      <c r="A152" s="7" t="s">
        <v>3360</v>
      </c>
      <c r="B152" s="7" t="s">
        <v>72</v>
      </c>
      <c r="C152" s="7" t="s">
        <v>1234</v>
      </c>
      <c r="D152" s="7" t="s">
        <v>3361</v>
      </c>
      <c r="E152" s="7" t="s">
        <v>7107</v>
      </c>
      <c r="F152" s="7" t="s">
        <v>7108</v>
      </c>
      <c r="G152" s="7" t="s">
        <v>7109</v>
      </c>
      <c r="H152" s="7" t="s">
        <v>7110</v>
      </c>
      <c r="I152" s="7" t="s">
        <v>7111</v>
      </c>
      <c r="J152" s="7" t="s">
        <v>7112</v>
      </c>
      <c r="K152" s="7" t="s">
        <v>7084</v>
      </c>
      <c r="L152" s="7">
        <v>5</v>
      </c>
      <c r="M152" s="7">
        <v>5</v>
      </c>
      <c r="N152" s="7">
        <v>4</v>
      </c>
      <c r="O152" s="7">
        <v>3</v>
      </c>
      <c r="P152" s="7">
        <v>2</v>
      </c>
      <c r="Q152" s="7">
        <v>1</v>
      </c>
      <c r="R152" s="7" t="s">
        <v>3199</v>
      </c>
      <c r="S152" s="7" t="s">
        <v>3362</v>
      </c>
      <c r="T152" s="7" t="s">
        <v>3207</v>
      </c>
      <c r="U152" s="7" t="s">
        <v>3208</v>
      </c>
      <c r="V152" s="7" t="s">
        <v>7113</v>
      </c>
    </row>
    <row r="153" spans="1:22" ht="85.5">
      <c r="A153" s="7" t="s">
        <v>3370</v>
      </c>
      <c r="B153" s="7" t="s">
        <v>72</v>
      </c>
      <c r="C153" s="7" t="s">
        <v>1234</v>
      </c>
      <c r="D153" s="7" t="s">
        <v>3371</v>
      </c>
      <c r="E153" s="7" t="s">
        <v>7114</v>
      </c>
      <c r="F153" s="7" t="s">
        <v>7115</v>
      </c>
      <c r="G153" s="7" t="s">
        <v>7116</v>
      </c>
      <c r="H153" s="7" t="s">
        <v>7117</v>
      </c>
      <c r="I153" s="7" t="s">
        <v>7118</v>
      </c>
      <c r="J153" s="7" t="s">
        <v>7119</v>
      </c>
      <c r="K153" s="7" t="s">
        <v>7084</v>
      </c>
      <c r="L153" s="7">
        <v>5</v>
      </c>
      <c r="M153" s="7">
        <v>5</v>
      </c>
      <c r="N153" s="7">
        <v>4</v>
      </c>
      <c r="O153" s="7">
        <v>3</v>
      </c>
      <c r="P153" s="7">
        <v>2</v>
      </c>
      <c r="Q153" s="7">
        <v>1</v>
      </c>
      <c r="R153" s="7" t="s">
        <v>3199</v>
      </c>
      <c r="S153" s="7" t="s">
        <v>3372</v>
      </c>
      <c r="T153" s="7" t="s">
        <v>3207</v>
      </c>
      <c r="U153" s="7" t="s">
        <v>3208</v>
      </c>
      <c r="V153" s="7" t="s">
        <v>7120</v>
      </c>
    </row>
    <row r="154" spans="1:22" ht="85.5">
      <c r="A154" s="7" t="s">
        <v>3380</v>
      </c>
      <c r="B154" s="7" t="s">
        <v>72</v>
      </c>
      <c r="C154" s="7" t="s">
        <v>1242</v>
      </c>
      <c r="D154" s="7" t="s">
        <v>3381</v>
      </c>
      <c r="E154" s="7" t="s">
        <v>7121</v>
      </c>
      <c r="F154" s="7" t="s">
        <v>7122</v>
      </c>
      <c r="G154" s="7" t="s">
        <v>7123</v>
      </c>
      <c r="H154" s="7" t="s">
        <v>7124</v>
      </c>
      <c r="I154" s="7" t="s">
        <v>7125</v>
      </c>
      <c r="J154" s="7" t="s">
        <v>7126</v>
      </c>
      <c r="K154" s="7" t="s">
        <v>7127</v>
      </c>
      <c r="L154" s="7">
        <v>5</v>
      </c>
      <c r="M154" s="7">
        <v>5</v>
      </c>
      <c r="N154" s="7">
        <v>4</v>
      </c>
      <c r="O154" s="7">
        <v>3</v>
      </c>
      <c r="P154" s="7">
        <v>2</v>
      </c>
      <c r="Q154" s="7">
        <v>1</v>
      </c>
      <c r="R154" s="7" t="s">
        <v>3199</v>
      </c>
      <c r="S154" s="7" t="s">
        <v>3382</v>
      </c>
      <c r="T154" s="7" t="s">
        <v>3207</v>
      </c>
      <c r="U154" s="7" t="s">
        <v>3208</v>
      </c>
      <c r="V154" s="7" t="s">
        <v>7128</v>
      </c>
    </row>
    <row r="155" spans="1:22" ht="71.25">
      <c r="A155" s="7" t="s">
        <v>3390</v>
      </c>
      <c r="B155" s="7" t="s">
        <v>72</v>
      </c>
      <c r="C155" s="7" t="s">
        <v>1242</v>
      </c>
      <c r="D155" s="7" t="s">
        <v>3391</v>
      </c>
      <c r="E155" s="7" t="s">
        <v>7129</v>
      </c>
      <c r="F155" s="7" t="s">
        <v>7130</v>
      </c>
      <c r="G155" s="7" t="s">
        <v>7131</v>
      </c>
      <c r="H155" s="7" t="s">
        <v>7132</v>
      </c>
      <c r="I155" s="7" t="s">
        <v>7133</v>
      </c>
      <c r="J155" s="7" t="s">
        <v>7134</v>
      </c>
      <c r="K155" s="7" t="s">
        <v>7127</v>
      </c>
      <c r="L155" s="7">
        <v>5</v>
      </c>
      <c r="M155" s="7">
        <v>5</v>
      </c>
      <c r="N155" s="7">
        <v>4</v>
      </c>
      <c r="O155" s="7">
        <v>3</v>
      </c>
      <c r="P155" s="7">
        <v>2</v>
      </c>
      <c r="Q155" s="7">
        <v>1</v>
      </c>
      <c r="R155" s="7" t="s">
        <v>3199</v>
      </c>
      <c r="S155" s="7" t="s">
        <v>3392</v>
      </c>
      <c r="T155" s="7" t="s">
        <v>3207</v>
      </c>
      <c r="U155" s="7" t="s">
        <v>3208</v>
      </c>
      <c r="V155" s="7" t="s">
        <v>7135</v>
      </c>
    </row>
    <row r="156" spans="1:22" ht="85.5">
      <c r="A156" s="7" t="s">
        <v>3400</v>
      </c>
      <c r="B156" s="7" t="s">
        <v>72</v>
      </c>
      <c r="C156" s="7" t="s">
        <v>1242</v>
      </c>
      <c r="D156" s="7" t="s">
        <v>3401</v>
      </c>
      <c r="E156" s="7" t="s">
        <v>7136</v>
      </c>
      <c r="F156" s="7" t="s">
        <v>7137</v>
      </c>
      <c r="G156" s="7" t="s">
        <v>7138</v>
      </c>
      <c r="H156" s="7" t="s">
        <v>7139</v>
      </c>
      <c r="I156" s="7" t="s">
        <v>7140</v>
      </c>
      <c r="J156" s="7" t="s">
        <v>7141</v>
      </c>
      <c r="K156" s="7" t="s">
        <v>7127</v>
      </c>
      <c r="L156" s="7">
        <v>5</v>
      </c>
      <c r="M156" s="7">
        <v>5</v>
      </c>
      <c r="N156" s="7">
        <v>4</v>
      </c>
      <c r="O156" s="7">
        <v>3</v>
      </c>
      <c r="P156" s="7">
        <v>2</v>
      </c>
      <c r="Q156" s="7">
        <v>1</v>
      </c>
      <c r="R156" s="7" t="s">
        <v>3199</v>
      </c>
      <c r="S156" s="7" t="s">
        <v>3402</v>
      </c>
      <c r="T156" s="7" t="s">
        <v>3207</v>
      </c>
      <c r="U156" s="7" t="s">
        <v>3208</v>
      </c>
      <c r="V156" s="7" t="s">
        <v>7142</v>
      </c>
    </row>
    <row r="157" spans="1:22" ht="71.25">
      <c r="A157" s="7" t="s">
        <v>3410</v>
      </c>
      <c r="B157" s="7" t="s">
        <v>72</v>
      </c>
      <c r="C157" s="7" t="s">
        <v>1242</v>
      </c>
      <c r="D157" s="7" t="s">
        <v>3411</v>
      </c>
      <c r="E157" s="7" t="s">
        <v>7143</v>
      </c>
      <c r="F157" s="7" t="s">
        <v>7144</v>
      </c>
      <c r="G157" s="7" t="s">
        <v>7145</v>
      </c>
      <c r="H157" s="7" t="s">
        <v>7146</v>
      </c>
      <c r="I157" s="7" t="s">
        <v>7147</v>
      </c>
      <c r="J157" s="7" t="s">
        <v>7148</v>
      </c>
      <c r="K157" s="7" t="s">
        <v>7127</v>
      </c>
      <c r="L157" s="7">
        <v>5</v>
      </c>
      <c r="M157" s="7">
        <v>5</v>
      </c>
      <c r="N157" s="7">
        <v>4</v>
      </c>
      <c r="O157" s="7">
        <v>3</v>
      </c>
      <c r="P157" s="7">
        <v>2</v>
      </c>
      <c r="Q157" s="7">
        <v>1</v>
      </c>
      <c r="R157" s="7" t="s">
        <v>3199</v>
      </c>
      <c r="S157" s="7" t="s">
        <v>3412</v>
      </c>
      <c r="T157" s="7" t="s">
        <v>3207</v>
      </c>
      <c r="U157" s="7" t="s">
        <v>3208</v>
      </c>
      <c r="V157" s="7" t="s">
        <v>7149</v>
      </c>
    </row>
    <row r="158" spans="1:22" ht="71.25">
      <c r="A158" s="7" t="s">
        <v>3420</v>
      </c>
      <c r="B158" s="7" t="s">
        <v>72</v>
      </c>
      <c r="C158" s="7" t="s">
        <v>1242</v>
      </c>
      <c r="D158" s="7" t="s">
        <v>3421</v>
      </c>
      <c r="E158" s="7" t="s">
        <v>7150</v>
      </c>
      <c r="F158" s="7" t="s">
        <v>7151</v>
      </c>
      <c r="G158" s="7" t="s">
        <v>7152</v>
      </c>
      <c r="H158" s="7" t="s">
        <v>7153</v>
      </c>
      <c r="I158" s="7" t="s">
        <v>7154</v>
      </c>
      <c r="J158" s="7" t="s">
        <v>7155</v>
      </c>
      <c r="K158" s="7" t="s">
        <v>7127</v>
      </c>
      <c r="L158" s="7">
        <v>5</v>
      </c>
      <c r="M158" s="7">
        <v>5</v>
      </c>
      <c r="N158" s="7">
        <v>4</v>
      </c>
      <c r="O158" s="7">
        <v>3</v>
      </c>
      <c r="P158" s="7">
        <v>2</v>
      </c>
      <c r="Q158" s="7">
        <v>1</v>
      </c>
      <c r="R158" s="7" t="s">
        <v>3199</v>
      </c>
      <c r="S158" s="7" t="s">
        <v>3422</v>
      </c>
      <c r="T158" s="7" t="s">
        <v>3207</v>
      </c>
      <c r="U158" s="7" t="s">
        <v>3208</v>
      </c>
      <c r="V158" s="7" t="s">
        <v>7156</v>
      </c>
    </row>
    <row r="159" spans="1:22" ht="85.5">
      <c r="A159" s="7" t="s">
        <v>3430</v>
      </c>
      <c r="B159" s="7" t="s">
        <v>72</v>
      </c>
      <c r="C159" s="7" t="s">
        <v>1250</v>
      </c>
      <c r="D159" s="7" t="s">
        <v>3431</v>
      </c>
      <c r="E159" s="7" t="s">
        <v>7157</v>
      </c>
      <c r="F159" s="7" t="s">
        <v>7158</v>
      </c>
      <c r="G159" s="7" t="s">
        <v>7159</v>
      </c>
      <c r="H159" s="7" t="s">
        <v>7160</v>
      </c>
      <c r="I159" s="7" t="s">
        <v>7161</v>
      </c>
      <c r="J159" s="7" t="s">
        <v>7162</v>
      </c>
      <c r="K159" s="7" t="s">
        <v>7163</v>
      </c>
      <c r="L159" s="7">
        <v>5</v>
      </c>
      <c r="M159" s="7">
        <v>5</v>
      </c>
      <c r="N159" s="7">
        <v>4</v>
      </c>
      <c r="O159" s="7">
        <v>3</v>
      </c>
      <c r="P159" s="7">
        <v>2</v>
      </c>
      <c r="Q159" s="7">
        <v>1</v>
      </c>
      <c r="R159" s="7" t="s">
        <v>3199</v>
      </c>
      <c r="S159" s="7" t="s">
        <v>3432</v>
      </c>
      <c r="T159" s="7" t="s">
        <v>3207</v>
      </c>
      <c r="U159" s="7" t="s">
        <v>3208</v>
      </c>
      <c r="V159" s="7" t="s">
        <v>7164</v>
      </c>
    </row>
    <row r="160" spans="1:22" ht="85.5">
      <c r="A160" s="7" t="s">
        <v>3440</v>
      </c>
      <c r="B160" s="7" t="s">
        <v>72</v>
      </c>
      <c r="C160" s="7" t="s">
        <v>1250</v>
      </c>
      <c r="D160" s="7" t="s">
        <v>3441</v>
      </c>
      <c r="E160" s="7" t="s">
        <v>7165</v>
      </c>
      <c r="F160" s="7" t="s">
        <v>7166</v>
      </c>
      <c r="G160" s="7" t="s">
        <v>7167</v>
      </c>
      <c r="H160" s="7" t="s">
        <v>7168</v>
      </c>
      <c r="I160" s="7" t="s">
        <v>7169</v>
      </c>
      <c r="J160" s="7" t="s">
        <v>7170</v>
      </c>
      <c r="K160" s="7" t="s">
        <v>7163</v>
      </c>
      <c r="L160" s="7">
        <v>5</v>
      </c>
      <c r="M160" s="7">
        <v>5</v>
      </c>
      <c r="N160" s="7">
        <v>4</v>
      </c>
      <c r="O160" s="7">
        <v>3</v>
      </c>
      <c r="P160" s="7">
        <v>2</v>
      </c>
      <c r="Q160" s="7">
        <v>1</v>
      </c>
      <c r="R160" s="7" t="s">
        <v>3199</v>
      </c>
      <c r="S160" s="7" t="s">
        <v>3442</v>
      </c>
      <c r="T160" s="7" t="s">
        <v>3207</v>
      </c>
      <c r="U160" s="7" t="s">
        <v>3208</v>
      </c>
      <c r="V160" s="7" t="s">
        <v>7171</v>
      </c>
    </row>
    <row r="161" spans="1:22" ht="71.25">
      <c r="A161" s="7" t="s">
        <v>3450</v>
      </c>
      <c r="B161" s="7" t="s">
        <v>72</v>
      </c>
      <c r="C161" s="7" t="s">
        <v>1250</v>
      </c>
      <c r="D161" s="7" t="s">
        <v>3451</v>
      </c>
      <c r="E161" s="7" t="s">
        <v>7172</v>
      </c>
      <c r="F161" s="7" t="s">
        <v>7173</v>
      </c>
      <c r="G161" s="7" t="s">
        <v>7174</v>
      </c>
      <c r="H161" s="7" t="s">
        <v>7175</v>
      </c>
      <c r="I161" s="7" t="s">
        <v>7176</v>
      </c>
      <c r="J161" s="7" t="s">
        <v>7177</v>
      </c>
      <c r="K161" s="7" t="s">
        <v>7163</v>
      </c>
      <c r="L161" s="7">
        <v>5</v>
      </c>
      <c r="M161" s="7">
        <v>5</v>
      </c>
      <c r="N161" s="7">
        <v>4</v>
      </c>
      <c r="O161" s="7">
        <v>3</v>
      </c>
      <c r="P161" s="7">
        <v>2</v>
      </c>
      <c r="Q161" s="7">
        <v>1</v>
      </c>
      <c r="R161" s="7" t="s">
        <v>3199</v>
      </c>
      <c r="S161" s="7" t="s">
        <v>3452</v>
      </c>
      <c r="T161" s="7" t="s">
        <v>3207</v>
      </c>
      <c r="U161" s="7" t="s">
        <v>3208</v>
      </c>
      <c r="V161" s="7" t="s">
        <v>7178</v>
      </c>
    </row>
    <row r="162" spans="1:22" ht="71.25">
      <c r="A162" s="7" t="s">
        <v>3460</v>
      </c>
      <c r="B162" s="7" t="s">
        <v>72</v>
      </c>
      <c r="C162" s="7" t="s">
        <v>1250</v>
      </c>
      <c r="D162" s="7" t="s">
        <v>3461</v>
      </c>
      <c r="E162" s="7" t="s">
        <v>7179</v>
      </c>
      <c r="F162" s="7" t="s">
        <v>7180</v>
      </c>
      <c r="G162" s="7" t="s">
        <v>7181</v>
      </c>
      <c r="H162" s="7" t="s">
        <v>7182</v>
      </c>
      <c r="I162" s="7" t="s">
        <v>7183</v>
      </c>
      <c r="J162" s="7" t="s">
        <v>7184</v>
      </c>
      <c r="K162" s="7" t="s">
        <v>7163</v>
      </c>
      <c r="L162" s="7">
        <v>5</v>
      </c>
      <c r="M162" s="7">
        <v>5</v>
      </c>
      <c r="N162" s="7">
        <v>4</v>
      </c>
      <c r="O162" s="7">
        <v>3</v>
      </c>
      <c r="P162" s="7">
        <v>2</v>
      </c>
      <c r="Q162" s="7">
        <v>1</v>
      </c>
      <c r="R162" s="7" t="s">
        <v>3199</v>
      </c>
      <c r="S162" s="7" t="s">
        <v>3462</v>
      </c>
      <c r="T162" s="7" t="s">
        <v>3207</v>
      </c>
      <c r="U162" s="7" t="s">
        <v>3208</v>
      </c>
      <c r="V162" s="7" t="s">
        <v>7185</v>
      </c>
    </row>
    <row r="163" spans="1:22" ht="85.5">
      <c r="A163" s="7" t="s">
        <v>3470</v>
      </c>
      <c r="B163" s="7" t="s">
        <v>72</v>
      </c>
      <c r="C163" s="7" t="s">
        <v>1250</v>
      </c>
      <c r="D163" s="7" t="s">
        <v>3471</v>
      </c>
      <c r="E163" s="7" t="s">
        <v>7186</v>
      </c>
      <c r="F163" s="7" t="s">
        <v>7187</v>
      </c>
      <c r="G163" s="7" t="s">
        <v>7188</v>
      </c>
      <c r="H163" s="7" t="s">
        <v>7189</v>
      </c>
      <c r="I163" s="7" t="s">
        <v>7190</v>
      </c>
      <c r="J163" s="7" t="s">
        <v>7191</v>
      </c>
      <c r="K163" s="7" t="s">
        <v>7163</v>
      </c>
      <c r="L163" s="7">
        <v>5</v>
      </c>
      <c r="M163" s="7">
        <v>5</v>
      </c>
      <c r="N163" s="7">
        <v>4</v>
      </c>
      <c r="O163" s="7">
        <v>3</v>
      </c>
      <c r="P163" s="7">
        <v>2</v>
      </c>
      <c r="Q163" s="7">
        <v>1</v>
      </c>
      <c r="R163" s="7" t="s">
        <v>3199</v>
      </c>
      <c r="S163" s="7" t="s">
        <v>3472</v>
      </c>
      <c r="T163" s="7" t="s">
        <v>3207</v>
      </c>
      <c r="U163" s="7" t="s">
        <v>3208</v>
      </c>
      <c r="V163" s="7" t="s">
        <v>7192</v>
      </c>
    </row>
    <row r="164" spans="1:22" ht="85.5">
      <c r="A164" s="7" t="s">
        <v>3482</v>
      </c>
      <c r="B164" s="7" t="s">
        <v>75</v>
      </c>
      <c r="C164" s="7" t="s">
        <v>1258</v>
      </c>
      <c r="D164" s="7" t="s">
        <v>3483</v>
      </c>
      <c r="E164" s="7" t="s">
        <v>7193</v>
      </c>
      <c r="F164" s="7" t="s">
        <v>7194</v>
      </c>
      <c r="G164" s="7" t="s">
        <v>7195</v>
      </c>
      <c r="H164" s="7" t="s">
        <v>7196</v>
      </c>
      <c r="I164" s="7" t="s">
        <v>7197</v>
      </c>
      <c r="J164" s="7" t="s">
        <v>7198</v>
      </c>
      <c r="K164" s="7" t="s">
        <v>7199</v>
      </c>
      <c r="L164" s="7">
        <v>4</v>
      </c>
      <c r="M164" s="7">
        <v>4</v>
      </c>
      <c r="N164" s="7">
        <v>3</v>
      </c>
      <c r="O164" s="7">
        <v>2</v>
      </c>
      <c r="P164" s="7">
        <v>1</v>
      </c>
      <c r="Q164" s="7">
        <v>1</v>
      </c>
      <c r="R164" s="7" t="s">
        <v>3485</v>
      </c>
      <c r="S164" s="7" t="s">
        <v>3486</v>
      </c>
      <c r="T164" s="7" t="s">
        <v>3493</v>
      </c>
      <c r="U164" s="7" t="s">
        <v>3494</v>
      </c>
      <c r="V164" s="7" t="s">
        <v>7200</v>
      </c>
    </row>
    <row r="165" spans="1:22" ht="85.5">
      <c r="A165" s="7" t="s">
        <v>3496</v>
      </c>
      <c r="B165" s="7" t="s">
        <v>75</v>
      </c>
      <c r="C165" s="7" t="s">
        <v>1258</v>
      </c>
      <c r="D165" s="7" t="s">
        <v>3497</v>
      </c>
      <c r="E165" s="7" t="s">
        <v>7201</v>
      </c>
      <c r="F165" s="7" t="s">
        <v>7202</v>
      </c>
      <c r="G165" s="7" t="s">
        <v>7203</v>
      </c>
      <c r="H165" s="7" t="s">
        <v>7204</v>
      </c>
      <c r="I165" s="7" t="s">
        <v>7205</v>
      </c>
      <c r="J165" s="7" t="s">
        <v>7206</v>
      </c>
      <c r="K165" s="7" t="s">
        <v>7199</v>
      </c>
      <c r="L165" s="7">
        <v>4</v>
      </c>
      <c r="M165" s="7">
        <v>4</v>
      </c>
      <c r="N165" s="7">
        <v>3</v>
      </c>
      <c r="O165" s="7">
        <v>2</v>
      </c>
      <c r="P165" s="7">
        <v>1</v>
      </c>
      <c r="Q165" s="7">
        <v>1</v>
      </c>
      <c r="R165" s="7" t="s">
        <v>3485</v>
      </c>
      <c r="S165" s="7" t="s">
        <v>3498</v>
      </c>
      <c r="T165" s="7" t="s">
        <v>3493</v>
      </c>
      <c r="U165" s="7" t="s">
        <v>3494</v>
      </c>
      <c r="V165" s="7" t="s">
        <v>7207</v>
      </c>
    </row>
    <row r="166" spans="1:22" ht="85.5">
      <c r="A166" s="7" t="s">
        <v>3506</v>
      </c>
      <c r="B166" s="7" t="s">
        <v>75</v>
      </c>
      <c r="C166" s="7" t="s">
        <v>1258</v>
      </c>
      <c r="D166" s="7" t="s">
        <v>3507</v>
      </c>
      <c r="E166" s="7" t="s">
        <v>7208</v>
      </c>
      <c r="F166" s="7" t="s">
        <v>7209</v>
      </c>
      <c r="G166" s="7" t="s">
        <v>7210</v>
      </c>
      <c r="H166" s="7" t="s">
        <v>7211</v>
      </c>
      <c r="I166" s="7" t="s">
        <v>7212</v>
      </c>
      <c r="J166" s="7" t="s">
        <v>7213</v>
      </c>
      <c r="K166" s="7" t="s">
        <v>7199</v>
      </c>
      <c r="L166" s="7">
        <v>4</v>
      </c>
      <c r="M166" s="7">
        <v>4</v>
      </c>
      <c r="N166" s="7">
        <v>3</v>
      </c>
      <c r="O166" s="7">
        <v>2</v>
      </c>
      <c r="P166" s="7">
        <v>1</v>
      </c>
      <c r="Q166" s="7">
        <v>1</v>
      </c>
      <c r="R166" s="7" t="s">
        <v>3485</v>
      </c>
      <c r="S166" s="7" t="s">
        <v>3508</v>
      </c>
      <c r="T166" s="7" t="s">
        <v>3493</v>
      </c>
      <c r="U166" s="7" t="s">
        <v>3494</v>
      </c>
      <c r="V166" s="7" t="s">
        <v>7214</v>
      </c>
    </row>
    <row r="167" spans="1:22" ht="85.5">
      <c r="A167" s="7" t="s">
        <v>3516</v>
      </c>
      <c r="B167" s="7" t="s">
        <v>75</v>
      </c>
      <c r="C167" s="7" t="s">
        <v>1258</v>
      </c>
      <c r="D167" s="7" t="s">
        <v>3517</v>
      </c>
      <c r="E167" s="7" t="s">
        <v>7215</v>
      </c>
      <c r="F167" s="7" t="s">
        <v>7216</v>
      </c>
      <c r="G167" s="7" t="s">
        <v>7217</v>
      </c>
      <c r="H167" s="7" t="s">
        <v>7218</v>
      </c>
      <c r="I167" s="7" t="s">
        <v>7219</v>
      </c>
      <c r="J167" s="7" t="s">
        <v>7220</v>
      </c>
      <c r="K167" s="7" t="s">
        <v>7199</v>
      </c>
      <c r="L167" s="7">
        <v>4</v>
      </c>
      <c r="M167" s="7">
        <v>4</v>
      </c>
      <c r="N167" s="7">
        <v>3</v>
      </c>
      <c r="O167" s="7">
        <v>2</v>
      </c>
      <c r="P167" s="7">
        <v>1</v>
      </c>
      <c r="Q167" s="7">
        <v>1</v>
      </c>
      <c r="R167" s="7" t="s">
        <v>3485</v>
      </c>
      <c r="S167" s="7" t="s">
        <v>3518</v>
      </c>
      <c r="T167" s="7" t="s">
        <v>3493</v>
      </c>
      <c r="U167" s="7" t="s">
        <v>3494</v>
      </c>
      <c r="V167" s="7" t="s">
        <v>7221</v>
      </c>
    </row>
    <row r="168" spans="1:22" ht="71.25">
      <c r="A168" s="7" t="s">
        <v>3526</v>
      </c>
      <c r="B168" s="7" t="s">
        <v>75</v>
      </c>
      <c r="C168" s="7" t="s">
        <v>1258</v>
      </c>
      <c r="D168" s="7" t="s">
        <v>3527</v>
      </c>
      <c r="E168" s="7" t="s">
        <v>7222</v>
      </c>
      <c r="F168" s="7" t="s">
        <v>7223</v>
      </c>
      <c r="G168" s="7" t="s">
        <v>7224</v>
      </c>
      <c r="H168" s="7" t="s">
        <v>7225</v>
      </c>
      <c r="I168" s="7" t="s">
        <v>7226</v>
      </c>
      <c r="J168" s="7" t="s">
        <v>7227</v>
      </c>
      <c r="K168" s="7" t="s">
        <v>7199</v>
      </c>
      <c r="L168" s="7">
        <v>4</v>
      </c>
      <c r="M168" s="7">
        <v>4</v>
      </c>
      <c r="N168" s="7">
        <v>3</v>
      </c>
      <c r="O168" s="7">
        <v>2</v>
      </c>
      <c r="P168" s="7">
        <v>1</v>
      </c>
      <c r="Q168" s="7">
        <v>1</v>
      </c>
      <c r="R168" s="7" t="s">
        <v>3485</v>
      </c>
      <c r="S168" s="7" t="s">
        <v>3528</v>
      </c>
      <c r="T168" s="7" t="s">
        <v>3493</v>
      </c>
      <c r="U168" s="7" t="s">
        <v>3494</v>
      </c>
      <c r="V168" s="7" t="s">
        <v>7228</v>
      </c>
    </row>
    <row r="169" spans="1:22" ht="71.25">
      <c r="A169" s="7" t="s">
        <v>3536</v>
      </c>
      <c r="B169" s="7" t="s">
        <v>75</v>
      </c>
      <c r="C169" s="7" t="s">
        <v>1258</v>
      </c>
      <c r="D169" s="7" t="s">
        <v>3537</v>
      </c>
      <c r="E169" s="7" t="s">
        <v>7229</v>
      </c>
      <c r="F169" s="7" t="s">
        <v>7230</v>
      </c>
      <c r="G169" s="7" t="s">
        <v>7231</v>
      </c>
      <c r="H169" s="7" t="s">
        <v>7232</v>
      </c>
      <c r="I169" s="7" t="s">
        <v>7233</v>
      </c>
      <c r="J169" s="7" t="s">
        <v>7234</v>
      </c>
      <c r="K169" s="7" t="s">
        <v>7199</v>
      </c>
      <c r="L169" s="7">
        <v>4</v>
      </c>
      <c r="M169" s="7">
        <v>4</v>
      </c>
      <c r="N169" s="7">
        <v>3</v>
      </c>
      <c r="O169" s="7">
        <v>2</v>
      </c>
      <c r="P169" s="7">
        <v>1</v>
      </c>
      <c r="Q169" s="7">
        <v>1</v>
      </c>
      <c r="R169" s="7" t="s">
        <v>3485</v>
      </c>
      <c r="S169" s="7" t="s">
        <v>3538</v>
      </c>
      <c r="T169" s="7" t="s">
        <v>3493</v>
      </c>
      <c r="U169" s="7" t="s">
        <v>3494</v>
      </c>
      <c r="V169" s="7" t="s">
        <v>7235</v>
      </c>
    </row>
    <row r="170" spans="1:22" ht="85.5">
      <c r="A170" s="7" t="s">
        <v>3546</v>
      </c>
      <c r="B170" s="7" t="s">
        <v>75</v>
      </c>
      <c r="C170" s="7" t="s">
        <v>1272</v>
      </c>
      <c r="D170" s="7" t="s">
        <v>3547</v>
      </c>
      <c r="E170" s="7" t="s">
        <v>7236</v>
      </c>
      <c r="F170" s="7" t="s">
        <v>7237</v>
      </c>
      <c r="G170" s="7" t="s">
        <v>7238</v>
      </c>
      <c r="H170" s="7" t="s">
        <v>7239</v>
      </c>
      <c r="I170" s="7" t="s">
        <v>7240</v>
      </c>
      <c r="J170" s="7" t="s">
        <v>7241</v>
      </c>
      <c r="K170" s="7" t="s">
        <v>7242</v>
      </c>
      <c r="L170" s="7">
        <v>5</v>
      </c>
      <c r="M170" s="7">
        <v>5</v>
      </c>
      <c r="N170" s="7">
        <v>4</v>
      </c>
      <c r="O170" s="7">
        <v>3</v>
      </c>
      <c r="P170" s="7">
        <v>2</v>
      </c>
      <c r="Q170" s="7">
        <v>1</v>
      </c>
      <c r="R170" s="7" t="s">
        <v>3485</v>
      </c>
      <c r="S170" s="7" t="s">
        <v>3548</v>
      </c>
      <c r="T170" s="7" t="s">
        <v>3493</v>
      </c>
      <c r="U170" s="7" t="s">
        <v>3494</v>
      </c>
      <c r="V170" s="7" t="s">
        <v>7243</v>
      </c>
    </row>
    <row r="171" spans="1:22" ht="71.25">
      <c r="A171" s="7" t="s">
        <v>3556</v>
      </c>
      <c r="B171" s="7" t="s">
        <v>75</v>
      </c>
      <c r="C171" s="7" t="s">
        <v>1272</v>
      </c>
      <c r="D171" s="7" t="s">
        <v>3557</v>
      </c>
      <c r="E171" s="7" t="s">
        <v>7244</v>
      </c>
      <c r="F171" s="7" t="s">
        <v>7245</v>
      </c>
      <c r="G171" s="7" t="s">
        <v>7246</v>
      </c>
      <c r="H171" s="7" t="s">
        <v>7247</v>
      </c>
      <c r="I171" s="7" t="s">
        <v>7248</v>
      </c>
      <c r="J171" s="7" t="s">
        <v>7249</v>
      </c>
      <c r="K171" s="7" t="s">
        <v>7242</v>
      </c>
      <c r="L171" s="7">
        <v>4</v>
      </c>
      <c r="M171" s="7">
        <v>4</v>
      </c>
      <c r="N171" s="7">
        <v>3</v>
      </c>
      <c r="O171" s="7">
        <v>2</v>
      </c>
      <c r="P171" s="7">
        <v>1</v>
      </c>
      <c r="Q171" s="7">
        <v>1</v>
      </c>
      <c r="R171" s="7" t="s">
        <v>3485</v>
      </c>
      <c r="S171" s="7" t="s">
        <v>3558</v>
      </c>
      <c r="T171" s="7" t="s">
        <v>3493</v>
      </c>
      <c r="U171" s="7" t="s">
        <v>3494</v>
      </c>
      <c r="V171" s="7" t="s">
        <v>7250</v>
      </c>
    </row>
    <row r="172" spans="1:22" ht="71.25">
      <c r="A172" s="7" t="s">
        <v>3566</v>
      </c>
      <c r="B172" s="7" t="s">
        <v>75</v>
      </c>
      <c r="C172" s="7" t="s">
        <v>1272</v>
      </c>
      <c r="D172" s="7" t="s">
        <v>3567</v>
      </c>
      <c r="E172" s="7" t="s">
        <v>7251</v>
      </c>
      <c r="F172" s="7" t="s">
        <v>7252</v>
      </c>
      <c r="G172" s="7" t="s">
        <v>7253</v>
      </c>
      <c r="H172" s="7" t="s">
        <v>7254</v>
      </c>
      <c r="I172" s="7" t="s">
        <v>7255</v>
      </c>
      <c r="J172" s="7" t="s">
        <v>7256</v>
      </c>
      <c r="K172" s="7" t="s">
        <v>7242</v>
      </c>
      <c r="L172" s="7">
        <v>4</v>
      </c>
      <c r="M172" s="7">
        <v>4</v>
      </c>
      <c r="N172" s="7">
        <v>3</v>
      </c>
      <c r="O172" s="7">
        <v>2</v>
      </c>
      <c r="P172" s="7">
        <v>1</v>
      </c>
      <c r="Q172" s="7">
        <v>1</v>
      </c>
      <c r="R172" s="7" t="s">
        <v>3485</v>
      </c>
      <c r="S172" s="7" t="s">
        <v>3568</v>
      </c>
      <c r="T172" s="7" t="s">
        <v>3493</v>
      </c>
      <c r="U172" s="7" t="s">
        <v>3494</v>
      </c>
      <c r="V172" s="7" t="s">
        <v>7257</v>
      </c>
    </row>
    <row r="173" spans="1:22" ht="71.25">
      <c r="A173" s="7" t="s">
        <v>3576</v>
      </c>
      <c r="B173" s="7" t="s">
        <v>75</v>
      </c>
      <c r="C173" s="7" t="s">
        <v>1272</v>
      </c>
      <c r="D173" s="7" t="s">
        <v>3577</v>
      </c>
      <c r="E173" s="7" t="s">
        <v>7258</v>
      </c>
      <c r="F173" s="7" t="s">
        <v>7259</v>
      </c>
      <c r="G173" s="7" t="s">
        <v>7260</v>
      </c>
      <c r="H173" s="7" t="s">
        <v>7261</v>
      </c>
      <c r="I173" s="7" t="s">
        <v>7262</v>
      </c>
      <c r="J173" s="7" t="s">
        <v>7263</v>
      </c>
      <c r="K173" s="7" t="s">
        <v>7242</v>
      </c>
      <c r="L173" s="7">
        <v>4</v>
      </c>
      <c r="M173" s="7">
        <v>4</v>
      </c>
      <c r="N173" s="7">
        <v>3</v>
      </c>
      <c r="O173" s="7">
        <v>2</v>
      </c>
      <c r="P173" s="7">
        <v>1</v>
      </c>
      <c r="Q173" s="7">
        <v>1</v>
      </c>
      <c r="R173" s="7" t="s">
        <v>3485</v>
      </c>
      <c r="S173" s="7" t="s">
        <v>3578</v>
      </c>
      <c r="T173" s="7" t="s">
        <v>3493</v>
      </c>
      <c r="U173" s="7" t="s">
        <v>3494</v>
      </c>
      <c r="V173" s="7" t="s">
        <v>7264</v>
      </c>
    </row>
    <row r="174" spans="1:22" ht="71.25">
      <c r="A174" s="7" t="s">
        <v>3586</v>
      </c>
      <c r="B174" s="7" t="s">
        <v>75</v>
      </c>
      <c r="C174" s="7" t="s">
        <v>1272</v>
      </c>
      <c r="D174" s="7" t="s">
        <v>3587</v>
      </c>
      <c r="E174" s="7" t="s">
        <v>7265</v>
      </c>
      <c r="F174" s="7" t="s">
        <v>7266</v>
      </c>
      <c r="G174" s="7" t="s">
        <v>7267</v>
      </c>
      <c r="H174" s="7" t="s">
        <v>7268</v>
      </c>
      <c r="I174" s="7" t="s">
        <v>7269</v>
      </c>
      <c r="J174" s="7" t="s">
        <v>7270</v>
      </c>
      <c r="K174" s="7" t="s">
        <v>7242</v>
      </c>
      <c r="L174" s="7">
        <v>4</v>
      </c>
      <c r="M174" s="7">
        <v>4</v>
      </c>
      <c r="N174" s="7">
        <v>3</v>
      </c>
      <c r="O174" s="7">
        <v>2</v>
      </c>
      <c r="P174" s="7">
        <v>1</v>
      </c>
      <c r="Q174" s="7">
        <v>1</v>
      </c>
      <c r="R174" s="7" t="s">
        <v>3485</v>
      </c>
      <c r="S174" s="7" t="s">
        <v>3588</v>
      </c>
      <c r="T174" s="7" t="s">
        <v>3493</v>
      </c>
      <c r="U174" s="7" t="s">
        <v>3494</v>
      </c>
      <c r="V174" s="7" t="s">
        <v>7271</v>
      </c>
    </row>
    <row r="175" spans="1:22" ht="85.5">
      <c r="A175" s="7" t="s">
        <v>3596</v>
      </c>
      <c r="B175" s="7" t="s">
        <v>75</v>
      </c>
      <c r="C175" s="7" t="s">
        <v>1272</v>
      </c>
      <c r="D175" s="7" t="s">
        <v>3597</v>
      </c>
      <c r="E175" s="7" t="s">
        <v>7272</v>
      </c>
      <c r="F175" s="7" t="s">
        <v>7273</v>
      </c>
      <c r="G175" s="7" t="s">
        <v>7274</v>
      </c>
      <c r="H175" s="7" t="s">
        <v>7275</v>
      </c>
      <c r="I175" s="7" t="s">
        <v>7276</v>
      </c>
      <c r="J175" s="7" t="s">
        <v>7277</v>
      </c>
      <c r="K175" s="7" t="s">
        <v>7242</v>
      </c>
      <c r="L175" s="7">
        <v>4</v>
      </c>
      <c r="M175" s="7">
        <v>4</v>
      </c>
      <c r="N175" s="7">
        <v>3</v>
      </c>
      <c r="O175" s="7">
        <v>2</v>
      </c>
      <c r="P175" s="7">
        <v>1</v>
      </c>
      <c r="Q175" s="7">
        <v>1</v>
      </c>
      <c r="R175" s="7" t="s">
        <v>3485</v>
      </c>
      <c r="S175" s="7" t="s">
        <v>3598</v>
      </c>
      <c r="T175" s="7" t="s">
        <v>3493</v>
      </c>
      <c r="U175" s="7" t="s">
        <v>3494</v>
      </c>
      <c r="V175" s="7" t="s">
        <v>7278</v>
      </c>
    </row>
    <row r="176" spans="1:22" ht="71.25">
      <c r="A176" s="7" t="s">
        <v>3606</v>
      </c>
      <c r="B176" s="7" t="s">
        <v>75</v>
      </c>
      <c r="C176" s="7" t="s">
        <v>1280</v>
      </c>
      <c r="D176" s="7" t="s">
        <v>3607</v>
      </c>
      <c r="E176" s="7" t="s">
        <v>7279</v>
      </c>
      <c r="F176" s="7" t="s">
        <v>7280</v>
      </c>
      <c r="G176" s="7" t="s">
        <v>7281</v>
      </c>
      <c r="H176" s="7" t="s">
        <v>7282</v>
      </c>
      <c r="I176" s="7" t="s">
        <v>7283</v>
      </c>
      <c r="J176" s="7" t="s">
        <v>7284</v>
      </c>
      <c r="K176" s="7" t="s">
        <v>7285</v>
      </c>
      <c r="L176" s="7">
        <v>4</v>
      </c>
      <c r="M176" s="7">
        <v>4</v>
      </c>
      <c r="N176" s="7">
        <v>3</v>
      </c>
      <c r="O176" s="7">
        <v>2</v>
      </c>
      <c r="P176" s="7">
        <v>1</v>
      </c>
      <c r="Q176" s="7">
        <v>1</v>
      </c>
      <c r="R176" s="7" t="s">
        <v>3485</v>
      </c>
      <c r="S176" s="7" t="s">
        <v>3608</v>
      </c>
      <c r="T176" s="7" t="s">
        <v>3493</v>
      </c>
      <c r="U176" s="7" t="s">
        <v>3494</v>
      </c>
      <c r="V176" s="7" t="s">
        <v>7286</v>
      </c>
    </row>
    <row r="177" spans="1:22" ht="71.25">
      <c r="A177" s="7" t="s">
        <v>3616</v>
      </c>
      <c r="B177" s="7" t="s">
        <v>75</v>
      </c>
      <c r="C177" s="7" t="s">
        <v>1280</v>
      </c>
      <c r="D177" s="7" t="s">
        <v>3617</v>
      </c>
      <c r="E177" s="7" t="s">
        <v>7287</v>
      </c>
      <c r="F177" s="7" t="s">
        <v>7288</v>
      </c>
      <c r="G177" s="7" t="s">
        <v>7289</v>
      </c>
      <c r="H177" s="7" t="s">
        <v>7290</v>
      </c>
      <c r="I177" s="7" t="s">
        <v>7291</v>
      </c>
      <c r="J177" s="7" t="s">
        <v>7292</v>
      </c>
      <c r="K177" s="7" t="s">
        <v>7285</v>
      </c>
      <c r="L177" s="7">
        <v>4</v>
      </c>
      <c r="M177" s="7">
        <v>4</v>
      </c>
      <c r="N177" s="7">
        <v>3</v>
      </c>
      <c r="O177" s="7">
        <v>2</v>
      </c>
      <c r="P177" s="7">
        <v>1</v>
      </c>
      <c r="Q177" s="7">
        <v>1</v>
      </c>
      <c r="R177" s="7" t="s">
        <v>3485</v>
      </c>
      <c r="S177" s="7" t="s">
        <v>3618</v>
      </c>
      <c r="T177" s="7" t="s">
        <v>3493</v>
      </c>
      <c r="U177" s="7" t="s">
        <v>3494</v>
      </c>
      <c r="V177" s="7" t="s">
        <v>7293</v>
      </c>
    </row>
    <row r="178" spans="1:22" ht="71.25">
      <c r="A178" s="7" t="s">
        <v>3626</v>
      </c>
      <c r="B178" s="7" t="s">
        <v>75</v>
      </c>
      <c r="C178" s="7" t="s">
        <v>1280</v>
      </c>
      <c r="D178" s="7" t="s">
        <v>3627</v>
      </c>
      <c r="E178" s="7" t="s">
        <v>7294</v>
      </c>
      <c r="F178" s="7" t="s">
        <v>7295</v>
      </c>
      <c r="G178" s="7" t="s">
        <v>7296</v>
      </c>
      <c r="H178" s="7" t="s">
        <v>7297</v>
      </c>
      <c r="I178" s="7" t="s">
        <v>7298</v>
      </c>
      <c r="J178" s="7" t="s">
        <v>7299</v>
      </c>
      <c r="K178" s="7" t="s">
        <v>7285</v>
      </c>
      <c r="L178" s="7">
        <v>4</v>
      </c>
      <c r="M178" s="7">
        <v>4</v>
      </c>
      <c r="N178" s="7">
        <v>3</v>
      </c>
      <c r="O178" s="7">
        <v>2</v>
      </c>
      <c r="P178" s="7">
        <v>1</v>
      </c>
      <c r="Q178" s="7">
        <v>1</v>
      </c>
      <c r="R178" s="7" t="s">
        <v>3485</v>
      </c>
      <c r="S178" s="7" t="s">
        <v>3628</v>
      </c>
      <c r="T178" s="7" t="s">
        <v>3493</v>
      </c>
      <c r="U178" s="7" t="s">
        <v>3494</v>
      </c>
      <c r="V178" s="7" t="s">
        <v>7300</v>
      </c>
    </row>
    <row r="179" spans="1:22" ht="71.25">
      <c r="A179" s="7" t="s">
        <v>3636</v>
      </c>
      <c r="B179" s="7" t="s">
        <v>75</v>
      </c>
      <c r="C179" s="7" t="s">
        <v>1280</v>
      </c>
      <c r="D179" s="7" t="s">
        <v>3637</v>
      </c>
      <c r="E179" s="7" t="s">
        <v>7301</v>
      </c>
      <c r="F179" s="7" t="s">
        <v>7302</v>
      </c>
      <c r="G179" s="7" t="s">
        <v>7303</v>
      </c>
      <c r="H179" s="7" t="s">
        <v>7304</v>
      </c>
      <c r="I179" s="7" t="s">
        <v>7305</v>
      </c>
      <c r="J179" s="7" t="s">
        <v>7306</v>
      </c>
      <c r="K179" s="7" t="s">
        <v>7285</v>
      </c>
      <c r="L179" s="7">
        <v>4</v>
      </c>
      <c r="M179" s="7">
        <v>4</v>
      </c>
      <c r="N179" s="7">
        <v>3</v>
      </c>
      <c r="O179" s="7">
        <v>2</v>
      </c>
      <c r="P179" s="7">
        <v>1</v>
      </c>
      <c r="Q179" s="7">
        <v>1</v>
      </c>
      <c r="R179" s="7" t="s">
        <v>3485</v>
      </c>
      <c r="S179" s="7" t="s">
        <v>3638</v>
      </c>
      <c r="T179" s="7" t="s">
        <v>3493</v>
      </c>
      <c r="U179" s="7" t="s">
        <v>3494</v>
      </c>
      <c r="V179" s="7" t="s">
        <v>7307</v>
      </c>
    </row>
    <row r="180" spans="1:22" ht="71.25">
      <c r="A180" s="7" t="s">
        <v>3646</v>
      </c>
      <c r="B180" s="7" t="s">
        <v>75</v>
      </c>
      <c r="C180" s="7" t="s">
        <v>1280</v>
      </c>
      <c r="D180" s="7" t="s">
        <v>3647</v>
      </c>
      <c r="E180" s="7" t="s">
        <v>7308</v>
      </c>
      <c r="F180" s="7" t="s">
        <v>7309</v>
      </c>
      <c r="G180" s="7" t="s">
        <v>7310</v>
      </c>
      <c r="H180" s="7" t="s">
        <v>7311</v>
      </c>
      <c r="I180" s="7" t="s">
        <v>7312</v>
      </c>
      <c r="J180" s="7" t="s">
        <v>7313</v>
      </c>
      <c r="K180" s="7" t="s">
        <v>7285</v>
      </c>
      <c r="L180" s="7">
        <v>4</v>
      </c>
      <c r="M180" s="7">
        <v>4</v>
      </c>
      <c r="N180" s="7">
        <v>3</v>
      </c>
      <c r="O180" s="7">
        <v>2</v>
      </c>
      <c r="P180" s="7">
        <v>1</v>
      </c>
      <c r="Q180" s="7">
        <v>1</v>
      </c>
      <c r="R180" s="7" t="s">
        <v>3485</v>
      </c>
      <c r="S180" s="7" t="s">
        <v>3648</v>
      </c>
      <c r="T180" s="7" t="s">
        <v>3493</v>
      </c>
      <c r="U180" s="7" t="s">
        <v>3494</v>
      </c>
      <c r="V180" s="7" t="s">
        <v>7314</v>
      </c>
    </row>
    <row r="181" spans="1:22" ht="71.25">
      <c r="A181" s="7" t="s">
        <v>3656</v>
      </c>
      <c r="B181" s="7" t="s">
        <v>75</v>
      </c>
      <c r="C181" s="7" t="s">
        <v>1280</v>
      </c>
      <c r="D181" s="7" t="s">
        <v>3657</v>
      </c>
      <c r="E181" s="7" t="s">
        <v>7315</v>
      </c>
      <c r="F181" s="7" t="s">
        <v>7316</v>
      </c>
      <c r="G181" s="7" t="s">
        <v>7317</v>
      </c>
      <c r="H181" s="7" t="s">
        <v>7318</v>
      </c>
      <c r="I181" s="7" t="s">
        <v>7319</v>
      </c>
      <c r="J181" s="7" t="s">
        <v>7320</v>
      </c>
      <c r="K181" s="7" t="s">
        <v>7285</v>
      </c>
      <c r="L181" s="7">
        <v>4</v>
      </c>
      <c r="M181" s="7">
        <v>4</v>
      </c>
      <c r="N181" s="7">
        <v>3</v>
      </c>
      <c r="O181" s="7">
        <v>2</v>
      </c>
      <c r="P181" s="7">
        <v>1</v>
      </c>
      <c r="Q181" s="7">
        <v>1</v>
      </c>
      <c r="R181" s="7" t="s">
        <v>3485</v>
      </c>
      <c r="S181" s="7" t="s">
        <v>3658</v>
      </c>
      <c r="T181" s="7" t="s">
        <v>3493</v>
      </c>
      <c r="U181" s="7" t="s">
        <v>3494</v>
      </c>
      <c r="V181" s="7" t="s">
        <v>7321</v>
      </c>
    </row>
    <row r="182" spans="1:22" ht="85.5">
      <c r="A182" s="7" t="s">
        <v>3666</v>
      </c>
      <c r="B182" s="7" t="s">
        <v>75</v>
      </c>
      <c r="C182" s="7" t="s">
        <v>1288</v>
      </c>
      <c r="D182" s="7" t="s">
        <v>3667</v>
      </c>
      <c r="E182" s="7" t="s">
        <v>7322</v>
      </c>
      <c r="F182" s="7" t="s">
        <v>7323</v>
      </c>
      <c r="G182" s="7" t="s">
        <v>7324</v>
      </c>
      <c r="H182" s="7" t="s">
        <v>7325</v>
      </c>
      <c r="I182" s="7" t="s">
        <v>7326</v>
      </c>
      <c r="J182" s="7" t="s">
        <v>7327</v>
      </c>
      <c r="K182" s="7" t="s">
        <v>7328</v>
      </c>
      <c r="L182" s="7">
        <v>5</v>
      </c>
      <c r="M182" s="7">
        <v>5</v>
      </c>
      <c r="N182" s="7">
        <v>4</v>
      </c>
      <c r="O182" s="7">
        <v>3</v>
      </c>
      <c r="P182" s="7">
        <v>2</v>
      </c>
      <c r="Q182" s="7">
        <v>1</v>
      </c>
      <c r="R182" s="7" t="s">
        <v>3485</v>
      </c>
      <c r="S182" s="7" t="s">
        <v>3668</v>
      </c>
      <c r="T182" s="7" t="s">
        <v>3493</v>
      </c>
      <c r="U182" s="7" t="s">
        <v>3494</v>
      </c>
      <c r="V182" s="7" t="s">
        <v>7329</v>
      </c>
    </row>
    <row r="183" spans="1:22" ht="85.5">
      <c r="A183" s="7" t="s">
        <v>3676</v>
      </c>
      <c r="B183" s="7" t="s">
        <v>75</v>
      </c>
      <c r="C183" s="7" t="s">
        <v>1288</v>
      </c>
      <c r="D183" s="7" t="s">
        <v>3677</v>
      </c>
      <c r="E183" s="7" t="s">
        <v>7330</v>
      </c>
      <c r="F183" s="7" t="s">
        <v>7331</v>
      </c>
      <c r="G183" s="7" t="s">
        <v>7332</v>
      </c>
      <c r="H183" s="7" t="s">
        <v>7333</v>
      </c>
      <c r="I183" s="7" t="s">
        <v>7334</v>
      </c>
      <c r="J183" s="7" t="s">
        <v>7335</v>
      </c>
      <c r="K183" s="7" t="s">
        <v>7328</v>
      </c>
      <c r="L183" s="7">
        <v>5</v>
      </c>
      <c r="M183" s="7">
        <v>5</v>
      </c>
      <c r="N183" s="7">
        <v>4</v>
      </c>
      <c r="O183" s="7">
        <v>3</v>
      </c>
      <c r="P183" s="7">
        <v>2</v>
      </c>
      <c r="Q183" s="7">
        <v>1</v>
      </c>
      <c r="R183" s="7" t="s">
        <v>3485</v>
      </c>
      <c r="S183" s="7" t="s">
        <v>3678</v>
      </c>
      <c r="T183" s="7" t="s">
        <v>3493</v>
      </c>
      <c r="U183" s="7" t="s">
        <v>3494</v>
      </c>
      <c r="V183" s="7" t="s">
        <v>7336</v>
      </c>
    </row>
    <row r="184" spans="1:22" ht="85.5">
      <c r="A184" s="7" t="s">
        <v>3686</v>
      </c>
      <c r="B184" s="7" t="s">
        <v>75</v>
      </c>
      <c r="C184" s="7" t="s">
        <v>1288</v>
      </c>
      <c r="D184" s="7" t="s">
        <v>3687</v>
      </c>
      <c r="E184" s="7" t="s">
        <v>7337</v>
      </c>
      <c r="F184" s="7" t="s">
        <v>7338</v>
      </c>
      <c r="G184" s="7" t="s">
        <v>7339</v>
      </c>
      <c r="H184" s="7" t="s">
        <v>7340</v>
      </c>
      <c r="I184" s="7" t="s">
        <v>7341</v>
      </c>
      <c r="J184" s="7" t="s">
        <v>7342</v>
      </c>
      <c r="K184" s="7" t="s">
        <v>7328</v>
      </c>
      <c r="L184" s="7">
        <v>5</v>
      </c>
      <c r="M184" s="7">
        <v>5</v>
      </c>
      <c r="N184" s="7">
        <v>4</v>
      </c>
      <c r="O184" s="7">
        <v>3</v>
      </c>
      <c r="P184" s="7">
        <v>2</v>
      </c>
      <c r="Q184" s="7">
        <v>1</v>
      </c>
      <c r="R184" s="7" t="s">
        <v>3485</v>
      </c>
      <c r="S184" s="7" t="s">
        <v>3688</v>
      </c>
      <c r="T184" s="7" t="s">
        <v>3493</v>
      </c>
      <c r="U184" s="7" t="s">
        <v>3494</v>
      </c>
      <c r="V184" s="7" t="s">
        <v>7343</v>
      </c>
    </row>
    <row r="185" spans="1:22" ht="71.25">
      <c r="A185" s="7" t="s">
        <v>3696</v>
      </c>
      <c r="B185" s="7" t="s">
        <v>75</v>
      </c>
      <c r="C185" s="7" t="s">
        <v>1288</v>
      </c>
      <c r="D185" s="7" t="s">
        <v>3697</v>
      </c>
      <c r="E185" s="7" t="s">
        <v>7344</v>
      </c>
      <c r="F185" s="7" t="s">
        <v>7345</v>
      </c>
      <c r="G185" s="7" t="s">
        <v>7346</v>
      </c>
      <c r="H185" s="7" t="s">
        <v>7347</v>
      </c>
      <c r="I185" s="7" t="s">
        <v>7348</v>
      </c>
      <c r="J185" s="7" t="s">
        <v>7349</v>
      </c>
      <c r="K185" s="7" t="s">
        <v>7328</v>
      </c>
      <c r="L185" s="7">
        <v>5</v>
      </c>
      <c r="M185" s="7">
        <v>5</v>
      </c>
      <c r="N185" s="7">
        <v>4</v>
      </c>
      <c r="O185" s="7">
        <v>3</v>
      </c>
      <c r="P185" s="7">
        <v>2</v>
      </c>
      <c r="Q185" s="7">
        <v>1</v>
      </c>
      <c r="R185" s="7" t="s">
        <v>3485</v>
      </c>
      <c r="S185" s="7" t="s">
        <v>3698</v>
      </c>
      <c r="T185" s="7" t="s">
        <v>3493</v>
      </c>
      <c r="U185" s="7" t="s">
        <v>3494</v>
      </c>
      <c r="V185" s="7" t="s">
        <v>7350</v>
      </c>
    </row>
    <row r="186" spans="1:22" ht="71.25">
      <c r="A186" s="7" t="s">
        <v>3706</v>
      </c>
      <c r="B186" s="7" t="s">
        <v>75</v>
      </c>
      <c r="C186" s="7" t="s">
        <v>1288</v>
      </c>
      <c r="D186" s="7" t="s">
        <v>3707</v>
      </c>
      <c r="E186" s="7" t="s">
        <v>7351</v>
      </c>
      <c r="F186" s="7" t="s">
        <v>7352</v>
      </c>
      <c r="G186" s="7" t="s">
        <v>7353</v>
      </c>
      <c r="H186" s="7" t="s">
        <v>7354</v>
      </c>
      <c r="I186" s="7" t="s">
        <v>7355</v>
      </c>
      <c r="J186" s="7" t="s">
        <v>7356</v>
      </c>
      <c r="K186" s="7" t="s">
        <v>7328</v>
      </c>
      <c r="L186" s="7">
        <v>5</v>
      </c>
      <c r="M186" s="7">
        <v>5</v>
      </c>
      <c r="N186" s="7">
        <v>4</v>
      </c>
      <c r="O186" s="7">
        <v>3</v>
      </c>
      <c r="P186" s="7">
        <v>2</v>
      </c>
      <c r="Q186" s="7">
        <v>1</v>
      </c>
      <c r="R186" s="7" t="s">
        <v>3485</v>
      </c>
      <c r="S186" s="7" t="s">
        <v>3708</v>
      </c>
      <c r="T186" s="7" t="s">
        <v>3493</v>
      </c>
      <c r="U186" s="7" t="s">
        <v>3494</v>
      </c>
      <c r="V186" s="7" t="s">
        <v>7357</v>
      </c>
    </row>
    <row r="187" spans="1:22" ht="71.25">
      <c r="A187" s="7" t="s">
        <v>3716</v>
      </c>
      <c r="B187" s="7" t="s">
        <v>75</v>
      </c>
      <c r="C187" s="7" t="s">
        <v>1288</v>
      </c>
      <c r="D187" s="7" t="s">
        <v>3717</v>
      </c>
      <c r="E187" s="7" t="s">
        <v>7358</v>
      </c>
      <c r="F187" s="7" t="s">
        <v>7359</v>
      </c>
      <c r="G187" s="7" t="s">
        <v>7360</v>
      </c>
      <c r="H187" s="7" t="s">
        <v>7361</v>
      </c>
      <c r="I187" s="7" t="s">
        <v>7362</v>
      </c>
      <c r="J187" s="7" t="s">
        <v>7363</v>
      </c>
      <c r="K187" s="7" t="s">
        <v>7328</v>
      </c>
      <c r="L187" s="7">
        <v>5</v>
      </c>
      <c r="M187" s="7">
        <v>5</v>
      </c>
      <c r="N187" s="7">
        <v>4</v>
      </c>
      <c r="O187" s="7">
        <v>3</v>
      </c>
      <c r="P187" s="7">
        <v>2</v>
      </c>
      <c r="Q187" s="7">
        <v>1</v>
      </c>
      <c r="R187" s="7" t="s">
        <v>3485</v>
      </c>
      <c r="S187" s="7" t="s">
        <v>3718</v>
      </c>
      <c r="T187" s="7" t="s">
        <v>3493</v>
      </c>
      <c r="U187" s="7" t="s">
        <v>3494</v>
      </c>
      <c r="V187" s="7" t="s">
        <v>7364</v>
      </c>
    </row>
    <row r="188" spans="1:22" ht="85.5">
      <c r="A188" s="7" t="s">
        <v>3728</v>
      </c>
      <c r="B188" s="7" t="s">
        <v>78</v>
      </c>
      <c r="C188" s="7" t="s">
        <v>1296</v>
      </c>
      <c r="D188" s="7" t="s">
        <v>3729</v>
      </c>
      <c r="E188" s="7" t="s">
        <v>7365</v>
      </c>
      <c r="F188" s="7" t="s">
        <v>7366</v>
      </c>
      <c r="G188" s="7" t="s">
        <v>7367</v>
      </c>
      <c r="H188" s="7" t="s">
        <v>7368</v>
      </c>
      <c r="I188" s="7" t="s">
        <v>7369</v>
      </c>
      <c r="J188" s="7" t="s">
        <v>7370</v>
      </c>
      <c r="K188" s="7" t="s">
        <v>7371</v>
      </c>
      <c r="L188" s="7">
        <v>5</v>
      </c>
      <c r="M188" s="7">
        <v>5</v>
      </c>
      <c r="N188" s="7">
        <v>4</v>
      </c>
      <c r="O188" s="7">
        <v>3</v>
      </c>
      <c r="P188" s="7">
        <v>2</v>
      </c>
      <c r="Q188" s="7">
        <v>1</v>
      </c>
      <c r="R188" s="7" t="s">
        <v>3731</v>
      </c>
      <c r="S188" s="7" t="s">
        <v>3732</v>
      </c>
      <c r="T188" s="7" t="s">
        <v>3739</v>
      </c>
      <c r="U188" s="7" t="s">
        <v>3740</v>
      </c>
      <c r="V188" s="7" t="s">
        <v>7372</v>
      </c>
    </row>
    <row r="189" spans="1:22" ht="85.5">
      <c r="A189" s="7" t="s">
        <v>3742</v>
      </c>
      <c r="B189" s="7" t="s">
        <v>78</v>
      </c>
      <c r="C189" s="7" t="s">
        <v>1296</v>
      </c>
      <c r="D189" s="7" t="s">
        <v>3743</v>
      </c>
      <c r="E189" s="7" t="s">
        <v>7373</v>
      </c>
      <c r="F189" s="7" t="s">
        <v>7374</v>
      </c>
      <c r="G189" s="7" t="s">
        <v>7375</v>
      </c>
      <c r="H189" s="7" t="s">
        <v>7376</v>
      </c>
      <c r="I189" s="7" t="s">
        <v>7377</v>
      </c>
      <c r="J189" s="7" t="s">
        <v>7378</v>
      </c>
      <c r="K189" s="7" t="s">
        <v>7371</v>
      </c>
      <c r="L189" s="7">
        <v>5</v>
      </c>
      <c r="M189" s="7">
        <v>5</v>
      </c>
      <c r="N189" s="7">
        <v>4</v>
      </c>
      <c r="O189" s="7">
        <v>3</v>
      </c>
      <c r="P189" s="7">
        <v>2</v>
      </c>
      <c r="Q189" s="7">
        <v>1</v>
      </c>
      <c r="R189" s="7" t="s">
        <v>3731</v>
      </c>
      <c r="S189" s="7" t="s">
        <v>3744</v>
      </c>
      <c r="T189" s="7" t="s">
        <v>3739</v>
      </c>
      <c r="U189" s="7" t="s">
        <v>3740</v>
      </c>
      <c r="V189" s="7" t="s">
        <v>7379</v>
      </c>
    </row>
    <row r="190" spans="1:22" ht="85.5">
      <c r="A190" s="7" t="s">
        <v>3752</v>
      </c>
      <c r="B190" s="7" t="s">
        <v>78</v>
      </c>
      <c r="C190" s="7" t="s">
        <v>1296</v>
      </c>
      <c r="D190" s="7" t="s">
        <v>3753</v>
      </c>
      <c r="E190" s="7" t="s">
        <v>7380</v>
      </c>
      <c r="F190" s="7" t="s">
        <v>7381</v>
      </c>
      <c r="G190" s="7" t="s">
        <v>7382</v>
      </c>
      <c r="H190" s="7" t="s">
        <v>7383</v>
      </c>
      <c r="I190" s="7" t="s">
        <v>7384</v>
      </c>
      <c r="J190" s="7" t="s">
        <v>7385</v>
      </c>
      <c r="K190" s="7" t="s">
        <v>7371</v>
      </c>
      <c r="L190" s="7">
        <v>5</v>
      </c>
      <c r="M190" s="7">
        <v>5</v>
      </c>
      <c r="N190" s="7">
        <v>4</v>
      </c>
      <c r="O190" s="7">
        <v>3</v>
      </c>
      <c r="P190" s="7">
        <v>2</v>
      </c>
      <c r="Q190" s="7">
        <v>1</v>
      </c>
      <c r="R190" s="7" t="s">
        <v>3731</v>
      </c>
      <c r="S190" s="7" t="s">
        <v>3754</v>
      </c>
      <c r="T190" s="7" t="s">
        <v>3739</v>
      </c>
      <c r="U190" s="7" t="s">
        <v>3740</v>
      </c>
      <c r="V190" s="7" t="s">
        <v>7386</v>
      </c>
    </row>
    <row r="191" spans="1:22" ht="85.5">
      <c r="A191" s="7" t="s">
        <v>3762</v>
      </c>
      <c r="B191" s="7" t="s">
        <v>78</v>
      </c>
      <c r="C191" s="7" t="s">
        <v>1296</v>
      </c>
      <c r="D191" s="7" t="s">
        <v>3763</v>
      </c>
      <c r="E191" s="7" t="s">
        <v>7387</v>
      </c>
      <c r="F191" s="7" t="s">
        <v>7388</v>
      </c>
      <c r="G191" s="7" t="s">
        <v>7389</v>
      </c>
      <c r="H191" s="7" t="s">
        <v>7390</v>
      </c>
      <c r="I191" s="7" t="s">
        <v>7391</v>
      </c>
      <c r="J191" s="7" t="s">
        <v>7392</v>
      </c>
      <c r="K191" s="7" t="s">
        <v>7371</v>
      </c>
      <c r="L191" s="7">
        <v>5</v>
      </c>
      <c r="M191" s="7">
        <v>5</v>
      </c>
      <c r="N191" s="7">
        <v>4</v>
      </c>
      <c r="O191" s="7">
        <v>3</v>
      </c>
      <c r="P191" s="7">
        <v>2</v>
      </c>
      <c r="Q191" s="7">
        <v>1</v>
      </c>
      <c r="R191" s="7" t="s">
        <v>3731</v>
      </c>
      <c r="S191" s="7" t="s">
        <v>3764</v>
      </c>
      <c r="T191" s="7" t="s">
        <v>3739</v>
      </c>
      <c r="U191" s="7" t="s">
        <v>3740</v>
      </c>
      <c r="V191" s="7" t="s">
        <v>7393</v>
      </c>
    </row>
    <row r="192" spans="1:22" ht="85.5">
      <c r="A192" s="7" t="s">
        <v>3772</v>
      </c>
      <c r="B192" s="7" t="s">
        <v>78</v>
      </c>
      <c r="C192" s="7" t="s">
        <v>1296</v>
      </c>
      <c r="D192" s="7" t="s">
        <v>3773</v>
      </c>
      <c r="E192" s="7" t="s">
        <v>7394</v>
      </c>
      <c r="F192" s="7" t="s">
        <v>7395</v>
      </c>
      <c r="G192" s="7" t="s">
        <v>7396</v>
      </c>
      <c r="H192" s="7" t="s">
        <v>7397</v>
      </c>
      <c r="I192" s="7" t="s">
        <v>7398</v>
      </c>
      <c r="J192" s="7" t="s">
        <v>7399</v>
      </c>
      <c r="K192" s="7" t="s">
        <v>7371</v>
      </c>
      <c r="L192" s="7">
        <v>5</v>
      </c>
      <c r="M192" s="7">
        <v>5</v>
      </c>
      <c r="N192" s="7">
        <v>4</v>
      </c>
      <c r="O192" s="7">
        <v>3</v>
      </c>
      <c r="P192" s="7">
        <v>2</v>
      </c>
      <c r="Q192" s="7">
        <v>1</v>
      </c>
      <c r="R192" s="7" t="s">
        <v>3731</v>
      </c>
      <c r="S192" s="7" t="s">
        <v>3774</v>
      </c>
      <c r="T192" s="7" t="s">
        <v>3739</v>
      </c>
      <c r="U192" s="7" t="s">
        <v>3740</v>
      </c>
      <c r="V192" s="7" t="s">
        <v>7400</v>
      </c>
    </row>
    <row r="193" spans="1:22" ht="71.25">
      <c r="A193" s="7" t="s">
        <v>3782</v>
      </c>
      <c r="B193" s="7" t="s">
        <v>78</v>
      </c>
      <c r="C193" s="7" t="s">
        <v>1296</v>
      </c>
      <c r="D193" s="7" t="s">
        <v>3783</v>
      </c>
      <c r="E193" s="7" t="s">
        <v>7401</v>
      </c>
      <c r="F193" s="7" t="s">
        <v>7402</v>
      </c>
      <c r="G193" s="7" t="s">
        <v>7403</v>
      </c>
      <c r="H193" s="7" t="s">
        <v>7404</v>
      </c>
      <c r="I193" s="7" t="s">
        <v>7405</v>
      </c>
      <c r="J193" s="7" t="s">
        <v>7406</v>
      </c>
      <c r="K193" s="7" t="s">
        <v>7371</v>
      </c>
      <c r="L193" s="7">
        <v>5</v>
      </c>
      <c r="M193" s="7">
        <v>5</v>
      </c>
      <c r="N193" s="7">
        <v>4</v>
      </c>
      <c r="O193" s="7">
        <v>3</v>
      </c>
      <c r="P193" s="7">
        <v>2</v>
      </c>
      <c r="Q193" s="7">
        <v>1</v>
      </c>
      <c r="R193" s="7" t="s">
        <v>3731</v>
      </c>
      <c r="S193" s="7" t="s">
        <v>3784</v>
      </c>
      <c r="T193" s="7" t="s">
        <v>3739</v>
      </c>
      <c r="U193" s="7" t="s">
        <v>3740</v>
      </c>
      <c r="V193" s="7" t="s">
        <v>7407</v>
      </c>
    </row>
    <row r="194" spans="1:22" ht="71.25">
      <c r="A194" s="7" t="s">
        <v>3792</v>
      </c>
      <c r="B194" s="7" t="s">
        <v>78</v>
      </c>
      <c r="C194" s="7" t="s">
        <v>1307</v>
      </c>
      <c r="D194" s="7" t="s">
        <v>3793</v>
      </c>
      <c r="E194" s="7" t="s">
        <v>7408</v>
      </c>
      <c r="F194" s="7" t="s">
        <v>7409</v>
      </c>
      <c r="G194" s="7" t="s">
        <v>7410</v>
      </c>
      <c r="H194" s="7" t="s">
        <v>7411</v>
      </c>
      <c r="I194" s="7" t="s">
        <v>7412</v>
      </c>
      <c r="J194" s="7" t="s">
        <v>7413</v>
      </c>
      <c r="K194" s="7" t="s">
        <v>7414</v>
      </c>
      <c r="L194" s="7">
        <v>5</v>
      </c>
      <c r="M194" s="7">
        <v>5</v>
      </c>
      <c r="N194" s="7">
        <v>4</v>
      </c>
      <c r="O194" s="7">
        <v>3</v>
      </c>
      <c r="P194" s="7">
        <v>2</v>
      </c>
      <c r="Q194" s="7">
        <v>1</v>
      </c>
      <c r="R194" s="7" t="s">
        <v>3731</v>
      </c>
      <c r="S194" s="7" t="s">
        <v>3794</v>
      </c>
      <c r="T194" s="7" t="s">
        <v>3739</v>
      </c>
      <c r="U194" s="7" t="s">
        <v>3740</v>
      </c>
      <c r="V194" s="7" t="s">
        <v>7415</v>
      </c>
    </row>
    <row r="195" spans="1:22" ht="71.25">
      <c r="A195" s="7" t="s">
        <v>3802</v>
      </c>
      <c r="B195" s="7" t="s">
        <v>78</v>
      </c>
      <c r="C195" s="7" t="s">
        <v>1307</v>
      </c>
      <c r="D195" s="7" t="s">
        <v>3803</v>
      </c>
      <c r="E195" s="7" t="s">
        <v>7416</v>
      </c>
      <c r="F195" s="7" t="s">
        <v>7417</v>
      </c>
      <c r="G195" s="7" t="s">
        <v>7418</v>
      </c>
      <c r="H195" s="7" t="s">
        <v>7419</v>
      </c>
      <c r="I195" s="7" t="s">
        <v>7420</v>
      </c>
      <c r="J195" s="7" t="s">
        <v>7421</v>
      </c>
      <c r="K195" s="7" t="s">
        <v>7414</v>
      </c>
      <c r="L195" s="7">
        <v>5</v>
      </c>
      <c r="M195" s="7">
        <v>5</v>
      </c>
      <c r="N195" s="7">
        <v>4</v>
      </c>
      <c r="O195" s="7">
        <v>3</v>
      </c>
      <c r="P195" s="7">
        <v>2</v>
      </c>
      <c r="Q195" s="7">
        <v>1</v>
      </c>
      <c r="R195" s="7" t="s">
        <v>3731</v>
      </c>
      <c r="S195" s="7" t="s">
        <v>3804</v>
      </c>
      <c r="T195" s="7" t="s">
        <v>3739</v>
      </c>
      <c r="U195" s="7" t="s">
        <v>3740</v>
      </c>
      <c r="V195" s="7" t="s">
        <v>7422</v>
      </c>
    </row>
    <row r="196" spans="1:22" ht="71.25">
      <c r="A196" s="7" t="s">
        <v>3812</v>
      </c>
      <c r="B196" s="7" t="s">
        <v>78</v>
      </c>
      <c r="C196" s="7" t="s">
        <v>1307</v>
      </c>
      <c r="D196" s="7" t="s">
        <v>3813</v>
      </c>
      <c r="E196" s="7" t="s">
        <v>7423</v>
      </c>
      <c r="F196" s="7" t="s">
        <v>7424</v>
      </c>
      <c r="G196" s="7" t="s">
        <v>7425</v>
      </c>
      <c r="H196" s="7" t="s">
        <v>7426</v>
      </c>
      <c r="I196" s="7" t="s">
        <v>7427</v>
      </c>
      <c r="J196" s="7" t="s">
        <v>7428</v>
      </c>
      <c r="K196" s="7" t="s">
        <v>7414</v>
      </c>
      <c r="L196" s="7">
        <v>5</v>
      </c>
      <c r="M196" s="7">
        <v>5</v>
      </c>
      <c r="N196" s="7">
        <v>4</v>
      </c>
      <c r="O196" s="7">
        <v>3</v>
      </c>
      <c r="P196" s="7">
        <v>2</v>
      </c>
      <c r="Q196" s="7">
        <v>1</v>
      </c>
      <c r="R196" s="7" t="s">
        <v>3731</v>
      </c>
      <c r="S196" s="7" t="s">
        <v>3814</v>
      </c>
      <c r="T196" s="7" t="s">
        <v>3739</v>
      </c>
      <c r="U196" s="7" t="s">
        <v>3740</v>
      </c>
      <c r="V196" s="7" t="s">
        <v>7429</v>
      </c>
    </row>
    <row r="197" spans="1:22" ht="71.25">
      <c r="A197" s="7" t="s">
        <v>3822</v>
      </c>
      <c r="B197" s="7" t="s">
        <v>78</v>
      </c>
      <c r="C197" s="7" t="s">
        <v>1307</v>
      </c>
      <c r="D197" s="7" t="s">
        <v>3823</v>
      </c>
      <c r="E197" s="7" t="s">
        <v>7430</v>
      </c>
      <c r="F197" s="7" t="s">
        <v>7431</v>
      </c>
      <c r="G197" s="7" t="s">
        <v>7432</v>
      </c>
      <c r="H197" s="7" t="s">
        <v>7433</v>
      </c>
      <c r="I197" s="7" t="s">
        <v>7434</v>
      </c>
      <c r="J197" s="7" t="s">
        <v>7435</v>
      </c>
      <c r="K197" s="7" t="s">
        <v>7414</v>
      </c>
      <c r="L197" s="7">
        <v>5</v>
      </c>
      <c r="M197" s="7">
        <v>5</v>
      </c>
      <c r="N197" s="7">
        <v>4</v>
      </c>
      <c r="O197" s="7">
        <v>3</v>
      </c>
      <c r="P197" s="7">
        <v>2</v>
      </c>
      <c r="Q197" s="7">
        <v>1</v>
      </c>
      <c r="R197" s="7" t="s">
        <v>3731</v>
      </c>
      <c r="S197" s="7" t="s">
        <v>3824</v>
      </c>
      <c r="T197" s="7" t="s">
        <v>3739</v>
      </c>
      <c r="U197" s="7" t="s">
        <v>3740</v>
      </c>
      <c r="V197" s="7" t="s">
        <v>7436</v>
      </c>
    </row>
    <row r="198" spans="1:22" ht="71.25">
      <c r="A198" s="7" t="s">
        <v>3832</v>
      </c>
      <c r="B198" s="7" t="s">
        <v>78</v>
      </c>
      <c r="C198" s="7" t="s">
        <v>1307</v>
      </c>
      <c r="D198" s="7" t="s">
        <v>3833</v>
      </c>
      <c r="E198" s="7" t="s">
        <v>7437</v>
      </c>
      <c r="F198" s="7" t="s">
        <v>7438</v>
      </c>
      <c r="G198" s="7" t="s">
        <v>7439</v>
      </c>
      <c r="H198" s="7" t="s">
        <v>7440</v>
      </c>
      <c r="I198" s="7" t="s">
        <v>7441</v>
      </c>
      <c r="J198" s="7" t="s">
        <v>7442</v>
      </c>
      <c r="K198" s="7" t="s">
        <v>7414</v>
      </c>
      <c r="L198" s="7">
        <v>5</v>
      </c>
      <c r="M198" s="7">
        <v>5</v>
      </c>
      <c r="N198" s="7">
        <v>4</v>
      </c>
      <c r="O198" s="7">
        <v>3</v>
      </c>
      <c r="P198" s="7">
        <v>2</v>
      </c>
      <c r="Q198" s="7">
        <v>1</v>
      </c>
      <c r="R198" s="7" t="s">
        <v>3731</v>
      </c>
      <c r="S198" s="7" t="s">
        <v>3834</v>
      </c>
      <c r="T198" s="7" t="s">
        <v>3739</v>
      </c>
      <c r="U198" s="7" t="s">
        <v>3740</v>
      </c>
      <c r="V198" s="7" t="s">
        <v>7443</v>
      </c>
    </row>
    <row r="199" spans="1:22" ht="71.25">
      <c r="A199" s="7" t="s">
        <v>3842</v>
      </c>
      <c r="B199" s="7" t="s">
        <v>78</v>
      </c>
      <c r="C199" s="7" t="s">
        <v>1307</v>
      </c>
      <c r="D199" s="7" t="s">
        <v>3843</v>
      </c>
      <c r="E199" s="7" t="s">
        <v>7444</v>
      </c>
      <c r="F199" s="7" t="s">
        <v>7445</v>
      </c>
      <c r="G199" s="7" t="s">
        <v>7446</v>
      </c>
      <c r="H199" s="7" t="s">
        <v>7447</v>
      </c>
      <c r="I199" s="7" t="s">
        <v>7448</v>
      </c>
      <c r="J199" s="7" t="s">
        <v>7449</v>
      </c>
      <c r="K199" s="7" t="s">
        <v>7414</v>
      </c>
      <c r="L199" s="7">
        <v>5</v>
      </c>
      <c r="M199" s="7">
        <v>5</v>
      </c>
      <c r="N199" s="7">
        <v>4</v>
      </c>
      <c r="O199" s="7">
        <v>3</v>
      </c>
      <c r="P199" s="7">
        <v>2</v>
      </c>
      <c r="Q199" s="7">
        <v>1</v>
      </c>
      <c r="R199" s="7" t="s">
        <v>3731</v>
      </c>
      <c r="S199" s="7" t="s">
        <v>3844</v>
      </c>
      <c r="T199" s="7" t="s">
        <v>3739</v>
      </c>
      <c r="U199" s="7" t="s">
        <v>3740</v>
      </c>
      <c r="V199" s="7" t="s">
        <v>7450</v>
      </c>
    </row>
    <row r="200" spans="1:22" ht="85.5">
      <c r="A200" s="7" t="s">
        <v>3852</v>
      </c>
      <c r="B200" s="7" t="s">
        <v>78</v>
      </c>
      <c r="C200" s="7" t="s">
        <v>1315</v>
      </c>
      <c r="D200" s="7" t="s">
        <v>3853</v>
      </c>
      <c r="E200" s="7" t="s">
        <v>7451</v>
      </c>
      <c r="F200" s="7" t="s">
        <v>7452</v>
      </c>
      <c r="G200" s="7" t="s">
        <v>7453</v>
      </c>
      <c r="H200" s="7" t="s">
        <v>7454</v>
      </c>
      <c r="I200" s="7" t="s">
        <v>7455</v>
      </c>
      <c r="J200" s="7" t="s">
        <v>7456</v>
      </c>
      <c r="K200" s="7" t="s">
        <v>7457</v>
      </c>
      <c r="L200" s="7">
        <v>5</v>
      </c>
      <c r="M200" s="7">
        <v>5</v>
      </c>
      <c r="N200" s="7">
        <v>4</v>
      </c>
      <c r="O200" s="7">
        <v>3</v>
      </c>
      <c r="P200" s="7">
        <v>2</v>
      </c>
      <c r="Q200" s="7">
        <v>1</v>
      </c>
      <c r="R200" s="7" t="s">
        <v>3731</v>
      </c>
      <c r="S200" s="7" t="s">
        <v>3854</v>
      </c>
      <c r="T200" s="7" t="s">
        <v>3739</v>
      </c>
      <c r="U200" s="7" t="s">
        <v>3740</v>
      </c>
      <c r="V200" s="7" t="s">
        <v>7458</v>
      </c>
    </row>
    <row r="201" spans="1:22" ht="71.25">
      <c r="A201" s="7" t="s">
        <v>3862</v>
      </c>
      <c r="B201" s="7" t="s">
        <v>78</v>
      </c>
      <c r="C201" s="7" t="s">
        <v>1315</v>
      </c>
      <c r="D201" s="7" t="s">
        <v>3863</v>
      </c>
      <c r="E201" s="7" t="s">
        <v>7459</v>
      </c>
      <c r="F201" s="7" t="s">
        <v>7460</v>
      </c>
      <c r="G201" s="7" t="s">
        <v>7461</v>
      </c>
      <c r="H201" s="7" t="s">
        <v>7462</v>
      </c>
      <c r="I201" s="7" t="s">
        <v>7463</v>
      </c>
      <c r="J201" s="7" t="s">
        <v>7464</v>
      </c>
      <c r="K201" s="7" t="s">
        <v>7457</v>
      </c>
      <c r="L201" s="7">
        <v>5</v>
      </c>
      <c r="M201" s="7">
        <v>5</v>
      </c>
      <c r="N201" s="7">
        <v>4</v>
      </c>
      <c r="O201" s="7">
        <v>3</v>
      </c>
      <c r="P201" s="7">
        <v>2</v>
      </c>
      <c r="Q201" s="7">
        <v>1</v>
      </c>
      <c r="R201" s="7" t="s">
        <v>3731</v>
      </c>
      <c r="S201" s="7" t="s">
        <v>3864</v>
      </c>
      <c r="T201" s="7" t="s">
        <v>3739</v>
      </c>
      <c r="U201" s="7" t="s">
        <v>3740</v>
      </c>
      <c r="V201" s="7" t="s">
        <v>7465</v>
      </c>
    </row>
    <row r="202" spans="1:22" ht="85.5">
      <c r="A202" s="7" t="s">
        <v>3872</v>
      </c>
      <c r="B202" s="7" t="s">
        <v>78</v>
      </c>
      <c r="C202" s="7" t="s">
        <v>1315</v>
      </c>
      <c r="D202" s="7" t="s">
        <v>3873</v>
      </c>
      <c r="E202" s="7" t="s">
        <v>7466</v>
      </c>
      <c r="F202" s="7" t="s">
        <v>7467</v>
      </c>
      <c r="G202" s="7" t="s">
        <v>7468</v>
      </c>
      <c r="H202" s="7" t="s">
        <v>7469</v>
      </c>
      <c r="I202" s="7" t="s">
        <v>7470</v>
      </c>
      <c r="J202" s="7" t="s">
        <v>7471</v>
      </c>
      <c r="K202" s="7" t="s">
        <v>7457</v>
      </c>
      <c r="L202" s="7">
        <v>5</v>
      </c>
      <c r="M202" s="7">
        <v>5</v>
      </c>
      <c r="N202" s="7">
        <v>4</v>
      </c>
      <c r="O202" s="7">
        <v>3</v>
      </c>
      <c r="P202" s="7">
        <v>2</v>
      </c>
      <c r="Q202" s="7">
        <v>1</v>
      </c>
      <c r="R202" s="7" t="s">
        <v>3731</v>
      </c>
      <c r="S202" s="7" t="s">
        <v>3874</v>
      </c>
      <c r="T202" s="7" t="s">
        <v>3739</v>
      </c>
      <c r="U202" s="7" t="s">
        <v>3740</v>
      </c>
      <c r="V202" s="7" t="s">
        <v>7472</v>
      </c>
    </row>
    <row r="203" spans="1:22" ht="85.5">
      <c r="A203" s="7" t="s">
        <v>3882</v>
      </c>
      <c r="B203" s="7" t="s">
        <v>78</v>
      </c>
      <c r="C203" s="7" t="s">
        <v>1315</v>
      </c>
      <c r="D203" s="7" t="s">
        <v>3883</v>
      </c>
      <c r="E203" s="7" t="s">
        <v>7473</v>
      </c>
      <c r="F203" s="7" t="s">
        <v>7474</v>
      </c>
      <c r="G203" s="7" t="s">
        <v>7475</v>
      </c>
      <c r="H203" s="7" t="s">
        <v>7476</v>
      </c>
      <c r="I203" s="7" t="s">
        <v>7477</v>
      </c>
      <c r="J203" s="7" t="s">
        <v>7478</v>
      </c>
      <c r="K203" s="7" t="s">
        <v>7457</v>
      </c>
      <c r="L203" s="7">
        <v>5</v>
      </c>
      <c r="M203" s="7">
        <v>5</v>
      </c>
      <c r="N203" s="7">
        <v>4</v>
      </c>
      <c r="O203" s="7">
        <v>3</v>
      </c>
      <c r="P203" s="7">
        <v>2</v>
      </c>
      <c r="Q203" s="7">
        <v>1</v>
      </c>
      <c r="R203" s="7" t="s">
        <v>3731</v>
      </c>
      <c r="S203" s="7" t="s">
        <v>3884</v>
      </c>
      <c r="T203" s="7" t="s">
        <v>3739</v>
      </c>
      <c r="U203" s="7" t="s">
        <v>3740</v>
      </c>
      <c r="V203" s="7" t="s">
        <v>7479</v>
      </c>
    </row>
    <row r="204" spans="1:22" ht="85.5">
      <c r="A204" s="7" t="s">
        <v>3892</v>
      </c>
      <c r="B204" s="7" t="s">
        <v>78</v>
      </c>
      <c r="C204" s="7" t="s">
        <v>1315</v>
      </c>
      <c r="D204" s="7" t="s">
        <v>3893</v>
      </c>
      <c r="E204" s="7" t="s">
        <v>7480</v>
      </c>
      <c r="F204" s="7" t="s">
        <v>7481</v>
      </c>
      <c r="G204" s="7" t="s">
        <v>7482</v>
      </c>
      <c r="H204" s="7" t="s">
        <v>7483</v>
      </c>
      <c r="I204" s="7" t="s">
        <v>7484</v>
      </c>
      <c r="J204" s="7" t="s">
        <v>7485</v>
      </c>
      <c r="K204" s="7" t="s">
        <v>7457</v>
      </c>
      <c r="L204" s="7">
        <v>5</v>
      </c>
      <c r="M204" s="7">
        <v>5</v>
      </c>
      <c r="N204" s="7">
        <v>4</v>
      </c>
      <c r="O204" s="7">
        <v>3</v>
      </c>
      <c r="P204" s="7">
        <v>2</v>
      </c>
      <c r="Q204" s="7">
        <v>1</v>
      </c>
      <c r="R204" s="7" t="s">
        <v>3731</v>
      </c>
      <c r="S204" s="7" t="s">
        <v>3894</v>
      </c>
      <c r="T204" s="7" t="s">
        <v>3739</v>
      </c>
      <c r="U204" s="7" t="s">
        <v>3740</v>
      </c>
      <c r="V204" s="7" t="s">
        <v>7486</v>
      </c>
    </row>
    <row r="205" spans="1:22" ht="85.5">
      <c r="A205" s="7" t="s">
        <v>3902</v>
      </c>
      <c r="B205" s="7" t="s">
        <v>78</v>
      </c>
      <c r="C205" s="7" t="s">
        <v>1315</v>
      </c>
      <c r="D205" s="7" t="s">
        <v>3903</v>
      </c>
      <c r="E205" s="7" t="s">
        <v>7487</v>
      </c>
      <c r="F205" s="7" t="s">
        <v>7488</v>
      </c>
      <c r="G205" s="7" t="s">
        <v>7489</v>
      </c>
      <c r="H205" s="7" t="s">
        <v>7490</v>
      </c>
      <c r="I205" s="7" t="s">
        <v>7491</v>
      </c>
      <c r="J205" s="7" t="s">
        <v>7492</v>
      </c>
      <c r="K205" s="7" t="s">
        <v>7457</v>
      </c>
      <c r="L205" s="7">
        <v>5</v>
      </c>
      <c r="M205" s="7">
        <v>5</v>
      </c>
      <c r="N205" s="7">
        <v>4</v>
      </c>
      <c r="O205" s="7">
        <v>3</v>
      </c>
      <c r="P205" s="7">
        <v>2</v>
      </c>
      <c r="Q205" s="7">
        <v>1</v>
      </c>
      <c r="R205" s="7" t="s">
        <v>3731</v>
      </c>
      <c r="S205" s="7" t="s">
        <v>3904</v>
      </c>
      <c r="T205" s="7" t="s">
        <v>3739</v>
      </c>
      <c r="U205" s="7" t="s">
        <v>3740</v>
      </c>
      <c r="V205" s="7" t="s">
        <v>7493</v>
      </c>
    </row>
    <row r="206" spans="1:22" ht="71.25">
      <c r="A206" s="7" t="s">
        <v>3912</v>
      </c>
      <c r="B206" s="7" t="s">
        <v>78</v>
      </c>
      <c r="C206" s="7" t="s">
        <v>1315</v>
      </c>
      <c r="D206" s="7" t="s">
        <v>3913</v>
      </c>
      <c r="E206" s="7" t="s">
        <v>7494</v>
      </c>
      <c r="F206" s="7" t="s">
        <v>7495</v>
      </c>
      <c r="G206" s="7" t="s">
        <v>7496</v>
      </c>
      <c r="H206" s="7" t="s">
        <v>7497</v>
      </c>
      <c r="I206" s="7" t="s">
        <v>7498</v>
      </c>
      <c r="J206" s="7" t="s">
        <v>7499</v>
      </c>
      <c r="K206" s="7" t="s">
        <v>7457</v>
      </c>
      <c r="L206" s="7">
        <v>5</v>
      </c>
      <c r="M206" s="7">
        <v>5</v>
      </c>
      <c r="N206" s="7">
        <v>4</v>
      </c>
      <c r="O206" s="7">
        <v>3</v>
      </c>
      <c r="P206" s="7">
        <v>2</v>
      </c>
      <c r="Q206" s="7">
        <v>1</v>
      </c>
      <c r="R206" s="7" t="s">
        <v>3731</v>
      </c>
      <c r="S206" s="7" t="s">
        <v>3914</v>
      </c>
      <c r="T206" s="7" t="s">
        <v>3739</v>
      </c>
      <c r="U206" s="7" t="s">
        <v>3740</v>
      </c>
      <c r="V206" s="7" t="s">
        <v>7500</v>
      </c>
    </row>
    <row r="207" spans="1:22" ht="71.25">
      <c r="A207" s="7" t="s">
        <v>3922</v>
      </c>
      <c r="B207" s="7" t="s">
        <v>78</v>
      </c>
      <c r="C207" s="7" t="s">
        <v>1323</v>
      </c>
      <c r="D207" s="7" t="s">
        <v>3923</v>
      </c>
      <c r="E207" s="7" t="s">
        <v>7501</v>
      </c>
      <c r="F207" s="7" t="s">
        <v>7502</v>
      </c>
      <c r="G207" s="7" t="s">
        <v>7503</v>
      </c>
      <c r="H207" s="7" t="s">
        <v>7504</v>
      </c>
      <c r="I207" s="7" t="s">
        <v>7505</v>
      </c>
      <c r="J207" s="7" t="s">
        <v>7506</v>
      </c>
      <c r="K207" s="7" t="s">
        <v>7507</v>
      </c>
      <c r="L207" s="7">
        <v>5</v>
      </c>
      <c r="M207" s="7">
        <v>5</v>
      </c>
      <c r="N207" s="7">
        <v>4</v>
      </c>
      <c r="O207" s="7">
        <v>3</v>
      </c>
      <c r="P207" s="7">
        <v>2</v>
      </c>
      <c r="Q207" s="7">
        <v>1</v>
      </c>
      <c r="R207" s="7" t="s">
        <v>3731</v>
      </c>
      <c r="S207" s="7" t="s">
        <v>3924</v>
      </c>
      <c r="T207" s="7" t="s">
        <v>3739</v>
      </c>
      <c r="U207" s="7" t="s">
        <v>3740</v>
      </c>
      <c r="V207" s="7" t="s">
        <v>7508</v>
      </c>
    </row>
    <row r="208" spans="1:22" ht="85.5">
      <c r="A208" s="7" t="s">
        <v>3932</v>
      </c>
      <c r="B208" s="7" t="s">
        <v>78</v>
      </c>
      <c r="C208" s="7" t="s">
        <v>1323</v>
      </c>
      <c r="D208" s="7" t="s">
        <v>3933</v>
      </c>
      <c r="E208" s="7" t="s">
        <v>7509</v>
      </c>
      <c r="F208" s="7" t="s">
        <v>7510</v>
      </c>
      <c r="G208" s="7" t="s">
        <v>7511</v>
      </c>
      <c r="H208" s="7" t="s">
        <v>7512</v>
      </c>
      <c r="I208" s="7" t="s">
        <v>7513</v>
      </c>
      <c r="J208" s="7" t="s">
        <v>7514</v>
      </c>
      <c r="K208" s="7" t="s">
        <v>7507</v>
      </c>
      <c r="L208" s="7">
        <v>5</v>
      </c>
      <c r="M208" s="7">
        <v>5</v>
      </c>
      <c r="N208" s="7">
        <v>4</v>
      </c>
      <c r="O208" s="7">
        <v>3</v>
      </c>
      <c r="P208" s="7">
        <v>2</v>
      </c>
      <c r="Q208" s="7">
        <v>1</v>
      </c>
      <c r="R208" s="7" t="s">
        <v>3731</v>
      </c>
      <c r="S208" s="7" t="s">
        <v>3934</v>
      </c>
      <c r="T208" s="7" t="s">
        <v>3739</v>
      </c>
      <c r="U208" s="7" t="s">
        <v>3740</v>
      </c>
      <c r="V208" s="7" t="s">
        <v>7515</v>
      </c>
    </row>
    <row r="209" spans="1:22" ht="85.5">
      <c r="A209" s="7" t="s">
        <v>3942</v>
      </c>
      <c r="B209" s="7" t="s">
        <v>78</v>
      </c>
      <c r="C209" s="7" t="s">
        <v>1323</v>
      </c>
      <c r="D209" s="7" t="s">
        <v>3943</v>
      </c>
      <c r="E209" s="7" t="s">
        <v>7516</v>
      </c>
      <c r="F209" s="7" t="s">
        <v>7517</v>
      </c>
      <c r="G209" s="7" t="s">
        <v>7518</v>
      </c>
      <c r="H209" s="7" t="s">
        <v>7519</v>
      </c>
      <c r="I209" s="7" t="s">
        <v>7520</v>
      </c>
      <c r="J209" s="7" t="s">
        <v>7521</v>
      </c>
      <c r="K209" s="7" t="s">
        <v>7507</v>
      </c>
      <c r="L209" s="7">
        <v>5</v>
      </c>
      <c r="M209" s="7">
        <v>5</v>
      </c>
      <c r="N209" s="7">
        <v>4</v>
      </c>
      <c r="O209" s="7">
        <v>3</v>
      </c>
      <c r="P209" s="7">
        <v>2</v>
      </c>
      <c r="Q209" s="7">
        <v>1</v>
      </c>
      <c r="R209" s="7" t="s">
        <v>3731</v>
      </c>
      <c r="S209" s="7" t="s">
        <v>3944</v>
      </c>
      <c r="T209" s="7" t="s">
        <v>3739</v>
      </c>
      <c r="U209" s="7" t="s">
        <v>3740</v>
      </c>
      <c r="V209" s="7" t="s">
        <v>7522</v>
      </c>
    </row>
    <row r="210" spans="1:22" ht="71.25">
      <c r="A210" s="7" t="s">
        <v>3952</v>
      </c>
      <c r="B210" s="7" t="s">
        <v>78</v>
      </c>
      <c r="C210" s="7" t="s">
        <v>1323</v>
      </c>
      <c r="D210" s="7" t="s">
        <v>3953</v>
      </c>
      <c r="E210" s="7" t="s">
        <v>7523</v>
      </c>
      <c r="F210" s="7" t="s">
        <v>7524</v>
      </c>
      <c r="G210" s="7" t="s">
        <v>7525</v>
      </c>
      <c r="H210" s="7" t="s">
        <v>7526</v>
      </c>
      <c r="I210" s="7" t="s">
        <v>7527</v>
      </c>
      <c r="J210" s="7" t="s">
        <v>7528</v>
      </c>
      <c r="K210" s="7" t="s">
        <v>7507</v>
      </c>
      <c r="L210" s="7">
        <v>5</v>
      </c>
      <c r="M210" s="7">
        <v>5</v>
      </c>
      <c r="N210" s="7">
        <v>4</v>
      </c>
      <c r="O210" s="7">
        <v>3</v>
      </c>
      <c r="P210" s="7">
        <v>2</v>
      </c>
      <c r="Q210" s="7">
        <v>1</v>
      </c>
      <c r="R210" s="7" t="s">
        <v>3731</v>
      </c>
      <c r="S210" s="7" t="s">
        <v>3954</v>
      </c>
      <c r="T210" s="7" t="s">
        <v>3739</v>
      </c>
      <c r="U210" s="7" t="s">
        <v>3740</v>
      </c>
      <c r="V210" s="7" t="s">
        <v>7529</v>
      </c>
    </row>
    <row r="211" spans="1:22" ht="71.25">
      <c r="A211" s="7" t="s">
        <v>3962</v>
      </c>
      <c r="B211" s="7" t="s">
        <v>78</v>
      </c>
      <c r="C211" s="7" t="s">
        <v>1323</v>
      </c>
      <c r="D211" s="7" t="s">
        <v>3963</v>
      </c>
      <c r="E211" s="7" t="s">
        <v>7530</v>
      </c>
      <c r="F211" s="7" t="s">
        <v>7531</v>
      </c>
      <c r="G211" s="7" t="s">
        <v>7532</v>
      </c>
      <c r="H211" s="7" t="s">
        <v>7533</v>
      </c>
      <c r="I211" s="7" t="s">
        <v>7534</v>
      </c>
      <c r="J211" s="7" t="s">
        <v>7535</v>
      </c>
      <c r="K211" s="7" t="s">
        <v>7507</v>
      </c>
      <c r="L211" s="7">
        <v>5</v>
      </c>
      <c r="M211" s="7">
        <v>5</v>
      </c>
      <c r="N211" s="7">
        <v>4</v>
      </c>
      <c r="O211" s="7">
        <v>3</v>
      </c>
      <c r="P211" s="7">
        <v>2</v>
      </c>
      <c r="Q211" s="7">
        <v>1</v>
      </c>
      <c r="R211" s="7" t="s">
        <v>3731</v>
      </c>
      <c r="S211" s="7" t="s">
        <v>3964</v>
      </c>
      <c r="T211" s="7" t="s">
        <v>3739</v>
      </c>
      <c r="U211" s="7" t="s">
        <v>3740</v>
      </c>
      <c r="V211" s="7" t="s">
        <v>7536</v>
      </c>
    </row>
    <row r="212" spans="1:22" ht="71.25">
      <c r="A212" s="7" t="s">
        <v>3972</v>
      </c>
      <c r="B212" s="7" t="s">
        <v>78</v>
      </c>
      <c r="C212" s="7" t="s">
        <v>1323</v>
      </c>
      <c r="D212" s="7" t="s">
        <v>3973</v>
      </c>
      <c r="E212" s="7" t="s">
        <v>7537</v>
      </c>
      <c r="F212" s="7" t="s">
        <v>7538</v>
      </c>
      <c r="G212" s="7" t="s">
        <v>7539</v>
      </c>
      <c r="H212" s="7" t="s">
        <v>7540</v>
      </c>
      <c r="I212" s="7" t="s">
        <v>7541</v>
      </c>
      <c r="J212" s="7" t="s">
        <v>7542</v>
      </c>
      <c r="K212" s="7" t="s">
        <v>7507</v>
      </c>
      <c r="L212" s="7">
        <v>5</v>
      </c>
      <c r="M212" s="7">
        <v>5</v>
      </c>
      <c r="N212" s="7">
        <v>4</v>
      </c>
      <c r="O212" s="7">
        <v>3</v>
      </c>
      <c r="P212" s="7">
        <v>2</v>
      </c>
      <c r="Q212" s="7">
        <v>1</v>
      </c>
      <c r="R212" s="7" t="s">
        <v>3731</v>
      </c>
      <c r="S212" s="7" t="s">
        <v>3974</v>
      </c>
      <c r="T212" s="7" t="s">
        <v>3739</v>
      </c>
      <c r="U212" s="7" t="s">
        <v>3740</v>
      </c>
      <c r="V212" s="7" t="s">
        <v>7543</v>
      </c>
    </row>
    <row r="213" spans="1:22" ht="85.5">
      <c r="A213" s="7" t="s">
        <v>3984</v>
      </c>
      <c r="B213" s="7" t="s">
        <v>81</v>
      </c>
      <c r="C213" s="7" t="s">
        <v>1331</v>
      </c>
      <c r="D213" s="7" t="s">
        <v>3985</v>
      </c>
      <c r="E213" s="7" t="s">
        <v>7544</v>
      </c>
      <c r="F213" s="7" t="s">
        <v>7545</v>
      </c>
      <c r="G213" s="7" t="s">
        <v>7546</v>
      </c>
      <c r="H213" s="7" t="s">
        <v>7547</v>
      </c>
      <c r="I213" s="7" t="s">
        <v>7548</v>
      </c>
      <c r="J213" s="7" t="s">
        <v>7549</v>
      </c>
      <c r="K213" s="7" t="s">
        <v>7550</v>
      </c>
      <c r="L213" s="7">
        <v>5</v>
      </c>
      <c r="M213" s="7">
        <v>5</v>
      </c>
      <c r="N213" s="7">
        <v>4</v>
      </c>
      <c r="O213" s="7">
        <v>3</v>
      </c>
      <c r="P213" s="7">
        <v>2</v>
      </c>
      <c r="Q213" s="7">
        <v>1</v>
      </c>
      <c r="R213" s="7" t="s">
        <v>3987</v>
      </c>
      <c r="S213" s="7" t="s">
        <v>3988</v>
      </c>
      <c r="T213" s="7" t="s">
        <v>3995</v>
      </c>
      <c r="U213" s="7" t="s">
        <v>3996</v>
      </c>
      <c r="V213" s="7" t="s">
        <v>7551</v>
      </c>
    </row>
    <row r="214" spans="1:22" ht="85.5">
      <c r="A214" s="7" t="s">
        <v>3998</v>
      </c>
      <c r="B214" s="7" t="s">
        <v>81</v>
      </c>
      <c r="C214" s="7" t="s">
        <v>1331</v>
      </c>
      <c r="D214" s="7" t="s">
        <v>3999</v>
      </c>
      <c r="E214" s="7" t="s">
        <v>7552</v>
      </c>
      <c r="F214" s="7" t="s">
        <v>7553</v>
      </c>
      <c r="G214" s="7" t="s">
        <v>7554</v>
      </c>
      <c r="H214" s="7" t="s">
        <v>7555</v>
      </c>
      <c r="I214" s="7" t="s">
        <v>7556</v>
      </c>
      <c r="J214" s="7" t="s">
        <v>7557</v>
      </c>
      <c r="K214" s="7" t="s">
        <v>7550</v>
      </c>
      <c r="L214" s="7">
        <v>5</v>
      </c>
      <c r="M214" s="7">
        <v>5</v>
      </c>
      <c r="N214" s="7">
        <v>4</v>
      </c>
      <c r="O214" s="7">
        <v>3</v>
      </c>
      <c r="P214" s="7">
        <v>2</v>
      </c>
      <c r="Q214" s="7">
        <v>1</v>
      </c>
      <c r="R214" s="7" t="s">
        <v>3987</v>
      </c>
      <c r="S214" s="7" t="s">
        <v>4000</v>
      </c>
      <c r="T214" s="7" t="s">
        <v>3995</v>
      </c>
      <c r="U214" s="7" t="s">
        <v>3996</v>
      </c>
      <c r="V214" s="7" t="s">
        <v>7558</v>
      </c>
    </row>
    <row r="215" spans="1:22" ht="71.25">
      <c r="A215" s="7" t="s">
        <v>4008</v>
      </c>
      <c r="B215" s="7" t="s">
        <v>81</v>
      </c>
      <c r="C215" s="7" t="s">
        <v>1331</v>
      </c>
      <c r="D215" s="7" t="s">
        <v>4009</v>
      </c>
      <c r="E215" s="7" t="s">
        <v>7559</v>
      </c>
      <c r="F215" s="7" t="s">
        <v>7560</v>
      </c>
      <c r="G215" s="7" t="s">
        <v>7561</v>
      </c>
      <c r="H215" s="7" t="s">
        <v>7562</v>
      </c>
      <c r="I215" s="7" t="s">
        <v>7563</v>
      </c>
      <c r="J215" s="7" t="s">
        <v>7564</v>
      </c>
      <c r="K215" s="7" t="s">
        <v>7550</v>
      </c>
      <c r="L215" s="7">
        <v>5</v>
      </c>
      <c r="M215" s="7">
        <v>5</v>
      </c>
      <c r="N215" s="7">
        <v>4</v>
      </c>
      <c r="O215" s="7">
        <v>3</v>
      </c>
      <c r="P215" s="7">
        <v>2</v>
      </c>
      <c r="Q215" s="7">
        <v>1</v>
      </c>
      <c r="R215" s="7" t="s">
        <v>3987</v>
      </c>
      <c r="S215" s="7" t="s">
        <v>4010</v>
      </c>
      <c r="T215" s="7" t="s">
        <v>3995</v>
      </c>
      <c r="U215" s="7" t="s">
        <v>3996</v>
      </c>
      <c r="V215" s="7" t="s">
        <v>7565</v>
      </c>
    </row>
    <row r="216" spans="1:22" ht="85.5">
      <c r="A216" s="7" t="s">
        <v>4018</v>
      </c>
      <c r="B216" s="7" t="s">
        <v>81</v>
      </c>
      <c r="C216" s="7" t="s">
        <v>1331</v>
      </c>
      <c r="D216" s="7" t="s">
        <v>4019</v>
      </c>
      <c r="E216" s="7" t="s">
        <v>7566</v>
      </c>
      <c r="F216" s="7" t="s">
        <v>7567</v>
      </c>
      <c r="G216" s="7" t="s">
        <v>7568</v>
      </c>
      <c r="H216" s="7" t="s">
        <v>7569</v>
      </c>
      <c r="I216" s="7" t="s">
        <v>7570</v>
      </c>
      <c r="J216" s="7" t="s">
        <v>7571</v>
      </c>
      <c r="K216" s="7" t="s">
        <v>7550</v>
      </c>
      <c r="L216" s="7">
        <v>5</v>
      </c>
      <c r="M216" s="7">
        <v>5</v>
      </c>
      <c r="N216" s="7">
        <v>4</v>
      </c>
      <c r="O216" s="7">
        <v>3</v>
      </c>
      <c r="P216" s="7">
        <v>2</v>
      </c>
      <c r="Q216" s="7">
        <v>1</v>
      </c>
      <c r="R216" s="7" t="s">
        <v>3987</v>
      </c>
      <c r="S216" s="7" t="s">
        <v>4020</v>
      </c>
      <c r="T216" s="7" t="s">
        <v>3995</v>
      </c>
      <c r="U216" s="7" t="s">
        <v>3996</v>
      </c>
      <c r="V216" s="7" t="s">
        <v>7572</v>
      </c>
    </row>
    <row r="217" spans="1:22" ht="71.25">
      <c r="A217" s="7" t="s">
        <v>4028</v>
      </c>
      <c r="B217" s="7" t="s">
        <v>81</v>
      </c>
      <c r="C217" s="7" t="s">
        <v>1331</v>
      </c>
      <c r="D217" s="7" t="s">
        <v>4029</v>
      </c>
      <c r="E217" s="7" t="s">
        <v>7573</v>
      </c>
      <c r="F217" s="7" t="s">
        <v>7574</v>
      </c>
      <c r="G217" s="7" t="s">
        <v>7575</v>
      </c>
      <c r="H217" s="7" t="s">
        <v>7576</v>
      </c>
      <c r="I217" s="7" t="s">
        <v>7577</v>
      </c>
      <c r="J217" s="7" t="s">
        <v>7578</v>
      </c>
      <c r="K217" s="7" t="s">
        <v>7550</v>
      </c>
      <c r="L217" s="7">
        <v>5</v>
      </c>
      <c r="M217" s="7">
        <v>5</v>
      </c>
      <c r="N217" s="7">
        <v>4</v>
      </c>
      <c r="O217" s="7">
        <v>3</v>
      </c>
      <c r="P217" s="7">
        <v>2</v>
      </c>
      <c r="Q217" s="7">
        <v>1</v>
      </c>
      <c r="R217" s="7" t="s">
        <v>3987</v>
      </c>
      <c r="S217" s="7" t="s">
        <v>4030</v>
      </c>
      <c r="T217" s="7" t="s">
        <v>3995</v>
      </c>
      <c r="U217" s="7" t="s">
        <v>3996</v>
      </c>
      <c r="V217" s="7" t="s">
        <v>7579</v>
      </c>
    </row>
    <row r="218" spans="1:22" ht="85.5">
      <c r="A218" s="7" t="s">
        <v>4038</v>
      </c>
      <c r="B218" s="7" t="s">
        <v>81</v>
      </c>
      <c r="C218" s="7" t="s">
        <v>1331</v>
      </c>
      <c r="D218" s="7" t="s">
        <v>4039</v>
      </c>
      <c r="E218" s="7" t="s">
        <v>7580</v>
      </c>
      <c r="F218" s="7" t="s">
        <v>7581</v>
      </c>
      <c r="G218" s="7" t="s">
        <v>7582</v>
      </c>
      <c r="H218" s="7" t="s">
        <v>7583</v>
      </c>
      <c r="I218" s="7" t="s">
        <v>7584</v>
      </c>
      <c r="J218" s="7" t="s">
        <v>7585</v>
      </c>
      <c r="K218" s="7" t="s">
        <v>7550</v>
      </c>
      <c r="L218" s="7">
        <v>5</v>
      </c>
      <c r="M218" s="7">
        <v>5</v>
      </c>
      <c r="N218" s="7">
        <v>4</v>
      </c>
      <c r="O218" s="7">
        <v>3</v>
      </c>
      <c r="P218" s="7">
        <v>2</v>
      </c>
      <c r="Q218" s="7">
        <v>1</v>
      </c>
      <c r="R218" s="7" t="s">
        <v>3987</v>
      </c>
      <c r="S218" s="7" t="s">
        <v>4040</v>
      </c>
      <c r="T218" s="7" t="s">
        <v>3995</v>
      </c>
      <c r="U218" s="7" t="s">
        <v>3996</v>
      </c>
      <c r="V218" s="7" t="s">
        <v>7586</v>
      </c>
    </row>
    <row r="219" spans="1:22" ht="85.5">
      <c r="A219" s="7" t="s">
        <v>4048</v>
      </c>
      <c r="B219" s="7" t="s">
        <v>81</v>
      </c>
      <c r="C219" s="7" t="s">
        <v>1346</v>
      </c>
      <c r="D219" s="7" t="s">
        <v>4049</v>
      </c>
      <c r="E219" s="7" t="s">
        <v>7587</v>
      </c>
      <c r="F219" s="7" t="s">
        <v>7588</v>
      </c>
      <c r="G219" s="7" t="s">
        <v>7589</v>
      </c>
      <c r="H219" s="7" t="s">
        <v>7590</v>
      </c>
      <c r="I219" s="7" t="s">
        <v>7591</v>
      </c>
      <c r="J219" s="7" t="s">
        <v>7592</v>
      </c>
      <c r="K219" s="7" t="s">
        <v>7593</v>
      </c>
      <c r="L219" s="7">
        <v>5</v>
      </c>
      <c r="M219" s="7">
        <v>5</v>
      </c>
      <c r="N219" s="7">
        <v>4</v>
      </c>
      <c r="O219" s="7">
        <v>3</v>
      </c>
      <c r="P219" s="7">
        <v>2</v>
      </c>
      <c r="Q219" s="7">
        <v>1</v>
      </c>
      <c r="R219" s="7" t="s">
        <v>3987</v>
      </c>
      <c r="S219" s="7" t="s">
        <v>4050</v>
      </c>
      <c r="T219" s="7" t="s">
        <v>3995</v>
      </c>
      <c r="U219" s="7" t="s">
        <v>3996</v>
      </c>
      <c r="V219" s="7" t="s">
        <v>7594</v>
      </c>
    </row>
    <row r="220" spans="1:22" ht="71.25">
      <c r="A220" s="7" t="s">
        <v>4058</v>
      </c>
      <c r="B220" s="7" t="s">
        <v>81</v>
      </c>
      <c r="C220" s="7" t="s">
        <v>1346</v>
      </c>
      <c r="D220" s="7" t="s">
        <v>4059</v>
      </c>
      <c r="E220" s="7" t="s">
        <v>7595</v>
      </c>
      <c r="F220" s="7" t="s">
        <v>7596</v>
      </c>
      <c r="G220" s="7" t="s">
        <v>7597</v>
      </c>
      <c r="H220" s="7" t="s">
        <v>7598</v>
      </c>
      <c r="I220" s="7" t="s">
        <v>7599</v>
      </c>
      <c r="J220" s="7" t="s">
        <v>7600</v>
      </c>
      <c r="K220" s="7" t="s">
        <v>7593</v>
      </c>
      <c r="L220" s="7">
        <v>5</v>
      </c>
      <c r="M220" s="7">
        <v>5</v>
      </c>
      <c r="N220" s="7">
        <v>4</v>
      </c>
      <c r="O220" s="7">
        <v>3</v>
      </c>
      <c r="P220" s="7">
        <v>2</v>
      </c>
      <c r="Q220" s="7">
        <v>1</v>
      </c>
      <c r="R220" s="7" t="s">
        <v>3987</v>
      </c>
      <c r="S220" s="7" t="s">
        <v>4060</v>
      </c>
      <c r="T220" s="7" t="s">
        <v>3995</v>
      </c>
      <c r="U220" s="7" t="s">
        <v>3996</v>
      </c>
      <c r="V220" s="7" t="s">
        <v>7601</v>
      </c>
    </row>
    <row r="221" spans="1:22" ht="85.5">
      <c r="A221" s="7" t="s">
        <v>4068</v>
      </c>
      <c r="B221" s="7" t="s">
        <v>81</v>
      </c>
      <c r="C221" s="7" t="s">
        <v>1346</v>
      </c>
      <c r="D221" s="7" t="s">
        <v>4069</v>
      </c>
      <c r="E221" s="7" t="s">
        <v>7602</v>
      </c>
      <c r="F221" s="7" t="s">
        <v>7603</v>
      </c>
      <c r="G221" s="7" t="s">
        <v>7604</v>
      </c>
      <c r="H221" s="7" t="s">
        <v>7605</v>
      </c>
      <c r="I221" s="7" t="s">
        <v>7606</v>
      </c>
      <c r="J221" s="7" t="s">
        <v>7607</v>
      </c>
      <c r="K221" s="7" t="s">
        <v>7593</v>
      </c>
      <c r="L221" s="7">
        <v>5</v>
      </c>
      <c r="M221" s="7">
        <v>5</v>
      </c>
      <c r="N221" s="7">
        <v>4</v>
      </c>
      <c r="O221" s="7">
        <v>3</v>
      </c>
      <c r="P221" s="7">
        <v>2</v>
      </c>
      <c r="Q221" s="7">
        <v>1</v>
      </c>
      <c r="R221" s="7" t="s">
        <v>3987</v>
      </c>
      <c r="S221" s="7" t="s">
        <v>4070</v>
      </c>
      <c r="T221" s="7" t="s">
        <v>3995</v>
      </c>
      <c r="U221" s="7" t="s">
        <v>3996</v>
      </c>
      <c r="V221" s="7" t="s">
        <v>7608</v>
      </c>
    </row>
    <row r="222" spans="1:22" ht="85.5">
      <c r="A222" s="7" t="s">
        <v>4078</v>
      </c>
      <c r="B222" s="7" t="s">
        <v>81</v>
      </c>
      <c r="C222" s="7" t="s">
        <v>1346</v>
      </c>
      <c r="D222" s="7" t="s">
        <v>4079</v>
      </c>
      <c r="E222" s="7" t="s">
        <v>7609</v>
      </c>
      <c r="F222" s="7" t="s">
        <v>7610</v>
      </c>
      <c r="G222" s="7" t="s">
        <v>7611</v>
      </c>
      <c r="H222" s="7" t="s">
        <v>7612</v>
      </c>
      <c r="I222" s="7" t="s">
        <v>7613</v>
      </c>
      <c r="J222" s="7" t="s">
        <v>7614</v>
      </c>
      <c r="K222" s="7" t="s">
        <v>7593</v>
      </c>
      <c r="L222" s="7">
        <v>5</v>
      </c>
      <c r="M222" s="7">
        <v>5</v>
      </c>
      <c r="N222" s="7">
        <v>4</v>
      </c>
      <c r="O222" s="7">
        <v>3</v>
      </c>
      <c r="P222" s="7">
        <v>2</v>
      </c>
      <c r="Q222" s="7">
        <v>1</v>
      </c>
      <c r="R222" s="7" t="s">
        <v>3987</v>
      </c>
      <c r="S222" s="7" t="s">
        <v>4080</v>
      </c>
      <c r="T222" s="7" t="s">
        <v>3995</v>
      </c>
      <c r="U222" s="7" t="s">
        <v>3996</v>
      </c>
      <c r="V222" s="7" t="s">
        <v>7615</v>
      </c>
    </row>
    <row r="223" spans="1:22" ht="71.25">
      <c r="A223" s="7" t="s">
        <v>4088</v>
      </c>
      <c r="B223" s="7" t="s">
        <v>81</v>
      </c>
      <c r="C223" s="7" t="s">
        <v>1346</v>
      </c>
      <c r="D223" s="7" t="s">
        <v>4089</v>
      </c>
      <c r="E223" s="7" t="s">
        <v>7616</v>
      </c>
      <c r="F223" s="7" t="s">
        <v>7617</v>
      </c>
      <c r="G223" s="7" t="s">
        <v>7618</v>
      </c>
      <c r="H223" s="7" t="s">
        <v>7619</v>
      </c>
      <c r="I223" s="7" t="s">
        <v>7620</v>
      </c>
      <c r="J223" s="7" t="s">
        <v>7621</v>
      </c>
      <c r="K223" s="7" t="s">
        <v>7593</v>
      </c>
      <c r="L223" s="7">
        <v>5</v>
      </c>
      <c r="M223" s="7">
        <v>5</v>
      </c>
      <c r="N223" s="7">
        <v>4</v>
      </c>
      <c r="O223" s="7">
        <v>3</v>
      </c>
      <c r="P223" s="7">
        <v>2</v>
      </c>
      <c r="Q223" s="7">
        <v>1</v>
      </c>
      <c r="R223" s="7" t="s">
        <v>3987</v>
      </c>
      <c r="S223" s="7" t="s">
        <v>4090</v>
      </c>
      <c r="T223" s="7" t="s">
        <v>3995</v>
      </c>
      <c r="U223" s="7" t="s">
        <v>3996</v>
      </c>
      <c r="V223" s="7" t="s">
        <v>7622</v>
      </c>
    </row>
    <row r="224" spans="1:22" ht="85.5">
      <c r="A224" s="7" t="s">
        <v>4098</v>
      </c>
      <c r="B224" s="7" t="s">
        <v>81</v>
      </c>
      <c r="C224" s="7" t="s">
        <v>1346</v>
      </c>
      <c r="D224" s="7" t="s">
        <v>4099</v>
      </c>
      <c r="E224" s="7" t="s">
        <v>7623</v>
      </c>
      <c r="F224" s="7" t="s">
        <v>7624</v>
      </c>
      <c r="G224" s="7" t="s">
        <v>7625</v>
      </c>
      <c r="H224" s="7" t="s">
        <v>7626</v>
      </c>
      <c r="I224" s="7" t="s">
        <v>7627</v>
      </c>
      <c r="J224" s="7" t="s">
        <v>7628</v>
      </c>
      <c r="K224" s="7" t="s">
        <v>7593</v>
      </c>
      <c r="L224" s="7">
        <v>5</v>
      </c>
      <c r="M224" s="7">
        <v>5</v>
      </c>
      <c r="N224" s="7">
        <v>4</v>
      </c>
      <c r="O224" s="7">
        <v>3</v>
      </c>
      <c r="P224" s="7">
        <v>2</v>
      </c>
      <c r="Q224" s="7">
        <v>1</v>
      </c>
      <c r="R224" s="7" t="s">
        <v>3987</v>
      </c>
      <c r="S224" s="7" t="s">
        <v>4100</v>
      </c>
      <c r="T224" s="7" t="s">
        <v>3995</v>
      </c>
      <c r="U224" s="7" t="s">
        <v>3996</v>
      </c>
      <c r="V224" s="7" t="s">
        <v>7629</v>
      </c>
    </row>
    <row r="225" spans="1:22" ht="85.5">
      <c r="A225" s="7" t="s">
        <v>4108</v>
      </c>
      <c r="B225" s="7" t="s">
        <v>81</v>
      </c>
      <c r="C225" s="7" t="s">
        <v>1354</v>
      </c>
      <c r="D225" s="7" t="s">
        <v>4109</v>
      </c>
      <c r="E225" s="7" t="s">
        <v>7630</v>
      </c>
      <c r="F225" s="7" t="s">
        <v>7631</v>
      </c>
      <c r="G225" s="7" t="s">
        <v>7632</v>
      </c>
      <c r="H225" s="7" t="s">
        <v>7633</v>
      </c>
      <c r="I225" s="7" t="s">
        <v>7634</v>
      </c>
      <c r="J225" s="7" t="s">
        <v>7635</v>
      </c>
      <c r="K225" s="7" t="s">
        <v>7636</v>
      </c>
      <c r="L225" s="7">
        <v>5</v>
      </c>
      <c r="M225" s="7">
        <v>5</v>
      </c>
      <c r="N225" s="7">
        <v>4</v>
      </c>
      <c r="O225" s="7">
        <v>3</v>
      </c>
      <c r="P225" s="7">
        <v>2</v>
      </c>
      <c r="Q225" s="7">
        <v>1</v>
      </c>
      <c r="R225" s="7" t="s">
        <v>3987</v>
      </c>
      <c r="S225" s="7" t="s">
        <v>4110</v>
      </c>
      <c r="T225" s="7" t="s">
        <v>3995</v>
      </c>
      <c r="U225" s="7" t="s">
        <v>3996</v>
      </c>
      <c r="V225" s="7" t="s">
        <v>7637</v>
      </c>
    </row>
    <row r="226" spans="1:22" ht="85.5">
      <c r="A226" s="7" t="s">
        <v>4118</v>
      </c>
      <c r="B226" s="7" t="s">
        <v>81</v>
      </c>
      <c r="C226" s="7" t="s">
        <v>1354</v>
      </c>
      <c r="D226" s="7" t="s">
        <v>4119</v>
      </c>
      <c r="E226" s="7" t="s">
        <v>7638</v>
      </c>
      <c r="F226" s="7" t="s">
        <v>7639</v>
      </c>
      <c r="G226" s="7" t="s">
        <v>7640</v>
      </c>
      <c r="H226" s="7" t="s">
        <v>7641</v>
      </c>
      <c r="I226" s="7" t="s">
        <v>7642</v>
      </c>
      <c r="J226" s="7" t="s">
        <v>7643</v>
      </c>
      <c r="K226" s="7" t="s">
        <v>7636</v>
      </c>
      <c r="L226" s="7">
        <v>5</v>
      </c>
      <c r="M226" s="7">
        <v>5</v>
      </c>
      <c r="N226" s="7">
        <v>4</v>
      </c>
      <c r="O226" s="7">
        <v>3</v>
      </c>
      <c r="P226" s="7">
        <v>2</v>
      </c>
      <c r="Q226" s="7">
        <v>1</v>
      </c>
      <c r="R226" s="7" t="s">
        <v>3987</v>
      </c>
      <c r="S226" s="7" t="s">
        <v>4120</v>
      </c>
      <c r="T226" s="7" t="s">
        <v>3995</v>
      </c>
      <c r="U226" s="7" t="s">
        <v>3996</v>
      </c>
      <c r="V226" s="7" t="s">
        <v>7644</v>
      </c>
    </row>
    <row r="227" spans="1:22" ht="85.5">
      <c r="A227" s="7" t="s">
        <v>4128</v>
      </c>
      <c r="B227" s="7" t="s">
        <v>81</v>
      </c>
      <c r="C227" s="7" t="s">
        <v>1354</v>
      </c>
      <c r="D227" s="7" t="s">
        <v>4129</v>
      </c>
      <c r="E227" s="7" t="s">
        <v>7645</v>
      </c>
      <c r="F227" s="7" t="s">
        <v>7646</v>
      </c>
      <c r="G227" s="7" t="s">
        <v>7647</v>
      </c>
      <c r="H227" s="7" t="s">
        <v>7648</v>
      </c>
      <c r="I227" s="7" t="s">
        <v>7649</v>
      </c>
      <c r="J227" s="7" t="s">
        <v>7650</v>
      </c>
      <c r="K227" s="7" t="s">
        <v>7636</v>
      </c>
      <c r="L227" s="7">
        <v>5</v>
      </c>
      <c r="M227" s="7">
        <v>5</v>
      </c>
      <c r="N227" s="7">
        <v>4</v>
      </c>
      <c r="O227" s="7">
        <v>3</v>
      </c>
      <c r="P227" s="7">
        <v>2</v>
      </c>
      <c r="Q227" s="7">
        <v>1</v>
      </c>
      <c r="R227" s="7" t="s">
        <v>3987</v>
      </c>
      <c r="S227" s="7" t="s">
        <v>4130</v>
      </c>
      <c r="T227" s="7" t="s">
        <v>3995</v>
      </c>
      <c r="U227" s="7" t="s">
        <v>3996</v>
      </c>
      <c r="V227" s="7" t="s">
        <v>7651</v>
      </c>
    </row>
    <row r="228" spans="1:22" ht="85.5">
      <c r="A228" s="7" t="s">
        <v>4138</v>
      </c>
      <c r="B228" s="7" t="s">
        <v>81</v>
      </c>
      <c r="C228" s="7" t="s">
        <v>1354</v>
      </c>
      <c r="D228" s="7" t="s">
        <v>4139</v>
      </c>
      <c r="E228" s="7" t="s">
        <v>7652</v>
      </c>
      <c r="F228" s="7" t="s">
        <v>7653</v>
      </c>
      <c r="G228" s="7" t="s">
        <v>7654</v>
      </c>
      <c r="H228" s="7" t="s">
        <v>7655</v>
      </c>
      <c r="I228" s="7" t="s">
        <v>7656</v>
      </c>
      <c r="J228" s="7" t="s">
        <v>7657</v>
      </c>
      <c r="K228" s="7" t="s">
        <v>7636</v>
      </c>
      <c r="L228" s="7">
        <v>5</v>
      </c>
      <c r="M228" s="7">
        <v>5</v>
      </c>
      <c r="N228" s="7">
        <v>4</v>
      </c>
      <c r="O228" s="7">
        <v>3</v>
      </c>
      <c r="P228" s="7">
        <v>2</v>
      </c>
      <c r="Q228" s="7">
        <v>1</v>
      </c>
      <c r="R228" s="7" t="s">
        <v>3987</v>
      </c>
      <c r="S228" s="7" t="s">
        <v>4140</v>
      </c>
      <c r="T228" s="7" t="s">
        <v>3995</v>
      </c>
      <c r="U228" s="7" t="s">
        <v>3996</v>
      </c>
      <c r="V228" s="7" t="s">
        <v>7658</v>
      </c>
    </row>
    <row r="229" spans="1:22" ht="71.25">
      <c r="A229" s="7" t="s">
        <v>4148</v>
      </c>
      <c r="B229" s="7" t="s">
        <v>81</v>
      </c>
      <c r="C229" s="7" t="s">
        <v>1354</v>
      </c>
      <c r="D229" s="7" t="s">
        <v>4149</v>
      </c>
      <c r="E229" s="7" t="s">
        <v>7659</v>
      </c>
      <c r="F229" s="7" t="s">
        <v>7660</v>
      </c>
      <c r="G229" s="7" t="s">
        <v>7661</v>
      </c>
      <c r="H229" s="7" t="s">
        <v>7662</v>
      </c>
      <c r="I229" s="7" t="s">
        <v>7663</v>
      </c>
      <c r="J229" s="7" t="s">
        <v>7664</v>
      </c>
      <c r="K229" s="7" t="s">
        <v>7636</v>
      </c>
      <c r="L229" s="7">
        <v>5</v>
      </c>
      <c r="M229" s="7">
        <v>5</v>
      </c>
      <c r="N229" s="7">
        <v>4</v>
      </c>
      <c r="O229" s="7">
        <v>3</v>
      </c>
      <c r="P229" s="7">
        <v>2</v>
      </c>
      <c r="Q229" s="7">
        <v>1</v>
      </c>
      <c r="R229" s="7" t="s">
        <v>3987</v>
      </c>
      <c r="S229" s="7" t="s">
        <v>4150</v>
      </c>
      <c r="T229" s="7" t="s">
        <v>3995</v>
      </c>
      <c r="U229" s="7" t="s">
        <v>3996</v>
      </c>
      <c r="V229" s="7" t="s">
        <v>7665</v>
      </c>
    </row>
    <row r="230" spans="1:22" ht="85.5">
      <c r="A230" s="7" t="s">
        <v>4158</v>
      </c>
      <c r="B230" s="7" t="s">
        <v>81</v>
      </c>
      <c r="C230" s="7" t="s">
        <v>1354</v>
      </c>
      <c r="D230" s="7" t="s">
        <v>4159</v>
      </c>
      <c r="E230" s="7" t="s">
        <v>7666</v>
      </c>
      <c r="F230" s="7" t="s">
        <v>7667</v>
      </c>
      <c r="G230" s="7" t="s">
        <v>7668</v>
      </c>
      <c r="H230" s="7" t="s">
        <v>7669</v>
      </c>
      <c r="I230" s="7" t="s">
        <v>7670</v>
      </c>
      <c r="J230" s="7" t="s">
        <v>7671</v>
      </c>
      <c r="K230" s="7" t="s">
        <v>7636</v>
      </c>
      <c r="L230" s="7">
        <v>5</v>
      </c>
      <c r="M230" s="7">
        <v>5</v>
      </c>
      <c r="N230" s="7">
        <v>4</v>
      </c>
      <c r="O230" s="7">
        <v>3</v>
      </c>
      <c r="P230" s="7">
        <v>2</v>
      </c>
      <c r="Q230" s="7">
        <v>1</v>
      </c>
      <c r="R230" s="7" t="s">
        <v>3987</v>
      </c>
      <c r="S230" s="7" t="s">
        <v>4160</v>
      </c>
      <c r="T230" s="7" t="s">
        <v>3995</v>
      </c>
      <c r="U230" s="7" t="s">
        <v>3996</v>
      </c>
      <c r="V230" s="7" t="s">
        <v>7672</v>
      </c>
    </row>
    <row r="231" spans="1:22" ht="85.5">
      <c r="A231" s="7" t="s">
        <v>4168</v>
      </c>
      <c r="B231" s="7" t="s">
        <v>81</v>
      </c>
      <c r="C231" s="7" t="s">
        <v>1362</v>
      </c>
      <c r="D231" s="7" t="s">
        <v>4169</v>
      </c>
      <c r="E231" s="7" t="s">
        <v>7673</v>
      </c>
      <c r="F231" s="7" t="s">
        <v>7674</v>
      </c>
      <c r="G231" s="7" t="s">
        <v>7675</v>
      </c>
      <c r="H231" s="7" t="s">
        <v>7676</v>
      </c>
      <c r="I231" s="7" t="s">
        <v>7677</v>
      </c>
      <c r="J231" s="7" t="s">
        <v>7678</v>
      </c>
      <c r="K231" s="7" t="s">
        <v>7679</v>
      </c>
      <c r="L231" s="7">
        <v>5</v>
      </c>
      <c r="M231" s="7">
        <v>5</v>
      </c>
      <c r="N231" s="7">
        <v>4</v>
      </c>
      <c r="O231" s="7">
        <v>3</v>
      </c>
      <c r="P231" s="7">
        <v>2</v>
      </c>
      <c r="Q231" s="7">
        <v>1</v>
      </c>
      <c r="R231" s="7" t="s">
        <v>3987</v>
      </c>
      <c r="S231" s="7" t="s">
        <v>4170</v>
      </c>
      <c r="T231" s="7" t="s">
        <v>3995</v>
      </c>
      <c r="U231" s="7" t="s">
        <v>3996</v>
      </c>
      <c r="V231" s="7" t="s">
        <v>7680</v>
      </c>
    </row>
    <row r="232" spans="1:22" ht="85.5">
      <c r="A232" s="7" t="s">
        <v>4178</v>
      </c>
      <c r="B232" s="7" t="s">
        <v>81</v>
      </c>
      <c r="C232" s="7" t="s">
        <v>1362</v>
      </c>
      <c r="D232" s="7" t="s">
        <v>4179</v>
      </c>
      <c r="E232" s="7" t="s">
        <v>7681</v>
      </c>
      <c r="F232" s="7" t="s">
        <v>7682</v>
      </c>
      <c r="G232" s="7" t="s">
        <v>7683</v>
      </c>
      <c r="H232" s="7" t="s">
        <v>7684</v>
      </c>
      <c r="I232" s="7" t="s">
        <v>7685</v>
      </c>
      <c r="J232" s="7" t="s">
        <v>7686</v>
      </c>
      <c r="K232" s="7" t="s">
        <v>7679</v>
      </c>
      <c r="L232" s="7">
        <v>5</v>
      </c>
      <c r="M232" s="7">
        <v>5</v>
      </c>
      <c r="N232" s="7">
        <v>4</v>
      </c>
      <c r="O232" s="7">
        <v>3</v>
      </c>
      <c r="P232" s="7">
        <v>2</v>
      </c>
      <c r="Q232" s="7">
        <v>1</v>
      </c>
      <c r="R232" s="7" t="s">
        <v>3987</v>
      </c>
      <c r="S232" s="7" t="s">
        <v>4180</v>
      </c>
      <c r="T232" s="7" t="s">
        <v>3995</v>
      </c>
      <c r="U232" s="7" t="s">
        <v>3996</v>
      </c>
      <c r="V232" s="7" t="s">
        <v>7687</v>
      </c>
    </row>
    <row r="233" spans="1:22" ht="85.5">
      <c r="A233" s="7" t="s">
        <v>4188</v>
      </c>
      <c r="B233" s="7" t="s">
        <v>81</v>
      </c>
      <c r="C233" s="7" t="s">
        <v>1362</v>
      </c>
      <c r="D233" s="7" t="s">
        <v>4189</v>
      </c>
      <c r="E233" s="7" t="s">
        <v>7688</v>
      </c>
      <c r="F233" s="7" t="s">
        <v>7689</v>
      </c>
      <c r="G233" s="7" t="s">
        <v>7690</v>
      </c>
      <c r="H233" s="7" t="s">
        <v>7691</v>
      </c>
      <c r="I233" s="7" t="s">
        <v>7692</v>
      </c>
      <c r="J233" s="7" t="s">
        <v>7693</v>
      </c>
      <c r="K233" s="7" t="s">
        <v>7679</v>
      </c>
      <c r="L233" s="7">
        <v>5</v>
      </c>
      <c r="M233" s="7">
        <v>5</v>
      </c>
      <c r="N233" s="7">
        <v>4</v>
      </c>
      <c r="O233" s="7">
        <v>3</v>
      </c>
      <c r="P233" s="7">
        <v>2</v>
      </c>
      <c r="Q233" s="7">
        <v>1</v>
      </c>
      <c r="R233" s="7" t="s">
        <v>3987</v>
      </c>
      <c r="S233" s="7" t="s">
        <v>4190</v>
      </c>
      <c r="T233" s="7" t="s">
        <v>3995</v>
      </c>
      <c r="U233" s="7" t="s">
        <v>3996</v>
      </c>
      <c r="V233" s="7" t="s">
        <v>7694</v>
      </c>
    </row>
    <row r="234" spans="1:22" ht="85.5">
      <c r="A234" s="7" t="s">
        <v>4198</v>
      </c>
      <c r="B234" s="7" t="s">
        <v>81</v>
      </c>
      <c r="C234" s="7" t="s">
        <v>1362</v>
      </c>
      <c r="D234" s="7" t="s">
        <v>4199</v>
      </c>
      <c r="E234" s="7" t="s">
        <v>7695</v>
      </c>
      <c r="F234" s="7" t="s">
        <v>7696</v>
      </c>
      <c r="G234" s="7" t="s">
        <v>7697</v>
      </c>
      <c r="H234" s="7" t="s">
        <v>7698</v>
      </c>
      <c r="I234" s="7" t="s">
        <v>7699</v>
      </c>
      <c r="J234" s="7" t="s">
        <v>7700</v>
      </c>
      <c r="K234" s="7" t="s">
        <v>7679</v>
      </c>
      <c r="L234" s="7">
        <v>5</v>
      </c>
      <c r="M234" s="7">
        <v>5</v>
      </c>
      <c r="N234" s="7">
        <v>4</v>
      </c>
      <c r="O234" s="7">
        <v>3</v>
      </c>
      <c r="P234" s="7">
        <v>2</v>
      </c>
      <c r="Q234" s="7">
        <v>1</v>
      </c>
      <c r="R234" s="7" t="s">
        <v>3987</v>
      </c>
      <c r="S234" s="7" t="s">
        <v>4200</v>
      </c>
      <c r="T234" s="7" t="s">
        <v>3995</v>
      </c>
      <c r="U234" s="7" t="s">
        <v>3996</v>
      </c>
      <c r="V234" s="7" t="s">
        <v>7701</v>
      </c>
    </row>
    <row r="235" spans="1:22" ht="71.25">
      <c r="A235" s="7" t="s">
        <v>4208</v>
      </c>
      <c r="B235" s="7" t="s">
        <v>81</v>
      </c>
      <c r="C235" s="7" t="s">
        <v>1362</v>
      </c>
      <c r="D235" s="7" t="s">
        <v>4209</v>
      </c>
      <c r="E235" s="7" t="s">
        <v>7702</v>
      </c>
      <c r="F235" s="7" t="s">
        <v>7703</v>
      </c>
      <c r="G235" s="7" t="s">
        <v>7704</v>
      </c>
      <c r="H235" s="7" t="s">
        <v>7705</v>
      </c>
      <c r="I235" s="7" t="s">
        <v>7706</v>
      </c>
      <c r="J235" s="7" t="s">
        <v>7707</v>
      </c>
      <c r="K235" s="7" t="s">
        <v>7679</v>
      </c>
      <c r="L235" s="7">
        <v>5</v>
      </c>
      <c r="M235" s="7">
        <v>5</v>
      </c>
      <c r="N235" s="7">
        <v>4</v>
      </c>
      <c r="O235" s="7">
        <v>3</v>
      </c>
      <c r="P235" s="7">
        <v>2</v>
      </c>
      <c r="Q235" s="7">
        <v>1</v>
      </c>
      <c r="R235" s="7" t="s">
        <v>3987</v>
      </c>
      <c r="S235" s="7" t="s">
        <v>4210</v>
      </c>
      <c r="T235" s="7" t="s">
        <v>3995</v>
      </c>
      <c r="U235" s="7" t="s">
        <v>3996</v>
      </c>
      <c r="V235" s="7" t="s">
        <v>7708</v>
      </c>
    </row>
    <row r="236" spans="1:22" ht="71.25">
      <c r="A236" s="7" t="s">
        <v>4218</v>
      </c>
      <c r="B236" s="7" t="s">
        <v>81</v>
      </c>
      <c r="C236" s="7" t="s">
        <v>1362</v>
      </c>
      <c r="D236" s="7" t="s">
        <v>4219</v>
      </c>
      <c r="E236" s="7" t="s">
        <v>7709</v>
      </c>
      <c r="F236" s="7" t="s">
        <v>7710</v>
      </c>
      <c r="G236" s="7" t="s">
        <v>7711</v>
      </c>
      <c r="H236" s="7" t="s">
        <v>7712</v>
      </c>
      <c r="I236" s="7" t="s">
        <v>7713</v>
      </c>
      <c r="J236" s="7" t="s">
        <v>7714</v>
      </c>
      <c r="K236" s="7" t="s">
        <v>7679</v>
      </c>
      <c r="L236" s="7">
        <v>5</v>
      </c>
      <c r="M236" s="7">
        <v>5</v>
      </c>
      <c r="N236" s="7">
        <v>4</v>
      </c>
      <c r="O236" s="7">
        <v>3</v>
      </c>
      <c r="P236" s="7">
        <v>2</v>
      </c>
      <c r="Q236" s="7">
        <v>1</v>
      </c>
      <c r="R236" s="7" t="s">
        <v>3987</v>
      </c>
      <c r="S236" s="7" t="s">
        <v>4220</v>
      </c>
      <c r="T236" s="7" t="s">
        <v>3995</v>
      </c>
      <c r="U236" s="7" t="s">
        <v>3996</v>
      </c>
      <c r="V236" s="7" t="s">
        <v>7715</v>
      </c>
    </row>
    <row r="237" spans="1:22" ht="85.5">
      <c r="A237" s="7" t="s">
        <v>4228</v>
      </c>
      <c r="B237" s="7" t="s">
        <v>81</v>
      </c>
      <c r="C237" s="7" t="s">
        <v>1370</v>
      </c>
      <c r="D237" s="7" t="s">
        <v>4229</v>
      </c>
      <c r="E237" s="7" t="s">
        <v>7716</v>
      </c>
      <c r="F237" s="7" t="s">
        <v>7717</v>
      </c>
      <c r="G237" s="7" t="s">
        <v>7718</v>
      </c>
      <c r="H237" s="7" t="s">
        <v>7719</v>
      </c>
      <c r="I237" s="7" t="s">
        <v>7720</v>
      </c>
      <c r="J237" s="7" t="s">
        <v>7721</v>
      </c>
      <c r="K237" s="7" t="s">
        <v>7722</v>
      </c>
      <c r="L237" s="7">
        <v>5</v>
      </c>
      <c r="M237" s="7">
        <v>5</v>
      </c>
      <c r="N237" s="7">
        <v>5</v>
      </c>
      <c r="O237" s="7">
        <v>4</v>
      </c>
      <c r="P237" s="7">
        <v>3</v>
      </c>
      <c r="Q237" s="7">
        <v>1</v>
      </c>
      <c r="R237" s="7" t="s">
        <v>3987</v>
      </c>
      <c r="S237" s="7" t="s">
        <v>4230</v>
      </c>
      <c r="T237" s="7" t="s">
        <v>3995</v>
      </c>
      <c r="U237" s="7" t="s">
        <v>3996</v>
      </c>
      <c r="V237" s="7" t="s">
        <v>7723</v>
      </c>
    </row>
    <row r="238" spans="1:22" ht="85.5">
      <c r="A238" s="7" t="s">
        <v>4238</v>
      </c>
      <c r="B238" s="7" t="s">
        <v>81</v>
      </c>
      <c r="C238" s="7" t="s">
        <v>1370</v>
      </c>
      <c r="D238" s="7" t="s">
        <v>4239</v>
      </c>
      <c r="E238" s="7" t="s">
        <v>7724</v>
      </c>
      <c r="F238" s="7" t="s">
        <v>7725</v>
      </c>
      <c r="G238" s="7" t="s">
        <v>7726</v>
      </c>
      <c r="H238" s="7" t="s">
        <v>7727</v>
      </c>
      <c r="I238" s="7" t="s">
        <v>7728</v>
      </c>
      <c r="J238" s="7" t="s">
        <v>7729</v>
      </c>
      <c r="K238" s="7" t="s">
        <v>7722</v>
      </c>
      <c r="L238" s="7">
        <v>5</v>
      </c>
      <c r="M238" s="7">
        <v>5</v>
      </c>
      <c r="N238" s="7">
        <v>5</v>
      </c>
      <c r="O238" s="7">
        <v>4</v>
      </c>
      <c r="P238" s="7">
        <v>3</v>
      </c>
      <c r="Q238" s="7">
        <v>1</v>
      </c>
      <c r="R238" s="7" t="s">
        <v>3987</v>
      </c>
      <c r="S238" s="7" t="s">
        <v>4240</v>
      </c>
      <c r="T238" s="7" t="s">
        <v>3995</v>
      </c>
      <c r="U238" s="7" t="s">
        <v>3996</v>
      </c>
      <c r="V238" s="7" t="s">
        <v>7730</v>
      </c>
    </row>
    <row r="239" spans="1:22" ht="71.25">
      <c r="A239" s="7" t="s">
        <v>4248</v>
      </c>
      <c r="B239" s="7" t="s">
        <v>81</v>
      </c>
      <c r="C239" s="7" t="s">
        <v>1370</v>
      </c>
      <c r="D239" s="7" t="s">
        <v>4249</v>
      </c>
      <c r="E239" s="7" t="s">
        <v>7731</v>
      </c>
      <c r="F239" s="7" t="s">
        <v>7732</v>
      </c>
      <c r="G239" s="7" t="s">
        <v>7733</v>
      </c>
      <c r="H239" s="7" t="s">
        <v>7734</v>
      </c>
      <c r="I239" s="7" t="s">
        <v>7735</v>
      </c>
      <c r="J239" s="7" t="s">
        <v>7736</v>
      </c>
      <c r="K239" s="7" t="s">
        <v>7722</v>
      </c>
      <c r="L239" s="7">
        <v>5</v>
      </c>
      <c r="M239" s="7">
        <v>5</v>
      </c>
      <c r="N239" s="7">
        <v>5</v>
      </c>
      <c r="O239" s="7">
        <v>4</v>
      </c>
      <c r="P239" s="7">
        <v>3</v>
      </c>
      <c r="Q239" s="7">
        <v>1</v>
      </c>
      <c r="R239" s="7" t="s">
        <v>3987</v>
      </c>
      <c r="S239" s="7" t="s">
        <v>4250</v>
      </c>
      <c r="T239" s="7" t="s">
        <v>3995</v>
      </c>
      <c r="U239" s="7" t="s">
        <v>3996</v>
      </c>
      <c r="V239" s="7" t="s">
        <v>7737</v>
      </c>
    </row>
    <row r="240" spans="1:22" ht="71.25">
      <c r="A240" s="7" t="s">
        <v>4258</v>
      </c>
      <c r="B240" s="7" t="s">
        <v>81</v>
      </c>
      <c r="C240" s="7" t="s">
        <v>1370</v>
      </c>
      <c r="D240" s="7" t="s">
        <v>4259</v>
      </c>
      <c r="E240" s="7" t="s">
        <v>7738</v>
      </c>
      <c r="F240" s="7" t="s">
        <v>7739</v>
      </c>
      <c r="G240" s="7" t="s">
        <v>7740</v>
      </c>
      <c r="H240" s="7" t="s">
        <v>7741</v>
      </c>
      <c r="I240" s="7" t="s">
        <v>7742</v>
      </c>
      <c r="J240" s="7" t="s">
        <v>7743</v>
      </c>
      <c r="K240" s="7" t="s">
        <v>7722</v>
      </c>
      <c r="L240" s="7">
        <v>5</v>
      </c>
      <c r="M240" s="7">
        <v>5</v>
      </c>
      <c r="N240" s="7">
        <v>5</v>
      </c>
      <c r="O240" s="7">
        <v>4</v>
      </c>
      <c r="P240" s="7">
        <v>3</v>
      </c>
      <c r="Q240" s="7">
        <v>1</v>
      </c>
      <c r="R240" s="7" t="s">
        <v>3987</v>
      </c>
      <c r="S240" s="7" t="s">
        <v>4260</v>
      </c>
      <c r="T240" s="7" t="s">
        <v>3995</v>
      </c>
      <c r="U240" s="7" t="s">
        <v>3996</v>
      </c>
      <c r="V240" s="7" t="s">
        <v>7744</v>
      </c>
    </row>
    <row r="241" spans="1:22" ht="85.5">
      <c r="A241" s="7" t="s">
        <v>4270</v>
      </c>
      <c r="B241" s="7" t="s">
        <v>84</v>
      </c>
      <c r="C241" s="7" t="s">
        <v>1378</v>
      </c>
      <c r="D241" s="7" t="s">
        <v>4271</v>
      </c>
      <c r="E241" s="7" t="s">
        <v>7745</v>
      </c>
      <c r="F241" s="7" t="s">
        <v>7746</v>
      </c>
      <c r="G241" s="7" t="s">
        <v>7747</v>
      </c>
      <c r="H241" s="7" t="s">
        <v>7748</v>
      </c>
      <c r="I241" s="7" t="s">
        <v>7749</v>
      </c>
      <c r="J241" s="7" t="s">
        <v>7750</v>
      </c>
      <c r="K241" s="7" t="s">
        <v>7751</v>
      </c>
      <c r="L241" s="7">
        <v>5</v>
      </c>
      <c r="M241" s="7">
        <v>5</v>
      </c>
      <c r="N241" s="7">
        <v>4</v>
      </c>
      <c r="O241" s="7">
        <v>3</v>
      </c>
      <c r="P241" s="7">
        <v>2</v>
      </c>
      <c r="Q241" s="7">
        <v>1</v>
      </c>
      <c r="R241" s="7" t="s">
        <v>4273</v>
      </c>
      <c r="S241" s="7" t="s">
        <v>4274</v>
      </c>
      <c r="T241" s="7" t="s">
        <v>4281</v>
      </c>
      <c r="U241" s="7" t="s">
        <v>4282</v>
      </c>
      <c r="V241" s="7" t="s">
        <v>7752</v>
      </c>
    </row>
    <row r="242" spans="1:22" ht="85.5">
      <c r="A242" s="7" t="s">
        <v>4284</v>
      </c>
      <c r="B242" s="7" t="s">
        <v>84</v>
      </c>
      <c r="C242" s="7" t="s">
        <v>1378</v>
      </c>
      <c r="D242" s="7" t="s">
        <v>4285</v>
      </c>
      <c r="E242" s="7" t="s">
        <v>7753</v>
      </c>
      <c r="F242" s="7" t="s">
        <v>7754</v>
      </c>
      <c r="G242" s="7" t="s">
        <v>7755</v>
      </c>
      <c r="H242" s="7" t="s">
        <v>7756</v>
      </c>
      <c r="I242" s="7" t="s">
        <v>7757</v>
      </c>
      <c r="J242" s="7" t="s">
        <v>7758</v>
      </c>
      <c r="K242" s="7" t="s">
        <v>7751</v>
      </c>
      <c r="L242" s="7">
        <v>5</v>
      </c>
      <c r="M242" s="7">
        <v>5</v>
      </c>
      <c r="N242" s="7">
        <v>4</v>
      </c>
      <c r="O242" s="7">
        <v>3</v>
      </c>
      <c r="P242" s="7">
        <v>2</v>
      </c>
      <c r="Q242" s="7">
        <v>1</v>
      </c>
      <c r="R242" s="7" t="s">
        <v>4273</v>
      </c>
      <c r="S242" s="7" t="s">
        <v>4286</v>
      </c>
      <c r="T242" s="7" t="s">
        <v>4281</v>
      </c>
      <c r="U242" s="7" t="s">
        <v>4282</v>
      </c>
      <c r="V242" s="7" t="s">
        <v>7759</v>
      </c>
    </row>
    <row r="243" spans="1:22" ht="85.5">
      <c r="A243" s="7" t="s">
        <v>4294</v>
      </c>
      <c r="B243" s="7" t="s">
        <v>84</v>
      </c>
      <c r="C243" s="7" t="s">
        <v>1378</v>
      </c>
      <c r="D243" s="7" t="s">
        <v>4295</v>
      </c>
      <c r="E243" s="7" t="s">
        <v>7760</v>
      </c>
      <c r="F243" s="7" t="s">
        <v>7761</v>
      </c>
      <c r="G243" s="7" t="s">
        <v>7762</v>
      </c>
      <c r="H243" s="7" t="s">
        <v>7763</v>
      </c>
      <c r="I243" s="7" t="s">
        <v>7764</v>
      </c>
      <c r="J243" s="7" t="s">
        <v>7765</v>
      </c>
      <c r="K243" s="7" t="s">
        <v>7751</v>
      </c>
      <c r="L243" s="7">
        <v>5</v>
      </c>
      <c r="M243" s="7">
        <v>5</v>
      </c>
      <c r="N243" s="7">
        <v>4</v>
      </c>
      <c r="O243" s="7">
        <v>3</v>
      </c>
      <c r="P243" s="7">
        <v>2</v>
      </c>
      <c r="Q243" s="7">
        <v>1</v>
      </c>
      <c r="R243" s="7" t="s">
        <v>4273</v>
      </c>
      <c r="S243" s="7" t="s">
        <v>4296</v>
      </c>
      <c r="T243" s="7" t="s">
        <v>4281</v>
      </c>
      <c r="U243" s="7" t="s">
        <v>4282</v>
      </c>
      <c r="V243" s="7" t="s">
        <v>7766</v>
      </c>
    </row>
    <row r="244" spans="1:22" ht="71.25">
      <c r="A244" s="7" t="s">
        <v>4304</v>
      </c>
      <c r="B244" s="7" t="s">
        <v>84</v>
      </c>
      <c r="C244" s="7" t="s">
        <v>1378</v>
      </c>
      <c r="D244" s="7" t="s">
        <v>4305</v>
      </c>
      <c r="E244" s="7" t="s">
        <v>7767</v>
      </c>
      <c r="F244" s="7" t="s">
        <v>7768</v>
      </c>
      <c r="G244" s="7" t="s">
        <v>7769</v>
      </c>
      <c r="H244" s="7" t="s">
        <v>7770</v>
      </c>
      <c r="I244" s="7" t="s">
        <v>7771</v>
      </c>
      <c r="J244" s="7" t="s">
        <v>7772</v>
      </c>
      <c r="K244" s="7" t="s">
        <v>7751</v>
      </c>
      <c r="L244" s="7">
        <v>5</v>
      </c>
      <c r="M244" s="7">
        <v>5</v>
      </c>
      <c r="N244" s="7">
        <v>4</v>
      </c>
      <c r="O244" s="7">
        <v>3</v>
      </c>
      <c r="P244" s="7">
        <v>2</v>
      </c>
      <c r="Q244" s="7">
        <v>1</v>
      </c>
      <c r="R244" s="7" t="s">
        <v>4273</v>
      </c>
      <c r="S244" s="7" t="s">
        <v>4306</v>
      </c>
      <c r="T244" s="7" t="s">
        <v>4281</v>
      </c>
      <c r="U244" s="7" t="s">
        <v>4282</v>
      </c>
      <c r="V244" s="7" t="s">
        <v>7773</v>
      </c>
    </row>
    <row r="245" spans="1:22" ht="71.25">
      <c r="A245" s="7" t="s">
        <v>4314</v>
      </c>
      <c r="B245" s="7" t="s">
        <v>84</v>
      </c>
      <c r="C245" s="7" t="s">
        <v>1378</v>
      </c>
      <c r="D245" s="7" t="s">
        <v>4315</v>
      </c>
      <c r="E245" s="7" t="s">
        <v>7774</v>
      </c>
      <c r="F245" s="7" t="s">
        <v>7775</v>
      </c>
      <c r="G245" s="7" t="s">
        <v>7776</v>
      </c>
      <c r="H245" s="7" t="s">
        <v>7777</v>
      </c>
      <c r="I245" s="7" t="s">
        <v>7778</v>
      </c>
      <c r="J245" s="7" t="s">
        <v>7779</v>
      </c>
      <c r="K245" s="7" t="s">
        <v>7751</v>
      </c>
      <c r="L245" s="7">
        <v>5</v>
      </c>
      <c r="M245" s="7">
        <v>5</v>
      </c>
      <c r="N245" s="7">
        <v>4</v>
      </c>
      <c r="O245" s="7">
        <v>3</v>
      </c>
      <c r="P245" s="7">
        <v>2</v>
      </c>
      <c r="Q245" s="7">
        <v>1</v>
      </c>
      <c r="R245" s="7" t="s">
        <v>4273</v>
      </c>
      <c r="S245" s="7" t="s">
        <v>4316</v>
      </c>
      <c r="T245" s="7" t="s">
        <v>4281</v>
      </c>
      <c r="U245" s="7" t="s">
        <v>4282</v>
      </c>
      <c r="V245" s="7" t="s">
        <v>7780</v>
      </c>
    </row>
    <row r="246" spans="1:22" ht="71.25">
      <c r="A246" s="7" t="s">
        <v>4324</v>
      </c>
      <c r="B246" s="7" t="s">
        <v>84</v>
      </c>
      <c r="C246" s="7" t="s">
        <v>1391</v>
      </c>
      <c r="D246" s="7" t="s">
        <v>4325</v>
      </c>
      <c r="E246" s="7" t="s">
        <v>7781</v>
      </c>
      <c r="F246" s="7" t="s">
        <v>7782</v>
      </c>
      <c r="G246" s="7" t="s">
        <v>7783</v>
      </c>
      <c r="H246" s="7" t="s">
        <v>7784</v>
      </c>
      <c r="I246" s="7" t="s">
        <v>7785</v>
      </c>
      <c r="J246" s="7" t="s">
        <v>7786</v>
      </c>
      <c r="K246" s="7" t="s">
        <v>7787</v>
      </c>
      <c r="L246" s="7">
        <v>5</v>
      </c>
      <c r="M246" s="7">
        <v>5</v>
      </c>
      <c r="N246" s="7">
        <v>4</v>
      </c>
      <c r="O246" s="7">
        <v>3</v>
      </c>
      <c r="P246" s="7">
        <v>2</v>
      </c>
      <c r="Q246" s="7">
        <v>1</v>
      </c>
      <c r="R246" s="7" t="s">
        <v>4273</v>
      </c>
      <c r="S246" s="7" t="s">
        <v>4326</v>
      </c>
      <c r="T246" s="7" t="s">
        <v>4281</v>
      </c>
      <c r="U246" s="7" t="s">
        <v>4282</v>
      </c>
      <c r="V246" s="7" t="s">
        <v>7788</v>
      </c>
    </row>
    <row r="247" spans="1:22" ht="71.25">
      <c r="A247" s="7" t="s">
        <v>4334</v>
      </c>
      <c r="B247" s="7" t="s">
        <v>84</v>
      </c>
      <c r="C247" s="7" t="s">
        <v>1391</v>
      </c>
      <c r="D247" s="7" t="s">
        <v>4335</v>
      </c>
      <c r="E247" s="7" t="s">
        <v>7789</v>
      </c>
      <c r="F247" s="7" t="s">
        <v>7790</v>
      </c>
      <c r="G247" s="7" t="s">
        <v>7791</v>
      </c>
      <c r="H247" s="7" t="s">
        <v>7792</v>
      </c>
      <c r="I247" s="7" t="s">
        <v>7793</v>
      </c>
      <c r="J247" s="7" t="s">
        <v>7794</v>
      </c>
      <c r="K247" s="7" t="s">
        <v>7787</v>
      </c>
      <c r="L247" s="7">
        <v>5</v>
      </c>
      <c r="M247" s="7">
        <v>5</v>
      </c>
      <c r="N247" s="7">
        <v>4</v>
      </c>
      <c r="O247" s="7">
        <v>3</v>
      </c>
      <c r="P247" s="7">
        <v>2</v>
      </c>
      <c r="Q247" s="7">
        <v>1</v>
      </c>
      <c r="R247" s="7" t="s">
        <v>4273</v>
      </c>
      <c r="S247" s="7" t="s">
        <v>4336</v>
      </c>
      <c r="T247" s="7" t="s">
        <v>4281</v>
      </c>
      <c r="U247" s="7" t="s">
        <v>4282</v>
      </c>
      <c r="V247" s="7" t="s">
        <v>7795</v>
      </c>
    </row>
    <row r="248" spans="1:22" ht="71.25">
      <c r="A248" s="7" t="s">
        <v>4344</v>
      </c>
      <c r="B248" s="7" t="s">
        <v>84</v>
      </c>
      <c r="C248" s="7" t="s">
        <v>1391</v>
      </c>
      <c r="D248" s="7" t="s">
        <v>4345</v>
      </c>
      <c r="E248" s="7" t="s">
        <v>7796</v>
      </c>
      <c r="F248" s="7" t="s">
        <v>7797</v>
      </c>
      <c r="G248" s="7" t="s">
        <v>7798</v>
      </c>
      <c r="H248" s="7" t="s">
        <v>7799</v>
      </c>
      <c r="I248" s="7" t="s">
        <v>7800</v>
      </c>
      <c r="J248" s="7" t="s">
        <v>7801</v>
      </c>
      <c r="K248" s="7" t="s">
        <v>7787</v>
      </c>
      <c r="L248" s="7">
        <v>5</v>
      </c>
      <c r="M248" s="7">
        <v>5</v>
      </c>
      <c r="N248" s="7">
        <v>4</v>
      </c>
      <c r="O248" s="7">
        <v>3</v>
      </c>
      <c r="P248" s="7">
        <v>2</v>
      </c>
      <c r="Q248" s="7">
        <v>1</v>
      </c>
      <c r="R248" s="7" t="s">
        <v>4273</v>
      </c>
      <c r="S248" s="7" t="s">
        <v>4346</v>
      </c>
      <c r="T248" s="7" t="s">
        <v>4281</v>
      </c>
      <c r="U248" s="7" t="s">
        <v>4282</v>
      </c>
      <c r="V248" s="7" t="s">
        <v>7802</v>
      </c>
    </row>
    <row r="249" spans="1:22" ht="85.5">
      <c r="A249" s="7" t="s">
        <v>4354</v>
      </c>
      <c r="B249" s="7" t="s">
        <v>84</v>
      </c>
      <c r="C249" s="7" t="s">
        <v>1391</v>
      </c>
      <c r="D249" s="7" t="s">
        <v>4355</v>
      </c>
      <c r="E249" s="7" t="s">
        <v>7803</v>
      </c>
      <c r="F249" s="7" t="s">
        <v>7804</v>
      </c>
      <c r="G249" s="7" t="s">
        <v>7805</v>
      </c>
      <c r="H249" s="7" t="s">
        <v>7806</v>
      </c>
      <c r="I249" s="7" t="s">
        <v>7807</v>
      </c>
      <c r="J249" s="7" t="s">
        <v>7808</v>
      </c>
      <c r="K249" s="7" t="s">
        <v>7787</v>
      </c>
      <c r="L249" s="7">
        <v>5</v>
      </c>
      <c r="M249" s="7">
        <v>5</v>
      </c>
      <c r="N249" s="7">
        <v>4</v>
      </c>
      <c r="O249" s="7">
        <v>3</v>
      </c>
      <c r="P249" s="7">
        <v>2</v>
      </c>
      <c r="Q249" s="7">
        <v>1</v>
      </c>
      <c r="R249" s="7" t="s">
        <v>4273</v>
      </c>
      <c r="S249" s="7" t="s">
        <v>4356</v>
      </c>
      <c r="T249" s="7" t="s">
        <v>4281</v>
      </c>
      <c r="U249" s="7" t="s">
        <v>4282</v>
      </c>
      <c r="V249" s="7" t="s">
        <v>7809</v>
      </c>
    </row>
    <row r="250" spans="1:22" ht="85.5">
      <c r="A250" s="7" t="s">
        <v>4364</v>
      </c>
      <c r="B250" s="7" t="s">
        <v>84</v>
      </c>
      <c r="C250" s="7" t="s">
        <v>1391</v>
      </c>
      <c r="D250" s="7" t="s">
        <v>4365</v>
      </c>
      <c r="E250" s="7" t="s">
        <v>7810</v>
      </c>
      <c r="F250" s="7" t="s">
        <v>7811</v>
      </c>
      <c r="G250" s="7" t="s">
        <v>7812</v>
      </c>
      <c r="H250" s="7" t="s">
        <v>7813</v>
      </c>
      <c r="I250" s="7" t="s">
        <v>7814</v>
      </c>
      <c r="J250" s="7" t="s">
        <v>7815</v>
      </c>
      <c r="K250" s="7" t="s">
        <v>7787</v>
      </c>
      <c r="L250" s="7">
        <v>5</v>
      </c>
      <c r="M250" s="7">
        <v>5</v>
      </c>
      <c r="N250" s="7">
        <v>4</v>
      </c>
      <c r="O250" s="7">
        <v>3</v>
      </c>
      <c r="P250" s="7">
        <v>2</v>
      </c>
      <c r="Q250" s="7">
        <v>1</v>
      </c>
      <c r="R250" s="7" t="s">
        <v>4273</v>
      </c>
      <c r="S250" s="7" t="s">
        <v>4366</v>
      </c>
      <c r="T250" s="7" t="s">
        <v>4281</v>
      </c>
      <c r="U250" s="7" t="s">
        <v>4282</v>
      </c>
      <c r="V250" s="7" t="s">
        <v>7816</v>
      </c>
    </row>
    <row r="251" spans="1:22" ht="85.5">
      <c r="A251" s="7" t="s">
        <v>4374</v>
      </c>
      <c r="B251" s="7" t="s">
        <v>84</v>
      </c>
      <c r="C251" s="7" t="s">
        <v>1399</v>
      </c>
      <c r="D251" s="7" t="s">
        <v>4375</v>
      </c>
      <c r="E251" s="7" t="s">
        <v>7817</v>
      </c>
      <c r="F251" s="7" t="s">
        <v>7818</v>
      </c>
      <c r="G251" s="7" t="s">
        <v>7819</v>
      </c>
      <c r="H251" s="7" t="s">
        <v>7820</v>
      </c>
      <c r="I251" s="7" t="s">
        <v>7821</v>
      </c>
      <c r="J251" s="7" t="s">
        <v>7822</v>
      </c>
      <c r="K251" s="7" t="s">
        <v>7823</v>
      </c>
      <c r="L251" s="7">
        <v>5</v>
      </c>
      <c r="M251" s="7">
        <v>5</v>
      </c>
      <c r="N251" s="7">
        <v>4</v>
      </c>
      <c r="O251" s="7">
        <v>3</v>
      </c>
      <c r="P251" s="7">
        <v>2</v>
      </c>
      <c r="Q251" s="7">
        <v>1</v>
      </c>
      <c r="R251" s="7" t="s">
        <v>4273</v>
      </c>
      <c r="S251" s="7" t="s">
        <v>4376</v>
      </c>
      <c r="T251" s="7" t="s">
        <v>4281</v>
      </c>
      <c r="U251" s="7" t="s">
        <v>4282</v>
      </c>
      <c r="V251" s="7" t="s">
        <v>7824</v>
      </c>
    </row>
    <row r="252" spans="1:22" ht="71.25">
      <c r="A252" s="7" t="s">
        <v>4384</v>
      </c>
      <c r="B252" s="7" t="s">
        <v>84</v>
      </c>
      <c r="C252" s="7" t="s">
        <v>1399</v>
      </c>
      <c r="D252" s="7" t="s">
        <v>4385</v>
      </c>
      <c r="E252" s="7" t="s">
        <v>7825</v>
      </c>
      <c r="F252" s="7" t="s">
        <v>7826</v>
      </c>
      <c r="G252" s="7" t="s">
        <v>7827</v>
      </c>
      <c r="H252" s="7" t="s">
        <v>7828</v>
      </c>
      <c r="I252" s="7" t="s">
        <v>7829</v>
      </c>
      <c r="J252" s="7" t="s">
        <v>7830</v>
      </c>
      <c r="K252" s="7" t="s">
        <v>7823</v>
      </c>
      <c r="L252" s="7">
        <v>5</v>
      </c>
      <c r="M252" s="7">
        <v>5</v>
      </c>
      <c r="N252" s="7">
        <v>4</v>
      </c>
      <c r="O252" s="7">
        <v>3</v>
      </c>
      <c r="P252" s="7">
        <v>2</v>
      </c>
      <c r="Q252" s="7">
        <v>1</v>
      </c>
      <c r="R252" s="7" t="s">
        <v>4273</v>
      </c>
      <c r="S252" s="7" t="s">
        <v>4386</v>
      </c>
      <c r="T252" s="7" t="s">
        <v>4281</v>
      </c>
      <c r="U252" s="7" t="s">
        <v>4282</v>
      </c>
      <c r="V252" s="7" t="s">
        <v>7831</v>
      </c>
    </row>
    <row r="253" spans="1:22" ht="71.25">
      <c r="A253" s="7" t="s">
        <v>4394</v>
      </c>
      <c r="B253" s="7" t="s">
        <v>84</v>
      </c>
      <c r="C253" s="7" t="s">
        <v>1399</v>
      </c>
      <c r="D253" s="7" t="s">
        <v>4395</v>
      </c>
      <c r="E253" s="7" t="s">
        <v>7832</v>
      </c>
      <c r="F253" s="7" t="s">
        <v>7833</v>
      </c>
      <c r="G253" s="7" t="s">
        <v>7834</v>
      </c>
      <c r="H253" s="7" t="s">
        <v>7835</v>
      </c>
      <c r="I253" s="7" t="s">
        <v>7836</v>
      </c>
      <c r="J253" s="7" t="s">
        <v>7837</v>
      </c>
      <c r="K253" s="7" t="s">
        <v>7823</v>
      </c>
      <c r="L253" s="7">
        <v>5</v>
      </c>
      <c r="M253" s="7">
        <v>5</v>
      </c>
      <c r="N253" s="7">
        <v>4</v>
      </c>
      <c r="O253" s="7">
        <v>3</v>
      </c>
      <c r="P253" s="7">
        <v>2</v>
      </c>
      <c r="Q253" s="7">
        <v>1</v>
      </c>
      <c r="R253" s="7" t="s">
        <v>4273</v>
      </c>
      <c r="S253" s="7" t="s">
        <v>4396</v>
      </c>
      <c r="T253" s="7" t="s">
        <v>4281</v>
      </c>
      <c r="U253" s="7" t="s">
        <v>4282</v>
      </c>
      <c r="V253" s="7" t="s">
        <v>7838</v>
      </c>
    </row>
    <row r="254" spans="1:22" ht="85.5">
      <c r="A254" s="7" t="s">
        <v>4404</v>
      </c>
      <c r="B254" s="7" t="s">
        <v>84</v>
      </c>
      <c r="C254" s="7" t="s">
        <v>1399</v>
      </c>
      <c r="D254" s="7" t="s">
        <v>4405</v>
      </c>
      <c r="E254" s="7" t="s">
        <v>7839</v>
      </c>
      <c r="F254" s="7" t="s">
        <v>7840</v>
      </c>
      <c r="G254" s="7" t="s">
        <v>7841</v>
      </c>
      <c r="H254" s="7" t="s">
        <v>7842</v>
      </c>
      <c r="I254" s="7" t="s">
        <v>7843</v>
      </c>
      <c r="J254" s="7" t="s">
        <v>7844</v>
      </c>
      <c r="K254" s="7" t="s">
        <v>7823</v>
      </c>
      <c r="L254" s="7">
        <v>5</v>
      </c>
      <c r="M254" s="7">
        <v>5</v>
      </c>
      <c r="N254" s="7">
        <v>4</v>
      </c>
      <c r="O254" s="7">
        <v>3</v>
      </c>
      <c r="P254" s="7">
        <v>2</v>
      </c>
      <c r="Q254" s="7">
        <v>1</v>
      </c>
      <c r="R254" s="7" t="s">
        <v>4273</v>
      </c>
      <c r="S254" s="7" t="s">
        <v>4406</v>
      </c>
      <c r="T254" s="7" t="s">
        <v>4281</v>
      </c>
      <c r="U254" s="7" t="s">
        <v>4282</v>
      </c>
      <c r="V254" s="7" t="s">
        <v>7845</v>
      </c>
    </row>
    <row r="255" spans="1:22" ht="85.5">
      <c r="A255" s="7" t="s">
        <v>4414</v>
      </c>
      <c r="B255" s="7" t="s">
        <v>84</v>
      </c>
      <c r="C255" s="7" t="s">
        <v>1399</v>
      </c>
      <c r="D255" s="7" t="s">
        <v>4415</v>
      </c>
      <c r="E255" s="7" t="s">
        <v>7846</v>
      </c>
      <c r="F255" s="7" t="s">
        <v>7847</v>
      </c>
      <c r="G255" s="7" t="s">
        <v>7848</v>
      </c>
      <c r="H255" s="7" t="s">
        <v>7849</v>
      </c>
      <c r="I255" s="7" t="s">
        <v>7850</v>
      </c>
      <c r="J255" s="7" t="s">
        <v>7851</v>
      </c>
      <c r="K255" s="7" t="s">
        <v>7823</v>
      </c>
      <c r="L255" s="7">
        <v>5</v>
      </c>
      <c r="M255" s="7">
        <v>5</v>
      </c>
      <c r="N255" s="7">
        <v>4</v>
      </c>
      <c r="O255" s="7">
        <v>3</v>
      </c>
      <c r="P255" s="7">
        <v>2</v>
      </c>
      <c r="Q255" s="7">
        <v>1</v>
      </c>
      <c r="R255" s="7" t="s">
        <v>4273</v>
      </c>
      <c r="S255" s="7" t="s">
        <v>4416</v>
      </c>
      <c r="T255" s="7" t="s">
        <v>4281</v>
      </c>
      <c r="U255" s="7" t="s">
        <v>4282</v>
      </c>
      <c r="V255" s="7" t="s">
        <v>7852</v>
      </c>
    </row>
    <row r="256" spans="1:22" ht="85.5">
      <c r="A256" s="7" t="s">
        <v>4424</v>
      </c>
      <c r="B256" s="7" t="s">
        <v>84</v>
      </c>
      <c r="C256" s="7" t="s">
        <v>1399</v>
      </c>
      <c r="D256" s="7" t="s">
        <v>4425</v>
      </c>
      <c r="E256" s="7" t="s">
        <v>7853</v>
      </c>
      <c r="F256" s="7" t="s">
        <v>7854</v>
      </c>
      <c r="G256" s="7" t="s">
        <v>7855</v>
      </c>
      <c r="H256" s="7" t="s">
        <v>7856</v>
      </c>
      <c r="I256" s="7" t="s">
        <v>7857</v>
      </c>
      <c r="J256" s="7" t="s">
        <v>7858</v>
      </c>
      <c r="K256" s="7" t="s">
        <v>7823</v>
      </c>
      <c r="L256" s="7">
        <v>5</v>
      </c>
      <c r="M256" s="7">
        <v>5</v>
      </c>
      <c r="N256" s="7">
        <v>4</v>
      </c>
      <c r="O256" s="7">
        <v>3</v>
      </c>
      <c r="P256" s="7">
        <v>2</v>
      </c>
      <c r="Q256" s="7">
        <v>1</v>
      </c>
      <c r="R256" s="7" t="s">
        <v>4273</v>
      </c>
      <c r="S256" s="7" t="s">
        <v>4426</v>
      </c>
      <c r="T256" s="7" t="s">
        <v>4281</v>
      </c>
      <c r="U256" s="7" t="s">
        <v>4282</v>
      </c>
      <c r="V256" s="7" t="s">
        <v>7859</v>
      </c>
    </row>
    <row r="257" spans="1:22" ht="85.5">
      <c r="A257" s="7" t="s">
        <v>4434</v>
      </c>
      <c r="B257" s="7" t="s">
        <v>84</v>
      </c>
      <c r="C257" s="7" t="s">
        <v>1407</v>
      </c>
      <c r="D257" s="7" t="s">
        <v>4435</v>
      </c>
      <c r="E257" s="7" t="s">
        <v>7860</v>
      </c>
      <c r="F257" s="7" t="s">
        <v>7861</v>
      </c>
      <c r="G257" s="7" t="s">
        <v>7862</v>
      </c>
      <c r="H257" s="7" t="s">
        <v>7863</v>
      </c>
      <c r="I257" s="7" t="s">
        <v>7864</v>
      </c>
      <c r="J257" s="7" t="s">
        <v>7865</v>
      </c>
      <c r="K257" s="7" t="s">
        <v>7866</v>
      </c>
      <c r="L257" s="7">
        <v>5</v>
      </c>
      <c r="M257" s="7">
        <v>5</v>
      </c>
      <c r="N257" s="7">
        <v>4</v>
      </c>
      <c r="O257" s="7">
        <v>3</v>
      </c>
      <c r="P257" s="7">
        <v>2</v>
      </c>
      <c r="Q257" s="7">
        <v>1</v>
      </c>
      <c r="R257" s="7" t="s">
        <v>4273</v>
      </c>
      <c r="S257" s="7" t="s">
        <v>4436</v>
      </c>
      <c r="T257" s="7" t="s">
        <v>4281</v>
      </c>
      <c r="U257" s="7" t="s">
        <v>4282</v>
      </c>
      <c r="V257" s="7" t="s">
        <v>7867</v>
      </c>
    </row>
    <row r="258" spans="1:22" ht="85.5">
      <c r="A258" s="7" t="s">
        <v>4444</v>
      </c>
      <c r="B258" s="7" t="s">
        <v>84</v>
      </c>
      <c r="C258" s="7" t="s">
        <v>1407</v>
      </c>
      <c r="D258" s="7" t="s">
        <v>4445</v>
      </c>
      <c r="E258" s="7" t="s">
        <v>7868</v>
      </c>
      <c r="F258" s="7" t="s">
        <v>7869</v>
      </c>
      <c r="G258" s="7" t="s">
        <v>7870</v>
      </c>
      <c r="H258" s="7" t="s">
        <v>7871</v>
      </c>
      <c r="I258" s="7" t="s">
        <v>7872</v>
      </c>
      <c r="J258" s="7" t="s">
        <v>7873</v>
      </c>
      <c r="K258" s="7" t="s">
        <v>7866</v>
      </c>
      <c r="L258" s="7">
        <v>5</v>
      </c>
      <c r="M258" s="7">
        <v>5</v>
      </c>
      <c r="N258" s="7">
        <v>4</v>
      </c>
      <c r="O258" s="7">
        <v>3</v>
      </c>
      <c r="P258" s="7">
        <v>2</v>
      </c>
      <c r="Q258" s="7">
        <v>1</v>
      </c>
      <c r="R258" s="7" t="s">
        <v>4273</v>
      </c>
      <c r="S258" s="7" t="s">
        <v>4446</v>
      </c>
      <c r="T258" s="7" t="s">
        <v>4281</v>
      </c>
      <c r="U258" s="7" t="s">
        <v>4282</v>
      </c>
      <c r="V258" s="7" t="s">
        <v>7874</v>
      </c>
    </row>
    <row r="259" spans="1:22" ht="71.25">
      <c r="A259" s="7" t="s">
        <v>4454</v>
      </c>
      <c r="B259" s="7" t="s">
        <v>84</v>
      </c>
      <c r="C259" s="7" t="s">
        <v>1407</v>
      </c>
      <c r="D259" s="7" t="s">
        <v>4455</v>
      </c>
      <c r="E259" s="7" t="s">
        <v>7875</v>
      </c>
      <c r="F259" s="7" t="s">
        <v>7876</v>
      </c>
      <c r="G259" s="7" t="s">
        <v>7877</v>
      </c>
      <c r="H259" s="7" t="s">
        <v>7878</v>
      </c>
      <c r="I259" s="7" t="s">
        <v>7879</v>
      </c>
      <c r="J259" s="7" t="s">
        <v>7880</v>
      </c>
      <c r="K259" s="7" t="s">
        <v>7866</v>
      </c>
      <c r="L259" s="7">
        <v>5</v>
      </c>
      <c r="M259" s="7">
        <v>5</v>
      </c>
      <c r="N259" s="7">
        <v>4</v>
      </c>
      <c r="O259" s="7">
        <v>3</v>
      </c>
      <c r="P259" s="7">
        <v>2</v>
      </c>
      <c r="Q259" s="7">
        <v>1</v>
      </c>
      <c r="R259" s="7" t="s">
        <v>4273</v>
      </c>
      <c r="S259" s="7" t="s">
        <v>4456</v>
      </c>
      <c r="T259" s="7" t="s">
        <v>4281</v>
      </c>
      <c r="U259" s="7" t="s">
        <v>4282</v>
      </c>
      <c r="V259" s="7" t="s">
        <v>7881</v>
      </c>
    </row>
    <row r="260" spans="1:22" ht="85.5">
      <c r="A260" s="7" t="s">
        <v>4464</v>
      </c>
      <c r="B260" s="7" t="s">
        <v>84</v>
      </c>
      <c r="C260" s="7" t="s">
        <v>1407</v>
      </c>
      <c r="D260" s="7" t="s">
        <v>4465</v>
      </c>
      <c r="E260" s="7" t="s">
        <v>7882</v>
      </c>
      <c r="F260" s="7" t="s">
        <v>7883</v>
      </c>
      <c r="G260" s="7" t="s">
        <v>7884</v>
      </c>
      <c r="H260" s="7" t="s">
        <v>7885</v>
      </c>
      <c r="I260" s="7" t="s">
        <v>7886</v>
      </c>
      <c r="J260" s="7" t="s">
        <v>7887</v>
      </c>
      <c r="K260" s="7" t="s">
        <v>7866</v>
      </c>
      <c r="L260" s="7">
        <v>5</v>
      </c>
      <c r="M260" s="7">
        <v>5</v>
      </c>
      <c r="N260" s="7">
        <v>4</v>
      </c>
      <c r="O260" s="7">
        <v>3</v>
      </c>
      <c r="P260" s="7">
        <v>2</v>
      </c>
      <c r="Q260" s="7">
        <v>1</v>
      </c>
      <c r="R260" s="7" t="s">
        <v>4273</v>
      </c>
      <c r="S260" s="7" t="s">
        <v>4466</v>
      </c>
      <c r="T260" s="7" t="s">
        <v>4281</v>
      </c>
      <c r="U260" s="7" t="s">
        <v>4282</v>
      </c>
      <c r="V260" s="7" t="s">
        <v>7888</v>
      </c>
    </row>
    <row r="261" spans="1:22" ht="85.5">
      <c r="A261" s="7" t="s">
        <v>4474</v>
      </c>
      <c r="B261" s="7" t="s">
        <v>84</v>
      </c>
      <c r="C261" s="7" t="s">
        <v>1407</v>
      </c>
      <c r="D261" s="7" t="s">
        <v>4475</v>
      </c>
      <c r="E261" s="7" t="s">
        <v>7889</v>
      </c>
      <c r="F261" s="7" t="s">
        <v>7890</v>
      </c>
      <c r="G261" s="7" t="s">
        <v>7891</v>
      </c>
      <c r="H261" s="7" t="s">
        <v>7892</v>
      </c>
      <c r="I261" s="7" t="s">
        <v>7893</v>
      </c>
      <c r="J261" s="7" t="s">
        <v>7894</v>
      </c>
      <c r="K261" s="7" t="s">
        <v>7866</v>
      </c>
      <c r="L261" s="7">
        <v>5</v>
      </c>
      <c r="M261" s="7">
        <v>5</v>
      </c>
      <c r="N261" s="7">
        <v>4</v>
      </c>
      <c r="O261" s="7">
        <v>3</v>
      </c>
      <c r="P261" s="7">
        <v>2</v>
      </c>
      <c r="Q261" s="7">
        <v>1</v>
      </c>
      <c r="R261" s="7" t="s">
        <v>4273</v>
      </c>
      <c r="S261" s="7" t="s">
        <v>4476</v>
      </c>
      <c r="T261" s="7" t="s">
        <v>4281</v>
      </c>
      <c r="U261" s="7" t="s">
        <v>4282</v>
      </c>
      <c r="V261" s="7" t="s">
        <v>7895</v>
      </c>
    </row>
    <row r="262" spans="1:22" ht="71.25">
      <c r="A262" s="7" t="s">
        <v>4486</v>
      </c>
      <c r="B262" s="7" t="s">
        <v>87</v>
      </c>
      <c r="C262" s="7" t="s">
        <v>1415</v>
      </c>
      <c r="D262" s="7" t="s">
        <v>4487</v>
      </c>
      <c r="E262" s="7" t="s">
        <v>7896</v>
      </c>
      <c r="F262" s="7" t="s">
        <v>7897</v>
      </c>
      <c r="G262" s="7" t="s">
        <v>7898</v>
      </c>
      <c r="H262" s="7" t="s">
        <v>7899</v>
      </c>
      <c r="I262" s="7" t="s">
        <v>7900</v>
      </c>
      <c r="J262" s="7" t="s">
        <v>7901</v>
      </c>
      <c r="K262" s="7" t="s">
        <v>7902</v>
      </c>
      <c r="L262" s="7">
        <v>3</v>
      </c>
      <c r="M262" s="7">
        <v>3</v>
      </c>
      <c r="N262" s="7">
        <v>2</v>
      </c>
      <c r="O262" s="7">
        <v>2</v>
      </c>
      <c r="P262" s="7">
        <v>1</v>
      </c>
      <c r="Q262" s="7">
        <v>1</v>
      </c>
      <c r="R262" s="7" t="s">
        <v>4489</v>
      </c>
      <c r="S262" s="7" t="s">
        <v>4490</v>
      </c>
      <c r="T262" s="7" t="s">
        <v>4497</v>
      </c>
      <c r="U262" s="7" t="s">
        <v>4498</v>
      </c>
      <c r="V262" s="7" t="s">
        <v>7903</v>
      </c>
    </row>
    <row r="263" spans="1:22" ht="85.5">
      <c r="A263" s="7" t="s">
        <v>4500</v>
      </c>
      <c r="B263" s="7" t="s">
        <v>87</v>
      </c>
      <c r="C263" s="7" t="s">
        <v>1415</v>
      </c>
      <c r="D263" s="7" t="s">
        <v>4501</v>
      </c>
      <c r="E263" s="7" t="s">
        <v>7904</v>
      </c>
      <c r="F263" s="7" t="s">
        <v>7905</v>
      </c>
      <c r="G263" s="7" t="s">
        <v>7906</v>
      </c>
      <c r="H263" s="7" t="s">
        <v>7907</v>
      </c>
      <c r="I263" s="7" t="s">
        <v>7908</v>
      </c>
      <c r="J263" s="7" t="s">
        <v>7909</v>
      </c>
      <c r="K263" s="7" t="s">
        <v>7902</v>
      </c>
      <c r="L263" s="7">
        <v>3</v>
      </c>
      <c r="M263" s="7">
        <v>3</v>
      </c>
      <c r="N263" s="7">
        <v>2</v>
      </c>
      <c r="O263" s="7">
        <v>2</v>
      </c>
      <c r="P263" s="7">
        <v>1</v>
      </c>
      <c r="Q263" s="7">
        <v>1</v>
      </c>
      <c r="R263" s="7" t="s">
        <v>4489</v>
      </c>
      <c r="S263" s="7" t="s">
        <v>4502</v>
      </c>
      <c r="T263" s="7" t="s">
        <v>4497</v>
      </c>
      <c r="U263" s="7" t="s">
        <v>4498</v>
      </c>
      <c r="V263" s="7" t="s">
        <v>7910</v>
      </c>
    </row>
    <row r="264" spans="1:22" ht="85.5">
      <c r="A264" s="7" t="s">
        <v>4510</v>
      </c>
      <c r="B264" s="7" t="s">
        <v>87</v>
      </c>
      <c r="C264" s="7" t="s">
        <v>1415</v>
      </c>
      <c r="D264" s="7" t="s">
        <v>4511</v>
      </c>
      <c r="E264" s="7" t="s">
        <v>7911</v>
      </c>
      <c r="F264" s="7" t="s">
        <v>7912</v>
      </c>
      <c r="G264" s="7" t="s">
        <v>7913</v>
      </c>
      <c r="H264" s="7" t="s">
        <v>7914</v>
      </c>
      <c r="I264" s="7" t="s">
        <v>7915</v>
      </c>
      <c r="J264" s="7" t="s">
        <v>7916</v>
      </c>
      <c r="K264" s="7" t="s">
        <v>7902</v>
      </c>
      <c r="L264" s="7">
        <v>4</v>
      </c>
      <c r="M264" s="7">
        <v>4</v>
      </c>
      <c r="N264" s="7">
        <v>3</v>
      </c>
      <c r="O264" s="7">
        <v>2</v>
      </c>
      <c r="P264" s="7">
        <v>1</v>
      </c>
      <c r="Q264" s="7">
        <v>1</v>
      </c>
      <c r="R264" s="7" t="s">
        <v>4489</v>
      </c>
      <c r="S264" s="7" t="s">
        <v>4512</v>
      </c>
      <c r="T264" s="7" t="s">
        <v>4497</v>
      </c>
      <c r="U264" s="7" t="s">
        <v>4498</v>
      </c>
      <c r="V264" s="7" t="s">
        <v>7917</v>
      </c>
    </row>
    <row r="265" spans="1:22" ht="85.5">
      <c r="A265" s="7" t="s">
        <v>4520</v>
      </c>
      <c r="B265" s="7" t="s">
        <v>87</v>
      </c>
      <c r="C265" s="7" t="s">
        <v>1415</v>
      </c>
      <c r="D265" s="7" t="s">
        <v>4521</v>
      </c>
      <c r="E265" s="7" t="s">
        <v>7918</v>
      </c>
      <c r="F265" s="7" t="s">
        <v>7919</v>
      </c>
      <c r="G265" s="7" t="s">
        <v>7920</v>
      </c>
      <c r="H265" s="7" t="s">
        <v>7921</v>
      </c>
      <c r="I265" s="7" t="s">
        <v>7922</v>
      </c>
      <c r="J265" s="7" t="s">
        <v>7923</v>
      </c>
      <c r="K265" s="7" t="s">
        <v>7902</v>
      </c>
      <c r="L265" s="7">
        <v>3</v>
      </c>
      <c r="M265" s="7">
        <v>3</v>
      </c>
      <c r="N265" s="7">
        <v>2</v>
      </c>
      <c r="O265" s="7">
        <v>2</v>
      </c>
      <c r="P265" s="7">
        <v>1</v>
      </c>
      <c r="Q265" s="7">
        <v>1</v>
      </c>
      <c r="R265" s="7" t="s">
        <v>4489</v>
      </c>
      <c r="S265" s="7" t="s">
        <v>4522</v>
      </c>
      <c r="T265" s="7" t="s">
        <v>4497</v>
      </c>
      <c r="U265" s="7" t="s">
        <v>4498</v>
      </c>
      <c r="V265" s="7" t="s">
        <v>7924</v>
      </c>
    </row>
    <row r="266" spans="1:22" ht="71.25">
      <c r="A266" s="7" t="s">
        <v>4530</v>
      </c>
      <c r="B266" s="7" t="s">
        <v>87</v>
      </c>
      <c r="C266" s="7" t="s">
        <v>1415</v>
      </c>
      <c r="D266" s="7" t="s">
        <v>4531</v>
      </c>
      <c r="E266" s="7" t="s">
        <v>7925</v>
      </c>
      <c r="F266" s="7" t="s">
        <v>7926</v>
      </c>
      <c r="G266" s="7" t="s">
        <v>7927</v>
      </c>
      <c r="H266" s="7" t="s">
        <v>7928</v>
      </c>
      <c r="I266" s="7" t="s">
        <v>7929</v>
      </c>
      <c r="J266" s="7" t="s">
        <v>7930</v>
      </c>
      <c r="K266" s="7" t="s">
        <v>7902</v>
      </c>
      <c r="L266" s="7">
        <v>3</v>
      </c>
      <c r="M266" s="7">
        <v>3</v>
      </c>
      <c r="N266" s="7">
        <v>2</v>
      </c>
      <c r="O266" s="7">
        <v>2</v>
      </c>
      <c r="P266" s="7">
        <v>1</v>
      </c>
      <c r="Q266" s="7">
        <v>1</v>
      </c>
      <c r="R266" s="7" t="s">
        <v>4489</v>
      </c>
      <c r="S266" s="7" t="s">
        <v>4532</v>
      </c>
      <c r="T266" s="7" t="s">
        <v>4497</v>
      </c>
      <c r="U266" s="7" t="s">
        <v>4498</v>
      </c>
      <c r="V266" s="7" t="s">
        <v>7931</v>
      </c>
    </row>
    <row r="267" spans="1:22" ht="85.5">
      <c r="A267" s="7" t="s">
        <v>4540</v>
      </c>
      <c r="B267" s="7" t="s">
        <v>87</v>
      </c>
      <c r="C267" s="7" t="s">
        <v>1425</v>
      </c>
      <c r="D267" s="7" t="s">
        <v>4541</v>
      </c>
      <c r="E267" s="7" t="s">
        <v>7932</v>
      </c>
      <c r="F267" s="7" t="s">
        <v>7933</v>
      </c>
      <c r="G267" s="7" t="s">
        <v>7934</v>
      </c>
      <c r="H267" s="7" t="s">
        <v>7935</v>
      </c>
      <c r="I267" s="7" t="s">
        <v>7936</v>
      </c>
      <c r="J267" s="7" t="s">
        <v>7937</v>
      </c>
      <c r="K267" s="7" t="s">
        <v>7938</v>
      </c>
      <c r="L267" s="7">
        <v>3</v>
      </c>
      <c r="M267" s="7">
        <v>3</v>
      </c>
      <c r="N267" s="7">
        <v>2</v>
      </c>
      <c r="O267" s="7">
        <v>2</v>
      </c>
      <c r="P267" s="7">
        <v>1</v>
      </c>
      <c r="Q267" s="7">
        <v>1</v>
      </c>
      <c r="R267" s="7" t="s">
        <v>4489</v>
      </c>
      <c r="S267" s="7" t="s">
        <v>4542</v>
      </c>
      <c r="T267" s="7" t="s">
        <v>4497</v>
      </c>
      <c r="U267" s="7" t="s">
        <v>4498</v>
      </c>
      <c r="V267" s="7" t="s">
        <v>7939</v>
      </c>
    </row>
    <row r="268" spans="1:22" ht="71.25">
      <c r="A268" s="7" t="s">
        <v>4550</v>
      </c>
      <c r="B268" s="7" t="s">
        <v>87</v>
      </c>
      <c r="C268" s="7" t="s">
        <v>1425</v>
      </c>
      <c r="D268" s="7" t="s">
        <v>4551</v>
      </c>
      <c r="E268" s="7" t="s">
        <v>7940</v>
      </c>
      <c r="F268" s="7" t="s">
        <v>7941</v>
      </c>
      <c r="G268" s="7" t="s">
        <v>7942</v>
      </c>
      <c r="H268" s="7" t="s">
        <v>7943</v>
      </c>
      <c r="I268" s="7" t="s">
        <v>7944</v>
      </c>
      <c r="J268" s="7" t="s">
        <v>7945</v>
      </c>
      <c r="K268" s="7" t="s">
        <v>7938</v>
      </c>
      <c r="L268" s="7">
        <v>4</v>
      </c>
      <c r="M268" s="7">
        <v>4</v>
      </c>
      <c r="N268" s="7">
        <v>3</v>
      </c>
      <c r="O268" s="7">
        <v>2</v>
      </c>
      <c r="P268" s="7">
        <v>1</v>
      </c>
      <c r="Q268" s="7">
        <v>1</v>
      </c>
      <c r="R268" s="7" t="s">
        <v>4489</v>
      </c>
      <c r="S268" s="7" t="s">
        <v>4552</v>
      </c>
      <c r="T268" s="7" t="s">
        <v>4497</v>
      </c>
      <c r="U268" s="7" t="s">
        <v>4498</v>
      </c>
      <c r="V268" s="7" t="s">
        <v>7946</v>
      </c>
    </row>
    <row r="269" spans="1:22" ht="71.25">
      <c r="A269" s="7" t="s">
        <v>4560</v>
      </c>
      <c r="B269" s="7" t="s">
        <v>87</v>
      </c>
      <c r="C269" s="7" t="s">
        <v>1425</v>
      </c>
      <c r="D269" s="7" t="s">
        <v>4561</v>
      </c>
      <c r="E269" s="7" t="s">
        <v>7947</v>
      </c>
      <c r="F269" s="7" t="s">
        <v>7948</v>
      </c>
      <c r="G269" s="7" t="s">
        <v>7949</v>
      </c>
      <c r="H269" s="7" t="s">
        <v>7950</v>
      </c>
      <c r="I269" s="7" t="s">
        <v>7951</v>
      </c>
      <c r="J269" s="7" t="s">
        <v>7952</v>
      </c>
      <c r="K269" s="7" t="s">
        <v>7938</v>
      </c>
      <c r="L269" s="7">
        <v>3</v>
      </c>
      <c r="M269" s="7">
        <v>3</v>
      </c>
      <c r="N269" s="7">
        <v>2</v>
      </c>
      <c r="O269" s="7">
        <v>2</v>
      </c>
      <c r="P269" s="7">
        <v>1</v>
      </c>
      <c r="Q269" s="7">
        <v>1</v>
      </c>
      <c r="R269" s="7" t="s">
        <v>4489</v>
      </c>
      <c r="S269" s="7" t="s">
        <v>4562</v>
      </c>
      <c r="T269" s="7" t="s">
        <v>4497</v>
      </c>
      <c r="U269" s="7" t="s">
        <v>4498</v>
      </c>
      <c r="V269" s="7" t="s">
        <v>7953</v>
      </c>
    </row>
    <row r="270" spans="1:22" ht="71.25">
      <c r="A270" s="7" t="s">
        <v>4570</v>
      </c>
      <c r="B270" s="7" t="s">
        <v>87</v>
      </c>
      <c r="C270" s="7" t="s">
        <v>1425</v>
      </c>
      <c r="D270" s="7" t="s">
        <v>4571</v>
      </c>
      <c r="E270" s="7" t="s">
        <v>7954</v>
      </c>
      <c r="F270" s="7" t="s">
        <v>7955</v>
      </c>
      <c r="G270" s="7" t="s">
        <v>7956</v>
      </c>
      <c r="H270" s="7" t="s">
        <v>7957</v>
      </c>
      <c r="I270" s="7" t="s">
        <v>7958</v>
      </c>
      <c r="J270" s="7" t="s">
        <v>7959</v>
      </c>
      <c r="K270" s="7" t="s">
        <v>7938</v>
      </c>
      <c r="L270" s="7">
        <v>3</v>
      </c>
      <c r="M270" s="7">
        <v>3</v>
      </c>
      <c r="N270" s="7">
        <v>2</v>
      </c>
      <c r="O270" s="7">
        <v>2</v>
      </c>
      <c r="P270" s="7">
        <v>1</v>
      </c>
      <c r="Q270" s="7">
        <v>1</v>
      </c>
      <c r="R270" s="7" t="s">
        <v>4489</v>
      </c>
      <c r="S270" s="7" t="s">
        <v>4572</v>
      </c>
      <c r="T270" s="7" t="s">
        <v>4497</v>
      </c>
      <c r="U270" s="7" t="s">
        <v>4498</v>
      </c>
      <c r="V270" s="7" t="s">
        <v>7960</v>
      </c>
    </row>
    <row r="271" spans="1:22" ht="99.75">
      <c r="A271" s="7" t="s">
        <v>4580</v>
      </c>
      <c r="B271" s="7" t="s">
        <v>87</v>
      </c>
      <c r="C271" s="7" t="s">
        <v>1425</v>
      </c>
      <c r="D271" s="7" t="s">
        <v>4581</v>
      </c>
      <c r="E271" s="7" t="s">
        <v>7961</v>
      </c>
      <c r="F271" s="7" t="s">
        <v>7962</v>
      </c>
      <c r="G271" s="7" t="s">
        <v>7963</v>
      </c>
      <c r="H271" s="7" t="s">
        <v>7964</v>
      </c>
      <c r="I271" s="7" t="s">
        <v>7965</v>
      </c>
      <c r="J271" s="7" t="s">
        <v>7966</v>
      </c>
      <c r="K271" s="7" t="s">
        <v>7938</v>
      </c>
      <c r="L271" s="7">
        <v>3</v>
      </c>
      <c r="M271" s="7">
        <v>3</v>
      </c>
      <c r="N271" s="7">
        <v>2</v>
      </c>
      <c r="O271" s="7">
        <v>2</v>
      </c>
      <c r="P271" s="7">
        <v>1</v>
      </c>
      <c r="Q271" s="7">
        <v>1</v>
      </c>
      <c r="R271" s="7" t="s">
        <v>4489</v>
      </c>
      <c r="S271" s="7" t="s">
        <v>4582</v>
      </c>
      <c r="T271" s="7" t="s">
        <v>4497</v>
      </c>
      <c r="U271" s="7" t="s">
        <v>4498</v>
      </c>
      <c r="V271" s="7" t="s">
        <v>7967</v>
      </c>
    </row>
    <row r="272" spans="1:22" ht="85.5">
      <c r="A272" s="7" t="s">
        <v>4590</v>
      </c>
      <c r="B272" s="7" t="s">
        <v>87</v>
      </c>
      <c r="C272" s="7" t="s">
        <v>1425</v>
      </c>
      <c r="D272" s="7" t="s">
        <v>4591</v>
      </c>
      <c r="E272" s="7" t="s">
        <v>7968</v>
      </c>
      <c r="F272" s="7" t="s">
        <v>7969</v>
      </c>
      <c r="G272" s="7" t="s">
        <v>7970</v>
      </c>
      <c r="H272" s="7" t="s">
        <v>7971</v>
      </c>
      <c r="I272" s="7" t="s">
        <v>7972</v>
      </c>
      <c r="J272" s="7" t="s">
        <v>7973</v>
      </c>
      <c r="K272" s="7" t="s">
        <v>7938</v>
      </c>
      <c r="L272" s="7">
        <v>3</v>
      </c>
      <c r="M272" s="7">
        <v>3</v>
      </c>
      <c r="N272" s="7">
        <v>2</v>
      </c>
      <c r="O272" s="7">
        <v>2</v>
      </c>
      <c r="P272" s="7">
        <v>1</v>
      </c>
      <c r="Q272" s="7">
        <v>1</v>
      </c>
      <c r="R272" s="7" t="s">
        <v>4489</v>
      </c>
      <c r="S272" s="7" t="s">
        <v>4592</v>
      </c>
      <c r="T272" s="7" t="s">
        <v>4497</v>
      </c>
      <c r="U272" s="7" t="s">
        <v>4498</v>
      </c>
      <c r="V272" s="7" t="s">
        <v>7974</v>
      </c>
    </row>
    <row r="273" spans="1:22" ht="85.5">
      <c r="A273" s="7" t="s">
        <v>4600</v>
      </c>
      <c r="B273" s="7" t="s">
        <v>87</v>
      </c>
      <c r="C273" s="7" t="s">
        <v>1433</v>
      </c>
      <c r="D273" s="7" t="s">
        <v>4601</v>
      </c>
      <c r="E273" s="7" t="s">
        <v>7975</v>
      </c>
      <c r="F273" s="7" t="s">
        <v>7976</v>
      </c>
      <c r="G273" s="7" t="s">
        <v>7977</v>
      </c>
      <c r="H273" s="7" t="s">
        <v>7978</v>
      </c>
      <c r="I273" s="7" t="s">
        <v>7979</v>
      </c>
      <c r="J273" s="7" t="s">
        <v>7980</v>
      </c>
      <c r="K273" s="7" t="s">
        <v>7981</v>
      </c>
      <c r="L273" s="7">
        <v>4</v>
      </c>
      <c r="M273" s="7">
        <v>4</v>
      </c>
      <c r="N273" s="7">
        <v>3</v>
      </c>
      <c r="O273" s="7">
        <v>2</v>
      </c>
      <c r="P273" s="7">
        <v>1</v>
      </c>
      <c r="Q273" s="7">
        <v>1</v>
      </c>
      <c r="R273" s="7" t="s">
        <v>4489</v>
      </c>
      <c r="S273" s="7" t="s">
        <v>4602</v>
      </c>
      <c r="T273" s="7" t="s">
        <v>4497</v>
      </c>
      <c r="U273" s="7" t="s">
        <v>4498</v>
      </c>
      <c r="V273" s="7" t="s">
        <v>7982</v>
      </c>
    </row>
    <row r="274" spans="1:22" ht="85.5">
      <c r="A274" s="7" t="s">
        <v>4610</v>
      </c>
      <c r="B274" s="7" t="s">
        <v>87</v>
      </c>
      <c r="C274" s="7" t="s">
        <v>1433</v>
      </c>
      <c r="D274" s="7" t="s">
        <v>4611</v>
      </c>
      <c r="E274" s="7" t="s">
        <v>7983</v>
      </c>
      <c r="F274" s="7" t="s">
        <v>7984</v>
      </c>
      <c r="G274" s="7" t="s">
        <v>7985</v>
      </c>
      <c r="H274" s="7" t="s">
        <v>7986</v>
      </c>
      <c r="I274" s="7" t="s">
        <v>7987</v>
      </c>
      <c r="J274" s="7" t="s">
        <v>7988</v>
      </c>
      <c r="K274" s="7" t="s">
        <v>7981</v>
      </c>
      <c r="L274" s="7">
        <v>3</v>
      </c>
      <c r="M274" s="7">
        <v>3</v>
      </c>
      <c r="N274" s="7">
        <v>2</v>
      </c>
      <c r="O274" s="7">
        <v>2</v>
      </c>
      <c r="P274" s="7">
        <v>1</v>
      </c>
      <c r="Q274" s="7">
        <v>1</v>
      </c>
      <c r="R274" s="7" t="s">
        <v>4489</v>
      </c>
      <c r="S274" s="7" t="s">
        <v>4612</v>
      </c>
      <c r="T274" s="7" t="s">
        <v>4497</v>
      </c>
      <c r="U274" s="7" t="s">
        <v>4498</v>
      </c>
      <c r="V274" s="7" t="s">
        <v>7989</v>
      </c>
    </row>
    <row r="275" spans="1:22" ht="85.5">
      <c r="A275" s="7" t="s">
        <v>4620</v>
      </c>
      <c r="B275" s="7" t="s">
        <v>87</v>
      </c>
      <c r="C275" s="7" t="s">
        <v>1433</v>
      </c>
      <c r="D275" s="7" t="s">
        <v>4621</v>
      </c>
      <c r="E275" s="7" t="s">
        <v>7990</v>
      </c>
      <c r="F275" s="7" t="s">
        <v>7991</v>
      </c>
      <c r="G275" s="7" t="s">
        <v>7992</v>
      </c>
      <c r="H275" s="7" t="s">
        <v>7993</v>
      </c>
      <c r="I275" s="7" t="s">
        <v>7994</v>
      </c>
      <c r="J275" s="7" t="s">
        <v>7995</v>
      </c>
      <c r="K275" s="7" t="s">
        <v>7981</v>
      </c>
      <c r="L275" s="7">
        <v>3</v>
      </c>
      <c r="M275" s="7">
        <v>3</v>
      </c>
      <c r="N275" s="7">
        <v>2</v>
      </c>
      <c r="O275" s="7">
        <v>2</v>
      </c>
      <c r="P275" s="7">
        <v>1</v>
      </c>
      <c r="Q275" s="7">
        <v>1</v>
      </c>
      <c r="R275" s="7" t="s">
        <v>4489</v>
      </c>
      <c r="S275" s="7" t="s">
        <v>4622</v>
      </c>
      <c r="T275" s="7" t="s">
        <v>4497</v>
      </c>
      <c r="U275" s="7" t="s">
        <v>4498</v>
      </c>
      <c r="V275" s="7" t="s">
        <v>7996</v>
      </c>
    </row>
    <row r="276" spans="1:22" ht="85.5">
      <c r="A276" s="7" t="s">
        <v>4630</v>
      </c>
      <c r="B276" s="7" t="s">
        <v>87</v>
      </c>
      <c r="C276" s="7" t="s">
        <v>1433</v>
      </c>
      <c r="D276" s="7" t="s">
        <v>4631</v>
      </c>
      <c r="E276" s="7" t="s">
        <v>7997</v>
      </c>
      <c r="F276" s="7" t="s">
        <v>7998</v>
      </c>
      <c r="G276" s="7" t="s">
        <v>7999</v>
      </c>
      <c r="H276" s="7" t="s">
        <v>8000</v>
      </c>
      <c r="I276" s="7" t="s">
        <v>8001</v>
      </c>
      <c r="J276" s="7" t="s">
        <v>8002</v>
      </c>
      <c r="K276" s="7" t="s">
        <v>7981</v>
      </c>
      <c r="L276" s="7">
        <v>3</v>
      </c>
      <c r="M276" s="7">
        <v>3</v>
      </c>
      <c r="N276" s="7">
        <v>2</v>
      </c>
      <c r="O276" s="7">
        <v>2</v>
      </c>
      <c r="P276" s="7">
        <v>1</v>
      </c>
      <c r="Q276" s="7">
        <v>1</v>
      </c>
      <c r="R276" s="7" t="s">
        <v>4489</v>
      </c>
      <c r="S276" s="7" t="s">
        <v>4632</v>
      </c>
      <c r="T276" s="7" t="s">
        <v>4497</v>
      </c>
      <c r="U276" s="7" t="s">
        <v>4498</v>
      </c>
      <c r="V276" s="7" t="s">
        <v>8003</v>
      </c>
    </row>
    <row r="277" spans="1:22" ht="85.5">
      <c r="A277" s="7" t="s">
        <v>4640</v>
      </c>
      <c r="B277" s="7" t="s">
        <v>87</v>
      </c>
      <c r="C277" s="7" t="s">
        <v>1433</v>
      </c>
      <c r="D277" s="7" t="s">
        <v>4641</v>
      </c>
      <c r="E277" s="7" t="s">
        <v>8004</v>
      </c>
      <c r="F277" s="7" t="s">
        <v>8005</v>
      </c>
      <c r="G277" s="7" t="s">
        <v>8006</v>
      </c>
      <c r="H277" s="7" t="s">
        <v>8007</v>
      </c>
      <c r="I277" s="7" t="s">
        <v>8008</v>
      </c>
      <c r="J277" s="7" t="s">
        <v>8009</v>
      </c>
      <c r="K277" s="7" t="s">
        <v>7981</v>
      </c>
      <c r="L277" s="7">
        <v>4</v>
      </c>
      <c r="M277" s="7">
        <v>4</v>
      </c>
      <c r="N277" s="7">
        <v>3</v>
      </c>
      <c r="O277" s="7">
        <v>2</v>
      </c>
      <c r="P277" s="7">
        <v>1</v>
      </c>
      <c r="Q277" s="7">
        <v>1</v>
      </c>
      <c r="R277" s="7" t="s">
        <v>4489</v>
      </c>
      <c r="S277" s="7" t="s">
        <v>4642</v>
      </c>
      <c r="T277" s="7" t="s">
        <v>4497</v>
      </c>
      <c r="U277" s="7" t="s">
        <v>4498</v>
      </c>
      <c r="V277" s="7" t="s">
        <v>8010</v>
      </c>
    </row>
    <row r="278" spans="1:22" ht="85.5">
      <c r="A278" s="7" t="s">
        <v>4650</v>
      </c>
      <c r="B278" s="7" t="s">
        <v>87</v>
      </c>
      <c r="C278" s="7" t="s">
        <v>1433</v>
      </c>
      <c r="D278" s="7" t="s">
        <v>4651</v>
      </c>
      <c r="E278" s="7" t="s">
        <v>8011</v>
      </c>
      <c r="F278" s="7" t="s">
        <v>8012</v>
      </c>
      <c r="G278" s="7" t="s">
        <v>8013</v>
      </c>
      <c r="H278" s="7" t="s">
        <v>8014</v>
      </c>
      <c r="I278" s="7" t="s">
        <v>8015</v>
      </c>
      <c r="J278" s="7" t="s">
        <v>8016</v>
      </c>
      <c r="K278" s="7" t="s">
        <v>7981</v>
      </c>
      <c r="L278" s="7">
        <v>3</v>
      </c>
      <c r="M278" s="7">
        <v>3</v>
      </c>
      <c r="N278" s="7">
        <v>2</v>
      </c>
      <c r="O278" s="7">
        <v>2</v>
      </c>
      <c r="P278" s="7">
        <v>1</v>
      </c>
      <c r="Q278" s="7">
        <v>1</v>
      </c>
      <c r="R278" s="7" t="s">
        <v>4489</v>
      </c>
      <c r="S278" s="7" t="s">
        <v>4652</v>
      </c>
      <c r="T278" s="7" t="s">
        <v>4497</v>
      </c>
      <c r="U278" s="7" t="s">
        <v>4498</v>
      </c>
      <c r="V278" s="7" t="s">
        <v>8017</v>
      </c>
    </row>
    <row r="279" spans="1:22" ht="85.5">
      <c r="A279" s="7" t="s">
        <v>4662</v>
      </c>
      <c r="B279" s="7" t="s">
        <v>90</v>
      </c>
      <c r="C279" s="7" t="s">
        <v>1441</v>
      </c>
      <c r="D279" s="7" t="s">
        <v>4663</v>
      </c>
      <c r="E279" s="7" t="s">
        <v>8018</v>
      </c>
      <c r="F279" s="7" t="s">
        <v>8019</v>
      </c>
      <c r="G279" s="7" t="s">
        <v>8020</v>
      </c>
      <c r="H279" s="7" t="s">
        <v>8021</v>
      </c>
      <c r="I279" s="7" t="s">
        <v>8022</v>
      </c>
      <c r="J279" s="7" t="s">
        <v>8023</v>
      </c>
      <c r="K279" s="7" t="s">
        <v>8024</v>
      </c>
      <c r="L279" s="7">
        <v>5</v>
      </c>
      <c r="M279" s="7">
        <v>5</v>
      </c>
      <c r="N279" s="7">
        <v>4</v>
      </c>
      <c r="O279" s="7">
        <v>3</v>
      </c>
      <c r="P279" s="7">
        <v>2</v>
      </c>
      <c r="Q279" s="7">
        <v>1</v>
      </c>
      <c r="R279" s="7" t="s">
        <v>4665</v>
      </c>
      <c r="S279" s="7" t="s">
        <v>4666</v>
      </c>
      <c r="T279" s="7" t="s">
        <v>4673</v>
      </c>
      <c r="U279" s="7" t="s">
        <v>4674</v>
      </c>
      <c r="V279" s="7" t="s">
        <v>8025</v>
      </c>
    </row>
    <row r="280" spans="1:22" ht="85.5">
      <c r="A280" s="7" t="s">
        <v>4676</v>
      </c>
      <c r="B280" s="7" t="s">
        <v>90</v>
      </c>
      <c r="C280" s="7" t="s">
        <v>1441</v>
      </c>
      <c r="D280" s="7" t="s">
        <v>4677</v>
      </c>
      <c r="E280" s="7" t="s">
        <v>8026</v>
      </c>
      <c r="F280" s="7" t="s">
        <v>8027</v>
      </c>
      <c r="G280" s="7" t="s">
        <v>8028</v>
      </c>
      <c r="H280" s="7" t="s">
        <v>8029</v>
      </c>
      <c r="I280" s="7" t="s">
        <v>8030</v>
      </c>
      <c r="J280" s="7" t="s">
        <v>8031</v>
      </c>
      <c r="K280" s="7" t="s">
        <v>8024</v>
      </c>
      <c r="L280" s="7">
        <v>5</v>
      </c>
      <c r="M280" s="7">
        <v>5</v>
      </c>
      <c r="N280" s="7">
        <v>4</v>
      </c>
      <c r="O280" s="7">
        <v>3</v>
      </c>
      <c r="P280" s="7">
        <v>2</v>
      </c>
      <c r="Q280" s="7">
        <v>1</v>
      </c>
      <c r="R280" s="7" t="s">
        <v>4665</v>
      </c>
      <c r="S280" s="7" t="s">
        <v>4678</v>
      </c>
      <c r="T280" s="7" t="s">
        <v>4673</v>
      </c>
      <c r="U280" s="7" t="s">
        <v>4674</v>
      </c>
      <c r="V280" s="7" t="s">
        <v>8032</v>
      </c>
    </row>
    <row r="281" spans="1:22" ht="71.25">
      <c r="A281" s="7" t="s">
        <v>4686</v>
      </c>
      <c r="B281" s="7" t="s">
        <v>90</v>
      </c>
      <c r="C281" s="7" t="s">
        <v>1441</v>
      </c>
      <c r="D281" s="7" t="s">
        <v>4687</v>
      </c>
      <c r="E281" s="7" t="s">
        <v>8033</v>
      </c>
      <c r="F281" s="7" t="s">
        <v>8034</v>
      </c>
      <c r="G281" s="7" t="s">
        <v>8035</v>
      </c>
      <c r="H281" s="7" t="s">
        <v>8036</v>
      </c>
      <c r="I281" s="7" t="s">
        <v>8037</v>
      </c>
      <c r="J281" s="7" t="s">
        <v>8038</v>
      </c>
      <c r="K281" s="7" t="s">
        <v>8024</v>
      </c>
      <c r="L281" s="7">
        <v>5</v>
      </c>
      <c r="M281" s="7">
        <v>5</v>
      </c>
      <c r="N281" s="7">
        <v>4</v>
      </c>
      <c r="O281" s="7">
        <v>3</v>
      </c>
      <c r="P281" s="7">
        <v>2</v>
      </c>
      <c r="Q281" s="7">
        <v>1</v>
      </c>
      <c r="R281" s="7" t="s">
        <v>4665</v>
      </c>
      <c r="S281" s="7" t="s">
        <v>4688</v>
      </c>
      <c r="T281" s="7" t="s">
        <v>4673</v>
      </c>
      <c r="U281" s="7" t="s">
        <v>4674</v>
      </c>
      <c r="V281" s="7" t="s">
        <v>8039</v>
      </c>
    </row>
    <row r="282" spans="1:22" ht="85.5">
      <c r="A282" s="7" t="s">
        <v>4696</v>
      </c>
      <c r="B282" s="7" t="s">
        <v>90</v>
      </c>
      <c r="C282" s="7" t="s">
        <v>1441</v>
      </c>
      <c r="D282" s="7" t="s">
        <v>4697</v>
      </c>
      <c r="E282" s="7" t="s">
        <v>8040</v>
      </c>
      <c r="F282" s="7" t="s">
        <v>8041</v>
      </c>
      <c r="G282" s="7" t="s">
        <v>8042</v>
      </c>
      <c r="H282" s="7" t="s">
        <v>8043</v>
      </c>
      <c r="I282" s="7" t="s">
        <v>8044</v>
      </c>
      <c r="J282" s="7" t="s">
        <v>8045</v>
      </c>
      <c r="K282" s="7" t="s">
        <v>8024</v>
      </c>
      <c r="L282" s="7">
        <v>5</v>
      </c>
      <c r="M282" s="7">
        <v>5</v>
      </c>
      <c r="N282" s="7">
        <v>4</v>
      </c>
      <c r="O282" s="7">
        <v>3</v>
      </c>
      <c r="P282" s="7">
        <v>2</v>
      </c>
      <c r="Q282" s="7">
        <v>1</v>
      </c>
      <c r="R282" s="7" t="s">
        <v>4665</v>
      </c>
      <c r="S282" s="7" t="s">
        <v>4698</v>
      </c>
      <c r="T282" s="7" t="s">
        <v>4673</v>
      </c>
      <c r="U282" s="7" t="s">
        <v>4674</v>
      </c>
      <c r="V282" s="7" t="s">
        <v>8046</v>
      </c>
    </row>
    <row r="283" spans="1:22" ht="85.5">
      <c r="A283" s="7" t="s">
        <v>4706</v>
      </c>
      <c r="B283" s="7" t="s">
        <v>90</v>
      </c>
      <c r="C283" s="7" t="s">
        <v>1441</v>
      </c>
      <c r="D283" s="7" t="s">
        <v>4707</v>
      </c>
      <c r="E283" s="7" t="s">
        <v>8047</v>
      </c>
      <c r="F283" s="7" t="s">
        <v>8048</v>
      </c>
      <c r="G283" s="7" t="s">
        <v>8049</v>
      </c>
      <c r="H283" s="7" t="s">
        <v>8050</v>
      </c>
      <c r="I283" s="7" t="s">
        <v>8051</v>
      </c>
      <c r="J283" s="7" t="s">
        <v>8052</v>
      </c>
      <c r="K283" s="7" t="s">
        <v>8024</v>
      </c>
      <c r="L283" s="7">
        <v>5</v>
      </c>
      <c r="M283" s="7">
        <v>5</v>
      </c>
      <c r="N283" s="7">
        <v>4</v>
      </c>
      <c r="O283" s="7">
        <v>3</v>
      </c>
      <c r="P283" s="7">
        <v>2</v>
      </c>
      <c r="Q283" s="7">
        <v>1</v>
      </c>
      <c r="R283" s="7" t="s">
        <v>4665</v>
      </c>
      <c r="S283" s="7" t="s">
        <v>4708</v>
      </c>
      <c r="T283" s="7" t="s">
        <v>4673</v>
      </c>
      <c r="U283" s="7" t="s">
        <v>4674</v>
      </c>
      <c r="V283" s="7" t="s">
        <v>8053</v>
      </c>
    </row>
    <row r="284" spans="1:22" ht="71.25">
      <c r="A284" s="7" t="s">
        <v>4716</v>
      </c>
      <c r="B284" s="7" t="s">
        <v>90</v>
      </c>
      <c r="C284" s="7" t="s">
        <v>1441</v>
      </c>
      <c r="D284" s="7" t="s">
        <v>4717</v>
      </c>
      <c r="E284" s="7" t="s">
        <v>8054</v>
      </c>
      <c r="F284" s="7" t="s">
        <v>8055</v>
      </c>
      <c r="G284" s="7" t="s">
        <v>8056</v>
      </c>
      <c r="H284" s="7" t="s">
        <v>8057</v>
      </c>
      <c r="I284" s="7" t="s">
        <v>8058</v>
      </c>
      <c r="J284" s="7" t="s">
        <v>8059</v>
      </c>
      <c r="K284" s="7" t="s">
        <v>8024</v>
      </c>
      <c r="L284" s="7">
        <v>5</v>
      </c>
      <c r="M284" s="7">
        <v>5</v>
      </c>
      <c r="N284" s="7">
        <v>4</v>
      </c>
      <c r="O284" s="7">
        <v>3</v>
      </c>
      <c r="P284" s="7">
        <v>2</v>
      </c>
      <c r="Q284" s="7">
        <v>1</v>
      </c>
      <c r="R284" s="7" t="s">
        <v>4665</v>
      </c>
      <c r="S284" s="7" t="s">
        <v>4718</v>
      </c>
      <c r="T284" s="7" t="s">
        <v>4673</v>
      </c>
      <c r="U284" s="7" t="s">
        <v>4674</v>
      </c>
      <c r="V284" s="7" t="s">
        <v>8060</v>
      </c>
    </row>
    <row r="285" spans="1:22" ht="85.5">
      <c r="A285" s="7" t="s">
        <v>4726</v>
      </c>
      <c r="B285" s="7" t="s">
        <v>90</v>
      </c>
      <c r="C285" s="7" t="s">
        <v>1457</v>
      </c>
      <c r="D285" s="7" t="s">
        <v>4727</v>
      </c>
      <c r="E285" s="7" t="s">
        <v>8061</v>
      </c>
      <c r="F285" s="7" t="s">
        <v>8062</v>
      </c>
      <c r="G285" s="7" t="s">
        <v>8063</v>
      </c>
      <c r="H285" s="7" t="s">
        <v>8064</v>
      </c>
      <c r="I285" s="7" t="s">
        <v>8065</v>
      </c>
      <c r="J285" s="7" t="s">
        <v>8066</v>
      </c>
      <c r="K285" s="7" t="s">
        <v>8067</v>
      </c>
      <c r="L285" s="7">
        <v>5</v>
      </c>
      <c r="M285" s="7">
        <v>5</v>
      </c>
      <c r="N285" s="7">
        <v>4</v>
      </c>
      <c r="O285" s="7">
        <v>3</v>
      </c>
      <c r="P285" s="7">
        <v>2</v>
      </c>
      <c r="Q285" s="7">
        <v>1</v>
      </c>
      <c r="R285" s="7" t="s">
        <v>4665</v>
      </c>
      <c r="S285" s="7" t="s">
        <v>4728</v>
      </c>
      <c r="T285" s="7" t="s">
        <v>4673</v>
      </c>
      <c r="U285" s="7" t="s">
        <v>4674</v>
      </c>
      <c r="V285" s="7" t="s">
        <v>8068</v>
      </c>
    </row>
    <row r="286" spans="1:22" ht="71.25">
      <c r="A286" s="7" t="s">
        <v>4736</v>
      </c>
      <c r="B286" s="7" t="s">
        <v>90</v>
      </c>
      <c r="C286" s="7" t="s">
        <v>1457</v>
      </c>
      <c r="D286" s="7" t="s">
        <v>4737</v>
      </c>
      <c r="E286" s="7" t="s">
        <v>8069</v>
      </c>
      <c r="F286" s="7" t="s">
        <v>8070</v>
      </c>
      <c r="G286" s="7" t="s">
        <v>8071</v>
      </c>
      <c r="H286" s="7" t="s">
        <v>8072</v>
      </c>
      <c r="I286" s="7" t="s">
        <v>8073</v>
      </c>
      <c r="J286" s="7" t="s">
        <v>8074</v>
      </c>
      <c r="K286" s="7" t="s">
        <v>8067</v>
      </c>
      <c r="L286" s="7">
        <v>5</v>
      </c>
      <c r="M286" s="7">
        <v>5</v>
      </c>
      <c r="N286" s="7">
        <v>4</v>
      </c>
      <c r="O286" s="7">
        <v>3</v>
      </c>
      <c r="P286" s="7">
        <v>2</v>
      </c>
      <c r="Q286" s="7">
        <v>1</v>
      </c>
      <c r="R286" s="7" t="s">
        <v>4665</v>
      </c>
      <c r="S286" s="7" t="s">
        <v>4738</v>
      </c>
      <c r="T286" s="7" t="s">
        <v>4673</v>
      </c>
      <c r="U286" s="7" t="s">
        <v>4674</v>
      </c>
      <c r="V286" s="7" t="s">
        <v>8075</v>
      </c>
    </row>
    <row r="287" spans="1:22" ht="85.5">
      <c r="A287" s="7" t="s">
        <v>4746</v>
      </c>
      <c r="B287" s="7" t="s">
        <v>90</v>
      </c>
      <c r="C287" s="7" t="s">
        <v>1457</v>
      </c>
      <c r="D287" s="7" t="s">
        <v>4747</v>
      </c>
      <c r="E287" s="7" t="s">
        <v>8076</v>
      </c>
      <c r="F287" s="7" t="s">
        <v>8077</v>
      </c>
      <c r="G287" s="7" t="s">
        <v>8078</v>
      </c>
      <c r="H287" s="7" t="s">
        <v>8079</v>
      </c>
      <c r="I287" s="7" t="s">
        <v>8080</v>
      </c>
      <c r="J287" s="7" t="s">
        <v>8081</v>
      </c>
      <c r="K287" s="7" t="s">
        <v>8067</v>
      </c>
      <c r="L287" s="7">
        <v>5</v>
      </c>
      <c r="M287" s="7">
        <v>5</v>
      </c>
      <c r="N287" s="7">
        <v>4</v>
      </c>
      <c r="O287" s="7">
        <v>3</v>
      </c>
      <c r="P287" s="7">
        <v>2</v>
      </c>
      <c r="Q287" s="7">
        <v>1</v>
      </c>
      <c r="R287" s="7" t="s">
        <v>4665</v>
      </c>
      <c r="S287" s="7" t="s">
        <v>4748</v>
      </c>
      <c r="T287" s="7" t="s">
        <v>4673</v>
      </c>
      <c r="U287" s="7" t="s">
        <v>4674</v>
      </c>
      <c r="V287" s="7" t="s">
        <v>8082</v>
      </c>
    </row>
    <row r="288" spans="1:22" ht="71.25">
      <c r="A288" s="7" t="s">
        <v>4756</v>
      </c>
      <c r="B288" s="7" t="s">
        <v>90</v>
      </c>
      <c r="C288" s="7" t="s">
        <v>1457</v>
      </c>
      <c r="D288" s="7" t="s">
        <v>4757</v>
      </c>
      <c r="E288" s="7" t="s">
        <v>8083</v>
      </c>
      <c r="F288" s="7" t="s">
        <v>8084</v>
      </c>
      <c r="G288" s="7" t="s">
        <v>8085</v>
      </c>
      <c r="H288" s="7" t="s">
        <v>8086</v>
      </c>
      <c r="I288" s="7" t="s">
        <v>8087</v>
      </c>
      <c r="J288" s="7" t="s">
        <v>8088</v>
      </c>
      <c r="K288" s="7" t="s">
        <v>8067</v>
      </c>
      <c r="L288" s="7">
        <v>5</v>
      </c>
      <c r="M288" s="7">
        <v>5</v>
      </c>
      <c r="N288" s="7">
        <v>4</v>
      </c>
      <c r="O288" s="7">
        <v>3</v>
      </c>
      <c r="P288" s="7">
        <v>2</v>
      </c>
      <c r="Q288" s="7">
        <v>1</v>
      </c>
      <c r="R288" s="7" t="s">
        <v>4665</v>
      </c>
      <c r="S288" s="7" t="s">
        <v>4758</v>
      </c>
      <c r="T288" s="7" t="s">
        <v>4673</v>
      </c>
      <c r="U288" s="7" t="s">
        <v>4674</v>
      </c>
      <c r="V288" s="7" t="s">
        <v>8089</v>
      </c>
    </row>
    <row r="289" spans="1:22" ht="85.5">
      <c r="A289" s="7" t="s">
        <v>4766</v>
      </c>
      <c r="B289" s="7" t="s">
        <v>90</v>
      </c>
      <c r="C289" s="7" t="s">
        <v>1457</v>
      </c>
      <c r="D289" s="7" t="s">
        <v>4767</v>
      </c>
      <c r="E289" s="7" t="s">
        <v>8090</v>
      </c>
      <c r="F289" s="7" t="s">
        <v>8091</v>
      </c>
      <c r="G289" s="7" t="s">
        <v>8092</v>
      </c>
      <c r="H289" s="7" t="s">
        <v>8093</v>
      </c>
      <c r="I289" s="7" t="s">
        <v>8094</v>
      </c>
      <c r="J289" s="7" t="s">
        <v>8095</v>
      </c>
      <c r="K289" s="7" t="s">
        <v>8067</v>
      </c>
      <c r="L289" s="7">
        <v>5</v>
      </c>
      <c r="M289" s="7">
        <v>5</v>
      </c>
      <c r="N289" s="7">
        <v>4</v>
      </c>
      <c r="O289" s="7">
        <v>3</v>
      </c>
      <c r="P289" s="7">
        <v>2</v>
      </c>
      <c r="Q289" s="7">
        <v>1</v>
      </c>
      <c r="R289" s="7" t="s">
        <v>4665</v>
      </c>
      <c r="S289" s="7" t="s">
        <v>4768</v>
      </c>
      <c r="T289" s="7" t="s">
        <v>4673</v>
      </c>
      <c r="U289" s="7" t="s">
        <v>4674</v>
      </c>
      <c r="V289" s="7" t="s">
        <v>8096</v>
      </c>
    </row>
    <row r="290" spans="1:22" ht="85.5">
      <c r="A290" s="7" t="s">
        <v>4776</v>
      </c>
      <c r="B290" s="7" t="s">
        <v>90</v>
      </c>
      <c r="C290" s="7" t="s">
        <v>1457</v>
      </c>
      <c r="D290" s="7" t="s">
        <v>4777</v>
      </c>
      <c r="E290" s="7" t="s">
        <v>8097</v>
      </c>
      <c r="F290" s="7" t="s">
        <v>8098</v>
      </c>
      <c r="G290" s="7" t="s">
        <v>8099</v>
      </c>
      <c r="H290" s="7" t="s">
        <v>8100</v>
      </c>
      <c r="I290" s="7" t="s">
        <v>8101</v>
      </c>
      <c r="J290" s="7" t="s">
        <v>8102</v>
      </c>
      <c r="K290" s="7" t="s">
        <v>8067</v>
      </c>
      <c r="L290" s="7">
        <v>5</v>
      </c>
      <c r="M290" s="7">
        <v>5</v>
      </c>
      <c r="N290" s="7">
        <v>4</v>
      </c>
      <c r="O290" s="7">
        <v>3</v>
      </c>
      <c r="P290" s="7">
        <v>2</v>
      </c>
      <c r="Q290" s="7">
        <v>1</v>
      </c>
      <c r="R290" s="7" t="s">
        <v>4665</v>
      </c>
      <c r="S290" s="7" t="s">
        <v>4778</v>
      </c>
      <c r="T290" s="7" t="s">
        <v>4673</v>
      </c>
      <c r="U290" s="7" t="s">
        <v>4674</v>
      </c>
      <c r="V290" s="7" t="s">
        <v>8103</v>
      </c>
    </row>
    <row r="291" spans="1:22" ht="85.5">
      <c r="A291" s="7" t="s">
        <v>4786</v>
      </c>
      <c r="B291" s="7" t="s">
        <v>90</v>
      </c>
      <c r="C291" s="7" t="s">
        <v>1465</v>
      </c>
      <c r="D291" s="7" t="s">
        <v>4787</v>
      </c>
      <c r="E291" s="7" t="s">
        <v>8104</v>
      </c>
      <c r="F291" s="7" t="s">
        <v>8105</v>
      </c>
      <c r="G291" s="7" t="s">
        <v>8106</v>
      </c>
      <c r="H291" s="7" t="s">
        <v>8107</v>
      </c>
      <c r="I291" s="7" t="s">
        <v>8108</v>
      </c>
      <c r="J291" s="7" t="s">
        <v>8109</v>
      </c>
      <c r="K291" s="7" t="s">
        <v>8110</v>
      </c>
      <c r="L291" s="7">
        <v>5</v>
      </c>
      <c r="M291" s="7">
        <v>5</v>
      </c>
      <c r="N291" s="7">
        <v>4</v>
      </c>
      <c r="O291" s="7">
        <v>3</v>
      </c>
      <c r="P291" s="7">
        <v>2</v>
      </c>
      <c r="Q291" s="7">
        <v>1</v>
      </c>
      <c r="R291" s="7" t="s">
        <v>4665</v>
      </c>
      <c r="S291" s="7" t="s">
        <v>4788</v>
      </c>
      <c r="T291" s="7" t="s">
        <v>4673</v>
      </c>
      <c r="U291" s="7" t="s">
        <v>4674</v>
      </c>
      <c r="V291" s="7" t="s">
        <v>8111</v>
      </c>
    </row>
    <row r="292" spans="1:22" ht="71.25">
      <c r="A292" s="7" t="s">
        <v>4796</v>
      </c>
      <c r="B292" s="7" t="s">
        <v>90</v>
      </c>
      <c r="C292" s="7" t="s">
        <v>1465</v>
      </c>
      <c r="D292" s="7" t="s">
        <v>4797</v>
      </c>
      <c r="E292" s="7" t="s">
        <v>8112</v>
      </c>
      <c r="F292" s="7" t="s">
        <v>8113</v>
      </c>
      <c r="G292" s="7" t="s">
        <v>8114</v>
      </c>
      <c r="H292" s="7" t="s">
        <v>8115</v>
      </c>
      <c r="I292" s="7" t="s">
        <v>8116</v>
      </c>
      <c r="J292" s="7" t="s">
        <v>8117</v>
      </c>
      <c r="K292" s="7" t="s">
        <v>8110</v>
      </c>
      <c r="L292" s="7">
        <v>5</v>
      </c>
      <c r="M292" s="7">
        <v>5</v>
      </c>
      <c r="N292" s="7">
        <v>4</v>
      </c>
      <c r="O292" s="7">
        <v>3</v>
      </c>
      <c r="P292" s="7">
        <v>2</v>
      </c>
      <c r="Q292" s="7">
        <v>1</v>
      </c>
      <c r="R292" s="7" t="s">
        <v>4665</v>
      </c>
      <c r="S292" s="7" t="s">
        <v>4798</v>
      </c>
      <c r="T292" s="7" t="s">
        <v>4673</v>
      </c>
      <c r="U292" s="7" t="s">
        <v>4674</v>
      </c>
      <c r="V292" s="7" t="s">
        <v>8118</v>
      </c>
    </row>
    <row r="293" spans="1:22" ht="85.5">
      <c r="A293" s="7" t="s">
        <v>4806</v>
      </c>
      <c r="B293" s="7" t="s">
        <v>90</v>
      </c>
      <c r="C293" s="7" t="s">
        <v>1465</v>
      </c>
      <c r="D293" s="7" t="s">
        <v>4807</v>
      </c>
      <c r="E293" s="7" t="s">
        <v>8119</v>
      </c>
      <c r="F293" s="7" t="s">
        <v>8120</v>
      </c>
      <c r="G293" s="7" t="s">
        <v>8121</v>
      </c>
      <c r="H293" s="7" t="s">
        <v>8122</v>
      </c>
      <c r="I293" s="7" t="s">
        <v>8123</v>
      </c>
      <c r="J293" s="7" t="s">
        <v>8124</v>
      </c>
      <c r="K293" s="7" t="s">
        <v>8110</v>
      </c>
      <c r="L293" s="7">
        <v>5</v>
      </c>
      <c r="M293" s="7">
        <v>5</v>
      </c>
      <c r="N293" s="7">
        <v>4</v>
      </c>
      <c r="O293" s="7">
        <v>3</v>
      </c>
      <c r="P293" s="7">
        <v>2</v>
      </c>
      <c r="Q293" s="7">
        <v>1</v>
      </c>
      <c r="R293" s="7" t="s">
        <v>4665</v>
      </c>
      <c r="S293" s="7" t="s">
        <v>4808</v>
      </c>
      <c r="T293" s="7" t="s">
        <v>4673</v>
      </c>
      <c r="U293" s="7" t="s">
        <v>4674</v>
      </c>
      <c r="V293" s="7" t="s">
        <v>8125</v>
      </c>
    </row>
    <row r="294" spans="1:22" ht="85.5">
      <c r="A294" s="7" t="s">
        <v>4816</v>
      </c>
      <c r="B294" s="7" t="s">
        <v>90</v>
      </c>
      <c r="C294" s="7" t="s">
        <v>1465</v>
      </c>
      <c r="D294" s="7" t="s">
        <v>4817</v>
      </c>
      <c r="E294" s="7" t="s">
        <v>8126</v>
      </c>
      <c r="F294" s="7" t="s">
        <v>8127</v>
      </c>
      <c r="G294" s="7" t="s">
        <v>8128</v>
      </c>
      <c r="H294" s="7" t="s">
        <v>8129</v>
      </c>
      <c r="I294" s="7" t="s">
        <v>8130</v>
      </c>
      <c r="J294" s="7" t="s">
        <v>8131</v>
      </c>
      <c r="K294" s="7" t="s">
        <v>8110</v>
      </c>
      <c r="L294" s="7">
        <v>5</v>
      </c>
      <c r="M294" s="7">
        <v>5</v>
      </c>
      <c r="N294" s="7">
        <v>4</v>
      </c>
      <c r="O294" s="7">
        <v>3</v>
      </c>
      <c r="P294" s="7">
        <v>2</v>
      </c>
      <c r="Q294" s="7">
        <v>1</v>
      </c>
      <c r="R294" s="7" t="s">
        <v>4665</v>
      </c>
      <c r="S294" s="7" t="s">
        <v>4818</v>
      </c>
      <c r="T294" s="7" t="s">
        <v>4673</v>
      </c>
      <c r="U294" s="7" t="s">
        <v>4674</v>
      </c>
      <c r="V294" s="7" t="s">
        <v>8132</v>
      </c>
    </row>
    <row r="295" spans="1:22" ht="71.25">
      <c r="A295" s="7" t="s">
        <v>4826</v>
      </c>
      <c r="B295" s="7" t="s">
        <v>90</v>
      </c>
      <c r="C295" s="7" t="s">
        <v>1465</v>
      </c>
      <c r="D295" s="7" t="s">
        <v>4827</v>
      </c>
      <c r="E295" s="7" t="s">
        <v>8133</v>
      </c>
      <c r="F295" s="7" t="s">
        <v>8134</v>
      </c>
      <c r="G295" s="7" t="s">
        <v>8135</v>
      </c>
      <c r="H295" s="7" t="s">
        <v>8136</v>
      </c>
      <c r="I295" s="7" t="s">
        <v>8137</v>
      </c>
      <c r="J295" s="7" t="s">
        <v>8138</v>
      </c>
      <c r="K295" s="7" t="s">
        <v>8110</v>
      </c>
      <c r="L295" s="7">
        <v>5</v>
      </c>
      <c r="M295" s="7">
        <v>5</v>
      </c>
      <c r="N295" s="7">
        <v>4</v>
      </c>
      <c r="O295" s="7">
        <v>3</v>
      </c>
      <c r="P295" s="7">
        <v>2</v>
      </c>
      <c r="Q295" s="7">
        <v>1</v>
      </c>
      <c r="R295" s="7" t="s">
        <v>4665</v>
      </c>
      <c r="S295" s="7" t="s">
        <v>4828</v>
      </c>
      <c r="T295" s="7" t="s">
        <v>4673</v>
      </c>
      <c r="U295" s="7" t="s">
        <v>4674</v>
      </c>
      <c r="V295" s="7" t="s">
        <v>8139</v>
      </c>
    </row>
    <row r="296" spans="1:22" ht="71.25">
      <c r="A296" s="7" t="s">
        <v>4836</v>
      </c>
      <c r="B296" s="7" t="s">
        <v>90</v>
      </c>
      <c r="C296" s="7" t="s">
        <v>1465</v>
      </c>
      <c r="D296" s="7" t="s">
        <v>4837</v>
      </c>
      <c r="E296" s="7" t="s">
        <v>8140</v>
      </c>
      <c r="F296" s="7" t="s">
        <v>8141</v>
      </c>
      <c r="G296" s="7" t="s">
        <v>8142</v>
      </c>
      <c r="H296" s="7" t="s">
        <v>8143</v>
      </c>
      <c r="I296" s="7" t="s">
        <v>8144</v>
      </c>
      <c r="J296" s="7" t="s">
        <v>8145</v>
      </c>
      <c r="K296" s="7" t="s">
        <v>8110</v>
      </c>
      <c r="L296" s="7">
        <v>5</v>
      </c>
      <c r="M296" s="7">
        <v>5</v>
      </c>
      <c r="N296" s="7">
        <v>4</v>
      </c>
      <c r="O296" s="7">
        <v>3</v>
      </c>
      <c r="P296" s="7">
        <v>2</v>
      </c>
      <c r="Q296" s="7">
        <v>1</v>
      </c>
      <c r="R296" s="7" t="s">
        <v>4665</v>
      </c>
      <c r="S296" s="7" t="s">
        <v>4838</v>
      </c>
      <c r="T296" s="7" t="s">
        <v>4673</v>
      </c>
      <c r="U296" s="7" t="s">
        <v>4674</v>
      </c>
      <c r="V296" s="7" t="s">
        <v>8146</v>
      </c>
    </row>
    <row r="297" spans="1:22" ht="71.25">
      <c r="A297" s="7" t="s">
        <v>4846</v>
      </c>
      <c r="B297" s="7" t="s">
        <v>90</v>
      </c>
      <c r="C297" s="7" t="s">
        <v>1473</v>
      </c>
      <c r="D297" s="7" t="s">
        <v>4847</v>
      </c>
      <c r="E297" s="7" t="s">
        <v>8147</v>
      </c>
      <c r="F297" s="7" t="s">
        <v>8148</v>
      </c>
      <c r="G297" s="7" t="s">
        <v>8149</v>
      </c>
      <c r="H297" s="7" t="s">
        <v>8150</v>
      </c>
      <c r="I297" s="7" t="s">
        <v>8151</v>
      </c>
      <c r="J297" s="7" t="s">
        <v>8152</v>
      </c>
      <c r="K297" s="7" t="s">
        <v>8153</v>
      </c>
      <c r="L297" s="7">
        <v>5</v>
      </c>
      <c r="M297" s="7">
        <v>5</v>
      </c>
      <c r="N297" s="7">
        <v>4</v>
      </c>
      <c r="O297" s="7">
        <v>3</v>
      </c>
      <c r="P297" s="7">
        <v>2</v>
      </c>
      <c r="Q297" s="7">
        <v>1</v>
      </c>
      <c r="R297" s="7" t="s">
        <v>4665</v>
      </c>
      <c r="S297" s="7" t="s">
        <v>4848</v>
      </c>
      <c r="T297" s="7" t="s">
        <v>4673</v>
      </c>
      <c r="U297" s="7" t="s">
        <v>4674</v>
      </c>
      <c r="V297" s="7" t="s">
        <v>8154</v>
      </c>
    </row>
    <row r="298" spans="1:22" ht="85.5">
      <c r="A298" s="7" t="s">
        <v>4856</v>
      </c>
      <c r="B298" s="7" t="s">
        <v>90</v>
      </c>
      <c r="C298" s="7" t="s">
        <v>1473</v>
      </c>
      <c r="D298" s="7" t="s">
        <v>4857</v>
      </c>
      <c r="E298" s="7" t="s">
        <v>8155</v>
      </c>
      <c r="F298" s="7" t="s">
        <v>8156</v>
      </c>
      <c r="G298" s="7" t="s">
        <v>8157</v>
      </c>
      <c r="H298" s="7" t="s">
        <v>8158</v>
      </c>
      <c r="I298" s="7" t="s">
        <v>8159</v>
      </c>
      <c r="J298" s="7" t="s">
        <v>8160</v>
      </c>
      <c r="K298" s="7" t="s">
        <v>8153</v>
      </c>
      <c r="L298" s="7">
        <v>5</v>
      </c>
      <c r="M298" s="7">
        <v>5</v>
      </c>
      <c r="N298" s="7">
        <v>4</v>
      </c>
      <c r="O298" s="7">
        <v>3</v>
      </c>
      <c r="P298" s="7">
        <v>2</v>
      </c>
      <c r="Q298" s="7">
        <v>1</v>
      </c>
      <c r="R298" s="7" t="s">
        <v>4665</v>
      </c>
      <c r="S298" s="7" t="s">
        <v>4858</v>
      </c>
      <c r="T298" s="7" t="s">
        <v>4673</v>
      </c>
      <c r="U298" s="7" t="s">
        <v>4674</v>
      </c>
      <c r="V298" s="7" t="s">
        <v>8161</v>
      </c>
    </row>
    <row r="299" spans="1:22" ht="71.25">
      <c r="A299" s="7" t="s">
        <v>4866</v>
      </c>
      <c r="B299" s="7" t="s">
        <v>90</v>
      </c>
      <c r="C299" s="7" t="s">
        <v>1473</v>
      </c>
      <c r="D299" s="7" t="s">
        <v>4867</v>
      </c>
      <c r="E299" s="7" t="s">
        <v>8162</v>
      </c>
      <c r="F299" s="7" t="s">
        <v>8163</v>
      </c>
      <c r="G299" s="7" t="s">
        <v>8164</v>
      </c>
      <c r="H299" s="7" t="s">
        <v>8165</v>
      </c>
      <c r="I299" s="7" t="s">
        <v>8166</v>
      </c>
      <c r="J299" s="7" t="s">
        <v>8167</v>
      </c>
      <c r="K299" s="7" t="s">
        <v>8153</v>
      </c>
      <c r="L299" s="7">
        <v>5</v>
      </c>
      <c r="M299" s="7">
        <v>5</v>
      </c>
      <c r="N299" s="7">
        <v>4</v>
      </c>
      <c r="O299" s="7">
        <v>3</v>
      </c>
      <c r="P299" s="7">
        <v>2</v>
      </c>
      <c r="Q299" s="7">
        <v>1</v>
      </c>
      <c r="R299" s="7" t="s">
        <v>4665</v>
      </c>
      <c r="S299" s="7" t="s">
        <v>4868</v>
      </c>
      <c r="T299" s="7" t="s">
        <v>4673</v>
      </c>
      <c r="U299" s="7" t="s">
        <v>4674</v>
      </c>
      <c r="V299" s="7" t="s">
        <v>8168</v>
      </c>
    </row>
    <row r="300" spans="1:22" ht="71.25">
      <c r="A300" s="7" t="s">
        <v>4876</v>
      </c>
      <c r="B300" s="7" t="s">
        <v>90</v>
      </c>
      <c r="C300" s="7" t="s">
        <v>1473</v>
      </c>
      <c r="D300" s="7" t="s">
        <v>4877</v>
      </c>
      <c r="E300" s="7" t="s">
        <v>8169</v>
      </c>
      <c r="F300" s="7" t="s">
        <v>8170</v>
      </c>
      <c r="G300" s="7" t="s">
        <v>8171</v>
      </c>
      <c r="H300" s="7" t="s">
        <v>8172</v>
      </c>
      <c r="I300" s="7" t="s">
        <v>8173</v>
      </c>
      <c r="J300" s="7" t="s">
        <v>8174</v>
      </c>
      <c r="K300" s="7" t="s">
        <v>8153</v>
      </c>
      <c r="L300" s="7">
        <v>5</v>
      </c>
      <c r="M300" s="7">
        <v>5</v>
      </c>
      <c r="N300" s="7">
        <v>4</v>
      </c>
      <c r="O300" s="7">
        <v>3</v>
      </c>
      <c r="P300" s="7">
        <v>2</v>
      </c>
      <c r="Q300" s="7">
        <v>1</v>
      </c>
      <c r="R300" s="7" t="s">
        <v>4665</v>
      </c>
      <c r="S300" s="7" t="s">
        <v>4878</v>
      </c>
      <c r="T300" s="7" t="s">
        <v>4673</v>
      </c>
      <c r="U300" s="7" t="s">
        <v>4674</v>
      </c>
      <c r="V300" s="7" t="s">
        <v>8175</v>
      </c>
    </row>
    <row r="301" spans="1:22" ht="71.25">
      <c r="A301" s="7" t="s">
        <v>4886</v>
      </c>
      <c r="B301" s="7" t="s">
        <v>90</v>
      </c>
      <c r="C301" s="7" t="s">
        <v>1473</v>
      </c>
      <c r="D301" s="7" t="s">
        <v>4887</v>
      </c>
      <c r="E301" s="7" t="s">
        <v>8176</v>
      </c>
      <c r="F301" s="7" t="s">
        <v>8177</v>
      </c>
      <c r="G301" s="7" t="s">
        <v>8178</v>
      </c>
      <c r="H301" s="7" t="s">
        <v>8179</v>
      </c>
      <c r="I301" s="7" t="s">
        <v>8180</v>
      </c>
      <c r="J301" s="7" t="s">
        <v>8181</v>
      </c>
      <c r="K301" s="7" t="s">
        <v>8153</v>
      </c>
      <c r="L301" s="7">
        <v>5</v>
      </c>
      <c r="M301" s="7">
        <v>5</v>
      </c>
      <c r="N301" s="7">
        <v>4</v>
      </c>
      <c r="O301" s="7">
        <v>3</v>
      </c>
      <c r="P301" s="7">
        <v>2</v>
      </c>
      <c r="Q301" s="7">
        <v>1</v>
      </c>
      <c r="R301" s="7" t="s">
        <v>4665</v>
      </c>
      <c r="S301" s="7" t="s">
        <v>4888</v>
      </c>
      <c r="T301" s="7" t="s">
        <v>4673</v>
      </c>
      <c r="U301" s="7" t="s">
        <v>4674</v>
      </c>
      <c r="V301" s="7" t="s">
        <v>8182</v>
      </c>
    </row>
    <row r="302" spans="1:22" ht="71.25">
      <c r="A302" s="7" t="s">
        <v>4896</v>
      </c>
      <c r="B302" s="7" t="s">
        <v>90</v>
      </c>
      <c r="C302" s="7" t="s">
        <v>1473</v>
      </c>
      <c r="D302" s="7" t="s">
        <v>4897</v>
      </c>
      <c r="E302" s="7" t="s">
        <v>8183</v>
      </c>
      <c r="F302" s="7" t="s">
        <v>8184</v>
      </c>
      <c r="G302" s="7" t="s">
        <v>8185</v>
      </c>
      <c r="H302" s="7" t="s">
        <v>8186</v>
      </c>
      <c r="I302" s="7" t="s">
        <v>8187</v>
      </c>
      <c r="J302" s="7" t="s">
        <v>8188</v>
      </c>
      <c r="K302" s="7" t="s">
        <v>8153</v>
      </c>
      <c r="L302" s="7">
        <v>5</v>
      </c>
      <c r="M302" s="7">
        <v>5</v>
      </c>
      <c r="N302" s="7">
        <v>4</v>
      </c>
      <c r="O302" s="7">
        <v>3</v>
      </c>
      <c r="P302" s="7">
        <v>2</v>
      </c>
      <c r="Q302" s="7">
        <v>1</v>
      </c>
      <c r="R302" s="7" t="s">
        <v>4665</v>
      </c>
      <c r="S302" s="7" t="s">
        <v>4898</v>
      </c>
      <c r="T302" s="7" t="s">
        <v>4673</v>
      </c>
      <c r="U302" s="7" t="s">
        <v>4674</v>
      </c>
      <c r="V302" s="7" t="s">
        <v>8189</v>
      </c>
    </row>
    <row r="303" spans="1:22" ht="85.5">
      <c r="A303" s="7" t="s">
        <v>4906</v>
      </c>
      <c r="B303" s="7" t="s">
        <v>90</v>
      </c>
      <c r="C303" s="7" t="s">
        <v>1481</v>
      </c>
      <c r="D303" s="7" t="s">
        <v>4907</v>
      </c>
      <c r="E303" s="7" t="s">
        <v>8190</v>
      </c>
      <c r="F303" s="7" t="s">
        <v>8191</v>
      </c>
      <c r="G303" s="7" t="s">
        <v>8192</v>
      </c>
      <c r="H303" s="7" t="s">
        <v>8193</v>
      </c>
      <c r="I303" s="7" t="s">
        <v>8194</v>
      </c>
      <c r="J303" s="7" t="s">
        <v>8195</v>
      </c>
      <c r="K303" s="7" t="s">
        <v>8196</v>
      </c>
      <c r="L303" s="7">
        <v>5</v>
      </c>
      <c r="M303" s="7">
        <v>5</v>
      </c>
      <c r="N303" s="7">
        <v>4</v>
      </c>
      <c r="O303" s="7">
        <v>3</v>
      </c>
      <c r="P303" s="7">
        <v>2</v>
      </c>
      <c r="Q303" s="7">
        <v>1</v>
      </c>
      <c r="R303" s="7" t="s">
        <v>4665</v>
      </c>
      <c r="S303" s="7" t="s">
        <v>4908</v>
      </c>
      <c r="T303" s="7" t="s">
        <v>4673</v>
      </c>
      <c r="U303" s="7" t="s">
        <v>4674</v>
      </c>
      <c r="V303" s="7" t="s">
        <v>8197</v>
      </c>
    </row>
    <row r="304" spans="1:22" ht="71.25">
      <c r="A304" s="7" t="s">
        <v>4916</v>
      </c>
      <c r="B304" s="7" t="s">
        <v>90</v>
      </c>
      <c r="C304" s="7" t="s">
        <v>1481</v>
      </c>
      <c r="D304" s="7" t="s">
        <v>4917</v>
      </c>
      <c r="E304" s="7" t="s">
        <v>8198</v>
      </c>
      <c r="F304" s="7" t="s">
        <v>8199</v>
      </c>
      <c r="G304" s="7" t="s">
        <v>8200</v>
      </c>
      <c r="H304" s="7" t="s">
        <v>8201</v>
      </c>
      <c r="I304" s="7" t="s">
        <v>8202</v>
      </c>
      <c r="J304" s="7" t="s">
        <v>8203</v>
      </c>
      <c r="K304" s="7" t="s">
        <v>8196</v>
      </c>
      <c r="L304" s="7">
        <v>5</v>
      </c>
      <c r="M304" s="7">
        <v>5</v>
      </c>
      <c r="N304" s="7">
        <v>4</v>
      </c>
      <c r="O304" s="7">
        <v>3</v>
      </c>
      <c r="P304" s="7">
        <v>2</v>
      </c>
      <c r="Q304" s="7">
        <v>1</v>
      </c>
      <c r="R304" s="7" t="s">
        <v>4665</v>
      </c>
      <c r="S304" s="7" t="s">
        <v>4918</v>
      </c>
      <c r="T304" s="7" t="s">
        <v>4673</v>
      </c>
      <c r="U304" s="7" t="s">
        <v>4674</v>
      </c>
      <c r="V304" s="7" t="s">
        <v>8204</v>
      </c>
    </row>
    <row r="305" spans="1:22" ht="71.25">
      <c r="A305" s="7" t="s">
        <v>4926</v>
      </c>
      <c r="B305" s="7" t="s">
        <v>90</v>
      </c>
      <c r="C305" s="7" t="s">
        <v>1481</v>
      </c>
      <c r="D305" s="7" t="s">
        <v>4927</v>
      </c>
      <c r="E305" s="7" t="s">
        <v>8205</v>
      </c>
      <c r="F305" s="7" t="s">
        <v>8206</v>
      </c>
      <c r="G305" s="7" t="s">
        <v>8207</v>
      </c>
      <c r="H305" s="7" t="s">
        <v>8208</v>
      </c>
      <c r="I305" s="7" t="s">
        <v>8209</v>
      </c>
      <c r="J305" s="7" t="s">
        <v>8210</v>
      </c>
      <c r="K305" s="7" t="s">
        <v>8196</v>
      </c>
      <c r="L305" s="7">
        <v>5</v>
      </c>
      <c r="M305" s="7">
        <v>5</v>
      </c>
      <c r="N305" s="7">
        <v>4</v>
      </c>
      <c r="O305" s="7">
        <v>3</v>
      </c>
      <c r="P305" s="7">
        <v>2</v>
      </c>
      <c r="Q305" s="7">
        <v>1</v>
      </c>
      <c r="R305" s="7" t="s">
        <v>4665</v>
      </c>
      <c r="S305" s="7" t="s">
        <v>4928</v>
      </c>
      <c r="T305" s="7" t="s">
        <v>4673</v>
      </c>
      <c r="U305" s="7" t="s">
        <v>4674</v>
      </c>
      <c r="V305" s="7" t="s">
        <v>8211</v>
      </c>
    </row>
    <row r="306" spans="1:22" ht="71.25">
      <c r="A306" s="7" t="s">
        <v>4936</v>
      </c>
      <c r="B306" s="7" t="s">
        <v>90</v>
      </c>
      <c r="C306" s="7" t="s">
        <v>1481</v>
      </c>
      <c r="D306" s="7" t="s">
        <v>4937</v>
      </c>
      <c r="E306" s="7" t="s">
        <v>8212</v>
      </c>
      <c r="F306" s="7" t="s">
        <v>8213</v>
      </c>
      <c r="G306" s="7" t="s">
        <v>8214</v>
      </c>
      <c r="H306" s="7" t="s">
        <v>8215</v>
      </c>
      <c r="I306" s="7" t="s">
        <v>8216</v>
      </c>
      <c r="J306" s="7" t="s">
        <v>8217</v>
      </c>
      <c r="K306" s="7" t="s">
        <v>8196</v>
      </c>
      <c r="L306" s="7">
        <v>5</v>
      </c>
      <c r="M306" s="7">
        <v>5</v>
      </c>
      <c r="N306" s="7">
        <v>4</v>
      </c>
      <c r="O306" s="7">
        <v>3</v>
      </c>
      <c r="P306" s="7">
        <v>2</v>
      </c>
      <c r="Q306" s="7">
        <v>1</v>
      </c>
      <c r="R306" s="7" t="s">
        <v>4665</v>
      </c>
      <c r="S306" s="7" t="s">
        <v>4938</v>
      </c>
      <c r="T306" s="7" t="s">
        <v>4673</v>
      </c>
      <c r="U306" s="7" t="s">
        <v>4674</v>
      </c>
      <c r="V306" s="7" t="s">
        <v>8218</v>
      </c>
    </row>
    <row r="307" spans="1:22" ht="85.5">
      <c r="A307" s="7" t="s">
        <v>4946</v>
      </c>
      <c r="B307" s="7" t="s">
        <v>90</v>
      </c>
      <c r="C307" s="7" t="s">
        <v>1481</v>
      </c>
      <c r="D307" s="7" t="s">
        <v>4947</v>
      </c>
      <c r="E307" s="7" t="s">
        <v>8219</v>
      </c>
      <c r="F307" s="7" t="s">
        <v>8220</v>
      </c>
      <c r="G307" s="7" t="s">
        <v>8221</v>
      </c>
      <c r="H307" s="7" t="s">
        <v>8222</v>
      </c>
      <c r="I307" s="7" t="s">
        <v>8223</v>
      </c>
      <c r="J307" s="7" t="s">
        <v>8224</v>
      </c>
      <c r="K307" s="7" t="s">
        <v>8196</v>
      </c>
      <c r="L307" s="7">
        <v>5</v>
      </c>
      <c r="M307" s="7">
        <v>5</v>
      </c>
      <c r="N307" s="7">
        <v>4</v>
      </c>
      <c r="O307" s="7">
        <v>3</v>
      </c>
      <c r="P307" s="7">
        <v>2</v>
      </c>
      <c r="Q307" s="7">
        <v>1</v>
      </c>
      <c r="R307" s="7" t="s">
        <v>4665</v>
      </c>
      <c r="S307" s="7" t="s">
        <v>4948</v>
      </c>
      <c r="T307" s="7" t="s">
        <v>4673</v>
      </c>
      <c r="U307" s="7" t="s">
        <v>4674</v>
      </c>
      <c r="V307" s="7" t="s">
        <v>8225</v>
      </c>
    </row>
    <row r="308" spans="1:22" ht="85.5">
      <c r="A308" s="7" t="s">
        <v>4958</v>
      </c>
      <c r="B308" s="7" t="s">
        <v>91</v>
      </c>
      <c r="C308" s="7" t="s">
        <v>1489</v>
      </c>
      <c r="D308" s="7" t="s">
        <v>4959</v>
      </c>
      <c r="E308" s="7" t="s">
        <v>8226</v>
      </c>
      <c r="F308" s="7" t="s">
        <v>8227</v>
      </c>
      <c r="G308" s="7" t="s">
        <v>8228</v>
      </c>
      <c r="H308" s="7" t="s">
        <v>8229</v>
      </c>
      <c r="I308" s="7" t="s">
        <v>8230</v>
      </c>
      <c r="J308" s="7" t="s">
        <v>8231</v>
      </c>
      <c r="K308" s="7" t="s">
        <v>8232</v>
      </c>
      <c r="L308" s="7">
        <v>5</v>
      </c>
      <c r="M308" s="7">
        <v>5</v>
      </c>
      <c r="N308" s="7">
        <v>4</v>
      </c>
      <c r="O308" s="7">
        <v>3</v>
      </c>
      <c r="P308" s="7">
        <v>2</v>
      </c>
      <c r="Q308" s="7">
        <v>1</v>
      </c>
      <c r="R308" s="7" t="s">
        <v>4961</v>
      </c>
      <c r="S308" s="7" t="s">
        <v>4962</v>
      </c>
      <c r="T308" s="7" t="s">
        <v>4969</v>
      </c>
      <c r="U308" s="7" t="s">
        <v>4970</v>
      </c>
      <c r="V308" s="7" t="s">
        <v>8233</v>
      </c>
    </row>
    <row r="309" spans="1:22" ht="85.5">
      <c r="A309" s="7" t="s">
        <v>4972</v>
      </c>
      <c r="B309" s="7" t="s">
        <v>91</v>
      </c>
      <c r="C309" s="7" t="s">
        <v>1489</v>
      </c>
      <c r="D309" s="7" t="s">
        <v>4973</v>
      </c>
      <c r="E309" s="7" t="s">
        <v>8234</v>
      </c>
      <c r="F309" s="7" t="s">
        <v>8235</v>
      </c>
      <c r="G309" s="7" t="s">
        <v>8236</v>
      </c>
      <c r="H309" s="7" t="s">
        <v>8237</v>
      </c>
      <c r="I309" s="7" t="s">
        <v>8238</v>
      </c>
      <c r="J309" s="7" t="s">
        <v>8239</v>
      </c>
      <c r="K309" s="7" t="s">
        <v>8232</v>
      </c>
      <c r="L309" s="7">
        <v>5</v>
      </c>
      <c r="M309" s="7">
        <v>5</v>
      </c>
      <c r="N309" s="7">
        <v>4</v>
      </c>
      <c r="O309" s="7">
        <v>3</v>
      </c>
      <c r="P309" s="7">
        <v>2</v>
      </c>
      <c r="Q309" s="7">
        <v>1</v>
      </c>
      <c r="R309" s="7" t="s">
        <v>4961</v>
      </c>
      <c r="S309" s="7" t="s">
        <v>4974</v>
      </c>
      <c r="T309" s="7" t="s">
        <v>4969</v>
      </c>
      <c r="U309" s="7" t="s">
        <v>4970</v>
      </c>
      <c r="V309" s="7" t="s">
        <v>8240</v>
      </c>
    </row>
    <row r="310" spans="1:22" ht="71.25">
      <c r="A310" s="7" t="s">
        <v>4982</v>
      </c>
      <c r="B310" s="7" t="s">
        <v>91</v>
      </c>
      <c r="C310" s="7" t="s">
        <v>1489</v>
      </c>
      <c r="D310" s="7" t="s">
        <v>4983</v>
      </c>
      <c r="E310" s="7" t="s">
        <v>8241</v>
      </c>
      <c r="F310" s="7" t="s">
        <v>8242</v>
      </c>
      <c r="G310" s="7" t="s">
        <v>8243</v>
      </c>
      <c r="H310" s="7" t="s">
        <v>8244</v>
      </c>
      <c r="I310" s="7" t="s">
        <v>8245</v>
      </c>
      <c r="J310" s="7" t="s">
        <v>8246</v>
      </c>
      <c r="K310" s="7" t="s">
        <v>8232</v>
      </c>
      <c r="L310" s="7">
        <v>5</v>
      </c>
      <c r="M310" s="7">
        <v>5</v>
      </c>
      <c r="N310" s="7">
        <v>4</v>
      </c>
      <c r="O310" s="7">
        <v>3</v>
      </c>
      <c r="P310" s="7">
        <v>2</v>
      </c>
      <c r="Q310" s="7">
        <v>1</v>
      </c>
      <c r="R310" s="7" t="s">
        <v>4961</v>
      </c>
      <c r="S310" s="7" t="s">
        <v>4984</v>
      </c>
      <c r="T310" s="7" t="s">
        <v>4969</v>
      </c>
      <c r="U310" s="7" t="s">
        <v>4970</v>
      </c>
      <c r="V310" s="7" t="s">
        <v>8247</v>
      </c>
    </row>
    <row r="311" spans="1:22" ht="85.5">
      <c r="A311" s="7" t="s">
        <v>4992</v>
      </c>
      <c r="B311" s="7" t="s">
        <v>91</v>
      </c>
      <c r="C311" s="7" t="s">
        <v>1489</v>
      </c>
      <c r="D311" s="7" t="s">
        <v>4993</v>
      </c>
      <c r="E311" s="7" t="s">
        <v>8248</v>
      </c>
      <c r="F311" s="7" t="s">
        <v>8249</v>
      </c>
      <c r="G311" s="7" t="s">
        <v>8250</v>
      </c>
      <c r="H311" s="7" t="s">
        <v>8251</v>
      </c>
      <c r="I311" s="7" t="s">
        <v>8252</v>
      </c>
      <c r="J311" s="7" t="s">
        <v>8253</v>
      </c>
      <c r="K311" s="7" t="s">
        <v>8232</v>
      </c>
      <c r="L311" s="7">
        <v>5</v>
      </c>
      <c r="M311" s="7">
        <v>5</v>
      </c>
      <c r="N311" s="7">
        <v>4</v>
      </c>
      <c r="O311" s="7">
        <v>3</v>
      </c>
      <c r="P311" s="7">
        <v>2</v>
      </c>
      <c r="Q311" s="7">
        <v>1</v>
      </c>
      <c r="R311" s="7" t="s">
        <v>4961</v>
      </c>
      <c r="S311" s="7" t="s">
        <v>4994</v>
      </c>
      <c r="T311" s="7" t="s">
        <v>4969</v>
      </c>
      <c r="U311" s="7" t="s">
        <v>4970</v>
      </c>
      <c r="V311" s="7" t="s">
        <v>8254</v>
      </c>
    </row>
    <row r="312" spans="1:22" ht="85.5">
      <c r="A312" s="7" t="s">
        <v>5002</v>
      </c>
      <c r="B312" s="7" t="s">
        <v>91</v>
      </c>
      <c r="C312" s="7" t="s">
        <v>1489</v>
      </c>
      <c r="D312" s="7" t="s">
        <v>5003</v>
      </c>
      <c r="E312" s="7" t="s">
        <v>8255</v>
      </c>
      <c r="F312" s="7" t="s">
        <v>8256</v>
      </c>
      <c r="G312" s="7" t="s">
        <v>8257</v>
      </c>
      <c r="H312" s="7" t="s">
        <v>8258</v>
      </c>
      <c r="I312" s="7" t="s">
        <v>8259</v>
      </c>
      <c r="J312" s="7" t="s">
        <v>8260</v>
      </c>
      <c r="K312" s="7" t="s">
        <v>8232</v>
      </c>
      <c r="L312" s="7">
        <v>5</v>
      </c>
      <c r="M312" s="7">
        <v>5</v>
      </c>
      <c r="N312" s="7">
        <v>4</v>
      </c>
      <c r="O312" s="7">
        <v>3</v>
      </c>
      <c r="P312" s="7">
        <v>2</v>
      </c>
      <c r="Q312" s="7">
        <v>1</v>
      </c>
      <c r="R312" s="7" t="s">
        <v>4961</v>
      </c>
      <c r="S312" s="7" t="s">
        <v>5004</v>
      </c>
      <c r="T312" s="7" t="s">
        <v>4969</v>
      </c>
      <c r="U312" s="7" t="s">
        <v>4970</v>
      </c>
      <c r="V312" s="7" t="s">
        <v>8261</v>
      </c>
    </row>
    <row r="313" spans="1:22" ht="85.5">
      <c r="A313" s="7" t="s">
        <v>5012</v>
      </c>
      <c r="B313" s="7" t="s">
        <v>91</v>
      </c>
      <c r="C313" s="7" t="s">
        <v>1503</v>
      </c>
      <c r="D313" s="7" t="s">
        <v>5013</v>
      </c>
      <c r="E313" s="7" t="s">
        <v>8262</v>
      </c>
      <c r="F313" s="7" t="s">
        <v>8263</v>
      </c>
      <c r="G313" s="7" t="s">
        <v>8264</v>
      </c>
      <c r="H313" s="7" t="s">
        <v>8265</v>
      </c>
      <c r="I313" s="7" t="s">
        <v>8266</v>
      </c>
      <c r="J313" s="7" t="s">
        <v>8267</v>
      </c>
      <c r="K313" s="7" t="s">
        <v>8268</v>
      </c>
      <c r="L313" s="7">
        <v>5</v>
      </c>
      <c r="M313" s="7">
        <v>5</v>
      </c>
      <c r="N313" s="7">
        <v>4</v>
      </c>
      <c r="O313" s="7">
        <v>3</v>
      </c>
      <c r="P313" s="7">
        <v>2</v>
      </c>
      <c r="Q313" s="7">
        <v>1</v>
      </c>
      <c r="R313" s="7" t="s">
        <v>4961</v>
      </c>
      <c r="S313" s="7" t="s">
        <v>5014</v>
      </c>
      <c r="T313" s="7" t="s">
        <v>4969</v>
      </c>
      <c r="U313" s="7" t="s">
        <v>4970</v>
      </c>
      <c r="V313" s="7" t="s">
        <v>8269</v>
      </c>
    </row>
    <row r="314" spans="1:22" ht="85.5">
      <c r="A314" s="7" t="s">
        <v>5022</v>
      </c>
      <c r="B314" s="7" t="s">
        <v>91</v>
      </c>
      <c r="C314" s="7" t="s">
        <v>1503</v>
      </c>
      <c r="D314" s="7" t="s">
        <v>5023</v>
      </c>
      <c r="E314" s="7" t="s">
        <v>8270</v>
      </c>
      <c r="F314" s="7" t="s">
        <v>8271</v>
      </c>
      <c r="G314" s="7" t="s">
        <v>8272</v>
      </c>
      <c r="H314" s="7" t="s">
        <v>8273</v>
      </c>
      <c r="I314" s="7" t="s">
        <v>8274</v>
      </c>
      <c r="J314" s="7" t="s">
        <v>8275</v>
      </c>
      <c r="K314" s="7" t="s">
        <v>8268</v>
      </c>
      <c r="L314" s="7">
        <v>4</v>
      </c>
      <c r="M314" s="7">
        <v>4</v>
      </c>
      <c r="N314" s="7">
        <v>3</v>
      </c>
      <c r="O314" s="7">
        <v>2</v>
      </c>
      <c r="P314" s="7">
        <v>1</v>
      </c>
      <c r="Q314" s="7">
        <v>1</v>
      </c>
      <c r="R314" s="7" t="s">
        <v>4961</v>
      </c>
      <c r="S314" s="7" t="s">
        <v>5024</v>
      </c>
      <c r="T314" s="7" t="s">
        <v>4969</v>
      </c>
      <c r="U314" s="7" t="s">
        <v>4970</v>
      </c>
      <c r="V314" s="7" t="s">
        <v>8276</v>
      </c>
    </row>
    <row r="315" spans="1:22" ht="85.5">
      <c r="A315" s="7" t="s">
        <v>5032</v>
      </c>
      <c r="B315" s="7" t="s">
        <v>91</v>
      </c>
      <c r="C315" s="7" t="s">
        <v>1503</v>
      </c>
      <c r="D315" s="7" t="s">
        <v>5033</v>
      </c>
      <c r="E315" s="7" t="s">
        <v>8277</v>
      </c>
      <c r="F315" s="7" t="s">
        <v>8278</v>
      </c>
      <c r="G315" s="7" t="s">
        <v>8279</v>
      </c>
      <c r="H315" s="7" t="s">
        <v>8280</v>
      </c>
      <c r="I315" s="7" t="s">
        <v>8281</v>
      </c>
      <c r="J315" s="7" t="s">
        <v>8282</v>
      </c>
      <c r="K315" s="7" t="s">
        <v>8268</v>
      </c>
      <c r="L315" s="7">
        <v>5</v>
      </c>
      <c r="M315" s="7">
        <v>5</v>
      </c>
      <c r="N315" s="7">
        <v>4</v>
      </c>
      <c r="O315" s="7">
        <v>3</v>
      </c>
      <c r="P315" s="7">
        <v>2</v>
      </c>
      <c r="Q315" s="7">
        <v>1</v>
      </c>
      <c r="R315" s="7" t="s">
        <v>4961</v>
      </c>
      <c r="S315" s="7" t="s">
        <v>5034</v>
      </c>
      <c r="T315" s="7" t="s">
        <v>4969</v>
      </c>
      <c r="U315" s="7" t="s">
        <v>4970</v>
      </c>
      <c r="V315" s="7" t="s">
        <v>8283</v>
      </c>
    </row>
    <row r="316" spans="1:22" ht="71.25">
      <c r="A316" s="7" t="s">
        <v>5042</v>
      </c>
      <c r="B316" s="7" t="s">
        <v>91</v>
      </c>
      <c r="C316" s="7" t="s">
        <v>1503</v>
      </c>
      <c r="D316" s="7" t="s">
        <v>5043</v>
      </c>
      <c r="E316" s="7" t="s">
        <v>8284</v>
      </c>
      <c r="F316" s="7" t="s">
        <v>8285</v>
      </c>
      <c r="G316" s="7" t="s">
        <v>8286</v>
      </c>
      <c r="H316" s="7" t="s">
        <v>8287</v>
      </c>
      <c r="I316" s="7" t="s">
        <v>8288</v>
      </c>
      <c r="J316" s="7" t="s">
        <v>8289</v>
      </c>
      <c r="K316" s="7" t="s">
        <v>8268</v>
      </c>
      <c r="L316" s="7">
        <v>5</v>
      </c>
      <c r="M316" s="7">
        <v>5</v>
      </c>
      <c r="N316" s="7">
        <v>4</v>
      </c>
      <c r="O316" s="7">
        <v>3</v>
      </c>
      <c r="P316" s="7">
        <v>2</v>
      </c>
      <c r="Q316" s="7">
        <v>1</v>
      </c>
      <c r="R316" s="7" t="s">
        <v>4961</v>
      </c>
      <c r="S316" s="7" t="s">
        <v>5044</v>
      </c>
      <c r="T316" s="7" t="s">
        <v>4969</v>
      </c>
      <c r="U316" s="7" t="s">
        <v>4970</v>
      </c>
      <c r="V316" s="7" t="s">
        <v>8290</v>
      </c>
    </row>
    <row r="317" spans="1:22" ht="85.5">
      <c r="A317" s="7" t="s">
        <v>5052</v>
      </c>
      <c r="B317" s="7" t="s">
        <v>91</v>
      </c>
      <c r="C317" s="7" t="s">
        <v>1511</v>
      </c>
      <c r="D317" s="7" t="s">
        <v>5053</v>
      </c>
      <c r="E317" s="7" t="s">
        <v>8291</v>
      </c>
      <c r="F317" s="7" t="s">
        <v>8292</v>
      </c>
      <c r="G317" s="7" t="s">
        <v>8293</v>
      </c>
      <c r="H317" s="7" t="s">
        <v>8294</v>
      </c>
      <c r="I317" s="7" t="s">
        <v>8295</v>
      </c>
      <c r="J317" s="7" t="s">
        <v>8296</v>
      </c>
      <c r="K317" s="7" t="s">
        <v>8297</v>
      </c>
      <c r="L317" s="7">
        <v>5</v>
      </c>
      <c r="M317" s="7">
        <v>5</v>
      </c>
      <c r="N317" s="7">
        <v>4</v>
      </c>
      <c r="O317" s="7">
        <v>3</v>
      </c>
      <c r="P317" s="7">
        <v>2</v>
      </c>
      <c r="Q317" s="7">
        <v>1</v>
      </c>
      <c r="R317" s="7" t="s">
        <v>4961</v>
      </c>
      <c r="S317" s="7" t="s">
        <v>5054</v>
      </c>
      <c r="T317" s="7" t="s">
        <v>4969</v>
      </c>
      <c r="U317" s="7" t="s">
        <v>4970</v>
      </c>
      <c r="V317" s="7" t="s">
        <v>8298</v>
      </c>
    </row>
    <row r="318" spans="1:22" ht="85.5">
      <c r="A318" s="7" t="s">
        <v>5062</v>
      </c>
      <c r="B318" s="7" t="s">
        <v>91</v>
      </c>
      <c r="C318" s="7" t="s">
        <v>1511</v>
      </c>
      <c r="D318" s="7" t="s">
        <v>5063</v>
      </c>
      <c r="E318" s="7" t="s">
        <v>8299</v>
      </c>
      <c r="F318" s="7" t="s">
        <v>8300</v>
      </c>
      <c r="G318" s="7" t="s">
        <v>8301</v>
      </c>
      <c r="H318" s="7" t="s">
        <v>8302</v>
      </c>
      <c r="I318" s="7" t="s">
        <v>8303</v>
      </c>
      <c r="J318" s="7" t="s">
        <v>8304</v>
      </c>
      <c r="K318" s="7" t="s">
        <v>8297</v>
      </c>
      <c r="L318" s="7">
        <v>5</v>
      </c>
      <c r="M318" s="7">
        <v>5</v>
      </c>
      <c r="N318" s="7">
        <v>4</v>
      </c>
      <c r="O318" s="7">
        <v>3</v>
      </c>
      <c r="P318" s="7">
        <v>2</v>
      </c>
      <c r="Q318" s="7">
        <v>1</v>
      </c>
      <c r="R318" s="7" t="s">
        <v>4961</v>
      </c>
      <c r="S318" s="7" t="s">
        <v>5064</v>
      </c>
      <c r="T318" s="7" t="s">
        <v>4969</v>
      </c>
      <c r="U318" s="7" t="s">
        <v>4970</v>
      </c>
      <c r="V318" s="7" t="s">
        <v>8305</v>
      </c>
    </row>
    <row r="319" spans="1:22" ht="85.5">
      <c r="A319" s="7" t="s">
        <v>5072</v>
      </c>
      <c r="B319" s="7" t="s">
        <v>91</v>
      </c>
      <c r="C319" s="7" t="s">
        <v>1511</v>
      </c>
      <c r="D319" s="7" t="s">
        <v>5073</v>
      </c>
      <c r="E319" s="7" t="s">
        <v>8306</v>
      </c>
      <c r="F319" s="7" t="s">
        <v>8307</v>
      </c>
      <c r="G319" s="7" t="s">
        <v>8308</v>
      </c>
      <c r="H319" s="7" t="s">
        <v>8309</v>
      </c>
      <c r="I319" s="7" t="s">
        <v>8310</v>
      </c>
      <c r="J319" s="7" t="s">
        <v>8311</v>
      </c>
      <c r="K319" s="7" t="s">
        <v>8297</v>
      </c>
      <c r="L319" s="7">
        <v>5</v>
      </c>
      <c r="M319" s="7">
        <v>5</v>
      </c>
      <c r="N319" s="7">
        <v>4</v>
      </c>
      <c r="O319" s="7">
        <v>3</v>
      </c>
      <c r="P319" s="7">
        <v>2</v>
      </c>
      <c r="Q319" s="7">
        <v>1</v>
      </c>
      <c r="R319" s="7" t="s">
        <v>4961</v>
      </c>
      <c r="S319" s="7" t="s">
        <v>5074</v>
      </c>
      <c r="T319" s="7" t="s">
        <v>4969</v>
      </c>
      <c r="U319" s="7" t="s">
        <v>4970</v>
      </c>
      <c r="V319" s="7" t="s">
        <v>8312</v>
      </c>
    </row>
    <row r="320" spans="1:22" ht="71.25">
      <c r="A320" s="7" t="s">
        <v>5082</v>
      </c>
      <c r="B320" s="7" t="s">
        <v>91</v>
      </c>
      <c r="C320" s="7" t="s">
        <v>1511</v>
      </c>
      <c r="D320" s="7" t="s">
        <v>5083</v>
      </c>
      <c r="E320" s="7" t="s">
        <v>8313</v>
      </c>
      <c r="F320" s="7" t="s">
        <v>8314</v>
      </c>
      <c r="G320" s="7" t="s">
        <v>8315</v>
      </c>
      <c r="H320" s="7" t="s">
        <v>8316</v>
      </c>
      <c r="I320" s="7" t="s">
        <v>8317</v>
      </c>
      <c r="J320" s="7" t="s">
        <v>8318</v>
      </c>
      <c r="K320" s="7" t="s">
        <v>8297</v>
      </c>
      <c r="L320" s="7">
        <v>5</v>
      </c>
      <c r="M320" s="7">
        <v>5</v>
      </c>
      <c r="N320" s="7">
        <v>4</v>
      </c>
      <c r="O320" s="7">
        <v>3</v>
      </c>
      <c r="P320" s="7">
        <v>2</v>
      </c>
      <c r="Q320" s="7">
        <v>1</v>
      </c>
      <c r="R320" s="7" t="s">
        <v>4961</v>
      </c>
      <c r="S320" s="7" t="s">
        <v>5084</v>
      </c>
      <c r="T320" s="7" t="s">
        <v>4969</v>
      </c>
      <c r="U320" s="7" t="s">
        <v>4970</v>
      </c>
      <c r="V320" s="7" t="s">
        <v>8319</v>
      </c>
    </row>
    <row r="321" spans="1:22" ht="85.5">
      <c r="A321" s="7" t="s">
        <v>5092</v>
      </c>
      <c r="B321" s="7" t="s">
        <v>91</v>
      </c>
      <c r="C321" s="7" t="s">
        <v>1519</v>
      </c>
      <c r="D321" s="7" t="s">
        <v>5093</v>
      </c>
      <c r="E321" s="7" t="s">
        <v>8320</v>
      </c>
      <c r="F321" s="7" t="s">
        <v>8321</v>
      </c>
      <c r="G321" s="7" t="s">
        <v>8322</v>
      </c>
      <c r="H321" s="7" t="s">
        <v>8323</v>
      </c>
      <c r="I321" s="7" t="s">
        <v>8324</v>
      </c>
      <c r="J321" s="7" t="s">
        <v>8325</v>
      </c>
      <c r="K321" s="7" t="s">
        <v>8326</v>
      </c>
      <c r="L321" s="7">
        <v>5</v>
      </c>
      <c r="M321" s="7">
        <v>5</v>
      </c>
      <c r="N321" s="7">
        <v>4</v>
      </c>
      <c r="O321" s="7">
        <v>3</v>
      </c>
      <c r="P321" s="7">
        <v>2</v>
      </c>
      <c r="Q321" s="7">
        <v>1</v>
      </c>
      <c r="R321" s="7" t="s">
        <v>4961</v>
      </c>
      <c r="S321" s="7" t="s">
        <v>5094</v>
      </c>
      <c r="T321" s="7" t="s">
        <v>4969</v>
      </c>
      <c r="U321" s="7" t="s">
        <v>4970</v>
      </c>
      <c r="V321" s="7" t="s">
        <v>8327</v>
      </c>
    </row>
    <row r="322" spans="1:22" ht="85.5">
      <c r="A322" s="7" t="s">
        <v>5102</v>
      </c>
      <c r="B322" s="7" t="s">
        <v>91</v>
      </c>
      <c r="C322" s="7" t="s">
        <v>1519</v>
      </c>
      <c r="D322" s="7" t="s">
        <v>5103</v>
      </c>
      <c r="E322" s="7" t="s">
        <v>8328</v>
      </c>
      <c r="F322" s="7" t="s">
        <v>8329</v>
      </c>
      <c r="G322" s="7" t="s">
        <v>8330</v>
      </c>
      <c r="H322" s="7" t="s">
        <v>8331</v>
      </c>
      <c r="I322" s="7" t="s">
        <v>8332</v>
      </c>
      <c r="J322" s="7" t="s">
        <v>8333</v>
      </c>
      <c r="K322" s="7" t="s">
        <v>8326</v>
      </c>
      <c r="L322" s="7">
        <v>5</v>
      </c>
      <c r="M322" s="7">
        <v>5</v>
      </c>
      <c r="N322" s="7">
        <v>4</v>
      </c>
      <c r="O322" s="7">
        <v>3</v>
      </c>
      <c r="P322" s="7">
        <v>2</v>
      </c>
      <c r="Q322" s="7">
        <v>1</v>
      </c>
      <c r="R322" s="7" t="s">
        <v>4961</v>
      </c>
      <c r="S322" s="7" t="s">
        <v>5104</v>
      </c>
      <c r="T322" s="7" t="s">
        <v>4969</v>
      </c>
      <c r="U322" s="7" t="s">
        <v>4970</v>
      </c>
      <c r="V322" s="7" t="s">
        <v>8334</v>
      </c>
    </row>
    <row r="323" spans="1:22" ht="85.5">
      <c r="A323" s="7" t="s">
        <v>5112</v>
      </c>
      <c r="B323" s="7" t="s">
        <v>91</v>
      </c>
      <c r="C323" s="7" t="s">
        <v>1519</v>
      </c>
      <c r="D323" s="7" t="s">
        <v>5113</v>
      </c>
      <c r="E323" s="7" t="s">
        <v>8335</v>
      </c>
      <c r="F323" s="7" t="s">
        <v>8336</v>
      </c>
      <c r="G323" s="7" t="s">
        <v>8337</v>
      </c>
      <c r="H323" s="7" t="s">
        <v>8338</v>
      </c>
      <c r="I323" s="7" t="s">
        <v>8339</v>
      </c>
      <c r="J323" s="7" t="s">
        <v>8340</v>
      </c>
      <c r="K323" s="7" t="s">
        <v>8326</v>
      </c>
      <c r="L323" s="7">
        <v>5</v>
      </c>
      <c r="M323" s="7">
        <v>5</v>
      </c>
      <c r="N323" s="7">
        <v>4</v>
      </c>
      <c r="O323" s="7">
        <v>3</v>
      </c>
      <c r="P323" s="7">
        <v>2</v>
      </c>
      <c r="Q323" s="7">
        <v>1</v>
      </c>
      <c r="R323" s="7" t="s">
        <v>4961</v>
      </c>
      <c r="S323" s="7" t="s">
        <v>5114</v>
      </c>
      <c r="T323" s="7" t="s">
        <v>4969</v>
      </c>
      <c r="U323" s="7" t="s">
        <v>4970</v>
      </c>
      <c r="V323" s="7" t="s">
        <v>8341</v>
      </c>
    </row>
    <row r="324" spans="1:22" ht="71.25">
      <c r="A324" s="7" t="s">
        <v>5122</v>
      </c>
      <c r="B324" s="7" t="s">
        <v>91</v>
      </c>
      <c r="C324" s="7" t="s">
        <v>1519</v>
      </c>
      <c r="D324" s="7" t="s">
        <v>5123</v>
      </c>
      <c r="E324" s="7" t="s">
        <v>8342</v>
      </c>
      <c r="F324" s="7" t="s">
        <v>8343</v>
      </c>
      <c r="G324" s="7" t="s">
        <v>8344</v>
      </c>
      <c r="H324" s="7" t="s">
        <v>8345</v>
      </c>
      <c r="I324" s="7" t="s">
        <v>8346</v>
      </c>
      <c r="J324" s="7" t="s">
        <v>8347</v>
      </c>
      <c r="K324" s="7" t="s">
        <v>8326</v>
      </c>
      <c r="L324" s="7">
        <v>5</v>
      </c>
      <c r="M324" s="7">
        <v>5</v>
      </c>
      <c r="N324" s="7">
        <v>4</v>
      </c>
      <c r="O324" s="7">
        <v>3</v>
      </c>
      <c r="P324" s="7">
        <v>2</v>
      </c>
      <c r="Q324" s="7">
        <v>1</v>
      </c>
      <c r="R324" s="7" t="s">
        <v>4961</v>
      </c>
      <c r="S324" s="7" t="s">
        <v>5124</v>
      </c>
      <c r="T324" s="7" t="s">
        <v>4969</v>
      </c>
      <c r="U324" s="7" t="s">
        <v>4970</v>
      </c>
      <c r="V324" s="7" t="s">
        <v>8348</v>
      </c>
    </row>
    <row r="325" spans="1:22" ht="85.5">
      <c r="A325" s="7" t="s">
        <v>5132</v>
      </c>
      <c r="B325" s="7" t="s">
        <v>91</v>
      </c>
      <c r="C325" s="7" t="s">
        <v>1527</v>
      </c>
      <c r="D325" s="7" t="s">
        <v>5133</v>
      </c>
      <c r="E325" s="7" t="s">
        <v>8349</v>
      </c>
      <c r="F325" s="7" t="s">
        <v>8350</v>
      </c>
      <c r="G325" s="7" t="s">
        <v>8351</v>
      </c>
      <c r="H325" s="7" t="s">
        <v>8352</v>
      </c>
      <c r="I325" s="7" t="s">
        <v>8353</v>
      </c>
      <c r="J325" s="7" t="s">
        <v>8354</v>
      </c>
      <c r="K325" s="7" t="s">
        <v>8355</v>
      </c>
      <c r="L325" s="7">
        <v>4</v>
      </c>
      <c r="M325" s="7">
        <v>4</v>
      </c>
      <c r="N325" s="7">
        <v>3</v>
      </c>
      <c r="O325" s="7">
        <v>2</v>
      </c>
      <c r="P325" s="7">
        <v>1</v>
      </c>
      <c r="Q325" s="7">
        <v>1</v>
      </c>
      <c r="R325" s="7" t="s">
        <v>4961</v>
      </c>
      <c r="S325" s="7" t="s">
        <v>5134</v>
      </c>
      <c r="T325" s="7" t="s">
        <v>4969</v>
      </c>
      <c r="U325" s="7" t="s">
        <v>4970</v>
      </c>
      <c r="V325" s="7" t="s">
        <v>8356</v>
      </c>
    </row>
    <row r="326" spans="1:22" ht="85.5">
      <c r="A326" s="7" t="s">
        <v>5142</v>
      </c>
      <c r="B326" s="7" t="s">
        <v>91</v>
      </c>
      <c r="C326" s="7" t="s">
        <v>1527</v>
      </c>
      <c r="D326" s="7" t="s">
        <v>5143</v>
      </c>
      <c r="E326" s="7" t="s">
        <v>8357</v>
      </c>
      <c r="F326" s="7" t="s">
        <v>8358</v>
      </c>
      <c r="G326" s="7" t="s">
        <v>8359</v>
      </c>
      <c r="H326" s="7" t="s">
        <v>8360</v>
      </c>
      <c r="I326" s="7" t="s">
        <v>8361</v>
      </c>
      <c r="J326" s="7" t="s">
        <v>8362</v>
      </c>
      <c r="K326" s="7" t="s">
        <v>8355</v>
      </c>
      <c r="L326" s="7">
        <v>5</v>
      </c>
      <c r="M326" s="7">
        <v>5</v>
      </c>
      <c r="N326" s="7">
        <v>4</v>
      </c>
      <c r="O326" s="7">
        <v>3</v>
      </c>
      <c r="P326" s="7">
        <v>2</v>
      </c>
      <c r="Q326" s="7">
        <v>1</v>
      </c>
      <c r="R326" s="7" t="s">
        <v>4961</v>
      </c>
      <c r="S326" s="7" t="s">
        <v>5144</v>
      </c>
      <c r="T326" s="7" t="s">
        <v>4969</v>
      </c>
      <c r="U326" s="7" t="s">
        <v>4970</v>
      </c>
      <c r="V326" s="7" t="s">
        <v>8363</v>
      </c>
    </row>
    <row r="327" spans="1:22" ht="85.5">
      <c r="A327" s="7" t="s">
        <v>5152</v>
      </c>
      <c r="B327" s="7" t="s">
        <v>91</v>
      </c>
      <c r="C327" s="7" t="s">
        <v>1527</v>
      </c>
      <c r="D327" s="7" t="s">
        <v>5153</v>
      </c>
      <c r="E327" s="7" t="s">
        <v>8364</v>
      </c>
      <c r="F327" s="7" t="s">
        <v>8365</v>
      </c>
      <c r="G327" s="7" t="s">
        <v>8366</v>
      </c>
      <c r="H327" s="7" t="s">
        <v>8367</v>
      </c>
      <c r="I327" s="7" t="s">
        <v>8368</v>
      </c>
      <c r="J327" s="7" t="s">
        <v>8369</v>
      </c>
      <c r="K327" s="7" t="s">
        <v>8355</v>
      </c>
      <c r="L327" s="7">
        <v>4</v>
      </c>
      <c r="M327" s="7">
        <v>4</v>
      </c>
      <c r="N327" s="7">
        <v>3</v>
      </c>
      <c r="O327" s="7">
        <v>2</v>
      </c>
      <c r="P327" s="7">
        <v>1</v>
      </c>
      <c r="Q327" s="7">
        <v>1</v>
      </c>
      <c r="R327" s="7" t="s">
        <v>4961</v>
      </c>
      <c r="S327" s="7" t="s">
        <v>5154</v>
      </c>
      <c r="T327" s="7" t="s">
        <v>4969</v>
      </c>
      <c r="U327" s="7" t="s">
        <v>4970</v>
      </c>
      <c r="V327" s="7" t="s">
        <v>8370</v>
      </c>
    </row>
    <row r="328" spans="1:22" ht="85.5">
      <c r="A328" s="7" t="s">
        <v>5162</v>
      </c>
      <c r="B328" s="7" t="s">
        <v>91</v>
      </c>
      <c r="C328" s="7" t="s">
        <v>1527</v>
      </c>
      <c r="D328" s="7" t="s">
        <v>5163</v>
      </c>
      <c r="E328" s="7" t="s">
        <v>8371</v>
      </c>
      <c r="F328" s="7" t="s">
        <v>8372</v>
      </c>
      <c r="G328" s="7" t="s">
        <v>8373</v>
      </c>
      <c r="H328" s="7" t="s">
        <v>8374</v>
      </c>
      <c r="I328" s="7" t="s">
        <v>8375</v>
      </c>
      <c r="J328" s="7" t="s">
        <v>8376</v>
      </c>
      <c r="K328" s="7" t="s">
        <v>8355</v>
      </c>
      <c r="L328" s="7">
        <v>5</v>
      </c>
      <c r="M328" s="7">
        <v>5</v>
      </c>
      <c r="N328" s="7">
        <v>4</v>
      </c>
      <c r="O328" s="7">
        <v>3</v>
      </c>
      <c r="P328" s="7">
        <v>2</v>
      </c>
      <c r="Q328" s="7">
        <v>1</v>
      </c>
      <c r="R328" s="7" t="s">
        <v>4961</v>
      </c>
      <c r="S328" s="7" t="s">
        <v>5164</v>
      </c>
      <c r="T328" s="7" t="s">
        <v>4969</v>
      </c>
      <c r="U328" s="7" t="s">
        <v>4970</v>
      </c>
      <c r="V328" s="7" t="s">
        <v>8377</v>
      </c>
    </row>
    <row r="329" spans="1:22" ht="71.25">
      <c r="A329" s="7" t="s">
        <v>5172</v>
      </c>
      <c r="B329" s="7" t="s">
        <v>91</v>
      </c>
      <c r="C329" s="7" t="s">
        <v>1527</v>
      </c>
      <c r="D329" s="7" t="s">
        <v>5173</v>
      </c>
      <c r="E329" s="7" t="s">
        <v>8378</v>
      </c>
      <c r="F329" s="7" t="s">
        <v>8379</v>
      </c>
      <c r="G329" s="7" t="s">
        <v>8380</v>
      </c>
      <c r="H329" s="7" t="s">
        <v>8381</v>
      </c>
      <c r="I329" s="7" t="s">
        <v>8382</v>
      </c>
      <c r="J329" s="7" t="s">
        <v>8383</v>
      </c>
      <c r="K329" s="7" t="s">
        <v>8355</v>
      </c>
      <c r="L329" s="7">
        <v>5</v>
      </c>
      <c r="M329" s="7">
        <v>5</v>
      </c>
      <c r="N329" s="7">
        <v>4</v>
      </c>
      <c r="O329" s="7">
        <v>3</v>
      </c>
      <c r="P329" s="7">
        <v>2</v>
      </c>
      <c r="Q329" s="7">
        <v>1</v>
      </c>
      <c r="R329" s="7" t="s">
        <v>4961</v>
      </c>
      <c r="S329" s="7" t="s">
        <v>5174</v>
      </c>
      <c r="T329" s="7" t="s">
        <v>4969</v>
      </c>
      <c r="U329" s="7" t="s">
        <v>4970</v>
      </c>
      <c r="V329" s="7" t="s">
        <v>8384</v>
      </c>
    </row>
    <row r="330" spans="1:22" ht="85.5">
      <c r="A330" s="7" t="s">
        <v>5182</v>
      </c>
      <c r="B330" s="7" t="s">
        <v>91</v>
      </c>
      <c r="C330" s="7" t="s">
        <v>1527</v>
      </c>
      <c r="D330" s="7" t="s">
        <v>5183</v>
      </c>
      <c r="E330" s="7" t="s">
        <v>8385</v>
      </c>
      <c r="F330" s="7" t="s">
        <v>8386</v>
      </c>
      <c r="G330" s="7" t="s">
        <v>8387</v>
      </c>
      <c r="H330" s="7" t="s">
        <v>8388</v>
      </c>
      <c r="I330" s="7" t="s">
        <v>8389</v>
      </c>
      <c r="J330" s="7" t="s">
        <v>8390</v>
      </c>
      <c r="K330" s="7" t="s">
        <v>8355</v>
      </c>
      <c r="L330" s="7">
        <v>4</v>
      </c>
      <c r="M330" s="7">
        <v>4</v>
      </c>
      <c r="N330" s="7">
        <v>3</v>
      </c>
      <c r="O330" s="7">
        <v>2</v>
      </c>
      <c r="P330" s="7">
        <v>1</v>
      </c>
      <c r="Q330" s="7">
        <v>1</v>
      </c>
      <c r="R330" s="7" t="s">
        <v>4961</v>
      </c>
      <c r="S330" s="7" t="s">
        <v>5184</v>
      </c>
      <c r="T330" s="7" t="s">
        <v>4969</v>
      </c>
      <c r="U330" s="7" t="s">
        <v>4970</v>
      </c>
      <c r="V330" s="7" t="s">
        <v>8391</v>
      </c>
    </row>
    <row r="331" spans="1:22" ht="71.25">
      <c r="A331" s="7" t="s">
        <v>5194</v>
      </c>
      <c r="B331" s="7" t="s">
        <v>92</v>
      </c>
      <c r="C331" s="7" t="s">
        <v>1535</v>
      </c>
      <c r="D331" s="7" t="s">
        <v>5195</v>
      </c>
      <c r="E331" s="7" t="s">
        <v>8392</v>
      </c>
      <c r="F331" s="7" t="s">
        <v>8393</v>
      </c>
      <c r="G331" s="7" t="s">
        <v>8394</v>
      </c>
      <c r="H331" s="7" t="s">
        <v>8395</v>
      </c>
      <c r="I331" s="7" t="s">
        <v>8396</v>
      </c>
      <c r="J331" s="7" t="s">
        <v>8397</v>
      </c>
      <c r="K331" s="7" t="s">
        <v>8398</v>
      </c>
      <c r="L331" s="7">
        <v>5</v>
      </c>
      <c r="M331" s="7">
        <v>5</v>
      </c>
      <c r="N331" s="7">
        <v>4</v>
      </c>
      <c r="O331" s="7">
        <v>3</v>
      </c>
      <c r="P331" s="7">
        <v>2</v>
      </c>
      <c r="Q331" s="7">
        <v>1</v>
      </c>
      <c r="R331" s="7" t="s">
        <v>5197</v>
      </c>
      <c r="S331" s="7" t="s">
        <v>5198</v>
      </c>
      <c r="T331" s="7" t="s">
        <v>5205</v>
      </c>
      <c r="U331" s="7" t="s">
        <v>5206</v>
      </c>
      <c r="V331" s="7" t="s">
        <v>8399</v>
      </c>
    </row>
    <row r="332" spans="1:22" ht="71.25">
      <c r="A332" s="7" t="s">
        <v>5208</v>
      </c>
      <c r="B332" s="7" t="s">
        <v>92</v>
      </c>
      <c r="C332" s="7" t="s">
        <v>1535</v>
      </c>
      <c r="D332" s="7" t="s">
        <v>5209</v>
      </c>
      <c r="E332" s="7" t="s">
        <v>8400</v>
      </c>
      <c r="F332" s="7" t="s">
        <v>8401</v>
      </c>
      <c r="G332" s="7" t="s">
        <v>8402</v>
      </c>
      <c r="H332" s="7" t="s">
        <v>8403</v>
      </c>
      <c r="I332" s="7" t="s">
        <v>8404</v>
      </c>
      <c r="J332" s="7" t="s">
        <v>8405</v>
      </c>
      <c r="K332" s="7" t="s">
        <v>8398</v>
      </c>
      <c r="L332" s="7">
        <v>5</v>
      </c>
      <c r="M332" s="7">
        <v>5</v>
      </c>
      <c r="N332" s="7">
        <v>4</v>
      </c>
      <c r="O332" s="7">
        <v>3</v>
      </c>
      <c r="P332" s="7">
        <v>2</v>
      </c>
      <c r="Q332" s="7">
        <v>1</v>
      </c>
      <c r="R332" s="7" t="s">
        <v>5197</v>
      </c>
      <c r="S332" s="7" t="s">
        <v>5210</v>
      </c>
      <c r="T332" s="7" t="s">
        <v>5205</v>
      </c>
      <c r="U332" s="7" t="s">
        <v>5206</v>
      </c>
      <c r="V332" s="7" t="s">
        <v>8406</v>
      </c>
    </row>
    <row r="333" spans="1:22" ht="85.5">
      <c r="A333" s="7" t="s">
        <v>5218</v>
      </c>
      <c r="B333" s="7" t="s">
        <v>92</v>
      </c>
      <c r="C333" s="7" t="s">
        <v>1535</v>
      </c>
      <c r="D333" s="7" t="s">
        <v>5219</v>
      </c>
      <c r="E333" s="7" t="s">
        <v>8407</v>
      </c>
      <c r="F333" s="7" t="s">
        <v>8408</v>
      </c>
      <c r="G333" s="7" t="s">
        <v>8409</v>
      </c>
      <c r="H333" s="7" t="s">
        <v>8410</v>
      </c>
      <c r="I333" s="7" t="s">
        <v>8411</v>
      </c>
      <c r="J333" s="7" t="s">
        <v>8412</v>
      </c>
      <c r="K333" s="7" t="s">
        <v>8398</v>
      </c>
      <c r="L333" s="7">
        <v>5</v>
      </c>
      <c r="M333" s="7">
        <v>5</v>
      </c>
      <c r="N333" s="7">
        <v>4</v>
      </c>
      <c r="O333" s="7">
        <v>3</v>
      </c>
      <c r="P333" s="7">
        <v>2</v>
      </c>
      <c r="Q333" s="7">
        <v>1</v>
      </c>
      <c r="R333" s="7" t="s">
        <v>5197</v>
      </c>
      <c r="S333" s="7" t="s">
        <v>5220</v>
      </c>
      <c r="T333" s="7" t="s">
        <v>5205</v>
      </c>
      <c r="U333" s="7" t="s">
        <v>5206</v>
      </c>
      <c r="V333" s="7" t="s">
        <v>8413</v>
      </c>
    </row>
    <row r="334" spans="1:22" ht="71.25">
      <c r="A334" s="7" t="s">
        <v>5228</v>
      </c>
      <c r="B334" s="7" t="s">
        <v>92</v>
      </c>
      <c r="C334" s="7" t="s">
        <v>1535</v>
      </c>
      <c r="D334" s="7" t="s">
        <v>5229</v>
      </c>
      <c r="E334" s="7" t="s">
        <v>8414</v>
      </c>
      <c r="F334" s="7" t="s">
        <v>8415</v>
      </c>
      <c r="G334" s="7" t="s">
        <v>8416</v>
      </c>
      <c r="H334" s="7" t="s">
        <v>8417</v>
      </c>
      <c r="I334" s="7" t="s">
        <v>8418</v>
      </c>
      <c r="J334" s="7" t="s">
        <v>8419</v>
      </c>
      <c r="K334" s="7" t="s">
        <v>8398</v>
      </c>
      <c r="L334" s="7">
        <v>5</v>
      </c>
      <c r="M334" s="7">
        <v>5</v>
      </c>
      <c r="N334" s="7">
        <v>4</v>
      </c>
      <c r="O334" s="7">
        <v>3</v>
      </c>
      <c r="P334" s="7">
        <v>2</v>
      </c>
      <c r="Q334" s="7">
        <v>1</v>
      </c>
      <c r="R334" s="7" t="s">
        <v>5197</v>
      </c>
      <c r="S334" s="7" t="s">
        <v>5230</v>
      </c>
      <c r="T334" s="7" t="s">
        <v>5205</v>
      </c>
      <c r="U334" s="7" t="s">
        <v>5206</v>
      </c>
      <c r="V334" s="7" t="s">
        <v>8420</v>
      </c>
    </row>
    <row r="335" spans="1:22" ht="85.5">
      <c r="A335" s="7" t="s">
        <v>5238</v>
      </c>
      <c r="B335" s="7" t="s">
        <v>92</v>
      </c>
      <c r="C335" s="7" t="s">
        <v>1535</v>
      </c>
      <c r="D335" s="7" t="s">
        <v>5239</v>
      </c>
      <c r="E335" s="7" t="s">
        <v>8421</v>
      </c>
      <c r="F335" s="7" t="s">
        <v>8422</v>
      </c>
      <c r="G335" s="7" t="s">
        <v>8423</v>
      </c>
      <c r="H335" s="7" t="s">
        <v>8424</v>
      </c>
      <c r="I335" s="7" t="s">
        <v>8425</v>
      </c>
      <c r="J335" s="7" t="s">
        <v>8426</v>
      </c>
      <c r="K335" s="7" t="s">
        <v>8398</v>
      </c>
      <c r="L335" s="7">
        <v>5</v>
      </c>
      <c r="M335" s="7">
        <v>5</v>
      </c>
      <c r="N335" s="7">
        <v>4</v>
      </c>
      <c r="O335" s="7">
        <v>3</v>
      </c>
      <c r="P335" s="7">
        <v>2</v>
      </c>
      <c r="Q335" s="7">
        <v>1</v>
      </c>
      <c r="R335" s="7" t="s">
        <v>5197</v>
      </c>
      <c r="S335" s="7" t="s">
        <v>5240</v>
      </c>
      <c r="T335" s="7" t="s">
        <v>5205</v>
      </c>
      <c r="U335" s="7" t="s">
        <v>5206</v>
      </c>
      <c r="V335" s="7" t="s">
        <v>8427</v>
      </c>
    </row>
    <row r="336" spans="1:22" ht="85.5">
      <c r="A336" s="7" t="s">
        <v>5248</v>
      </c>
      <c r="B336" s="7" t="s">
        <v>92</v>
      </c>
      <c r="C336" s="7" t="s">
        <v>1535</v>
      </c>
      <c r="D336" s="7" t="s">
        <v>5249</v>
      </c>
      <c r="E336" s="7" t="s">
        <v>8428</v>
      </c>
      <c r="F336" s="7" t="s">
        <v>8429</v>
      </c>
      <c r="G336" s="7" t="s">
        <v>8430</v>
      </c>
      <c r="H336" s="7" t="s">
        <v>8431</v>
      </c>
      <c r="I336" s="7" t="s">
        <v>8432</v>
      </c>
      <c r="J336" s="7" t="s">
        <v>8433</v>
      </c>
      <c r="K336" s="7" t="s">
        <v>8398</v>
      </c>
      <c r="L336" s="7">
        <v>5</v>
      </c>
      <c r="M336" s="7">
        <v>5</v>
      </c>
      <c r="N336" s="7">
        <v>4</v>
      </c>
      <c r="O336" s="7">
        <v>3</v>
      </c>
      <c r="P336" s="7">
        <v>2</v>
      </c>
      <c r="Q336" s="7">
        <v>1</v>
      </c>
      <c r="R336" s="7" t="s">
        <v>5197</v>
      </c>
      <c r="S336" s="7" t="s">
        <v>5250</v>
      </c>
      <c r="T336" s="7" t="s">
        <v>5205</v>
      </c>
      <c r="U336" s="7" t="s">
        <v>5206</v>
      </c>
      <c r="V336" s="7" t="s">
        <v>8434</v>
      </c>
    </row>
    <row r="337" spans="1:22" ht="85.5">
      <c r="A337" s="7" t="s">
        <v>5258</v>
      </c>
      <c r="B337" s="7" t="s">
        <v>92</v>
      </c>
      <c r="C337" s="7" t="s">
        <v>1549</v>
      </c>
      <c r="D337" s="7" t="s">
        <v>5259</v>
      </c>
      <c r="E337" s="7" t="s">
        <v>8435</v>
      </c>
      <c r="F337" s="7" t="s">
        <v>8436</v>
      </c>
      <c r="G337" s="7" t="s">
        <v>8437</v>
      </c>
      <c r="H337" s="7" t="s">
        <v>8438</v>
      </c>
      <c r="I337" s="7" t="s">
        <v>8439</v>
      </c>
      <c r="J337" s="7" t="s">
        <v>8440</v>
      </c>
      <c r="K337" s="7" t="s">
        <v>8441</v>
      </c>
      <c r="L337" s="7">
        <v>5</v>
      </c>
      <c r="M337" s="7">
        <v>5</v>
      </c>
      <c r="N337" s="7">
        <v>4</v>
      </c>
      <c r="O337" s="7">
        <v>3</v>
      </c>
      <c r="P337" s="7">
        <v>2</v>
      </c>
      <c r="Q337" s="7">
        <v>1</v>
      </c>
      <c r="R337" s="7" t="s">
        <v>5197</v>
      </c>
      <c r="S337" s="7" t="s">
        <v>5260</v>
      </c>
      <c r="T337" s="7" t="s">
        <v>5205</v>
      </c>
      <c r="U337" s="7" t="s">
        <v>5206</v>
      </c>
      <c r="V337" s="7" t="s">
        <v>8442</v>
      </c>
    </row>
    <row r="338" spans="1:22" ht="71.25">
      <c r="A338" s="7" t="s">
        <v>5268</v>
      </c>
      <c r="B338" s="7" t="s">
        <v>92</v>
      </c>
      <c r="C338" s="7" t="s">
        <v>1549</v>
      </c>
      <c r="D338" s="7" t="s">
        <v>5269</v>
      </c>
      <c r="E338" s="7" t="s">
        <v>8443</v>
      </c>
      <c r="F338" s="7" t="s">
        <v>8444</v>
      </c>
      <c r="G338" s="7" t="s">
        <v>8445</v>
      </c>
      <c r="H338" s="7" t="s">
        <v>8446</v>
      </c>
      <c r="I338" s="7" t="s">
        <v>8447</v>
      </c>
      <c r="J338" s="7" t="s">
        <v>8448</v>
      </c>
      <c r="K338" s="7" t="s">
        <v>8441</v>
      </c>
      <c r="L338" s="7">
        <v>5</v>
      </c>
      <c r="M338" s="7">
        <v>5</v>
      </c>
      <c r="N338" s="7">
        <v>4</v>
      </c>
      <c r="O338" s="7">
        <v>3</v>
      </c>
      <c r="P338" s="7">
        <v>2</v>
      </c>
      <c r="Q338" s="7">
        <v>1</v>
      </c>
      <c r="R338" s="7" t="s">
        <v>5197</v>
      </c>
      <c r="S338" s="7" t="s">
        <v>5270</v>
      </c>
      <c r="T338" s="7" t="s">
        <v>5205</v>
      </c>
      <c r="U338" s="7" t="s">
        <v>5206</v>
      </c>
      <c r="V338" s="7" t="s">
        <v>8449</v>
      </c>
    </row>
    <row r="339" spans="1:22" ht="71.25">
      <c r="A339" s="7" t="s">
        <v>5278</v>
      </c>
      <c r="B339" s="7" t="s">
        <v>92</v>
      </c>
      <c r="C339" s="7" t="s">
        <v>1549</v>
      </c>
      <c r="D339" s="7" t="s">
        <v>5279</v>
      </c>
      <c r="E339" s="7" t="s">
        <v>8450</v>
      </c>
      <c r="F339" s="7" t="s">
        <v>8451</v>
      </c>
      <c r="G339" s="7" t="s">
        <v>8452</v>
      </c>
      <c r="H339" s="7" t="s">
        <v>8453</v>
      </c>
      <c r="I339" s="7" t="s">
        <v>8454</v>
      </c>
      <c r="J339" s="7" t="s">
        <v>8455</v>
      </c>
      <c r="K339" s="7" t="s">
        <v>8441</v>
      </c>
      <c r="L339" s="7">
        <v>5</v>
      </c>
      <c r="M339" s="7">
        <v>5</v>
      </c>
      <c r="N339" s="7">
        <v>4</v>
      </c>
      <c r="O339" s="7">
        <v>3</v>
      </c>
      <c r="P339" s="7">
        <v>2</v>
      </c>
      <c r="Q339" s="7">
        <v>1</v>
      </c>
      <c r="R339" s="7" t="s">
        <v>5197</v>
      </c>
      <c r="S339" s="7" t="s">
        <v>5280</v>
      </c>
      <c r="T339" s="7" t="s">
        <v>5205</v>
      </c>
      <c r="U339" s="7" t="s">
        <v>5206</v>
      </c>
      <c r="V339" s="7" t="s">
        <v>8456</v>
      </c>
    </row>
    <row r="340" spans="1:22" ht="85.5">
      <c r="A340" s="7" t="s">
        <v>5288</v>
      </c>
      <c r="B340" s="7" t="s">
        <v>92</v>
      </c>
      <c r="C340" s="7" t="s">
        <v>1549</v>
      </c>
      <c r="D340" s="7" t="s">
        <v>5289</v>
      </c>
      <c r="E340" s="7" t="s">
        <v>8457</v>
      </c>
      <c r="F340" s="7" t="s">
        <v>8458</v>
      </c>
      <c r="G340" s="7" t="s">
        <v>8459</v>
      </c>
      <c r="H340" s="7" t="s">
        <v>8460</v>
      </c>
      <c r="I340" s="7" t="s">
        <v>8461</v>
      </c>
      <c r="J340" s="7" t="s">
        <v>8462</v>
      </c>
      <c r="K340" s="7" t="s">
        <v>8441</v>
      </c>
      <c r="L340" s="7">
        <v>5</v>
      </c>
      <c r="M340" s="7">
        <v>5</v>
      </c>
      <c r="N340" s="7">
        <v>4</v>
      </c>
      <c r="O340" s="7">
        <v>3</v>
      </c>
      <c r="P340" s="7">
        <v>2</v>
      </c>
      <c r="Q340" s="7">
        <v>1</v>
      </c>
      <c r="R340" s="7" t="s">
        <v>5197</v>
      </c>
      <c r="S340" s="7" t="s">
        <v>5290</v>
      </c>
      <c r="T340" s="7" t="s">
        <v>5205</v>
      </c>
      <c r="U340" s="7" t="s">
        <v>5206</v>
      </c>
      <c r="V340" s="7" t="s">
        <v>8463</v>
      </c>
    </row>
    <row r="341" spans="1:22" ht="71.25">
      <c r="A341" s="7" t="s">
        <v>5298</v>
      </c>
      <c r="B341" s="7" t="s">
        <v>92</v>
      </c>
      <c r="C341" s="7" t="s">
        <v>1549</v>
      </c>
      <c r="D341" s="7" t="s">
        <v>5299</v>
      </c>
      <c r="E341" s="7" t="s">
        <v>8464</v>
      </c>
      <c r="F341" s="7" t="s">
        <v>8465</v>
      </c>
      <c r="G341" s="7" t="s">
        <v>8466</v>
      </c>
      <c r="H341" s="7" t="s">
        <v>8467</v>
      </c>
      <c r="I341" s="7" t="s">
        <v>8468</v>
      </c>
      <c r="J341" s="7" t="s">
        <v>8469</v>
      </c>
      <c r="K341" s="7" t="s">
        <v>8441</v>
      </c>
      <c r="L341" s="7">
        <v>5</v>
      </c>
      <c r="M341" s="7">
        <v>5</v>
      </c>
      <c r="N341" s="7">
        <v>4</v>
      </c>
      <c r="O341" s="7">
        <v>3</v>
      </c>
      <c r="P341" s="7">
        <v>2</v>
      </c>
      <c r="Q341" s="7">
        <v>1</v>
      </c>
      <c r="R341" s="7" t="s">
        <v>5197</v>
      </c>
      <c r="S341" s="7" t="s">
        <v>5300</v>
      </c>
      <c r="T341" s="7" t="s">
        <v>5205</v>
      </c>
      <c r="U341" s="7" t="s">
        <v>5206</v>
      </c>
      <c r="V341" s="7" t="s">
        <v>8470</v>
      </c>
    </row>
    <row r="342" spans="1:22" ht="85.5">
      <c r="A342" s="7" t="s">
        <v>5308</v>
      </c>
      <c r="B342" s="7" t="s">
        <v>92</v>
      </c>
      <c r="C342" s="7" t="s">
        <v>1549</v>
      </c>
      <c r="D342" s="7" t="s">
        <v>5309</v>
      </c>
      <c r="E342" s="7" t="s">
        <v>8471</v>
      </c>
      <c r="F342" s="7" t="s">
        <v>8472</v>
      </c>
      <c r="G342" s="7" t="s">
        <v>8473</v>
      </c>
      <c r="H342" s="7" t="s">
        <v>8474</v>
      </c>
      <c r="I342" s="7" t="s">
        <v>8475</v>
      </c>
      <c r="J342" s="7" t="s">
        <v>8476</v>
      </c>
      <c r="K342" s="7" t="s">
        <v>8441</v>
      </c>
      <c r="L342" s="7">
        <v>5</v>
      </c>
      <c r="M342" s="7">
        <v>5</v>
      </c>
      <c r="N342" s="7">
        <v>4</v>
      </c>
      <c r="O342" s="7">
        <v>3</v>
      </c>
      <c r="P342" s="7">
        <v>2</v>
      </c>
      <c r="Q342" s="7">
        <v>1</v>
      </c>
      <c r="R342" s="7" t="s">
        <v>5197</v>
      </c>
      <c r="S342" s="7" t="s">
        <v>5310</v>
      </c>
      <c r="T342" s="7" t="s">
        <v>5205</v>
      </c>
      <c r="U342" s="7" t="s">
        <v>5206</v>
      </c>
      <c r="V342" s="7" t="s">
        <v>8477</v>
      </c>
    </row>
    <row r="343" spans="1:22" ht="85.5">
      <c r="A343" s="7" t="s">
        <v>5318</v>
      </c>
      <c r="B343" s="7" t="s">
        <v>92</v>
      </c>
      <c r="C343" s="7" t="s">
        <v>1557</v>
      </c>
      <c r="D343" s="7" t="s">
        <v>5319</v>
      </c>
      <c r="E343" s="7" t="s">
        <v>8478</v>
      </c>
      <c r="F343" s="7" t="s">
        <v>8479</v>
      </c>
      <c r="G343" s="7" t="s">
        <v>8480</v>
      </c>
      <c r="H343" s="7" t="s">
        <v>8481</v>
      </c>
      <c r="I343" s="7" t="s">
        <v>8482</v>
      </c>
      <c r="J343" s="7" t="s">
        <v>8483</v>
      </c>
      <c r="K343" s="7" t="s">
        <v>8484</v>
      </c>
      <c r="L343" s="7">
        <v>5</v>
      </c>
      <c r="M343" s="7">
        <v>5</v>
      </c>
      <c r="N343" s="7">
        <v>4</v>
      </c>
      <c r="O343" s="7">
        <v>3</v>
      </c>
      <c r="P343" s="7">
        <v>2</v>
      </c>
      <c r="Q343" s="7">
        <v>1</v>
      </c>
      <c r="R343" s="7" t="s">
        <v>5197</v>
      </c>
      <c r="S343" s="7" t="s">
        <v>5320</v>
      </c>
      <c r="T343" s="7" t="s">
        <v>5205</v>
      </c>
      <c r="U343" s="7" t="s">
        <v>5206</v>
      </c>
      <c r="V343" s="7" t="s">
        <v>8485</v>
      </c>
    </row>
    <row r="344" spans="1:22" ht="71.25">
      <c r="A344" s="7" t="s">
        <v>5328</v>
      </c>
      <c r="B344" s="7" t="s">
        <v>92</v>
      </c>
      <c r="C344" s="7" t="s">
        <v>1557</v>
      </c>
      <c r="D344" s="7" t="s">
        <v>5329</v>
      </c>
      <c r="E344" s="7" t="s">
        <v>8486</v>
      </c>
      <c r="F344" s="7" t="s">
        <v>8487</v>
      </c>
      <c r="G344" s="7" t="s">
        <v>8488</v>
      </c>
      <c r="H344" s="7" t="s">
        <v>8489</v>
      </c>
      <c r="I344" s="7" t="s">
        <v>8490</v>
      </c>
      <c r="J344" s="7" t="s">
        <v>8491</v>
      </c>
      <c r="K344" s="7" t="s">
        <v>8484</v>
      </c>
      <c r="L344" s="7">
        <v>5</v>
      </c>
      <c r="M344" s="7">
        <v>5</v>
      </c>
      <c r="N344" s="7">
        <v>4</v>
      </c>
      <c r="O344" s="7">
        <v>3</v>
      </c>
      <c r="P344" s="7">
        <v>2</v>
      </c>
      <c r="Q344" s="7">
        <v>1</v>
      </c>
      <c r="R344" s="7" t="s">
        <v>5197</v>
      </c>
      <c r="S344" s="7" t="s">
        <v>5330</v>
      </c>
      <c r="T344" s="7" t="s">
        <v>5205</v>
      </c>
      <c r="U344" s="7" t="s">
        <v>5206</v>
      </c>
      <c r="V344" s="7" t="s">
        <v>8492</v>
      </c>
    </row>
    <row r="345" spans="1:22" ht="85.5">
      <c r="A345" s="7" t="s">
        <v>5338</v>
      </c>
      <c r="B345" s="7" t="s">
        <v>92</v>
      </c>
      <c r="C345" s="7" t="s">
        <v>1557</v>
      </c>
      <c r="D345" s="7" t="s">
        <v>5339</v>
      </c>
      <c r="E345" s="7" t="s">
        <v>8493</v>
      </c>
      <c r="F345" s="7" t="s">
        <v>8494</v>
      </c>
      <c r="G345" s="7" t="s">
        <v>8495</v>
      </c>
      <c r="H345" s="7" t="s">
        <v>8496</v>
      </c>
      <c r="I345" s="7" t="s">
        <v>8497</v>
      </c>
      <c r="J345" s="7" t="s">
        <v>8498</v>
      </c>
      <c r="K345" s="7" t="s">
        <v>8484</v>
      </c>
      <c r="L345" s="7">
        <v>5</v>
      </c>
      <c r="M345" s="7">
        <v>5</v>
      </c>
      <c r="N345" s="7">
        <v>4</v>
      </c>
      <c r="O345" s="7">
        <v>3</v>
      </c>
      <c r="P345" s="7">
        <v>2</v>
      </c>
      <c r="Q345" s="7">
        <v>1</v>
      </c>
      <c r="R345" s="7" t="s">
        <v>5197</v>
      </c>
      <c r="S345" s="7" t="s">
        <v>5340</v>
      </c>
      <c r="T345" s="7" t="s">
        <v>5205</v>
      </c>
      <c r="U345" s="7" t="s">
        <v>5206</v>
      </c>
      <c r="V345" s="7" t="s">
        <v>8499</v>
      </c>
    </row>
    <row r="346" spans="1:22" ht="71.25">
      <c r="A346" s="7" t="s">
        <v>5348</v>
      </c>
      <c r="B346" s="7" t="s">
        <v>92</v>
      </c>
      <c r="C346" s="7" t="s">
        <v>1557</v>
      </c>
      <c r="D346" s="7" t="s">
        <v>5349</v>
      </c>
      <c r="E346" s="7" t="s">
        <v>8500</v>
      </c>
      <c r="F346" s="7" t="s">
        <v>8501</v>
      </c>
      <c r="G346" s="7" t="s">
        <v>8502</v>
      </c>
      <c r="H346" s="7" t="s">
        <v>8503</v>
      </c>
      <c r="I346" s="7" t="s">
        <v>8504</v>
      </c>
      <c r="J346" s="7" t="s">
        <v>8505</v>
      </c>
      <c r="K346" s="7" t="s">
        <v>8484</v>
      </c>
      <c r="L346" s="7">
        <v>5</v>
      </c>
      <c r="M346" s="7">
        <v>5</v>
      </c>
      <c r="N346" s="7">
        <v>4</v>
      </c>
      <c r="O346" s="7">
        <v>3</v>
      </c>
      <c r="P346" s="7">
        <v>2</v>
      </c>
      <c r="Q346" s="7">
        <v>1</v>
      </c>
      <c r="R346" s="7" t="s">
        <v>5197</v>
      </c>
      <c r="S346" s="7" t="s">
        <v>5350</v>
      </c>
      <c r="T346" s="7" t="s">
        <v>5205</v>
      </c>
      <c r="U346" s="7" t="s">
        <v>5206</v>
      </c>
      <c r="V346" s="7" t="s">
        <v>8506</v>
      </c>
    </row>
    <row r="347" spans="1:22" ht="71.25">
      <c r="A347" s="7" t="s">
        <v>5358</v>
      </c>
      <c r="B347" s="7" t="s">
        <v>92</v>
      </c>
      <c r="C347" s="7" t="s">
        <v>1557</v>
      </c>
      <c r="D347" s="7" t="s">
        <v>5359</v>
      </c>
      <c r="E347" s="7" t="s">
        <v>8507</v>
      </c>
      <c r="F347" s="7" t="s">
        <v>8508</v>
      </c>
      <c r="G347" s="7" t="s">
        <v>8509</v>
      </c>
      <c r="H347" s="7" t="s">
        <v>8510</v>
      </c>
      <c r="I347" s="7" t="s">
        <v>8511</v>
      </c>
      <c r="J347" s="7" t="s">
        <v>8512</v>
      </c>
      <c r="K347" s="7" t="s">
        <v>8484</v>
      </c>
      <c r="L347" s="7">
        <v>5</v>
      </c>
      <c r="M347" s="7">
        <v>5</v>
      </c>
      <c r="N347" s="7">
        <v>4</v>
      </c>
      <c r="O347" s="7">
        <v>3</v>
      </c>
      <c r="P347" s="7">
        <v>2</v>
      </c>
      <c r="Q347" s="7">
        <v>1</v>
      </c>
      <c r="R347" s="7" t="s">
        <v>5197</v>
      </c>
      <c r="S347" s="7" t="s">
        <v>5360</v>
      </c>
      <c r="T347" s="7" t="s">
        <v>5205</v>
      </c>
      <c r="U347" s="7" t="s">
        <v>5206</v>
      </c>
      <c r="V347" s="7" t="s">
        <v>8513</v>
      </c>
    </row>
    <row r="348" spans="1:22" ht="85.5">
      <c r="A348" s="7" t="s">
        <v>5368</v>
      </c>
      <c r="B348" s="7" t="s">
        <v>92</v>
      </c>
      <c r="C348" s="7" t="s">
        <v>1557</v>
      </c>
      <c r="D348" s="7" t="s">
        <v>5369</v>
      </c>
      <c r="E348" s="7" t="s">
        <v>8514</v>
      </c>
      <c r="F348" s="7" t="s">
        <v>8515</v>
      </c>
      <c r="G348" s="7" t="s">
        <v>8516</v>
      </c>
      <c r="H348" s="7" t="s">
        <v>8517</v>
      </c>
      <c r="I348" s="7" t="s">
        <v>8518</v>
      </c>
      <c r="J348" s="7" t="s">
        <v>8519</v>
      </c>
      <c r="K348" s="7" t="s">
        <v>8484</v>
      </c>
      <c r="L348" s="7">
        <v>5</v>
      </c>
      <c r="M348" s="7">
        <v>5</v>
      </c>
      <c r="N348" s="7">
        <v>4</v>
      </c>
      <c r="O348" s="7">
        <v>3</v>
      </c>
      <c r="P348" s="7">
        <v>2</v>
      </c>
      <c r="Q348" s="7">
        <v>1</v>
      </c>
      <c r="R348" s="7" t="s">
        <v>5197</v>
      </c>
      <c r="S348" s="7" t="s">
        <v>5370</v>
      </c>
      <c r="T348" s="7" t="s">
        <v>5205</v>
      </c>
      <c r="U348" s="7" t="s">
        <v>5206</v>
      </c>
      <c r="V348" s="7" t="s">
        <v>8520</v>
      </c>
    </row>
    <row r="349" spans="1:22" ht="85.5">
      <c r="A349" s="7" t="s">
        <v>5378</v>
      </c>
      <c r="B349" s="7" t="s">
        <v>92</v>
      </c>
      <c r="C349" s="7" t="s">
        <v>1565</v>
      </c>
      <c r="D349" s="7" t="s">
        <v>5379</v>
      </c>
      <c r="E349" s="7" t="s">
        <v>8521</v>
      </c>
      <c r="F349" s="7" t="s">
        <v>8522</v>
      </c>
      <c r="G349" s="7" t="s">
        <v>8523</v>
      </c>
      <c r="H349" s="7" t="s">
        <v>8524</v>
      </c>
      <c r="I349" s="7" t="s">
        <v>8525</v>
      </c>
      <c r="J349" s="7" t="s">
        <v>8526</v>
      </c>
      <c r="K349" s="7" t="s">
        <v>8527</v>
      </c>
      <c r="L349" s="7">
        <v>5</v>
      </c>
      <c r="M349" s="7">
        <v>5</v>
      </c>
      <c r="N349" s="7">
        <v>4</v>
      </c>
      <c r="O349" s="7">
        <v>3</v>
      </c>
      <c r="P349" s="7">
        <v>2</v>
      </c>
      <c r="Q349" s="7">
        <v>1</v>
      </c>
      <c r="R349" s="7" t="s">
        <v>5197</v>
      </c>
      <c r="S349" s="7" t="s">
        <v>5380</v>
      </c>
      <c r="T349" s="7" t="s">
        <v>5205</v>
      </c>
      <c r="U349" s="7" t="s">
        <v>5206</v>
      </c>
      <c r="V349" s="7" t="s">
        <v>8528</v>
      </c>
    </row>
    <row r="350" spans="1:22" ht="85.5">
      <c r="A350" s="7" t="s">
        <v>5388</v>
      </c>
      <c r="B350" s="7" t="s">
        <v>92</v>
      </c>
      <c r="C350" s="7" t="s">
        <v>1565</v>
      </c>
      <c r="D350" s="7" t="s">
        <v>5389</v>
      </c>
      <c r="E350" s="7" t="s">
        <v>8529</v>
      </c>
      <c r="F350" s="7" t="s">
        <v>8530</v>
      </c>
      <c r="G350" s="7" t="s">
        <v>8531</v>
      </c>
      <c r="H350" s="7" t="s">
        <v>8532</v>
      </c>
      <c r="I350" s="7" t="s">
        <v>8533</v>
      </c>
      <c r="J350" s="7" t="s">
        <v>8534</v>
      </c>
      <c r="K350" s="7" t="s">
        <v>8527</v>
      </c>
      <c r="L350" s="7">
        <v>5</v>
      </c>
      <c r="M350" s="7">
        <v>5</v>
      </c>
      <c r="N350" s="7">
        <v>4</v>
      </c>
      <c r="O350" s="7">
        <v>3</v>
      </c>
      <c r="P350" s="7">
        <v>2</v>
      </c>
      <c r="Q350" s="7">
        <v>1</v>
      </c>
      <c r="R350" s="7" t="s">
        <v>5197</v>
      </c>
      <c r="S350" s="7" t="s">
        <v>5390</v>
      </c>
      <c r="T350" s="7" t="s">
        <v>5205</v>
      </c>
      <c r="U350" s="7" t="s">
        <v>5206</v>
      </c>
      <c r="V350" s="7" t="s">
        <v>8535</v>
      </c>
    </row>
    <row r="351" spans="1:22" ht="71.25">
      <c r="A351" s="7" t="s">
        <v>5398</v>
      </c>
      <c r="B351" s="7" t="s">
        <v>92</v>
      </c>
      <c r="C351" s="7" t="s">
        <v>1565</v>
      </c>
      <c r="D351" s="7" t="s">
        <v>5399</v>
      </c>
      <c r="E351" s="7" t="s">
        <v>8536</v>
      </c>
      <c r="F351" s="7" t="s">
        <v>8537</v>
      </c>
      <c r="G351" s="7" t="s">
        <v>8538</v>
      </c>
      <c r="H351" s="7" t="s">
        <v>8539</v>
      </c>
      <c r="I351" s="7" t="s">
        <v>8540</v>
      </c>
      <c r="J351" s="7" t="s">
        <v>8541</v>
      </c>
      <c r="K351" s="7" t="s">
        <v>8527</v>
      </c>
      <c r="L351" s="7">
        <v>5</v>
      </c>
      <c r="M351" s="7">
        <v>5</v>
      </c>
      <c r="N351" s="7">
        <v>4</v>
      </c>
      <c r="O351" s="7">
        <v>3</v>
      </c>
      <c r="P351" s="7">
        <v>2</v>
      </c>
      <c r="Q351" s="7">
        <v>1</v>
      </c>
      <c r="R351" s="7" t="s">
        <v>5197</v>
      </c>
      <c r="S351" s="7" t="s">
        <v>5400</v>
      </c>
      <c r="T351" s="7" t="s">
        <v>5205</v>
      </c>
      <c r="U351" s="7" t="s">
        <v>5206</v>
      </c>
      <c r="V351" s="7" t="s">
        <v>8542</v>
      </c>
    </row>
    <row r="352" spans="1:22" ht="71.25">
      <c r="A352" s="7" t="s">
        <v>5408</v>
      </c>
      <c r="B352" s="7" t="s">
        <v>92</v>
      </c>
      <c r="C352" s="7" t="s">
        <v>1565</v>
      </c>
      <c r="D352" s="7" t="s">
        <v>5409</v>
      </c>
      <c r="E352" s="7" t="s">
        <v>8543</v>
      </c>
      <c r="F352" s="7" t="s">
        <v>8544</v>
      </c>
      <c r="G352" s="7" t="s">
        <v>8545</v>
      </c>
      <c r="H352" s="7" t="s">
        <v>8546</v>
      </c>
      <c r="I352" s="7" t="s">
        <v>8547</v>
      </c>
      <c r="J352" s="7" t="s">
        <v>8548</v>
      </c>
      <c r="K352" s="7" t="s">
        <v>8527</v>
      </c>
      <c r="L352" s="7">
        <v>5</v>
      </c>
      <c r="M352" s="7">
        <v>5</v>
      </c>
      <c r="N352" s="7">
        <v>4</v>
      </c>
      <c r="O352" s="7">
        <v>3</v>
      </c>
      <c r="P352" s="7">
        <v>2</v>
      </c>
      <c r="Q352" s="7">
        <v>1</v>
      </c>
      <c r="R352" s="7" t="s">
        <v>5197</v>
      </c>
      <c r="S352" s="7" t="s">
        <v>5410</v>
      </c>
      <c r="T352" s="7" t="s">
        <v>5205</v>
      </c>
      <c r="U352" s="7" t="s">
        <v>5206</v>
      </c>
      <c r="V352" s="7" t="s">
        <v>8549</v>
      </c>
    </row>
    <row r="353" spans="1:22" ht="85.5">
      <c r="A353" s="7" t="s">
        <v>5418</v>
      </c>
      <c r="B353" s="7" t="s">
        <v>92</v>
      </c>
      <c r="C353" s="7" t="s">
        <v>1573</v>
      </c>
      <c r="D353" s="7" t="s">
        <v>5419</v>
      </c>
      <c r="E353" s="7" t="s">
        <v>8550</v>
      </c>
      <c r="F353" s="7" t="s">
        <v>8551</v>
      </c>
      <c r="G353" s="7" t="s">
        <v>8552</v>
      </c>
      <c r="H353" s="7" t="s">
        <v>8553</v>
      </c>
      <c r="I353" s="7" t="s">
        <v>8554</v>
      </c>
      <c r="J353" s="7" t="s">
        <v>8555</v>
      </c>
      <c r="K353" s="7" t="s">
        <v>8556</v>
      </c>
      <c r="L353" s="7">
        <v>5</v>
      </c>
      <c r="M353" s="7">
        <v>5</v>
      </c>
      <c r="N353" s="7">
        <v>4</v>
      </c>
      <c r="O353" s="7">
        <v>3</v>
      </c>
      <c r="P353" s="7">
        <v>2</v>
      </c>
      <c r="Q353" s="7">
        <v>1</v>
      </c>
      <c r="R353" s="7" t="s">
        <v>5197</v>
      </c>
      <c r="S353" s="7" t="s">
        <v>5420</v>
      </c>
      <c r="T353" s="7" t="s">
        <v>5205</v>
      </c>
      <c r="U353" s="7" t="s">
        <v>5206</v>
      </c>
      <c r="V353" s="7" t="s">
        <v>8557</v>
      </c>
    </row>
    <row r="354" spans="1:22" ht="85.5">
      <c r="A354" s="7" t="s">
        <v>5428</v>
      </c>
      <c r="B354" s="7" t="s">
        <v>92</v>
      </c>
      <c r="C354" s="7" t="s">
        <v>1573</v>
      </c>
      <c r="D354" s="7" t="s">
        <v>5429</v>
      </c>
      <c r="E354" s="7" t="s">
        <v>8558</v>
      </c>
      <c r="F354" s="7" t="s">
        <v>8559</v>
      </c>
      <c r="G354" s="7" t="s">
        <v>8560</v>
      </c>
      <c r="H354" s="7" t="s">
        <v>8561</v>
      </c>
      <c r="I354" s="7" t="s">
        <v>8562</v>
      </c>
      <c r="J354" s="7" t="s">
        <v>8563</v>
      </c>
      <c r="K354" s="7" t="s">
        <v>8556</v>
      </c>
      <c r="L354" s="7">
        <v>5</v>
      </c>
      <c r="M354" s="7">
        <v>5</v>
      </c>
      <c r="N354" s="7">
        <v>4</v>
      </c>
      <c r="O354" s="7">
        <v>3</v>
      </c>
      <c r="P354" s="7">
        <v>2</v>
      </c>
      <c r="Q354" s="7">
        <v>1</v>
      </c>
      <c r="R354" s="7" t="s">
        <v>5197</v>
      </c>
      <c r="S354" s="7" t="s">
        <v>5430</v>
      </c>
      <c r="T354" s="7" t="s">
        <v>5205</v>
      </c>
      <c r="U354" s="7" t="s">
        <v>5206</v>
      </c>
      <c r="V354" s="7" t="s">
        <v>8564</v>
      </c>
    </row>
    <row r="355" spans="1:22" ht="85.5">
      <c r="A355" s="7" t="s">
        <v>5438</v>
      </c>
      <c r="B355" s="7" t="s">
        <v>92</v>
      </c>
      <c r="C355" s="7" t="s">
        <v>1573</v>
      </c>
      <c r="D355" s="7" t="s">
        <v>5439</v>
      </c>
      <c r="E355" s="7" t="s">
        <v>8565</v>
      </c>
      <c r="F355" s="7" t="s">
        <v>8566</v>
      </c>
      <c r="G355" s="7" t="s">
        <v>8567</v>
      </c>
      <c r="H355" s="7" t="s">
        <v>8568</v>
      </c>
      <c r="I355" s="7" t="s">
        <v>8569</v>
      </c>
      <c r="J355" s="7" t="s">
        <v>8570</v>
      </c>
      <c r="K355" s="7" t="s">
        <v>8556</v>
      </c>
      <c r="L355" s="7">
        <v>5</v>
      </c>
      <c r="M355" s="7">
        <v>5</v>
      </c>
      <c r="N355" s="7">
        <v>4</v>
      </c>
      <c r="O355" s="7">
        <v>3</v>
      </c>
      <c r="P355" s="7">
        <v>2</v>
      </c>
      <c r="Q355" s="7">
        <v>1</v>
      </c>
      <c r="R355" s="7" t="s">
        <v>5197</v>
      </c>
      <c r="S355" s="7" t="s">
        <v>5440</v>
      </c>
      <c r="T355" s="7" t="s">
        <v>5205</v>
      </c>
      <c r="U355" s="7" t="s">
        <v>5206</v>
      </c>
      <c r="V355" s="7" t="s">
        <v>8571</v>
      </c>
    </row>
    <row r="356" spans="1:22" ht="85.5">
      <c r="A356" s="7" t="s">
        <v>5448</v>
      </c>
      <c r="B356" s="7" t="s">
        <v>92</v>
      </c>
      <c r="C356" s="7" t="s">
        <v>1573</v>
      </c>
      <c r="D356" s="7" t="s">
        <v>5449</v>
      </c>
      <c r="E356" s="7" t="s">
        <v>8572</v>
      </c>
      <c r="F356" s="7" t="s">
        <v>8573</v>
      </c>
      <c r="G356" s="7" t="s">
        <v>8574</v>
      </c>
      <c r="H356" s="7" t="s">
        <v>8575</v>
      </c>
      <c r="I356" s="7" t="s">
        <v>8576</v>
      </c>
      <c r="J356" s="7" t="s">
        <v>8577</v>
      </c>
      <c r="K356" s="7" t="s">
        <v>8556</v>
      </c>
      <c r="L356" s="7">
        <v>5</v>
      </c>
      <c r="M356" s="7">
        <v>5</v>
      </c>
      <c r="N356" s="7">
        <v>4</v>
      </c>
      <c r="O356" s="7">
        <v>3</v>
      </c>
      <c r="P356" s="7">
        <v>2</v>
      </c>
      <c r="Q356" s="7">
        <v>1</v>
      </c>
      <c r="R356" s="7" t="s">
        <v>5197</v>
      </c>
      <c r="S356" s="7" t="s">
        <v>5450</v>
      </c>
      <c r="T356" s="7" t="s">
        <v>5205</v>
      </c>
      <c r="U356" s="7" t="s">
        <v>5206</v>
      </c>
      <c r="V356" s="7" t="s">
        <v>8578</v>
      </c>
    </row>
    <row r="357" spans="1:22" ht="85.5">
      <c r="A357" s="7" t="s">
        <v>5458</v>
      </c>
      <c r="B357" s="7" t="s">
        <v>92</v>
      </c>
      <c r="C357" s="7" t="s">
        <v>1573</v>
      </c>
      <c r="D357" s="7" t="s">
        <v>5459</v>
      </c>
      <c r="E357" s="7" t="s">
        <v>8579</v>
      </c>
      <c r="F357" s="7" t="s">
        <v>8580</v>
      </c>
      <c r="G357" s="7" t="s">
        <v>8581</v>
      </c>
      <c r="H357" s="7" t="s">
        <v>8582</v>
      </c>
      <c r="I357" s="7" t="s">
        <v>8583</v>
      </c>
      <c r="J357" s="7" t="s">
        <v>8584</v>
      </c>
      <c r="K357" s="7" t="s">
        <v>8556</v>
      </c>
      <c r="L357" s="7">
        <v>5</v>
      </c>
      <c r="M357" s="7">
        <v>5</v>
      </c>
      <c r="N357" s="7">
        <v>4</v>
      </c>
      <c r="O357" s="7">
        <v>3</v>
      </c>
      <c r="P357" s="7">
        <v>2</v>
      </c>
      <c r="Q357" s="7">
        <v>1</v>
      </c>
      <c r="R357" s="7" t="s">
        <v>5197</v>
      </c>
      <c r="S357" s="7" t="s">
        <v>5460</v>
      </c>
      <c r="T357" s="7" t="s">
        <v>5205</v>
      </c>
      <c r="U357" s="7" t="s">
        <v>5206</v>
      </c>
      <c r="V357" s="7" t="s">
        <v>8585</v>
      </c>
    </row>
    <row r="358" spans="1:22" ht="85.5">
      <c r="A358" s="7" t="s">
        <v>5470</v>
      </c>
      <c r="B358" s="7" t="s">
        <v>93</v>
      </c>
      <c r="C358" s="7" t="s">
        <v>1581</v>
      </c>
      <c r="D358" s="7" t="s">
        <v>5471</v>
      </c>
      <c r="E358" s="7" t="s">
        <v>8586</v>
      </c>
      <c r="F358" s="7" t="s">
        <v>8587</v>
      </c>
      <c r="G358" s="7" t="s">
        <v>8588</v>
      </c>
      <c r="H358" s="7" t="s">
        <v>8589</v>
      </c>
      <c r="I358" s="7" t="s">
        <v>8590</v>
      </c>
      <c r="J358" s="7" t="s">
        <v>8591</v>
      </c>
      <c r="K358" s="7" t="s">
        <v>8592</v>
      </c>
      <c r="L358" s="7">
        <v>5</v>
      </c>
      <c r="M358" s="7">
        <v>5</v>
      </c>
      <c r="N358" s="7">
        <v>4</v>
      </c>
      <c r="O358" s="7">
        <v>3</v>
      </c>
      <c r="P358" s="7">
        <v>2</v>
      </c>
      <c r="Q358" s="7">
        <v>1</v>
      </c>
      <c r="R358" s="7" t="s">
        <v>5473</v>
      </c>
      <c r="S358" s="7" t="s">
        <v>5474</v>
      </c>
      <c r="T358" s="7" t="s">
        <v>5481</v>
      </c>
      <c r="U358" s="7" t="s">
        <v>5482</v>
      </c>
      <c r="V358" s="7" t="s">
        <v>8593</v>
      </c>
    </row>
    <row r="359" spans="1:22" ht="71.25">
      <c r="A359" s="7" t="s">
        <v>5484</v>
      </c>
      <c r="B359" s="7" t="s">
        <v>93</v>
      </c>
      <c r="C359" s="7" t="s">
        <v>1581</v>
      </c>
      <c r="D359" s="7" t="s">
        <v>5485</v>
      </c>
      <c r="E359" s="7" t="s">
        <v>8594</v>
      </c>
      <c r="F359" s="7" t="s">
        <v>8595</v>
      </c>
      <c r="G359" s="7" t="s">
        <v>8596</v>
      </c>
      <c r="H359" s="7" t="s">
        <v>8597</v>
      </c>
      <c r="I359" s="7" t="s">
        <v>8598</v>
      </c>
      <c r="J359" s="7" t="s">
        <v>8599</v>
      </c>
      <c r="K359" s="7" t="s">
        <v>8592</v>
      </c>
      <c r="L359" s="7">
        <v>5</v>
      </c>
      <c r="M359" s="7">
        <v>5</v>
      </c>
      <c r="N359" s="7">
        <v>4</v>
      </c>
      <c r="O359" s="7">
        <v>3</v>
      </c>
      <c r="P359" s="7">
        <v>2</v>
      </c>
      <c r="Q359" s="7">
        <v>1</v>
      </c>
      <c r="R359" s="7" t="s">
        <v>5473</v>
      </c>
      <c r="S359" s="7" t="s">
        <v>5486</v>
      </c>
      <c r="T359" s="7" t="s">
        <v>5481</v>
      </c>
      <c r="U359" s="7" t="s">
        <v>5482</v>
      </c>
      <c r="V359" s="7" t="s">
        <v>8600</v>
      </c>
    </row>
    <row r="360" spans="1:22" ht="85.5">
      <c r="A360" s="7" t="s">
        <v>5494</v>
      </c>
      <c r="B360" s="7" t="s">
        <v>93</v>
      </c>
      <c r="C360" s="7" t="s">
        <v>1581</v>
      </c>
      <c r="D360" s="7" t="s">
        <v>5495</v>
      </c>
      <c r="E360" s="7" t="s">
        <v>8601</v>
      </c>
      <c r="F360" s="7" t="s">
        <v>8602</v>
      </c>
      <c r="G360" s="7" t="s">
        <v>8603</v>
      </c>
      <c r="H360" s="7" t="s">
        <v>8604</v>
      </c>
      <c r="I360" s="7" t="s">
        <v>8605</v>
      </c>
      <c r="J360" s="7" t="s">
        <v>8606</v>
      </c>
      <c r="K360" s="7" t="s">
        <v>8592</v>
      </c>
      <c r="L360" s="7">
        <v>5</v>
      </c>
      <c r="M360" s="7">
        <v>5</v>
      </c>
      <c r="N360" s="7">
        <v>4</v>
      </c>
      <c r="O360" s="7">
        <v>3</v>
      </c>
      <c r="P360" s="7">
        <v>2</v>
      </c>
      <c r="Q360" s="7">
        <v>1</v>
      </c>
      <c r="R360" s="7" t="s">
        <v>5473</v>
      </c>
      <c r="S360" s="7" t="s">
        <v>5496</v>
      </c>
      <c r="T360" s="7" t="s">
        <v>5481</v>
      </c>
      <c r="U360" s="7" t="s">
        <v>5482</v>
      </c>
      <c r="V360" s="7" t="s">
        <v>8607</v>
      </c>
    </row>
    <row r="361" spans="1:22" ht="85.5">
      <c r="A361" s="7" t="s">
        <v>5504</v>
      </c>
      <c r="B361" s="7" t="s">
        <v>93</v>
      </c>
      <c r="C361" s="7" t="s">
        <v>1581</v>
      </c>
      <c r="D361" s="7" t="s">
        <v>5505</v>
      </c>
      <c r="E361" s="7" t="s">
        <v>8608</v>
      </c>
      <c r="F361" s="7" t="s">
        <v>8609</v>
      </c>
      <c r="G361" s="7" t="s">
        <v>8610</v>
      </c>
      <c r="H361" s="7" t="s">
        <v>8611</v>
      </c>
      <c r="I361" s="7" t="s">
        <v>8612</v>
      </c>
      <c r="J361" s="7" t="s">
        <v>8613</v>
      </c>
      <c r="K361" s="7" t="s">
        <v>8592</v>
      </c>
      <c r="L361" s="7">
        <v>5</v>
      </c>
      <c r="M361" s="7">
        <v>5</v>
      </c>
      <c r="N361" s="7">
        <v>4</v>
      </c>
      <c r="O361" s="7">
        <v>3</v>
      </c>
      <c r="P361" s="7">
        <v>2</v>
      </c>
      <c r="Q361" s="7">
        <v>1</v>
      </c>
      <c r="R361" s="7" t="s">
        <v>5473</v>
      </c>
      <c r="S361" s="7" t="s">
        <v>5506</v>
      </c>
      <c r="T361" s="7" t="s">
        <v>5481</v>
      </c>
      <c r="U361" s="7" t="s">
        <v>5482</v>
      </c>
      <c r="V361" s="7" t="s">
        <v>8614</v>
      </c>
    </row>
    <row r="362" spans="1:22" ht="71.25">
      <c r="A362" s="7" t="s">
        <v>5514</v>
      </c>
      <c r="B362" s="7" t="s">
        <v>93</v>
      </c>
      <c r="C362" s="7" t="s">
        <v>1581</v>
      </c>
      <c r="D362" s="7" t="s">
        <v>5515</v>
      </c>
      <c r="E362" s="7" t="s">
        <v>8615</v>
      </c>
      <c r="F362" s="7" t="s">
        <v>8616</v>
      </c>
      <c r="G362" s="7" t="s">
        <v>8617</v>
      </c>
      <c r="H362" s="7" t="s">
        <v>8618</v>
      </c>
      <c r="I362" s="7" t="s">
        <v>8619</v>
      </c>
      <c r="J362" s="7" t="s">
        <v>8620</v>
      </c>
      <c r="K362" s="7" t="s">
        <v>8592</v>
      </c>
      <c r="L362" s="7">
        <v>5</v>
      </c>
      <c r="M362" s="7">
        <v>5</v>
      </c>
      <c r="N362" s="7">
        <v>4</v>
      </c>
      <c r="O362" s="7">
        <v>3</v>
      </c>
      <c r="P362" s="7">
        <v>2</v>
      </c>
      <c r="Q362" s="7">
        <v>1</v>
      </c>
      <c r="R362" s="7" t="s">
        <v>5473</v>
      </c>
      <c r="S362" s="7" t="s">
        <v>5516</v>
      </c>
      <c r="T362" s="7" t="s">
        <v>5481</v>
      </c>
      <c r="U362" s="7" t="s">
        <v>5482</v>
      </c>
      <c r="V362" s="7" t="s">
        <v>8621</v>
      </c>
    </row>
    <row r="363" spans="1:22" ht="71.25">
      <c r="A363" s="7" t="s">
        <v>5524</v>
      </c>
      <c r="B363" s="7" t="s">
        <v>93</v>
      </c>
      <c r="C363" s="7" t="s">
        <v>1581</v>
      </c>
      <c r="D363" s="7" t="s">
        <v>5525</v>
      </c>
      <c r="E363" s="7" t="s">
        <v>8622</v>
      </c>
      <c r="F363" s="7" t="s">
        <v>8623</v>
      </c>
      <c r="G363" s="7" t="s">
        <v>8624</v>
      </c>
      <c r="H363" s="7" t="s">
        <v>8625</v>
      </c>
      <c r="I363" s="7" t="s">
        <v>8626</v>
      </c>
      <c r="J363" s="7" t="s">
        <v>8627</v>
      </c>
      <c r="K363" s="7" t="s">
        <v>8592</v>
      </c>
      <c r="L363" s="7">
        <v>5</v>
      </c>
      <c r="M363" s="7">
        <v>5</v>
      </c>
      <c r="N363" s="7">
        <v>4</v>
      </c>
      <c r="O363" s="7">
        <v>3</v>
      </c>
      <c r="P363" s="7">
        <v>2</v>
      </c>
      <c r="Q363" s="7">
        <v>1</v>
      </c>
      <c r="R363" s="7" t="s">
        <v>5473</v>
      </c>
      <c r="S363" s="7" t="s">
        <v>5526</v>
      </c>
      <c r="T363" s="7" t="s">
        <v>5481</v>
      </c>
      <c r="U363" s="7" t="s">
        <v>5482</v>
      </c>
      <c r="V363" s="7" t="s">
        <v>8628</v>
      </c>
    </row>
    <row r="364" spans="1:22" ht="85.5">
      <c r="A364" s="7" t="s">
        <v>5534</v>
      </c>
      <c r="B364" s="7" t="s">
        <v>93</v>
      </c>
      <c r="C364" s="7" t="s">
        <v>1596</v>
      </c>
      <c r="D364" s="7" t="s">
        <v>5535</v>
      </c>
      <c r="E364" s="7" t="s">
        <v>8629</v>
      </c>
      <c r="F364" s="7" t="s">
        <v>8630</v>
      </c>
      <c r="G364" s="7" t="s">
        <v>8631</v>
      </c>
      <c r="H364" s="7" t="s">
        <v>8632</v>
      </c>
      <c r="I364" s="7" t="s">
        <v>8633</v>
      </c>
      <c r="J364" s="7" t="s">
        <v>8634</v>
      </c>
      <c r="K364" s="7" t="s">
        <v>8635</v>
      </c>
      <c r="L364" s="7">
        <v>5</v>
      </c>
      <c r="M364" s="7">
        <v>5</v>
      </c>
      <c r="N364" s="7">
        <v>4</v>
      </c>
      <c r="O364" s="7">
        <v>3</v>
      </c>
      <c r="P364" s="7">
        <v>2</v>
      </c>
      <c r="Q364" s="7">
        <v>1</v>
      </c>
      <c r="R364" s="7" t="s">
        <v>5473</v>
      </c>
      <c r="S364" s="7" t="s">
        <v>5536</v>
      </c>
      <c r="T364" s="7" t="s">
        <v>5481</v>
      </c>
      <c r="U364" s="7" t="s">
        <v>5482</v>
      </c>
      <c r="V364" s="7" t="s">
        <v>8636</v>
      </c>
    </row>
    <row r="365" spans="1:22" ht="85.5">
      <c r="A365" s="7" t="s">
        <v>5544</v>
      </c>
      <c r="B365" s="7" t="s">
        <v>93</v>
      </c>
      <c r="C365" s="7" t="s">
        <v>1596</v>
      </c>
      <c r="D365" s="7" t="s">
        <v>5545</v>
      </c>
      <c r="E365" s="7" t="s">
        <v>8637</v>
      </c>
      <c r="F365" s="7" t="s">
        <v>8638</v>
      </c>
      <c r="G365" s="7" t="s">
        <v>8639</v>
      </c>
      <c r="H365" s="7" t="s">
        <v>8640</v>
      </c>
      <c r="I365" s="7" t="s">
        <v>8641</v>
      </c>
      <c r="J365" s="7" t="s">
        <v>8642</v>
      </c>
      <c r="K365" s="7" t="s">
        <v>8635</v>
      </c>
      <c r="L365" s="7">
        <v>5</v>
      </c>
      <c r="M365" s="7">
        <v>5</v>
      </c>
      <c r="N365" s="7">
        <v>4</v>
      </c>
      <c r="O365" s="7">
        <v>3</v>
      </c>
      <c r="P365" s="7">
        <v>2</v>
      </c>
      <c r="Q365" s="7">
        <v>1</v>
      </c>
      <c r="R365" s="7" t="s">
        <v>5473</v>
      </c>
      <c r="S365" s="7" t="s">
        <v>5546</v>
      </c>
      <c r="T365" s="7" t="s">
        <v>5481</v>
      </c>
      <c r="U365" s="7" t="s">
        <v>5482</v>
      </c>
      <c r="V365" s="7" t="s">
        <v>8643</v>
      </c>
    </row>
    <row r="366" spans="1:22" ht="71.25">
      <c r="A366" s="7" t="s">
        <v>5554</v>
      </c>
      <c r="B366" s="7" t="s">
        <v>93</v>
      </c>
      <c r="C366" s="7" t="s">
        <v>1596</v>
      </c>
      <c r="D366" s="7" t="s">
        <v>5555</v>
      </c>
      <c r="E366" s="7" t="s">
        <v>8644</v>
      </c>
      <c r="F366" s="7" t="s">
        <v>8645</v>
      </c>
      <c r="G366" s="7" t="s">
        <v>8646</v>
      </c>
      <c r="H366" s="7" t="s">
        <v>8647</v>
      </c>
      <c r="I366" s="7" t="s">
        <v>8648</v>
      </c>
      <c r="J366" s="7" t="s">
        <v>8649</v>
      </c>
      <c r="K366" s="7" t="s">
        <v>8635</v>
      </c>
      <c r="L366" s="7">
        <v>5</v>
      </c>
      <c r="M366" s="7">
        <v>5</v>
      </c>
      <c r="N366" s="7">
        <v>4</v>
      </c>
      <c r="O366" s="7">
        <v>3</v>
      </c>
      <c r="P366" s="7">
        <v>2</v>
      </c>
      <c r="Q366" s="7">
        <v>1</v>
      </c>
      <c r="R366" s="7" t="s">
        <v>5473</v>
      </c>
      <c r="S366" s="7" t="s">
        <v>5556</v>
      </c>
      <c r="T366" s="7" t="s">
        <v>5481</v>
      </c>
      <c r="U366" s="7" t="s">
        <v>5482</v>
      </c>
      <c r="V366" s="7" t="s">
        <v>8650</v>
      </c>
    </row>
    <row r="367" spans="1:22" ht="71.25">
      <c r="A367" s="7" t="s">
        <v>5564</v>
      </c>
      <c r="B367" s="7" t="s">
        <v>93</v>
      </c>
      <c r="C367" s="7" t="s">
        <v>1596</v>
      </c>
      <c r="D367" s="7" t="s">
        <v>5565</v>
      </c>
      <c r="E367" s="7" t="s">
        <v>8651</v>
      </c>
      <c r="F367" s="7" t="s">
        <v>8652</v>
      </c>
      <c r="G367" s="7" t="s">
        <v>8653</v>
      </c>
      <c r="H367" s="7" t="s">
        <v>8654</v>
      </c>
      <c r="I367" s="7" t="s">
        <v>8655</v>
      </c>
      <c r="J367" s="7" t="s">
        <v>8656</v>
      </c>
      <c r="K367" s="7" t="s">
        <v>8635</v>
      </c>
      <c r="L367" s="7">
        <v>5</v>
      </c>
      <c r="M367" s="7">
        <v>5</v>
      </c>
      <c r="N367" s="7">
        <v>4</v>
      </c>
      <c r="O367" s="7">
        <v>3</v>
      </c>
      <c r="P367" s="7">
        <v>2</v>
      </c>
      <c r="Q367" s="7">
        <v>1</v>
      </c>
      <c r="R367" s="7" t="s">
        <v>5473</v>
      </c>
      <c r="S367" s="7" t="s">
        <v>5566</v>
      </c>
      <c r="T367" s="7" t="s">
        <v>5481</v>
      </c>
      <c r="U367" s="7" t="s">
        <v>5482</v>
      </c>
      <c r="V367" s="7" t="s">
        <v>8657</v>
      </c>
    </row>
    <row r="368" spans="1:22" ht="71.25">
      <c r="A368" s="7" t="s">
        <v>5574</v>
      </c>
      <c r="B368" s="7" t="s">
        <v>93</v>
      </c>
      <c r="C368" s="7" t="s">
        <v>1596</v>
      </c>
      <c r="D368" s="7" t="s">
        <v>5575</v>
      </c>
      <c r="E368" s="7" t="s">
        <v>8658</v>
      </c>
      <c r="F368" s="7" t="s">
        <v>8659</v>
      </c>
      <c r="G368" s="7" t="s">
        <v>8660</v>
      </c>
      <c r="H368" s="7" t="s">
        <v>8661</v>
      </c>
      <c r="I368" s="7" t="s">
        <v>8662</v>
      </c>
      <c r="J368" s="7" t="s">
        <v>8663</v>
      </c>
      <c r="K368" s="7" t="s">
        <v>8635</v>
      </c>
      <c r="L368" s="7">
        <v>5</v>
      </c>
      <c r="M368" s="7">
        <v>5</v>
      </c>
      <c r="N368" s="7">
        <v>4</v>
      </c>
      <c r="O368" s="7">
        <v>3</v>
      </c>
      <c r="P368" s="7">
        <v>2</v>
      </c>
      <c r="Q368" s="7">
        <v>1</v>
      </c>
      <c r="R368" s="7" t="s">
        <v>5473</v>
      </c>
      <c r="S368" s="7" t="s">
        <v>5576</v>
      </c>
      <c r="T368" s="7" t="s">
        <v>5481</v>
      </c>
      <c r="U368" s="7" t="s">
        <v>5482</v>
      </c>
      <c r="V368" s="7" t="s">
        <v>8664</v>
      </c>
    </row>
    <row r="369" spans="1:22" ht="85.5">
      <c r="A369" s="7" t="s">
        <v>5584</v>
      </c>
      <c r="B369" s="7" t="s">
        <v>93</v>
      </c>
      <c r="C369" s="7" t="s">
        <v>1596</v>
      </c>
      <c r="D369" s="7" t="s">
        <v>5585</v>
      </c>
      <c r="E369" s="7" t="s">
        <v>8665</v>
      </c>
      <c r="F369" s="7" t="s">
        <v>8666</v>
      </c>
      <c r="G369" s="7" t="s">
        <v>8667</v>
      </c>
      <c r="H369" s="7" t="s">
        <v>8668</v>
      </c>
      <c r="I369" s="7" t="s">
        <v>8669</v>
      </c>
      <c r="J369" s="7" t="s">
        <v>8670</v>
      </c>
      <c r="K369" s="7" t="s">
        <v>8635</v>
      </c>
      <c r="L369" s="7">
        <v>5</v>
      </c>
      <c r="M369" s="7">
        <v>5</v>
      </c>
      <c r="N369" s="7">
        <v>4</v>
      </c>
      <c r="O369" s="7">
        <v>3</v>
      </c>
      <c r="P369" s="7">
        <v>2</v>
      </c>
      <c r="Q369" s="7">
        <v>1</v>
      </c>
      <c r="R369" s="7" t="s">
        <v>5473</v>
      </c>
      <c r="S369" s="7" t="s">
        <v>5586</v>
      </c>
      <c r="T369" s="7" t="s">
        <v>5481</v>
      </c>
      <c r="U369" s="7" t="s">
        <v>5482</v>
      </c>
      <c r="V369" s="7" t="s">
        <v>8671</v>
      </c>
    </row>
    <row r="370" spans="1:22" ht="85.5">
      <c r="A370" s="7" t="s">
        <v>5594</v>
      </c>
      <c r="B370" s="7" t="s">
        <v>93</v>
      </c>
      <c r="C370" s="7" t="s">
        <v>1604</v>
      </c>
      <c r="D370" s="7" t="s">
        <v>5595</v>
      </c>
      <c r="E370" s="7" t="s">
        <v>8672</v>
      </c>
      <c r="F370" s="7" t="s">
        <v>8673</v>
      </c>
      <c r="G370" s="7" t="s">
        <v>8674</v>
      </c>
      <c r="H370" s="7" t="s">
        <v>8675</v>
      </c>
      <c r="I370" s="7" t="s">
        <v>8676</v>
      </c>
      <c r="J370" s="7" t="s">
        <v>8677</v>
      </c>
      <c r="K370" s="7" t="s">
        <v>8678</v>
      </c>
      <c r="L370" s="7">
        <v>5</v>
      </c>
      <c r="M370" s="7">
        <v>5</v>
      </c>
      <c r="N370" s="7">
        <v>4</v>
      </c>
      <c r="O370" s="7">
        <v>3</v>
      </c>
      <c r="P370" s="7">
        <v>2</v>
      </c>
      <c r="Q370" s="7">
        <v>1</v>
      </c>
      <c r="R370" s="7" t="s">
        <v>5473</v>
      </c>
      <c r="S370" s="7" t="s">
        <v>5596</v>
      </c>
      <c r="T370" s="7" t="s">
        <v>5481</v>
      </c>
      <c r="U370" s="7" t="s">
        <v>5482</v>
      </c>
      <c r="V370" s="7" t="s">
        <v>8679</v>
      </c>
    </row>
    <row r="371" spans="1:22" ht="85.5">
      <c r="A371" s="7" t="s">
        <v>5604</v>
      </c>
      <c r="B371" s="7" t="s">
        <v>93</v>
      </c>
      <c r="C371" s="7" t="s">
        <v>1604</v>
      </c>
      <c r="D371" s="7" t="s">
        <v>5605</v>
      </c>
      <c r="E371" s="7" t="s">
        <v>8680</v>
      </c>
      <c r="F371" s="7" t="s">
        <v>8681</v>
      </c>
      <c r="G371" s="7" t="s">
        <v>8682</v>
      </c>
      <c r="H371" s="7" t="s">
        <v>8683</v>
      </c>
      <c r="I371" s="7" t="s">
        <v>8684</v>
      </c>
      <c r="J371" s="7" t="s">
        <v>8685</v>
      </c>
      <c r="K371" s="7" t="s">
        <v>8678</v>
      </c>
      <c r="L371" s="7">
        <v>5</v>
      </c>
      <c r="M371" s="7">
        <v>5</v>
      </c>
      <c r="N371" s="7">
        <v>4</v>
      </c>
      <c r="O371" s="7">
        <v>3</v>
      </c>
      <c r="P371" s="7">
        <v>2</v>
      </c>
      <c r="Q371" s="7">
        <v>1</v>
      </c>
      <c r="R371" s="7" t="s">
        <v>5473</v>
      </c>
      <c r="S371" s="7" t="s">
        <v>5606</v>
      </c>
      <c r="T371" s="7" t="s">
        <v>5481</v>
      </c>
      <c r="U371" s="7" t="s">
        <v>5482</v>
      </c>
      <c r="V371" s="7" t="s">
        <v>8686</v>
      </c>
    </row>
    <row r="372" spans="1:22" ht="85.5">
      <c r="A372" s="7" t="s">
        <v>5614</v>
      </c>
      <c r="B372" s="7" t="s">
        <v>93</v>
      </c>
      <c r="C372" s="7" t="s">
        <v>1604</v>
      </c>
      <c r="D372" s="7" t="s">
        <v>5615</v>
      </c>
      <c r="E372" s="7" t="s">
        <v>8687</v>
      </c>
      <c r="F372" s="7" t="s">
        <v>8688</v>
      </c>
      <c r="G372" s="7" t="s">
        <v>8689</v>
      </c>
      <c r="H372" s="7" t="s">
        <v>8690</v>
      </c>
      <c r="I372" s="7" t="s">
        <v>8691</v>
      </c>
      <c r="J372" s="7" t="s">
        <v>8692</v>
      </c>
      <c r="K372" s="7" t="s">
        <v>8678</v>
      </c>
      <c r="L372" s="7">
        <v>5</v>
      </c>
      <c r="M372" s="7">
        <v>5</v>
      </c>
      <c r="N372" s="7">
        <v>4</v>
      </c>
      <c r="O372" s="7">
        <v>3</v>
      </c>
      <c r="P372" s="7">
        <v>2</v>
      </c>
      <c r="Q372" s="7">
        <v>1</v>
      </c>
      <c r="R372" s="7" t="s">
        <v>5473</v>
      </c>
      <c r="S372" s="7" t="s">
        <v>5616</v>
      </c>
      <c r="T372" s="7" t="s">
        <v>5481</v>
      </c>
      <c r="U372" s="7" t="s">
        <v>5482</v>
      </c>
      <c r="V372" s="7" t="s">
        <v>8693</v>
      </c>
    </row>
    <row r="373" spans="1:22" ht="85.5">
      <c r="A373" s="7" t="s">
        <v>5624</v>
      </c>
      <c r="B373" s="7" t="s">
        <v>93</v>
      </c>
      <c r="C373" s="7" t="s">
        <v>1604</v>
      </c>
      <c r="D373" s="7" t="s">
        <v>5625</v>
      </c>
      <c r="E373" s="7" t="s">
        <v>8694</v>
      </c>
      <c r="F373" s="7" t="s">
        <v>8695</v>
      </c>
      <c r="G373" s="7" t="s">
        <v>8696</v>
      </c>
      <c r="H373" s="7" t="s">
        <v>8697</v>
      </c>
      <c r="I373" s="7" t="s">
        <v>8698</v>
      </c>
      <c r="J373" s="7" t="s">
        <v>8699</v>
      </c>
      <c r="K373" s="7" t="s">
        <v>8678</v>
      </c>
      <c r="L373" s="7">
        <v>5</v>
      </c>
      <c r="M373" s="7">
        <v>5</v>
      </c>
      <c r="N373" s="7">
        <v>4</v>
      </c>
      <c r="O373" s="7">
        <v>3</v>
      </c>
      <c r="P373" s="7">
        <v>2</v>
      </c>
      <c r="Q373" s="7">
        <v>1</v>
      </c>
      <c r="R373" s="7" t="s">
        <v>5473</v>
      </c>
      <c r="S373" s="7" t="s">
        <v>5626</v>
      </c>
      <c r="T373" s="7" t="s">
        <v>5481</v>
      </c>
      <c r="U373" s="7" t="s">
        <v>5482</v>
      </c>
      <c r="V373" s="7" t="s">
        <v>8700</v>
      </c>
    </row>
    <row r="374" spans="1:22" ht="85.5">
      <c r="A374" s="7" t="s">
        <v>5634</v>
      </c>
      <c r="B374" s="7" t="s">
        <v>93</v>
      </c>
      <c r="C374" s="7" t="s">
        <v>1604</v>
      </c>
      <c r="D374" s="7" t="s">
        <v>5635</v>
      </c>
      <c r="E374" s="7" t="s">
        <v>8701</v>
      </c>
      <c r="F374" s="7" t="s">
        <v>8702</v>
      </c>
      <c r="G374" s="7" t="s">
        <v>8703</v>
      </c>
      <c r="H374" s="7" t="s">
        <v>8704</v>
      </c>
      <c r="I374" s="7" t="s">
        <v>8705</v>
      </c>
      <c r="J374" s="7" t="s">
        <v>8706</v>
      </c>
      <c r="K374" s="7" t="s">
        <v>8678</v>
      </c>
      <c r="L374" s="7">
        <v>5</v>
      </c>
      <c r="M374" s="7">
        <v>5</v>
      </c>
      <c r="N374" s="7">
        <v>4</v>
      </c>
      <c r="O374" s="7">
        <v>3</v>
      </c>
      <c r="P374" s="7">
        <v>2</v>
      </c>
      <c r="Q374" s="7">
        <v>1</v>
      </c>
      <c r="R374" s="7" t="s">
        <v>5473</v>
      </c>
      <c r="S374" s="7" t="s">
        <v>5636</v>
      </c>
      <c r="T374" s="7" t="s">
        <v>5481</v>
      </c>
      <c r="U374" s="7" t="s">
        <v>5482</v>
      </c>
      <c r="V374" s="7" t="s">
        <v>8707</v>
      </c>
    </row>
    <row r="375" spans="1:22" ht="71.25">
      <c r="A375" s="7" t="s">
        <v>5644</v>
      </c>
      <c r="B375" s="7" t="s">
        <v>93</v>
      </c>
      <c r="C375" s="7" t="s">
        <v>1604</v>
      </c>
      <c r="D375" s="7" t="s">
        <v>5645</v>
      </c>
      <c r="E375" s="7" t="s">
        <v>8708</v>
      </c>
      <c r="F375" s="7" t="s">
        <v>8709</v>
      </c>
      <c r="G375" s="7" t="s">
        <v>8710</v>
      </c>
      <c r="H375" s="7" t="s">
        <v>8711</v>
      </c>
      <c r="I375" s="7" t="s">
        <v>8712</v>
      </c>
      <c r="J375" s="7" t="s">
        <v>8713</v>
      </c>
      <c r="K375" s="7" t="s">
        <v>8678</v>
      </c>
      <c r="L375" s="7">
        <v>5</v>
      </c>
      <c r="M375" s="7">
        <v>5</v>
      </c>
      <c r="N375" s="7">
        <v>4</v>
      </c>
      <c r="O375" s="7">
        <v>3</v>
      </c>
      <c r="P375" s="7">
        <v>2</v>
      </c>
      <c r="Q375" s="7">
        <v>1</v>
      </c>
      <c r="R375" s="7" t="s">
        <v>5473</v>
      </c>
      <c r="S375" s="7" t="s">
        <v>5646</v>
      </c>
      <c r="T375" s="7" t="s">
        <v>5481</v>
      </c>
      <c r="U375" s="7" t="s">
        <v>5482</v>
      </c>
      <c r="V375" s="7" t="s">
        <v>8714</v>
      </c>
    </row>
    <row r="376" spans="1:22" ht="71.25">
      <c r="A376" s="7" t="s">
        <v>5654</v>
      </c>
      <c r="B376" s="7" t="s">
        <v>93</v>
      </c>
      <c r="C376" s="7" t="s">
        <v>1604</v>
      </c>
      <c r="D376" s="7" t="s">
        <v>5655</v>
      </c>
      <c r="E376" s="7" t="s">
        <v>8715</v>
      </c>
      <c r="F376" s="7" t="s">
        <v>8716</v>
      </c>
      <c r="G376" s="7" t="s">
        <v>8717</v>
      </c>
      <c r="H376" s="7" t="s">
        <v>8718</v>
      </c>
      <c r="I376" s="7" t="s">
        <v>8719</v>
      </c>
      <c r="J376" s="7" t="s">
        <v>8720</v>
      </c>
      <c r="K376" s="7" t="s">
        <v>8678</v>
      </c>
      <c r="L376" s="7">
        <v>5</v>
      </c>
      <c r="M376" s="7">
        <v>5</v>
      </c>
      <c r="N376" s="7">
        <v>4</v>
      </c>
      <c r="O376" s="7">
        <v>3</v>
      </c>
      <c r="P376" s="7">
        <v>2</v>
      </c>
      <c r="Q376" s="7">
        <v>1</v>
      </c>
      <c r="R376" s="7" t="s">
        <v>5473</v>
      </c>
      <c r="S376" s="7" t="s">
        <v>5656</v>
      </c>
      <c r="T376" s="7" t="s">
        <v>5481</v>
      </c>
      <c r="U376" s="7" t="s">
        <v>5482</v>
      </c>
      <c r="V376" s="7" t="s">
        <v>8721</v>
      </c>
    </row>
    <row r="377" spans="1:22" ht="85.5">
      <c r="A377" s="7" t="s">
        <v>5664</v>
      </c>
      <c r="B377" s="7" t="s">
        <v>93</v>
      </c>
      <c r="C377" s="7" t="s">
        <v>1604</v>
      </c>
      <c r="D377" s="7" t="s">
        <v>5665</v>
      </c>
      <c r="E377" s="7" t="s">
        <v>8722</v>
      </c>
      <c r="F377" s="7" t="s">
        <v>8723</v>
      </c>
      <c r="G377" s="7" t="s">
        <v>8724</v>
      </c>
      <c r="H377" s="7" t="s">
        <v>8725</v>
      </c>
      <c r="I377" s="7" t="s">
        <v>8726</v>
      </c>
      <c r="J377" s="7" t="s">
        <v>8727</v>
      </c>
      <c r="K377" s="7" t="s">
        <v>8678</v>
      </c>
      <c r="L377" s="7">
        <v>5</v>
      </c>
      <c r="M377" s="7">
        <v>5</v>
      </c>
      <c r="N377" s="7">
        <v>4</v>
      </c>
      <c r="O377" s="7">
        <v>3</v>
      </c>
      <c r="P377" s="7">
        <v>2</v>
      </c>
      <c r="Q377" s="7">
        <v>1</v>
      </c>
      <c r="R377" s="7" t="s">
        <v>5473</v>
      </c>
      <c r="S377" s="7" t="s">
        <v>5666</v>
      </c>
      <c r="T377" s="7" t="s">
        <v>5481</v>
      </c>
      <c r="U377" s="7" t="s">
        <v>5482</v>
      </c>
      <c r="V377" s="7" t="s">
        <v>8728</v>
      </c>
    </row>
    <row r="378" spans="1:22" ht="85.5">
      <c r="A378" s="7" t="s">
        <v>5674</v>
      </c>
      <c r="B378" s="7" t="s">
        <v>93</v>
      </c>
      <c r="C378" s="7" t="s">
        <v>1612</v>
      </c>
      <c r="D378" s="7" t="s">
        <v>5675</v>
      </c>
      <c r="E378" s="7" t="s">
        <v>8729</v>
      </c>
      <c r="F378" s="7" t="s">
        <v>8730</v>
      </c>
      <c r="G378" s="7" t="s">
        <v>8731</v>
      </c>
      <c r="H378" s="7" t="s">
        <v>8732</v>
      </c>
      <c r="I378" s="7" t="s">
        <v>8733</v>
      </c>
      <c r="J378" s="7" t="s">
        <v>8734</v>
      </c>
      <c r="K378" s="7" t="s">
        <v>8735</v>
      </c>
      <c r="L378" s="7">
        <v>5</v>
      </c>
      <c r="M378" s="7">
        <v>5</v>
      </c>
      <c r="N378" s="7">
        <v>4</v>
      </c>
      <c r="O378" s="7">
        <v>3</v>
      </c>
      <c r="P378" s="7">
        <v>2</v>
      </c>
      <c r="Q378" s="7">
        <v>1</v>
      </c>
      <c r="R378" s="7" t="s">
        <v>5473</v>
      </c>
      <c r="S378" s="7" t="s">
        <v>5676</v>
      </c>
      <c r="T378" s="7" t="s">
        <v>5481</v>
      </c>
      <c r="U378" s="7" t="s">
        <v>5482</v>
      </c>
      <c r="V378" s="7" t="s">
        <v>8736</v>
      </c>
    </row>
    <row r="379" spans="1:22" ht="71.25">
      <c r="A379" s="7" t="s">
        <v>5684</v>
      </c>
      <c r="B379" s="7" t="s">
        <v>93</v>
      </c>
      <c r="C379" s="7" t="s">
        <v>1612</v>
      </c>
      <c r="D379" s="7" t="s">
        <v>5685</v>
      </c>
      <c r="E379" s="7" t="s">
        <v>8737</v>
      </c>
      <c r="F379" s="7" t="s">
        <v>8738</v>
      </c>
      <c r="G379" s="7" t="s">
        <v>8739</v>
      </c>
      <c r="H379" s="7" t="s">
        <v>8740</v>
      </c>
      <c r="I379" s="7" t="s">
        <v>8741</v>
      </c>
      <c r="J379" s="7" t="s">
        <v>8742</v>
      </c>
      <c r="K379" s="7" t="s">
        <v>8735</v>
      </c>
      <c r="L379" s="7">
        <v>5</v>
      </c>
      <c r="M379" s="7">
        <v>5</v>
      </c>
      <c r="N379" s="7">
        <v>4</v>
      </c>
      <c r="O379" s="7">
        <v>3</v>
      </c>
      <c r="P379" s="7">
        <v>2</v>
      </c>
      <c r="Q379" s="7">
        <v>1</v>
      </c>
      <c r="R379" s="7" t="s">
        <v>5473</v>
      </c>
      <c r="S379" s="7" t="s">
        <v>5686</v>
      </c>
      <c r="T379" s="7" t="s">
        <v>5481</v>
      </c>
      <c r="U379" s="7" t="s">
        <v>5482</v>
      </c>
      <c r="V379" s="7" t="s">
        <v>8743</v>
      </c>
    </row>
    <row r="380" spans="1:22" ht="85.5">
      <c r="A380" s="7" t="s">
        <v>5694</v>
      </c>
      <c r="B380" s="7" t="s">
        <v>93</v>
      </c>
      <c r="C380" s="7" t="s">
        <v>1612</v>
      </c>
      <c r="D380" s="7" t="s">
        <v>5695</v>
      </c>
      <c r="E380" s="7" t="s">
        <v>8744</v>
      </c>
      <c r="F380" s="7" t="s">
        <v>8745</v>
      </c>
      <c r="G380" s="7" t="s">
        <v>8746</v>
      </c>
      <c r="H380" s="7" t="s">
        <v>8747</v>
      </c>
      <c r="I380" s="7" t="s">
        <v>8748</v>
      </c>
      <c r="J380" s="7" t="s">
        <v>8749</v>
      </c>
      <c r="K380" s="7" t="s">
        <v>8735</v>
      </c>
      <c r="L380" s="7">
        <v>5</v>
      </c>
      <c r="M380" s="7">
        <v>5</v>
      </c>
      <c r="N380" s="7">
        <v>4</v>
      </c>
      <c r="O380" s="7">
        <v>3</v>
      </c>
      <c r="P380" s="7">
        <v>2</v>
      </c>
      <c r="Q380" s="7">
        <v>1</v>
      </c>
      <c r="R380" s="7" t="s">
        <v>5473</v>
      </c>
      <c r="S380" s="7" t="s">
        <v>5696</v>
      </c>
      <c r="T380" s="7" t="s">
        <v>5481</v>
      </c>
      <c r="U380" s="7" t="s">
        <v>5482</v>
      </c>
      <c r="V380" s="7" t="s">
        <v>8750</v>
      </c>
    </row>
    <row r="381" spans="1:22" ht="85.5">
      <c r="A381" s="7" t="s">
        <v>5704</v>
      </c>
      <c r="B381" s="7" t="s">
        <v>93</v>
      </c>
      <c r="C381" s="7" t="s">
        <v>1612</v>
      </c>
      <c r="D381" s="7" t="s">
        <v>5705</v>
      </c>
      <c r="E381" s="7" t="s">
        <v>8751</v>
      </c>
      <c r="F381" s="7" t="s">
        <v>8752</v>
      </c>
      <c r="G381" s="7" t="s">
        <v>8753</v>
      </c>
      <c r="H381" s="7" t="s">
        <v>8754</v>
      </c>
      <c r="I381" s="7" t="s">
        <v>8755</v>
      </c>
      <c r="J381" s="7" t="s">
        <v>8756</v>
      </c>
      <c r="K381" s="7" t="s">
        <v>8735</v>
      </c>
      <c r="L381" s="7">
        <v>5</v>
      </c>
      <c r="M381" s="7">
        <v>5</v>
      </c>
      <c r="N381" s="7">
        <v>4</v>
      </c>
      <c r="O381" s="7">
        <v>3</v>
      </c>
      <c r="P381" s="7">
        <v>2</v>
      </c>
      <c r="Q381" s="7">
        <v>1</v>
      </c>
      <c r="R381" s="7" t="s">
        <v>5473</v>
      </c>
      <c r="S381" s="7" t="s">
        <v>5706</v>
      </c>
      <c r="T381" s="7" t="s">
        <v>5481</v>
      </c>
      <c r="U381" s="7" t="s">
        <v>5482</v>
      </c>
      <c r="V381" s="7" t="s">
        <v>8757</v>
      </c>
    </row>
    <row r="382" spans="1:22" ht="71.25">
      <c r="A382" s="7" t="s">
        <v>5714</v>
      </c>
      <c r="B382" s="7" t="s">
        <v>93</v>
      </c>
      <c r="C382" s="7" t="s">
        <v>1612</v>
      </c>
      <c r="D382" s="7" t="s">
        <v>5715</v>
      </c>
      <c r="E382" s="7" t="s">
        <v>8758</v>
      </c>
      <c r="F382" s="7" t="s">
        <v>8759</v>
      </c>
      <c r="G382" s="7" t="s">
        <v>8760</v>
      </c>
      <c r="H382" s="7" t="s">
        <v>8761</v>
      </c>
      <c r="I382" s="7" t="s">
        <v>8762</v>
      </c>
      <c r="J382" s="7" t="s">
        <v>8763</v>
      </c>
      <c r="K382" s="7" t="s">
        <v>8735</v>
      </c>
      <c r="L382" s="7">
        <v>5</v>
      </c>
      <c r="M382" s="7">
        <v>5</v>
      </c>
      <c r="N382" s="7">
        <v>4</v>
      </c>
      <c r="O382" s="7">
        <v>3</v>
      </c>
      <c r="P382" s="7">
        <v>2</v>
      </c>
      <c r="Q382" s="7">
        <v>1</v>
      </c>
      <c r="R382" s="7" t="s">
        <v>5473</v>
      </c>
      <c r="S382" s="7" t="s">
        <v>5716</v>
      </c>
      <c r="T382" s="7" t="s">
        <v>5481</v>
      </c>
      <c r="U382" s="7" t="s">
        <v>5482</v>
      </c>
      <c r="V382" s="7" t="s">
        <v>8764</v>
      </c>
    </row>
    <row r="383" spans="1:22" ht="71.25">
      <c r="A383" s="7" t="s">
        <v>5724</v>
      </c>
      <c r="B383" s="7" t="s">
        <v>93</v>
      </c>
      <c r="C383" s="7" t="s">
        <v>1612</v>
      </c>
      <c r="D383" s="7" t="s">
        <v>5725</v>
      </c>
      <c r="E383" s="7" t="s">
        <v>8765</v>
      </c>
      <c r="F383" s="7" t="s">
        <v>8766</v>
      </c>
      <c r="G383" s="7" t="s">
        <v>8767</v>
      </c>
      <c r="H383" s="7" t="s">
        <v>8768</v>
      </c>
      <c r="I383" s="7" t="s">
        <v>8769</v>
      </c>
      <c r="J383" s="7" t="s">
        <v>8770</v>
      </c>
      <c r="K383" s="7" t="s">
        <v>8735</v>
      </c>
      <c r="L383" s="7">
        <v>5</v>
      </c>
      <c r="M383" s="7">
        <v>5</v>
      </c>
      <c r="N383" s="7">
        <v>4</v>
      </c>
      <c r="O383" s="7">
        <v>3</v>
      </c>
      <c r="P383" s="7">
        <v>2</v>
      </c>
      <c r="Q383" s="7">
        <v>1</v>
      </c>
      <c r="R383" s="7" t="s">
        <v>5473</v>
      </c>
      <c r="S383" s="7" t="s">
        <v>5726</v>
      </c>
      <c r="T383" s="7" t="s">
        <v>5481</v>
      </c>
      <c r="U383" s="7" t="s">
        <v>5482</v>
      </c>
      <c r="V383" s="7" t="s">
        <v>8771</v>
      </c>
    </row>
    <row r="384" spans="1:22" ht="71.25">
      <c r="A384" s="7" t="s">
        <v>5734</v>
      </c>
      <c r="B384" s="7" t="s">
        <v>93</v>
      </c>
      <c r="C384" s="7" t="s">
        <v>1620</v>
      </c>
      <c r="D384" s="7" t="s">
        <v>5735</v>
      </c>
      <c r="E384" s="7" t="s">
        <v>8772</v>
      </c>
      <c r="F384" s="7" t="s">
        <v>8773</v>
      </c>
      <c r="G384" s="7" t="s">
        <v>8774</v>
      </c>
      <c r="H384" s="7" t="s">
        <v>8775</v>
      </c>
      <c r="I384" s="7" t="s">
        <v>8776</v>
      </c>
      <c r="J384" s="7" t="s">
        <v>8777</v>
      </c>
      <c r="K384" s="7" t="s">
        <v>8778</v>
      </c>
      <c r="L384" s="7">
        <v>5</v>
      </c>
      <c r="M384" s="7">
        <v>5</v>
      </c>
      <c r="N384" s="7">
        <v>5</v>
      </c>
      <c r="O384" s="7">
        <v>4</v>
      </c>
      <c r="P384" s="7">
        <v>3</v>
      </c>
      <c r="Q384" s="7">
        <v>1</v>
      </c>
      <c r="R384" s="7" t="s">
        <v>5473</v>
      </c>
      <c r="S384" s="7" t="s">
        <v>5736</v>
      </c>
      <c r="T384" s="7" t="s">
        <v>5481</v>
      </c>
      <c r="U384" s="7" t="s">
        <v>5482</v>
      </c>
      <c r="V384" s="7" t="s">
        <v>8779</v>
      </c>
    </row>
    <row r="385" spans="1:22" ht="85.5">
      <c r="A385" s="7" t="s">
        <v>5744</v>
      </c>
      <c r="B385" s="7" t="s">
        <v>93</v>
      </c>
      <c r="C385" s="7" t="s">
        <v>1620</v>
      </c>
      <c r="D385" s="7" t="s">
        <v>5745</v>
      </c>
      <c r="E385" s="7" t="s">
        <v>8780</v>
      </c>
      <c r="F385" s="7" t="s">
        <v>8781</v>
      </c>
      <c r="G385" s="7" t="s">
        <v>8782</v>
      </c>
      <c r="H385" s="7" t="s">
        <v>8783</v>
      </c>
      <c r="I385" s="7" t="s">
        <v>8784</v>
      </c>
      <c r="J385" s="7" t="s">
        <v>8785</v>
      </c>
      <c r="K385" s="7" t="s">
        <v>8778</v>
      </c>
      <c r="L385" s="7">
        <v>5</v>
      </c>
      <c r="M385" s="7">
        <v>5</v>
      </c>
      <c r="N385" s="7">
        <v>5</v>
      </c>
      <c r="O385" s="7">
        <v>4</v>
      </c>
      <c r="P385" s="7">
        <v>3</v>
      </c>
      <c r="Q385" s="7">
        <v>1</v>
      </c>
      <c r="R385" s="7" t="s">
        <v>5473</v>
      </c>
      <c r="S385" s="7" t="s">
        <v>5746</v>
      </c>
      <c r="T385" s="7" t="s">
        <v>5481</v>
      </c>
      <c r="U385" s="7" t="s">
        <v>5482</v>
      </c>
      <c r="V385" s="7" t="s">
        <v>8786</v>
      </c>
    </row>
    <row r="386" spans="1:22" ht="85.5">
      <c r="A386" s="7" t="s">
        <v>5754</v>
      </c>
      <c r="B386" s="7" t="s">
        <v>93</v>
      </c>
      <c r="C386" s="7" t="s">
        <v>1620</v>
      </c>
      <c r="D386" s="7" t="s">
        <v>4229</v>
      </c>
      <c r="E386" s="7" t="s">
        <v>7716</v>
      </c>
      <c r="F386" s="7" t="s">
        <v>7717</v>
      </c>
      <c r="G386" s="7" t="s">
        <v>7718</v>
      </c>
      <c r="H386" s="7" t="s">
        <v>7719</v>
      </c>
      <c r="I386" s="7" t="s">
        <v>7720</v>
      </c>
      <c r="J386" s="7" t="s">
        <v>7721</v>
      </c>
      <c r="K386" s="7" t="s">
        <v>8778</v>
      </c>
      <c r="L386" s="7">
        <v>5</v>
      </c>
      <c r="M386" s="7">
        <v>5</v>
      </c>
      <c r="N386" s="7">
        <v>5</v>
      </c>
      <c r="O386" s="7">
        <v>4</v>
      </c>
      <c r="P386" s="7">
        <v>3</v>
      </c>
      <c r="Q386" s="7">
        <v>1</v>
      </c>
      <c r="R386" s="7" t="s">
        <v>5473</v>
      </c>
      <c r="S386" s="7" t="s">
        <v>4230</v>
      </c>
      <c r="T386" s="7" t="s">
        <v>5481</v>
      </c>
      <c r="U386" s="7" t="s">
        <v>5482</v>
      </c>
      <c r="V386" s="7" t="s">
        <v>8787</v>
      </c>
    </row>
    <row r="387" spans="1:22" ht="71.25">
      <c r="A387" s="7" t="s">
        <v>5756</v>
      </c>
      <c r="B387" s="7" t="s">
        <v>93</v>
      </c>
      <c r="C387" s="7" t="s">
        <v>1620</v>
      </c>
      <c r="D387" s="7" t="s">
        <v>5757</v>
      </c>
      <c r="E387" s="7" t="s">
        <v>8788</v>
      </c>
      <c r="F387" s="7" t="s">
        <v>8789</v>
      </c>
      <c r="G387" s="7" t="s">
        <v>8790</v>
      </c>
      <c r="H387" s="7" t="s">
        <v>8791</v>
      </c>
      <c r="I387" s="7" t="s">
        <v>8792</v>
      </c>
      <c r="J387" s="7" t="s">
        <v>8793</v>
      </c>
      <c r="K387" s="7" t="s">
        <v>8778</v>
      </c>
      <c r="L387" s="7">
        <v>5</v>
      </c>
      <c r="M387" s="7">
        <v>5</v>
      </c>
      <c r="N387" s="7">
        <v>5</v>
      </c>
      <c r="O387" s="7">
        <v>4</v>
      </c>
      <c r="P387" s="7">
        <v>3</v>
      </c>
      <c r="Q387" s="7">
        <v>1</v>
      </c>
      <c r="R387" s="7" t="s">
        <v>5473</v>
      </c>
      <c r="S387" s="7" t="s">
        <v>5758</v>
      </c>
      <c r="T387" s="7" t="s">
        <v>5481</v>
      </c>
      <c r="U387" s="7" t="s">
        <v>5482</v>
      </c>
      <c r="V387" s="7" t="s">
        <v>8794</v>
      </c>
    </row>
    <row r="388" spans="1:22" ht="71.25">
      <c r="A388" s="7" t="s">
        <v>5766</v>
      </c>
      <c r="B388" s="7" t="s">
        <v>93</v>
      </c>
      <c r="C388" s="7" t="s">
        <v>1620</v>
      </c>
      <c r="D388" s="7" t="s">
        <v>5767</v>
      </c>
      <c r="E388" s="7" t="s">
        <v>8795</v>
      </c>
      <c r="F388" s="7" t="s">
        <v>8796</v>
      </c>
      <c r="G388" s="7" t="s">
        <v>8797</v>
      </c>
      <c r="H388" s="7" t="s">
        <v>8798</v>
      </c>
      <c r="I388" s="7" t="s">
        <v>8799</v>
      </c>
      <c r="J388" s="7" t="s">
        <v>8800</v>
      </c>
      <c r="K388" s="7" t="s">
        <v>8778</v>
      </c>
      <c r="L388" s="7">
        <v>5</v>
      </c>
      <c r="M388" s="7">
        <v>5</v>
      </c>
      <c r="N388" s="7">
        <v>5</v>
      </c>
      <c r="O388" s="7">
        <v>4</v>
      </c>
      <c r="P388" s="7">
        <v>3</v>
      </c>
      <c r="Q388" s="7">
        <v>1</v>
      </c>
      <c r="R388" s="7" t="s">
        <v>5473</v>
      </c>
      <c r="S388" s="7" t="s">
        <v>5768</v>
      </c>
      <c r="T388" s="7" t="s">
        <v>5481</v>
      </c>
      <c r="U388" s="7" t="s">
        <v>5482</v>
      </c>
      <c r="V388" s="7" t="s">
        <v>8801</v>
      </c>
    </row>
    <row r="389" spans="1:22" ht="85.5">
      <c r="A389" s="7" t="s">
        <v>5776</v>
      </c>
      <c r="B389" s="7" t="s">
        <v>93</v>
      </c>
      <c r="C389" s="7" t="s">
        <v>1628</v>
      </c>
      <c r="D389" s="7" t="s">
        <v>5777</v>
      </c>
      <c r="E389" s="7" t="s">
        <v>8802</v>
      </c>
      <c r="F389" s="7" t="s">
        <v>8803</v>
      </c>
      <c r="G389" s="7" t="s">
        <v>8804</v>
      </c>
      <c r="H389" s="7" t="s">
        <v>8805</v>
      </c>
      <c r="I389" s="7" t="s">
        <v>8806</v>
      </c>
      <c r="J389" s="7" t="s">
        <v>8807</v>
      </c>
      <c r="K389" s="7" t="s">
        <v>8808</v>
      </c>
      <c r="L389" s="7">
        <v>5</v>
      </c>
      <c r="M389" s="7">
        <v>5</v>
      </c>
      <c r="N389" s="7">
        <v>4</v>
      </c>
      <c r="O389" s="7">
        <v>3</v>
      </c>
      <c r="P389" s="7">
        <v>2</v>
      </c>
      <c r="Q389" s="7">
        <v>1</v>
      </c>
      <c r="R389" s="7" t="s">
        <v>5473</v>
      </c>
      <c r="S389" s="7" t="s">
        <v>5778</v>
      </c>
      <c r="T389" s="7" t="s">
        <v>5481</v>
      </c>
      <c r="U389" s="7" t="s">
        <v>5482</v>
      </c>
      <c r="V389" s="7" t="s">
        <v>8809</v>
      </c>
    </row>
    <row r="390" spans="1:22" ht="85.5">
      <c r="A390" s="7" t="s">
        <v>5786</v>
      </c>
      <c r="B390" s="7" t="s">
        <v>93</v>
      </c>
      <c r="C390" s="7" t="s">
        <v>1628</v>
      </c>
      <c r="D390" s="7" t="s">
        <v>5787</v>
      </c>
      <c r="E390" s="7" t="s">
        <v>8810</v>
      </c>
      <c r="F390" s="7" t="s">
        <v>8811</v>
      </c>
      <c r="G390" s="7" t="s">
        <v>8812</v>
      </c>
      <c r="H390" s="7" t="s">
        <v>8813</v>
      </c>
      <c r="I390" s="7" t="s">
        <v>8814</v>
      </c>
      <c r="J390" s="7" t="s">
        <v>8815</v>
      </c>
      <c r="K390" s="7" t="s">
        <v>8808</v>
      </c>
      <c r="L390" s="7">
        <v>5</v>
      </c>
      <c r="M390" s="7">
        <v>5</v>
      </c>
      <c r="N390" s="7">
        <v>4</v>
      </c>
      <c r="O390" s="7">
        <v>3</v>
      </c>
      <c r="P390" s="7">
        <v>2</v>
      </c>
      <c r="Q390" s="7">
        <v>1</v>
      </c>
      <c r="R390" s="7" t="s">
        <v>5473</v>
      </c>
      <c r="S390" s="7" t="s">
        <v>5788</v>
      </c>
      <c r="T390" s="7" t="s">
        <v>5481</v>
      </c>
      <c r="U390" s="7" t="s">
        <v>5482</v>
      </c>
      <c r="V390" s="7" t="s">
        <v>8816</v>
      </c>
    </row>
    <row r="391" spans="1:22" ht="85.5">
      <c r="A391" s="7" t="s">
        <v>5796</v>
      </c>
      <c r="B391" s="7" t="s">
        <v>93</v>
      </c>
      <c r="C391" s="7" t="s">
        <v>1628</v>
      </c>
      <c r="D391" s="7" t="s">
        <v>5797</v>
      </c>
      <c r="E391" s="7" t="s">
        <v>8817</v>
      </c>
      <c r="F391" s="7" t="s">
        <v>8818</v>
      </c>
      <c r="G391" s="7" t="s">
        <v>8819</v>
      </c>
      <c r="H391" s="7" t="s">
        <v>8820</v>
      </c>
      <c r="I391" s="7" t="s">
        <v>8821</v>
      </c>
      <c r="J391" s="7" t="s">
        <v>8822</v>
      </c>
      <c r="K391" s="7" t="s">
        <v>8808</v>
      </c>
      <c r="L391" s="7">
        <v>5</v>
      </c>
      <c r="M391" s="7">
        <v>5</v>
      </c>
      <c r="N391" s="7">
        <v>4</v>
      </c>
      <c r="O391" s="7">
        <v>3</v>
      </c>
      <c r="P391" s="7">
        <v>2</v>
      </c>
      <c r="Q391" s="7">
        <v>1</v>
      </c>
      <c r="R391" s="7" t="s">
        <v>5473</v>
      </c>
      <c r="S391" s="7" t="s">
        <v>5798</v>
      </c>
      <c r="T391" s="7" t="s">
        <v>5481</v>
      </c>
      <c r="U391" s="7" t="s">
        <v>5482</v>
      </c>
      <c r="V391" s="7" t="s">
        <v>8823</v>
      </c>
    </row>
    <row r="392" spans="1:22" ht="71.25">
      <c r="A392" s="7" t="s">
        <v>5808</v>
      </c>
      <c r="B392" s="7" t="s">
        <v>94</v>
      </c>
      <c r="C392" s="7" t="s">
        <v>1636</v>
      </c>
      <c r="D392" s="7" t="s">
        <v>5809</v>
      </c>
      <c r="E392" s="7" t="s">
        <v>8824</v>
      </c>
      <c r="F392" s="7" t="s">
        <v>8825</v>
      </c>
      <c r="G392" s="7" t="s">
        <v>8826</v>
      </c>
      <c r="H392" s="7" t="s">
        <v>8827</v>
      </c>
      <c r="I392" s="7" t="s">
        <v>8828</v>
      </c>
      <c r="J392" s="7" t="s">
        <v>8829</v>
      </c>
      <c r="K392" s="7" t="s">
        <v>8830</v>
      </c>
      <c r="L392" s="7">
        <v>4</v>
      </c>
      <c r="M392" s="7">
        <v>4</v>
      </c>
      <c r="N392" s="7">
        <v>3</v>
      </c>
      <c r="O392" s="7">
        <v>2</v>
      </c>
      <c r="P392" s="7">
        <v>1</v>
      </c>
      <c r="Q392" s="7">
        <v>1</v>
      </c>
      <c r="R392" s="7" t="s">
        <v>5811</v>
      </c>
      <c r="S392" s="7" t="s">
        <v>5812</v>
      </c>
      <c r="T392" s="7" t="s">
        <v>5819</v>
      </c>
      <c r="U392" s="7" t="s">
        <v>5820</v>
      </c>
      <c r="V392" s="7" t="s">
        <v>8831</v>
      </c>
    </row>
    <row r="393" spans="1:22" ht="85.5">
      <c r="A393" s="7" t="s">
        <v>5822</v>
      </c>
      <c r="B393" s="7" t="s">
        <v>94</v>
      </c>
      <c r="C393" s="7" t="s">
        <v>1636</v>
      </c>
      <c r="D393" s="7" t="s">
        <v>5823</v>
      </c>
      <c r="E393" s="7" t="s">
        <v>8832</v>
      </c>
      <c r="F393" s="7" t="s">
        <v>8833</v>
      </c>
      <c r="G393" s="7" t="s">
        <v>8834</v>
      </c>
      <c r="H393" s="7" t="s">
        <v>8835</v>
      </c>
      <c r="I393" s="7" t="s">
        <v>8836</v>
      </c>
      <c r="J393" s="7" t="s">
        <v>8837</v>
      </c>
      <c r="K393" s="7" t="s">
        <v>8830</v>
      </c>
      <c r="L393" s="7">
        <v>4</v>
      </c>
      <c r="M393" s="7">
        <v>4</v>
      </c>
      <c r="N393" s="7">
        <v>3</v>
      </c>
      <c r="O393" s="7">
        <v>2</v>
      </c>
      <c r="P393" s="7">
        <v>1</v>
      </c>
      <c r="Q393" s="7">
        <v>1</v>
      </c>
      <c r="R393" s="7" t="s">
        <v>5811</v>
      </c>
      <c r="S393" s="7" t="s">
        <v>5824</v>
      </c>
      <c r="T393" s="7" t="s">
        <v>5819</v>
      </c>
      <c r="U393" s="7" t="s">
        <v>5820</v>
      </c>
      <c r="V393" s="7" t="s">
        <v>8838</v>
      </c>
    </row>
    <row r="394" spans="1:22" ht="85.5">
      <c r="A394" s="7" t="s">
        <v>5832</v>
      </c>
      <c r="B394" s="7" t="s">
        <v>94</v>
      </c>
      <c r="C394" s="7" t="s">
        <v>1636</v>
      </c>
      <c r="D394" s="7" t="s">
        <v>5833</v>
      </c>
      <c r="E394" s="7" t="s">
        <v>8839</v>
      </c>
      <c r="F394" s="7" t="s">
        <v>8840</v>
      </c>
      <c r="G394" s="7" t="s">
        <v>8841</v>
      </c>
      <c r="H394" s="7" t="s">
        <v>8842</v>
      </c>
      <c r="I394" s="7" t="s">
        <v>8843</v>
      </c>
      <c r="J394" s="7" t="s">
        <v>8844</v>
      </c>
      <c r="K394" s="7" t="s">
        <v>8830</v>
      </c>
      <c r="L394" s="7">
        <v>4</v>
      </c>
      <c r="M394" s="7">
        <v>4</v>
      </c>
      <c r="N394" s="7">
        <v>3</v>
      </c>
      <c r="O394" s="7">
        <v>2</v>
      </c>
      <c r="P394" s="7">
        <v>1</v>
      </c>
      <c r="Q394" s="7">
        <v>1</v>
      </c>
      <c r="R394" s="7" t="s">
        <v>5811</v>
      </c>
      <c r="S394" s="7" t="s">
        <v>5834</v>
      </c>
      <c r="T394" s="7" t="s">
        <v>5819</v>
      </c>
      <c r="U394" s="7" t="s">
        <v>5820</v>
      </c>
      <c r="V394" s="7" t="s">
        <v>8845</v>
      </c>
    </row>
    <row r="395" spans="1:22" ht="85.5">
      <c r="A395" s="7" t="s">
        <v>5842</v>
      </c>
      <c r="B395" s="7" t="s">
        <v>94</v>
      </c>
      <c r="C395" s="7" t="s">
        <v>1636</v>
      </c>
      <c r="D395" s="7" t="s">
        <v>5843</v>
      </c>
      <c r="E395" s="7" t="s">
        <v>8846</v>
      </c>
      <c r="F395" s="7" t="s">
        <v>8847</v>
      </c>
      <c r="G395" s="7" t="s">
        <v>8848</v>
      </c>
      <c r="H395" s="7" t="s">
        <v>8849</v>
      </c>
      <c r="I395" s="7" t="s">
        <v>8850</v>
      </c>
      <c r="J395" s="7" t="s">
        <v>8851</v>
      </c>
      <c r="K395" s="7" t="s">
        <v>8830</v>
      </c>
      <c r="L395" s="7">
        <v>4</v>
      </c>
      <c r="M395" s="7">
        <v>4</v>
      </c>
      <c r="N395" s="7">
        <v>3</v>
      </c>
      <c r="O395" s="7">
        <v>2</v>
      </c>
      <c r="P395" s="7">
        <v>1</v>
      </c>
      <c r="Q395" s="7">
        <v>1</v>
      </c>
      <c r="R395" s="7" t="s">
        <v>5811</v>
      </c>
      <c r="S395" s="7" t="s">
        <v>5844</v>
      </c>
      <c r="T395" s="7" t="s">
        <v>5819</v>
      </c>
      <c r="U395" s="7" t="s">
        <v>5820</v>
      </c>
      <c r="V395" s="7" t="s">
        <v>8852</v>
      </c>
    </row>
    <row r="396" spans="1:22" ht="85.5">
      <c r="A396" s="7" t="s">
        <v>5852</v>
      </c>
      <c r="B396" s="7" t="s">
        <v>94</v>
      </c>
      <c r="C396" s="7" t="s">
        <v>1636</v>
      </c>
      <c r="D396" s="7" t="s">
        <v>5853</v>
      </c>
      <c r="E396" s="7" t="s">
        <v>8853</v>
      </c>
      <c r="F396" s="7" t="s">
        <v>8854</v>
      </c>
      <c r="G396" s="7" t="s">
        <v>8855</v>
      </c>
      <c r="H396" s="7" t="s">
        <v>8856</v>
      </c>
      <c r="I396" s="7" t="s">
        <v>8857</v>
      </c>
      <c r="J396" s="7" t="s">
        <v>8858</v>
      </c>
      <c r="K396" s="7" t="s">
        <v>8830</v>
      </c>
      <c r="L396" s="7">
        <v>4</v>
      </c>
      <c r="M396" s="7">
        <v>4</v>
      </c>
      <c r="N396" s="7">
        <v>3</v>
      </c>
      <c r="O396" s="7">
        <v>2</v>
      </c>
      <c r="P396" s="7">
        <v>1</v>
      </c>
      <c r="Q396" s="7">
        <v>1</v>
      </c>
      <c r="R396" s="7" t="s">
        <v>5811</v>
      </c>
      <c r="S396" s="7" t="s">
        <v>5854</v>
      </c>
      <c r="T396" s="7" t="s">
        <v>5819</v>
      </c>
      <c r="U396" s="7" t="s">
        <v>5820</v>
      </c>
      <c r="V396" s="7" t="s">
        <v>8859</v>
      </c>
    </row>
    <row r="397" spans="1:22" ht="71.25">
      <c r="A397" s="7" t="s">
        <v>5862</v>
      </c>
      <c r="B397" s="7" t="s">
        <v>94</v>
      </c>
      <c r="C397" s="7" t="s">
        <v>1647</v>
      </c>
      <c r="D397" s="7" t="s">
        <v>5863</v>
      </c>
      <c r="E397" s="7" t="s">
        <v>8860</v>
      </c>
      <c r="F397" s="7" t="s">
        <v>8861</v>
      </c>
      <c r="G397" s="7" t="s">
        <v>8862</v>
      </c>
      <c r="H397" s="7" t="s">
        <v>8863</v>
      </c>
      <c r="I397" s="7" t="s">
        <v>8864</v>
      </c>
      <c r="J397" s="7" t="s">
        <v>8865</v>
      </c>
      <c r="K397" s="7" t="s">
        <v>8866</v>
      </c>
      <c r="L397" s="7">
        <v>4</v>
      </c>
      <c r="M397" s="7">
        <v>4</v>
      </c>
      <c r="N397" s="7">
        <v>3</v>
      </c>
      <c r="O397" s="7">
        <v>2</v>
      </c>
      <c r="P397" s="7">
        <v>1</v>
      </c>
      <c r="Q397" s="7">
        <v>1</v>
      </c>
      <c r="R397" s="7" t="s">
        <v>5811</v>
      </c>
      <c r="S397" s="7" t="s">
        <v>5864</v>
      </c>
      <c r="T397" s="7" t="s">
        <v>5819</v>
      </c>
      <c r="U397" s="7" t="s">
        <v>5820</v>
      </c>
      <c r="V397" s="7" t="s">
        <v>8867</v>
      </c>
    </row>
    <row r="398" spans="1:22" ht="71.25">
      <c r="A398" s="7" t="s">
        <v>5872</v>
      </c>
      <c r="B398" s="7" t="s">
        <v>94</v>
      </c>
      <c r="C398" s="7" t="s">
        <v>1647</v>
      </c>
      <c r="D398" s="7" t="s">
        <v>5873</v>
      </c>
      <c r="E398" s="7" t="s">
        <v>8868</v>
      </c>
      <c r="F398" s="7" t="s">
        <v>8869</v>
      </c>
      <c r="G398" s="7" t="s">
        <v>8870</v>
      </c>
      <c r="H398" s="7" t="s">
        <v>8871</v>
      </c>
      <c r="I398" s="7" t="s">
        <v>8872</v>
      </c>
      <c r="J398" s="7" t="s">
        <v>8873</v>
      </c>
      <c r="K398" s="7" t="s">
        <v>8866</v>
      </c>
      <c r="L398" s="7">
        <v>4</v>
      </c>
      <c r="M398" s="7">
        <v>4</v>
      </c>
      <c r="N398" s="7">
        <v>3</v>
      </c>
      <c r="O398" s="7">
        <v>2</v>
      </c>
      <c r="P398" s="7">
        <v>1</v>
      </c>
      <c r="Q398" s="7">
        <v>1</v>
      </c>
      <c r="R398" s="7" t="s">
        <v>5811</v>
      </c>
      <c r="S398" s="7" t="s">
        <v>5874</v>
      </c>
      <c r="T398" s="7" t="s">
        <v>5819</v>
      </c>
      <c r="U398" s="7" t="s">
        <v>5820</v>
      </c>
      <c r="V398" s="7" t="s">
        <v>8874</v>
      </c>
    </row>
    <row r="399" spans="1:22" ht="71.25">
      <c r="A399" s="7" t="s">
        <v>5882</v>
      </c>
      <c r="B399" s="7" t="s">
        <v>94</v>
      </c>
      <c r="C399" s="7" t="s">
        <v>1647</v>
      </c>
      <c r="D399" s="7" t="s">
        <v>5883</v>
      </c>
      <c r="E399" s="7" t="s">
        <v>8875</v>
      </c>
      <c r="F399" s="7" t="s">
        <v>8876</v>
      </c>
      <c r="G399" s="7" t="s">
        <v>8877</v>
      </c>
      <c r="H399" s="7" t="s">
        <v>8878</v>
      </c>
      <c r="I399" s="7" t="s">
        <v>8879</v>
      </c>
      <c r="J399" s="7" t="s">
        <v>8880</v>
      </c>
      <c r="K399" s="7" t="s">
        <v>8866</v>
      </c>
      <c r="L399" s="7">
        <v>4</v>
      </c>
      <c r="M399" s="7">
        <v>4</v>
      </c>
      <c r="N399" s="7">
        <v>3</v>
      </c>
      <c r="O399" s="7">
        <v>2</v>
      </c>
      <c r="P399" s="7">
        <v>1</v>
      </c>
      <c r="Q399" s="7">
        <v>1</v>
      </c>
      <c r="R399" s="7" t="s">
        <v>5811</v>
      </c>
      <c r="S399" s="7" t="s">
        <v>5884</v>
      </c>
      <c r="T399" s="7" t="s">
        <v>5819</v>
      </c>
      <c r="U399" s="7" t="s">
        <v>5820</v>
      </c>
      <c r="V399" s="7" t="s">
        <v>8881</v>
      </c>
    </row>
    <row r="400" spans="1:22" ht="71.25">
      <c r="A400" s="7" t="s">
        <v>5892</v>
      </c>
      <c r="B400" s="7" t="s">
        <v>94</v>
      </c>
      <c r="C400" s="7" t="s">
        <v>1647</v>
      </c>
      <c r="D400" s="7" t="s">
        <v>5893</v>
      </c>
      <c r="E400" s="7" t="s">
        <v>8882</v>
      </c>
      <c r="F400" s="7" t="s">
        <v>8883</v>
      </c>
      <c r="G400" s="7" t="s">
        <v>8884</v>
      </c>
      <c r="H400" s="7" t="s">
        <v>8885</v>
      </c>
      <c r="I400" s="7" t="s">
        <v>8886</v>
      </c>
      <c r="J400" s="7" t="s">
        <v>8887</v>
      </c>
      <c r="K400" s="7" t="s">
        <v>8866</v>
      </c>
      <c r="L400" s="7">
        <v>4</v>
      </c>
      <c r="M400" s="7">
        <v>4</v>
      </c>
      <c r="N400" s="7">
        <v>3</v>
      </c>
      <c r="O400" s="7">
        <v>2</v>
      </c>
      <c r="P400" s="7">
        <v>1</v>
      </c>
      <c r="Q400" s="7">
        <v>1</v>
      </c>
      <c r="R400" s="7" t="s">
        <v>5811</v>
      </c>
      <c r="S400" s="7" t="s">
        <v>5894</v>
      </c>
      <c r="T400" s="7" t="s">
        <v>5819</v>
      </c>
      <c r="U400" s="7" t="s">
        <v>5820</v>
      </c>
      <c r="V400" s="7" t="s">
        <v>8888</v>
      </c>
    </row>
    <row r="401" spans="1:22" ht="71.25">
      <c r="A401" s="7" t="s">
        <v>5902</v>
      </c>
      <c r="B401" s="7" t="s">
        <v>94</v>
      </c>
      <c r="C401" s="7" t="s">
        <v>1647</v>
      </c>
      <c r="D401" s="7" t="s">
        <v>5903</v>
      </c>
      <c r="E401" s="7" t="s">
        <v>8889</v>
      </c>
      <c r="F401" s="7" t="s">
        <v>8890</v>
      </c>
      <c r="G401" s="7" t="s">
        <v>8891</v>
      </c>
      <c r="H401" s="7" t="s">
        <v>8892</v>
      </c>
      <c r="I401" s="7" t="s">
        <v>8893</v>
      </c>
      <c r="J401" s="7" t="s">
        <v>8894</v>
      </c>
      <c r="K401" s="7" t="s">
        <v>8866</v>
      </c>
      <c r="L401" s="7">
        <v>4</v>
      </c>
      <c r="M401" s="7">
        <v>4</v>
      </c>
      <c r="N401" s="7">
        <v>3</v>
      </c>
      <c r="O401" s="7">
        <v>2</v>
      </c>
      <c r="P401" s="7">
        <v>1</v>
      </c>
      <c r="Q401" s="7">
        <v>1</v>
      </c>
      <c r="R401" s="7" t="s">
        <v>5811</v>
      </c>
      <c r="S401" s="7" t="s">
        <v>5904</v>
      </c>
      <c r="T401" s="7" t="s">
        <v>5819</v>
      </c>
      <c r="U401" s="7" t="s">
        <v>5820</v>
      </c>
      <c r="V401" s="7" t="s">
        <v>8895</v>
      </c>
    </row>
    <row r="402" spans="1:22" ht="85.5">
      <c r="A402" s="7" t="s">
        <v>5912</v>
      </c>
      <c r="B402" s="7" t="s">
        <v>94</v>
      </c>
      <c r="C402" s="7" t="s">
        <v>1655</v>
      </c>
      <c r="D402" s="7" t="s">
        <v>5913</v>
      </c>
      <c r="E402" s="7" t="s">
        <v>8896</v>
      </c>
      <c r="F402" s="7" t="s">
        <v>8897</v>
      </c>
      <c r="G402" s="7" t="s">
        <v>8898</v>
      </c>
      <c r="H402" s="7" t="s">
        <v>8899</v>
      </c>
      <c r="I402" s="7" t="s">
        <v>8900</v>
      </c>
      <c r="J402" s="7" t="s">
        <v>8901</v>
      </c>
      <c r="K402" s="7" t="s">
        <v>8902</v>
      </c>
      <c r="L402" s="7">
        <v>4</v>
      </c>
      <c r="M402" s="7">
        <v>4</v>
      </c>
      <c r="N402" s="7">
        <v>3</v>
      </c>
      <c r="O402" s="7">
        <v>2</v>
      </c>
      <c r="P402" s="7">
        <v>1</v>
      </c>
      <c r="Q402" s="7">
        <v>1</v>
      </c>
      <c r="R402" s="7" t="s">
        <v>5811</v>
      </c>
      <c r="S402" s="7" t="s">
        <v>5914</v>
      </c>
      <c r="T402" s="7" t="s">
        <v>5819</v>
      </c>
      <c r="U402" s="7" t="s">
        <v>5820</v>
      </c>
      <c r="V402" s="7" t="s">
        <v>8903</v>
      </c>
    </row>
    <row r="403" spans="1:22" ht="85.5">
      <c r="A403" s="7" t="s">
        <v>5922</v>
      </c>
      <c r="B403" s="7" t="s">
        <v>94</v>
      </c>
      <c r="C403" s="7" t="s">
        <v>1655</v>
      </c>
      <c r="D403" s="7" t="s">
        <v>5923</v>
      </c>
      <c r="E403" s="7" t="s">
        <v>8904</v>
      </c>
      <c r="F403" s="7" t="s">
        <v>8905</v>
      </c>
      <c r="G403" s="7" t="s">
        <v>8906</v>
      </c>
      <c r="H403" s="7" t="s">
        <v>8907</v>
      </c>
      <c r="I403" s="7" t="s">
        <v>8908</v>
      </c>
      <c r="J403" s="7" t="s">
        <v>8909</v>
      </c>
      <c r="K403" s="7" t="s">
        <v>8902</v>
      </c>
      <c r="L403" s="7">
        <v>4</v>
      </c>
      <c r="M403" s="7">
        <v>4</v>
      </c>
      <c r="N403" s="7">
        <v>3</v>
      </c>
      <c r="O403" s="7">
        <v>2</v>
      </c>
      <c r="P403" s="7">
        <v>1</v>
      </c>
      <c r="Q403" s="7">
        <v>1</v>
      </c>
      <c r="R403" s="7" t="s">
        <v>5811</v>
      </c>
      <c r="S403" s="7" t="s">
        <v>5924</v>
      </c>
      <c r="T403" s="7" t="s">
        <v>5819</v>
      </c>
      <c r="U403" s="7" t="s">
        <v>5820</v>
      </c>
      <c r="V403" s="7" t="s">
        <v>8910</v>
      </c>
    </row>
    <row r="404" spans="1:22" ht="85.5">
      <c r="A404" s="7" t="s">
        <v>5932</v>
      </c>
      <c r="B404" s="7" t="s">
        <v>94</v>
      </c>
      <c r="C404" s="7" t="s">
        <v>1655</v>
      </c>
      <c r="D404" s="7" t="s">
        <v>5933</v>
      </c>
      <c r="E404" s="7" t="s">
        <v>8911</v>
      </c>
      <c r="F404" s="7" t="s">
        <v>8912</v>
      </c>
      <c r="G404" s="7" t="s">
        <v>8913</v>
      </c>
      <c r="H404" s="7" t="s">
        <v>8914</v>
      </c>
      <c r="I404" s="7" t="s">
        <v>8915</v>
      </c>
      <c r="J404" s="7" t="s">
        <v>8916</v>
      </c>
      <c r="K404" s="7" t="s">
        <v>8902</v>
      </c>
      <c r="L404" s="7">
        <v>4</v>
      </c>
      <c r="M404" s="7">
        <v>4</v>
      </c>
      <c r="N404" s="7">
        <v>3</v>
      </c>
      <c r="O404" s="7">
        <v>2</v>
      </c>
      <c r="P404" s="7">
        <v>1</v>
      </c>
      <c r="Q404" s="7">
        <v>1</v>
      </c>
      <c r="R404" s="7" t="s">
        <v>5811</v>
      </c>
      <c r="S404" s="7" t="s">
        <v>5934</v>
      </c>
      <c r="T404" s="7" t="s">
        <v>5819</v>
      </c>
      <c r="U404" s="7" t="s">
        <v>5820</v>
      </c>
      <c r="V404" s="7" t="s">
        <v>8917</v>
      </c>
    </row>
    <row r="405" spans="1:22" ht="85.5">
      <c r="A405" s="7" t="s">
        <v>5942</v>
      </c>
      <c r="B405" s="7" t="s">
        <v>94</v>
      </c>
      <c r="C405" s="7" t="s">
        <v>1655</v>
      </c>
      <c r="D405" s="7" t="s">
        <v>5943</v>
      </c>
      <c r="E405" s="7" t="s">
        <v>8918</v>
      </c>
      <c r="F405" s="7" t="s">
        <v>8919</v>
      </c>
      <c r="G405" s="7" t="s">
        <v>8920</v>
      </c>
      <c r="H405" s="7" t="s">
        <v>8921</v>
      </c>
      <c r="I405" s="7" t="s">
        <v>8922</v>
      </c>
      <c r="J405" s="7" t="s">
        <v>8923</v>
      </c>
      <c r="K405" s="7" t="s">
        <v>8902</v>
      </c>
      <c r="L405" s="7">
        <v>5</v>
      </c>
      <c r="M405" s="7">
        <v>5</v>
      </c>
      <c r="N405" s="7">
        <v>4</v>
      </c>
      <c r="O405" s="7">
        <v>3</v>
      </c>
      <c r="P405" s="7">
        <v>2</v>
      </c>
      <c r="Q405" s="7">
        <v>1</v>
      </c>
      <c r="R405" s="7" t="s">
        <v>5811</v>
      </c>
      <c r="S405" s="7" t="s">
        <v>5944</v>
      </c>
      <c r="T405" s="7" t="s">
        <v>5819</v>
      </c>
      <c r="U405" s="7" t="s">
        <v>5820</v>
      </c>
      <c r="V405" s="7" t="s">
        <v>8924</v>
      </c>
    </row>
    <row r="406" spans="1:22" ht="85.5">
      <c r="A406" s="7" t="s">
        <v>5952</v>
      </c>
      <c r="B406" s="7" t="s">
        <v>94</v>
      </c>
      <c r="C406" s="7" t="s">
        <v>1655</v>
      </c>
      <c r="D406" s="7" t="s">
        <v>5953</v>
      </c>
      <c r="E406" s="7" t="s">
        <v>8925</v>
      </c>
      <c r="F406" s="7" t="s">
        <v>8926</v>
      </c>
      <c r="G406" s="7" t="s">
        <v>8927</v>
      </c>
      <c r="H406" s="7" t="s">
        <v>8928</v>
      </c>
      <c r="I406" s="7" t="s">
        <v>8929</v>
      </c>
      <c r="J406" s="7" t="s">
        <v>8930</v>
      </c>
      <c r="K406" s="7" t="s">
        <v>8902</v>
      </c>
      <c r="L406" s="7">
        <v>4</v>
      </c>
      <c r="M406" s="7">
        <v>4</v>
      </c>
      <c r="N406" s="7">
        <v>3</v>
      </c>
      <c r="O406" s="7">
        <v>2</v>
      </c>
      <c r="P406" s="7">
        <v>1</v>
      </c>
      <c r="Q406" s="7">
        <v>1</v>
      </c>
      <c r="R406" s="7" t="s">
        <v>5811</v>
      </c>
      <c r="S406" s="7" t="s">
        <v>5954</v>
      </c>
      <c r="T406" s="7" t="s">
        <v>5819</v>
      </c>
      <c r="U406" s="7" t="s">
        <v>5820</v>
      </c>
      <c r="V406" s="7" t="s">
        <v>8931</v>
      </c>
    </row>
    <row r="407" spans="1:22" ht="85.5">
      <c r="A407" s="7" t="s">
        <v>5962</v>
      </c>
      <c r="B407" s="7" t="s">
        <v>94</v>
      </c>
      <c r="C407" s="7" t="s">
        <v>1663</v>
      </c>
      <c r="D407" s="7" t="s">
        <v>5963</v>
      </c>
      <c r="E407" s="7" t="s">
        <v>8932</v>
      </c>
      <c r="F407" s="7" t="s">
        <v>8933</v>
      </c>
      <c r="G407" s="7" t="s">
        <v>8934</v>
      </c>
      <c r="H407" s="7" t="s">
        <v>8935</v>
      </c>
      <c r="I407" s="7" t="s">
        <v>8936</v>
      </c>
      <c r="J407" s="7" t="s">
        <v>8937</v>
      </c>
      <c r="K407" s="7" t="s">
        <v>8938</v>
      </c>
      <c r="L407" s="7">
        <v>4</v>
      </c>
      <c r="M407" s="7">
        <v>4</v>
      </c>
      <c r="N407" s="7">
        <v>3</v>
      </c>
      <c r="O407" s="7">
        <v>2</v>
      </c>
      <c r="P407" s="7">
        <v>1</v>
      </c>
      <c r="Q407" s="7">
        <v>1</v>
      </c>
      <c r="R407" s="7" t="s">
        <v>5811</v>
      </c>
      <c r="S407" s="7" t="s">
        <v>5964</v>
      </c>
      <c r="T407" s="7" t="s">
        <v>5819</v>
      </c>
      <c r="U407" s="7" t="s">
        <v>5820</v>
      </c>
      <c r="V407" s="7" t="s">
        <v>8939</v>
      </c>
    </row>
    <row r="408" spans="1:22" ht="85.5">
      <c r="A408" s="7" t="s">
        <v>5972</v>
      </c>
      <c r="B408" s="7" t="s">
        <v>94</v>
      </c>
      <c r="C408" s="7" t="s">
        <v>1663</v>
      </c>
      <c r="D408" s="7" t="s">
        <v>5973</v>
      </c>
      <c r="E408" s="7" t="s">
        <v>8940</v>
      </c>
      <c r="F408" s="7" t="s">
        <v>8941</v>
      </c>
      <c r="G408" s="7" t="s">
        <v>8942</v>
      </c>
      <c r="H408" s="7" t="s">
        <v>8943</v>
      </c>
      <c r="I408" s="7" t="s">
        <v>8944</v>
      </c>
      <c r="J408" s="7" t="s">
        <v>8945</v>
      </c>
      <c r="K408" s="7" t="s">
        <v>8938</v>
      </c>
      <c r="L408" s="7">
        <v>4</v>
      </c>
      <c r="M408" s="7">
        <v>4</v>
      </c>
      <c r="N408" s="7">
        <v>3</v>
      </c>
      <c r="O408" s="7">
        <v>2</v>
      </c>
      <c r="P408" s="7">
        <v>1</v>
      </c>
      <c r="Q408" s="7">
        <v>1</v>
      </c>
      <c r="R408" s="7" t="s">
        <v>5811</v>
      </c>
      <c r="S408" s="7" t="s">
        <v>5974</v>
      </c>
      <c r="T408" s="7" t="s">
        <v>5819</v>
      </c>
      <c r="U408" s="7" t="s">
        <v>5820</v>
      </c>
      <c r="V408" s="7" t="s">
        <v>8946</v>
      </c>
    </row>
    <row r="409" spans="1:22" ht="85.5">
      <c r="A409" s="7" t="s">
        <v>5982</v>
      </c>
      <c r="B409" s="7" t="s">
        <v>94</v>
      </c>
      <c r="C409" s="7" t="s">
        <v>1663</v>
      </c>
      <c r="D409" s="7" t="s">
        <v>5983</v>
      </c>
      <c r="E409" s="7" t="s">
        <v>8947</v>
      </c>
      <c r="F409" s="7" t="s">
        <v>8948</v>
      </c>
      <c r="G409" s="7" t="s">
        <v>8949</v>
      </c>
      <c r="H409" s="7" t="s">
        <v>8950</v>
      </c>
      <c r="I409" s="7" t="s">
        <v>8951</v>
      </c>
      <c r="J409" s="7" t="s">
        <v>8952</v>
      </c>
      <c r="K409" s="7" t="s">
        <v>8938</v>
      </c>
      <c r="L409" s="7">
        <v>4</v>
      </c>
      <c r="M409" s="7">
        <v>4</v>
      </c>
      <c r="N409" s="7">
        <v>3</v>
      </c>
      <c r="O409" s="7">
        <v>2</v>
      </c>
      <c r="P409" s="7">
        <v>1</v>
      </c>
      <c r="Q409" s="7">
        <v>1</v>
      </c>
      <c r="R409" s="7" t="s">
        <v>5811</v>
      </c>
      <c r="S409" s="7" t="s">
        <v>5984</v>
      </c>
      <c r="T409" s="7" t="s">
        <v>5819</v>
      </c>
      <c r="U409" s="7" t="s">
        <v>5820</v>
      </c>
      <c r="V409" s="7" t="s">
        <v>8953</v>
      </c>
    </row>
    <row r="410" spans="1:22" ht="85.5">
      <c r="A410" s="7" t="s">
        <v>5992</v>
      </c>
      <c r="B410" s="7" t="s">
        <v>94</v>
      </c>
      <c r="C410" s="7" t="s">
        <v>1663</v>
      </c>
      <c r="D410" s="7" t="s">
        <v>5993</v>
      </c>
      <c r="E410" s="7" t="s">
        <v>8954</v>
      </c>
      <c r="F410" s="7" t="s">
        <v>8955</v>
      </c>
      <c r="G410" s="7" t="s">
        <v>8956</v>
      </c>
      <c r="H410" s="7" t="s">
        <v>8957</v>
      </c>
      <c r="I410" s="7" t="s">
        <v>8958</v>
      </c>
      <c r="J410" s="7" t="s">
        <v>8959</v>
      </c>
      <c r="K410" s="7" t="s">
        <v>8938</v>
      </c>
      <c r="L410" s="7">
        <v>4</v>
      </c>
      <c r="M410" s="7">
        <v>4</v>
      </c>
      <c r="N410" s="7">
        <v>3</v>
      </c>
      <c r="O410" s="7">
        <v>2</v>
      </c>
      <c r="P410" s="7">
        <v>1</v>
      </c>
      <c r="Q410" s="7">
        <v>1</v>
      </c>
      <c r="R410" s="7" t="s">
        <v>5811</v>
      </c>
      <c r="S410" s="7" t="s">
        <v>5994</v>
      </c>
      <c r="T410" s="7" t="s">
        <v>5819</v>
      </c>
      <c r="U410" s="7" t="s">
        <v>5820</v>
      </c>
      <c r="V410" s="7" t="s">
        <v>8960</v>
      </c>
    </row>
    <row r="411" spans="1:22" ht="71.25">
      <c r="A411" s="7" t="s">
        <v>6002</v>
      </c>
      <c r="B411" s="7" t="s">
        <v>94</v>
      </c>
      <c r="C411" s="7" t="s">
        <v>1663</v>
      </c>
      <c r="D411" s="7" t="s">
        <v>6003</v>
      </c>
      <c r="E411" s="7" t="s">
        <v>8961</v>
      </c>
      <c r="F411" s="7" t="s">
        <v>8962</v>
      </c>
      <c r="G411" s="7" t="s">
        <v>8963</v>
      </c>
      <c r="H411" s="7" t="s">
        <v>8964</v>
      </c>
      <c r="I411" s="7" t="s">
        <v>8965</v>
      </c>
      <c r="J411" s="7" t="s">
        <v>8966</v>
      </c>
      <c r="K411" s="7" t="s">
        <v>8938</v>
      </c>
      <c r="L411" s="7">
        <v>4</v>
      </c>
      <c r="M411" s="7">
        <v>4</v>
      </c>
      <c r="N411" s="7">
        <v>3</v>
      </c>
      <c r="O411" s="7">
        <v>2</v>
      </c>
      <c r="P411" s="7">
        <v>1</v>
      </c>
      <c r="Q411" s="7">
        <v>1</v>
      </c>
      <c r="R411" s="7" t="s">
        <v>5811</v>
      </c>
      <c r="S411" s="7" t="s">
        <v>6004</v>
      </c>
      <c r="T411" s="7" t="s">
        <v>5819</v>
      </c>
      <c r="U411" s="7" t="s">
        <v>5820</v>
      </c>
      <c r="V411" s="7" t="s">
        <v>8967</v>
      </c>
    </row>
  </sheetData>
  <sheetProtection sheet="1" objects="1" scenarios="1"/>
  <mergeCells count="2">
    <mergeCell ref="A2:V2"/>
    <mergeCell ref="A1:V1"/>
  </mergeCell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tableParts count="1">
    <tablePart r:id="rId1"/>
  </tableParts>
</worksheet>
</file>

<file path=xl/worksheets/sheet39.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600-000000000000}">
  <sheetPr>
    <tabColor rgb="FF548235"/>
  </sheetPr>
  <dimension ref="A1:AN414"/>
  <sheetViews>
    <sheetView showGridLines="0" workbookViewId="0">
      <selection sqref="A1:AC1"/>
    </sheetView>
  </sheetViews>
  <sheetFormatPr defaultRowHeight="14.25"/>
  <cols>
    <col min="1" max="1" width="8" customWidth="1"/>
    <col min="2" max="2" width="12" customWidth="1"/>
    <col min="3" max="3" width="20" customWidth="1"/>
    <col min="4" max="4" width="24" customWidth="1"/>
    <col min="5" max="5" width="14" customWidth="1"/>
    <col min="6" max="6" width="48" customWidth="1"/>
    <col min="7" max="8" width="12" customWidth="1"/>
    <col min="9" max="9" width="13" customWidth="1"/>
    <col min="10" max="10" width="55" customWidth="1"/>
    <col min="11" max="11" width="45" customWidth="1"/>
    <col min="12" max="12" width="12" customWidth="1"/>
    <col min="13" max="13" width="14" customWidth="1"/>
    <col min="14" max="16" width="12" customWidth="1"/>
    <col min="17" max="17" width="14" customWidth="1"/>
    <col min="18" max="19" width="10" customWidth="1"/>
    <col min="20" max="22" width="12" customWidth="1"/>
    <col min="23" max="23" width="30" customWidth="1"/>
    <col min="24" max="24" width="22" customWidth="1"/>
    <col min="25" max="25" width="40" customWidth="1"/>
    <col min="26" max="26" width="34" customWidth="1"/>
    <col min="27" max="27" width="18" customWidth="1"/>
    <col min="28" max="28" width="14" customWidth="1"/>
    <col min="29" max="29" width="16" customWidth="1"/>
    <col min="30" max="31" width="18" customWidth="1"/>
    <col min="32" max="33" width="44" customWidth="1"/>
    <col min="34" max="37" width="22" customWidth="1"/>
    <col min="38" max="39" width="20" customWidth="1"/>
    <col min="40" max="40" width="18" customWidth="1"/>
  </cols>
  <sheetData>
    <row r="1" spans="1:40" ht="20.25">
      <c r="A1" s="195" t="s">
        <v>8968</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row>
    <row r="2" spans="1:40">
      <c r="A2" s="194" t="s">
        <v>8969</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row>
    <row r="4" spans="1:40" ht="75">
      <c r="A4" s="26" t="s">
        <v>8970</v>
      </c>
      <c r="B4" s="26" t="s">
        <v>8971</v>
      </c>
      <c r="C4" s="26" t="s">
        <v>752</v>
      </c>
      <c r="D4" s="26" t="s">
        <v>146</v>
      </c>
      <c r="E4" s="26" t="s">
        <v>8972</v>
      </c>
      <c r="F4" s="26" t="s">
        <v>8973</v>
      </c>
      <c r="G4" s="26" t="s">
        <v>8974</v>
      </c>
      <c r="H4" s="26" t="s">
        <v>8975</v>
      </c>
    </row>
    <row r="5" spans="1:40" ht="15">
      <c r="A5" s="27">
        <f>COUNTIF($B$8:$B$414,"Yes")</f>
        <v>0</v>
      </c>
      <c r="B5" s="27">
        <f>COUNTIFS($B$8:$B$414,"Yes",$I$8:$I$414,"Critical")+COUNTIFS($B$8:$B$414,"Yes",$I$8:$I$414,"High")</f>
        <v>0</v>
      </c>
      <c r="C5" s="27" t="str">
        <f>IFERROR(ROUND(AVERAGEIFS($R$8:$R$414,$B$8:$B$414,"Yes"),2),"")</f>
        <v/>
      </c>
      <c r="D5" s="27">
        <f>IFERROR(ROUND(MAX($R$8:$R$414),2),"")</f>
        <v>0</v>
      </c>
      <c r="E5" s="27">
        <f>COUNTIFS($B$8:$B$414,"Yes",$T$8:$T$414,"&gt;=4")</f>
        <v>0</v>
      </c>
      <c r="F5" s="27">
        <f>COUNTIFS($B$8:$B$414,"Yes",$U$8:$U$414,"&gt;=4")</f>
        <v>0</v>
      </c>
      <c r="G5" s="27">
        <f>COUNTIFS($B$8:$B$414,"Yes",$V$8:$V$414,"&gt;=4")</f>
        <v>0</v>
      </c>
      <c r="H5" s="27">
        <f>COUNT($G$8:$G$414)</f>
        <v>0</v>
      </c>
    </row>
    <row r="7" spans="1:40" ht="39.950000000000003" customHeight="1">
      <c r="A7" s="26" t="s">
        <v>196</v>
      </c>
      <c r="B7" s="26" t="s">
        <v>8976</v>
      </c>
      <c r="C7" s="26" t="s">
        <v>36</v>
      </c>
      <c r="D7" s="26" t="s">
        <v>759</v>
      </c>
      <c r="E7" s="26" t="s">
        <v>6037</v>
      </c>
      <c r="F7" s="26" t="s">
        <v>1819</v>
      </c>
      <c r="G7" s="26" t="s">
        <v>8977</v>
      </c>
      <c r="H7" s="26" t="s">
        <v>8978</v>
      </c>
      <c r="I7" s="26" t="s">
        <v>222</v>
      </c>
      <c r="J7" s="26" t="s">
        <v>8979</v>
      </c>
      <c r="K7" s="26" t="s">
        <v>6044</v>
      </c>
      <c r="L7" s="26" t="s">
        <v>324</v>
      </c>
      <c r="M7" s="26" t="s">
        <v>327</v>
      </c>
      <c r="N7" s="26" t="s">
        <v>761</v>
      </c>
      <c r="O7" s="26" t="s">
        <v>762</v>
      </c>
      <c r="P7" s="26" t="s">
        <v>763</v>
      </c>
      <c r="Q7" s="26" t="s">
        <v>764</v>
      </c>
      <c r="R7" s="26" t="s">
        <v>329</v>
      </c>
      <c r="S7" s="26" t="s">
        <v>8980</v>
      </c>
      <c r="T7" s="26" t="s">
        <v>8981</v>
      </c>
      <c r="U7" s="26" t="s">
        <v>8982</v>
      </c>
      <c r="V7" s="26" t="s">
        <v>8983</v>
      </c>
      <c r="W7" s="26" t="s">
        <v>6051</v>
      </c>
      <c r="X7" s="26" t="s">
        <v>1832</v>
      </c>
      <c r="Y7" s="26" t="s">
        <v>1822</v>
      </c>
      <c r="Z7" s="26" t="s">
        <v>1833</v>
      </c>
      <c r="AA7" s="26" t="s">
        <v>8984</v>
      </c>
      <c r="AB7" s="26" t="s">
        <v>8985</v>
      </c>
      <c r="AC7" s="26" t="s">
        <v>781</v>
      </c>
      <c r="AD7" s="49" t="s">
        <v>8986</v>
      </c>
      <c r="AE7" s="49" t="s">
        <v>8987</v>
      </c>
      <c r="AF7" s="49" t="s">
        <v>709</v>
      </c>
      <c r="AG7" s="49" t="s">
        <v>8988</v>
      </c>
      <c r="AH7" s="50" t="s">
        <v>8989</v>
      </c>
      <c r="AI7" s="50" t="s">
        <v>8990</v>
      </c>
      <c r="AJ7" s="50" t="s">
        <v>8991</v>
      </c>
      <c r="AK7" s="50" t="s">
        <v>8992</v>
      </c>
      <c r="AL7" s="50" t="s">
        <v>1846</v>
      </c>
      <c r="AM7" s="50" t="s">
        <v>994</v>
      </c>
      <c r="AN7" s="50" t="s">
        <v>739</v>
      </c>
    </row>
    <row r="8" spans="1:40" ht="71.25">
      <c r="A8" s="28" t="str">
        <f>IF($AM8="","",RANK.EQ($AM8,$AM$8:$AM$414,0)+COUNTIF($AM$8:$AM8,$AM8)-1)</f>
        <v/>
      </c>
      <c r="B8" s="7" t="str">
        <f t="shared" ref="B8:B71" si="0">IF($G8="","",IF($G8&lt;5,"Yes","Maintain"))</f>
        <v/>
      </c>
      <c r="C8" s="7" t="s">
        <v>54</v>
      </c>
      <c r="D8" s="7" t="s">
        <v>998</v>
      </c>
      <c r="E8" s="7" t="s">
        <v>1851</v>
      </c>
      <c r="F8" s="7" t="s">
        <v>1852</v>
      </c>
      <c r="G8" s="28" t="str">
        <f>IF(OR(COUNTA('Company Geography'!$H$5)=0,'Company Geography'!$H$5="N/A"),"",VALUE('Company Geography'!$H$5))</f>
        <v/>
      </c>
      <c r="H8" s="7" t="str">
        <f t="shared" ref="H8:H71" si="1">IF($G8="","",IF($G8&gt;=5,"Sustain",$G8+1))</f>
        <v/>
      </c>
      <c r="I8" s="7" t="str">
        <f>IF($G8="","",IFERROR(IF('Company Geography'!$L$5="",IF($G8&lt;=1,"Critical",IF($G8=2,"High",IF($G8=3,"Medium",IF($G8=4,"Low","Optimized")))),'Company Geography'!$L$5),IF($G8&lt;=1,"Critical",IF($G8=2,"High",IF($G8=3,"Medium",IF($G8=4,"Low","Optimized"))))))</f>
        <v/>
      </c>
      <c r="J8" s="7" t="str">
        <f>IF($G8="","",IFERROR(INDEX('Recommendation Matrix'!$E$5:$J$411,MATCH($E8,'Recommendation Matrix'!$A$5:$A$411,0),$G8+1),""))</f>
        <v/>
      </c>
      <c r="K8" s="7" t="str">
        <f>IF($G8="","",IFERROR(VLOOKUP($E8,'Recommendation Matrix'!$A$5:$K$411,11,FALSE),""))</f>
        <v/>
      </c>
      <c r="L8" s="28" t="str">
        <f t="shared" ref="L8:L71" si="2">IF($G8="","",MAX(1,MIN(5,ROUNDUP(((5-$G8)*0.55)+($S8*0.25)+($U8*0.2),0))))</f>
        <v/>
      </c>
      <c r="M8" s="28" t="str">
        <f>IF($G8="","",IFERROR(INDEX('Recommendation Matrix'!$L$5:$Q$411,MATCH($E8,'Recommendation Matrix'!$A$5:$A$411,0),$G8+1),""))</f>
        <v/>
      </c>
      <c r="N8" s="28" t="str">
        <f t="shared" ref="N8:N71" si="3">IF($G8="","",MAX(1,MIN(5,ROUND(($S8+$T8+$V8)/3,0))))</f>
        <v/>
      </c>
      <c r="O8" s="28" t="str">
        <f t="shared" ref="O8:O71" si="4">IF($G8="","",IF($I8="Critical",5,IF($I8="High",4,IF($I8="Medium",3,IF($I8="Low",2,1)))))</f>
        <v/>
      </c>
      <c r="P8" s="28" t="str">
        <f t="shared" ref="P8:P71" si="5">IF($G8="","",MAX(1,MIN(5,ROUNDUP(((5-$G8)*0.6)+($U8*0.4),0))))</f>
        <v/>
      </c>
      <c r="Q8" s="28" t="str">
        <f t="shared" ref="Q8:Q71" si="6">IF($G8="","",MAX(1,MIN(5,ROUND(($T8+$V8)/2,0))))</f>
        <v/>
      </c>
      <c r="R8" s="8" t="str">
        <f t="shared" ref="R8:R71" si="7">IF($G8="","",ROUND(($N8+$O8+$P8+$Q8)/$M8,2))</f>
        <v/>
      </c>
      <c r="S8" s="28">
        <f>IFERROR('Company Geography'!$G$5,"")</f>
        <v>3</v>
      </c>
      <c r="T8" s="28">
        <f>IFERROR('Company Geography'!$W$5,"")</f>
        <v>4</v>
      </c>
      <c r="U8" s="28">
        <f>IFERROR('Company Geography'!$X$5,"")</f>
        <v>5</v>
      </c>
      <c r="V8" s="28">
        <f>IFERROR('Company Geography'!$Y$5,"")</f>
        <v>5</v>
      </c>
      <c r="W8" s="7" t="s">
        <v>1862</v>
      </c>
      <c r="X8" s="7" t="s">
        <v>1863</v>
      </c>
      <c r="Y8" s="7" t="s">
        <v>1855</v>
      </c>
      <c r="Z8" s="7">
        <f>IFERROR('Company Geography'!$U$5,"")</f>
        <v>0</v>
      </c>
      <c r="AA8" s="7"/>
      <c r="AB8" s="29"/>
      <c r="AC8" s="7"/>
      <c r="AD8" s="48" t="str">
        <f>IF($B8="Yes",IFERROR(SUMIFS(_TECH_Crisis_Model!$D$5:$D$191,_TECH_Crisis_Model!$A$5:$A$191,'Crisis Simulator'!$B$4,_TECH_Crisis_Model!$B$5:$B$191,$C8),1),"")</f>
        <v/>
      </c>
      <c r="AE8" s="48" t="str">
        <f t="shared" ref="AE8:AE71" si="8">IF(AD8="","",ROUND($R8*(0.7+0.3*AD8),2))</f>
        <v/>
      </c>
      <c r="AF8" s="48" t="str">
        <f>IFERROR(INDEX(_TECH_Crisis_Model!$E$5:$E$191,MATCH('Crisis Simulator'!$B$4&amp;"|"&amp;$C8,_TECH_Crisis_Model!$I$5:$I$191,0)),"")</f>
        <v>Geographic concentration, legal entity exposure and site dependency can amplify crisis impact.</v>
      </c>
      <c r="AG8" s="48" t="str">
        <f>IFERROR(INDEX(_TECH_Crisis_Model!$G$5:$G$191,MATCH('Crisis Simulator'!$B$4&amp;"|"&amp;$C8,_TECH_Crisis_Model!$I$5:$I$191,0)),"")</f>
        <v>Map entities, locations, markets, revenue exposure and alternate operating options.</v>
      </c>
      <c r="AH8" s="48" t="str">
        <f>IFERROR(INDEX(_TECH_Initiative_Library!$A$5:$A$76,MATCH(1,INDEX((_TECH_Initiative_Library!$B$5:$B$76=$C8)*(_TECH_Initiative_Library!$C$5:$C$76=$D8),0),0)),"")</f>
        <v>INI-001</v>
      </c>
      <c r="AI8" s="48" t="str">
        <f>IFERROR(INDEX(_TECH_Initiative_Library!$F$5:$F$76,MATCH(1,INDEX((_TECH_Initiative_Library!$B$5:$B$76=$C8)*(_TECH_Initiative_Library!$C$5:$C$76=$D8),0),0)),"")</f>
        <v>Create company context, entity and operating model register</v>
      </c>
      <c r="AJ8" s="48" t="str">
        <f ca="1">IFERROR(INDEX(_TECH_Initiative_Library!$AC$5:$AC$76,MATCH(1,INDEX((_TECH_Initiative_Library!$B$5:$B$76=$C8)*(_TECH_Initiative_Library!$C$5:$C$76=$D8),0),0)),"")</f>
        <v/>
      </c>
      <c r="AK8" s="48" t="str">
        <f ca="1">IFERROR(INDEX(_TECH_Initiative_Library!$AE$5:$AE$76,MATCH(1,INDEX((_TECH_Initiative_Library!$B$5:$B$76=$C8)*(_TECH_Initiative_Library!$C$5:$C$76=$D8),0),0)),"")</f>
        <v/>
      </c>
      <c r="AL8" s="48" t="str">
        <f>IF($B8="Yes",IFERROR(SUMIFS(_TECH_Industry_Templates!$E:$E,_TECH_Industry_Templates!$A:$A,'Company Profile'!$B$9,_TECH_Industry_Templates!$B:$B,$C8),1),"")</f>
        <v/>
      </c>
      <c r="AM8" s="48" t="str">
        <f t="shared" ref="AM8:AM71" si="9">IF($R8="","",ROUND(IF($AE8="",$R8,$AE8)*$AL8,2))</f>
        <v/>
      </c>
      <c r="AN8" s="48" t="str">
        <f>IF($AM8="","",RANK.EQ($AM8,$AM$8:$AM$414,0)+COUNTIF($AM$8:$AM8,$AM8)-1)</f>
        <v/>
      </c>
    </row>
    <row r="9" spans="1:40" ht="71.25">
      <c r="A9" s="28" t="str">
        <f>IF($AM9="","",RANK.EQ($AM9,$AM$8:$AM$414,0)+COUNTIF($AM$8:$AM9,$AM9)-1)</f>
        <v/>
      </c>
      <c r="B9" s="7" t="str">
        <f t="shared" si="0"/>
        <v/>
      </c>
      <c r="C9" s="7" t="s">
        <v>54</v>
      </c>
      <c r="D9" s="7" t="s">
        <v>998</v>
      </c>
      <c r="E9" s="7" t="s">
        <v>1865</v>
      </c>
      <c r="F9" s="7" t="s">
        <v>1866</v>
      </c>
      <c r="G9" s="28" t="str">
        <f>IF(OR(COUNTA('Company Geography'!$H$6)=0,'Company Geography'!$H$6="N/A"),"",VALUE('Company Geography'!$H$6))</f>
        <v/>
      </c>
      <c r="H9" s="7" t="str">
        <f t="shared" si="1"/>
        <v/>
      </c>
      <c r="I9" s="7" t="str">
        <f>IF($G9="","",IFERROR(IF('Company Geography'!$L$6="",IF($G9&lt;=1,"Critical",IF($G9=2,"High",IF($G9=3,"Medium",IF($G9=4,"Low","Optimized")))),'Company Geography'!$L$6),IF($G9&lt;=1,"Critical",IF($G9=2,"High",IF($G9=3,"Medium",IF($G9=4,"Low","Optimized"))))))</f>
        <v/>
      </c>
      <c r="J9" s="7" t="str">
        <f>IF($G9="","",IFERROR(INDEX('Recommendation Matrix'!$E$5:$J$411,MATCH($E9,'Recommendation Matrix'!$A$5:$A$411,0),$G9+1),""))</f>
        <v/>
      </c>
      <c r="K9" s="7" t="str">
        <f>IF($G9="","",IFERROR(VLOOKUP($E9,'Recommendation Matrix'!$A$5:$K$411,11,FALSE),""))</f>
        <v/>
      </c>
      <c r="L9" s="28" t="str">
        <f t="shared" si="2"/>
        <v/>
      </c>
      <c r="M9" s="28" t="str">
        <f>IF($G9="","",IFERROR(INDEX('Recommendation Matrix'!$L$5:$Q$411,MATCH($E9,'Recommendation Matrix'!$A$5:$A$411,0),$G9+1),""))</f>
        <v/>
      </c>
      <c r="N9" s="28" t="str">
        <f t="shared" si="3"/>
        <v/>
      </c>
      <c r="O9" s="28" t="str">
        <f t="shared" si="4"/>
        <v/>
      </c>
      <c r="P9" s="28" t="str">
        <f t="shared" si="5"/>
        <v/>
      </c>
      <c r="Q9" s="28" t="str">
        <f t="shared" si="6"/>
        <v/>
      </c>
      <c r="R9" s="8" t="str">
        <f t="shared" si="7"/>
        <v/>
      </c>
      <c r="S9" s="28">
        <f>IFERROR('Company Geography'!$G$6,"")</f>
        <v>5</v>
      </c>
      <c r="T9" s="28">
        <f>IFERROR('Company Geography'!$W$6,"")</f>
        <v>4</v>
      </c>
      <c r="U9" s="28">
        <f>IFERROR('Company Geography'!$X$6,"")</f>
        <v>5</v>
      </c>
      <c r="V9" s="28">
        <f>IFERROR('Company Geography'!$Y$6,"")</f>
        <v>5</v>
      </c>
      <c r="W9" s="7" t="s">
        <v>1862</v>
      </c>
      <c r="X9" s="7" t="s">
        <v>1863</v>
      </c>
      <c r="Y9" s="7" t="s">
        <v>1867</v>
      </c>
      <c r="Z9" s="7">
        <f>IFERROR('Company Geography'!$U$6,"")</f>
        <v>0</v>
      </c>
      <c r="AA9" s="7"/>
      <c r="AB9" s="29"/>
      <c r="AC9" s="7"/>
      <c r="AD9" s="48" t="str">
        <f>IF($B9="Yes",IFERROR(SUMIFS(_TECH_Crisis_Model!$D$5:$D$191,_TECH_Crisis_Model!$A$5:$A$191,'Crisis Simulator'!$B$4,_TECH_Crisis_Model!$B$5:$B$191,$C9),1),"")</f>
        <v/>
      </c>
      <c r="AE9" s="48" t="str">
        <f t="shared" si="8"/>
        <v/>
      </c>
      <c r="AF9" s="48" t="str">
        <f>IFERROR(INDEX(_TECH_Crisis_Model!$E$5:$E$191,MATCH('Crisis Simulator'!$B$4&amp;"|"&amp;$C9,_TECH_Crisis_Model!$I$5:$I$191,0)),"")</f>
        <v>Geographic concentration, legal entity exposure and site dependency can amplify crisis impact.</v>
      </c>
      <c r="AG9" s="48" t="str">
        <f>IFERROR(INDEX(_TECH_Crisis_Model!$G$5:$G$191,MATCH('Crisis Simulator'!$B$4&amp;"|"&amp;$C9,_TECH_Crisis_Model!$I$5:$I$191,0)),"")</f>
        <v>Map entities, locations, markets, revenue exposure and alternate operating options.</v>
      </c>
      <c r="AH9" s="48" t="str">
        <f>IFERROR(INDEX(_TECH_Initiative_Library!$A$5:$A$76,MATCH(1,INDEX((_TECH_Initiative_Library!$B$5:$B$76=$C9)*(_TECH_Initiative_Library!$C$5:$C$76=$D9),0),0)),"")</f>
        <v>INI-001</v>
      </c>
      <c r="AI9" s="48" t="str">
        <f>IFERROR(INDEX(_TECH_Initiative_Library!$F$5:$F$76,MATCH(1,INDEX((_TECH_Initiative_Library!$B$5:$B$76=$C9)*(_TECH_Initiative_Library!$C$5:$C$76=$D9),0),0)),"")</f>
        <v>Create company context, entity and operating model register</v>
      </c>
      <c r="AJ9" s="48" t="str">
        <f ca="1">IFERROR(INDEX(_TECH_Initiative_Library!$AC$5:$AC$76,MATCH(1,INDEX((_TECH_Initiative_Library!$B$5:$B$76=$C9)*(_TECH_Initiative_Library!$C$5:$C$76=$D9),0),0)),"")</f>
        <v/>
      </c>
      <c r="AK9" s="48" t="str">
        <f ca="1">IFERROR(INDEX(_TECH_Initiative_Library!$AE$5:$AE$76,MATCH(1,INDEX((_TECH_Initiative_Library!$B$5:$B$76=$C9)*(_TECH_Initiative_Library!$C$5:$C$76=$D9),0),0)),"")</f>
        <v/>
      </c>
      <c r="AL9" s="48" t="str">
        <f>IF($B9="Yes",IFERROR(SUMIFS(_TECH_Industry_Templates!$E:$E,_TECH_Industry_Templates!$A:$A,'Company Profile'!$B$9,_TECH_Industry_Templates!$B:$B,$C9),1),"")</f>
        <v/>
      </c>
      <c r="AM9" s="48" t="str">
        <f t="shared" si="9"/>
        <v/>
      </c>
      <c r="AN9" s="48" t="str">
        <f>IF($AM9="","",RANK.EQ($AM9,$AM$8:$AM$414,0)+COUNTIF($AM$8:$AM9,$AM9)-1)</f>
        <v/>
      </c>
    </row>
    <row r="10" spans="1:40" ht="71.25">
      <c r="A10" s="28" t="str">
        <f>IF($AM10="","",RANK.EQ($AM10,$AM$8:$AM$414,0)+COUNTIF($AM$8:$AM10,$AM10)-1)</f>
        <v/>
      </c>
      <c r="B10" s="7" t="str">
        <f t="shared" si="0"/>
        <v/>
      </c>
      <c r="C10" s="7" t="s">
        <v>54</v>
      </c>
      <c r="D10" s="7" t="s">
        <v>998</v>
      </c>
      <c r="E10" s="7" t="s">
        <v>1875</v>
      </c>
      <c r="F10" s="7" t="s">
        <v>1876</v>
      </c>
      <c r="G10" s="28" t="str">
        <f>IF(OR(COUNTA('Company Geography'!$H$7)=0,'Company Geography'!$H$7="N/A"),"",VALUE('Company Geography'!$H$7))</f>
        <v/>
      </c>
      <c r="H10" s="7" t="str">
        <f t="shared" si="1"/>
        <v/>
      </c>
      <c r="I10" s="7" t="str">
        <f>IF($G10="","",IFERROR(IF('Company Geography'!$L$7="",IF($G10&lt;=1,"Critical",IF($G10=2,"High",IF($G10=3,"Medium",IF($G10=4,"Low","Optimized")))),'Company Geography'!$L$7),IF($G10&lt;=1,"Critical",IF($G10=2,"High",IF($G10=3,"Medium",IF($G10=4,"Low","Optimized"))))))</f>
        <v/>
      </c>
      <c r="J10" s="7" t="str">
        <f>IF($G10="","",IFERROR(INDEX('Recommendation Matrix'!$E$5:$J$411,MATCH($E10,'Recommendation Matrix'!$A$5:$A$411,0),$G10+1),""))</f>
        <v/>
      </c>
      <c r="K10" s="7" t="str">
        <f>IF($G10="","",IFERROR(VLOOKUP($E10,'Recommendation Matrix'!$A$5:$K$411,11,FALSE),""))</f>
        <v/>
      </c>
      <c r="L10" s="28" t="str">
        <f t="shared" si="2"/>
        <v/>
      </c>
      <c r="M10" s="28" t="str">
        <f>IF($G10="","",IFERROR(INDEX('Recommendation Matrix'!$L$5:$Q$411,MATCH($E10,'Recommendation Matrix'!$A$5:$A$411,0),$G10+1),""))</f>
        <v/>
      </c>
      <c r="N10" s="28" t="str">
        <f t="shared" si="3"/>
        <v/>
      </c>
      <c r="O10" s="28" t="str">
        <f t="shared" si="4"/>
        <v/>
      </c>
      <c r="P10" s="28" t="str">
        <f t="shared" si="5"/>
        <v/>
      </c>
      <c r="Q10" s="28" t="str">
        <f t="shared" si="6"/>
        <v/>
      </c>
      <c r="R10" s="8" t="str">
        <f t="shared" si="7"/>
        <v/>
      </c>
      <c r="S10" s="28">
        <f>IFERROR('Company Geography'!$G$7,"")</f>
        <v>5</v>
      </c>
      <c r="T10" s="28">
        <f>IFERROR('Company Geography'!$W$7,"")</f>
        <v>4</v>
      </c>
      <c r="U10" s="28">
        <f>IFERROR('Company Geography'!$X$7,"")</f>
        <v>5</v>
      </c>
      <c r="V10" s="28">
        <f>IFERROR('Company Geography'!$Y$7,"")</f>
        <v>5</v>
      </c>
      <c r="W10" s="7" t="s">
        <v>1862</v>
      </c>
      <c r="X10" s="7" t="s">
        <v>1863</v>
      </c>
      <c r="Y10" s="7" t="s">
        <v>1877</v>
      </c>
      <c r="Z10" s="7">
        <f>IFERROR('Company Geography'!$U$7,"")</f>
        <v>0</v>
      </c>
      <c r="AA10" s="7"/>
      <c r="AB10" s="29"/>
      <c r="AC10" s="7"/>
      <c r="AD10" s="48" t="str">
        <f>IF($B10="Yes",IFERROR(SUMIFS(_TECH_Crisis_Model!$D$5:$D$191,_TECH_Crisis_Model!$A$5:$A$191,'Crisis Simulator'!$B$4,_TECH_Crisis_Model!$B$5:$B$191,$C10),1),"")</f>
        <v/>
      </c>
      <c r="AE10" s="48" t="str">
        <f t="shared" si="8"/>
        <v/>
      </c>
      <c r="AF10" s="48" t="str">
        <f>IFERROR(INDEX(_TECH_Crisis_Model!$E$5:$E$191,MATCH('Crisis Simulator'!$B$4&amp;"|"&amp;$C10,_TECH_Crisis_Model!$I$5:$I$191,0)),"")</f>
        <v>Geographic concentration, legal entity exposure and site dependency can amplify crisis impact.</v>
      </c>
      <c r="AG10" s="48" t="str">
        <f>IFERROR(INDEX(_TECH_Crisis_Model!$G$5:$G$191,MATCH('Crisis Simulator'!$B$4&amp;"|"&amp;$C10,_TECH_Crisis_Model!$I$5:$I$191,0)),"")</f>
        <v>Map entities, locations, markets, revenue exposure and alternate operating options.</v>
      </c>
      <c r="AH10" s="48" t="str">
        <f>IFERROR(INDEX(_TECH_Initiative_Library!$A$5:$A$76,MATCH(1,INDEX((_TECH_Initiative_Library!$B$5:$B$76=$C10)*(_TECH_Initiative_Library!$C$5:$C$76=$D10),0),0)),"")</f>
        <v>INI-001</v>
      </c>
      <c r="AI10" s="48" t="str">
        <f>IFERROR(INDEX(_TECH_Initiative_Library!$F$5:$F$76,MATCH(1,INDEX((_TECH_Initiative_Library!$B$5:$B$76=$C10)*(_TECH_Initiative_Library!$C$5:$C$76=$D10),0),0)),"")</f>
        <v>Create company context, entity and operating model register</v>
      </c>
      <c r="AJ10" s="48" t="str">
        <f ca="1">IFERROR(INDEX(_TECH_Initiative_Library!$AC$5:$AC$76,MATCH(1,INDEX((_TECH_Initiative_Library!$B$5:$B$76=$C10)*(_TECH_Initiative_Library!$C$5:$C$76=$D10),0),0)),"")</f>
        <v/>
      </c>
      <c r="AK10" s="48" t="str">
        <f ca="1">IFERROR(INDEX(_TECH_Initiative_Library!$AE$5:$AE$76,MATCH(1,INDEX((_TECH_Initiative_Library!$B$5:$B$76=$C10)*(_TECH_Initiative_Library!$C$5:$C$76=$D10),0),0)),"")</f>
        <v/>
      </c>
      <c r="AL10" s="48" t="str">
        <f>IF($B10="Yes",IFERROR(SUMIFS(_TECH_Industry_Templates!$E:$E,_TECH_Industry_Templates!$A:$A,'Company Profile'!$B$9,_TECH_Industry_Templates!$B:$B,$C10),1),"")</f>
        <v/>
      </c>
      <c r="AM10" s="48" t="str">
        <f t="shared" si="9"/>
        <v/>
      </c>
      <c r="AN10" s="48" t="str">
        <f>IF($AM10="","",RANK.EQ($AM10,$AM$8:$AM$414,0)+COUNTIF($AM$8:$AM10,$AM10)-1)</f>
        <v/>
      </c>
    </row>
    <row r="11" spans="1:40" ht="71.25">
      <c r="A11" s="28" t="str">
        <f>IF($AM11="","",RANK.EQ($AM11,$AM$8:$AM$414,0)+COUNTIF($AM$8:$AM11,$AM11)-1)</f>
        <v/>
      </c>
      <c r="B11" s="7" t="str">
        <f t="shared" si="0"/>
        <v/>
      </c>
      <c r="C11" s="7" t="s">
        <v>54</v>
      </c>
      <c r="D11" s="7" t="s">
        <v>998</v>
      </c>
      <c r="E11" s="7" t="s">
        <v>1885</v>
      </c>
      <c r="F11" s="7" t="s">
        <v>1886</v>
      </c>
      <c r="G11" s="28" t="str">
        <f>IF(OR(COUNTA('Company Geography'!$H$8)=0,'Company Geography'!$H$8="N/A"),"",VALUE('Company Geography'!$H$8))</f>
        <v/>
      </c>
      <c r="H11" s="7" t="str">
        <f t="shared" si="1"/>
        <v/>
      </c>
      <c r="I11" s="7" t="str">
        <f>IF($G11="","",IFERROR(IF('Company Geography'!$L$8="",IF($G11&lt;=1,"Critical",IF($G11=2,"High",IF($G11=3,"Medium",IF($G11=4,"Low","Optimized")))),'Company Geography'!$L$8),IF($G11&lt;=1,"Critical",IF($G11=2,"High",IF($G11=3,"Medium",IF($G11=4,"Low","Optimized"))))))</f>
        <v/>
      </c>
      <c r="J11" s="7" t="str">
        <f>IF($G11="","",IFERROR(INDEX('Recommendation Matrix'!$E$5:$J$411,MATCH($E11,'Recommendation Matrix'!$A$5:$A$411,0),$G11+1),""))</f>
        <v/>
      </c>
      <c r="K11" s="7" t="str">
        <f>IF($G11="","",IFERROR(VLOOKUP($E11,'Recommendation Matrix'!$A$5:$K$411,11,FALSE),""))</f>
        <v/>
      </c>
      <c r="L11" s="28" t="str">
        <f t="shared" si="2"/>
        <v/>
      </c>
      <c r="M11" s="28" t="str">
        <f>IF($G11="","",IFERROR(INDEX('Recommendation Matrix'!$L$5:$Q$411,MATCH($E11,'Recommendation Matrix'!$A$5:$A$411,0),$G11+1),""))</f>
        <v/>
      </c>
      <c r="N11" s="28" t="str">
        <f t="shared" si="3"/>
        <v/>
      </c>
      <c r="O11" s="28" t="str">
        <f t="shared" si="4"/>
        <v/>
      </c>
      <c r="P11" s="28" t="str">
        <f t="shared" si="5"/>
        <v/>
      </c>
      <c r="Q11" s="28" t="str">
        <f t="shared" si="6"/>
        <v/>
      </c>
      <c r="R11" s="8" t="str">
        <f t="shared" si="7"/>
        <v/>
      </c>
      <c r="S11" s="28">
        <f>IFERROR('Company Geography'!$G$8,"")</f>
        <v>4</v>
      </c>
      <c r="T11" s="28">
        <f>IFERROR('Company Geography'!$W$8,"")</f>
        <v>4</v>
      </c>
      <c r="U11" s="28">
        <f>IFERROR('Company Geography'!$X$8,"")</f>
        <v>5</v>
      </c>
      <c r="V11" s="28">
        <f>IFERROR('Company Geography'!$Y$8,"")</f>
        <v>5</v>
      </c>
      <c r="W11" s="7" t="s">
        <v>1862</v>
      </c>
      <c r="X11" s="7" t="s">
        <v>1863</v>
      </c>
      <c r="Y11" s="7" t="s">
        <v>1887</v>
      </c>
      <c r="Z11" s="7">
        <f>IFERROR('Company Geography'!$U$8,"")</f>
        <v>0</v>
      </c>
      <c r="AA11" s="7"/>
      <c r="AB11" s="29"/>
      <c r="AC11" s="7"/>
      <c r="AD11" s="48" t="str">
        <f>IF($B11="Yes",IFERROR(SUMIFS(_TECH_Crisis_Model!$D$5:$D$191,_TECH_Crisis_Model!$A$5:$A$191,'Crisis Simulator'!$B$4,_TECH_Crisis_Model!$B$5:$B$191,$C11),1),"")</f>
        <v/>
      </c>
      <c r="AE11" s="48" t="str">
        <f t="shared" si="8"/>
        <v/>
      </c>
      <c r="AF11" s="48" t="str">
        <f>IFERROR(INDEX(_TECH_Crisis_Model!$E$5:$E$191,MATCH('Crisis Simulator'!$B$4&amp;"|"&amp;$C11,_TECH_Crisis_Model!$I$5:$I$191,0)),"")</f>
        <v>Geographic concentration, legal entity exposure and site dependency can amplify crisis impact.</v>
      </c>
      <c r="AG11" s="48" t="str">
        <f>IFERROR(INDEX(_TECH_Crisis_Model!$G$5:$G$191,MATCH('Crisis Simulator'!$B$4&amp;"|"&amp;$C11,_TECH_Crisis_Model!$I$5:$I$191,0)),"")</f>
        <v>Map entities, locations, markets, revenue exposure and alternate operating options.</v>
      </c>
      <c r="AH11" s="48" t="str">
        <f>IFERROR(INDEX(_TECH_Initiative_Library!$A$5:$A$76,MATCH(1,INDEX((_TECH_Initiative_Library!$B$5:$B$76=$C11)*(_TECH_Initiative_Library!$C$5:$C$76=$D11),0),0)),"")</f>
        <v>INI-001</v>
      </c>
      <c r="AI11" s="48" t="str">
        <f>IFERROR(INDEX(_TECH_Initiative_Library!$F$5:$F$76,MATCH(1,INDEX((_TECH_Initiative_Library!$B$5:$B$76=$C11)*(_TECH_Initiative_Library!$C$5:$C$76=$D11),0),0)),"")</f>
        <v>Create company context, entity and operating model register</v>
      </c>
      <c r="AJ11" s="48" t="str">
        <f ca="1">IFERROR(INDEX(_TECH_Initiative_Library!$AC$5:$AC$76,MATCH(1,INDEX((_TECH_Initiative_Library!$B$5:$B$76=$C11)*(_TECH_Initiative_Library!$C$5:$C$76=$D11),0),0)),"")</f>
        <v/>
      </c>
      <c r="AK11" s="48" t="str">
        <f ca="1">IFERROR(INDEX(_TECH_Initiative_Library!$AE$5:$AE$76,MATCH(1,INDEX((_TECH_Initiative_Library!$B$5:$B$76=$C11)*(_TECH_Initiative_Library!$C$5:$C$76=$D11),0),0)),"")</f>
        <v/>
      </c>
      <c r="AL11" s="48" t="str">
        <f>IF($B11="Yes",IFERROR(SUMIFS(_TECH_Industry_Templates!$E:$E,_TECH_Industry_Templates!$A:$A,'Company Profile'!$B$9,_TECH_Industry_Templates!$B:$B,$C11),1),"")</f>
        <v/>
      </c>
      <c r="AM11" s="48" t="str">
        <f t="shared" si="9"/>
        <v/>
      </c>
      <c r="AN11" s="48" t="str">
        <f>IF($AM11="","",RANK.EQ($AM11,$AM$8:$AM$414,0)+COUNTIF($AM$8:$AM11,$AM11)-1)</f>
        <v/>
      </c>
    </row>
    <row r="12" spans="1:40" ht="71.25">
      <c r="A12" s="28" t="str">
        <f>IF($AM12="","",RANK.EQ($AM12,$AM$8:$AM$414,0)+COUNTIF($AM$8:$AM12,$AM12)-1)</f>
        <v/>
      </c>
      <c r="B12" s="7" t="str">
        <f t="shared" si="0"/>
        <v/>
      </c>
      <c r="C12" s="7" t="s">
        <v>54</v>
      </c>
      <c r="D12" s="7" t="s">
        <v>998</v>
      </c>
      <c r="E12" s="7" t="s">
        <v>1895</v>
      </c>
      <c r="F12" s="7" t="s">
        <v>1896</v>
      </c>
      <c r="G12" s="28" t="str">
        <f>IF(OR(COUNTA('Company Geography'!$H$9)=0,'Company Geography'!$H$9="N/A"),"",VALUE('Company Geography'!$H$9))</f>
        <v/>
      </c>
      <c r="H12" s="7" t="str">
        <f t="shared" si="1"/>
        <v/>
      </c>
      <c r="I12" s="7" t="str">
        <f>IF($G12="","",IFERROR(IF('Company Geography'!$L$9="",IF($G12&lt;=1,"Critical",IF($G12=2,"High",IF($G12=3,"Medium",IF($G12=4,"Low","Optimized")))),'Company Geography'!$L$9),IF($G12&lt;=1,"Critical",IF($G12=2,"High",IF($G12=3,"Medium",IF($G12=4,"Low","Optimized"))))))</f>
        <v/>
      </c>
      <c r="J12" s="7" t="str">
        <f>IF($G12="","",IFERROR(INDEX('Recommendation Matrix'!$E$5:$J$411,MATCH($E12,'Recommendation Matrix'!$A$5:$A$411,0),$G12+1),""))</f>
        <v/>
      </c>
      <c r="K12" s="7" t="str">
        <f>IF($G12="","",IFERROR(VLOOKUP($E12,'Recommendation Matrix'!$A$5:$K$411,11,FALSE),""))</f>
        <v/>
      </c>
      <c r="L12" s="28" t="str">
        <f t="shared" si="2"/>
        <v/>
      </c>
      <c r="M12" s="28" t="str">
        <f>IF($G12="","",IFERROR(INDEX('Recommendation Matrix'!$L$5:$Q$411,MATCH($E12,'Recommendation Matrix'!$A$5:$A$411,0),$G12+1),""))</f>
        <v/>
      </c>
      <c r="N12" s="28" t="str">
        <f t="shared" si="3"/>
        <v/>
      </c>
      <c r="O12" s="28" t="str">
        <f t="shared" si="4"/>
        <v/>
      </c>
      <c r="P12" s="28" t="str">
        <f t="shared" si="5"/>
        <v/>
      </c>
      <c r="Q12" s="28" t="str">
        <f t="shared" si="6"/>
        <v/>
      </c>
      <c r="R12" s="8" t="str">
        <f t="shared" si="7"/>
        <v/>
      </c>
      <c r="S12" s="28">
        <f>IFERROR('Company Geography'!$G$9,"")</f>
        <v>5</v>
      </c>
      <c r="T12" s="28">
        <f>IFERROR('Company Geography'!$W$9,"")</f>
        <v>5</v>
      </c>
      <c r="U12" s="28">
        <f>IFERROR('Company Geography'!$X$9,"")</f>
        <v>5</v>
      </c>
      <c r="V12" s="28">
        <f>IFERROR('Company Geography'!$Y$9,"")</f>
        <v>5</v>
      </c>
      <c r="W12" s="7" t="s">
        <v>1862</v>
      </c>
      <c r="X12" s="7" t="s">
        <v>1863</v>
      </c>
      <c r="Y12" s="7" t="s">
        <v>1897</v>
      </c>
      <c r="Z12" s="7">
        <f>IFERROR('Company Geography'!$U$9,"")</f>
        <v>0</v>
      </c>
      <c r="AA12" s="7"/>
      <c r="AB12" s="29"/>
      <c r="AC12" s="7"/>
      <c r="AD12" s="48" t="str">
        <f>IF($B12="Yes",IFERROR(SUMIFS(_TECH_Crisis_Model!$D$5:$D$191,_TECH_Crisis_Model!$A$5:$A$191,'Crisis Simulator'!$B$4,_TECH_Crisis_Model!$B$5:$B$191,$C12),1),"")</f>
        <v/>
      </c>
      <c r="AE12" s="48" t="str">
        <f t="shared" si="8"/>
        <v/>
      </c>
      <c r="AF12" s="48" t="str">
        <f>IFERROR(INDEX(_TECH_Crisis_Model!$E$5:$E$191,MATCH('Crisis Simulator'!$B$4&amp;"|"&amp;$C12,_TECH_Crisis_Model!$I$5:$I$191,0)),"")</f>
        <v>Geographic concentration, legal entity exposure and site dependency can amplify crisis impact.</v>
      </c>
      <c r="AG12" s="48" t="str">
        <f>IFERROR(INDEX(_TECH_Crisis_Model!$G$5:$G$191,MATCH('Crisis Simulator'!$B$4&amp;"|"&amp;$C12,_TECH_Crisis_Model!$I$5:$I$191,0)),"")</f>
        <v>Map entities, locations, markets, revenue exposure and alternate operating options.</v>
      </c>
      <c r="AH12" s="48" t="str">
        <f>IFERROR(INDEX(_TECH_Initiative_Library!$A$5:$A$76,MATCH(1,INDEX((_TECH_Initiative_Library!$B$5:$B$76=$C12)*(_TECH_Initiative_Library!$C$5:$C$76=$D12),0),0)),"")</f>
        <v>INI-001</v>
      </c>
      <c r="AI12" s="48" t="str">
        <f>IFERROR(INDEX(_TECH_Initiative_Library!$F$5:$F$76,MATCH(1,INDEX((_TECH_Initiative_Library!$B$5:$B$76=$C12)*(_TECH_Initiative_Library!$C$5:$C$76=$D12),0),0)),"")</f>
        <v>Create company context, entity and operating model register</v>
      </c>
      <c r="AJ12" s="48" t="str">
        <f ca="1">IFERROR(INDEX(_TECH_Initiative_Library!$AC$5:$AC$76,MATCH(1,INDEX((_TECH_Initiative_Library!$B$5:$B$76=$C12)*(_TECH_Initiative_Library!$C$5:$C$76=$D12),0),0)),"")</f>
        <v/>
      </c>
      <c r="AK12" s="48" t="str">
        <f ca="1">IFERROR(INDEX(_TECH_Initiative_Library!$AE$5:$AE$76,MATCH(1,INDEX((_TECH_Initiative_Library!$B$5:$B$76=$C12)*(_TECH_Initiative_Library!$C$5:$C$76=$D12),0),0)),"")</f>
        <v/>
      </c>
      <c r="AL12" s="48" t="str">
        <f>IF($B12="Yes",IFERROR(SUMIFS(_TECH_Industry_Templates!$E:$E,_TECH_Industry_Templates!$A:$A,'Company Profile'!$B$9,_TECH_Industry_Templates!$B:$B,$C12),1),"")</f>
        <v/>
      </c>
      <c r="AM12" s="48" t="str">
        <f t="shared" si="9"/>
        <v/>
      </c>
      <c r="AN12" s="48" t="str">
        <f>IF($AM12="","",RANK.EQ($AM12,$AM$8:$AM$414,0)+COUNTIF($AM$8:$AM12,$AM12)-1)</f>
        <v/>
      </c>
    </row>
    <row r="13" spans="1:40" ht="71.25">
      <c r="A13" s="28" t="str">
        <f>IF($AM13="","",RANK.EQ($AM13,$AM$8:$AM$414,0)+COUNTIF($AM$8:$AM13,$AM13)-1)</f>
        <v/>
      </c>
      <c r="B13" s="7" t="str">
        <f t="shared" si="0"/>
        <v/>
      </c>
      <c r="C13" s="7" t="s">
        <v>54</v>
      </c>
      <c r="D13" s="7" t="s">
        <v>998</v>
      </c>
      <c r="E13" s="7" t="s">
        <v>1905</v>
      </c>
      <c r="F13" s="7" t="s">
        <v>1906</v>
      </c>
      <c r="G13" s="28" t="str">
        <f>IF(OR(COUNTA('Company Geography'!$H$10)=0,'Company Geography'!$H$10="N/A"),"",VALUE('Company Geography'!$H$10))</f>
        <v/>
      </c>
      <c r="H13" s="7" t="str">
        <f t="shared" si="1"/>
        <v/>
      </c>
      <c r="I13" s="7" t="str">
        <f>IF($G13="","",IFERROR(IF('Company Geography'!$L$10="",IF($G13&lt;=1,"Critical",IF($G13=2,"High",IF($G13=3,"Medium",IF($G13=4,"Low","Optimized")))),'Company Geography'!$L$10),IF($G13&lt;=1,"Critical",IF($G13=2,"High",IF($G13=3,"Medium",IF($G13=4,"Low","Optimized"))))))</f>
        <v/>
      </c>
      <c r="J13" s="7" t="str">
        <f>IF($G13="","",IFERROR(INDEX('Recommendation Matrix'!$E$5:$J$411,MATCH($E13,'Recommendation Matrix'!$A$5:$A$411,0),$G13+1),""))</f>
        <v/>
      </c>
      <c r="K13" s="7" t="str">
        <f>IF($G13="","",IFERROR(VLOOKUP($E13,'Recommendation Matrix'!$A$5:$K$411,11,FALSE),""))</f>
        <v/>
      </c>
      <c r="L13" s="28" t="str">
        <f t="shared" si="2"/>
        <v/>
      </c>
      <c r="M13" s="28" t="str">
        <f>IF($G13="","",IFERROR(INDEX('Recommendation Matrix'!$L$5:$Q$411,MATCH($E13,'Recommendation Matrix'!$A$5:$A$411,0),$G13+1),""))</f>
        <v/>
      </c>
      <c r="N13" s="28" t="str">
        <f t="shared" si="3"/>
        <v/>
      </c>
      <c r="O13" s="28" t="str">
        <f t="shared" si="4"/>
        <v/>
      </c>
      <c r="P13" s="28" t="str">
        <f t="shared" si="5"/>
        <v/>
      </c>
      <c r="Q13" s="28" t="str">
        <f t="shared" si="6"/>
        <v/>
      </c>
      <c r="R13" s="8" t="str">
        <f t="shared" si="7"/>
        <v/>
      </c>
      <c r="S13" s="28">
        <f>IFERROR('Company Geography'!$G$10,"")</f>
        <v>4</v>
      </c>
      <c r="T13" s="28">
        <f>IFERROR('Company Geography'!$W$10,"")</f>
        <v>4</v>
      </c>
      <c r="U13" s="28">
        <f>IFERROR('Company Geography'!$X$10,"")</f>
        <v>5</v>
      </c>
      <c r="V13" s="28">
        <f>IFERROR('Company Geography'!$Y$10,"")</f>
        <v>5</v>
      </c>
      <c r="W13" s="7" t="s">
        <v>1862</v>
      </c>
      <c r="X13" s="7" t="s">
        <v>1863</v>
      </c>
      <c r="Y13" s="7" t="s">
        <v>1907</v>
      </c>
      <c r="Z13" s="7">
        <f>IFERROR('Company Geography'!$U$10,"")</f>
        <v>0</v>
      </c>
      <c r="AA13" s="7"/>
      <c r="AB13" s="29"/>
      <c r="AC13" s="7"/>
      <c r="AD13" s="48" t="str">
        <f>IF($B13="Yes",IFERROR(SUMIFS(_TECH_Crisis_Model!$D$5:$D$191,_TECH_Crisis_Model!$A$5:$A$191,'Crisis Simulator'!$B$4,_TECH_Crisis_Model!$B$5:$B$191,$C13),1),"")</f>
        <v/>
      </c>
      <c r="AE13" s="48" t="str">
        <f t="shared" si="8"/>
        <v/>
      </c>
      <c r="AF13" s="48" t="str">
        <f>IFERROR(INDEX(_TECH_Crisis_Model!$E$5:$E$191,MATCH('Crisis Simulator'!$B$4&amp;"|"&amp;$C13,_TECH_Crisis_Model!$I$5:$I$191,0)),"")</f>
        <v>Geographic concentration, legal entity exposure and site dependency can amplify crisis impact.</v>
      </c>
      <c r="AG13" s="48" t="str">
        <f>IFERROR(INDEX(_TECH_Crisis_Model!$G$5:$G$191,MATCH('Crisis Simulator'!$B$4&amp;"|"&amp;$C13,_TECH_Crisis_Model!$I$5:$I$191,0)),"")</f>
        <v>Map entities, locations, markets, revenue exposure and alternate operating options.</v>
      </c>
      <c r="AH13" s="48" t="str">
        <f>IFERROR(INDEX(_TECH_Initiative_Library!$A$5:$A$76,MATCH(1,INDEX((_TECH_Initiative_Library!$B$5:$B$76=$C13)*(_TECH_Initiative_Library!$C$5:$C$76=$D13),0),0)),"")</f>
        <v>INI-001</v>
      </c>
      <c r="AI13" s="48" t="str">
        <f>IFERROR(INDEX(_TECH_Initiative_Library!$F$5:$F$76,MATCH(1,INDEX((_TECH_Initiative_Library!$B$5:$B$76=$C13)*(_TECH_Initiative_Library!$C$5:$C$76=$D13),0),0)),"")</f>
        <v>Create company context, entity and operating model register</v>
      </c>
      <c r="AJ13" s="48" t="str">
        <f ca="1">IFERROR(INDEX(_TECH_Initiative_Library!$AC$5:$AC$76,MATCH(1,INDEX((_TECH_Initiative_Library!$B$5:$B$76=$C13)*(_TECH_Initiative_Library!$C$5:$C$76=$D13),0),0)),"")</f>
        <v/>
      </c>
      <c r="AK13" s="48" t="str">
        <f ca="1">IFERROR(INDEX(_TECH_Initiative_Library!$AE$5:$AE$76,MATCH(1,INDEX((_TECH_Initiative_Library!$B$5:$B$76=$C13)*(_TECH_Initiative_Library!$C$5:$C$76=$D13),0),0)),"")</f>
        <v/>
      </c>
      <c r="AL13" s="48" t="str">
        <f>IF($B13="Yes",IFERROR(SUMIFS(_TECH_Industry_Templates!$E:$E,_TECH_Industry_Templates!$A:$A,'Company Profile'!$B$9,_TECH_Industry_Templates!$B:$B,$C13),1),"")</f>
        <v/>
      </c>
      <c r="AM13" s="48" t="str">
        <f t="shared" si="9"/>
        <v/>
      </c>
      <c r="AN13" s="48" t="str">
        <f>IF($AM13="","",RANK.EQ($AM13,$AM$8:$AM$414,0)+COUNTIF($AM$8:$AM13,$AM13)-1)</f>
        <v/>
      </c>
    </row>
    <row r="14" spans="1:40" ht="71.25">
      <c r="A14" s="28" t="str">
        <f>IF($AM14="","",RANK.EQ($AM14,$AM$8:$AM$414,0)+COUNTIF($AM$8:$AM14,$AM14)-1)</f>
        <v/>
      </c>
      <c r="B14" s="7" t="str">
        <f t="shared" si="0"/>
        <v/>
      </c>
      <c r="C14" s="7" t="s">
        <v>54</v>
      </c>
      <c r="D14" s="7" t="s">
        <v>998</v>
      </c>
      <c r="E14" s="7" t="s">
        <v>1915</v>
      </c>
      <c r="F14" s="7" t="s">
        <v>1916</v>
      </c>
      <c r="G14" s="28" t="str">
        <f>IF(OR(COUNTA('Company Geography'!$H$11)=0,'Company Geography'!$H$11="N/A"),"",VALUE('Company Geography'!$H$11))</f>
        <v/>
      </c>
      <c r="H14" s="7" t="str">
        <f t="shared" si="1"/>
        <v/>
      </c>
      <c r="I14" s="7" t="str">
        <f>IF($G14="","",IFERROR(IF('Company Geography'!$L$11="",IF($G14&lt;=1,"Critical",IF($G14=2,"High",IF($G14=3,"Medium",IF($G14=4,"Low","Optimized")))),'Company Geography'!$L$11),IF($G14&lt;=1,"Critical",IF($G14=2,"High",IF($G14=3,"Medium",IF($G14=4,"Low","Optimized"))))))</f>
        <v/>
      </c>
      <c r="J14" s="7" t="str">
        <f>IF($G14="","",IFERROR(INDEX('Recommendation Matrix'!$E$5:$J$411,MATCH($E14,'Recommendation Matrix'!$A$5:$A$411,0),$G14+1),""))</f>
        <v/>
      </c>
      <c r="K14" s="7" t="str">
        <f>IF($G14="","",IFERROR(VLOOKUP($E14,'Recommendation Matrix'!$A$5:$K$411,11,FALSE),""))</f>
        <v/>
      </c>
      <c r="L14" s="28" t="str">
        <f t="shared" si="2"/>
        <v/>
      </c>
      <c r="M14" s="28" t="str">
        <f>IF($G14="","",IFERROR(INDEX('Recommendation Matrix'!$L$5:$Q$411,MATCH($E14,'Recommendation Matrix'!$A$5:$A$411,0),$G14+1),""))</f>
        <v/>
      </c>
      <c r="N14" s="28" t="str">
        <f t="shared" si="3"/>
        <v/>
      </c>
      <c r="O14" s="28" t="str">
        <f t="shared" si="4"/>
        <v/>
      </c>
      <c r="P14" s="28" t="str">
        <f t="shared" si="5"/>
        <v/>
      </c>
      <c r="Q14" s="28" t="str">
        <f t="shared" si="6"/>
        <v/>
      </c>
      <c r="R14" s="8" t="str">
        <f t="shared" si="7"/>
        <v/>
      </c>
      <c r="S14" s="28">
        <f>IFERROR('Company Geography'!$G$11,"")</f>
        <v>5</v>
      </c>
      <c r="T14" s="28">
        <f>IFERROR('Company Geography'!$W$11,"")</f>
        <v>5</v>
      </c>
      <c r="U14" s="28">
        <f>IFERROR('Company Geography'!$X$11,"")</f>
        <v>5</v>
      </c>
      <c r="V14" s="28">
        <f>IFERROR('Company Geography'!$Y$11,"")</f>
        <v>5</v>
      </c>
      <c r="W14" s="7" t="s">
        <v>1862</v>
      </c>
      <c r="X14" s="7" t="s">
        <v>1863</v>
      </c>
      <c r="Y14" s="7" t="s">
        <v>1917</v>
      </c>
      <c r="Z14" s="7">
        <f>IFERROR('Company Geography'!$U$11,"")</f>
        <v>0</v>
      </c>
      <c r="AA14" s="7"/>
      <c r="AB14" s="29"/>
      <c r="AC14" s="7"/>
      <c r="AD14" s="48" t="str">
        <f>IF($B14="Yes",IFERROR(SUMIFS(_TECH_Crisis_Model!$D$5:$D$191,_TECH_Crisis_Model!$A$5:$A$191,'Crisis Simulator'!$B$4,_TECH_Crisis_Model!$B$5:$B$191,$C14),1),"")</f>
        <v/>
      </c>
      <c r="AE14" s="48" t="str">
        <f t="shared" si="8"/>
        <v/>
      </c>
      <c r="AF14" s="48" t="str">
        <f>IFERROR(INDEX(_TECH_Crisis_Model!$E$5:$E$191,MATCH('Crisis Simulator'!$B$4&amp;"|"&amp;$C14,_TECH_Crisis_Model!$I$5:$I$191,0)),"")</f>
        <v>Geographic concentration, legal entity exposure and site dependency can amplify crisis impact.</v>
      </c>
      <c r="AG14" s="48" t="str">
        <f>IFERROR(INDEX(_TECH_Crisis_Model!$G$5:$G$191,MATCH('Crisis Simulator'!$B$4&amp;"|"&amp;$C14,_TECH_Crisis_Model!$I$5:$I$191,0)),"")</f>
        <v>Map entities, locations, markets, revenue exposure and alternate operating options.</v>
      </c>
      <c r="AH14" s="48" t="str">
        <f>IFERROR(INDEX(_TECH_Initiative_Library!$A$5:$A$76,MATCH(1,INDEX((_TECH_Initiative_Library!$B$5:$B$76=$C14)*(_TECH_Initiative_Library!$C$5:$C$76=$D14),0),0)),"")</f>
        <v>INI-001</v>
      </c>
      <c r="AI14" s="48" t="str">
        <f>IFERROR(INDEX(_TECH_Initiative_Library!$F$5:$F$76,MATCH(1,INDEX((_TECH_Initiative_Library!$B$5:$B$76=$C14)*(_TECH_Initiative_Library!$C$5:$C$76=$D14),0),0)),"")</f>
        <v>Create company context, entity and operating model register</v>
      </c>
      <c r="AJ14" s="48" t="str">
        <f ca="1">IFERROR(INDEX(_TECH_Initiative_Library!$AC$5:$AC$76,MATCH(1,INDEX((_TECH_Initiative_Library!$B$5:$B$76=$C14)*(_TECH_Initiative_Library!$C$5:$C$76=$D14),0),0)),"")</f>
        <v/>
      </c>
      <c r="AK14" s="48" t="str">
        <f ca="1">IFERROR(INDEX(_TECH_Initiative_Library!$AE$5:$AE$76,MATCH(1,INDEX((_TECH_Initiative_Library!$B$5:$B$76=$C14)*(_TECH_Initiative_Library!$C$5:$C$76=$D14),0),0)),"")</f>
        <v/>
      </c>
      <c r="AL14" s="48" t="str">
        <f>IF($B14="Yes",IFERROR(SUMIFS(_TECH_Industry_Templates!$E:$E,_TECH_Industry_Templates!$A:$A,'Company Profile'!$B$9,_TECH_Industry_Templates!$B:$B,$C14),1),"")</f>
        <v/>
      </c>
      <c r="AM14" s="48" t="str">
        <f t="shared" si="9"/>
        <v/>
      </c>
      <c r="AN14" s="48" t="str">
        <f>IF($AM14="","",RANK.EQ($AM14,$AM$8:$AM$414,0)+COUNTIF($AM$8:$AM14,$AM14)-1)</f>
        <v/>
      </c>
    </row>
    <row r="15" spans="1:40" ht="71.25">
      <c r="A15" s="28" t="str">
        <f>IF($AM15="","",RANK.EQ($AM15,$AM$8:$AM$414,0)+COUNTIF($AM$8:$AM15,$AM15)-1)</f>
        <v/>
      </c>
      <c r="B15" s="7" t="str">
        <f t="shared" si="0"/>
        <v/>
      </c>
      <c r="C15" s="7" t="s">
        <v>54</v>
      </c>
      <c r="D15" s="7" t="s">
        <v>1016</v>
      </c>
      <c r="E15" s="7" t="s">
        <v>1925</v>
      </c>
      <c r="F15" s="7" t="s">
        <v>1926</v>
      </c>
      <c r="G15" s="28" t="str">
        <f>IF(OR(COUNTA('Company Geography'!$H$12)=0,'Company Geography'!$H$12="N/A"),"",VALUE('Company Geography'!$H$12))</f>
        <v/>
      </c>
      <c r="H15" s="7" t="str">
        <f t="shared" si="1"/>
        <v/>
      </c>
      <c r="I15" s="7" t="str">
        <f>IF($G15="","",IFERROR(IF('Company Geography'!$L$12="",IF($G15&lt;=1,"Critical",IF($G15=2,"High",IF($G15=3,"Medium",IF($G15=4,"Low","Optimized")))),'Company Geography'!$L$12),IF($G15&lt;=1,"Critical",IF($G15=2,"High",IF($G15=3,"Medium",IF($G15=4,"Low","Optimized"))))))</f>
        <v/>
      </c>
      <c r="J15" s="7" t="str">
        <f>IF($G15="","",IFERROR(INDEX('Recommendation Matrix'!$E$5:$J$411,MATCH($E15,'Recommendation Matrix'!$A$5:$A$411,0),$G15+1),""))</f>
        <v/>
      </c>
      <c r="K15" s="7" t="str">
        <f>IF($G15="","",IFERROR(VLOOKUP($E15,'Recommendation Matrix'!$A$5:$K$411,11,FALSE),""))</f>
        <v/>
      </c>
      <c r="L15" s="28" t="str">
        <f t="shared" si="2"/>
        <v/>
      </c>
      <c r="M15" s="28" t="str">
        <f>IF($G15="","",IFERROR(INDEX('Recommendation Matrix'!$L$5:$Q$411,MATCH($E15,'Recommendation Matrix'!$A$5:$A$411,0),$G15+1),""))</f>
        <v/>
      </c>
      <c r="N15" s="28" t="str">
        <f t="shared" si="3"/>
        <v/>
      </c>
      <c r="O15" s="28" t="str">
        <f t="shared" si="4"/>
        <v/>
      </c>
      <c r="P15" s="28" t="str">
        <f t="shared" si="5"/>
        <v/>
      </c>
      <c r="Q15" s="28" t="str">
        <f t="shared" si="6"/>
        <v/>
      </c>
      <c r="R15" s="8" t="str">
        <f t="shared" si="7"/>
        <v/>
      </c>
      <c r="S15" s="28">
        <f>IFERROR('Company Geography'!$G$12,"")</f>
        <v>5</v>
      </c>
      <c r="T15" s="28">
        <f>IFERROR('Company Geography'!$W$12,"")</f>
        <v>4</v>
      </c>
      <c r="U15" s="28">
        <f>IFERROR('Company Geography'!$X$12,"")</f>
        <v>5</v>
      </c>
      <c r="V15" s="28">
        <f>IFERROR('Company Geography'!$Y$12,"")</f>
        <v>5</v>
      </c>
      <c r="W15" s="7" t="s">
        <v>1862</v>
      </c>
      <c r="X15" s="7" t="s">
        <v>1863</v>
      </c>
      <c r="Y15" s="7" t="s">
        <v>1927</v>
      </c>
      <c r="Z15" s="7">
        <f>IFERROR('Company Geography'!$U$12,"")</f>
        <v>0</v>
      </c>
      <c r="AA15" s="7"/>
      <c r="AB15" s="29"/>
      <c r="AC15" s="7"/>
      <c r="AD15" s="48" t="str">
        <f>IF($B15="Yes",IFERROR(SUMIFS(_TECH_Crisis_Model!$D$5:$D$191,_TECH_Crisis_Model!$A$5:$A$191,'Crisis Simulator'!$B$4,_TECH_Crisis_Model!$B$5:$B$191,$C15),1),"")</f>
        <v/>
      </c>
      <c r="AE15" s="48" t="str">
        <f t="shared" si="8"/>
        <v/>
      </c>
      <c r="AF15" s="48" t="str">
        <f>IFERROR(INDEX(_TECH_Crisis_Model!$E$5:$E$191,MATCH('Crisis Simulator'!$B$4&amp;"|"&amp;$C15,_TECH_Crisis_Model!$I$5:$I$191,0)),"")</f>
        <v>Geographic concentration, legal entity exposure and site dependency can amplify crisis impact.</v>
      </c>
      <c r="AG15" s="48" t="str">
        <f>IFERROR(INDEX(_TECH_Crisis_Model!$G$5:$G$191,MATCH('Crisis Simulator'!$B$4&amp;"|"&amp;$C15,_TECH_Crisis_Model!$I$5:$I$191,0)),"")</f>
        <v>Map entities, locations, markets, revenue exposure and alternate operating options.</v>
      </c>
      <c r="AH15" s="48" t="str">
        <f>IFERROR(INDEX(_TECH_Initiative_Library!$A$5:$A$76,MATCH(1,INDEX((_TECH_Initiative_Library!$B$5:$B$76=$C15)*(_TECH_Initiative_Library!$C$5:$C$76=$D15),0),0)),"")</f>
        <v>INI-002</v>
      </c>
      <c r="AI15" s="48" t="str">
        <f>IFERROR(INDEX(_TECH_Initiative_Library!$F$5:$F$76,MATCH(1,INDEX((_TECH_Initiative_Library!$B$5:$B$76=$C15)*(_TECH_Initiative_Library!$C$5:$C$76=$D15),0),0)),"")</f>
        <v>Build geographic exposure and site continuity model</v>
      </c>
      <c r="AJ15" s="48" t="str">
        <f ca="1">IFERROR(INDEX(_TECH_Initiative_Library!$AC$5:$AC$76,MATCH(1,INDEX((_TECH_Initiative_Library!$B$5:$B$76=$C15)*(_TECH_Initiative_Library!$C$5:$C$76=$D15),0),0)),"")</f>
        <v/>
      </c>
      <c r="AK15" s="48" t="str">
        <f ca="1">IFERROR(INDEX(_TECH_Initiative_Library!$AE$5:$AE$76,MATCH(1,INDEX((_TECH_Initiative_Library!$B$5:$B$76=$C15)*(_TECH_Initiative_Library!$C$5:$C$76=$D15),0),0)),"")</f>
        <v/>
      </c>
      <c r="AL15" s="48" t="str">
        <f>IF($B15="Yes",IFERROR(SUMIFS(_TECH_Industry_Templates!$E:$E,_TECH_Industry_Templates!$A:$A,'Company Profile'!$B$9,_TECH_Industry_Templates!$B:$B,$C15),1),"")</f>
        <v/>
      </c>
      <c r="AM15" s="48" t="str">
        <f t="shared" si="9"/>
        <v/>
      </c>
      <c r="AN15" s="48" t="str">
        <f>IF($AM15="","",RANK.EQ($AM15,$AM$8:$AM$414,0)+COUNTIF($AM$8:$AM15,$AM15)-1)</f>
        <v/>
      </c>
    </row>
    <row r="16" spans="1:40" ht="71.25">
      <c r="A16" s="28" t="str">
        <f>IF($AM16="","",RANK.EQ($AM16,$AM$8:$AM$414,0)+COUNTIF($AM$8:$AM16,$AM16)-1)</f>
        <v/>
      </c>
      <c r="B16" s="7" t="str">
        <f t="shared" si="0"/>
        <v/>
      </c>
      <c r="C16" s="7" t="s">
        <v>54</v>
      </c>
      <c r="D16" s="7" t="s">
        <v>1016</v>
      </c>
      <c r="E16" s="7" t="s">
        <v>1935</v>
      </c>
      <c r="F16" s="7" t="s">
        <v>1936</v>
      </c>
      <c r="G16" s="28" t="str">
        <f>IF(OR(COUNTA('Company Geography'!$H$13)=0,'Company Geography'!$H$13="N/A"),"",VALUE('Company Geography'!$H$13))</f>
        <v/>
      </c>
      <c r="H16" s="7" t="str">
        <f t="shared" si="1"/>
        <v/>
      </c>
      <c r="I16" s="7" t="str">
        <f>IF($G16="","",IFERROR(IF('Company Geography'!$L$13="",IF($G16&lt;=1,"Critical",IF($G16=2,"High",IF($G16=3,"Medium",IF($G16=4,"Low","Optimized")))),'Company Geography'!$L$13),IF($G16&lt;=1,"Critical",IF($G16=2,"High",IF($G16=3,"Medium",IF($G16=4,"Low","Optimized"))))))</f>
        <v/>
      </c>
      <c r="J16" s="7" t="str">
        <f>IF($G16="","",IFERROR(INDEX('Recommendation Matrix'!$E$5:$J$411,MATCH($E16,'Recommendation Matrix'!$A$5:$A$411,0),$G16+1),""))</f>
        <v/>
      </c>
      <c r="K16" s="7" t="str">
        <f>IF($G16="","",IFERROR(VLOOKUP($E16,'Recommendation Matrix'!$A$5:$K$411,11,FALSE),""))</f>
        <v/>
      </c>
      <c r="L16" s="28" t="str">
        <f t="shared" si="2"/>
        <v/>
      </c>
      <c r="M16" s="28" t="str">
        <f>IF($G16="","",IFERROR(INDEX('Recommendation Matrix'!$L$5:$Q$411,MATCH($E16,'Recommendation Matrix'!$A$5:$A$411,0),$G16+1),""))</f>
        <v/>
      </c>
      <c r="N16" s="28" t="str">
        <f t="shared" si="3"/>
        <v/>
      </c>
      <c r="O16" s="28" t="str">
        <f t="shared" si="4"/>
        <v/>
      </c>
      <c r="P16" s="28" t="str">
        <f t="shared" si="5"/>
        <v/>
      </c>
      <c r="Q16" s="28" t="str">
        <f t="shared" si="6"/>
        <v/>
      </c>
      <c r="R16" s="8" t="str">
        <f t="shared" si="7"/>
        <v/>
      </c>
      <c r="S16" s="28">
        <f>IFERROR('Company Geography'!$G$13,"")</f>
        <v>5</v>
      </c>
      <c r="T16" s="28">
        <f>IFERROR('Company Geography'!$W$13,"")</f>
        <v>5</v>
      </c>
      <c r="U16" s="28">
        <f>IFERROR('Company Geography'!$X$13,"")</f>
        <v>5</v>
      </c>
      <c r="V16" s="28">
        <f>IFERROR('Company Geography'!$Y$13,"")</f>
        <v>5</v>
      </c>
      <c r="W16" s="7" t="s">
        <v>1862</v>
      </c>
      <c r="X16" s="7" t="s">
        <v>1863</v>
      </c>
      <c r="Y16" s="7" t="s">
        <v>1937</v>
      </c>
      <c r="Z16" s="7">
        <f>IFERROR('Company Geography'!$U$13,"")</f>
        <v>0</v>
      </c>
      <c r="AA16" s="7"/>
      <c r="AB16" s="29"/>
      <c r="AC16" s="7"/>
      <c r="AD16" s="48" t="str">
        <f>IF($B16="Yes",IFERROR(SUMIFS(_TECH_Crisis_Model!$D$5:$D$191,_TECH_Crisis_Model!$A$5:$A$191,'Crisis Simulator'!$B$4,_TECH_Crisis_Model!$B$5:$B$191,$C16),1),"")</f>
        <v/>
      </c>
      <c r="AE16" s="48" t="str">
        <f t="shared" si="8"/>
        <v/>
      </c>
      <c r="AF16" s="48" t="str">
        <f>IFERROR(INDEX(_TECH_Crisis_Model!$E$5:$E$191,MATCH('Crisis Simulator'!$B$4&amp;"|"&amp;$C16,_TECH_Crisis_Model!$I$5:$I$191,0)),"")</f>
        <v>Geographic concentration, legal entity exposure and site dependency can amplify crisis impact.</v>
      </c>
      <c r="AG16" s="48" t="str">
        <f>IFERROR(INDEX(_TECH_Crisis_Model!$G$5:$G$191,MATCH('Crisis Simulator'!$B$4&amp;"|"&amp;$C16,_TECH_Crisis_Model!$I$5:$I$191,0)),"")</f>
        <v>Map entities, locations, markets, revenue exposure and alternate operating options.</v>
      </c>
      <c r="AH16" s="48" t="str">
        <f>IFERROR(INDEX(_TECH_Initiative_Library!$A$5:$A$76,MATCH(1,INDEX((_TECH_Initiative_Library!$B$5:$B$76=$C16)*(_TECH_Initiative_Library!$C$5:$C$76=$D16),0),0)),"")</f>
        <v>INI-002</v>
      </c>
      <c r="AI16" s="48" t="str">
        <f>IFERROR(INDEX(_TECH_Initiative_Library!$F$5:$F$76,MATCH(1,INDEX((_TECH_Initiative_Library!$B$5:$B$76=$C16)*(_TECH_Initiative_Library!$C$5:$C$76=$D16),0),0)),"")</f>
        <v>Build geographic exposure and site continuity model</v>
      </c>
      <c r="AJ16" s="48" t="str">
        <f ca="1">IFERROR(INDEX(_TECH_Initiative_Library!$AC$5:$AC$76,MATCH(1,INDEX((_TECH_Initiative_Library!$B$5:$B$76=$C16)*(_TECH_Initiative_Library!$C$5:$C$76=$D16),0),0)),"")</f>
        <v/>
      </c>
      <c r="AK16" s="48" t="str">
        <f ca="1">IFERROR(INDEX(_TECH_Initiative_Library!$AE$5:$AE$76,MATCH(1,INDEX((_TECH_Initiative_Library!$B$5:$B$76=$C16)*(_TECH_Initiative_Library!$C$5:$C$76=$D16),0),0)),"")</f>
        <v/>
      </c>
      <c r="AL16" s="48" t="str">
        <f>IF($B16="Yes",IFERROR(SUMIFS(_TECH_Industry_Templates!$E:$E,_TECH_Industry_Templates!$A:$A,'Company Profile'!$B$9,_TECH_Industry_Templates!$B:$B,$C16),1),"")</f>
        <v/>
      </c>
      <c r="AM16" s="48" t="str">
        <f t="shared" si="9"/>
        <v/>
      </c>
      <c r="AN16" s="48" t="str">
        <f>IF($AM16="","",RANK.EQ($AM16,$AM$8:$AM$414,0)+COUNTIF($AM$8:$AM16,$AM16)-1)</f>
        <v/>
      </c>
    </row>
    <row r="17" spans="1:40" ht="71.25">
      <c r="A17" s="28" t="str">
        <f>IF($AM17="","",RANK.EQ($AM17,$AM$8:$AM$414,0)+COUNTIF($AM$8:$AM17,$AM17)-1)</f>
        <v/>
      </c>
      <c r="B17" s="7" t="str">
        <f t="shared" si="0"/>
        <v/>
      </c>
      <c r="C17" s="7" t="s">
        <v>54</v>
      </c>
      <c r="D17" s="7" t="s">
        <v>1016</v>
      </c>
      <c r="E17" s="7" t="s">
        <v>1945</v>
      </c>
      <c r="F17" s="7" t="s">
        <v>1946</v>
      </c>
      <c r="G17" s="28" t="str">
        <f>IF(OR(COUNTA('Company Geography'!$H$14)=0,'Company Geography'!$H$14="N/A"),"",VALUE('Company Geography'!$H$14))</f>
        <v/>
      </c>
      <c r="H17" s="7" t="str">
        <f t="shared" si="1"/>
        <v/>
      </c>
      <c r="I17" s="7" t="str">
        <f>IF($G17="","",IFERROR(IF('Company Geography'!$L$14="",IF($G17&lt;=1,"Critical",IF($G17=2,"High",IF($G17=3,"Medium",IF($G17=4,"Low","Optimized")))),'Company Geography'!$L$14),IF($G17&lt;=1,"Critical",IF($G17=2,"High",IF($G17=3,"Medium",IF($G17=4,"Low","Optimized"))))))</f>
        <v/>
      </c>
      <c r="J17" s="7" t="str">
        <f>IF($G17="","",IFERROR(INDEX('Recommendation Matrix'!$E$5:$J$411,MATCH($E17,'Recommendation Matrix'!$A$5:$A$411,0),$G17+1),""))</f>
        <v/>
      </c>
      <c r="K17" s="7" t="str">
        <f>IF($G17="","",IFERROR(VLOOKUP($E17,'Recommendation Matrix'!$A$5:$K$411,11,FALSE),""))</f>
        <v/>
      </c>
      <c r="L17" s="28" t="str">
        <f t="shared" si="2"/>
        <v/>
      </c>
      <c r="M17" s="28" t="str">
        <f>IF($G17="","",IFERROR(INDEX('Recommendation Matrix'!$L$5:$Q$411,MATCH($E17,'Recommendation Matrix'!$A$5:$A$411,0),$G17+1),""))</f>
        <v/>
      </c>
      <c r="N17" s="28" t="str">
        <f t="shared" si="3"/>
        <v/>
      </c>
      <c r="O17" s="28" t="str">
        <f t="shared" si="4"/>
        <v/>
      </c>
      <c r="P17" s="28" t="str">
        <f t="shared" si="5"/>
        <v/>
      </c>
      <c r="Q17" s="28" t="str">
        <f t="shared" si="6"/>
        <v/>
      </c>
      <c r="R17" s="8" t="str">
        <f t="shared" si="7"/>
        <v/>
      </c>
      <c r="S17" s="28">
        <f>IFERROR('Company Geography'!$G$14,"")</f>
        <v>4</v>
      </c>
      <c r="T17" s="28">
        <f>IFERROR('Company Geography'!$W$14,"")</f>
        <v>4</v>
      </c>
      <c r="U17" s="28">
        <f>IFERROR('Company Geography'!$X$14,"")</f>
        <v>5</v>
      </c>
      <c r="V17" s="28">
        <f>IFERROR('Company Geography'!$Y$14,"")</f>
        <v>5</v>
      </c>
      <c r="W17" s="7" t="s">
        <v>1862</v>
      </c>
      <c r="X17" s="7" t="s">
        <v>1863</v>
      </c>
      <c r="Y17" s="7" t="s">
        <v>1947</v>
      </c>
      <c r="Z17" s="7">
        <f>IFERROR('Company Geography'!$U$14,"")</f>
        <v>0</v>
      </c>
      <c r="AA17" s="7"/>
      <c r="AB17" s="29"/>
      <c r="AC17" s="7"/>
      <c r="AD17" s="48" t="str">
        <f>IF($B17="Yes",IFERROR(SUMIFS(_TECH_Crisis_Model!$D$5:$D$191,_TECH_Crisis_Model!$A$5:$A$191,'Crisis Simulator'!$B$4,_TECH_Crisis_Model!$B$5:$B$191,$C17),1),"")</f>
        <v/>
      </c>
      <c r="AE17" s="48" t="str">
        <f t="shared" si="8"/>
        <v/>
      </c>
      <c r="AF17" s="48" t="str">
        <f>IFERROR(INDEX(_TECH_Crisis_Model!$E$5:$E$191,MATCH('Crisis Simulator'!$B$4&amp;"|"&amp;$C17,_TECH_Crisis_Model!$I$5:$I$191,0)),"")</f>
        <v>Geographic concentration, legal entity exposure and site dependency can amplify crisis impact.</v>
      </c>
      <c r="AG17" s="48" t="str">
        <f>IFERROR(INDEX(_TECH_Crisis_Model!$G$5:$G$191,MATCH('Crisis Simulator'!$B$4&amp;"|"&amp;$C17,_TECH_Crisis_Model!$I$5:$I$191,0)),"")</f>
        <v>Map entities, locations, markets, revenue exposure and alternate operating options.</v>
      </c>
      <c r="AH17" s="48" t="str">
        <f>IFERROR(INDEX(_TECH_Initiative_Library!$A$5:$A$76,MATCH(1,INDEX((_TECH_Initiative_Library!$B$5:$B$76=$C17)*(_TECH_Initiative_Library!$C$5:$C$76=$D17),0),0)),"")</f>
        <v>INI-002</v>
      </c>
      <c r="AI17" s="48" t="str">
        <f>IFERROR(INDEX(_TECH_Initiative_Library!$F$5:$F$76,MATCH(1,INDEX((_TECH_Initiative_Library!$B$5:$B$76=$C17)*(_TECH_Initiative_Library!$C$5:$C$76=$D17),0),0)),"")</f>
        <v>Build geographic exposure and site continuity model</v>
      </c>
      <c r="AJ17" s="48" t="str">
        <f ca="1">IFERROR(INDEX(_TECH_Initiative_Library!$AC$5:$AC$76,MATCH(1,INDEX((_TECH_Initiative_Library!$B$5:$B$76=$C17)*(_TECH_Initiative_Library!$C$5:$C$76=$D17),0),0)),"")</f>
        <v/>
      </c>
      <c r="AK17" s="48" t="str">
        <f ca="1">IFERROR(INDEX(_TECH_Initiative_Library!$AE$5:$AE$76,MATCH(1,INDEX((_TECH_Initiative_Library!$B$5:$B$76=$C17)*(_TECH_Initiative_Library!$C$5:$C$76=$D17),0),0)),"")</f>
        <v/>
      </c>
      <c r="AL17" s="48" t="str">
        <f>IF($B17="Yes",IFERROR(SUMIFS(_TECH_Industry_Templates!$E:$E,_TECH_Industry_Templates!$A:$A,'Company Profile'!$B$9,_TECH_Industry_Templates!$B:$B,$C17),1),"")</f>
        <v/>
      </c>
      <c r="AM17" s="48" t="str">
        <f t="shared" si="9"/>
        <v/>
      </c>
      <c r="AN17" s="48" t="str">
        <f>IF($AM17="","",RANK.EQ($AM17,$AM$8:$AM$414,0)+COUNTIF($AM$8:$AM17,$AM17)-1)</f>
        <v/>
      </c>
    </row>
    <row r="18" spans="1:40" ht="71.25">
      <c r="A18" s="28" t="str">
        <f>IF($AM18="","",RANK.EQ($AM18,$AM$8:$AM$414,0)+COUNTIF($AM$8:$AM18,$AM18)-1)</f>
        <v/>
      </c>
      <c r="B18" s="7" t="str">
        <f t="shared" si="0"/>
        <v/>
      </c>
      <c r="C18" s="7" t="s">
        <v>54</v>
      </c>
      <c r="D18" s="7" t="s">
        <v>1016</v>
      </c>
      <c r="E18" s="7" t="s">
        <v>1955</v>
      </c>
      <c r="F18" s="7" t="s">
        <v>1956</v>
      </c>
      <c r="G18" s="28" t="str">
        <f>IF(OR(COUNTA('Company Geography'!$H$15)=0,'Company Geography'!$H$15="N/A"),"",VALUE('Company Geography'!$H$15))</f>
        <v/>
      </c>
      <c r="H18" s="7" t="str">
        <f t="shared" si="1"/>
        <v/>
      </c>
      <c r="I18" s="7" t="str">
        <f>IF($G18="","",IFERROR(IF('Company Geography'!$L$15="",IF($G18&lt;=1,"Critical",IF($G18=2,"High",IF($G18=3,"Medium",IF($G18=4,"Low","Optimized")))),'Company Geography'!$L$15),IF($G18&lt;=1,"Critical",IF($G18=2,"High",IF($G18=3,"Medium",IF($G18=4,"Low","Optimized"))))))</f>
        <v/>
      </c>
      <c r="J18" s="7" t="str">
        <f>IF($G18="","",IFERROR(INDEX('Recommendation Matrix'!$E$5:$J$411,MATCH($E18,'Recommendation Matrix'!$A$5:$A$411,0),$G18+1),""))</f>
        <v/>
      </c>
      <c r="K18" s="7" t="str">
        <f>IF($G18="","",IFERROR(VLOOKUP($E18,'Recommendation Matrix'!$A$5:$K$411,11,FALSE),""))</f>
        <v/>
      </c>
      <c r="L18" s="28" t="str">
        <f t="shared" si="2"/>
        <v/>
      </c>
      <c r="M18" s="28" t="str">
        <f>IF($G18="","",IFERROR(INDEX('Recommendation Matrix'!$L$5:$Q$411,MATCH($E18,'Recommendation Matrix'!$A$5:$A$411,0),$G18+1),""))</f>
        <v/>
      </c>
      <c r="N18" s="28" t="str">
        <f t="shared" si="3"/>
        <v/>
      </c>
      <c r="O18" s="28" t="str">
        <f t="shared" si="4"/>
        <v/>
      </c>
      <c r="P18" s="28" t="str">
        <f t="shared" si="5"/>
        <v/>
      </c>
      <c r="Q18" s="28" t="str">
        <f t="shared" si="6"/>
        <v/>
      </c>
      <c r="R18" s="8" t="str">
        <f t="shared" si="7"/>
        <v/>
      </c>
      <c r="S18" s="28">
        <f>IFERROR('Company Geography'!$G$15,"")</f>
        <v>5</v>
      </c>
      <c r="T18" s="28">
        <f>IFERROR('Company Geography'!$W$15,"")</f>
        <v>4</v>
      </c>
      <c r="U18" s="28">
        <f>IFERROR('Company Geography'!$X$15,"")</f>
        <v>5</v>
      </c>
      <c r="V18" s="28">
        <f>IFERROR('Company Geography'!$Y$15,"")</f>
        <v>5</v>
      </c>
      <c r="W18" s="7" t="s">
        <v>1862</v>
      </c>
      <c r="X18" s="7" t="s">
        <v>1863</v>
      </c>
      <c r="Y18" s="7" t="s">
        <v>1957</v>
      </c>
      <c r="Z18" s="7">
        <f>IFERROR('Company Geography'!$U$15,"")</f>
        <v>0</v>
      </c>
      <c r="AA18" s="7"/>
      <c r="AB18" s="29"/>
      <c r="AC18" s="7"/>
      <c r="AD18" s="48" t="str">
        <f>IF($B18="Yes",IFERROR(SUMIFS(_TECH_Crisis_Model!$D$5:$D$191,_TECH_Crisis_Model!$A$5:$A$191,'Crisis Simulator'!$B$4,_TECH_Crisis_Model!$B$5:$B$191,$C18),1),"")</f>
        <v/>
      </c>
      <c r="AE18" s="48" t="str">
        <f t="shared" si="8"/>
        <v/>
      </c>
      <c r="AF18" s="48" t="str">
        <f>IFERROR(INDEX(_TECH_Crisis_Model!$E$5:$E$191,MATCH('Crisis Simulator'!$B$4&amp;"|"&amp;$C18,_TECH_Crisis_Model!$I$5:$I$191,0)),"")</f>
        <v>Geographic concentration, legal entity exposure and site dependency can amplify crisis impact.</v>
      </c>
      <c r="AG18" s="48" t="str">
        <f>IFERROR(INDEX(_TECH_Crisis_Model!$G$5:$G$191,MATCH('Crisis Simulator'!$B$4&amp;"|"&amp;$C18,_TECH_Crisis_Model!$I$5:$I$191,0)),"")</f>
        <v>Map entities, locations, markets, revenue exposure and alternate operating options.</v>
      </c>
      <c r="AH18" s="48" t="str">
        <f>IFERROR(INDEX(_TECH_Initiative_Library!$A$5:$A$76,MATCH(1,INDEX((_TECH_Initiative_Library!$B$5:$B$76=$C18)*(_TECH_Initiative_Library!$C$5:$C$76=$D18),0),0)),"")</f>
        <v>INI-002</v>
      </c>
      <c r="AI18" s="48" t="str">
        <f>IFERROR(INDEX(_TECH_Initiative_Library!$F$5:$F$76,MATCH(1,INDEX((_TECH_Initiative_Library!$B$5:$B$76=$C18)*(_TECH_Initiative_Library!$C$5:$C$76=$D18),0),0)),"")</f>
        <v>Build geographic exposure and site continuity model</v>
      </c>
      <c r="AJ18" s="48" t="str">
        <f ca="1">IFERROR(INDEX(_TECH_Initiative_Library!$AC$5:$AC$76,MATCH(1,INDEX((_TECH_Initiative_Library!$B$5:$B$76=$C18)*(_TECH_Initiative_Library!$C$5:$C$76=$D18),0),0)),"")</f>
        <v/>
      </c>
      <c r="AK18" s="48" t="str">
        <f ca="1">IFERROR(INDEX(_TECH_Initiative_Library!$AE$5:$AE$76,MATCH(1,INDEX((_TECH_Initiative_Library!$B$5:$B$76=$C18)*(_TECH_Initiative_Library!$C$5:$C$76=$D18),0),0)),"")</f>
        <v/>
      </c>
      <c r="AL18" s="48" t="str">
        <f>IF($B18="Yes",IFERROR(SUMIFS(_TECH_Industry_Templates!$E:$E,_TECH_Industry_Templates!$A:$A,'Company Profile'!$B$9,_TECH_Industry_Templates!$B:$B,$C18),1),"")</f>
        <v/>
      </c>
      <c r="AM18" s="48" t="str">
        <f t="shared" si="9"/>
        <v/>
      </c>
      <c r="AN18" s="48" t="str">
        <f>IF($AM18="","",RANK.EQ($AM18,$AM$8:$AM$414,0)+COUNTIF($AM$8:$AM18,$AM18)-1)</f>
        <v/>
      </c>
    </row>
    <row r="19" spans="1:40" ht="71.25">
      <c r="A19" s="28" t="str">
        <f>IF($AM19="","",RANK.EQ($AM19,$AM$8:$AM$414,0)+COUNTIF($AM$8:$AM19,$AM19)-1)</f>
        <v/>
      </c>
      <c r="B19" s="7" t="str">
        <f t="shared" si="0"/>
        <v/>
      </c>
      <c r="C19" s="7" t="s">
        <v>54</v>
      </c>
      <c r="D19" s="7" t="s">
        <v>1016</v>
      </c>
      <c r="E19" s="7" t="s">
        <v>1965</v>
      </c>
      <c r="F19" s="7" t="s">
        <v>1966</v>
      </c>
      <c r="G19" s="28" t="str">
        <f>IF(OR(COUNTA('Company Geography'!$H$16)=0,'Company Geography'!$H$16="N/A"),"",VALUE('Company Geography'!$H$16))</f>
        <v/>
      </c>
      <c r="H19" s="7" t="str">
        <f t="shared" si="1"/>
        <v/>
      </c>
      <c r="I19" s="7" t="str">
        <f>IF($G19="","",IFERROR(IF('Company Geography'!$L$16="",IF($G19&lt;=1,"Critical",IF($G19=2,"High",IF($G19=3,"Medium",IF($G19=4,"Low","Optimized")))),'Company Geography'!$L$16),IF($G19&lt;=1,"Critical",IF($G19=2,"High",IF($G19=3,"Medium",IF($G19=4,"Low","Optimized"))))))</f>
        <v/>
      </c>
      <c r="J19" s="7" t="str">
        <f>IF($G19="","",IFERROR(INDEX('Recommendation Matrix'!$E$5:$J$411,MATCH($E19,'Recommendation Matrix'!$A$5:$A$411,0),$G19+1),""))</f>
        <v/>
      </c>
      <c r="K19" s="7" t="str">
        <f>IF($G19="","",IFERROR(VLOOKUP($E19,'Recommendation Matrix'!$A$5:$K$411,11,FALSE),""))</f>
        <v/>
      </c>
      <c r="L19" s="28" t="str">
        <f t="shared" si="2"/>
        <v/>
      </c>
      <c r="M19" s="28" t="str">
        <f>IF($G19="","",IFERROR(INDEX('Recommendation Matrix'!$L$5:$Q$411,MATCH($E19,'Recommendation Matrix'!$A$5:$A$411,0),$G19+1),""))</f>
        <v/>
      </c>
      <c r="N19" s="28" t="str">
        <f t="shared" si="3"/>
        <v/>
      </c>
      <c r="O19" s="28" t="str">
        <f t="shared" si="4"/>
        <v/>
      </c>
      <c r="P19" s="28" t="str">
        <f t="shared" si="5"/>
        <v/>
      </c>
      <c r="Q19" s="28" t="str">
        <f t="shared" si="6"/>
        <v/>
      </c>
      <c r="R19" s="8" t="str">
        <f t="shared" si="7"/>
        <v/>
      </c>
      <c r="S19" s="28">
        <f>IFERROR('Company Geography'!$G$16,"")</f>
        <v>5</v>
      </c>
      <c r="T19" s="28">
        <f>IFERROR('Company Geography'!$W$16,"")</f>
        <v>4</v>
      </c>
      <c r="U19" s="28">
        <f>IFERROR('Company Geography'!$X$16,"")</f>
        <v>5</v>
      </c>
      <c r="V19" s="28">
        <f>IFERROR('Company Geography'!$Y$16,"")</f>
        <v>5</v>
      </c>
      <c r="W19" s="7" t="s">
        <v>1862</v>
      </c>
      <c r="X19" s="7" t="s">
        <v>1863</v>
      </c>
      <c r="Y19" s="7" t="s">
        <v>1967</v>
      </c>
      <c r="Z19" s="7">
        <f>IFERROR('Company Geography'!$U$16,"")</f>
        <v>0</v>
      </c>
      <c r="AA19" s="7"/>
      <c r="AB19" s="29"/>
      <c r="AC19" s="7"/>
      <c r="AD19" s="48" t="str">
        <f>IF($B19="Yes",IFERROR(SUMIFS(_TECH_Crisis_Model!$D$5:$D$191,_TECH_Crisis_Model!$A$5:$A$191,'Crisis Simulator'!$B$4,_TECH_Crisis_Model!$B$5:$B$191,$C19),1),"")</f>
        <v/>
      </c>
      <c r="AE19" s="48" t="str">
        <f t="shared" si="8"/>
        <v/>
      </c>
      <c r="AF19" s="48" t="str">
        <f>IFERROR(INDEX(_TECH_Crisis_Model!$E$5:$E$191,MATCH('Crisis Simulator'!$B$4&amp;"|"&amp;$C19,_TECH_Crisis_Model!$I$5:$I$191,0)),"")</f>
        <v>Geographic concentration, legal entity exposure and site dependency can amplify crisis impact.</v>
      </c>
      <c r="AG19" s="48" t="str">
        <f>IFERROR(INDEX(_TECH_Crisis_Model!$G$5:$G$191,MATCH('Crisis Simulator'!$B$4&amp;"|"&amp;$C19,_TECH_Crisis_Model!$I$5:$I$191,0)),"")</f>
        <v>Map entities, locations, markets, revenue exposure and alternate operating options.</v>
      </c>
      <c r="AH19" s="48" t="str">
        <f>IFERROR(INDEX(_TECH_Initiative_Library!$A$5:$A$76,MATCH(1,INDEX((_TECH_Initiative_Library!$B$5:$B$76=$C19)*(_TECH_Initiative_Library!$C$5:$C$76=$D19),0),0)),"")</f>
        <v>INI-002</v>
      </c>
      <c r="AI19" s="48" t="str">
        <f>IFERROR(INDEX(_TECH_Initiative_Library!$F$5:$F$76,MATCH(1,INDEX((_TECH_Initiative_Library!$B$5:$B$76=$C19)*(_TECH_Initiative_Library!$C$5:$C$76=$D19),0),0)),"")</f>
        <v>Build geographic exposure and site continuity model</v>
      </c>
      <c r="AJ19" s="48" t="str">
        <f ca="1">IFERROR(INDEX(_TECH_Initiative_Library!$AC$5:$AC$76,MATCH(1,INDEX((_TECH_Initiative_Library!$B$5:$B$76=$C19)*(_TECH_Initiative_Library!$C$5:$C$76=$D19),0),0)),"")</f>
        <v/>
      </c>
      <c r="AK19" s="48" t="str">
        <f ca="1">IFERROR(INDEX(_TECH_Initiative_Library!$AE$5:$AE$76,MATCH(1,INDEX((_TECH_Initiative_Library!$B$5:$B$76=$C19)*(_TECH_Initiative_Library!$C$5:$C$76=$D19),0),0)),"")</f>
        <v/>
      </c>
      <c r="AL19" s="48" t="str">
        <f>IF($B19="Yes",IFERROR(SUMIFS(_TECH_Industry_Templates!$E:$E,_TECH_Industry_Templates!$A:$A,'Company Profile'!$B$9,_TECH_Industry_Templates!$B:$B,$C19),1),"")</f>
        <v/>
      </c>
      <c r="AM19" s="48" t="str">
        <f t="shared" si="9"/>
        <v/>
      </c>
      <c r="AN19" s="48" t="str">
        <f>IF($AM19="","",RANK.EQ($AM19,$AM$8:$AM$414,0)+COUNTIF($AM$8:$AM19,$AM19)-1)</f>
        <v/>
      </c>
    </row>
    <row r="20" spans="1:40" ht="71.25">
      <c r="A20" s="28" t="str">
        <f>IF($AM20="","",RANK.EQ($AM20,$AM$8:$AM$414,0)+COUNTIF($AM$8:$AM20,$AM20)-1)</f>
        <v/>
      </c>
      <c r="B20" s="7" t="str">
        <f t="shared" si="0"/>
        <v/>
      </c>
      <c r="C20" s="7" t="s">
        <v>54</v>
      </c>
      <c r="D20" s="7" t="s">
        <v>1016</v>
      </c>
      <c r="E20" s="7" t="s">
        <v>1975</v>
      </c>
      <c r="F20" s="7" t="s">
        <v>1976</v>
      </c>
      <c r="G20" s="28" t="str">
        <f>IF(OR(COUNTA('Company Geography'!$H$17)=0,'Company Geography'!$H$17="N/A"),"",VALUE('Company Geography'!$H$17))</f>
        <v/>
      </c>
      <c r="H20" s="7" t="str">
        <f t="shared" si="1"/>
        <v/>
      </c>
      <c r="I20" s="7" t="str">
        <f>IF($G20="","",IFERROR(IF('Company Geography'!$L$17="",IF($G20&lt;=1,"Critical",IF($G20=2,"High",IF($G20=3,"Medium",IF($G20=4,"Low","Optimized")))),'Company Geography'!$L$17),IF($G20&lt;=1,"Critical",IF($G20=2,"High",IF($G20=3,"Medium",IF($G20=4,"Low","Optimized"))))))</f>
        <v/>
      </c>
      <c r="J20" s="7" t="str">
        <f>IF($G20="","",IFERROR(INDEX('Recommendation Matrix'!$E$5:$J$411,MATCH($E20,'Recommendation Matrix'!$A$5:$A$411,0),$G20+1),""))</f>
        <v/>
      </c>
      <c r="K20" s="7" t="str">
        <f>IF($G20="","",IFERROR(VLOOKUP($E20,'Recommendation Matrix'!$A$5:$K$411,11,FALSE),""))</f>
        <v/>
      </c>
      <c r="L20" s="28" t="str">
        <f t="shared" si="2"/>
        <v/>
      </c>
      <c r="M20" s="28" t="str">
        <f>IF($G20="","",IFERROR(INDEX('Recommendation Matrix'!$L$5:$Q$411,MATCH($E20,'Recommendation Matrix'!$A$5:$A$411,0),$G20+1),""))</f>
        <v/>
      </c>
      <c r="N20" s="28" t="str">
        <f t="shared" si="3"/>
        <v/>
      </c>
      <c r="O20" s="28" t="str">
        <f t="shared" si="4"/>
        <v/>
      </c>
      <c r="P20" s="28" t="str">
        <f t="shared" si="5"/>
        <v/>
      </c>
      <c r="Q20" s="28" t="str">
        <f t="shared" si="6"/>
        <v/>
      </c>
      <c r="R20" s="8" t="str">
        <f t="shared" si="7"/>
        <v/>
      </c>
      <c r="S20" s="28">
        <f>IFERROR('Company Geography'!$G$17,"")</f>
        <v>4</v>
      </c>
      <c r="T20" s="28">
        <f>IFERROR('Company Geography'!$W$17,"")</f>
        <v>4</v>
      </c>
      <c r="U20" s="28">
        <f>IFERROR('Company Geography'!$X$17,"")</f>
        <v>5</v>
      </c>
      <c r="V20" s="28">
        <f>IFERROR('Company Geography'!$Y$17,"")</f>
        <v>5</v>
      </c>
      <c r="W20" s="7" t="s">
        <v>1862</v>
      </c>
      <c r="X20" s="7" t="s">
        <v>1863</v>
      </c>
      <c r="Y20" s="7" t="s">
        <v>1977</v>
      </c>
      <c r="Z20" s="7">
        <f>IFERROR('Company Geography'!$U$17,"")</f>
        <v>0</v>
      </c>
      <c r="AA20" s="7"/>
      <c r="AB20" s="29"/>
      <c r="AC20" s="7"/>
      <c r="AD20" s="48" t="str">
        <f>IF($B20="Yes",IFERROR(SUMIFS(_TECH_Crisis_Model!$D$5:$D$191,_TECH_Crisis_Model!$A$5:$A$191,'Crisis Simulator'!$B$4,_TECH_Crisis_Model!$B$5:$B$191,$C20),1),"")</f>
        <v/>
      </c>
      <c r="AE20" s="48" t="str">
        <f t="shared" si="8"/>
        <v/>
      </c>
      <c r="AF20" s="48" t="str">
        <f>IFERROR(INDEX(_TECH_Crisis_Model!$E$5:$E$191,MATCH('Crisis Simulator'!$B$4&amp;"|"&amp;$C20,_TECH_Crisis_Model!$I$5:$I$191,0)),"")</f>
        <v>Geographic concentration, legal entity exposure and site dependency can amplify crisis impact.</v>
      </c>
      <c r="AG20" s="48" t="str">
        <f>IFERROR(INDEX(_TECH_Crisis_Model!$G$5:$G$191,MATCH('Crisis Simulator'!$B$4&amp;"|"&amp;$C20,_TECH_Crisis_Model!$I$5:$I$191,0)),"")</f>
        <v>Map entities, locations, markets, revenue exposure and alternate operating options.</v>
      </c>
      <c r="AH20" s="48" t="str">
        <f>IFERROR(INDEX(_TECH_Initiative_Library!$A$5:$A$76,MATCH(1,INDEX((_TECH_Initiative_Library!$B$5:$B$76=$C20)*(_TECH_Initiative_Library!$C$5:$C$76=$D20),0),0)),"")</f>
        <v>INI-002</v>
      </c>
      <c r="AI20" s="48" t="str">
        <f>IFERROR(INDEX(_TECH_Initiative_Library!$F$5:$F$76,MATCH(1,INDEX((_TECH_Initiative_Library!$B$5:$B$76=$C20)*(_TECH_Initiative_Library!$C$5:$C$76=$D20),0),0)),"")</f>
        <v>Build geographic exposure and site continuity model</v>
      </c>
      <c r="AJ20" s="48" t="str">
        <f ca="1">IFERROR(INDEX(_TECH_Initiative_Library!$AC$5:$AC$76,MATCH(1,INDEX((_TECH_Initiative_Library!$B$5:$B$76=$C20)*(_TECH_Initiative_Library!$C$5:$C$76=$D20),0),0)),"")</f>
        <v/>
      </c>
      <c r="AK20" s="48" t="str">
        <f ca="1">IFERROR(INDEX(_TECH_Initiative_Library!$AE$5:$AE$76,MATCH(1,INDEX((_TECH_Initiative_Library!$B$5:$B$76=$C20)*(_TECH_Initiative_Library!$C$5:$C$76=$D20),0),0)),"")</f>
        <v/>
      </c>
      <c r="AL20" s="48" t="str">
        <f>IF($B20="Yes",IFERROR(SUMIFS(_TECH_Industry_Templates!$E:$E,_TECH_Industry_Templates!$A:$A,'Company Profile'!$B$9,_TECH_Industry_Templates!$B:$B,$C20),1),"")</f>
        <v/>
      </c>
      <c r="AM20" s="48" t="str">
        <f t="shared" si="9"/>
        <v/>
      </c>
      <c r="AN20" s="48" t="str">
        <f>IF($AM20="","",RANK.EQ($AM20,$AM$8:$AM$414,0)+COUNTIF($AM$8:$AM20,$AM20)-1)</f>
        <v/>
      </c>
    </row>
    <row r="21" spans="1:40" ht="71.25">
      <c r="A21" s="28" t="str">
        <f>IF($AM21="","",RANK.EQ($AM21,$AM$8:$AM$414,0)+COUNTIF($AM$8:$AM21,$AM21)-1)</f>
        <v/>
      </c>
      <c r="B21" s="7" t="str">
        <f t="shared" si="0"/>
        <v/>
      </c>
      <c r="C21" s="7" t="s">
        <v>54</v>
      </c>
      <c r="D21" s="7" t="s">
        <v>1016</v>
      </c>
      <c r="E21" s="7" t="s">
        <v>1985</v>
      </c>
      <c r="F21" s="7" t="s">
        <v>1986</v>
      </c>
      <c r="G21" s="28" t="str">
        <f>IF(OR(COUNTA('Company Geography'!$H$18)=0,'Company Geography'!$H$18="N/A"),"",VALUE('Company Geography'!$H$18))</f>
        <v/>
      </c>
      <c r="H21" s="7" t="str">
        <f t="shared" si="1"/>
        <v/>
      </c>
      <c r="I21" s="7" t="str">
        <f>IF($G21="","",IFERROR(IF('Company Geography'!$L$18="",IF($G21&lt;=1,"Critical",IF($G21=2,"High",IF($G21=3,"Medium",IF($G21=4,"Low","Optimized")))),'Company Geography'!$L$18),IF($G21&lt;=1,"Critical",IF($G21=2,"High",IF($G21=3,"Medium",IF($G21=4,"Low","Optimized"))))))</f>
        <v/>
      </c>
      <c r="J21" s="7" t="str">
        <f>IF($G21="","",IFERROR(INDEX('Recommendation Matrix'!$E$5:$J$411,MATCH($E21,'Recommendation Matrix'!$A$5:$A$411,0),$G21+1),""))</f>
        <v/>
      </c>
      <c r="K21" s="7" t="str">
        <f>IF($G21="","",IFERROR(VLOOKUP($E21,'Recommendation Matrix'!$A$5:$K$411,11,FALSE),""))</f>
        <v/>
      </c>
      <c r="L21" s="28" t="str">
        <f t="shared" si="2"/>
        <v/>
      </c>
      <c r="M21" s="28" t="str">
        <f>IF($G21="","",IFERROR(INDEX('Recommendation Matrix'!$L$5:$Q$411,MATCH($E21,'Recommendation Matrix'!$A$5:$A$411,0),$G21+1),""))</f>
        <v/>
      </c>
      <c r="N21" s="28" t="str">
        <f t="shared" si="3"/>
        <v/>
      </c>
      <c r="O21" s="28" t="str">
        <f t="shared" si="4"/>
        <v/>
      </c>
      <c r="P21" s="28" t="str">
        <f t="shared" si="5"/>
        <v/>
      </c>
      <c r="Q21" s="28" t="str">
        <f t="shared" si="6"/>
        <v/>
      </c>
      <c r="R21" s="8" t="str">
        <f t="shared" si="7"/>
        <v/>
      </c>
      <c r="S21" s="28">
        <f>IFERROR('Company Geography'!$G$18,"")</f>
        <v>5</v>
      </c>
      <c r="T21" s="28">
        <f>IFERROR('Company Geography'!$W$18,"")</f>
        <v>4</v>
      </c>
      <c r="U21" s="28">
        <f>IFERROR('Company Geography'!$X$18,"")</f>
        <v>5</v>
      </c>
      <c r="V21" s="28">
        <f>IFERROR('Company Geography'!$Y$18,"")</f>
        <v>5</v>
      </c>
      <c r="W21" s="7" t="s">
        <v>1862</v>
      </c>
      <c r="X21" s="7" t="s">
        <v>1863</v>
      </c>
      <c r="Y21" s="7" t="s">
        <v>1987</v>
      </c>
      <c r="Z21" s="7">
        <f>IFERROR('Company Geography'!$U$18,"")</f>
        <v>0</v>
      </c>
      <c r="AA21" s="7"/>
      <c r="AB21" s="29"/>
      <c r="AC21" s="7"/>
      <c r="AD21" s="48" t="str">
        <f>IF($B21="Yes",IFERROR(SUMIFS(_TECH_Crisis_Model!$D$5:$D$191,_TECH_Crisis_Model!$A$5:$A$191,'Crisis Simulator'!$B$4,_TECH_Crisis_Model!$B$5:$B$191,$C21),1),"")</f>
        <v/>
      </c>
      <c r="AE21" s="48" t="str">
        <f t="shared" si="8"/>
        <v/>
      </c>
      <c r="AF21" s="48" t="str">
        <f>IFERROR(INDEX(_TECH_Crisis_Model!$E$5:$E$191,MATCH('Crisis Simulator'!$B$4&amp;"|"&amp;$C21,_TECH_Crisis_Model!$I$5:$I$191,0)),"")</f>
        <v>Geographic concentration, legal entity exposure and site dependency can amplify crisis impact.</v>
      </c>
      <c r="AG21" s="48" t="str">
        <f>IFERROR(INDEX(_TECH_Crisis_Model!$G$5:$G$191,MATCH('Crisis Simulator'!$B$4&amp;"|"&amp;$C21,_TECH_Crisis_Model!$I$5:$I$191,0)),"")</f>
        <v>Map entities, locations, markets, revenue exposure and alternate operating options.</v>
      </c>
      <c r="AH21" s="48" t="str">
        <f>IFERROR(INDEX(_TECH_Initiative_Library!$A$5:$A$76,MATCH(1,INDEX((_TECH_Initiative_Library!$B$5:$B$76=$C21)*(_TECH_Initiative_Library!$C$5:$C$76=$D21),0),0)),"")</f>
        <v>INI-002</v>
      </c>
      <c r="AI21" s="48" t="str">
        <f>IFERROR(INDEX(_TECH_Initiative_Library!$F$5:$F$76,MATCH(1,INDEX((_TECH_Initiative_Library!$B$5:$B$76=$C21)*(_TECH_Initiative_Library!$C$5:$C$76=$D21),0),0)),"")</f>
        <v>Build geographic exposure and site continuity model</v>
      </c>
      <c r="AJ21" s="48" t="str">
        <f ca="1">IFERROR(INDEX(_TECH_Initiative_Library!$AC$5:$AC$76,MATCH(1,INDEX((_TECH_Initiative_Library!$B$5:$B$76=$C21)*(_TECH_Initiative_Library!$C$5:$C$76=$D21),0),0)),"")</f>
        <v/>
      </c>
      <c r="AK21" s="48" t="str">
        <f ca="1">IFERROR(INDEX(_TECH_Initiative_Library!$AE$5:$AE$76,MATCH(1,INDEX((_TECH_Initiative_Library!$B$5:$B$76=$C21)*(_TECH_Initiative_Library!$C$5:$C$76=$D21),0),0)),"")</f>
        <v/>
      </c>
      <c r="AL21" s="48" t="str">
        <f>IF($B21="Yes",IFERROR(SUMIFS(_TECH_Industry_Templates!$E:$E,_TECH_Industry_Templates!$A:$A,'Company Profile'!$B$9,_TECH_Industry_Templates!$B:$B,$C21),1),"")</f>
        <v/>
      </c>
      <c r="AM21" s="48" t="str">
        <f t="shared" si="9"/>
        <v/>
      </c>
      <c r="AN21" s="48" t="str">
        <f>IF($AM21="","",RANK.EQ($AM21,$AM$8:$AM$414,0)+COUNTIF($AM$8:$AM21,$AM21)-1)</f>
        <v/>
      </c>
    </row>
    <row r="22" spans="1:40" ht="71.25">
      <c r="A22" s="28" t="str">
        <f>IF($AM22="","",RANK.EQ($AM22,$AM$8:$AM$414,0)+COUNTIF($AM$8:$AM22,$AM22)-1)</f>
        <v/>
      </c>
      <c r="B22" s="7" t="str">
        <f t="shared" si="0"/>
        <v/>
      </c>
      <c r="C22" s="7" t="s">
        <v>54</v>
      </c>
      <c r="D22" s="7" t="s">
        <v>1024</v>
      </c>
      <c r="E22" s="7" t="s">
        <v>1995</v>
      </c>
      <c r="F22" s="7" t="s">
        <v>1996</v>
      </c>
      <c r="G22" s="28" t="str">
        <f>IF(OR(COUNTA('Company Geography'!$H$19)=0,'Company Geography'!$H$19="N/A"),"",VALUE('Company Geography'!$H$19))</f>
        <v/>
      </c>
      <c r="H22" s="7" t="str">
        <f t="shared" si="1"/>
        <v/>
      </c>
      <c r="I22" s="7" t="str">
        <f>IF($G22="","",IFERROR(IF('Company Geography'!$L$19="",IF($G22&lt;=1,"Critical",IF($G22=2,"High",IF($G22=3,"Medium",IF($G22=4,"Low","Optimized")))),'Company Geography'!$L$19),IF($G22&lt;=1,"Critical",IF($G22=2,"High",IF($G22=3,"Medium",IF($G22=4,"Low","Optimized"))))))</f>
        <v/>
      </c>
      <c r="J22" s="7" t="str">
        <f>IF($G22="","",IFERROR(INDEX('Recommendation Matrix'!$E$5:$J$411,MATCH($E22,'Recommendation Matrix'!$A$5:$A$411,0),$G22+1),""))</f>
        <v/>
      </c>
      <c r="K22" s="7" t="str">
        <f>IF($G22="","",IFERROR(VLOOKUP($E22,'Recommendation Matrix'!$A$5:$K$411,11,FALSE),""))</f>
        <v/>
      </c>
      <c r="L22" s="28" t="str">
        <f t="shared" si="2"/>
        <v/>
      </c>
      <c r="M22" s="28" t="str">
        <f>IF($G22="","",IFERROR(INDEX('Recommendation Matrix'!$L$5:$Q$411,MATCH($E22,'Recommendation Matrix'!$A$5:$A$411,0),$G22+1),""))</f>
        <v/>
      </c>
      <c r="N22" s="28" t="str">
        <f t="shared" si="3"/>
        <v/>
      </c>
      <c r="O22" s="28" t="str">
        <f t="shared" si="4"/>
        <v/>
      </c>
      <c r="P22" s="28" t="str">
        <f t="shared" si="5"/>
        <v/>
      </c>
      <c r="Q22" s="28" t="str">
        <f t="shared" si="6"/>
        <v/>
      </c>
      <c r="R22" s="8" t="str">
        <f t="shared" si="7"/>
        <v/>
      </c>
      <c r="S22" s="28">
        <f>IFERROR('Company Geography'!$G$19,"")</f>
        <v>5</v>
      </c>
      <c r="T22" s="28">
        <f>IFERROR('Company Geography'!$W$19,"")</f>
        <v>4</v>
      </c>
      <c r="U22" s="28">
        <f>IFERROR('Company Geography'!$X$19,"")</f>
        <v>5</v>
      </c>
      <c r="V22" s="28">
        <f>IFERROR('Company Geography'!$Y$19,"")</f>
        <v>5</v>
      </c>
      <c r="W22" s="7" t="s">
        <v>1862</v>
      </c>
      <c r="X22" s="7" t="s">
        <v>1863</v>
      </c>
      <c r="Y22" s="7" t="s">
        <v>1997</v>
      </c>
      <c r="Z22" s="7">
        <f>IFERROR('Company Geography'!$U$19,"")</f>
        <v>0</v>
      </c>
      <c r="AA22" s="7"/>
      <c r="AB22" s="29"/>
      <c r="AC22" s="7"/>
      <c r="AD22" s="48" t="str">
        <f>IF($B22="Yes",IFERROR(SUMIFS(_TECH_Crisis_Model!$D$5:$D$191,_TECH_Crisis_Model!$A$5:$A$191,'Crisis Simulator'!$B$4,_TECH_Crisis_Model!$B$5:$B$191,$C22),1),"")</f>
        <v/>
      </c>
      <c r="AE22" s="48" t="str">
        <f t="shared" si="8"/>
        <v/>
      </c>
      <c r="AF22" s="48" t="str">
        <f>IFERROR(INDEX(_TECH_Crisis_Model!$E$5:$E$191,MATCH('Crisis Simulator'!$B$4&amp;"|"&amp;$C22,_TECH_Crisis_Model!$I$5:$I$191,0)),"")</f>
        <v>Geographic concentration, legal entity exposure and site dependency can amplify crisis impact.</v>
      </c>
      <c r="AG22" s="48" t="str">
        <f>IFERROR(INDEX(_TECH_Crisis_Model!$G$5:$G$191,MATCH('Crisis Simulator'!$B$4&amp;"|"&amp;$C22,_TECH_Crisis_Model!$I$5:$I$191,0)),"")</f>
        <v>Map entities, locations, markets, revenue exposure and alternate operating options.</v>
      </c>
      <c r="AH22" s="48" t="str">
        <f>IFERROR(INDEX(_TECH_Initiative_Library!$A$5:$A$76,MATCH(1,INDEX((_TECH_Initiative_Library!$B$5:$B$76=$C22)*(_TECH_Initiative_Library!$C$5:$C$76=$D22),0),0)),"")</f>
        <v>INI-003</v>
      </c>
      <c r="AI22" s="48" t="str">
        <f>IFERROR(INDEX(_TECH_Initiative_Library!$F$5:$F$76,MATCH(1,INDEX((_TECH_Initiative_Library!$B$5:$B$76=$C22)*(_TECH_Initiative_Library!$C$5:$C$76=$D22),0),0)),"")</f>
        <v>Map critical business dependencies and external exposures</v>
      </c>
      <c r="AJ22" s="48" t="str">
        <f ca="1">IFERROR(INDEX(_TECH_Initiative_Library!$AC$5:$AC$76,MATCH(1,INDEX((_TECH_Initiative_Library!$B$5:$B$76=$C22)*(_TECH_Initiative_Library!$C$5:$C$76=$D22),0),0)),"")</f>
        <v/>
      </c>
      <c r="AK22" s="48" t="str">
        <f ca="1">IFERROR(INDEX(_TECH_Initiative_Library!$AE$5:$AE$76,MATCH(1,INDEX((_TECH_Initiative_Library!$B$5:$B$76=$C22)*(_TECH_Initiative_Library!$C$5:$C$76=$D22),0),0)),"")</f>
        <v/>
      </c>
      <c r="AL22" s="48" t="str">
        <f>IF($B22="Yes",IFERROR(SUMIFS(_TECH_Industry_Templates!$E:$E,_TECH_Industry_Templates!$A:$A,'Company Profile'!$B$9,_TECH_Industry_Templates!$B:$B,$C22),1),"")</f>
        <v/>
      </c>
      <c r="AM22" s="48" t="str">
        <f t="shared" si="9"/>
        <v/>
      </c>
      <c r="AN22" s="48" t="str">
        <f>IF($AM22="","",RANK.EQ($AM22,$AM$8:$AM$414,0)+COUNTIF($AM$8:$AM22,$AM22)-1)</f>
        <v/>
      </c>
    </row>
    <row r="23" spans="1:40" ht="71.25">
      <c r="A23" s="28" t="str">
        <f>IF($AM23="","",RANK.EQ($AM23,$AM$8:$AM$414,0)+COUNTIF($AM$8:$AM23,$AM23)-1)</f>
        <v/>
      </c>
      <c r="B23" s="7" t="str">
        <f t="shared" si="0"/>
        <v/>
      </c>
      <c r="C23" s="7" t="s">
        <v>54</v>
      </c>
      <c r="D23" s="7" t="s">
        <v>1024</v>
      </c>
      <c r="E23" s="7" t="s">
        <v>2005</v>
      </c>
      <c r="F23" s="7" t="s">
        <v>2006</v>
      </c>
      <c r="G23" s="28" t="str">
        <f>IF(OR(COUNTA('Company Geography'!$H$20)=0,'Company Geography'!$H$20="N/A"),"",VALUE('Company Geography'!$H$20))</f>
        <v/>
      </c>
      <c r="H23" s="7" t="str">
        <f t="shared" si="1"/>
        <v/>
      </c>
      <c r="I23" s="7" t="str">
        <f>IF($G23="","",IFERROR(IF('Company Geography'!$L$20="",IF($G23&lt;=1,"Critical",IF($G23=2,"High",IF($G23=3,"Medium",IF($G23=4,"Low","Optimized")))),'Company Geography'!$L$20),IF($G23&lt;=1,"Critical",IF($G23=2,"High",IF($G23=3,"Medium",IF($G23=4,"Low","Optimized"))))))</f>
        <v/>
      </c>
      <c r="J23" s="7" t="str">
        <f>IF($G23="","",IFERROR(INDEX('Recommendation Matrix'!$E$5:$J$411,MATCH($E23,'Recommendation Matrix'!$A$5:$A$411,0),$G23+1),""))</f>
        <v/>
      </c>
      <c r="K23" s="7" t="str">
        <f>IF($G23="","",IFERROR(VLOOKUP($E23,'Recommendation Matrix'!$A$5:$K$411,11,FALSE),""))</f>
        <v/>
      </c>
      <c r="L23" s="28" t="str">
        <f t="shared" si="2"/>
        <v/>
      </c>
      <c r="M23" s="28" t="str">
        <f>IF($G23="","",IFERROR(INDEX('Recommendation Matrix'!$L$5:$Q$411,MATCH($E23,'Recommendation Matrix'!$A$5:$A$411,0),$G23+1),""))</f>
        <v/>
      </c>
      <c r="N23" s="28" t="str">
        <f t="shared" si="3"/>
        <v/>
      </c>
      <c r="O23" s="28" t="str">
        <f t="shared" si="4"/>
        <v/>
      </c>
      <c r="P23" s="28" t="str">
        <f t="shared" si="5"/>
        <v/>
      </c>
      <c r="Q23" s="28" t="str">
        <f t="shared" si="6"/>
        <v/>
      </c>
      <c r="R23" s="8" t="str">
        <f t="shared" si="7"/>
        <v/>
      </c>
      <c r="S23" s="28">
        <f>IFERROR('Company Geography'!$G$20,"")</f>
        <v>5</v>
      </c>
      <c r="T23" s="28">
        <f>IFERROR('Company Geography'!$W$20,"")</f>
        <v>4</v>
      </c>
      <c r="U23" s="28">
        <f>IFERROR('Company Geography'!$X$20,"")</f>
        <v>5</v>
      </c>
      <c r="V23" s="28">
        <f>IFERROR('Company Geography'!$Y$20,"")</f>
        <v>5</v>
      </c>
      <c r="W23" s="7" t="s">
        <v>1862</v>
      </c>
      <c r="X23" s="7" t="s">
        <v>1863</v>
      </c>
      <c r="Y23" s="7" t="s">
        <v>2007</v>
      </c>
      <c r="Z23" s="7">
        <f>IFERROR('Company Geography'!$U$20,"")</f>
        <v>0</v>
      </c>
      <c r="AA23" s="7"/>
      <c r="AB23" s="29"/>
      <c r="AC23" s="7"/>
      <c r="AD23" s="48" t="str">
        <f>IF($B23="Yes",IFERROR(SUMIFS(_TECH_Crisis_Model!$D$5:$D$191,_TECH_Crisis_Model!$A$5:$A$191,'Crisis Simulator'!$B$4,_TECH_Crisis_Model!$B$5:$B$191,$C23),1),"")</f>
        <v/>
      </c>
      <c r="AE23" s="48" t="str">
        <f t="shared" si="8"/>
        <v/>
      </c>
      <c r="AF23" s="48" t="str">
        <f>IFERROR(INDEX(_TECH_Crisis_Model!$E$5:$E$191,MATCH('Crisis Simulator'!$B$4&amp;"|"&amp;$C23,_TECH_Crisis_Model!$I$5:$I$191,0)),"")</f>
        <v>Geographic concentration, legal entity exposure and site dependency can amplify crisis impact.</v>
      </c>
      <c r="AG23" s="48" t="str">
        <f>IFERROR(INDEX(_TECH_Crisis_Model!$G$5:$G$191,MATCH('Crisis Simulator'!$B$4&amp;"|"&amp;$C23,_TECH_Crisis_Model!$I$5:$I$191,0)),"")</f>
        <v>Map entities, locations, markets, revenue exposure and alternate operating options.</v>
      </c>
      <c r="AH23" s="48" t="str">
        <f>IFERROR(INDEX(_TECH_Initiative_Library!$A$5:$A$76,MATCH(1,INDEX((_TECH_Initiative_Library!$B$5:$B$76=$C23)*(_TECH_Initiative_Library!$C$5:$C$76=$D23),0),0)),"")</f>
        <v>INI-003</v>
      </c>
      <c r="AI23" s="48" t="str">
        <f>IFERROR(INDEX(_TECH_Initiative_Library!$F$5:$F$76,MATCH(1,INDEX((_TECH_Initiative_Library!$B$5:$B$76=$C23)*(_TECH_Initiative_Library!$C$5:$C$76=$D23),0),0)),"")</f>
        <v>Map critical business dependencies and external exposures</v>
      </c>
      <c r="AJ23" s="48" t="str">
        <f ca="1">IFERROR(INDEX(_TECH_Initiative_Library!$AC$5:$AC$76,MATCH(1,INDEX((_TECH_Initiative_Library!$B$5:$B$76=$C23)*(_TECH_Initiative_Library!$C$5:$C$76=$D23),0),0)),"")</f>
        <v/>
      </c>
      <c r="AK23" s="48" t="str">
        <f ca="1">IFERROR(INDEX(_TECH_Initiative_Library!$AE$5:$AE$76,MATCH(1,INDEX((_TECH_Initiative_Library!$B$5:$B$76=$C23)*(_TECH_Initiative_Library!$C$5:$C$76=$D23),0),0)),"")</f>
        <v/>
      </c>
      <c r="AL23" s="48" t="str">
        <f>IF($B23="Yes",IFERROR(SUMIFS(_TECH_Industry_Templates!$E:$E,_TECH_Industry_Templates!$A:$A,'Company Profile'!$B$9,_TECH_Industry_Templates!$B:$B,$C23),1),"")</f>
        <v/>
      </c>
      <c r="AM23" s="48" t="str">
        <f t="shared" si="9"/>
        <v/>
      </c>
      <c r="AN23" s="48" t="str">
        <f>IF($AM23="","",RANK.EQ($AM23,$AM$8:$AM$414,0)+COUNTIF($AM$8:$AM23,$AM23)-1)</f>
        <v/>
      </c>
    </row>
    <row r="24" spans="1:40" ht="85.5">
      <c r="A24" s="28" t="str">
        <f>IF($AM24="","",RANK.EQ($AM24,$AM$8:$AM$414,0)+COUNTIF($AM$8:$AM24,$AM24)-1)</f>
        <v/>
      </c>
      <c r="B24" s="7" t="str">
        <f t="shared" si="0"/>
        <v/>
      </c>
      <c r="C24" s="7" t="s">
        <v>54</v>
      </c>
      <c r="D24" s="7" t="s">
        <v>1024</v>
      </c>
      <c r="E24" s="7" t="s">
        <v>2015</v>
      </c>
      <c r="F24" s="7" t="s">
        <v>2016</v>
      </c>
      <c r="G24" s="28" t="str">
        <f>IF(OR(COUNTA('Company Geography'!$H$21)=0,'Company Geography'!$H$21="N/A"),"",VALUE('Company Geography'!$H$21))</f>
        <v/>
      </c>
      <c r="H24" s="7" t="str">
        <f t="shared" si="1"/>
        <v/>
      </c>
      <c r="I24" s="7" t="str">
        <f>IF($G24="","",IFERROR(IF('Company Geography'!$L$21="",IF($G24&lt;=1,"Critical",IF($G24=2,"High",IF($G24=3,"Medium",IF($G24=4,"Low","Optimized")))),'Company Geography'!$L$21),IF($G24&lt;=1,"Critical",IF($G24=2,"High",IF($G24=3,"Medium",IF($G24=4,"Low","Optimized"))))))</f>
        <v/>
      </c>
      <c r="J24" s="7" t="str">
        <f>IF($G24="","",IFERROR(INDEX('Recommendation Matrix'!$E$5:$J$411,MATCH($E24,'Recommendation Matrix'!$A$5:$A$411,0),$G24+1),""))</f>
        <v/>
      </c>
      <c r="K24" s="7" t="str">
        <f>IF($G24="","",IFERROR(VLOOKUP($E24,'Recommendation Matrix'!$A$5:$K$411,11,FALSE),""))</f>
        <v/>
      </c>
      <c r="L24" s="28" t="str">
        <f t="shared" si="2"/>
        <v/>
      </c>
      <c r="M24" s="28" t="str">
        <f>IF($G24="","",IFERROR(INDEX('Recommendation Matrix'!$L$5:$Q$411,MATCH($E24,'Recommendation Matrix'!$A$5:$A$411,0),$G24+1),""))</f>
        <v/>
      </c>
      <c r="N24" s="28" t="str">
        <f t="shared" si="3"/>
        <v/>
      </c>
      <c r="O24" s="28" t="str">
        <f t="shared" si="4"/>
        <v/>
      </c>
      <c r="P24" s="28" t="str">
        <f t="shared" si="5"/>
        <v/>
      </c>
      <c r="Q24" s="28" t="str">
        <f t="shared" si="6"/>
        <v/>
      </c>
      <c r="R24" s="8" t="str">
        <f t="shared" si="7"/>
        <v/>
      </c>
      <c r="S24" s="28">
        <f>IFERROR('Company Geography'!$G$21,"")</f>
        <v>3</v>
      </c>
      <c r="T24" s="28">
        <f>IFERROR('Company Geography'!$W$21,"")</f>
        <v>4</v>
      </c>
      <c r="U24" s="28">
        <f>IFERROR('Company Geography'!$X$21,"")</f>
        <v>5</v>
      </c>
      <c r="V24" s="28">
        <f>IFERROR('Company Geography'!$Y$21,"")</f>
        <v>5</v>
      </c>
      <c r="W24" s="7" t="s">
        <v>1862</v>
      </c>
      <c r="X24" s="7" t="s">
        <v>1863</v>
      </c>
      <c r="Y24" s="7" t="s">
        <v>2017</v>
      </c>
      <c r="Z24" s="7">
        <f>IFERROR('Company Geography'!$U$21,"")</f>
        <v>0</v>
      </c>
      <c r="AA24" s="7"/>
      <c r="AB24" s="29"/>
      <c r="AC24" s="7"/>
      <c r="AD24" s="48" t="str">
        <f>IF($B24="Yes",IFERROR(SUMIFS(_TECH_Crisis_Model!$D$5:$D$191,_TECH_Crisis_Model!$A$5:$A$191,'Crisis Simulator'!$B$4,_TECH_Crisis_Model!$B$5:$B$191,$C24),1),"")</f>
        <v/>
      </c>
      <c r="AE24" s="48" t="str">
        <f t="shared" si="8"/>
        <v/>
      </c>
      <c r="AF24" s="48" t="str">
        <f>IFERROR(INDEX(_TECH_Crisis_Model!$E$5:$E$191,MATCH('Crisis Simulator'!$B$4&amp;"|"&amp;$C24,_TECH_Crisis_Model!$I$5:$I$191,0)),"")</f>
        <v>Geographic concentration, legal entity exposure and site dependency can amplify crisis impact.</v>
      </c>
      <c r="AG24" s="48" t="str">
        <f>IFERROR(INDEX(_TECH_Crisis_Model!$G$5:$G$191,MATCH('Crisis Simulator'!$B$4&amp;"|"&amp;$C24,_TECH_Crisis_Model!$I$5:$I$191,0)),"")</f>
        <v>Map entities, locations, markets, revenue exposure and alternate operating options.</v>
      </c>
      <c r="AH24" s="48" t="str">
        <f>IFERROR(INDEX(_TECH_Initiative_Library!$A$5:$A$76,MATCH(1,INDEX((_TECH_Initiative_Library!$B$5:$B$76=$C24)*(_TECH_Initiative_Library!$C$5:$C$76=$D24),0),0)),"")</f>
        <v>INI-003</v>
      </c>
      <c r="AI24" s="48" t="str">
        <f>IFERROR(INDEX(_TECH_Initiative_Library!$F$5:$F$76,MATCH(1,INDEX((_TECH_Initiative_Library!$B$5:$B$76=$C24)*(_TECH_Initiative_Library!$C$5:$C$76=$D24),0),0)),"")</f>
        <v>Map critical business dependencies and external exposures</v>
      </c>
      <c r="AJ24" s="48" t="str">
        <f ca="1">IFERROR(INDEX(_TECH_Initiative_Library!$AC$5:$AC$76,MATCH(1,INDEX((_TECH_Initiative_Library!$B$5:$B$76=$C24)*(_TECH_Initiative_Library!$C$5:$C$76=$D24),0),0)),"")</f>
        <v/>
      </c>
      <c r="AK24" s="48" t="str">
        <f ca="1">IFERROR(INDEX(_TECH_Initiative_Library!$AE$5:$AE$76,MATCH(1,INDEX((_TECH_Initiative_Library!$B$5:$B$76=$C24)*(_TECH_Initiative_Library!$C$5:$C$76=$D24),0),0)),"")</f>
        <v/>
      </c>
      <c r="AL24" s="48" t="str">
        <f>IF($B24="Yes",IFERROR(SUMIFS(_TECH_Industry_Templates!$E:$E,_TECH_Industry_Templates!$A:$A,'Company Profile'!$B$9,_TECH_Industry_Templates!$B:$B,$C24),1),"")</f>
        <v/>
      </c>
      <c r="AM24" s="48" t="str">
        <f t="shared" si="9"/>
        <v/>
      </c>
      <c r="AN24" s="48" t="str">
        <f>IF($AM24="","",RANK.EQ($AM24,$AM$8:$AM$414,0)+COUNTIF($AM$8:$AM24,$AM24)-1)</f>
        <v/>
      </c>
    </row>
    <row r="25" spans="1:40" ht="71.25">
      <c r="A25" s="28" t="str">
        <f>IF($AM25="","",RANK.EQ($AM25,$AM$8:$AM$414,0)+COUNTIF($AM$8:$AM25,$AM25)-1)</f>
        <v/>
      </c>
      <c r="B25" s="7" t="str">
        <f t="shared" si="0"/>
        <v/>
      </c>
      <c r="C25" s="7" t="s">
        <v>54</v>
      </c>
      <c r="D25" s="7" t="s">
        <v>1024</v>
      </c>
      <c r="E25" s="7" t="s">
        <v>2025</v>
      </c>
      <c r="F25" s="7" t="s">
        <v>2026</v>
      </c>
      <c r="G25" s="28" t="str">
        <f>IF(OR(COUNTA('Company Geography'!$H$22)=0,'Company Geography'!$H$22="N/A"),"",VALUE('Company Geography'!$H$22))</f>
        <v/>
      </c>
      <c r="H25" s="7" t="str">
        <f t="shared" si="1"/>
        <v/>
      </c>
      <c r="I25" s="7" t="str">
        <f>IF($G25="","",IFERROR(IF('Company Geography'!$L$22="",IF($G25&lt;=1,"Critical",IF($G25=2,"High",IF($G25=3,"Medium",IF($G25=4,"Low","Optimized")))),'Company Geography'!$L$22),IF($G25&lt;=1,"Critical",IF($G25=2,"High",IF($G25=3,"Medium",IF($G25=4,"Low","Optimized"))))))</f>
        <v/>
      </c>
      <c r="J25" s="7" t="str">
        <f>IF($G25="","",IFERROR(INDEX('Recommendation Matrix'!$E$5:$J$411,MATCH($E25,'Recommendation Matrix'!$A$5:$A$411,0),$G25+1),""))</f>
        <v/>
      </c>
      <c r="K25" s="7" t="str">
        <f>IF($G25="","",IFERROR(VLOOKUP($E25,'Recommendation Matrix'!$A$5:$K$411,11,FALSE),""))</f>
        <v/>
      </c>
      <c r="L25" s="28" t="str">
        <f t="shared" si="2"/>
        <v/>
      </c>
      <c r="M25" s="28" t="str">
        <f>IF($G25="","",IFERROR(INDEX('Recommendation Matrix'!$L$5:$Q$411,MATCH($E25,'Recommendation Matrix'!$A$5:$A$411,0),$G25+1),""))</f>
        <v/>
      </c>
      <c r="N25" s="28" t="str">
        <f t="shared" si="3"/>
        <v/>
      </c>
      <c r="O25" s="28" t="str">
        <f t="shared" si="4"/>
        <v/>
      </c>
      <c r="P25" s="28" t="str">
        <f t="shared" si="5"/>
        <v/>
      </c>
      <c r="Q25" s="28" t="str">
        <f t="shared" si="6"/>
        <v/>
      </c>
      <c r="R25" s="8" t="str">
        <f t="shared" si="7"/>
        <v/>
      </c>
      <c r="S25" s="28">
        <f>IFERROR('Company Geography'!$G$22,"")</f>
        <v>4</v>
      </c>
      <c r="T25" s="28">
        <f>IFERROR('Company Geography'!$W$22,"")</f>
        <v>5</v>
      </c>
      <c r="U25" s="28">
        <f>IFERROR('Company Geography'!$X$22,"")</f>
        <v>5</v>
      </c>
      <c r="V25" s="28">
        <f>IFERROR('Company Geography'!$Y$22,"")</f>
        <v>5</v>
      </c>
      <c r="W25" s="7" t="s">
        <v>1862</v>
      </c>
      <c r="X25" s="7" t="s">
        <v>1863</v>
      </c>
      <c r="Y25" s="7" t="s">
        <v>2027</v>
      </c>
      <c r="Z25" s="7">
        <f>IFERROR('Company Geography'!$U$22,"")</f>
        <v>0</v>
      </c>
      <c r="AA25" s="7"/>
      <c r="AB25" s="29"/>
      <c r="AC25" s="7"/>
      <c r="AD25" s="48" t="str">
        <f>IF($B25="Yes",IFERROR(SUMIFS(_TECH_Crisis_Model!$D$5:$D$191,_TECH_Crisis_Model!$A$5:$A$191,'Crisis Simulator'!$B$4,_TECH_Crisis_Model!$B$5:$B$191,$C25),1),"")</f>
        <v/>
      </c>
      <c r="AE25" s="48" t="str">
        <f t="shared" si="8"/>
        <v/>
      </c>
      <c r="AF25" s="48" t="str">
        <f>IFERROR(INDEX(_TECH_Crisis_Model!$E$5:$E$191,MATCH('Crisis Simulator'!$B$4&amp;"|"&amp;$C25,_TECH_Crisis_Model!$I$5:$I$191,0)),"")</f>
        <v>Geographic concentration, legal entity exposure and site dependency can amplify crisis impact.</v>
      </c>
      <c r="AG25" s="48" t="str">
        <f>IFERROR(INDEX(_TECH_Crisis_Model!$G$5:$G$191,MATCH('Crisis Simulator'!$B$4&amp;"|"&amp;$C25,_TECH_Crisis_Model!$I$5:$I$191,0)),"")</f>
        <v>Map entities, locations, markets, revenue exposure and alternate operating options.</v>
      </c>
      <c r="AH25" s="48" t="str">
        <f>IFERROR(INDEX(_TECH_Initiative_Library!$A$5:$A$76,MATCH(1,INDEX((_TECH_Initiative_Library!$B$5:$B$76=$C25)*(_TECH_Initiative_Library!$C$5:$C$76=$D25),0),0)),"")</f>
        <v>INI-003</v>
      </c>
      <c r="AI25" s="48" t="str">
        <f>IFERROR(INDEX(_TECH_Initiative_Library!$F$5:$F$76,MATCH(1,INDEX((_TECH_Initiative_Library!$B$5:$B$76=$C25)*(_TECH_Initiative_Library!$C$5:$C$76=$D25),0),0)),"")</f>
        <v>Map critical business dependencies and external exposures</v>
      </c>
      <c r="AJ25" s="48" t="str">
        <f ca="1">IFERROR(INDEX(_TECH_Initiative_Library!$AC$5:$AC$76,MATCH(1,INDEX((_TECH_Initiative_Library!$B$5:$B$76=$C25)*(_TECH_Initiative_Library!$C$5:$C$76=$D25),0),0)),"")</f>
        <v/>
      </c>
      <c r="AK25" s="48" t="str">
        <f ca="1">IFERROR(INDEX(_TECH_Initiative_Library!$AE$5:$AE$76,MATCH(1,INDEX((_TECH_Initiative_Library!$B$5:$B$76=$C25)*(_TECH_Initiative_Library!$C$5:$C$76=$D25),0),0)),"")</f>
        <v/>
      </c>
      <c r="AL25" s="48" t="str">
        <f>IF($B25="Yes",IFERROR(SUMIFS(_TECH_Industry_Templates!$E:$E,_TECH_Industry_Templates!$A:$A,'Company Profile'!$B$9,_TECH_Industry_Templates!$B:$B,$C25),1),"")</f>
        <v/>
      </c>
      <c r="AM25" s="48" t="str">
        <f t="shared" si="9"/>
        <v/>
      </c>
      <c r="AN25" s="48" t="str">
        <f>IF($AM25="","",RANK.EQ($AM25,$AM$8:$AM$414,0)+COUNTIF($AM$8:$AM25,$AM25)-1)</f>
        <v/>
      </c>
    </row>
    <row r="26" spans="1:40" ht="71.25">
      <c r="A26" s="28" t="str">
        <f>IF($AM26="","",RANK.EQ($AM26,$AM$8:$AM$414,0)+COUNTIF($AM$8:$AM26,$AM26)-1)</f>
        <v/>
      </c>
      <c r="B26" s="7" t="str">
        <f t="shared" si="0"/>
        <v/>
      </c>
      <c r="C26" s="7" t="s">
        <v>54</v>
      </c>
      <c r="D26" s="7" t="s">
        <v>1024</v>
      </c>
      <c r="E26" s="7" t="s">
        <v>2035</v>
      </c>
      <c r="F26" s="7" t="s">
        <v>2036</v>
      </c>
      <c r="G26" s="28" t="str">
        <f>IF(OR(COUNTA('Company Geography'!$H$23)=0,'Company Geography'!$H$23="N/A"),"",VALUE('Company Geography'!$H$23))</f>
        <v/>
      </c>
      <c r="H26" s="7" t="str">
        <f t="shared" si="1"/>
        <v/>
      </c>
      <c r="I26" s="7" t="str">
        <f>IF($G26="","",IFERROR(IF('Company Geography'!$L$23="",IF($G26&lt;=1,"Critical",IF($G26=2,"High",IF($G26=3,"Medium",IF($G26=4,"Low","Optimized")))),'Company Geography'!$L$23),IF($G26&lt;=1,"Critical",IF($G26=2,"High",IF($G26=3,"Medium",IF($G26=4,"Low","Optimized"))))))</f>
        <v/>
      </c>
      <c r="J26" s="7" t="str">
        <f>IF($G26="","",IFERROR(INDEX('Recommendation Matrix'!$E$5:$J$411,MATCH($E26,'Recommendation Matrix'!$A$5:$A$411,0),$G26+1),""))</f>
        <v/>
      </c>
      <c r="K26" s="7" t="str">
        <f>IF($G26="","",IFERROR(VLOOKUP($E26,'Recommendation Matrix'!$A$5:$K$411,11,FALSE),""))</f>
        <v/>
      </c>
      <c r="L26" s="28" t="str">
        <f t="shared" si="2"/>
        <v/>
      </c>
      <c r="M26" s="28" t="str">
        <f>IF($G26="","",IFERROR(INDEX('Recommendation Matrix'!$L$5:$Q$411,MATCH($E26,'Recommendation Matrix'!$A$5:$A$411,0),$G26+1),""))</f>
        <v/>
      </c>
      <c r="N26" s="28" t="str">
        <f t="shared" si="3"/>
        <v/>
      </c>
      <c r="O26" s="28" t="str">
        <f t="shared" si="4"/>
        <v/>
      </c>
      <c r="P26" s="28" t="str">
        <f t="shared" si="5"/>
        <v/>
      </c>
      <c r="Q26" s="28" t="str">
        <f t="shared" si="6"/>
        <v/>
      </c>
      <c r="R26" s="8" t="str">
        <f t="shared" si="7"/>
        <v/>
      </c>
      <c r="S26" s="28">
        <f>IFERROR('Company Geography'!$G$23,"")</f>
        <v>4</v>
      </c>
      <c r="T26" s="28">
        <f>IFERROR('Company Geography'!$W$23,"")</f>
        <v>4</v>
      </c>
      <c r="U26" s="28">
        <f>IFERROR('Company Geography'!$X$23,"")</f>
        <v>5</v>
      </c>
      <c r="V26" s="28">
        <f>IFERROR('Company Geography'!$Y$23,"")</f>
        <v>5</v>
      </c>
      <c r="W26" s="7" t="s">
        <v>1862</v>
      </c>
      <c r="X26" s="7" t="s">
        <v>1863</v>
      </c>
      <c r="Y26" s="7" t="s">
        <v>2037</v>
      </c>
      <c r="Z26" s="7">
        <f>IFERROR('Company Geography'!$U$23,"")</f>
        <v>0</v>
      </c>
      <c r="AA26" s="7"/>
      <c r="AB26" s="29"/>
      <c r="AC26" s="7"/>
      <c r="AD26" s="48" t="str">
        <f>IF($B26="Yes",IFERROR(SUMIFS(_TECH_Crisis_Model!$D$5:$D$191,_TECH_Crisis_Model!$A$5:$A$191,'Crisis Simulator'!$B$4,_TECH_Crisis_Model!$B$5:$B$191,$C26),1),"")</f>
        <v/>
      </c>
      <c r="AE26" s="48" t="str">
        <f t="shared" si="8"/>
        <v/>
      </c>
      <c r="AF26" s="48" t="str">
        <f>IFERROR(INDEX(_TECH_Crisis_Model!$E$5:$E$191,MATCH('Crisis Simulator'!$B$4&amp;"|"&amp;$C26,_TECH_Crisis_Model!$I$5:$I$191,0)),"")</f>
        <v>Geographic concentration, legal entity exposure and site dependency can amplify crisis impact.</v>
      </c>
      <c r="AG26" s="48" t="str">
        <f>IFERROR(INDEX(_TECH_Crisis_Model!$G$5:$G$191,MATCH('Crisis Simulator'!$B$4&amp;"|"&amp;$C26,_TECH_Crisis_Model!$I$5:$I$191,0)),"")</f>
        <v>Map entities, locations, markets, revenue exposure and alternate operating options.</v>
      </c>
      <c r="AH26" s="48" t="str">
        <f>IFERROR(INDEX(_TECH_Initiative_Library!$A$5:$A$76,MATCH(1,INDEX((_TECH_Initiative_Library!$B$5:$B$76=$C26)*(_TECH_Initiative_Library!$C$5:$C$76=$D26),0),0)),"")</f>
        <v>INI-003</v>
      </c>
      <c r="AI26" s="48" t="str">
        <f>IFERROR(INDEX(_TECH_Initiative_Library!$F$5:$F$76,MATCH(1,INDEX((_TECH_Initiative_Library!$B$5:$B$76=$C26)*(_TECH_Initiative_Library!$C$5:$C$76=$D26),0),0)),"")</f>
        <v>Map critical business dependencies and external exposures</v>
      </c>
      <c r="AJ26" s="48" t="str">
        <f ca="1">IFERROR(INDEX(_TECH_Initiative_Library!$AC$5:$AC$76,MATCH(1,INDEX((_TECH_Initiative_Library!$B$5:$B$76=$C26)*(_TECH_Initiative_Library!$C$5:$C$76=$D26),0),0)),"")</f>
        <v/>
      </c>
      <c r="AK26" s="48" t="str">
        <f ca="1">IFERROR(INDEX(_TECH_Initiative_Library!$AE$5:$AE$76,MATCH(1,INDEX((_TECH_Initiative_Library!$B$5:$B$76=$C26)*(_TECH_Initiative_Library!$C$5:$C$76=$D26),0),0)),"")</f>
        <v/>
      </c>
      <c r="AL26" s="48" t="str">
        <f>IF($B26="Yes",IFERROR(SUMIFS(_TECH_Industry_Templates!$E:$E,_TECH_Industry_Templates!$A:$A,'Company Profile'!$B$9,_TECH_Industry_Templates!$B:$B,$C26),1),"")</f>
        <v/>
      </c>
      <c r="AM26" s="48" t="str">
        <f t="shared" si="9"/>
        <v/>
      </c>
      <c r="AN26" s="48" t="str">
        <f>IF($AM26="","",RANK.EQ($AM26,$AM$8:$AM$414,0)+COUNTIF($AM$8:$AM26,$AM26)-1)</f>
        <v/>
      </c>
    </row>
    <row r="27" spans="1:40" ht="71.25">
      <c r="A27" s="28" t="str">
        <f>IF($AM27="","",RANK.EQ($AM27,$AM$8:$AM$414,0)+COUNTIF($AM$8:$AM27,$AM27)-1)</f>
        <v/>
      </c>
      <c r="B27" s="7" t="str">
        <f t="shared" si="0"/>
        <v/>
      </c>
      <c r="C27" s="7" t="s">
        <v>54</v>
      </c>
      <c r="D27" s="7" t="s">
        <v>1024</v>
      </c>
      <c r="E27" s="7" t="s">
        <v>2045</v>
      </c>
      <c r="F27" s="7" t="s">
        <v>2046</v>
      </c>
      <c r="G27" s="28" t="str">
        <f>IF(OR(COUNTA('Company Geography'!$H$24)=0,'Company Geography'!$H$24="N/A"),"",VALUE('Company Geography'!$H$24))</f>
        <v/>
      </c>
      <c r="H27" s="7" t="str">
        <f t="shared" si="1"/>
        <v/>
      </c>
      <c r="I27" s="7" t="str">
        <f>IF($G27="","",IFERROR(IF('Company Geography'!$L$24="",IF($G27&lt;=1,"Critical",IF($G27=2,"High",IF($G27=3,"Medium",IF($G27=4,"Low","Optimized")))),'Company Geography'!$L$24),IF($G27&lt;=1,"Critical",IF($G27=2,"High",IF($G27=3,"Medium",IF($G27=4,"Low","Optimized"))))))</f>
        <v/>
      </c>
      <c r="J27" s="7" t="str">
        <f>IF($G27="","",IFERROR(INDEX('Recommendation Matrix'!$E$5:$J$411,MATCH($E27,'Recommendation Matrix'!$A$5:$A$411,0),$G27+1),""))</f>
        <v/>
      </c>
      <c r="K27" s="7" t="str">
        <f>IF($G27="","",IFERROR(VLOOKUP($E27,'Recommendation Matrix'!$A$5:$K$411,11,FALSE),""))</f>
        <v/>
      </c>
      <c r="L27" s="28" t="str">
        <f t="shared" si="2"/>
        <v/>
      </c>
      <c r="M27" s="28" t="str">
        <f>IF($G27="","",IFERROR(INDEX('Recommendation Matrix'!$L$5:$Q$411,MATCH($E27,'Recommendation Matrix'!$A$5:$A$411,0),$G27+1),""))</f>
        <v/>
      </c>
      <c r="N27" s="28" t="str">
        <f t="shared" si="3"/>
        <v/>
      </c>
      <c r="O27" s="28" t="str">
        <f t="shared" si="4"/>
        <v/>
      </c>
      <c r="P27" s="28" t="str">
        <f t="shared" si="5"/>
        <v/>
      </c>
      <c r="Q27" s="28" t="str">
        <f t="shared" si="6"/>
        <v/>
      </c>
      <c r="R27" s="8" t="str">
        <f t="shared" si="7"/>
        <v/>
      </c>
      <c r="S27" s="28">
        <f>IFERROR('Company Geography'!$G$24,"")</f>
        <v>5</v>
      </c>
      <c r="T27" s="28">
        <f>IFERROR('Company Geography'!$W$24,"")</f>
        <v>4</v>
      </c>
      <c r="U27" s="28">
        <f>IFERROR('Company Geography'!$X$24,"")</f>
        <v>5</v>
      </c>
      <c r="V27" s="28">
        <f>IFERROR('Company Geography'!$Y$24,"")</f>
        <v>5</v>
      </c>
      <c r="W27" s="7" t="s">
        <v>1862</v>
      </c>
      <c r="X27" s="7" t="s">
        <v>1863</v>
      </c>
      <c r="Y27" s="7" t="s">
        <v>2047</v>
      </c>
      <c r="Z27" s="7">
        <f>IFERROR('Company Geography'!$U$24,"")</f>
        <v>0</v>
      </c>
      <c r="AA27" s="7"/>
      <c r="AB27" s="29"/>
      <c r="AC27" s="7"/>
      <c r="AD27" s="48" t="str">
        <f>IF($B27="Yes",IFERROR(SUMIFS(_TECH_Crisis_Model!$D$5:$D$191,_TECH_Crisis_Model!$A$5:$A$191,'Crisis Simulator'!$B$4,_TECH_Crisis_Model!$B$5:$B$191,$C27),1),"")</f>
        <v/>
      </c>
      <c r="AE27" s="48" t="str">
        <f t="shared" si="8"/>
        <v/>
      </c>
      <c r="AF27" s="48" t="str">
        <f>IFERROR(INDEX(_TECH_Crisis_Model!$E$5:$E$191,MATCH('Crisis Simulator'!$B$4&amp;"|"&amp;$C27,_TECH_Crisis_Model!$I$5:$I$191,0)),"")</f>
        <v>Geographic concentration, legal entity exposure and site dependency can amplify crisis impact.</v>
      </c>
      <c r="AG27" s="48" t="str">
        <f>IFERROR(INDEX(_TECH_Crisis_Model!$G$5:$G$191,MATCH('Crisis Simulator'!$B$4&amp;"|"&amp;$C27,_TECH_Crisis_Model!$I$5:$I$191,0)),"")</f>
        <v>Map entities, locations, markets, revenue exposure and alternate operating options.</v>
      </c>
      <c r="AH27" s="48" t="str">
        <f>IFERROR(INDEX(_TECH_Initiative_Library!$A$5:$A$76,MATCH(1,INDEX((_TECH_Initiative_Library!$B$5:$B$76=$C27)*(_TECH_Initiative_Library!$C$5:$C$76=$D27),0),0)),"")</f>
        <v>INI-003</v>
      </c>
      <c r="AI27" s="48" t="str">
        <f>IFERROR(INDEX(_TECH_Initiative_Library!$F$5:$F$76,MATCH(1,INDEX((_TECH_Initiative_Library!$B$5:$B$76=$C27)*(_TECH_Initiative_Library!$C$5:$C$76=$D27),0),0)),"")</f>
        <v>Map critical business dependencies and external exposures</v>
      </c>
      <c r="AJ27" s="48" t="str">
        <f ca="1">IFERROR(INDEX(_TECH_Initiative_Library!$AC$5:$AC$76,MATCH(1,INDEX((_TECH_Initiative_Library!$B$5:$B$76=$C27)*(_TECH_Initiative_Library!$C$5:$C$76=$D27),0),0)),"")</f>
        <v/>
      </c>
      <c r="AK27" s="48" t="str">
        <f ca="1">IFERROR(INDEX(_TECH_Initiative_Library!$AE$5:$AE$76,MATCH(1,INDEX((_TECH_Initiative_Library!$B$5:$B$76=$C27)*(_TECH_Initiative_Library!$C$5:$C$76=$D27),0),0)),"")</f>
        <v/>
      </c>
      <c r="AL27" s="48" t="str">
        <f>IF($B27="Yes",IFERROR(SUMIFS(_TECH_Industry_Templates!$E:$E,_TECH_Industry_Templates!$A:$A,'Company Profile'!$B$9,_TECH_Industry_Templates!$B:$B,$C27),1),"")</f>
        <v/>
      </c>
      <c r="AM27" s="48" t="str">
        <f t="shared" si="9"/>
        <v/>
      </c>
      <c r="AN27" s="48" t="str">
        <f>IF($AM27="","",RANK.EQ($AM27,$AM$8:$AM$414,0)+COUNTIF($AM$8:$AM27,$AM27)-1)</f>
        <v/>
      </c>
    </row>
    <row r="28" spans="1:40" ht="71.25">
      <c r="A28" s="28" t="str">
        <f>IF($AM28="","",RANK.EQ($AM28,$AM$8:$AM$414,0)+COUNTIF($AM$8:$AM28,$AM28)-1)</f>
        <v/>
      </c>
      <c r="B28" s="7" t="str">
        <f t="shared" si="0"/>
        <v/>
      </c>
      <c r="C28" s="7" t="s">
        <v>57</v>
      </c>
      <c r="D28" s="7" t="s">
        <v>1032</v>
      </c>
      <c r="E28" s="7" t="s">
        <v>2057</v>
      </c>
      <c r="F28" s="7" t="s">
        <v>2058</v>
      </c>
      <c r="G28" s="28" t="str">
        <f>IF(OR(COUNTA('Strategy GTM'!$H$5)=0,'Strategy GTM'!$H$5="N/A"),"",VALUE('Strategy GTM'!$H$5))</f>
        <v/>
      </c>
      <c r="H28" s="7" t="str">
        <f t="shared" si="1"/>
        <v/>
      </c>
      <c r="I28" s="7" t="str">
        <f>IF($G28="","",IFERROR(IF('Strategy GTM'!$L$5="",IF($G28&lt;=1,"Critical",IF($G28=2,"High",IF($G28=3,"Medium",IF($G28=4,"Low","Optimized")))),'Strategy GTM'!$L$5),IF($G28&lt;=1,"Critical",IF($G28=2,"High",IF($G28=3,"Medium",IF($G28=4,"Low","Optimized"))))))</f>
        <v/>
      </c>
      <c r="J28" s="7" t="str">
        <f>IF($G28="","",IFERROR(INDEX('Recommendation Matrix'!$E$5:$J$411,MATCH($E28,'Recommendation Matrix'!$A$5:$A$411,0),$G28+1),""))</f>
        <v/>
      </c>
      <c r="K28" s="7" t="str">
        <f>IF($G28="","",IFERROR(VLOOKUP($E28,'Recommendation Matrix'!$A$5:$K$411,11,FALSE),""))</f>
        <v/>
      </c>
      <c r="L28" s="28" t="str">
        <f t="shared" si="2"/>
        <v/>
      </c>
      <c r="M28" s="28" t="str">
        <f>IF($G28="","",IFERROR(INDEX('Recommendation Matrix'!$L$5:$Q$411,MATCH($E28,'Recommendation Matrix'!$A$5:$A$411,0),$G28+1),""))</f>
        <v/>
      </c>
      <c r="N28" s="28" t="str">
        <f t="shared" si="3"/>
        <v/>
      </c>
      <c r="O28" s="28" t="str">
        <f t="shared" si="4"/>
        <v/>
      </c>
      <c r="P28" s="28" t="str">
        <f t="shared" si="5"/>
        <v/>
      </c>
      <c r="Q28" s="28" t="str">
        <f t="shared" si="6"/>
        <v/>
      </c>
      <c r="R28" s="8" t="str">
        <f t="shared" si="7"/>
        <v/>
      </c>
      <c r="S28" s="28">
        <f>IFERROR('Strategy GTM'!$G$5,"")</f>
        <v>4</v>
      </c>
      <c r="T28" s="28">
        <f>IFERROR('Strategy GTM'!$W$5,"")</f>
        <v>4</v>
      </c>
      <c r="U28" s="28">
        <f>IFERROR('Strategy GTM'!$X$5,"")</f>
        <v>5</v>
      </c>
      <c r="V28" s="28">
        <f>IFERROR('Strategy GTM'!$Y$5,"")</f>
        <v>5</v>
      </c>
      <c r="W28" s="7" t="s">
        <v>2068</v>
      </c>
      <c r="X28" s="7" t="s">
        <v>2069</v>
      </c>
      <c r="Y28" s="7" t="s">
        <v>2061</v>
      </c>
      <c r="Z28" s="7">
        <f>IFERROR('Strategy GTM'!$U$5,"")</f>
        <v>0</v>
      </c>
      <c r="AA28" s="7"/>
      <c r="AB28" s="29"/>
      <c r="AC28" s="7"/>
      <c r="AD28" s="48" t="str">
        <f>IF($B28="Yes",IFERROR(SUMIFS(_TECH_Crisis_Model!$D$5:$D$191,_TECH_Crisis_Model!$A$5:$A$191,'Crisis Simulator'!$B$4,_TECH_Crisis_Model!$B$5:$B$191,$C28),1),"")</f>
        <v/>
      </c>
      <c r="AE28" s="48" t="str">
        <f t="shared" si="8"/>
        <v/>
      </c>
      <c r="AF28" s="48" t="str">
        <f>IFERROR(INDEX(_TECH_Crisis_Model!$E$5:$E$191,MATCH('Crisis Simulator'!$B$4&amp;"|"&amp;$C28,_TECH_Crisis_Model!$I$5:$I$191,0)),"")</f>
        <v>Market positioning, ICP clarity and offer structure determine whether the company can adapt revenue during crisis.</v>
      </c>
      <c r="AG28" s="48" t="str">
        <f>IFERROR(INDEX(_TECH_Crisis_Model!$G$5:$G$191,MATCH('Crisis Simulator'!$B$4&amp;"|"&amp;$C28,_TECH_Crisis_Model!$I$5:$I$191,0)),"")</f>
        <v>Stress-test ICP, offering, pricing, channels and market focus under the selected crisis.</v>
      </c>
      <c r="AH28" s="48" t="str">
        <f>IFERROR(INDEX(_TECH_Initiative_Library!$A$5:$A$76,MATCH(1,INDEX((_TECH_Initiative_Library!$B$5:$B$76=$C28)*(_TECH_Initiative_Library!$C$5:$C$76=$D28),0),0)),"")</f>
        <v>INI-004</v>
      </c>
      <c r="AI28" s="48" t="str">
        <f>IFERROR(INDEX(_TECH_Initiative_Library!$F$5:$F$76,MATCH(1,INDEX((_TECH_Initiative_Library!$B$5:$B$76=$C28)*(_TECH_Initiative_Library!$C$5:$C$76=$D28),0),0)),"")</f>
        <v>Stress-test corporate strategy and decision assumptions</v>
      </c>
      <c r="AJ28" s="48" t="str">
        <f ca="1">IFERROR(INDEX(_TECH_Initiative_Library!$AC$5:$AC$76,MATCH(1,INDEX((_TECH_Initiative_Library!$B$5:$B$76=$C28)*(_TECH_Initiative_Library!$C$5:$C$76=$D28),0),0)),"")</f>
        <v/>
      </c>
      <c r="AK28" s="48" t="str">
        <f ca="1">IFERROR(INDEX(_TECH_Initiative_Library!$AE$5:$AE$76,MATCH(1,INDEX((_TECH_Initiative_Library!$B$5:$B$76=$C28)*(_TECH_Initiative_Library!$C$5:$C$76=$D28),0),0)),"")</f>
        <v/>
      </c>
      <c r="AL28" s="48" t="str">
        <f>IF($B28="Yes",IFERROR(SUMIFS(_TECH_Industry_Templates!$E:$E,_TECH_Industry_Templates!$A:$A,'Company Profile'!$B$9,_TECH_Industry_Templates!$B:$B,$C28),1),"")</f>
        <v/>
      </c>
      <c r="AM28" s="48" t="str">
        <f t="shared" si="9"/>
        <v/>
      </c>
      <c r="AN28" s="48" t="str">
        <f>IF($AM28="","",RANK.EQ($AM28,$AM$8:$AM$414,0)+COUNTIF($AM$8:$AM28,$AM28)-1)</f>
        <v/>
      </c>
    </row>
    <row r="29" spans="1:40" ht="71.25">
      <c r="A29" s="28" t="str">
        <f>IF($AM29="","",RANK.EQ($AM29,$AM$8:$AM$414,0)+COUNTIF($AM$8:$AM29,$AM29)-1)</f>
        <v/>
      </c>
      <c r="B29" s="7" t="str">
        <f t="shared" si="0"/>
        <v/>
      </c>
      <c r="C29" s="7" t="s">
        <v>57</v>
      </c>
      <c r="D29" s="7" t="s">
        <v>1032</v>
      </c>
      <c r="E29" s="7" t="s">
        <v>2071</v>
      </c>
      <c r="F29" s="7" t="s">
        <v>2072</v>
      </c>
      <c r="G29" s="28" t="str">
        <f>IF(OR(COUNTA('Strategy GTM'!$H$6)=0,'Strategy GTM'!$H$6="N/A"),"",VALUE('Strategy GTM'!$H$6))</f>
        <v/>
      </c>
      <c r="H29" s="7" t="str">
        <f t="shared" si="1"/>
        <v/>
      </c>
      <c r="I29" s="7" t="str">
        <f>IF($G29="","",IFERROR(IF('Strategy GTM'!$L$6="",IF($G29&lt;=1,"Critical",IF($G29=2,"High",IF($G29=3,"Medium",IF($G29=4,"Low","Optimized")))),'Strategy GTM'!$L$6),IF($G29&lt;=1,"Critical",IF($G29=2,"High",IF($G29=3,"Medium",IF($G29=4,"Low","Optimized"))))))</f>
        <v/>
      </c>
      <c r="J29" s="7" t="str">
        <f>IF($G29="","",IFERROR(INDEX('Recommendation Matrix'!$E$5:$J$411,MATCH($E29,'Recommendation Matrix'!$A$5:$A$411,0),$G29+1),""))</f>
        <v/>
      </c>
      <c r="K29" s="7" t="str">
        <f>IF($G29="","",IFERROR(VLOOKUP($E29,'Recommendation Matrix'!$A$5:$K$411,11,FALSE),""))</f>
        <v/>
      </c>
      <c r="L29" s="28" t="str">
        <f t="shared" si="2"/>
        <v/>
      </c>
      <c r="M29" s="28" t="str">
        <f>IF($G29="","",IFERROR(INDEX('Recommendation Matrix'!$L$5:$Q$411,MATCH($E29,'Recommendation Matrix'!$A$5:$A$411,0),$G29+1),""))</f>
        <v/>
      </c>
      <c r="N29" s="28" t="str">
        <f t="shared" si="3"/>
        <v/>
      </c>
      <c r="O29" s="28" t="str">
        <f t="shared" si="4"/>
        <v/>
      </c>
      <c r="P29" s="28" t="str">
        <f t="shared" si="5"/>
        <v/>
      </c>
      <c r="Q29" s="28" t="str">
        <f t="shared" si="6"/>
        <v/>
      </c>
      <c r="R29" s="8" t="str">
        <f t="shared" si="7"/>
        <v/>
      </c>
      <c r="S29" s="28">
        <f>IFERROR('Strategy GTM'!$G$6,"")</f>
        <v>3</v>
      </c>
      <c r="T29" s="28">
        <f>IFERROR('Strategy GTM'!$W$6,"")</f>
        <v>4</v>
      </c>
      <c r="U29" s="28">
        <f>IFERROR('Strategy GTM'!$X$6,"")</f>
        <v>5</v>
      </c>
      <c r="V29" s="28">
        <f>IFERROR('Strategy GTM'!$Y$6,"")</f>
        <v>5</v>
      </c>
      <c r="W29" s="7" t="s">
        <v>2068</v>
      </c>
      <c r="X29" s="7" t="s">
        <v>2069</v>
      </c>
      <c r="Y29" s="7" t="s">
        <v>2073</v>
      </c>
      <c r="Z29" s="7">
        <f>IFERROR('Strategy GTM'!$U$6,"")</f>
        <v>0</v>
      </c>
      <c r="AA29" s="7"/>
      <c r="AB29" s="29"/>
      <c r="AC29" s="7"/>
      <c r="AD29" s="48" t="str">
        <f>IF($B29="Yes",IFERROR(SUMIFS(_TECH_Crisis_Model!$D$5:$D$191,_TECH_Crisis_Model!$A$5:$A$191,'Crisis Simulator'!$B$4,_TECH_Crisis_Model!$B$5:$B$191,$C29),1),"")</f>
        <v/>
      </c>
      <c r="AE29" s="48" t="str">
        <f t="shared" si="8"/>
        <v/>
      </c>
      <c r="AF29" s="48" t="str">
        <f>IFERROR(INDEX(_TECH_Crisis_Model!$E$5:$E$191,MATCH('Crisis Simulator'!$B$4&amp;"|"&amp;$C29,_TECH_Crisis_Model!$I$5:$I$191,0)),"")</f>
        <v>Market positioning, ICP clarity and offer structure determine whether the company can adapt revenue during crisis.</v>
      </c>
      <c r="AG29" s="48" t="str">
        <f>IFERROR(INDEX(_TECH_Crisis_Model!$G$5:$G$191,MATCH('Crisis Simulator'!$B$4&amp;"|"&amp;$C29,_TECH_Crisis_Model!$I$5:$I$191,0)),"")</f>
        <v>Stress-test ICP, offering, pricing, channels and market focus under the selected crisis.</v>
      </c>
      <c r="AH29" s="48" t="str">
        <f>IFERROR(INDEX(_TECH_Initiative_Library!$A$5:$A$76,MATCH(1,INDEX((_TECH_Initiative_Library!$B$5:$B$76=$C29)*(_TECH_Initiative_Library!$C$5:$C$76=$D29),0),0)),"")</f>
        <v>INI-004</v>
      </c>
      <c r="AI29" s="48" t="str">
        <f>IFERROR(INDEX(_TECH_Initiative_Library!$F$5:$F$76,MATCH(1,INDEX((_TECH_Initiative_Library!$B$5:$B$76=$C29)*(_TECH_Initiative_Library!$C$5:$C$76=$D29),0),0)),"")</f>
        <v>Stress-test corporate strategy and decision assumptions</v>
      </c>
      <c r="AJ29" s="48" t="str">
        <f ca="1">IFERROR(INDEX(_TECH_Initiative_Library!$AC$5:$AC$76,MATCH(1,INDEX((_TECH_Initiative_Library!$B$5:$B$76=$C29)*(_TECH_Initiative_Library!$C$5:$C$76=$D29),0),0)),"")</f>
        <v/>
      </c>
      <c r="AK29" s="48" t="str">
        <f ca="1">IFERROR(INDEX(_TECH_Initiative_Library!$AE$5:$AE$76,MATCH(1,INDEX((_TECH_Initiative_Library!$B$5:$B$76=$C29)*(_TECH_Initiative_Library!$C$5:$C$76=$D29),0),0)),"")</f>
        <v/>
      </c>
      <c r="AL29" s="48" t="str">
        <f>IF($B29="Yes",IFERROR(SUMIFS(_TECH_Industry_Templates!$E:$E,_TECH_Industry_Templates!$A:$A,'Company Profile'!$B$9,_TECH_Industry_Templates!$B:$B,$C29),1),"")</f>
        <v/>
      </c>
      <c r="AM29" s="48" t="str">
        <f t="shared" si="9"/>
        <v/>
      </c>
      <c r="AN29" s="48" t="str">
        <f>IF($AM29="","",RANK.EQ($AM29,$AM$8:$AM$414,0)+COUNTIF($AM$8:$AM29,$AM29)-1)</f>
        <v/>
      </c>
    </row>
    <row r="30" spans="1:40" ht="85.5">
      <c r="A30" s="28" t="str">
        <f>IF($AM30="","",RANK.EQ($AM30,$AM$8:$AM$414,0)+COUNTIF($AM$8:$AM30,$AM30)-1)</f>
        <v/>
      </c>
      <c r="B30" s="7" t="str">
        <f t="shared" si="0"/>
        <v/>
      </c>
      <c r="C30" s="7" t="s">
        <v>57</v>
      </c>
      <c r="D30" s="7" t="s">
        <v>1032</v>
      </c>
      <c r="E30" s="7" t="s">
        <v>2081</v>
      </c>
      <c r="F30" s="7" t="s">
        <v>2082</v>
      </c>
      <c r="G30" s="28" t="str">
        <f>IF(OR(COUNTA('Strategy GTM'!$H$7)=0,'Strategy GTM'!$H$7="N/A"),"",VALUE('Strategy GTM'!$H$7))</f>
        <v/>
      </c>
      <c r="H30" s="7" t="str">
        <f t="shared" si="1"/>
        <v/>
      </c>
      <c r="I30" s="7" t="str">
        <f>IF($G30="","",IFERROR(IF('Strategy GTM'!$L$7="",IF($G30&lt;=1,"Critical",IF($G30=2,"High",IF($G30=3,"Medium",IF($G30=4,"Low","Optimized")))),'Strategy GTM'!$L$7),IF($G30&lt;=1,"Critical",IF($G30=2,"High",IF($G30=3,"Medium",IF($G30=4,"Low","Optimized"))))))</f>
        <v/>
      </c>
      <c r="J30" s="7" t="str">
        <f>IF($G30="","",IFERROR(INDEX('Recommendation Matrix'!$E$5:$J$411,MATCH($E30,'Recommendation Matrix'!$A$5:$A$411,0),$G30+1),""))</f>
        <v/>
      </c>
      <c r="K30" s="7" t="str">
        <f>IF($G30="","",IFERROR(VLOOKUP($E30,'Recommendation Matrix'!$A$5:$K$411,11,FALSE),""))</f>
        <v/>
      </c>
      <c r="L30" s="28" t="str">
        <f t="shared" si="2"/>
        <v/>
      </c>
      <c r="M30" s="28" t="str">
        <f>IF($G30="","",IFERROR(INDEX('Recommendation Matrix'!$L$5:$Q$411,MATCH($E30,'Recommendation Matrix'!$A$5:$A$411,0),$G30+1),""))</f>
        <v/>
      </c>
      <c r="N30" s="28" t="str">
        <f t="shared" si="3"/>
        <v/>
      </c>
      <c r="O30" s="28" t="str">
        <f t="shared" si="4"/>
        <v/>
      </c>
      <c r="P30" s="28" t="str">
        <f t="shared" si="5"/>
        <v/>
      </c>
      <c r="Q30" s="28" t="str">
        <f t="shared" si="6"/>
        <v/>
      </c>
      <c r="R30" s="8" t="str">
        <f t="shared" si="7"/>
        <v/>
      </c>
      <c r="S30" s="28">
        <f>IFERROR('Strategy GTM'!$G$7,"")</f>
        <v>5</v>
      </c>
      <c r="T30" s="28">
        <f>IFERROR('Strategy GTM'!$W$7,"")</f>
        <v>4</v>
      </c>
      <c r="U30" s="28">
        <f>IFERROR('Strategy GTM'!$X$7,"")</f>
        <v>5</v>
      </c>
      <c r="V30" s="28">
        <f>IFERROR('Strategy GTM'!$Y$7,"")</f>
        <v>5</v>
      </c>
      <c r="W30" s="7" t="s">
        <v>2068</v>
      </c>
      <c r="X30" s="7" t="s">
        <v>2069</v>
      </c>
      <c r="Y30" s="7" t="s">
        <v>2083</v>
      </c>
      <c r="Z30" s="7">
        <f>IFERROR('Strategy GTM'!$U$7,"")</f>
        <v>0</v>
      </c>
      <c r="AA30" s="7"/>
      <c r="AB30" s="29"/>
      <c r="AC30" s="7"/>
      <c r="AD30" s="48" t="str">
        <f>IF($B30="Yes",IFERROR(SUMIFS(_TECH_Crisis_Model!$D$5:$D$191,_TECH_Crisis_Model!$A$5:$A$191,'Crisis Simulator'!$B$4,_TECH_Crisis_Model!$B$5:$B$191,$C30),1),"")</f>
        <v/>
      </c>
      <c r="AE30" s="48" t="str">
        <f t="shared" si="8"/>
        <v/>
      </c>
      <c r="AF30" s="48" t="str">
        <f>IFERROR(INDEX(_TECH_Crisis_Model!$E$5:$E$191,MATCH('Crisis Simulator'!$B$4&amp;"|"&amp;$C30,_TECH_Crisis_Model!$I$5:$I$191,0)),"")</f>
        <v>Market positioning, ICP clarity and offer structure determine whether the company can adapt revenue during crisis.</v>
      </c>
      <c r="AG30" s="48" t="str">
        <f>IFERROR(INDEX(_TECH_Crisis_Model!$G$5:$G$191,MATCH('Crisis Simulator'!$B$4&amp;"|"&amp;$C30,_TECH_Crisis_Model!$I$5:$I$191,0)),"")</f>
        <v>Stress-test ICP, offering, pricing, channels and market focus under the selected crisis.</v>
      </c>
      <c r="AH30" s="48" t="str">
        <f>IFERROR(INDEX(_TECH_Initiative_Library!$A$5:$A$76,MATCH(1,INDEX((_TECH_Initiative_Library!$B$5:$B$76=$C30)*(_TECH_Initiative_Library!$C$5:$C$76=$D30),0),0)),"")</f>
        <v>INI-004</v>
      </c>
      <c r="AI30" s="48" t="str">
        <f>IFERROR(INDEX(_TECH_Initiative_Library!$F$5:$F$76,MATCH(1,INDEX((_TECH_Initiative_Library!$B$5:$B$76=$C30)*(_TECH_Initiative_Library!$C$5:$C$76=$D30),0),0)),"")</f>
        <v>Stress-test corporate strategy and decision assumptions</v>
      </c>
      <c r="AJ30" s="48" t="str">
        <f ca="1">IFERROR(INDEX(_TECH_Initiative_Library!$AC$5:$AC$76,MATCH(1,INDEX((_TECH_Initiative_Library!$B$5:$B$76=$C30)*(_TECH_Initiative_Library!$C$5:$C$76=$D30),0),0)),"")</f>
        <v/>
      </c>
      <c r="AK30" s="48" t="str">
        <f ca="1">IFERROR(INDEX(_TECH_Initiative_Library!$AE$5:$AE$76,MATCH(1,INDEX((_TECH_Initiative_Library!$B$5:$B$76=$C30)*(_TECH_Initiative_Library!$C$5:$C$76=$D30),0),0)),"")</f>
        <v/>
      </c>
      <c r="AL30" s="48" t="str">
        <f>IF($B30="Yes",IFERROR(SUMIFS(_TECH_Industry_Templates!$E:$E,_TECH_Industry_Templates!$A:$A,'Company Profile'!$B$9,_TECH_Industry_Templates!$B:$B,$C30),1),"")</f>
        <v/>
      </c>
      <c r="AM30" s="48" t="str">
        <f t="shared" si="9"/>
        <v/>
      </c>
      <c r="AN30" s="48" t="str">
        <f>IF($AM30="","",RANK.EQ($AM30,$AM$8:$AM$414,0)+COUNTIF($AM$8:$AM30,$AM30)-1)</f>
        <v/>
      </c>
    </row>
    <row r="31" spans="1:40" ht="71.25">
      <c r="A31" s="28" t="str">
        <f>IF($AM31="","",RANK.EQ($AM31,$AM$8:$AM$414,0)+COUNTIF($AM$8:$AM31,$AM31)-1)</f>
        <v/>
      </c>
      <c r="B31" s="7" t="str">
        <f t="shared" si="0"/>
        <v/>
      </c>
      <c r="C31" s="7" t="s">
        <v>57</v>
      </c>
      <c r="D31" s="7" t="s">
        <v>1032</v>
      </c>
      <c r="E31" s="7" t="s">
        <v>2091</v>
      </c>
      <c r="F31" s="7" t="s">
        <v>2092</v>
      </c>
      <c r="G31" s="28" t="str">
        <f>IF(OR(COUNTA('Strategy GTM'!$H$8)=0,'Strategy GTM'!$H$8="N/A"),"",VALUE('Strategy GTM'!$H$8))</f>
        <v/>
      </c>
      <c r="H31" s="7" t="str">
        <f t="shared" si="1"/>
        <v/>
      </c>
      <c r="I31" s="7" t="str">
        <f>IF($G31="","",IFERROR(IF('Strategy GTM'!$L$8="",IF($G31&lt;=1,"Critical",IF($G31=2,"High",IF($G31=3,"Medium",IF($G31=4,"Low","Optimized")))),'Strategy GTM'!$L$8),IF($G31&lt;=1,"Critical",IF($G31=2,"High",IF($G31=3,"Medium",IF($G31=4,"Low","Optimized"))))))</f>
        <v/>
      </c>
      <c r="J31" s="7" t="str">
        <f>IF($G31="","",IFERROR(INDEX('Recommendation Matrix'!$E$5:$J$411,MATCH($E31,'Recommendation Matrix'!$A$5:$A$411,0),$G31+1),""))</f>
        <v/>
      </c>
      <c r="K31" s="7" t="str">
        <f>IF($G31="","",IFERROR(VLOOKUP($E31,'Recommendation Matrix'!$A$5:$K$411,11,FALSE),""))</f>
        <v/>
      </c>
      <c r="L31" s="28" t="str">
        <f t="shared" si="2"/>
        <v/>
      </c>
      <c r="M31" s="28" t="str">
        <f>IF($G31="","",IFERROR(INDEX('Recommendation Matrix'!$L$5:$Q$411,MATCH($E31,'Recommendation Matrix'!$A$5:$A$411,0),$G31+1),""))</f>
        <v/>
      </c>
      <c r="N31" s="28" t="str">
        <f t="shared" si="3"/>
        <v/>
      </c>
      <c r="O31" s="28" t="str">
        <f t="shared" si="4"/>
        <v/>
      </c>
      <c r="P31" s="28" t="str">
        <f t="shared" si="5"/>
        <v/>
      </c>
      <c r="Q31" s="28" t="str">
        <f t="shared" si="6"/>
        <v/>
      </c>
      <c r="R31" s="8" t="str">
        <f t="shared" si="7"/>
        <v/>
      </c>
      <c r="S31" s="28">
        <f>IFERROR('Strategy GTM'!$G$8,"")</f>
        <v>4</v>
      </c>
      <c r="T31" s="28">
        <f>IFERROR('Strategy GTM'!$W$8,"")</f>
        <v>4</v>
      </c>
      <c r="U31" s="28">
        <f>IFERROR('Strategy GTM'!$X$8,"")</f>
        <v>5</v>
      </c>
      <c r="V31" s="28">
        <f>IFERROR('Strategy GTM'!$Y$8,"")</f>
        <v>5</v>
      </c>
      <c r="W31" s="7" t="s">
        <v>2068</v>
      </c>
      <c r="X31" s="7" t="s">
        <v>2069</v>
      </c>
      <c r="Y31" s="7" t="s">
        <v>2093</v>
      </c>
      <c r="Z31" s="7">
        <f>IFERROR('Strategy GTM'!$U$8,"")</f>
        <v>0</v>
      </c>
      <c r="AA31" s="7"/>
      <c r="AB31" s="29"/>
      <c r="AC31" s="7"/>
      <c r="AD31" s="48" t="str">
        <f>IF($B31="Yes",IFERROR(SUMIFS(_TECH_Crisis_Model!$D$5:$D$191,_TECH_Crisis_Model!$A$5:$A$191,'Crisis Simulator'!$B$4,_TECH_Crisis_Model!$B$5:$B$191,$C31),1),"")</f>
        <v/>
      </c>
      <c r="AE31" s="48" t="str">
        <f t="shared" si="8"/>
        <v/>
      </c>
      <c r="AF31" s="48" t="str">
        <f>IFERROR(INDEX(_TECH_Crisis_Model!$E$5:$E$191,MATCH('Crisis Simulator'!$B$4&amp;"|"&amp;$C31,_TECH_Crisis_Model!$I$5:$I$191,0)),"")</f>
        <v>Market positioning, ICP clarity and offer structure determine whether the company can adapt revenue during crisis.</v>
      </c>
      <c r="AG31" s="48" t="str">
        <f>IFERROR(INDEX(_TECH_Crisis_Model!$G$5:$G$191,MATCH('Crisis Simulator'!$B$4&amp;"|"&amp;$C31,_TECH_Crisis_Model!$I$5:$I$191,0)),"")</f>
        <v>Stress-test ICP, offering, pricing, channels and market focus under the selected crisis.</v>
      </c>
      <c r="AH31" s="48" t="str">
        <f>IFERROR(INDEX(_TECH_Initiative_Library!$A$5:$A$76,MATCH(1,INDEX((_TECH_Initiative_Library!$B$5:$B$76=$C31)*(_TECH_Initiative_Library!$C$5:$C$76=$D31),0),0)),"")</f>
        <v>INI-004</v>
      </c>
      <c r="AI31" s="48" t="str">
        <f>IFERROR(INDEX(_TECH_Initiative_Library!$F$5:$F$76,MATCH(1,INDEX((_TECH_Initiative_Library!$B$5:$B$76=$C31)*(_TECH_Initiative_Library!$C$5:$C$76=$D31),0),0)),"")</f>
        <v>Stress-test corporate strategy and decision assumptions</v>
      </c>
      <c r="AJ31" s="48" t="str">
        <f ca="1">IFERROR(INDEX(_TECH_Initiative_Library!$AC$5:$AC$76,MATCH(1,INDEX((_TECH_Initiative_Library!$B$5:$B$76=$C31)*(_TECH_Initiative_Library!$C$5:$C$76=$D31),0),0)),"")</f>
        <v/>
      </c>
      <c r="AK31" s="48" t="str">
        <f ca="1">IFERROR(INDEX(_TECH_Initiative_Library!$AE$5:$AE$76,MATCH(1,INDEX((_TECH_Initiative_Library!$B$5:$B$76=$C31)*(_TECH_Initiative_Library!$C$5:$C$76=$D31),0),0)),"")</f>
        <v/>
      </c>
      <c r="AL31" s="48" t="str">
        <f>IF($B31="Yes",IFERROR(SUMIFS(_TECH_Industry_Templates!$E:$E,_TECH_Industry_Templates!$A:$A,'Company Profile'!$B$9,_TECH_Industry_Templates!$B:$B,$C31),1),"")</f>
        <v/>
      </c>
      <c r="AM31" s="48" t="str">
        <f t="shared" si="9"/>
        <v/>
      </c>
      <c r="AN31" s="48" t="str">
        <f>IF($AM31="","",RANK.EQ($AM31,$AM$8:$AM$414,0)+COUNTIF($AM$8:$AM31,$AM31)-1)</f>
        <v/>
      </c>
    </row>
    <row r="32" spans="1:40" ht="71.25">
      <c r="A32" s="28" t="str">
        <f>IF($AM32="","",RANK.EQ($AM32,$AM$8:$AM$414,0)+COUNTIF($AM$8:$AM32,$AM32)-1)</f>
        <v/>
      </c>
      <c r="B32" s="7" t="str">
        <f t="shared" si="0"/>
        <v/>
      </c>
      <c r="C32" s="7" t="s">
        <v>57</v>
      </c>
      <c r="D32" s="7" t="s">
        <v>1032</v>
      </c>
      <c r="E32" s="7" t="s">
        <v>2101</v>
      </c>
      <c r="F32" s="7" t="s">
        <v>2102</v>
      </c>
      <c r="G32" s="28" t="str">
        <f>IF(OR(COUNTA('Strategy GTM'!$H$9)=0,'Strategy GTM'!$H$9="N/A"),"",VALUE('Strategy GTM'!$H$9))</f>
        <v/>
      </c>
      <c r="H32" s="7" t="str">
        <f t="shared" si="1"/>
        <v/>
      </c>
      <c r="I32" s="7" t="str">
        <f>IF($G32="","",IFERROR(IF('Strategy GTM'!$L$9="",IF($G32&lt;=1,"Critical",IF($G32=2,"High",IF($G32=3,"Medium",IF($G32=4,"Low","Optimized")))),'Strategy GTM'!$L$9),IF($G32&lt;=1,"Critical",IF($G32=2,"High",IF($G32=3,"Medium",IF($G32=4,"Low","Optimized"))))))</f>
        <v/>
      </c>
      <c r="J32" s="7" t="str">
        <f>IF($G32="","",IFERROR(INDEX('Recommendation Matrix'!$E$5:$J$411,MATCH($E32,'Recommendation Matrix'!$A$5:$A$411,0),$G32+1),""))</f>
        <v/>
      </c>
      <c r="K32" s="7" t="str">
        <f>IF($G32="","",IFERROR(VLOOKUP($E32,'Recommendation Matrix'!$A$5:$K$411,11,FALSE),""))</f>
        <v/>
      </c>
      <c r="L32" s="28" t="str">
        <f t="shared" si="2"/>
        <v/>
      </c>
      <c r="M32" s="28" t="str">
        <f>IF($G32="","",IFERROR(INDEX('Recommendation Matrix'!$L$5:$Q$411,MATCH($E32,'Recommendation Matrix'!$A$5:$A$411,0),$G32+1),""))</f>
        <v/>
      </c>
      <c r="N32" s="28" t="str">
        <f t="shared" si="3"/>
        <v/>
      </c>
      <c r="O32" s="28" t="str">
        <f t="shared" si="4"/>
        <v/>
      </c>
      <c r="P32" s="28" t="str">
        <f t="shared" si="5"/>
        <v/>
      </c>
      <c r="Q32" s="28" t="str">
        <f t="shared" si="6"/>
        <v/>
      </c>
      <c r="R32" s="8" t="str">
        <f t="shared" si="7"/>
        <v/>
      </c>
      <c r="S32" s="28">
        <f>IFERROR('Strategy GTM'!$G$9,"")</f>
        <v>5</v>
      </c>
      <c r="T32" s="28">
        <f>IFERROR('Strategy GTM'!$W$9,"")</f>
        <v>4</v>
      </c>
      <c r="U32" s="28">
        <f>IFERROR('Strategy GTM'!$X$9,"")</f>
        <v>5</v>
      </c>
      <c r="V32" s="28">
        <f>IFERROR('Strategy GTM'!$Y$9,"")</f>
        <v>5</v>
      </c>
      <c r="W32" s="7" t="s">
        <v>2068</v>
      </c>
      <c r="X32" s="7" t="s">
        <v>2069</v>
      </c>
      <c r="Y32" s="7" t="s">
        <v>2103</v>
      </c>
      <c r="Z32" s="7">
        <f>IFERROR('Strategy GTM'!$U$9,"")</f>
        <v>0</v>
      </c>
      <c r="AA32" s="7"/>
      <c r="AB32" s="29"/>
      <c r="AC32" s="7"/>
      <c r="AD32" s="48" t="str">
        <f>IF($B32="Yes",IFERROR(SUMIFS(_TECH_Crisis_Model!$D$5:$D$191,_TECH_Crisis_Model!$A$5:$A$191,'Crisis Simulator'!$B$4,_TECH_Crisis_Model!$B$5:$B$191,$C32),1),"")</f>
        <v/>
      </c>
      <c r="AE32" s="48" t="str">
        <f t="shared" si="8"/>
        <v/>
      </c>
      <c r="AF32" s="48" t="str">
        <f>IFERROR(INDEX(_TECH_Crisis_Model!$E$5:$E$191,MATCH('Crisis Simulator'!$B$4&amp;"|"&amp;$C32,_TECH_Crisis_Model!$I$5:$I$191,0)),"")</f>
        <v>Market positioning, ICP clarity and offer structure determine whether the company can adapt revenue during crisis.</v>
      </c>
      <c r="AG32" s="48" t="str">
        <f>IFERROR(INDEX(_TECH_Crisis_Model!$G$5:$G$191,MATCH('Crisis Simulator'!$B$4&amp;"|"&amp;$C32,_TECH_Crisis_Model!$I$5:$I$191,0)),"")</f>
        <v>Stress-test ICP, offering, pricing, channels and market focus under the selected crisis.</v>
      </c>
      <c r="AH32" s="48" t="str">
        <f>IFERROR(INDEX(_TECH_Initiative_Library!$A$5:$A$76,MATCH(1,INDEX((_TECH_Initiative_Library!$B$5:$B$76=$C32)*(_TECH_Initiative_Library!$C$5:$C$76=$D32),0),0)),"")</f>
        <v>INI-004</v>
      </c>
      <c r="AI32" s="48" t="str">
        <f>IFERROR(INDEX(_TECH_Initiative_Library!$F$5:$F$76,MATCH(1,INDEX((_TECH_Initiative_Library!$B$5:$B$76=$C32)*(_TECH_Initiative_Library!$C$5:$C$76=$D32),0),0)),"")</f>
        <v>Stress-test corporate strategy and decision assumptions</v>
      </c>
      <c r="AJ32" s="48" t="str">
        <f ca="1">IFERROR(INDEX(_TECH_Initiative_Library!$AC$5:$AC$76,MATCH(1,INDEX((_TECH_Initiative_Library!$B$5:$B$76=$C32)*(_TECH_Initiative_Library!$C$5:$C$76=$D32),0),0)),"")</f>
        <v/>
      </c>
      <c r="AK32" s="48" t="str">
        <f ca="1">IFERROR(INDEX(_TECH_Initiative_Library!$AE$5:$AE$76,MATCH(1,INDEX((_TECH_Initiative_Library!$B$5:$B$76=$C32)*(_TECH_Initiative_Library!$C$5:$C$76=$D32),0),0)),"")</f>
        <v/>
      </c>
      <c r="AL32" s="48" t="str">
        <f>IF($B32="Yes",IFERROR(SUMIFS(_TECH_Industry_Templates!$E:$E,_TECH_Industry_Templates!$A:$A,'Company Profile'!$B$9,_TECH_Industry_Templates!$B:$B,$C32),1),"")</f>
        <v/>
      </c>
      <c r="AM32" s="48" t="str">
        <f t="shared" si="9"/>
        <v/>
      </c>
      <c r="AN32" s="48" t="str">
        <f>IF($AM32="","",RANK.EQ($AM32,$AM$8:$AM$414,0)+COUNTIF($AM$8:$AM32,$AM32)-1)</f>
        <v/>
      </c>
    </row>
    <row r="33" spans="1:40" ht="71.25">
      <c r="A33" s="28" t="str">
        <f>IF($AM33="","",RANK.EQ($AM33,$AM$8:$AM$414,0)+COUNTIF($AM$8:$AM33,$AM33)-1)</f>
        <v/>
      </c>
      <c r="B33" s="7" t="str">
        <f t="shared" si="0"/>
        <v/>
      </c>
      <c r="C33" s="7" t="s">
        <v>57</v>
      </c>
      <c r="D33" s="7" t="s">
        <v>1032</v>
      </c>
      <c r="E33" s="7" t="s">
        <v>2111</v>
      </c>
      <c r="F33" s="7" t="s">
        <v>2112</v>
      </c>
      <c r="G33" s="28" t="str">
        <f>IF(OR(COUNTA('Strategy GTM'!$H$10)=0,'Strategy GTM'!$H$10="N/A"),"",VALUE('Strategy GTM'!$H$10))</f>
        <v/>
      </c>
      <c r="H33" s="7" t="str">
        <f t="shared" si="1"/>
        <v/>
      </c>
      <c r="I33" s="7" t="str">
        <f>IF($G33="","",IFERROR(IF('Strategy GTM'!$L$10="",IF($G33&lt;=1,"Critical",IF($G33=2,"High",IF($G33=3,"Medium",IF($G33=4,"Low","Optimized")))),'Strategy GTM'!$L$10),IF($G33&lt;=1,"Critical",IF($G33=2,"High",IF($G33=3,"Medium",IF($G33=4,"Low","Optimized"))))))</f>
        <v/>
      </c>
      <c r="J33" s="7" t="str">
        <f>IF($G33="","",IFERROR(INDEX('Recommendation Matrix'!$E$5:$J$411,MATCH($E33,'Recommendation Matrix'!$A$5:$A$411,0),$G33+1),""))</f>
        <v/>
      </c>
      <c r="K33" s="7" t="str">
        <f>IF($G33="","",IFERROR(VLOOKUP($E33,'Recommendation Matrix'!$A$5:$K$411,11,FALSE),""))</f>
        <v/>
      </c>
      <c r="L33" s="28" t="str">
        <f t="shared" si="2"/>
        <v/>
      </c>
      <c r="M33" s="28" t="str">
        <f>IF($G33="","",IFERROR(INDEX('Recommendation Matrix'!$L$5:$Q$411,MATCH($E33,'Recommendation Matrix'!$A$5:$A$411,0),$G33+1),""))</f>
        <v/>
      </c>
      <c r="N33" s="28" t="str">
        <f t="shared" si="3"/>
        <v/>
      </c>
      <c r="O33" s="28" t="str">
        <f t="shared" si="4"/>
        <v/>
      </c>
      <c r="P33" s="28" t="str">
        <f t="shared" si="5"/>
        <v/>
      </c>
      <c r="Q33" s="28" t="str">
        <f t="shared" si="6"/>
        <v/>
      </c>
      <c r="R33" s="8" t="str">
        <f t="shared" si="7"/>
        <v/>
      </c>
      <c r="S33" s="28">
        <f>IFERROR('Strategy GTM'!$G$10,"")</f>
        <v>4</v>
      </c>
      <c r="T33" s="28">
        <f>IFERROR('Strategy GTM'!$W$10,"")</f>
        <v>4</v>
      </c>
      <c r="U33" s="28">
        <f>IFERROR('Strategy GTM'!$X$10,"")</f>
        <v>5</v>
      </c>
      <c r="V33" s="28">
        <f>IFERROR('Strategy GTM'!$Y$10,"")</f>
        <v>5</v>
      </c>
      <c r="W33" s="7" t="s">
        <v>2068</v>
      </c>
      <c r="X33" s="7" t="s">
        <v>2069</v>
      </c>
      <c r="Y33" s="7" t="s">
        <v>2113</v>
      </c>
      <c r="Z33" s="7">
        <f>IFERROR('Strategy GTM'!$U$10,"")</f>
        <v>0</v>
      </c>
      <c r="AA33" s="7"/>
      <c r="AB33" s="29"/>
      <c r="AC33" s="7"/>
      <c r="AD33" s="48" t="str">
        <f>IF($B33="Yes",IFERROR(SUMIFS(_TECH_Crisis_Model!$D$5:$D$191,_TECH_Crisis_Model!$A$5:$A$191,'Crisis Simulator'!$B$4,_TECH_Crisis_Model!$B$5:$B$191,$C33),1),"")</f>
        <v/>
      </c>
      <c r="AE33" s="48" t="str">
        <f t="shared" si="8"/>
        <v/>
      </c>
      <c r="AF33" s="48" t="str">
        <f>IFERROR(INDEX(_TECH_Crisis_Model!$E$5:$E$191,MATCH('Crisis Simulator'!$B$4&amp;"|"&amp;$C33,_TECH_Crisis_Model!$I$5:$I$191,0)),"")</f>
        <v>Market positioning, ICP clarity and offer structure determine whether the company can adapt revenue during crisis.</v>
      </c>
      <c r="AG33" s="48" t="str">
        <f>IFERROR(INDEX(_TECH_Crisis_Model!$G$5:$G$191,MATCH('Crisis Simulator'!$B$4&amp;"|"&amp;$C33,_TECH_Crisis_Model!$I$5:$I$191,0)),"")</f>
        <v>Stress-test ICP, offering, pricing, channels and market focus under the selected crisis.</v>
      </c>
      <c r="AH33" s="48" t="str">
        <f>IFERROR(INDEX(_TECH_Initiative_Library!$A$5:$A$76,MATCH(1,INDEX((_TECH_Initiative_Library!$B$5:$B$76=$C33)*(_TECH_Initiative_Library!$C$5:$C$76=$D33),0),0)),"")</f>
        <v>INI-004</v>
      </c>
      <c r="AI33" s="48" t="str">
        <f>IFERROR(INDEX(_TECH_Initiative_Library!$F$5:$F$76,MATCH(1,INDEX((_TECH_Initiative_Library!$B$5:$B$76=$C33)*(_TECH_Initiative_Library!$C$5:$C$76=$D33),0),0)),"")</f>
        <v>Stress-test corporate strategy and decision assumptions</v>
      </c>
      <c r="AJ33" s="48" t="str">
        <f ca="1">IFERROR(INDEX(_TECH_Initiative_Library!$AC$5:$AC$76,MATCH(1,INDEX((_TECH_Initiative_Library!$B$5:$B$76=$C33)*(_TECH_Initiative_Library!$C$5:$C$76=$D33),0),0)),"")</f>
        <v/>
      </c>
      <c r="AK33" s="48" t="str">
        <f ca="1">IFERROR(INDEX(_TECH_Initiative_Library!$AE$5:$AE$76,MATCH(1,INDEX((_TECH_Initiative_Library!$B$5:$B$76=$C33)*(_TECH_Initiative_Library!$C$5:$C$76=$D33),0),0)),"")</f>
        <v/>
      </c>
      <c r="AL33" s="48" t="str">
        <f>IF($B33="Yes",IFERROR(SUMIFS(_TECH_Industry_Templates!$E:$E,_TECH_Industry_Templates!$A:$A,'Company Profile'!$B$9,_TECH_Industry_Templates!$B:$B,$C33),1),"")</f>
        <v/>
      </c>
      <c r="AM33" s="48" t="str">
        <f t="shared" si="9"/>
        <v/>
      </c>
      <c r="AN33" s="48" t="str">
        <f>IF($AM33="","",RANK.EQ($AM33,$AM$8:$AM$414,0)+COUNTIF($AM$8:$AM33,$AM33)-1)</f>
        <v/>
      </c>
    </row>
    <row r="34" spans="1:40" ht="85.5">
      <c r="A34" s="28" t="str">
        <f>IF($AM34="","",RANK.EQ($AM34,$AM$8:$AM$414,0)+COUNTIF($AM$8:$AM34,$AM34)-1)</f>
        <v/>
      </c>
      <c r="B34" s="7" t="str">
        <f t="shared" si="0"/>
        <v/>
      </c>
      <c r="C34" s="7" t="s">
        <v>57</v>
      </c>
      <c r="D34" s="7" t="s">
        <v>1048</v>
      </c>
      <c r="E34" s="7" t="s">
        <v>2121</v>
      </c>
      <c r="F34" s="7" t="s">
        <v>2122</v>
      </c>
      <c r="G34" s="28" t="str">
        <f>IF(OR(COUNTA('Strategy GTM'!$H$11)=0,'Strategy GTM'!$H$11="N/A"),"",VALUE('Strategy GTM'!$H$11))</f>
        <v/>
      </c>
      <c r="H34" s="7" t="str">
        <f t="shared" si="1"/>
        <v/>
      </c>
      <c r="I34" s="7" t="str">
        <f>IF($G34="","",IFERROR(IF('Strategy GTM'!$L$11="",IF($G34&lt;=1,"Critical",IF($G34=2,"High",IF($G34=3,"Medium",IF($G34=4,"Low","Optimized")))),'Strategy GTM'!$L$11),IF($G34&lt;=1,"Critical",IF($G34=2,"High",IF($G34=3,"Medium",IF($G34=4,"Low","Optimized"))))))</f>
        <v/>
      </c>
      <c r="J34" s="7" t="str">
        <f>IF($G34="","",IFERROR(INDEX('Recommendation Matrix'!$E$5:$J$411,MATCH($E34,'Recommendation Matrix'!$A$5:$A$411,0),$G34+1),""))</f>
        <v/>
      </c>
      <c r="K34" s="7" t="str">
        <f>IF($G34="","",IFERROR(VLOOKUP($E34,'Recommendation Matrix'!$A$5:$K$411,11,FALSE),""))</f>
        <v/>
      </c>
      <c r="L34" s="28" t="str">
        <f t="shared" si="2"/>
        <v/>
      </c>
      <c r="M34" s="28" t="str">
        <f>IF($G34="","",IFERROR(INDEX('Recommendation Matrix'!$L$5:$Q$411,MATCH($E34,'Recommendation Matrix'!$A$5:$A$411,0),$G34+1),""))</f>
        <v/>
      </c>
      <c r="N34" s="28" t="str">
        <f t="shared" si="3"/>
        <v/>
      </c>
      <c r="O34" s="28" t="str">
        <f t="shared" si="4"/>
        <v/>
      </c>
      <c r="P34" s="28" t="str">
        <f t="shared" si="5"/>
        <v/>
      </c>
      <c r="Q34" s="28" t="str">
        <f t="shared" si="6"/>
        <v/>
      </c>
      <c r="R34" s="8" t="str">
        <f t="shared" si="7"/>
        <v/>
      </c>
      <c r="S34" s="28">
        <f>IFERROR('Strategy GTM'!$G$11,"")</f>
        <v>4</v>
      </c>
      <c r="T34" s="28">
        <f>IFERROR('Strategy GTM'!$W$11,"")</f>
        <v>4</v>
      </c>
      <c r="U34" s="28">
        <f>IFERROR('Strategy GTM'!$X$11,"")</f>
        <v>5</v>
      </c>
      <c r="V34" s="28">
        <f>IFERROR('Strategy GTM'!$Y$11,"")</f>
        <v>5</v>
      </c>
      <c r="W34" s="7" t="s">
        <v>2068</v>
      </c>
      <c r="X34" s="7" t="s">
        <v>2069</v>
      </c>
      <c r="Y34" s="7" t="s">
        <v>2123</v>
      </c>
      <c r="Z34" s="7">
        <f>IFERROR('Strategy GTM'!$U$11,"")</f>
        <v>0</v>
      </c>
      <c r="AA34" s="7"/>
      <c r="AB34" s="29"/>
      <c r="AC34" s="7"/>
      <c r="AD34" s="48" t="str">
        <f>IF($B34="Yes",IFERROR(SUMIFS(_TECH_Crisis_Model!$D$5:$D$191,_TECH_Crisis_Model!$A$5:$A$191,'Crisis Simulator'!$B$4,_TECH_Crisis_Model!$B$5:$B$191,$C34),1),"")</f>
        <v/>
      </c>
      <c r="AE34" s="48" t="str">
        <f t="shared" si="8"/>
        <v/>
      </c>
      <c r="AF34" s="48" t="str">
        <f>IFERROR(INDEX(_TECH_Crisis_Model!$E$5:$E$191,MATCH('Crisis Simulator'!$B$4&amp;"|"&amp;$C34,_TECH_Crisis_Model!$I$5:$I$191,0)),"")</f>
        <v>Market positioning, ICP clarity and offer structure determine whether the company can adapt revenue during crisis.</v>
      </c>
      <c r="AG34" s="48" t="str">
        <f>IFERROR(INDEX(_TECH_Crisis_Model!$G$5:$G$191,MATCH('Crisis Simulator'!$B$4&amp;"|"&amp;$C34,_TECH_Crisis_Model!$I$5:$I$191,0)),"")</f>
        <v>Stress-test ICP, offering, pricing, channels and market focus under the selected crisis.</v>
      </c>
      <c r="AH34" s="48" t="str">
        <f>IFERROR(INDEX(_TECH_Initiative_Library!$A$5:$A$76,MATCH(1,INDEX((_TECH_Initiative_Library!$B$5:$B$76=$C34)*(_TECH_Initiative_Library!$C$5:$C$76=$D34),0),0)),"")</f>
        <v>INI-005</v>
      </c>
      <c r="AI34" s="48" t="str">
        <f>IFERROR(INDEX(_TECH_Initiative_Library!$F$5:$F$76,MATCH(1,INDEX((_TECH_Initiative_Library!$B$5:$B$76=$C34)*(_TECH_Initiative_Library!$C$5:$C$76=$D34),0),0)),"")</f>
        <v>Define crisis-adjusted ICP, market segments and demand exposure</v>
      </c>
      <c r="AJ34" s="48" t="str">
        <f ca="1">IFERROR(INDEX(_TECH_Initiative_Library!$AC$5:$AC$76,MATCH(1,INDEX((_TECH_Initiative_Library!$B$5:$B$76=$C34)*(_TECH_Initiative_Library!$C$5:$C$76=$D34),0),0)),"")</f>
        <v/>
      </c>
      <c r="AK34" s="48" t="str">
        <f ca="1">IFERROR(INDEX(_TECH_Initiative_Library!$AE$5:$AE$76,MATCH(1,INDEX((_TECH_Initiative_Library!$B$5:$B$76=$C34)*(_TECH_Initiative_Library!$C$5:$C$76=$D34),0),0)),"")</f>
        <v/>
      </c>
      <c r="AL34" s="48" t="str">
        <f>IF($B34="Yes",IFERROR(SUMIFS(_TECH_Industry_Templates!$E:$E,_TECH_Industry_Templates!$A:$A,'Company Profile'!$B$9,_TECH_Industry_Templates!$B:$B,$C34),1),"")</f>
        <v/>
      </c>
      <c r="AM34" s="48" t="str">
        <f t="shared" si="9"/>
        <v/>
      </c>
      <c r="AN34" s="48" t="str">
        <f>IF($AM34="","",RANK.EQ($AM34,$AM$8:$AM$414,0)+COUNTIF($AM$8:$AM34,$AM34)-1)</f>
        <v/>
      </c>
    </row>
    <row r="35" spans="1:40" ht="71.25">
      <c r="A35" s="28" t="str">
        <f>IF($AM35="","",RANK.EQ($AM35,$AM$8:$AM$414,0)+COUNTIF($AM$8:$AM35,$AM35)-1)</f>
        <v/>
      </c>
      <c r="B35" s="7" t="str">
        <f t="shared" si="0"/>
        <v/>
      </c>
      <c r="C35" s="7" t="s">
        <v>57</v>
      </c>
      <c r="D35" s="7" t="s">
        <v>1048</v>
      </c>
      <c r="E35" s="7" t="s">
        <v>2131</v>
      </c>
      <c r="F35" s="7" t="s">
        <v>2132</v>
      </c>
      <c r="G35" s="28" t="str">
        <f>IF(OR(COUNTA('Strategy GTM'!$H$12)=0,'Strategy GTM'!$H$12="N/A"),"",VALUE('Strategy GTM'!$H$12))</f>
        <v/>
      </c>
      <c r="H35" s="7" t="str">
        <f t="shared" si="1"/>
        <v/>
      </c>
      <c r="I35" s="7" t="str">
        <f>IF($G35="","",IFERROR(IF('Strategy GTM'!$L$12="",IF($G35&lt;=1,"Critical",IF($G35=2,"High",IF($G35=3,"Medium",IF($G35=4,"Low","Optimized")))),'Strategy GTM'!$L$12),IF($G35&lt;=1,"Critical",IF($G35=2,"High",IF($G35=3,"Medium",IF($G35=4,"Low","Optimized"))))))</f>
        <v/>
      </c>
      <c r="J35" s="7" t="str">
        <f>IF($G35="","",IFERROR(INDEX('Recommendation Matrix'!$E$5:$J$411,MATCH($E35,'Recommendation Matrix'!$A$5:$A$411,0),$G35+1),""))</f>
        <v/>
      </c>
      <c r="K35" s="7" t="str">
        <f>IF($G35="","",IFERROR(VLOOKUP($E35,'Recommendation Matrix'!$A$5:$K$411,11,FALSE),""))</f>
        <v/>
      </c>
      <c r="L35" s="28" t="str">
        <f t="shared" si="2"/>
        <v/>
      </c>
      <c r="M35" s="28" t="str">
        <f>IF($G35="","",IFERROR(INDEX('Recommendation Matrix'!$L$5:$Q$411,MATCH($E35,'Recommendation Matrix'!$A$5:$A$411,0),$G35+1),""))</f>
        <v/>
      </c>
      <c r="N35" s="28" t="str">
        <f t="shared" si="3"/>
        <v/>
      </c>
      <c r="O35" s="28" t="str">
        <f t="shared" si="4"/>
        <v/>
      </c>
      <c r="P35" s="28" t="str">
        <f t="shared" si="5"/>
        <v/>
      </c>
      <c r="Q35" s="28" t="str">
        <f t="shared" si="6"/>
        <v/>
      </c>
      <c r="R35" s="8" t="str">
        <f t="shared" si="7"/>
        <v/>
      </c>
      <c r="S35" s="28">
        <f>IFERROR('Strategy GTM'!$G$12,"")</f>
        <v>3</v>
      </c>
      <c r="T35" s="28">
        <f>IFERROR('Strategy GTM'!$W$12,"")</f>
        <v>4</v>
      </c>
      <c r="U35" s="28">
        <f>IFERROR('Strategy GTM'!$X$12,"")</f>
        <v>5</v>
      </c>
      <c r="V35" s="28">
        <f>IFERROR('Strategy GTM'!$Y$12,"")</f>
        <v>5</v>
      </c>
      <c r="W35" s="7" t="s">
        <v>2068</v>
      </c>
      <c r="X35" s="7" t="s">
        <v>2069</v>
      </c>
      <c r="Y35" s="7" t="s">
        <v>2133</v>
      </c>
      <c r="Z35" s="7">
        <f>IFERROR('Strategy GTM'!$U$12,"")</f>
        <v>0</v>
      </c>
      <c r="AA35" s="7"/>
      <c r="AB35" s="29"/>
      <c r="AC35" s="7"/>
      <c r="AD35" s="48" t="str">
        <f>IF($B35="Yes",IFERROR(SUMIFS(_TECH_Crisis_Model!$D$5:$D$191,_TECH_Crisis_Model!$A$5:$A$191,'Crisis Simulator'!$B$4,_TECH_Crisis_Model!$B$5:$B$191,$C35),1),"")</f>
        <v/>
      </c>
      <c r="AE35" s="48" t="str">
        <f t="shared" si="8"/>
        <v/>
      </c>
      <c r="AF35" s="48" t="str">
        <f>IFERROR(INDEX(_TECH_Crisis_Model!$E$5:$E$191,MATCH('Crisis Simulator'!$B$4&amp;"|"&amp;$C35,_TECH_Crisis_Model!$I$5:$I$191,0)),"")</f>
        <v>Market positioning, ICP clarity and offer structure determine whether the company can adapt revenue during crisis.</v>
      </c>
      <c r="AG35" s="48" t="str">
        <f>IFERROR(INDEX(_TECH_Crisis_Model!$G$5:$G$191,MATCH('Crisis Simulator'!$B$4&amp;"|"&amp;$C35,_TECH_Crisis_Model!$I$5:$I$191,0)),"")</f>
        <v>Stress-test ICP, offering, pricing, channels and market focus under the selected crisis.</v>
      </c>
      <c r="AH35" s="48" t="str">
        <f>IFERROR(INDEX(_TECH_Initiative_Library!$A$5:$A$76,MATCH(1,INDEX((_TECH_Initiative_Library!$B$5:$B$76=$C35)*(_TECH_Initiative_Library!$C$5:$C$76=$D35),0),0)),"")</f>
        <v>INI-005</v>
      </c>
      <c r="AI35" s="48" t="str">
        <f>IFERROR(INDEX(_TECH_Initiative_Library!$F$5:$F$76,MATCH(1,INDEX((_TECH_Initiative_Library!$B$5:$B$76=$C35)*(_TECH_Initiative_Library!$C$5:$C$76=$D35),0),0)),"")</f>
        <v>Define crisis-adjusted ICP, market segments and demand exposure</v>
      </c>
      <c r="AJ35" s="48" t="str">
        <f ca="1">IFERROR(INDEX(_TECH_Initiative_Library!$AC$5:$AC$76,MATCH(1,INDEX((_TECH_Initiative_Library!$B$5:$B$76=$C35)*(_TECH_Initiative_Library!$C$5:$C$76=$D35),0),0)),"")</f>
        <v/>
      </c>
      <c r="AK35" s="48" t="str">
        <f ca="1">IFERROR(INDEX(_TECH_Initiative_Library!$AE$5:$AE$76,MATCH(1,INDEX((_TECH_Initiative_Library!$B$5:$B$76=$C35)*(_TECH_Initiative_Library!$C$5:$C$76=$D35),0),0)),"")</f>
        <v/>
      </c>
      <c r="AL35" s="48" t="str">
        <f>IF($B35="Yes",IFERROR(SUMIFS(_TECH_Industry_Templates!$E:$E,_TECH_Industry_Templates!$A:$A,'Company Profile'!$B$9,_TECH_Industry_Templates!$B:$B,$C35),1),"")</f>
        <v/>
      </c>
      <c r="AM35" s="48" t="str">
        <f t="shared" si="9"/>
        <v/>
      </c>
      <c r="AN35" s="48" t="str">
        <f>IF($AM35="","",RANK.EQ($AM35,$AM$8:$AM$414,0)+COUNTIF($AM$8:$AM35,$AM35)-1)</f>
        <v/>
      </c>
    </row>
    <row r="36" spans="1:40" ht="71.25">
      <c r="A36" s="28" t="str">
        <f>IF($AM36="","",RANK.EQ($AM36,$AM$8:$AM$414,0)+COUNTIF($AM$8:$AM36,$AM36)-1)</f>
        <v/>
      </c>
      <c r="B36" s="7" t="str">
        <f t="shared" si="0"/>
        <v/>
      </c>
      <c r="C36" s="7" t="s">
        <v>57</v>
      </c>
      <c r="D36" s="7" t="s">
        <v>1048</v>
      </c>
      <c r="E36" s="7" t="s">
        <v>2141</v>
      </c>
      <c r="F36" s="7" t="s">
        <v>2142</v>
      </c>
      <c r="G36" s="28" t="str">
        <f>IF(OR(COUNTA('Strategy GTM'!$H$13)=0,'Strategy GTM'!$H$13="N/A"),"",VALUE('Strategy GTM'!$H$13))</f>
        <v/>
      </c>
      <c r="H36" s="7" t="str">
        <f t="shared" si="1"/>
        <v/>
      </c>
      <c r="I36" s="7" t="str">
        <f>IF($G36="","",IFERROR(IF('Strategy GTM'!$L$13="",IF($G36&lt;=1,"Critical",IF($G36=2,"High",IF($G36=3,"Medium",IF($G36=4,"Low","Optimized")))),'Strategy GTM'!$L$13),IF($G36&lt;=1,"Critical",IF($G36=2,"High",IF($G36=3,"Medium",IF($G36=4,"Low","Optimized"))))))</f>
        <v/>
      </c>
      <c r="J36" s="7" t="str">
        <f>IF($G36="","",IFERROR(INDEX('Recommendation Matrix'!$E$5:$J$411,MATCH($E36,'Recommendation Matrix'!$A$5:$A$411,0),$G36+1),""))</f>
        <v/>
      </c>
      <c r="K36" s="7" t="str">
        <f>IF($G36="","",IFERROR(VLOOKUP($E36,'Recommendation Matrix'!$A$5:$K$411,11,FALSE),""))</f>
        <v/>
      </c>
      <c r="L36" s="28" t="str">
        <f t="shared" si="2"/>
        <v/>
      </c>
      <c r="M36" s="28" t="str">
        <f>IF($G36="","",IFERROR(INDEX('Recommendation Matrix'!$L$5:$Q$411,MATCH($E36,'Recommendation Matrix'!$A$5:$A$411,0),$G36+1),""))</f>
        <v/>
      </c>
      <c r="N36" s="28" t="str">
        <f t="shared" si="3"/>
        <v/>
      </c>
      <c r="O36" s="28" t="str">
        <f t="shared" si="4"/>
        <v/>
      </c>
      <c r="P36" s="28" t="str">
        <f t="shared" si="5"/>
        <v/>
      </c>
      <c r="Q36" s="28" t="str">
        <f t="shared" si="6"/>
        <v/>
      </c>
      <c r="R36" s="8" t="str">
        <f t="shared" si="7"/>
        <v/>
      </c>
      <c r="S36" s="28">
        <f>IFERROR('Strategy GTM'!$G$13,"")</f>
        <v>4</v>
      </c>
      <c r="T36" s="28">
        <f>IFERROR('Strategy GTM'!$W$13,"")</f>
        <v>4</v>
      </c>
      <c r="U36" s="28">
        <f>IFERROR('Strategy GTM'!$X$13,"")</f>
        <v>5</v>
      </c>
      <c r="V36" s="28">
        <f>IFERROR('Strategy GTM'!$Y$13,"")</f>
        <v>5</v>
      </c>
      <c r="W36" s="7" t="s">
        <v>2068</v>
      </c>
      <c r="X36" s="7" t="s">
        <v>2069</v>
      </c>
      <c r="Y36" s="7" t="s">
        <v>2143</v>
      </c>
      <c r="Z36" s="7">
        <f>IFERROR('Strategy GTM'!$U$13,"")</f>
        <v>0</v>
      </c>
      <c r="AA36" s="7"/>
      <c r="AB36" s="29"/>
      <c r="AC36" s="7"/>
      <c r="AD36" s="48" t="str">
        <f>IF($B36="Yes",IFERROR(SUMIFS(_TECH_Crisis_Model!$D$5:$D$191,_TECH_Crisis_Model!$A$5:$A$191,'Crisis Simulator'!$B$4,_TECH_Crisis_Model!$B$5:$B$191,$C36),1),"")</f>
        <v/>
      </c>
      <c r="AE36" s="48" t="str">
        <f t="shared" si="8"/>
        <v/>
      </c>
      <c r="AF36" s="48" t="str">
        <f>IFERROR(INDEX(_TECH_Crisis_Model!$E$5:$E$191,MATCH('Crisis Simulator'!$B$4&amp;"|"&amp;$C36,_TECH_Crisis_Model!$I$5:$I$191,0)),"")</f>
        <v>Market positioning, ICP clarity and offer structure determine whether the company can adapt revenue during crisis.</v>
      </c>
      <c r="AG36" s="48" t="str">
        <f>IFERROR(INDEX(_TECH_Crisis_Model!$G$5:$G$191,MATCH('Crisis Simulator'!$B$4&amp;"|"&amp;$C36,_TECH_Crisis_Model!$I$5:$I$191,0)),"")</f>
        <v>Stress-test ICP, offering, pricing, channels and market focus under the selected crisis.</v>
      </c>
      <c r="AH36" s="48" t="str">
        <f>IFERROR(INDEX(_TECH_Initiative_Library!$A$5:$A$76,MATCH(1,INDEX((_TECH_Initiative_Library!$B$5:$B$76=$C36)*(_TECH_Initiative_Library!$C$5:$C$76=$D36),0),0)),"")</f>
        <v>INI-005</v>
      </c>
      <c r="AI36" s="48" t="str">
        <f>IFERROR(INDEX(_TECH_Initiative_Library!$F$5:$F$76,MATCH(1,INDEX((_TECH_Initiative_Library!$B$5:$B$76=$C36)*(_TECH_Initiative_Library!$C$5:$C$76=$D36),0),0)),"")</f>
        <v>Define crisis-adjusted ICP, market segments and demand exposure</v>
      </c>
      <c r="AJ36" s="48" t="str">
        <f ca="1">IFERROR(INDEX(_TECH_Initiative_Library!$AC$5:$AC$76,MATCH(1,INDEX((_TECH_Initiative_Library!$B$5:$B$76=$C36)*(_TECH_Initiative_Library!$C$5:$C$76=$D36),0),0)),"")</f>
        <v/>
      </c>
      <c r="AK36" s="48" t="str">
        <f ca="1">IFERROR(INDEX(_TECH_Initiative_Library!$AE$5:$AE$76,MATCH(1,INDEX((_TECH_Initiative_Library!$B$5:$B$76=$C36)*(_TECH_Initiative_Library!$C$5:$C$76=$D36),0),0)),"")</f>
        <v/>
      </c>
      <c r="AL36" s="48" t="str">
        <f>IF($B36="Yes",IFERROR(SUMIFS(_TECH_Industry_Templates!$E:$E,_TECH_Industry_Templates!$A:$A,'Company Profile'!$B$9,_TECH_Industry_Templates!$B:$B,$C36),1),"")</f>
        <v/>
      </c>
      <c r="AM36" s="48" t="str">
        <f t="shared" si="9"/>
        <v/>
      </c>
      <c r="AN36" s="48" t="str">
        <f>IF($AM36="","",RANK.EQ($AM36,$AM$8:$AM$414,0)+COUNTIF($AM$8:$AM36,$AM36)-1)</f>
        <v/>
      </c>
    </row>
    <row r="37" spans="1:40" ht="71.25">
      <c r="A37" s="28" t="str">
        <f>IF($AM37="","",RANK.EQ($AM37,$AM$8:$AM$414,0)+COUNTIF($AM$8:$AM37,$AM37)-1)</f>
        <v/>
      </c>
      <c r="B37" s="7" t="str">
        <f t="shared" si="0"/>
        <v/>
      </c>
      <c r="C37" s="7" t="s">
        <v>57</v>
      </c>
      <c r="D37" s="7" t="s">
        <v>1048</v>
      </c>
      <c r="E37" s="7" t="s">
        <v>2151</v>
      </c>
      <c r="F37" s="7" t="s">
        <v>2152</v>
      </c>
      <c r="G37" s="28" t="str">
        <f>IF(OR(COUNTA('Strategy GTM'!$H$14)=0,'Strategy GTM'!$H$14="N/A"),"",VALUE('Strategy GTM'!$H$14))</f>
        <v/>
      </c>
      <c r="H37" s="7" t="str">
        <f t="shared" si="1"/>
        <v/>
      </c>
      <c r="I37" s="7" t="str">
        <f>IF($G37="","",IFERROR(IF('Strategy GTM'!$L$14="",IF($G37&lt;=1,"Critical",IF($G37=2,"High",IF($G37=3,"Medium",IF($G37=4,"Low","Optimized")))),'Strategy GTM'!$L$14),IF($G37&lt;=1,"Critical",IF($G37=2,"High",IF($G37=3,"Medium",IF($G37=4,"Low","Optimized"))))))</f>
        <v/>
      </c>
      <c r="J37" s="7" t="str">
        <f>IF($G37="","",IFERROR(INDEX('Recommendation Matrix'!$E$5:$J$411,MATCH($E37,'Recommendation Matrix'!$A$5:$A$411,0),$G37+1),""))</f>
        <v/>
      </c>
      <c r="K37" s="7" t="str">
        <f>IF($G37="","",IFERROR(VLOOKUP($E37,'Recommendation Matrix'!$A$5:$K$411,11,FALSE),""))</f>
        <v/>
      </c>
      <c r="L37" s="28" t="str">
        <f t="shared" si="2"/>
        <v/>
      </c>
      <c r="M37" s="28" t="str">
        <f>IF($G37="","",IFERROR(INDEX('Recommendation Matrix'!$L$5:$Q$411,MATCH($E37,'Recommendation Matrix'!$A$5:$A$411,0),$G37+1),""))</f>
        <v/>
      </c>
      <c r="N37" s="28" t="str">
        <f t="shared" si="3"/>
        <v/>
      </c>
      <c r="O37" s="28" t="str">
        <f t="shared" si="4"/>
        <v/>
      </c>
      <c r="P37" s="28" t="str">
        <f t="shared" si="5"/>
        <v/>
      </c>
      <c r="Q37" s="28" t="str">
        <f t="shared" si="6"/>
        <v/>
      </c>
      <c r="R37" s="8" t="str">
        <f t="shared" si="7"/>
        <v/>
      </c>
      <c r="S37" s="28">
        <f>IFERROR('Strategy GTM'!$G$14,"")</f>
        <v>5</v>
      </c>
      <c r="T37" s="28">
        <f>IFERROR('Strategy GTM'!$W$14,"")</f>
        <v>4</v>
      </c>
      <c r="U37" s="28">
        <f>IFERROR('Strategy GTM'!$X$14,"")</f>
        <v>5</v>
      </c>
      <c r="V37" s="28">
        <f>IFERROR('Strategy GTM'!$Y$14,"")</f>
        <v>5</v>
      </c>
      <c r="W37" s="7" t="s">
        <v>2068</v>
      </c>
      <c r="X37" s="7" t="s">
        <v>2069</v>
      </c>
      <c r="Y37" s="7" t="s">
        <v>2153</v>
      </c>
      <c r="Z37" s="7">
        <f>IFERROR('Strategy GTM'!$U$14,"")</f>
        <v>0</v>
      </c>
      <c r="AA37" s="7"/>
      <c r="AB37" s="29"/>
      <c r="AC37" s="7"/>
      <c r="AD37" s="48" t="str">
        <f>IF($B37="Yes",IFERROR(SUMIFS(_TECH_Crisis_Model!$D$5:$D$191,_TECH_Crisis_Model!$A$5:$A$191,'Crisis Simulator'!$B$4,_TECH_Crisis_Model!$B$5:$B$191,$C37),1),"")</f>
        <v/>
      </c>
      <c r="AE37" s="48" t="str">
        <f t="shared" si="8"/>
        <v/>
      </c>
      <c r="AF37" s="48" t="str">
        <f>IFERROR(INDEX(_TECH_Crisis_Model!$E$5:$E$191,MATCH('Crisis Simulator'!$B$4&amp;"|"&amp;$C37,_TECH_Crisis_Model!$I$5:$I$191,0)),"")</f>
        <v>Market positioning, ICP clarity and offer structure determine whether the company can adapt revenue during crisis.</v>
      </c>
      <c r="AG37" s="48" t="str">
        <f>IFERROR(INDEX(_TECH_Crisis_Model!$G$5:$G$191,MATCH('Crisis Simulator'!$B$4&amp;"|"&amp;$C37,_TECH_Crisis_Model!$I$5:$I$191,0)),"")</f>
        <v>Stress-test ICP, offering, pricing, channels and market focus under the selected crisis.</v>
      </c>
      <c r="AH37" s="48" t="str">
        <f>IFERROR(INDEX(_TECH_Initiative_Library!$A$5:$A$76,MATCH(1,INDEX((_TECH_Initiative_Library!$B$5:$B$76=$C37)*(_TECH_Initiative_Library!$C$5:$C$76=$D37),0),0)),"")</f>
        <v>INI-005</v>
      </c>
      <c r="AI37" s="48" t="str">
        <f>IFERROR(INDEX(_TECH_Initiative_Library!$F$5:$F$76,MATCH(1,INDEX((_TECH_Initiative_Library!$B$5:$B$76=$C37)*(_TECH_Initiative_Library!$C$5:$C$76=$D37),0),0)),"")</f>
        <v>Define crisis-adjusted ICP, market segments and demand exposure</v>
      </c>
      <c r="AJ37" s="48" t="str">
        <f ca="1">IFERROR(INDEX(_TECH_Initiative_Library!$AC$5:$AC$76,MATCH(1,INDEX((_TECH_Initiative_Library!$B$5:$B$76=$C37)*(_TECH_Initiative_Library!$C$5:$C$76=$D37),0),0)),"")</f>
        <v/>
      </c>
      <c r="AK37" s="48" t="str">
        <f ca="1">IFERROR(INDEX(_TECH_Initiative_Library!$AE$5:$AE$76,MATCH(1,INDEX((_TECH_Initiative_Library!$B$5:$B$76=$C37)*(_TECH_Initiative_Library!$C$5:$C$76=$D37),0),0)),"")</f>
        <v/>
      </c>
      <c r="AL37" s="48" t="str">
        <f>IF($B37="Yes",IFERROR(SUMIFS(_TECH_Industry_Templates!$E:$E,_TECH_Industry_Templates!$A:$A,'Company Profile'!$B$9,_TECH_Industry_Templates!$B:$B,$C37),1),"")</f>
        <v/>
      </c>
      <c r="AM37" s="48" t="str">
        <f t="shared" si="9"/>
        <v/>
      </c>
      <c r="AN37" s="48" t="str">
        <f>IF($AM37="","",RANK.EQ($AM37,$AM$8:$AM$414,0)+COUNTIF($AM$8:$AM37,$AM37)-1)</f>
        <v/>
      </c>
    </row>
    <row r="38" spans="1:40" ht="71.25">
      <c r="A38" s="28" t="str">
        <f>IF($AM38="","",RANK.EQ($AM38,$AM$8:$AM$414,0)+COUNTIF($AM$8:$AM38,$AM38)-1)</f>
        <v/>
      </c>
      <c r="B38" s="7" t="str">
        <f t="shared" si="0"/>
        <v/>
      </c>
      <c r="C38" s="7" t="s">
        <v>57</v>
      </c>
      <c r="D38" s="7" t="s">
        <v>1048</v>
      </c>
      <c r="E38" s="7" t="s">
        <v>2161</v>
      </c>
      <c r="F38" s="7" t="s">
        <v>2162</v>
      </c>
      <c r="G38" s="28" t="str">
        <f>IF(OR(COUNTA('Strategy GTM'!$H$15)=0,'Strategy GTM'!$H$15="N/A"),"",VALUE('Strategy GTM'!$H$15))</f>
        <v/>
      </c>
      <c r="H38" s="7" t="str">
        <f t="shared" si="1"/>
        <v/>
      </c>
      <c r="I38" s="7" t="str">
        <f>IF($G38="","",IFERROR(IF('Strategy GTM'!$L$15="",IF($G38&lt;=1,"Critical",IF($G38=2,"High",IF($G38=3,"Medium",IF($G38=4,"Low","Optimized")))),'Strategy GTM'!$L$15),IF($G38&lt;=1,"Critical",IF($G38=2,"High",IF($G38=3,"Medium",IF($G38=4,"Low","Optimized"))))))</f>
        <v/>
      </c>
      <c r="J38" s="7" t="str">
        <f>IF($G38="","",IFERROR(INDEX('Recommendation Matrix'!$E$5:$J$411,MATCH($E38,'Recommendation Matrix'!$A$5:$A$411,0),$G38+1),""))</f>
        <v/>
      </c>
      <c r="K38" s="7" t="str">
        <f>IF($G38="","",IFERROR(VLOOKUP($E38,'Recommendation Matrix'!$A$5:$K$411,11,FALSE),""))</f>
        <v/>
      </c>
      <c r="L38" s="28" t="str">
        <f t="shared" si="2"/>
        <v/>
      </c>
      <c r="M38" s="28" t="str">
        <f>IF($G38="","",IFERROR(INDEX('Recommendation Matrix'!$L$5:$Q$411,MATCH($E38,'Recommendation Matrix'!$A$5:$A$411,0),$G38+1),""))</f>
        <v/>
      </c>
      <c r="N38" s="28" t="str">
        <f t="shared" si="3"/>
        <v/>
      </c>
      <c r="O38" s="28" t="str">
        <f t="shared" si="4"/>
        <v/>
      </c>
      <c r="P38" s="28" t="str">
        <f t="shared" si="5"/>
        <v/>
      </c>
      <c r="Q38" s="28" t="str">
        <f t="shared" si="6"/>
        <v/>
      </c>
      <c r="R38" s="8" t="str">
        <f t="shared" si="7"/>
        <v/>
      </c>
      <c r="S38" s="28">
        <f>IFERROR('Strategy GTM'!$G$15,"")</f>
        <v>3</v>
      </c>
      <c r="T38" s="28">
        <f>IFERROR('Strategy GTM'!$W$15,"")</f>
        <v>4</v>
      </c>
      <c r="U38" s="28">
        <f>IFERROR('Strategy GTM'!$X$15,"")</f>
        <v>5</v>
      </c>
      <c r="V38" s="28">
        <f>IFERROR('Strategy GTM'!$Y$15,"")</f>
        <v>5</v>
      </c>
      <c r="W38" s="7" t="s">
        <v>2068</v>
      </c>
      <c r="X38" s="7" t="s">
        <v>2069</v>
      </c>
      <c r="Y38" s="7" t="s">
        <v>2163</v>
      </c>
      <c r="Z38" s="7">
        <f>IFERROR('Strategy GTM'!$U$15,"")</f>
        <v>0</v>
      </c>
      <c r="AA38" s="7"/>
      <c r="AB38" s="29"/>
      <c r="AC38" s="7"/>
      <c r="AD38" s="48" t="str">
        <f>IF($B38="Yes",IFERROR(SUMIFS(_TECH_Crisis_Model!$D$5:$D$191,_TECH_Crisis_Model!$A$5:$A$191,'Crisis Simulator'!$B$4,_TECH_Crisis_Model!$B$5:$B$191,$C38),1),"")</f>
        <v/>
      </c>
      <c r="AE38" s="48" t="str">
        <f t="shared" si="8"/>
        <v/>
      </c>
      <c r="AF38" s="48" t="str">
        <f>IFERROR(INDEX(_TECH_Crisis_Model!$E$5:$E$191,MATCH('Crisis Simulator'!$B$4&amp;"|"&amp;$C38,_TECH_Crisis_Model!$I$5:$I$191,0)),"")</f>
        <v>Market positioning, ICP clarity and offer structure determine whether the company can adapt revenue during crisis.</v>
      </c>
      <c r="AG38" s="48" t="str">
        <f>IFERROR(INDEX(_TECH_Crisis_Model!$G$5:$G$191,MATCH('Crisis Simulator'!$B$4&amp;"|"&amp;$C38,_TECH_Crisis_Model!$I$5:$I$191,0)),"")</f>
        <v>Stress-test ICP, offering, pricing, channels and market focus under the selected crisis.</v>
      </c>
      <c r="AH38" s="48" t="str">
        <f>IFERROR(INDEX(_TECH_Initiative_Library!$A$5:$A$76,MATCH(1,INDEX((_TECH_Initiative_Library!$B$5:$B$76=$C38)*(_TECH_Initiative_Library!$C$5:$C$76=$D38),0),0)),"")</f>
        <v>INI-005</v>
      </c>
      <c r="AI38" s="48" t="str">
        <f>IFERROR(INDEX(_TECH_Initiative_Library!$F$5:$F$76,MATCH(1,INDEX((_TECH_Initiative_Library!$B$5:$B$76=$C38)*(_TECH_Initiative_Library!$C$5:$C$76=$D38),0),0)),"")</f>
        <v>Define crisis-adjusted ICP, market segments and demand exposure</v>
      </c>
      <c r="AJ38" s="48" t="str">
        <f ca="1">IFERROR(INDEX(_TECH_Initiative_Library!$AC$5:$AC$76,MATCH(1,INDEX((_TECH_Initiative_Library!$B$5:$B$76=$C38)*(_TECH_Initiative_Library!$C$5:$C$76=$D38),0),0)),"")</f>
        <v/>
      </c>
      <c r="AK38" s="48" t="str">
        <f ca="1">IFERROR(INDEX(_TECH_Initiative_Library!$AE$5:$AE$76,MATCH(1,INDEX((_TECH_Initiative_Library!$B$5:$B$76=$C38)*(_TECH_Initiative_Library!$C$5:$C$76=$D38),0),0)),"")</f>
        <v/>
      </c>
      <c r="AL38" s="48" t="str">
        <f>IF($B38="Yes",IFERROR(SUMIFS(_TECH_Industry_Templates!$E:$E,_TECH_Industry_Templates!$A:$A,'Company Profile'!$B$9,_TECH_Industry_Templates!$B:$B,$C38),1),"")</f>
        <v/>
      </c>
      <c r="AM38" s="48" t="str">
        <f t="shared" si="9"/>
        <v/>
      </c>
      <c r="AN38" s="48" t="str">
        <f>IF($AM38="","",RANK.EQ($AM38,$AM$8:$AM$414,0)+COUNTIF($AM$8:$AM38,$AM38)-1)</f>
        <v/>
      </c>
    </row>
    <row r="39" spans="1:40" ht="71.25">
      <c r="A39" s="28" t="str">
        <f>IF($AM39="","",RANK.EQ($AM39,$AM$8:$AM$414,0)+COUNTIF($AM$8:$AM39,$AM39)-1)</f>
        <v/>
      </c>
      <c r="B39" s="7" t="str">
        <f t="shared" si="0"/>
        <v/>
      </c>
      <c r="C39" s="7" t="s">
        <v>57</v>
      </c>
      <c r="D39" s="7" t="s">
        <v>1048</v>
      </c>
      <c r="E39" s="7" t="s">
        <v>2171</v>
      </c>
      <c r="F39" s="7" t="s">
        <v>2172</v>
      </c>
      <c r="G39" s="28" t="str">
        <f>IF(OR(COUNTA('Strategy GTM'!$H$16)=0,'Strategy GTM'!$H$16="N/A"),"",VALUE('Strategy GTM'!$H$16))</f>
        <v/>
      </c>
      <c r="H39" s="7" t="str">
        <f t="shared" si="1"/>
        <v/>
      </c>
      <c r="I39" s="7" t="str">
        <f>IF($G39="","",IFERROR(IF('Strategy GTM'!$L$16="",IF($G39&lt;=1,"Critical",IF($G39=2,"High",IF($G39=3,"Medium",IF($G39=4,"Low","Optimized")))),'Strategy GTM'!$L$16),IF($G39&lt;=1,"Critical",IF($G39=2,"High",IF($G39=3,"Medium",IF($G39=4,"Low","Optimized"))))))</f>
        <v/>
      </c>
      <c r="J39" s="7" t="str">
        <f>IF($G39="","",IFERROR(INDEX('Recommendation Matrix'!$E$5:$J$411,MATCH($E39,'Recommendation Matrix'!$A$5:$A$411,0),$G39+1),""))</f>
        <v/>
      </c>
      <c r="K39" s="7" t="str">
        <f>IF($G39="","",IFERROR(VLOOKUP($E39,'Recommendation Matrix'!$A$5:$K$411,11,FALSE),""))</f>
        <v/>
      </c>
      <c r="L39" s="28" t="str">
        <f t="shared" si="2"/>
        <v/>
      </c>
      <c r="M39" s="28" t="str">
        <f>IF($G39="","",IFERROR(INDEX('Recommendation Matrix'!$L$5:$Q$411,MATCH($E39,'Recommendation Matrix'!$A$5:$A$411,0),$G39+1),""))</f>
        <v/>
      </c>
      <c r="N39" s="28" t="str">
        <f t="shared" si="3"/>
        <v/>
      </c>
      <c r="O39" s="28" t="str">
        <f t="shared" si="4"/>
        <v/>
      </c>
      <c r="P39" s="28" t="str">
        <f t="shared" si="5"/>
        <v/>
      </c>
      <c r="Q39" s="28" t="str">
        <f t="shared" si="6"/>
        <v/>
      </c>
      <c r="R39" s="8" t="str">
        <f t="shared" si="7"/>
        <v/>
      </c>
      <c r="S39" s="28">
        <f>IFERROR('Strategy GTM'!$G$16,"")</f>
        <v>4</v>
      </c>
      <c r="T39" s="28">
        <f>IFERROR('Strategy GTM'!$W$16,"")</f>
        <v>4</v>
      </c>
      <c r="U39" s="28">
        <f>IFERROR('Strategy GTM'!$X$16,"")</f>
        <v>5</v>
      </c>
      <c r="V39" s="28">
        <f>IFERROR('Strategy GTM'!$Y$16,"")</f>
        <v>5</v>
      </c>
      <c r="W39" s="7" t="s">
        <v>2068</v>
      </c>
      <c r="X39" s="7" t="s">
        <v>2069</v>
      </c>
      <c r="Y39" s="7" t="s">
        <v>2173</v>
      </c>
      <c r="Z39" s="7">
        <f>IFERROR('Strategy GTM'!$U$16,"")</f>
        <v>0</v>
      </c>
      <c r="AA39" s="7"/>
      <c r="AB39" s="29"/>
      <c r="AC39" s="7"/>
      <c r="AD39" s="48" t="str">
        <f>IF($B39="Yes",IFERROR(SUMIFS(_TECH_Crisis_Model!$D$5:$D$191,_TECH_Crisis_Model!$A$5:$A$191,'Crisis Simulator'!$B$4,_TECH_Crisis_Model!$B$5:$B$191,$C39),1),"")</f>
        <v/>
      </c>
      <c r="AE39" s="48" t="str">
        <f t="shared" si="8"/>
        <v/>
      </c>
      <c r="AF39" s="48" t="str">
        <f>IFERROR(INDEX(_TECH_Crisis_Model!$E$5:$E$191,MATCH('Crisis Simulator'!$B$4&amp;"|"&amp;$C39,_TECH_Crisis_Model!$I$5:$I$191,0)),"")</f>
        <v>Market positioning, ICP clarity and offer structure determine whether the company can adapt revenue during crisis.</v>
      </c>
      <c r="AG39" s="48" t="str">
        <f>IFERROR(INDEX(_TECH_Crisis_Model!$G$5:$G$191,MATCH('Crisis Simulator'!$B$4&amp;"|"&amp;$C39,_TECH_Crisis_Model!$I$5:$I$191,0)),"")</f>
        <v>Stress-test ICP, offering, pricing, channels and market focus under the selected crisis.</v>
      </c>
      <c r="AH39" s="48" t="str">
        <f>IFERROR(INDEX(_TECH_Initiative_Library!$A$5:$A$76,MATCH(1,INDEX((_TECH_Initiative_Library!$B$5:$B$76=$C39)*(_TECH_Initiative_Library!$C$5:$C$76=$D39),0),0)),"")</f>
        <v>INI-005</v>
      </c>
      <c r="AI39" s="48" t="str">
        <f>IFERROR(INDEX(_TECH_Initiative_Library!$F$5:$F$76,MATCH(1,INDEX((_TECH_Initiative_Library!$B$5:$B$76=$C39)*(_TECH_Initiative_Library!$C$5:$C$76=$D39),0),0)),"")</f>
        <v>Define crisis-adjusted ICP, market segments and demand exposure</v>
      </c>
      <c r="AJ39" s="48" t="str">
        <f ca="1">IFERROR(INDEX(_TECH_Initiative_Library!$AC$5:$AC$76,MATCH(1,INDEX((_TECH_Initiative_Library!$B$5:$B$76=$C39)*(_TECH_Initiative_Library!$C$5:$C$76=$D39),0),0)),"")</f>
        <v/>
      </c>
      <c r="AK39" s="48" t="str">
        <f ca="1">IFERROR(INDEX(_TECH_Initiative_Library!$AE$5:$AE$76,MATCH(1,INDEX((_TECH_Initiative_Library!$B$5:$B$76=$C39)*(_TECH_Initiative_Library!$C$5:$C$76=$D39),0),0)),"")</f>
        <v/>
      </c>
      <c r="AL39" s="48" t="str">
        <f>IF($B39="Yes",IFERROR(SUMIFS(_TECH_Industry_Templates!$E:$E,_TECH_Industry_Templates!$A:$A,'Company Profile'!$B$9,_TECH_Industry_Templates!$B:$B,$C39),1),"")</f>
        <v/>
      </c>
      <c r="AM39" s="48" t="str">
        <f t="shared" si="9"/>
        <v/>
      </c>
      <c r="AN39" s="48" t="str">
        <f>IF($AM39="","",RANK.EQ($AM39,$AM$8:$AM$414,0)+COUNTIF($AM$8:$AM39,$AM39)-1)</f>
        <v/>
      </c>
    </row>
    <row r="40" spans="1:40" ht="85.5">
      <c r="A40" s="28" t="str">
        <f>IF($AM40="","",RANK.EQ($AM40,$AM$8:$AM$414,0)+COUNTIF($AM$8:$AM40,$AM40)-1)</f>
        <v/>
      </c>
      <c r="B40" s="7" t="str">
        <f t="shared" si="0"/>
        <v/>
      </c>
      <c r="C40" s="7" t="s">
        <v>57</v>
      </c>
      <c r="D40" s="7" t="s">
        <v>1059</v>
      </c>
      <c r="E40" s="7" t="s">
        <v>2181</v>
      </c>
      <c r="F40" s="7" t="s">
        <v>2182</v>
      </c>
      <c r="G40" s="28" t="str">
        <f>IF(OR(COUNTA('Strategy GTM'!$H$17)=0,'Strategy GTM'!$H$17="N/A"),"",VALUE('Strategy GTM'!$H$17))</f>
        <v/>
      </c>
      <c r="H40" s="7" t="str">
        <f t="shared" si="1"/>
        <v/>
      </c>
      <c r="I40" s="7" t="str">
        <f>IF($G40="","",IFERROR(IF('Strategy GTM'!$L$17="",IF($G40&lt;=1,"Critical",IF($G40=2,"High",IF($G40=3,"Medium",IF($G40=4,"Low","Optimized")))),'Strategy GTM'!$L$17),IF($G40&lt;=1,"Critical",IF($G40=2,"High",IF($G40=3,"Medium",IF($G40=4,"Low","Optimized"))))))</f>
        <v/>
      </c>
      <c r="J40" s="7" t="str">
        <f>IF($G40="","",IFERROR(INDEX('Recommendation Matrix'!$E$5:$J$411,MATCH($E40,'Recommendation Matrix'!$A$5:$A$411,0),$G40+1),""))</f>
        <v/>
      </c>
      <c r="K40" s="7" t="str">
        <f>IF($G40="","",IFERROR(VLOOKUP($E40,'Recommendation Matrix'!$A$5:$K$411,11,FALSE),""))</f>
        <v/>
      </c>
      <c r="L40" s="28" t="str">
        <f t="shared" si="2"/>
        <v/>
      </c>
      <c r="M40" s="28" t="str">
        <f>IF($G40="","",IFERROR(INDEX('Recommendation Matrix'!$L$5:$Q$411,MATCH($E40,'Recommendation Matrix'!$A$5:$A$411,0),$G40+1),""))</f>
        <v/>
      </c>
      <c r="N40" s="28" t="str">
        <f t="shared" si="3"/>
        <v/>
      </c>
      <c r="O40" s="28" t="str">
        <f t="shared" si="4"/>
        <v/>
      </c>
      <c r="P40" s="28" t="str">
        <f t="shared" si="5"/>
        <v/>
      </c>
      <c r="Q40" s="28" t="str">
        <f t="shared" si="6"/>
        <v/>
      </c>
      <c r="R40" s="8" t="str">
        <f t="shared" si="7"/>
        <v/>
      </c>
      <c r="S40" s="28">
        <f>IFERROR('Strategy GTM'!$G$17,"")</f>
        <v>5</v>
      </c>
      <c r="T40" s="28">
        <f>IFERROR('Strategy GTM'!$W$17,"")</f>
        <v>4</v>
      </c>
      <c r="U40" s="28">
        <f>IFERROR('Strategy GTM'!$X$17,"")</f>
        <v>5</v>
      </c>
      <c r="V40" s="28">
        <f>IFERROR('Strategy GTM'!$Y$17,"")</f>
        <v>5</v>
      </c>
      <c r="W40" s="7" t="s">
        <v>2068</v>
      </c>
      <c r="X40" s="7" t="s">
        <v>2069</v>
      </c>
      <c r="Y40" s="7" t="s">
        <v>2183</v>
      </c>
      <c r="Z40" s="7">
        <f>IFERROR('Strategy GTM'!$U$17,"")</f>
        <v>0</v>
      </c>
      <c r="AA40" s="7"/>
      <c r="AB40" s="29"/>
      <c r="AC40" s="7"/>
      <c r="AD40" s="48" t="str">
        <f>IF($B40="Yes",IFERROR(SUMIFS(_TECH_Crisis_Model!$D$5:$D$191,_TECH_Crisis_Model!$A$5:$A$191,'Crisis Simulator'!$B$4,_TECH_Crisis_Model!$B$5:$B$191,$C40),1),"")</f>
        <v/>
      </c>
      <c r="AE40" s="48" t="str">
        <f t="shared" si="8"/>
        <v/>
      </c>
      <c r="AF40" s="48" t="str">
        <f>IFERROR(INDEX(_TECH_Crisis_Model!$E$5:$E$191,MATCH('Crisis Simulator'!$B$4&amp;"|"&amp;$C40,_TECH_Crisis_Model!$I$5:$I$191,0)),"")</f>
        <v>Market positioning, ICP clarity and offer structure determine whether the company can adapt revenue during crisis.</v>
      </c>
      <c r="AG40" s="48" t="str">
        <f>IFERROR(INDEX(_TECH_Crisis_Model!$G$5:$G$191,MATCH('Crisis Simulator'!$B$4&amp;"|"&amp;$C40,_TECH_Crisis_Model!$I$5:$I$191,0)),"")</f>
        <v>Stress-test ICP, offering, pricing, channels and market focus under the selected crisis.</v>
      </c>
      <c r="AH40" s="48" t="str">
        <f>IFERROR(INDEX(_TECH_Initiative_Library!$A$5:$A$76,MATCH(1,INDEX((_TECH_Initiative_Library!$B$5:$B$76=$C40)*(_TECH_Initiative_Library!$C$5:$C$76=$D40),0),0)),"")</f>
        <v>INI-006</v>
      </c>
      <c r="AI40" s="48" t="str">
        <f>IFERROR(INDEX(_TECH_Initiative_Library!$F$5:$F$76,MATCH(1,INDEX((_TECH_Initiative_Library!$B$5:$B$76=$C40)*(_TECH_Initiative_Library!$C$5:$C$76=$D40),0),0)),"")</f>
        <v>Standardize offering architecture and crisis-proof value proposition</v>
      </c>
      <c r="AJ40" s="48" t="str">
        <f ca="1">IFERROR(INDEX(_TECH_Initiative_Library!$AC$5:$AC$76,MATCH(1,INDEX((_TECH_Initiative_Library!$B$5:$B$76=$C40)*(_TECH_Initiative_Library!$C$5:$C$76=$D40),0),0)),"")</f>
        <v/>
      </c>
      <c r="AK40" s="48" t="str">
        <f ca="1">IFERROR(INDEX(_TECH_Initiative_Library!$AE$5:$AE$76,MATCH(1,INDEX((_TECH_Initiative_Library!$B$5:$B$76=$C40)*(_TECH_Initiative_Library!$C$5:$C$76=$D40),0),0)),"")</f>
        <v/>
      </c>
      <c r="AL40" s="48" t="str">
        <f>IF($B40="Yes",IFERROR(SUMIFS(_TECH_Industry_Templates!$E:$E,_TECH_Industry_Templates!$A:$A,'Company Profile'!$B$9,_TECH_Industry_Templates!$B:$B,$C40),1),"")</f>
        <v/>
      </c>
      <c r="AM40" s="48" t="str">
        <f t="shared" si="9"/>
        <v/>
      </c>
      <c r="AN40" s="48" t="str">
        <f>IF($AM40="","",RANK.EQ($AM40,$AM$8:$AM$414,0)+COUNTIF($AM$8:$AM40,$AM40)-1)</f>
        <v/>
      </c>
    </row>
    <row r="41" spans="1:40" ht="71.25">
      <c r="A41" s="28" t="str">
        <f>IF($AM41="","",RANK.EQ($AM41,$AM$8:$AM$414,0)+COUNTIF($AM$8:$AM41,$AM41)-1)</f>
        <v/>
      </c>
      <c r="B41" s="7" t="str">
        <f t="shared" si="0"/>
        <v/>
      </c>
      <c r="C41" s="7" t="s">
        <v>57</v>
      </c>
      <c r="D41" s="7" t="s">
        <v>1059</v>
      </c>
      <c r="E41" s="7" t="s">
        <v>2191</v>
      </c>
      <c r="F41" s="7" t="s">
        <v>2192</v>
      </c>
      <c r="G41" s="28" t="str">
        <f>IF(OR(COUNTA('Strategy GTM'!$H$18)=0,'Strategy GTM'!$H$18="N/A"),"",VALUE('Strategy GTM'!$H$18))</f>
        <v/>
      </c>
      <c r="H41" s="7" t="str">
        <f t="shared" si="1"/>
        <v/>
      </c>
      <c r="I41" s="7" t="str">
        <f>IF($G41="","",IFERROR(IF('Strategy GTM'!$L$18="",IF($G41&lt;=1,"Critical",IF($G41=2,"High",IF($G41=3,"Medium",IF($G41=4,"Low","Optimized")))),'Strategy GTM'!$L$18),IF($G41&lt;=1,"Critical",IF($G41=2,"High",IF($G41=3,"Medium",IF($G41=4,"Low","Optimized"))))))</f>
        <v/>
      </c>
      <c r="J41" s="7" t="str">
        <f>IF($G41="","",IFERROR(INDEX('Recommendation Matrix'!$E$5:$J$411,MATCH($E41,'Recommendation Matrix'!$A$5:$A$411,0),$G41+1),""))</f>
        <v/>
      </c>
      <c r="K41" s="7" t="str">
        <f>IF($G41="","",IFERROR(VLOOKUP($E41,'Recommendation Matrix'!$A$5:$K$411,11,FALSE),""))</f>
        <v/>
      </c>
      <c r="L41" s="28" t="str">
        <f t="shared" si="2"/>
        <v/>
      </c>
      <c r="M41" s="28" t="str">
        <f>IF($G41="","",IFERROR(INDEX('Recommendation Matrix'!$L$5:$Q$411,MATCH($E41,'Recommendation Matrix'!$A$5:$A$411,0),$G41+1),""))</f>
        <v/>
      </c>
      <c r="N41" s="28" t="str">
        <f t="shared" si="3"/>
        <v/>
      </c>
      <c r="O41" s="28" t="str">
        <f t="shared" si="4"/>
        <v/>
      </c>
      <c r="P41" s="28" t="str">
        <f t="shared" si="5"/>
        <v/>
      </c>
      <c r="Q41" s="28" t="str">
        <f t="shared" si="6"/>
        <v/>
      </c>
      <c r="R41" s="8" t="str">
        <f t="shared" si="7"/>
        <v/>
      </c>
      <c r="S41" s="28">
        <f>IFERROR('Strategy GTM'!$G$18,"")</f>
        <v>3</v>
      </c>
      <c r="T41" s="28">
        <f>IFERROR('Strategy GTM'!$W$18,"")</f>
        <v>4</v>
      </c>
      <c r="U41" s="28">
        <f>IFERROR('Strategy GTM'!$X$18,"")</f>
        <v>5</v>
      </c>
      <c r="V41" s="28">
        <f>IFERROR('Strategy GTM'!$Y$18,"")</f>
        <v>5</v>
      </c>
      <c r="W41" s="7" t="s">
        <v>2068</v>
      </c>
      <c r="X41" s="7" t="s">
        <v>2069</v>
      </c>
      <c r="Y41" s="7" t="s">
        <v>2193</v>
      </c>
      <c r="Z41" s="7">
        <f>IFERROR('Strategy GTM'!$U$18,"")</f>
        <v>0</v>
      </c>
      <c r="AA41" s="7"/>
      <c r="AB41" s="29"/>
      <c r="AC41" s="7"/>
      <c r="AD41" s="48" t="str">
        <f>IF($B41="Yes",IFERROR(SUMIFS(_TECH_Crisis_Model!$D$5:$D$191,_TECH_Crisis_Model!$A$5:$A$191,'Crisis Simulator'!$B$4,_TECH_Crisis_Model!$B$5:$B$191,$C41),1),"")</f>
        <v/>
      </c>
      <c r="AE41" s="48" t="str">
        <f t="shared" si="8"/>
        <v/>
      </c>
      <c r="AF41" s="48" t="str">
        <f>IFERROR(INDEX(_TECH_Crisis_Model!$E$5:$E$191,MATCH('Crisis Simulator'!$B$4&amp;"|"&amp;$C41,_TECH_Crisis_Model!$I$5:$I$191,0)),"")</f>
        <v>Market positioning, ICP clarity and offer structure determine whether the company can adapt revenue during crisis.</v>
      </c>
      <c r="AG41" s="48" t="str">
        <f>IFERROR(INDEX(_TECH_Crisis_Model!$G$5:$G$191,MATCH('Crisis Simulator'!$B$4&amp;"|"&amp;$C41,_TECH_Crisis_Model!$I$5:$I$191,0)),"")</f>
        <v>Stress-test ICP, offering, pricing, channels and market focus under the selected crisis.</v>
      </c>
      <c r="AH41" s="48" t="str">
        <f>IFERROR(INDEX(_TECH_Initiative_Library!$A$5:$A$76,MATCH(1,INDEX((_TECH_Initiative_Library!$B$5:$B$76=$C41)*(_TECH_Initiative_Library!$C$5:$C$76=$D41),0),0)),"")</f>
        <v>INI-006</v>
      </c>
      <c r="AI41" s="48" t="str">
        <f>IFERROR(INDEX(_TECH_Initiative_Library!$F$5:$F$76,MATCH(1,INDEX((_TECH_Initiative_Library!$B$5:$B$76=$C41)*(_TECH_Initiative_Library!$C$5:$C$76=$D41),0),0)),"")</f>
        <v>Standardize offering architecture and crisis-proof value proposition</v>
      </c>
      <c r="AJ41" s="48" t="str">
        <f ca="1">IFERROR(INDEX(_TECH_Initiative_Library!$AC$5:$AC$76,MATCH(1,INDEX((_TECH_Initiative_Library!$B$5:$B$76=$C41)*(_TECH_Initiative_Library!$C$5:$C$76=$D41),0),0)),"")</f>
        <v/>
      </c>
      <c r="AK41" s="48" t="str">
        <f ca="1">IFERROR(INDEX(_TECH_Initiative_Library!$AE$5:$AE$76,MATCH(1,INDEX((_TECH_Initiative_Library!$B$5:$B$76=$C41)*(_TECH_Initiative_Library!$C$5:$C$76=$D41),0),0)),"")</f>
        <v/>
      </c>
      <c r="AL41" s="48" t="str">
        <f>IF($B41="Yes",IFERROR(SUMIFS(_TECH_Industry_Templates!$E:$E,_TECH_Industry_Templates!$A:$A,'Company Profile'!$B$9,_TECH_Industry_Templates!$B:$B,$C41),1),"")</f>
        <v/>
      </c>
      <c r="AM41" s="48" t="str">
        <f t="shared" si="9"/>
        <v/>
      </c>
      <c r="AN41" s="48" t="str">
        <f>IF($AM41="","",RANK.EQ($AM41,$AM$8:$AM$414,0)+COUNTIF($AM$8:$AM41,$AM41)-1)</f>
        <v/>
      </c>
    </row>
    <row r="42" spans="1:40" ht="85.5">
      <c r="A42" s="28" t="str">
        <f>IF($AM42="","",RANK.EQ($AM42,$AM$8:$AM$414,0)+COUNTIF($AM$8:$AM42,$AM42)-1)</f>
        <v/>
      </c>
      <c r="B42" s="7" t="str">
        <f t="shared" si="0"/>
        <v/>
      </c>
      <c r="C42" s="7" t="s">
        <v>57</v>
      </c>
      <c r="D42" s="7" t="s">
        <v>1059</v>
      </c>
      <c r="E42" s="7" t="s">
        <v>2201</v>
      </c>
      <c r="F42" s="7" t="s">
        <v>2202</v>
      </c>
      <c r="G42" s="28" t="str">
        <f>IF(OR(COUNTA('Strategy GTM'!$H$19)=0,'Strategy GTM'!$H$19="N/A"),"",VALUE('Strategy GTM'!$H$19))</f>
        <v/>
      </c>
      <c r="H42" s="7" t="str">
        <f t="shared" si="1"/>
        <v/>
      </c>
      <c r="I42" s="7" t="str">
        <f>IF($G42="","",IFERROR(IF('Strategy GTM'!$L$19="",IF($G42&lt;=1,"Critical",IF($G42=2,"High",IF($G42=3,"Medium",IF($G42=4,"Low","Optimized")))),'Strategy GTM'!$L$19),IF($G42&lt;=1,"Critical",IF($G42=2,"High",IF($G42=3,"Medium",IF($G42=4,"Low","Optimized"))))))</f>
        <v/>
      </c>
      <c r="J42" s="7" t="str">
        <f>IF($G42="","",IFERROR(INDEX('Recommendation Matrix'!$E$5:$J$411,MATCH($E42,'Recommendation Matrix'!$A$5:$A$411,0),$G42+1),""))</f>
        <v/>
      </c>
      <c r="K42" s="7" t="str">
        <f>IF($G42="","",IFERROR(VLOOKUP($E42,'Recommendation Matrix'!$A$5:$K$411,11,FALSE),""))</f>
        <v/>
      </c>
      <c r="L42" s="28" t="str">
        <f t="shared" si="2"/>
        <v/>
      </c>
      <c r="M42" s="28" t="str">
        <f>IF($G42="","",IFERROR(INDEX('Recommendation Matrix'!$L$5:$Q$411,MATCH($E42,'Recommendation Matrix'!$A$5:$A$411,0),$G42+1),""))</f>
        <v/>
      </c>
      <c r="N42" s="28" t="str">
        <f t="shared" si="3"/>
        <v/>
      </c>
      <c r="O42" s="28" t="str">
        <f t="shared" si="4"/>
        <v/>
      </c>
      <c r="P42" s="28" t="str">
        <f t="shared" si="5"/>
        <v/>
      </c>
      <c r="Q42" s="28" t="str">
        <f t="shared" si="6"/>
        <v/>
      </c>
      <c r="R42" s="8" t="str">
        <f t="shared" si="7"/>
        <v/>
      </c>
      <c r="S42" s="28">
        <f>IFERROR('Strategy GTM'!$G$19,"")</f>
        <v>5</v>
      </c>
      <c r="T42" s="28">
        <f>IFERROR('Strategy GTM'!$W$19,"")</f>
        <v>4</v>
      </c>
      <c r="U42" s="28">
        <f>IFERROR('Strategy GTM'!$X$19,"")</f>
        <v>5</v>
      </c>
      <c r="V42" s="28">
        <f>IFERROR('Strategy GTM'!$Y$19,"")</f>
        <v>5</v>
      </c>
      <c r="W42" s="7" t="s">
        <v>2068</v>
      </c>
      <c r="X42" s="7" t="s">
        <v>2069</v>
      </c>
      <c r="Y42" s="7" t="s">
        <v>2203</v>
      </c>
      <c r="Z42" s="7">
        <f>IFERROR('Strategy GTM'!$U$19,"")</f>
        <v>0</v>
      </c>
      <c r="AA42" s="7"/>
      <c r="AB42" s="29"/>
      <c r="AC42" s="7"/>
      <c r="AD42" s="48" t="str">
        <f>IF($B42="Yes",IFERROR(SUMIFS(_TECH_Crisis_Model!$D$5:$D$191,_TECH_Crisis_Model!$A$5:$A$191,'Crisis Simulator'!$B$4,_TECH_Crisis_Model!$B$5:$B$191,$C42),1),"")</f>
        <v/>
      </c>
      <c r="AE42" s="48" t="str">
        <f t="shared" si="8"/>
        <v/>
      </c>
      <c r="AF42" s="48" t="str">
        <f>IFERROR(INDEX(_TECH_Crisis_Model!$E$5:$E$191,MATCH('Crisis Simulator'!$B$4&amp;"|"&amp;$C42,_TECH_Crisis_Model!$I$5:$I$191,0)),"")</f>
        <v>Market positioning, ICP clarity and offer structure determine whether the company can adapt revenue during crisis.</v>
      </c>
      <c r="AG42" s="48" t="str">
        <f>IFERROR(INDEX(_TECH_Crisis_Model!$G$5:$G$191,MATCH('Crisis Simulator'!$B$4&amp;"|"&amp;$C42,_TECH_Crisis_Model!$I$5:$I$191,0)),"")</f>
        <v>Stress-test ICP, offering, pricing, channels and market focus under the selected crisis.</v>
      </c>
      <c r="AH42" s="48" t="str">
        <f>IFERROR(INDEX(_TECH_Initiative_Library!$A$5:$A$76,MATCH(1,INDEX((_TECH_Initiative_Library!$B$5:$B$76=$C42)*(_TECH_Initiative_Library!$C$5:$C$76=$D42),0),0)),"")</f>
        <v>INI-006</v>
      </c>
      <c r="AI42" s="48" t="str">
        <f>IFERROR(INDEX(_TECH_Initiative_Library!$F$5:$F$76,MATCH(1,INDEX((_TECH_Initiative_Library!$B$5:$B$76=$C42)*(_TECH_Initiative_Library!$C$5:$C$76=$D42),0),0)),"")</f>
        <v>Standardize offering architecture and crisis-proof value proposition</v>
      </c>
      <c r="AJ42" s="48" t="str">
        <f ca="1">IFERROR(INDEX(_TECH_Initiative_Library!$AC$5:$AC$76,MATCH(1,INDEX((_TECH_Initiative_Library!$B$5:$B$76=$C42)*(_TECH_Initiative_Library!$C$5:$C$76=$D42),0),0)),"")</f>
        <v/>
      </c>
      <c r="AK42" s="48" t="str">
        <f ca="1">IFERROR(INDEX(_TECH_Initiative_Library!$AE$5:$AE$76,MATCH(1,INDEX((_TECH_Initiative_Library!$B$5:$B$76=$C42)*(_TECH_Initiative_Library!$C$5:$C$76=$D42),0),0)),"")</f>
        <v/>
      </c>
      <c r="AL42" s="48" t="str">
        <f>IF($B42="Yes",IFERROR(SUMIFS(_TECH_Industry_Templates!$E:$E,_TECH_Industry_Templates!$A:$A,'Company Profile'!$B$9,_TECH_Industry_Templates!$B:$B,$C42),1),"")</f>
        <v/>
      </c>
      <c r="AM42" s="48" t="str">
        <f t="shared" si="9"/>
        <v/>
      </c>
      <c r="AN42" s="48" t="str">
        <f>IF($AM42="","",RANK.EQ($AM42,$AM$8:$AM$414,0)+COUNTIF($AM$8:$AM42,$AM42)-1)</f>
        <v/>
      </c>
    </row>
    <row r="43" spans="1:40" ht="71.25">
      <c r="A43" s="28" t="str">
        <f>IF($AM43="","",RANK.EQ($AM43,$AM$8:$AM$414,0)+COUNTIF($AM$8:$AM43,$AM43)-1)</f>
        <v/>
      </c>
      <c r="B43" s="7" t="str">
        <f t="shared" si="0"/>
        <v/>
      </c>
      <c r="C43" s="7" t="s">
        <v>57</v>
      </c>
      <c r="D43" s="7" t="s">
        <v>1059</v>
      </c>
      <c r="E43" s="7" t="s">
        <v>2211</v>
      </c>
      <c r="F43" s="7" t="s">
        <v>2212</v>
      </c>
      <c r="G43" s="28" t="str">
        <f>IF(OR(COUNTA('Strategy GTM'!$H$20)=0,'Strategy GTM'!$H$20="N/A"),"",VALUE('Strategy GTM'!$H$20))</f>
        <v/>
      </c>
      <c r="H43" s="7" t="str">
        <f t="shared" si="1"/>
        <v/>
      </c>
      <c r="I43" s="7" t="str">
        <f>IF($G43="","",IFERROR(IF('Strategy GTM'!$L$20="",IF($G43&lt;=1,"Critical",IF($G43=2,"High",IF($G43=3,"Medium",IF($G43=4,"Low","Optimized")))),'Strategy GTM'!$L$20),IF($G43&lt;=1,"Critical",IF($G43=2,"High",IF($G43=3,"Medium",IF($G43=4,"Low","Optimized"))))))</f>
        <v/>
      </c>
      <c r="J43" s="7" t="str">
        <f>IF($G43="","",IFERROR(INDEX('Recommendation Matrix'!$E$5:$J$411,MATCH($E43,'Recommendation Matrix'!$A$5:$A$411,0),$G43+1),""))</f>
        <v/>
      </c>
      <c r="K43" s="7" t="str">
        <f>IF($G43="","",IFERROR(VLOOKUP($E43,'Recommendation Matrix'!$A$5:$K$411,11,FALSE),""))</f>
        <v/>
      </c>
      <c r="L43" s="28" t="str">
        <f t="shared" si="2"/>
        <v/>
      </c>
      <c r="M43" s="28" t="str">
        <f>IF($G43="","",IFERROR(INDEX('Recommendation Matrix'!$L$5:$Q$411,MATCH($E43,'Recommendation Matrix'!$A$5:$A$411,0),$G43+1),""))</f>
        <v/>
      </c>
      <c r="N43" s="28" t="str">
        <f t="shared" si="3"/>
        <v/>
      </c>
      <c r="O43" s="28" t="str">
        <f t="shared" si="4"/>
        <v/>
      </c>
      <c r="P43" s="28" t="str">
        <f t="shared" si="5"/>
        <v/>
      </c>
      <c r="Q43" s="28" t="str">
        <f t="shared" si="6"/>
        <v/>
      </c>
      <c r="R43" s="8" t="str">
        <f t="shared" si="7"/>
        <v/>
      </c>
      <c r="S43" s="28">
        <f>IFERROR('Strategy GTM'!$G$20,"")</f>
        <v>5</v>
      </c>
      <c r="T43" s="28">
        <f>IFERROR('Strategy GTM'!$W$20,"")</f>
        <v>4</v>
      </c>
      <c r="U43" s="28">
        <f>IFERROR('Strategy GTM'!$X$20,"")</f>
        <v>5</v>
      </c>
      <c r="V43" s="28">
        <f>IFERROR('Strategy GTM'!$Y$20,"")</f>
        <v>5</v>
      </c>
      <c r="W43" s="7" t="s">
        <v>2068</v>
      </c>
      <c r="X43" s="7" t="s">
        <v>2069</v>
      </c>
      <c r="Y43" s="7" t="s">
        <v>2213</v>
      </c>
      <c r="Z43" s="7">
        <f>IFERROR('Strategy GTM'!$U$20,"")</f>
        <v>0</v>
      </c>
      <c r="AA43" s="7"/>
      <c r="AB43" s="29"/>
      <c r="AC43" s="7"/>
      <c r="AD43" s="48" t="str">
        <f>IF($B43="Yes",IFERROR(SUMIFS(_TECH_Crisis_Model!$D$5:$D$191,_TECH_Crisis_Model!$A$5:$A$191,'Crisis Simulator'!$B$4,_TECH_Crisis_Model!$B$5:$B$191,$C43),1),"")</f>
        <v/>
      </c>
      <c r="AE43" s="48" t="str">
        <f t="shared" si="8"/>
        <v/>
      </c>
      <c r="AF43" s="48" t="str">
        <f>IFERROR(INDEX(_TECH_Crisis_Model!$E$5:$E$191,MATCH('Crisis Simulator'!$B$4&amp;"|"&amp;$C43,_TECH_Crisis_Model!$I$5:$I$191,0)),"")</f>
        <v>Market positioning, ICP clarity and offer structure determine whether the company can adapt revenue during crisis.</v>
      </c>
      <c r="AG43" s="48" t="str">
        <f>IFERROR(INDEX(_TECH_Crisis_Model!$G$5:$G$191,MATCH('Crisis Simulator'!$B$4&amp;"|"&amp;$C43,_TECH_Crisis_Model!$I$5:$I$191,0)),"")</f>
        <v>Stress-test ICP, offering, pricing, channels and market focus under the selected crisis.</v>
      </c>
      <c r="AH43" s="48" t="str">
        <f>IFERROR(INDEX(_TECH_Initiative_Library!$A$5:$A$76,MATCH(1,INDEX((_TECH_Initiative_Library!$B$5:$B$76=$C43)*(_TECH_Initiative_Library!$C$5:$C$76=$D43),0),0)),"")</f>
        <v>INI-006</v>
      </c>
      <c r="AI43" s="48" t="str">
        <f>IFERROR(INDEX(_TECH_Initiative_Library!$F$5:$F$76,MATCH(1,INDEX((_TECH_Initiative_Library!$B$5:$B$76=$C43)*(_TECH_Initiative_Library!$C$5:$C$76=$D43),0),0)),"")</f>
        <v>Standardize offering architecture and crisis-proof value proposition</v>
      </c>
      <c r="AJ43" s="48" t="str">
        <f ca="1">IFERROR(INDEX(_TECH_Initiative_Library!$AC$5:$AC$76,MATCH(1,INDEX((_TECH_Initiative_Library!$B$5:$B$76=$C43)*(_TECH_Initiative_Library!$C$5:$C$76=$D43),0),0)),"")</f>
        <v/>
      </c>
      <c r="AK43" s="48" t="str">
        <f ca="1">IFERROR(INDEX(_TECH_Initiative_Library!$AE$5:$AE$76,MATCH(1,INDEX((_TECH_Initiative_Library!$B$5:$B$76=$C43)*(_TECH_Initiative_Library!$C$5:$C$76=$D43),0),0)),"")</f>
        <v/>
      </c>
      <c r="AL43" s="48" t="str">
        <f>IF($B43="Yes",IFERROR(SUMIFS(_TECH_Industry_Templates!$E:$E,_TECH_Industry_Templates!$A:$A,'Company Profile'!$B$9,_TECH_Industry_Templates!$B:$B,$C43),1),"")</f>
        <v/>
      </c>
      <c r="AM43" s="48" t="str">
        <f t="shared" si="9"/>
        <v/>
      </c>
      <c r="AN43" s="48" t="str">
        <f>IF($AM43="","",RANK.EQ($AM43,$AM$8:$AM$414,0)+COUNTIF($AM$8:$AM43,$AM43)-1)</f>
        <v/>
      </c>
    </row>
    <row r="44" spans="1:40" ht="85.5">
      <c r="A44" s="28" t="str">
        <f>IF($AM44="","",RANK.EQ($AM44,$AM$8:$AM$414,0)+COUNTIF($AM$8:$AM44,$AM44)-1)</f>
        <v/>
      </c>
      <c r="B44" s="7" t="str">
        <f t="shared" si="0"/>
        <v/>
      </c>
      <c r="C44" s="7" t="s">
        <v>57</v>
      </c>
      <c r="D44" s="7" t="s">
        <v>1059</v>
      </c>
      <c r="E44" s="7" t="s">
        <v>2221</v>
      </c>
      <c r="F44" s="7" t="s">
        <v>2222</v>
      </c>
      <c r="G44" s="28" t="str">
        <f>IF(OR(COUNTA('Strategy GTM'!$H$21)=0,'Strategy GTM'!$H$21="N/A"),"",VALUE('Strategy GTM'!$H$21))</f>
        <v/>
      </c>
      <c r="H44" s="7" t="str">
        <f t="shared" si="1"/>
        <v/>
      </c>
      <c r="I44" s="7" t="str">
        <f>IF($G44="","",IFERROR(IF('Strategy GTM'!$L$21="",IF($G44&lt;=1,"Critical",IF($G44=2,"High",IF($G44=3,"Medium",IF($G44=4,"Low","Optimized")))),'Strategy GTM'!$L$21),IF($G44&lt;=1,"Critical",IF($G44=2,"High",IF($G44=3,"Medium",IF($G44=4,"Low","Optimized"))))))</f>
        <v/>
      </c>
      <c r="J44" s="7" t="str">
        <f>IF($G44="","",IFERROR(INDEX('Recommendation Matrix'!$E$5:$J$411,MATCH($E44,'Recommendation Matrix'!$A$5:$A$411,0),$G44+1),""))</f>
        <v/>
      </c>
      <c r="K44" s="7" t="str">
        <f>IF($G44="","",IFERROR(VLOOKUP($E44,'Recommendation Matrix'!$A$5:$K$411,11,FALSE),""))</f>
        <v/>
      </c>
      <c r="L44" s="28" t="str">
        <f t="shared" si="2"/>
        <v/>
      </c>
      <c r="M44" s="28" t="str">
        <f>IF($G44="","",IFERROR(INDEX('Recommendation Matrix'!$L$5:$Q$411,MATCH($E44,'Recommendation Matrix'!$A$5:$A$411,0),$G44+1),""))</f>
        <v/>
      </c>
      <c r="N44" s="28" t="str">
        <f t="shared" si="3"/>
        <v/>
      </c>
      <c r="O44" s="28" t="str">
        <f t="shared" si="4"/>
        <v/>
      </c>
      <c r="P44" s="28" t="str">
        <f t="shared" si="5"/>
        <v/>
      </c>
      <c r="Q44" s="28" t="str">
        <f t="shared" si="6"/>
        <v/>
      </c>
      <c r="R44" s="8" t="str">
        <f t="shared" si="7"/>
        <v/>
      </c>
      <c r="S44" s="28">
        <f>IFERROR('Strategy GTM'!$G$21,"")</f>
        <v>5</v>
      </c>
      <c r="T44" s="28">
        <f>IFERROR('Strategy GTM'!$W$21,"")</f>
        <v>4</v>
      </c>
      <c r="U44" s="28">
        <f>IFERROR('Strategy GTM'!$X$21,"")</f>
        <v>5</v>
      </c>
      <c r="V44" s="28">
        <f>IFERROR('Strategy GTM'!$Y$21,"")</f>
        <v>5</v>
      </c>
      <c r="W44" s="7" t="s">
        <v>2068</v>
      </c>
      <c r="X44" s="7" t="s">
        <v>2069</v>
      </c>
      <c r="Y44" s="7" t="s">
        <v>2223</v>
      </c>
      <c r="Z44" s="7">
        <f>IFERROR('Strategy GTM'!$U$21,"")</f>
        <v>0</v>
      </c>
      <c r="AA44" s="7"/>
      <c r="AB44" s="29"/>
      <c r="AC44" s="7"/>
      <c r="AD44" s="48" t="str">
        <f>IF($B44="Yes",IFERROR(SUMIFS(_TECH_Crisis_Model!$D$5:$D$191,_TECH_Crisis_Model!$A$5:$A$191,'Crisis Simulator'!$B$4,_TECH_Crisis_Model!$B$5:$B$191,$C44),1),"")</f>
        <v/>
      </c>
      <c r="AE44" s="48" t="str">
        <f t="shared" si="8"/>
        <v/>
      </c>
      <c r="AF44" s="48" t="str">
        <f>IFERROR(INDEX(_TECH_Crisis_Model!$E$5:$E$191,MATCH('Crisis Simulator'!$B$4&amp;"|"&amp;$C44,_TECH_Crisis_Model!$I$5:$I$191,0)),"")</f>
        <v>Market positioning, ICP clarity and offer structure determine whether the company can adapt revenue during crisis.</v>
      </c>
      <c r="AG44" s="48" t="str">
        <f>IFERROR(INDEX(_TECH_Crisis_Model!$G$5:$G$191,MATCH('Crisis Simulator'!$B$4&amp;"|"&amp;$C44,_TECH_Crisis_Model!$I$5:$I$191,0)),"")</f>
        <v>Stress-test ICP, offering, pricing, channels and market focus under the selected crisis.</v>
      </c>
      <c r="AH44" s="48" t="str">
        <f>IFERROR(INDEX(_TECH_Initiative_Library!$A$5:$A$76,MATCH(1,INDEX((_TECH_Initiative_Library!$B$5:$B$76=$C44)*(_TECH_Initiative_Library!$C$5:$C$76=$D44),0),0)),"")</f>
        <v>INI-006</v>
      </c>
      <c r="AI44" s="48" t="str">
        <f>IFERROR(INDEX(_TECH_Initiative_Library!$F$5:$F$76,MATCH(1,INDEX((_TECH_Initiative_Library!$B$5:$B$76=$C44)*(_TECH_Initiative_Library!$C$5:$C$76=$D44),0),0)),"")</f>
        <v>Standardize offering architecture and crisis-proof value proposition</v>
      </c>
      <c r="AJ44" s="48" t="str">
        <f ca="1">IFERROR(INDEX(_TECH_Initiative_Library!$AC$5:$AC$76,MATCH(1,INDEX((_TECH_Initiative_Library!$B$5:$B$76=$C44)*(_TECH_Initiative_Library!$C$5:$C$76=$D44),0),0)),"")</f>
        <v/>
      </c>
      <c r="AK44" s="48" t="str">
        <f ca="1">IFERROR(INDEX(_TECH_Initiative_Library!$AE$5:$AE$76,MATCH(1,INDEX((_TECH_Initiative_Library!$B$5:$B$76=$C44)*(_TECH_Initiative_Library!$C$5:$C$76=$D44),0),0)),"")</f>
        <v/>
      </c>
      <c r="AL44" s="48" t="str">
        <f>IF($B44="Yes",IFERROR(SUMIFS(_TECH_Industry_Templates!$E:$E,_TECH_Industry_Templates!$A:$A,'Company Profile'!$B$9,_TECH_Industry_Templates!$B:$B,$C44),1),"")</f>
        <v/>
      </c>
      <c r="AM44" s="48" t="str">
        <f t="shared" si="9"/>
        <v/>
      </c>
      <c r="AN44" s="48" t="str">
        <f>IF($AM44="","",RANK.EQ($AM44,$AM$8:$AM$414,0)+COUNTIF($AM$8:$AM44,$AM44)-1)</f>
        <v/>
      </c>
    </row>
    <row r="45" spans="1:40" ht="71.25">
      <c r="A45" s="28" t="str">
        <f>IF($AM45="","",RANK.EQ($AM45,$AM$8:$AM$414,0)+COUNTIF($AM$8:$AM45,$AM45)-1)</f>
        <v/>
      </c>
      <c r="B45" s="7" t="str">
        <f t="shared" si="0"/>
        <v/>
      </c>
      <c r="C45" s="7" t="s">
        <v>57</v>
      </c>
      <c r="D45" s="7" t="s">
        <v>1059</v>
      </c>
      <c r="E45" s="7" t="s">
        <v>2231</v>
      </c>
      <c r="F45" s="7" t="s">
        <v>2232</v>
      </c>
      <c r="G45" s="28" t="str">
        <f>IF(OR(COUNTA('Strategy GTM'!$H$22)=0,'Strategy GTM'!$H$22="N/A"),"",VALUE('Strategy GTM'!$H$22))</f>
        <v/>
      </c>
      <c r="H45" s="7" t="str">
        <f t="shared" si="1"/>
        <v/>
      </c>
      <c r="I45" s="7" t="str">
        <f>IF($G45="","",IFERROR(IF('Strategy GTM'!$L$22="",IF($G45&lt;=1,"Critical",IF($G45=2,"High",IF($G45=3,"Medium",IF($G45=4,"Low","Optimized")))),'Strategy GTM'!$L$22),IF($G45&lt;=1,"Critical",IF($G45=2,"High",IF($G45=3,"Medium",IF($G45=4,"Low","Optimized"))))))</f>
        <v/>
      </c>
      <c r="J45" s="7" t="str">
        <f>IF($G45="","",IFERROR(INDEX('Recommendation Matrix'!$E$5:$J$411,MATCH($E45,'Recommendation Matrix'!$A$5:$A$411,0),$G45+1),""))</f>
        <v/>
      </c>
      <c r="K45" s="7" t="str">
        <f>IF($G45="","",IFERROR(VLOOKUP($E45,'Recommendation Matrix'!$A$5:$K$411,11,FALSE),""))</f>
        <v/>
      </c>
      <c r="L45" s="28" t="str">
        <f t="shared" si="2"/>
        <v/>
      </c>
      <c r="M45" s="28" t="str">
        <f>IF($G45="","",IFERROR(INDEX('Recommendation Matrix'!$L$5:$Q$411,MATCH($E45,'Recommendation Matrix'!$A$5:$A$411,0),$G45+1),""))</f>
        <v/>
      </c>
      <c r="N45" s="28" t="str">
        <f t="shared" si="3"/>
        <v/>
      </c>
      <c r="O45" s="28" t="str">
        <f t="shared" si="4"/>
        <v/>
      </c>
      <c r="P45" s="28" t="str">
        <f t="shared" si="5"/>
        <v/>
      </c>
      <c r="Q45" s="28" t="str">
        <f t="shared" si="6"/>
        <v/>
      </c>
      <c r="R45" s="8" t="str">
        <f t="shared" si="7"/>
        <v/>
      </c>
      <c r="S45" s="28">
        <f>IFERROR('Strategy GTM'!$G$22,"")</f>
        <v>5</v>
      </c>
      <c r="T45" s="28">
        <f>IFERROR('Strategy GTM'!$W$22,"")</f>
        <v>4</v>
      </c>
      <c r="U45" s="28">
        <f>IFERROR('Strategy GTM'!$X$22,"")</f>
        <v>5</v>
      </c>
      <c r="V45" s="28">
        <f>IFERROR('Strategy GTM'!$Y$22,"")</f>
        <v>5</v>
      </c>
      <c r="W45" s="7" t="s">
        <v>2068</v>
      </c>
      <c r="X45" s="7" t="s">
        <v>2069</v>
      </c>
      <c r="Y45" s="7" t="s">
        <v>2233</v>
      </c>
      <c r="Z45" s="7">
        <f>IFERROR('Strategy GTM'!$U$22,"")</f>
        <v>0</v>
      </c>
      <c r="AA45" s="7"/>
      <c r="AB45" s="29"/>
      <c r="AC45" s="7"/>
      <c r="AD45" s="48" t="str">
        <f>IF($B45="Yes",IFERROR(SUMIFS(_TECH_Crisis_Model!$D$5:$D$191,_TECH_Crisis_Model!$A$5:$A$191,'Crisis Simulator'!$B$4,_TECH_Crisis_Model!$B$5:$B$191,$C45),1),"")</f>
        <v/>
      </c>
      <c r="AE45" s="48" t="str">
        <f t="shared" si="8"/>
        <v/>
      </c>
      <c r="AF45" s="48" t="str">
        <f>IFERROR(INDEX(_TECH_Crisis_Model!$E$5:$E$191,MATCH('Crisis Simulator'!$B$4&amp;"|"&amp;$C45,_TECH_Crisis_Model!$I$5:$I$191,0)),"")</f>
        <v>Market positioning, ICP clarity and offer structure determine whether the company can adapt revenue during crisis.</v>
      </c>
      <c r="AG45" s="48" t="str">
        <f>IFERROR(INDEX(_TECH_Crisis_Model!$G$5:$G$191,MATCH('Crisis Simulator'!$B$4&amp;"|"&amp;$C45,_TECH_Crisis_Model!$I$5:$I$191,0)),"")</f>
        <v>Stress-test ICP, offering, pricing, channels and market focus under the selected crisis.</v>
      </c>
      <c r="AH45" s="48" t="str">
        <f>IFERROR(INDEX(_TECH_Initiative_Library!$A$5:$A$76,MATCH(1,INDEX((_TECH_Initiative_Library!$B$5:$B$76=$C45)*(_TECH_Initiative_Library!$C$5:$C$76=$D45),0),0)),"")</f>
        <v>INI-006</v>
      </c>
      <c r="AI45" s="48" t="str">
        <f>IFERROR(INDEX(_TECH_Initiative_Library!$F$5:$F$76,MATCH(1,INDEX((_TECH_Initiative_Library!$B$5:$B$76=$C45)*(_TECH_Initiative_Library!$C$5:$C$76=$D45),0),0)),"")</f>
        <v>Standardize offering architecture and crisis-proof value proposition</v>
      </c>
      <c r="AJ45" s="48" t="str">
        <f ca="1">IFERROR(INDEX(_TECH_Initiative_Library!$AC$5:$AC$76,MATCH(1,INDEX((_TECH_Initiative_Library!$B$5:$B$76=$C45)*(_TECH_Initiative_Library!$C$5:$C$76=$D45),0),0)),"")</f>
        <v/>
      </c>
      <c r="AK45" s="48" t="str">
        <f ca="1">IFERROR(INDEX(_TECH_Initiative_Library!$AE$5:$AE$76,MATCH(1,INDEX((_TECH_Initiative_Library!$B$5:$B$76=$C45)*(_TECH_Initiative_Library!$C$5:$C$76=$D45),0),0)),"")</f>
        <v/>
      </c>
      <c r="AL45" s="48" t="str">
        <f>IF($B45="Yes",IFERROR(SUMIFS(_TECH_Industry_Templates!$E:$E,_TECH_Industry_Templates!$A:$A,'Company Profile'!$B$9,_TECH_Industry_Templates!$B:$B,$C45),1),"")</f>
        <v/>
      </c>
      <c r="AM45" s="48" t="str">
        <f t="shared" si="9"/>
        <v/>
      </c>
      <c r="AN45" s="48" t="str">
        <f>IF($AM45="","",RANK.EQ($AM45,$AM$8:$AM$414,0)+COUNTIF($AM$8:$AM45,$AM45)-1)</f>
        <v/>
      </c>
    </row>
    <row r="46" spans="1:40" ht="85.5">
      <c r="A46" s="28" t="str">
        <f>IF($AM46="","",RANK.EQ($AM46,$AM$8:$AM$414,0)+COUNTIF($AM$8:$AM46,$AM46)-1)</f>
        <v/>
      </c>
      <c r="B46" s="7" t="str">
        <f t="shared" si="0"/>
        <v/>
      </c>
      <c r="C46" s="7" t="s">
        <v>57</v>
      </c>
      <c r="D46" s="7" t="s">
        <v>1067</v>
      </c>
      <c r="E46" s="7" t="s">
        <v>2241</v>
      </c>
      <c r="F46" s="7" t="s">
        <v>2242</v>
      </c>
      <c r="G46" s="28" t="str">
        <f>IF(OR(COUNTA('Strategy GTM'!$H$23)=0,'Strategy GTM'!$H$23="N/A"),"",VALUE('Strategy GTM'!$H$23))</f>
        <v/>
      </c>
      <c r="H46" s="7" t="str">
        <f t="shared" si="1"/>
        <v/>
      </c>
      <c r="I46" s="7" t="str">
        <f>IF($G46="","",IFERROR(IF('Strategy GTM'!$L$23="",IF($G46&lt;=1,"Critical",IF($G46=2,"High",IF($G46=3,"Medium",IF($G46=4,"Low","Optimized")))),'Strategy GTM'!$L$23),IF($G46&lt;=1,"Critical",IF($G46=2,"High",IF($G46=3,"Medium",IF($G46=4,"Low","Optimized"))))))</f>
        <v/>
      </c>
      <c r="J46" s="7" t="str">
        <f>IF($G46="","",IFERROR(INDEX('Recommendation Matrix'!$E$5:$J$411,MATCH($E46,'Recommendation Matrix'!$A$5:$A$411,0),$G46+1),""))</f>
        <v/>
      </c>
      <c r="K46" s="7" t="str">
        <f>IF($G46="","",IFERROR(VLOOKUP($E46,'Recommendation Matrix'!$A$5:$K$411,11,FALSE),""))</f>
        <v/>
      </c>
      <c r="L46" s="28" t="str">
        <f t="shared" si="2"/>
        <v/>
      </c>
      <c r="M46" s="28" t="str">
        <f>IF($G46="","",IFERROR(INDEX('Recommendation Matrix'!$L$5:$Q$411,MATCH($E46,'Recommendation Matrix'!$A$5:$A$411,0),$G46+1),""))</f>
        <v/>
      </c>
      <c r="N46" s="28" t="str">
        <f t="shared" si="3"/>
        <v/>
      </c>
      <c r="O46" s="28" t="str">
        <f t="shared" si="4"/>
        <v/>
      </c>
      <c r="P46" s="28" t="str">
        <f t="shared" si="5"/>
        <v/>
      </c>
      <c r="Q46" s="28" t="str">
        <f t="shared" si="6"/>
        <v/>
      </c>
      <c r="R46" s="8" t="str">
        <f t="shared" si="7"/>
        <v/>
      </c>
      <c r="S46" s="28">
        <f>IFERROR('Strategy GTM'!$G$23,"")</f>
        <v>5</v>
      </c>
      <c r="T46" s="28">
        <f>IFERROR('Strategy GTM'!$W$23,"")</f>
        <v>4</v>
      </c>
      <c r="U46" s="28">
        <f>IFERROR('Strategy GTM'!$X$23,"")</f>
        <v>5</v>
      </c>
      <c r="V46" s="28">
        <f>IFERROR('Strategy GTM'!$Y$23,"")</f>
        <v>5</v>
      </c>
      <c r="W46" s="7" t="s">
        <v>2068</v>
      </c>
      <c r="X46" s="7" t="s">
        <v>2069</v>
      </c>
      <c r="Y46" s="7" t="s">
        <v>2243</v>
      </c>
      <c r="Z46" s="7">
        <f>IFERROR('Strategy GTM'!$U$23,"")</f>
        <v>0</v>
      </c>
      <c r="AA46" s="7"/>
      <c r="AB46" s="29"/>
      <c r="AC46" s="7"/>
      <c r="AD46" s="48" t="str">
        <f>IF($B46="Yes",IFERROR(SUMIFS(_TECH_Crisis_Model!$D$5:$D$191,_TECH_Crisis_Model!$A$5:$A$191,'Crisis Simulator'!$B$4,_TECH_Crisis_Model!$B$5:$B$191,$C46),1),"")</f>
        <v/>
      </c>
      <c r="AE46" s="48" t="str">
        <f t="shared" si="8"/>
        <v/>
      </c>
      <c r="AF46" s="48" t="str">
        <f>IFERROR(INDEX(_TECH_Crisis_Model!$E$5:$E$191,MATCH('Crisis Simulator'!$B$4&amp;"|"&amp;$C46,_TECH_Crisis_Model!$I$5:$I$191,0)),"")</f>
        <v>Market positioning, ICP clarity and offer structure determine whether the company can adapt revenue during crisis.</v>
      </c>
      <c r="AG46" s="48" t="str">
        <f>IFERROR(INDEX(_TECH_Crisis_Model!$G$5:$G$191,MATCH('Crisis Simulator'!$B$4&amp;"|"&amp;$C46,_TECH_Crisis_Model!$I$5:$I$191,0)),"")</f>
        <v>Stress-test ICP, offering, pricing, channels and market focus under the selected crisis.</v>
      </c>
      <c r="AH46" s="48" t="str">
        <f>IFERROR(INDEX(_TECH_Initiative_Library!$A$5:$A$76,MATCH(1,INDEX((_TECH_Initiative_Library!$B$5:$B$76=$C46)*(_TECH_Initiative_Library!$C$5:$C$76=$D46),0),0)),"")</f>
        <v>INI-007</v>
      </c>
      <c r="AI46" s="48" t="str">
        <f>IFERROR(INDEX(_TECH_Initiative_Library!$F$5:$F$76,MATCH(1,INDEX((_TECH_Initiative_Library!$B$5:$B$76=$C46)*(_TECH_Initiative_Library!$C$5:$C$76=$D46),0),0)),"")</f>
        <v>Build resilient GTM execution cadence and channel plan</v>
      </c>
      <c r="AJ46" s="48" t="str">
        <f ca="1">IFERROR(INDEX(_TECH_Initiative_Library!$AC$5:$AC$76,MATCH(1,INDEX((_TECH_Initiative_Library!$B$5:$B$76=$C46)*(_TECH_Initiative_Library!$C$5:$C$76=$D46),0),0)),"")</f>
        <v/>
      </c>
      <c r="AK46" s="48" t="str">
        <f ca="1">IFERROR(INDEX(_TECH_Initiative_Library!$AE$5:$AE$76,MATCH(1,INDEX((_TECH_Initiative_Library!$B$5:$B$76=$C46)*(_TECH_Initiative_Library!$C$5:$C$76=$D46),0),0)),"")</f>
        <v/>
      </c>
      <c r="AL46" s="48" t="str">
        <f>IF($B46="Yes",IFERROR(SUMIFS(_TECH_Industry_Templates!$E:$E,_TECH_Industry_Templates!$A:$A,'Company Profile'!$B$9,_TECH_Industry_Templates!$B:$B,$C46),1),"")</f>
        <v/>
      </c>
      <c r="AM46" s="48" t="str">
        <f t="shared" si="9"/>
        <v/>
      </c>
      <c r="AN46" s="48" t="str">
        <f>IF($AM46="","",RANK.EQ($AM46,$AM$8:$AM$414,0)+COUNTIF($AM$8:$AM46,$AM46)-1)</f>
        <v/>
      </c>
    </row>
    <row r="47" spans="1:40" ht="85.5">
      <c r="A47" s="28" t="str">
        <f>IF($AM47="","",RANK.EQ($AM47,$AM$8:$AM$414,0)+COUNTIF($AM$8:$AM47,$AM47)-1)</f>
        <v/>
      </c>
      <c r="B47" s="7" t="str">
        <f t="shared" si="0"/>
        <v/>
      </c>
      <c r="C47" s="7" t="s">
        <v>57</v>
      </c>
      <c r="D47" s="7" t="s">
        <v>1067</v>
      </c>
      <c r="E47" s="7" t="s">
        <v>2251</v>
      </c>
      <c r="F47" s="7" t="s">
        <v>2252</v>
      </c>
      <c r="G47" s="28" t="str">
        <f>IF(OR(COUNTA('Strategy GTM'!$H$24)=0,'Strategy GTM'!$H$24="N/A"),"",VALUE('Strategy GTM'!$H$24))</f>
        <v/>
      </c>
      <c r="H47" s="7" t="str">
        <f t="shared" si="1"/>
        <v/>
      </c>
      <c r="I47" s="7" t="str">
        <f>IF($G47="","",IFERROR(IF('Strategy GTM'!$L$24="",IF($G47&lt;=1,"Critical",IF($G47=2,"High",IF($G47=3,"Medium",IF($G47=4,"Low","Optimized")))),'Strategy GTM'!$L$24),IF($G47&lt;=1,"Critical",IF($G47=2,"High",IF($G47=3,"Medium",IF($G47=4,"Low","Optimized"))))))</f>
        <v/>
      </c>
      <c r="J47" s="7" t="str">
        <f>IF($G47="","",IFERROR(INDEX('Recommendation Matrix'!$E$5:$J$411,MATCH($E47,'Recommendation Matrix'!$A$5:$A$411,0),$G47+1),""))</f>
        <v/>
      </c>
      <c r="K47" s="7" t="str">
        <f>IF($G47="","",IFERROR(VLOOKUP($E47,'Recommendation Matrix'!$A$5:$K$411,11,FALSE),""))</f>
        <v/>
      </c>
      <c r="L47" s="28" t="str">
        <f t="shared" si="2"/>
        <v/>
      </c>
      <c r="M47" s="28" t="str">
        <f>IF($G47="","",IFERROR(INDEX('Recommendation Matrix'!$L$5:$Q$411,MATCH($E47,'Recommendation Matrix'!$A$5:$A$411,0),$G47+1),""))</f>
        <v/>
      </c>
      <c r="N47" s="28" t="str">
        <f t="shared" si="3"/>
        <v/>
      </c>
      <c r="O47" s="28" t="str">
        <f t="shared" si="4"/>
        <v/>
      </c>
      <c r="P47" s="28" t="str">
        <f t="shared" si="5"/>
        <v/>
      </c>
      <c r="Q47" s="28" t="str">
        <f t="shared" si="6"/>
        <v/>
      </c>
      <c r="R47" s="8" t="str">
        <f t="shared" si="7"/>
        <v/>
      </c>
      <c r="S47" s="28">
        <f>IFERROR('Strategy GTM'!$G$24,"")</f>
        <v>4</v>
      </c>
      <c r="T47" s="28">
        <f>IFERROR('Strategy GTM'!$W$24,"")</f>
        <v>5</v>
      </c>
      <c r="U47" s="28">
        <f>IFERROR('Strategy GTM'!$X$24,"")</f>
        <v>5</v>
      </c>
      <c r="V47" s="28">
        <f>IFERROR('Strategy GTM'!$Y$24,"")</f>
        <v>5</v>
      </c>
      <c r="W47" s="7" t="s">
        <v>2068</v>
      </c>
      <c r="X47" s="7" t="s">
        <v>2069</v>
      </c>
      <c r="Y47" s="7" t="s">
        <v>2253</v>
      </c>
      <c r="Z47" s="7">
        <f>IFERROR('Strategy GTM'!$U$24,"")</f>
        <v>0</v>
      </c>
      <c r="AA47" s="7"/>
      <c r="AB47" s="29"/>
      <c r="AC47" s="7"/>
      <c r="AD47" s="48" t="str">
        <f>IF($B47="Yes",IFERROR(SUMIFS(_TECH_Crisis_Model!$D$5:$D$191,_TECH_Crisis_Model!$A$5:$A$191,'Crisis Simulator'!$B$4,_TECH_Crisis_Model!$B$5:$B$191,$C47),1),"")</f>
        <v/>
      </c>
      <c r="AE47" s="48" t="str">
        <f t="shared" si="8"/>
        <v/>
      </c>
      <c r="AF47" s="48" t="str">
        <f>IFERROR(INDEX(_TECH_Crisis_Model!$E$5:$E$191,MATCH('Crisis Simulator'!$B$4&amp;"|"&amp;$C47,_TECH_Crisis_Model!$I$5:$I$191,0)),"")</f>
        <v>Market positioning, ICP clarity and offer structure determine whether the company can adapt revenue during crisis.</v>
      </c>
      <c r="AG47" s="48" t="str">
        <f>IFERROR(INDEX(_TECH_Crisis_Model!$G$5:$G$191,MATCH('Crisis Simulator'!$B$4&amp;"|"&amp;$C47,_TECH_Crisis_Model!$I$5:$I$191,0)),"")</f>
        <v>Stress-test ICP, offering, pricing, channels and market focus under the selected crisis.</v>
      </c>
      <c r="AH47" s="48" t="str">
        <f>IFERROR(INDEX(_TECH_Initiative_Library!$A$5:$A$76,MATCH(1,INDEX((_TECH_Initiative_Library!$B$5:$B$76=$C47)*(_TECH_Initiative_Library!$C$5:$C$76=$D47),0),0)),"")</f>
        <v>INI-007</v>
      </c>
      <c r="AI47" s="48" t="str">
        <f>IFERROR(INDEX(_TECH_Initiative_Library!$F$5:$F$76,MATCH(1,INDEX((_TECH_Initiative_Library!$B$5:$B$76=$C47)*(_TECH_Initiative_Library!$C$5:$C$76=$D47),0),0)),"")</f>
        <v>Build resilient GTM execution cadence and channel plan</v>
      </c>
      <c r="AJ47" s="48" t="str">
        <f ca="1">IFERROR(INDEX(_TECH_Initiative_Library!$AC$5:$AC$76,MATCH(1,INDEX((_TECH_Initiative_Library!$B$5:$B$76=$C47)*(_TECH_Initiative_Library!$C$5:$C$76=$D47),0),0)),"")</f>
        <v/>
      </c>
      <c r="AK47" s="48" t="str">
        <f ca="1">IFERROR(INDEX(_TECH_Initiative_Library!$AE$5:$AE$76,MATCH(1,INDEX((_TECH_Initiative_Library!$B$5:$B$76=$C47)*(_TECH_Initiative_Library!$C$5:$C$76=$D47),0),0)),"")</f>
        <v/>
      </c>
      <c r="AL47" s="48" t="str">
        <f>IF($B47="Yes",IFERROR(SUMIFS(_TECH_Industry_Templates!$E:$E,_TECH_Industry_Templates!$A:$A,'Company Profile'!$B$9,_TECH_Industry_Templates!$B:$B,$C47),1),"")</f>
        <v/>
      </c>
      <c r="AM47" s="48" t="str">
        <f t="shared" si="9"/>
        <v/>
      </c>
      <c r="AN47" s="48" t="str">
        <f>IF($AM47="","",RANK.EQ($AM47,$AM$8:$AM$414,0)+COUNTIF($AM$8:$AM47,$AM47)-1)</f>
        <v/>
      </c>
    </row>
    <row r="48" spans="1:40" ht="85.5">
      <c r="A48" s="28" t="str">
        <f>IF($AM48="","",RANK.EQ($AM48,$AM$8:$AM$414,0)+COUNTIF($AM$8:$AM48,$AM48)-1)</f>
        <v/>
      </c>
      <c r="B48" s="7" t="str">
        <f t="shared" si="0"/>
        <v/>
      </c>
      <c r="C48" s="7" t="s">
        <v>57</v>
      </c>
      <c r="D48" s="7" t="s">
        <v>1067</v>
      </c>
      <c r="E48" s="7" t="s">
        <v>2261</v>
      </c>
      <c r="F48" s="7" t="s">
        <v>2262</v>
      </c>
      <c r="G48" s="28" t="str">
        <f>IF(OR(COUNTA('Strategy GTM'!$H$25)=0,'Strategy GTM'!$H$25="N/A"),"",VALUE('Strategy GTM'!$H$25))</f>
        <v/>
      </c>
      <c r="H48" s="7" t="str">
        <f t="shared" si="1"/>
        <v/>
      </c>
      <c r="I48" s="7" t="str">
        <f>IF($G48="","",IFERROR(IF('Strategy GTM'!$L$25="",IF($G48&lt;=1,"Critical",IF($G48=2,"High",IF($G48=3,"Medium",IF($G48=4,"Low","Optimized")))),'Strategy GTM'!$L$25),IF($G48&lt;=1,"Critical",IF($G48=2,"High",IF($G48=3,"Medium",IF($G48=4,"Low","Optimized"))))))</f>
        <v/>
      </c>
      <c r="J48" s="7" t="str">
        <f>IF($G48="","",IFERROR(INDEX('Recommendation Matrix'!$E$5:$J$411,MATCH($E48,'Recommendation Matrix'!$A$5:$A$411,0),$G48+1),""))</f>
        <v/>
      </c>
      <c r="K48" s="7" t="str">
        <f>IF($G48="","",IFERROR(VLOOKUP($E48,'Recommendation Matrix'!$A$5:$K$411,11,FALSE),""))</f>
        <v/>
      </c>
      <c r="L48" s="28" t="str">
        <f t="shared" si="2"/>
        <v/>
      </c>
      <c r="M48" s="28" t="str">
        <f>IF($G48="","",IFERROR(INDEX('Recommendation Matrix'!$L$5:$Q$411,MATCH($E48,'Recommendation Matrix'!$A$5:$A$411,0),$G48+1),""))</f>
        <v/>
      </c>
      <c r="N48" s="28" t="str">
        <f t="shared" si="3"/>
        <v/>
      </c>
      <c r="O48" s="28" t="str">
        <f t="shared" si="4"/>
        <v/>
      </c>
      <c r="P48" s="28" t="str">
        <f t="shared" si="5"/>
        <v/>
      </c>
      <c r="Q48" s="28" t="str">
        <f t="shared" si="6"/>
        <v/>
      </c>
      <c r="R48" s="8" t="str">
        <f t="shared" si="7"/>
        <v/>
      </c>
      <c r="S48" s="28">
        <f>IFERROR('Strategy GTM'!$G$25,"")</f>
        <v>4</v>
      </c>
      <c r="T48" s="28">
        <f>IFERROR('Strategy GTM'!$W$25,"")</f>
        <v>4</v>
      </c>
      <c r="U48" s="28">
        <f>IFERROR('Strategy GTM'!$X$25,"")</f>
        <v>5</v>
      </c>
      <c r="V48" s="28">
        <f>IFERROR('Strategy GTM'!$Y$25,"")</f>
        <v>5</v>
      </c>
      <c r="W48" s="7" t="s">
        <v>2068</v>
      </c>
      <c r="X48" s="7" t="s">
        <v>2069</v>
      </c>
      <c r="Y48" s="7" t="s">
        <v>2263</v>
      </c>
      <c r="Z48" s="7">
        <f>IFERROR('Strategy GTM'!$U$25,"")</f>
        <v>0</v>
      </c>
      <c r="AA48" s="7"/>
      <c r="AB48" s="29"/>
      <c r="AC48" s="7"/>
      <c r="AD48" s="48" t="str">
        <f>IF($B48="Yes",IFERROR(SUMIFS(_TECH_Crisis_Model!$D$5:$D$191,_TECH_Crisis_Model!$A$5:$A$191,'Crisis Simulator'!$B$4,_TECH_Crisis_Model!$B$5:$B$191,$C48),1),"")</f>
        <v/>
      </c>
      <c r="AE48" s="48" t="str">
        <f t="shared" si="8"/>
        <v/>
      </c>
      <c r="AF48" s="48" t="str">
        <f>IFERROR(INDEX(_TECH_Crisis_Model!$E$5:$E$191,MATCH('Crisis Simulator'!$B$4&amp;"|"&amp;$C48,_TECH_Crisis_Model!$I$5:$I$191,0)),"")</f>
        <v>Market positioning, ICP clarity and offer structure determine whether the company can adapt revenue during crisis.</v>
      </c>
      <c r="AG48" s="48" t="str">
        <f>IFERROR(INDEX(_TECH_Crisis_Model!$G$5:$G$191,MATCH('Crisis Simulator'!$B$4&amp;"|"&amp;$C48,_TECH_Crisis_Model!$I$5:$I$191,0)),"")</f>
        <v>Stress-test ICP, offering, pricing, channels and market focus under the selected crisis.</v>
      </c>
      <c r="AH48" s="48" t="str">
        <f>IFERROR(INDEX(_TECH_Initiative_Library!$A$5:$A$76,MATCH(1,INDEX((_TECH_Initiative_Library!$B$5:$B$76=$C48)*(_TECH_Initiative_Library!$C$5:$C$76=$D48),0),0)),"")</f>
        <v>INI-007</v>
      </c>
      <c r="AI48" s="48" t="str">
        <f>IFERROR(INDEX(_TECH_Initiative_Library!$F$5:$F$76,MATCH(1,INDEX((_TECH_Initiative_Library!$B$5:$B$76=$C48)*(_TECH_Initiative_Library!$C$5:$C$76=$D48),0),0)),"")</f>
        <v>Build resilient GTM execution cadence and channel plan</v>
      </c>
      <c r="AJ48" s="48" t="str">
        <f ca="1">IFERROR(INDEX(_TECH_Initiative_Library!$AC$5:$AC$76,MATCH(1,INDEX((_TECH_Initiative_Library!$B$5:$B$76=$C48)*(_TECH_Initiative_Library!$C$5:$C$76=$D48),0),0)),"")</f>
        <v/>
      </c>
      <c r="AK48" s="48" t="str">
        <f ca="1">IFERROR(INDEX(_TECH_Initiative_Library!$AE$5:$AE$76,MATCH(1,INDEX((_TECH_Initiative_Library!$B$5:$B$76=$C48)*(_TECH_Initiative_Library!$C$5:$C$76=$D48),0),0)),"")</f>
        <v/>
      </c>
      <c r="AL48" s="48" t="str">
        <f>IF($B48="Yes",IFERROR(SUMIFS(_TECH_Industry_Templates!$E:$E,_TECH_Industry_Templates!$A:$A,'Company Profile'!$B$9,_TECH_Industry_Templates!$B:$B,$C48),1),"")</f>
        <v/>
      </c>
      <c r="AM48" s="48" t="str">
        <f t="shared" si="9"/>
        <v/>
      </c>
      <c r="AN48" s="48" t="str">
        <f>IF($AM48="","",RANK.EQ($AM48,$AM$8:$AM$414,0)+COUNTIF($AM$8:$AM48,$AM48)-1)</f>
        <v/>
      </c>
    </row>
    <row r="49" spans="1:40" ht="71.25">
      <c r="A49" s="28" t="str">
        <f>IF($AM49="","",RANK.EQ($AM49,$AM$8:$AM$414,0)+COUNTIF($AM$8:$AM49,$AM49)-1)</f>
        <v/>
      </c>
      <c r="B49" s="7" t="str">
        <f t="shared" si="0"/>
        <v/>
      </c>
      <c r="C49" s="7" t="s">
        <v>57</v>
      </c>
      <c r="D49" s="7" t="s">
        <v>1067</v>
      </c>
      <c r="E49" s="7" t="s">
        <v>2271</v>
      </c>
      <c r="F49" s="7" t="s">
        <v>2272</v>
      </c>
      <c r="G49" s="28" t="str">
        <f>IF(OR(COUNTA('Strategy GTM'!$H$26)=0,'Strategy GTM'!$H$26="N/A"),"",VALUE('Strategy GTM'!$H$26))</f>
        <v/>
      </c>
      <c r="H49" s="7" t="str">
        <f t="shared" si="1"/>
        <v/>
      </c>
      <c r="I49" s="7" t="str">
        <f>IF($G49="","",IFERROR(IF('Strategy GTM'!$L$26="",IF($G49&lt;=1,"Critical",IF($G49=2,"High",IF($G49=3,"Medium",IF($G49=4,"Low","Optimized")))),'Strategy GTM'!$L$26),IF($G49&lt;=1,"Critical",IF($G49=2,"High",IF($G49=3,"Medium",IF($G49=4,"Low","Optimized"))))))</f>
        <v/>
      </c>
      <c r="J49" s="7" t="str">
        <f>IF($G49="","",IFERROR(INDEX('Recommendation Matrix'!$E$5:$J$411,MATCH($E49,'Recommendation Matrix'!$A$5:$A$411,0),$G49+1),""))</f>
        <v/>
      </c>
      <c r="K49" s="7" t="str">
        <f>IF($G49="","",IFERROR(VLOOKUP($E49,'Recommendation Matrix'!$A$5:$K$411,11,FALSE),""))</f>
        <v/>
      </c>
      <c r="L49" s="28" t="str">
        <f t="shared" si="2"/>
        <v/>
      </c>
      <c r="M49" s="28" t="str">
        <f>IF($G49="","",IFERROR(INDEX('Recommendation Matrix'!$L$5:$Q$411,MATCH($E49,'Recommendation Matrix'!$A$5:$A$411,0),$G49+1),""))</f>
        <v/>
      </c>
      <c r="N49" s="28" t="str">
        <f t="shared" si="3"/>
        <v/>
      </c>
      <c r="O49" s="28" t="str">
        <f t="shared" si="4"/>
        <v/>
      </c>
      <c r="P49" s="28" t="str">
        <f t="shared" si="5"/>
        <v/>
      </c>
      <c r="Q49" s="28" t="str">
        <f t="shared" si="6"/>
        <v/>
      </c>
      <c r="R49" s="8" t="str">
        <f t="shared" si="7"/>
        <v/>
      </c>
      <c r="S49" s="28">
        <f>IFERROR('Strategy GTM'!$G$26,"")</f>
        <v>5</v>
      </c>
      <c r="T49" s="28">
        <f>IFERROR('Strategy GTM'!$W$26,"")</f>
        <v>4</v>
      </c>
      <c r="U49" s="28">
        <f>IFERROR('Strategy GTM'!$X$26,"")</f>
        <v>5</v>
      </c>
      <c r="V49" s="28">
        <f>IFERROR('Strategy GTM'!$Y$26,"")</f>
        <v>5</v>
      </c>
      <c r="W49" s="7" t="s">
        <v>2068</v>
      </c>
      <c r="X49" s="7" t="s">
        <v>2069</v>
      </c>
      <c r="Y49" s="7" t="s">
        <v>2273</v>
      </c>
      <c r="Z49" s="7">
        <f>IFERROR('Strategy GTM'!$U$26,"")</f>
        <v>0</v>
      </c>
      <c r="AA49" s="7"/>
      <c r="AB49" s="29"/>
      <c r="AC49" s="7"/>
      <c r="AD49" s="48" t="str">
        <f>IF($B49="Yes",IFERROR(SUMIFS(_TECH_Crisis_Model!$D$5:$D$191,_TECH_Crisis_Model!$A$5:$A$191,'Crisis Simulator'!$B$4,_TECH_Crisis_Model!$B$5:$B$191,$C49),1),"")</f>
        <v/>
      </c>
      <c r="AE49" s="48" t="str">
        <f t="shared" si="8"/>
        <v/>
      </c>
      <c r="AF49" s="48" t="str">
        <f>IFERROR(INDEX(_TECH_Crisis_Model!$E$5:$E$191,MATCH('Crisis Simulator'!$B$4&amp;"|"&amp;$C49,_TECH_Crisis_Model!$I$5:$I$191,0)),"")</f>
        <v>Market positioning, ICP clarity and offer structure determine whether the company can adapt revenue during crisis.</v>
      </c>
      <c r="AG49" s="48" t="str">
        <f>IFERROR(INDEX(_TECH_Crisis_Model!$G$5:$G$191,MATCH('Crisis Simulator'!$B$4&amp;"|"&amp;$C49,_TECH_Crisis_Model!$I$5:$I$191,0)),"")</f>
        <v>Stress-test ICP, offering, pricing, channels and market focus under the selected crisis.</v>
      </c>
      <c r="AH49" s="48" t="str">
        <f>IFERROR(INDEX(_TECH_Initiative_Library!$A$5:$A$76,MATCH(1,INDEX((_TECH_Initiative_Library!$B$5:$B$76=$C49)*(_TECH_Initiative_Library!$C$5:$C$76=$D49),0),0)),"")</f>
        <v>INI-007</v>
      </c>
      <c r="AI49" s="48" t="str">
        <f>IFERROR(INDEX(_TECH_Initiative_Library!$F$5:$F$76,MATCH(1,INDEX((_TECH_Initiative_Library!$B$5:$B$76=$C49)*(_TECH_Initiative_Library!$C$5:$C$76=$D49),0),0)),"")</f>
        <v>Build resilient GTM execution cadence and channel plan</v>
      </c>
      <c r="AJ49" s="48" t="str">
        <f ca="1">IFERROR(INDEX(_TECH_Initiative_Library!$AC$5:$AC$76,MATCH(1,INDEX((_TECH_Initiative_Library!$B$5:$B$76=$C49)*(_TECH_Initiative_Library!$C$5:$C$76=$D49),0),0)),"")</f>
        <v/>
      </c>
      <c r="AK49" s="48" t="str">
        <f ca="1">IFERROR(INDEX(_TECH_Initiative_Library!$AE$5:$AE$76,MATCH(1,INDEX((_TECH_Initiative_Library!$B$5:$B$76=$C49)*(_TECH_Initiative_Library!$C$5:$C$76=$D49),0),0)),"")</f>
        <v/>
      </c>
      <c r="AL49" s="48" t="str">
        <f>IF($B49="Yes",IFERROR(SUMIFS(_TECH_Industry_Templates!$E:$E,_TECH_Industry_Templates!$A:$A,'Company Profile'!$B$9,_TECH_Industry_Templates!$B:$B,$C49),1),"")</f>
        <v/>
      </c>
      <c r="AM49" s="48" t="str">
        <f t="shared" si="9"/>
        <v/>
      </c>
      <c r="AN49" s="48" t="str">
        <f>IF($AM49="","",RANK.EQ($AM49,$AM$8:$AM$414,0)+COUNTIF($AM$8:$AM49,$AM49)-1)</f>
        <v/>
      </c>
    </row>
    <row r="50" spans="1:40" ht="71.25">
      <c r="A50" s="28" t="str">
        <f>IF($AM50="","",RANK.EQ($AM50,$AM$8:$AM$414,0)+COUNTIF($AM$8:$AM50,$AM50)-1)</f>
        <v/>
      </c>
      <c r="B50" s="7" t="str">
        <f t="shared" si="0"/>
        <v/>
      </c>
      <c r="C50" s="7" t="s">
        <v>57</v>
      </c>
      <c r="D50" s="7" t="s">
        <v>1067</v>
      </c>
      <c r="E50" s="7" t="s">
        <v>2281</v>
      </c>
      <c r="F50" s="7" t="s">
        <v>2282</v>
      </c>
      <c r="G50" s="28" t="str">
        <f>IF(OR(COUNTA('Strategy GTM'!$H$27)=0,'Strategy GTM'!$H$27="N/A"),"",VALUE('Strategy GTM'!$H$27))</f>
        <v/>
      </c>
      <c r="H50" s="7" t="str">
        <f t="shared" si="1"/>
        <v/>
      </c>
      <c r="I50" s="7" t="str">
        <f>IF($G50="","",IFERROR(IF('Strategy GTM'!$L$27="",IF($G50&lt;=1,"Critical",IF($G50=2,"High",IF($G50=3,"Medium",IF($G50=4,"Low","Optimized")))),'Strategy GTM'!$L$27),IF($G50&lt;=1,"Critical",IF($G50=2,"High",IF($G50=3,"Medium",IF($G50=4,"Low","Optimized"))))))</f>
        <v/>
      </c>
      <c r="J50" s="7" t="str">
        <f>IF($G50="","",IFERROR(INDEX('Recommendation Matrix'!$E$5:$J$411,MATCH($E50,'Recommendation Matrix'!$A$5:$A$411,0),$G50+1),""))</f>
        <v/>
      </c>
      <c r="K50" s="7" t="str">
        <f>IF($G50="","",IFERROR(VLOOKUP($E50,'Recommendation Matrix'!$A$5:$K$411,11,FALSE),""))</f>
        <v/>
      </c>
      <c r="L50" s="28" t="str">
        <f t="shared" si="2"/>
        <v/>
      </c>
      <c r="M50" s="28" t="str">
        <f>IF($G50="","",IFERROR(INDEX('Recommendation Matrix'!$L$5:$Q$411,MATCH($E50,'Recommendation Matrix'!$A$5:$A$411,0),$G50+1),""))</f>
        <v/>
      </c>
      <c r="N50" s="28" t="str">
        <f t="shared" si="3"/>
        <v/>
      </c>
      <c r="O50" s="28" t="str">
        <f t="shared" si="4"/>
        <v/>
      </c>
      <c r="P50" s="28" t="str">
        <f t="shared" si="5"/>
        <v/>
      </c>
      <c r="Q50" s="28" t="str">
        <f t="shared" si="6"/>
        <v/>
      </c>
      <c r="R50" s="8" t="str">
        <f t="shared" si="7"/>
        <v/>
      </c>
      <c r="S50" s="28">
        <f>IFERROR('Strategy GTM'!$G$27,"")</f>
        <v>4</v>
      </c>
      <c r="T50" s="28">
        <f>IFERROR('Strategy GTM'!$W$27,"")</f>
        <v>4</v>
      </c>
      <c r="U50" s="28">
        <f>IFERROR('Strategy GTM'!$X$27,"")</f>
        <v>5</v>
      </c>
      <c r="V50" s="28">
        <f>IFERROR('Strategy GTM'!$Y$27,"")</f>
        <v>5</v>
      </c>
      <c r="W50" s="7" t="s">
        <v>2068</v>
      </c>
      <c r="X50" s="7" t="s">
        <v>2069</v>
      </c>
      <c r="Y50" s="7" t="s">
        <v>2283</v>
      </c>
      <c r="Z50" s="7">
        <f>IFERROR('Strategy GTM'!$U$27,"")</f>
        <v>0</v>
      </c>
      <c r="AA50" s="7"/>
      <c r="AB50" s="29"/>
      <c r="AC50" s="7"/>
      <c r="AD50" s="48" t="str">
        <f>IF($B50="Yes",IFERROR(SUMIFS(_TECH_Crisis_Model!$D$5:$D$191,_TECH_Crisis_Model!$A$5:$A$191,'Crisis Simulator'!$B$4,_TECH_Crisis_Model!$B$5:$B$191,$C50),1),"")</f>
        <v/>
      </c>
      <c r="AE50" s="48" t="str">
        <f t="shared" si="8"/>
        <v/>
      </c>
      <c r="AF50" s="48" t="str">
        <f>IFERROR(INDEX(_TECH_Crisis_Model!$E$5:$E$191,MATCH('Crisis Simulator'!$B$4&amp;"|"&amp;$C50,_TECH_Crisis_Model!$I$5:$I$191,0)),"")</f>
        <v>Market positioning, ICP clarity and offer structure determine whether the company can adapt revenue during crisis.</v>
      </c>
      <c r="AG50" s="48" t="str">
        <f>IFERROR(INDEX(_TECH_Crisis_Model!$G$5:$G$191,MATCH('Crisis Simulator'!$B$4&amp;"|"&amp;$C50,_TECH_Crisis_Model!$I$5:$I$191,0)),"")</f>
        <v>Stress-test ICP, offering, pricing, channels and market focus under the selected crisis.</v>
      </c>
      <c r="AH50" s="48" t="str">
        <f>IFERROR(INDEX(_TECH_Initiative_Library!$A$5:$A$76,MATCH(1,INDEX((_TECH_Initiative_Library!$B$5:$B$76=$C50)*(_TECH_Initiative_Library!$C$5:$C$76=$D50),0),0)),"")</f>
        <v>INI-007</v>
      </c>
      <c r="AI50" s="48" t="str">
        <f>IFERROR(INDEX(_TECH_Initiative_Library!$F$5:$F$76,MATCH(1,INDEX((_TECH_Initiative_Library!$B$5:$B$76=$C50)*(_TECH_Initiative_Library!$C$5:$C$76=$D50),0),0)),"")</f>
        <v>Build resilient GTM execution cadence and channel plan</v>
      </c>
      <c r="AJ50" s="48" t="str">
        <f ca="1">IFERROR(INDEX(_TECH_Initiative_Library!$AC$5:$AC$76,MATCH(1,INDEX((_TECH_Initiative_Library!$B$5:$B$76=$C50)*(_TECH_Initiative_Library!$C$5:$C$76=$D50),0),0)),"")</f>
        <v/>
      </c>
      <c r="AK50" s="48" t="str">
        <f ca="1">IFERROR(INDEX(_TECH_Initiative_Library!$AE$5:$AE$76,MATCH(1,INDEX((_TECH_Initiative_Library!$B$5:$B$76=$C50)*(_TECH_Initiative_Library!$C$5:$C$76=$D50),0),0)),"")</f>
        <v/>
      </c>
      <c r="AL50" s="48" t="str">
        <f>IF($B50="Yes",IFERROR(SUMIFS(_TECH_Industry_Templates!$E:$E,_TECH_Industry_Templates!$A:$A,'Company Profile'!$B$9,_TECH_Industry_Templates!$B:$B,$C50),1),"")</f>
        <v/>
      </c>
      <c r="AM50" s="48" t="str">
        <f t="shared" si="9"/>
        <v/>
      </c>
      <c r="AN50" s="48" t="str">
        <f>IF($AM50="","",RANK.EQ($AM50,$AM$8:$AM$414,0)+COUNTIF($AM$8:$AM50,$AM50)-1)</f>
        <v/>
      </c>
    </row>
    <row r="51" spans="1:40" ht="85.5">
      <c r="A51" s="28" t="str">
        <f>IF($AM51="","",RANK.EQ($AM51,$AM$8:$AM$414,0)+COUNTIF($AM$8:$AM51,$AM51)-1)</f>
        <v/>
      </c>
      <c r="B51" s="7" t="str">
        <f t="shared" si="0"/>
        <v/>
      </c>
      <c r="C51" s="7" t="s">
        <v>57</v>
      </c>
      <c r="D51" s="7" t="s">
        <v>1067</v>
      </c>
      <c r="E51" s="7" t="s">
        <v>2291</v>
      </c>
      <c r="F51" s="7" t="s">
        <v>2292</v>
      </c>
      <c r="G51" s="28" t="str">
        <f>IF(OR(COUNTA('Strategy GTM'!$H$28)=0,'Strategy GTM'!$H$28="N/A"),"",VALUE('Strategy GTM'!$H$28))</f>
        <v/>
      </c>
      <c r="H51" s="7" t="str">
        <f t="shared" si="1"/>
        <v/>
      </c>
      <c r="I51" s="7" t="str">
        <f>IF($G51="","",IFERROR(IF('Strategy GTM'!$L$28="",IF($G51&lt;=1,"Critical",IF($G51=2,"High",IF($G51=3,"Medium",IF($G51=4,"Low","Optimized")))),'Strategy GTM'!$L$28),IF($G51&lt;=1,"Critical",IF($G51=2,"High",IF($G51=3,"Medium",IF($G51=4,"Low","Optimized"))))))</f>
        <v/>
      </c>
      <c r="J51" s="7" t="str">
        <f>IF($G51="","",IFERROR(INDEX('Recommendation Matrix'!$E$5:$J$411,MATCH($E51,'Recommendation Matrix'!$A$5:$A$411,0),$G51+1),""))</f>
        <v/>
      </c>
      <c r="K51" s="7" t="str">
        <f>IF($G51="","",IFERROR(VLOOKUP($E51,'Recommendation Matrix'!$A$5:$K$411,11,FALSE),""))</f>
        <v/>
      </c>
      <c r="L51" s="28" t="str">
        <f t="shared" si="2"/>
        <v/>
      </c>
      <c r="M51" s="28" t="str">
        <f>IF($G51="","",IFERROR(INDEX('Recommendation Matrix'!$L$5:$Q$411,MATCH($E51,'Recommendation Matrix'!$A$5:$A$411,0),$G51+1),""))</f>
        <v/>
      </c>
      <c r="N51" s="28" t="str">
        <f t="shared" si="3"/>
        <v/>
      </c>
      <c r="O51" s="28" t="str">
        <f t="shared" si="4"/>
        <v/>
      </c>
      <c r="P51" s="28" t="str">
        <f t="shared" si="5"/>
        <v/>
      </c>
      <c r="Q51" s="28" t="str">
        <f t="shared" si="6"/>
        <v/>
      </c>
      <c r="R51" s="8" t="str">
        <f t="shared" si="7"/>
        <v/>
      </c>
      <c r="S51" s="28">
        <f>IFERROR('Strategy GTM'!$G$28,"")</f>
        <v>4</v>
      </c>
      <c r="T51" s="28">
        <f>IFERROR('Strategy GTM'!$W$28,"")</f>
        <v>4</v>
      </c>
      <c r="U51" s="28">
        <f>IFERROR('Strategy GTM'!$X$28,"")</f>
        <v>5</v>
      </c>
      <c r="V51" s="28">
        <f>IFERROR('Strategy GTM'!$Y$28,"")</f>
        <v>5</v>
      </c>
      <c r="W51" s="7" t="s">
        <v>2068</v>
      </c>
      <c r="X51" s="7" t="s">
        <v>2069</v>
      </c>
      <c r="Y51" s="7" t="s">
        <v>2293</v>
      </c>
      <c r="Z51" s="7">
        <f>IFERROR('Strategy GTM'!$U$28,"")</f>
        <v>0</v>
      </c>
      <c r="AA51" s="7"/>
      <c r="AB51" s="29"/>
      <c r="AC51" s="7"/>
      <c r="AD51" s="48" t="str">
        <f>IF($B51="Yes",IFERROR(SUMIFS(_TECH_Crisis_Model!$D$5:$D$191,_TECH_Crisis_Model!$A$5:$A$191,'Crisis Simulator'!$B$4,_TECH_Crisis_Model!$B$5:$B$191,$C51),1),"")</f>
        <v/>
      </c>
      <c r="AE51" s="48" t="str">
        <f t="shared" si="8"/>
        <v/>
      </c>
      <c r="AF51" s="48" t="str">
        <f>IFERROR(INDEX(_TECH_Crisis_Model!$E$5:$E$191,MATCH('Crisis Simulator'!$B$4&amp;"|"&amp;$C51,_TECH_Crisis_Model!$I$5:$I$191,0)),"")</f>
        <v>Market positioning, ICP clarity and offer structure determine whether the company can adapt revenue during crisis.</v>
      </c>
      <c r="AG51" s="48" t="str">
        <f>IFERROR(INDEX(_TECH_Crisis_Model!$G$5:$G$191,MATCH('Crisis Simulator'!$B$4&amp;"|"&amp;$C51,_TECH_Crisis_Model!$I$5:$I$191,0)),"")</f>
        <v>Stress-test ICP, offering, pricing, channels and market focus under the selected crisis.</v>
      </c>
      <c r="AH51" s="48" t="str">
        <f>IFERROR(INDEX(_TECH_Initiative_Library!$A$5:$A$76,MATCH(1,INDEX((_TECH_Initiative_Library!$B$5:$B$76=$C51)*(_TECH_Initiative_Library!$C$5:$C$76=$D51),0),0)),"")</f>
        <v>INI-007</v>
      </c>
      <c r="AI51" s="48" t="str">
        <f>IFERROR(INDEX(_TECH_Initiative_Library!$F$5:$F$76,MATCH(1,INDEX((_TECH_Initiative_Library!$B$5:$B$76=$C51)*(_TECH_Initiative_Library!$C$5:$C$76=$D51),0),0)),"")</f>
        <v>Build resilient GTM execution cadence and channel plan</v>
      </c>
      <c r="AJ51" s="48" t="str">
        <f ca="1">IFERROR(INDEX(_TECH_Initiative_Library!$AC$5:$AC$76,MATCH(1,INDEX((_TECH_Initiative_Library!$B$5:$B$76=$C51)*(_TECH_Initiative_Library!$C$5:$C$76=$D51),0),0)),"")</f>
        <v/>
      </c>
      <c r="AK51" s="48" t="str">
        <f ca="1">IFERROR(INDEX(_TECH_Initiative_Library!$AE$5:$AE$76,MATCH(1,INDEX((_TECH_Initiative_Library!$B$5:$B$76=$C51)*(_TECH_Initiative_Library!$C$5:$C$76=$D51),0),0)),"")</f>
        <v/>
      </c>
      <c r="AL51" s="48" t="str">
        <f>IF($B51="Yes",IFERROR(SUMIFS(_TECH_Industry_Templates!$E:$E,_TECH_Industry_Templates!$A:$A,'Company Profile'!$B$9,_TECH_Industry_Templates!$B:$B,$C51),1),"")</f>
        <v/>
      </c>
      <c r="AM51" s="48" t="str">
        <f t="shared" si="9"/>
        <v/>
      </c>
      <c r="AN51" s="48" t="str">
        <f>IF($AM51="","",RANK.EQ($AM51,$AM$8:$AM$414,0)+COUNTIF($AM$8:$AM51,$AM51)-1)</f>
        <v/>
      </c>
    </row>
    <row r="52" spans="1:40" ht="85.5">
      <c r="A52" s="28" t="str">
        <f>IF($AM52="","",RANK.EQ($AM52,$AM$8:$AM$414,0)+COUNTIF($AM$8:$AM52,$AM52)-1)</f>
        <v/>
      </c>
      <c r="B52" s="7" t="str">
        <f t="shared" si="0"/>
        <v/>
      </c>
      <c r="C52" s="7" t="s">
        <v>60</v>
      </c>
      <c r="D52" s="7" t="s">
        <v>1075</v>
      </c>
      <c r="E52" s="7" t="s">
        <v>2303</v>
      </c>
      <c r="F52" s="7" t="s">
        <v>2304</v>
      </c>
      <c r="G52" s="28" t="str">
        <f>IF(OR(COUNTA('Governance Crisis'!$H$5)=0,'Governance Crisis'!$H$5="N/A"),"",VALUE('Governance Crisis'!$H$5))</f>
        <v/>
      </c>
      <c r="H52" s="7" t="str">
        <f t="shared" si="1"/>
        <v/>
      </c>
      <c r="I52" s="7" t="str">
        <f>IF($G52="","",IFERROR(IF('Governance Crisis'!$L$5="",IF($G52&lt;=1,"Critical",IF($G52=2,"High",IF($G52=3,"Medium",IF($G52=4,"Low","Optimized")))),'Governance Crisis'!$L$5),IF($G52&lt;=1,"Critical",IF($G52=2,"High",IF($G52=3,"Medium",IF($G52=4,"Low","Optimized"))))))</f>
        <v/>
      </c>
      <c r="J52" s="7" t="str">
        <f>IF($G52="","",IFERROR(INDEX('Recommendation Matrix'!$E$5:$J$411,MATCH($E52,'Recommendation Matrix'!$A$5:$A$411,0),$G52+1),""))</f>
        <v/>
      </c>
      <c r="K52" s="7" t="str">
        <f>IF($G52="","",IFERROR(VLOOKUP($E52,'Recommendation Matrix'!$A$5:$K$411,11,FALSE),""))</f>
        <v/>
      </c>
      <c r="L52" s="28" t="str">
        <f t="shared" si="2"/>
        <v/>
      </c>
      <c r="M52" s="28" t="str">
        <f>IF($G52="","",IFERROR(INDEX('Recommendation Matrix'!$L$5:$Q$411,MATCH($E52,'Recommendation Matrix'!$A$5:$A$411,0),$G52+1),""))</f>
        <v/>
      </c>
      <c r="N52" s="28" t="str">
        <f t="shared" si="3"/>
        <v/>
      </c>
      <c r="O52" s="28" t="str">
        <f t="shared" si="4"/>
        <v/>
      </c>
      <c r="P52" s="28" t="str">
        <f t="shared" si="5"/>
        <v/>
      </c>
      <c r="Q52" s="28" t="str">
        <f t="shared" si="6"/>
        <v/>
      </c>
      <c r="R52" s="8" t="str">
        <f t="shared" si="7"/>
        <v/>
      </c>
      <c r="S52" s="28">
        <f>IFERROR('Governance Crisis'!$G$5,"")</f>
        <v>5</v>
      </c>
      <c r="T52" s="28">
        <f>IFERROR('Governance Crisis'!$W$5,"")</f>
        <v>4</v>
      </c>
      <c r="U52" s="28">
        <f>IFERROR('Governance Crisis'!$X$5,"")</f>
        <v>5</v>
      </c>
      <c r="V52" s="28">
        <f>IFERROR('Governance Crisis'!$Y$5,"")</f>
        <v>5</v>
      </c>
      <c r="W52" s="7" t="s">
        <v>2314</v>
      </c>
      <c r="X52" s="7" t="s">
        <v>1863</v>
      </c>
      <c r="Y52" s="7" t="s">
        <v>2307</v>
      </c>
      <c r="Z52" s="7">
        <f>IFERROR('Governance Crisis'!$U$5,"")</f>
        <v>0</v>
      </c>
      <c r="AA52" s="7"/>
      <c r="AB52" s="29"/>
      <c r="AC52" s="7"/>
      <c r="AD52" s="48" t="str">
        <f>IF($B52="Yes",IFERROR(SUMIFS(_TECH_Crisis_Model!$D$5:$D$191,_TECH_Crisis_Model!$A$5:$A$191,'Crisis Simulator'!$B$4,_TECH_Crisis_Model!$B$5:$B$191,$C52),1),"")</f>
        <v/>
      </c>
      <c r="AE52" s="48" t="str">
        <f t="shared" si="8"/>
        <v/>
      </c>
      <c r="AF52" s="48" t="str">
        <f>IFERROR(INDEX(_TECH_Crisis_Model!$E$5:$E$191,MATCH('Crisis Simulator'!$B$4&amp;"|"&amp;$C52,_TECH_Crisis_Model!$I$5:$I$191,0)),"")</f>
        <v>Decision rights, escalation and crisis governance determine response speed under pressure.</v>
      </c>
      <c r="AG52" s="48" t="str">
        <f>IFERROR(INDEX(_TECH_Crisis_Model!$G$5:$G$191,MATCH('Crisis Simulator'!$B$4&amp;"|"&amp;$C52,_TECH_Crisis_Model!$I$5:$I$191,0)),"")</f>
        <v>Define crisis roles, escalation path, decision cadence and management war room routines.</v>
      </c>
      <c r="AH52" s="48" t="str">
        <f>IFERROR(INDEX(_TECH_Initiative_Library!$A$5:$A$76,MATCH(1,INDEX((_TECH_Initiative_Library!$B$5:$B$76=$C52)*(_TECH_Initiative_Library!$C$5:$C$76=$D52),0),0)),"")</f>
        <v>INI-008</v>
      </c>
      <c r="AI52" s="48" t="str">
        <f>IFERROR(INDEX(_TECH_Initiative_Library!$F$5:$F$76,MATCH(1,INDEX((_TECH_Initiative_Library!$B$5:$B$76=$C52)*(_TECH_Initiative_Library!$C$5:$C$76=$D52),0),0)),"")</f>
        <v>Implement crisis governance, roles and escalation model</v>
      </c>
      <c r="AJ52" s="48" t="str">
        <f ca="1">IFERROR(INDEX(_TECH_Initiative_Library!$AC$5:$AC$76,MATCH(1,INDEX((_TECH_Initiative_Library!$B$5:$B$76=$C52)*(_TECH_Initiative_Library!$C$5:$C$76=$D52),0),0)),"")</f>
        <v/>
      </c>
      <c r="AK52" s="48" t="str">
        <f ca="1">IFERROR(INDEX(_TECH_Initiative_Library!$AE$5:$AE$76,MATCH(1,INDEX((_TECH_Initiative_Library!$B$5:$B$76=$C52)*(_TECH_Initiative_Library!$C$5:$C$76=$D52),0),0)),"")</f>
        <v/>
      </c>
      <c r="AL52" s="48" t="str">
        <f>IF($B52="Yes",IFERROR(SUMIFS(_TECH_Industry_Templates!$E:$E,_TECH_Industry_Templates!$A:$A,'Company Profile'!$B$9,_TECH_Industry_Templates!$B:$B,$C52),1),"")</f>
        <v/>
      </c>
      <c r="AM52" s="48" t="str">
        <f t="shared" si="9"/>
        <v/>
      </c>
      <c r="AN52" s="48" t="str">
        <f>IF($AM52="","",RANK.EQ($AM52,$AM$8:$AM$414,0)+COUNTIF($AM$8:$AM52,$AM52)-1)</f>
        <v/>
      </c>
    </row>
    <row r="53" spans="1:40" ht="71.25">
      <c r="A53" s="28" t="str">
        <f>IF($AM53="","",RANK.EQ($AM53,$AM$8:$AM$414,0)+COUNTIF($AM$8:$AM53,$AM53)-1)</f>
        <v/>
      </c>
      <c r="B53" s="7" t="str">
        <f t="shared" si="0"/>
        <v/>
      </c>
      <c r="C53" s="7" t="s">
        <v>60</v>
      </c>
      <c r="D53" s="7" t="s">
        <v>1075</v>
      </c>
      <c r="E53" s="7" t="s">
        <v>2316</v>
      </c>
      <c r="F53" s="7" t="s">
        <v>2317</v>
      </c>
      <c r="G53" s="28" t="str">
        <f>IF(OR(COUNTA('Governance Crisis'!$H$6)=0,'Governance Crisis'!$H$6="N/A"),"",VALUE('Governance Crisis'!$H$6))</f>
        <v/>
      </c>
      <c r="H53" s="7" t="str">
        <f t="shared" si="1"/>
        <v/>
      </c>
      <c r="I53" s="7" t="str">
        <f>IF($G53="","",IFERROR(IF('Governance Crisis'!$L$6="",IF($G53&lt;=1,"Critical",IF($G53=2,"High",IF($G53=3,"Medium",IF($G53=4,"Low","Optimized")))),'Governance Crisis'!$L$6),IF($G53&lt;=1,"Critical",IF($G53=2,"High",IF($G53=3,"Medium",IF($G53=4,"Low","Optimized"))))))</f>
        <v/>
      </c>
      <c r="J53" s="7" t="str">
        <f>IF($G53="","",IFERROR(INDEX('Recommendation Matrix'!$E$5:$J$411,MATCH($E53,'Recommendation Matrix'!$A$5:$A$411,0),$G53+1),""))</f>
        <v/>
      </c>
      <c r="K53" s="7" t="str">
        <f>IF($G53="","",IFERROR(VLOOKUP($E53,'Recommendation Matrix'!$A$5:$K$411,11,FALSE),""))</f>
        <v/>
      </c>
      <c r="L53" s="28" t="str">
        <f t="shared" si="2"/>
        <v/>
      </c>
      <c r="M53" s="28" t="str">
        <f>IF($G53="","",IFERROR(INDEX('Recommendation Matrix'!$L$5:$Q$411,MATCH($E53,'Recommendation Matrix'!$A$5:$A$411,0),$G53+1),""))</f>
        <v/>
      </c>
      <c r="N53" s="28" t="str">
        <f t="shared" si="3"/>
        <v/>
      </c>
      <c r="O53" s="28" t="str">
        <f t="shared" si="4"/>
        <v/>
      </c>
      <c r="P53" s="28" t="str">
        <f t="shared" si="5"/>
        <v/>
      </c>
      <c r="Q53" s="28" t="str">
        <f t="shared" si="6"/>
        <v/>
      </c>
      <c r="R53" s="8" t="str">
        <f t="shared" si="7"/>
        <v/>
      </c>
      <c r="S53" s="28">
        <f>IFERROR('Governance Crisis'!$G$6,"")</f>
        <v>5</v>
      </c>
      <c r="T53" s="28">
        <f>IFERROR('Governance Crisis'!$W$6,"")</f>
        <v>4</v>
      </c>
      <c r="U53" s="28">
        <f>IFERROR('Governance Crisis'!$X$6,"")</f>
        <v>5</v>
      </c>
      <c r="V53" s="28">
        <f>IFERROR('Governance Crisis'!$Y$6,"")</f>
        <v>5</v>
      </c>
      <c r="W53" s="7" t="s">
        <v>2314</v>
      </c>
      <c r="X53" s="7" t="s">
        <v>1863</v>
      </c>
      <c r="Y53" s="7" t="s">
        <v>2318</v>
      </c>
      <c r="Z53" s="7">
        <f>IFERROR('Governance Crisis'!$U$6,"")</f>
        <v>0</v>
      </c>
      <c r="AA53" s="7"/>
      <c r="AB53" s="29"/>
      <c r="AC53" s="7"/>
      <c r="AD53" s="48" t="str">
        <f>IF($B53="Yes",IFERROR(SUMIFS(_TECH_Crisis_Model!$D$5:$D$191,_TECH_Crisis_Model!$A$5:$A$191,'Crisis Simulator'!$B$4,_TECH_Crisis_Model!$B$5:$B$191,$C53),1),"")</f>
        <v/>
      </c>
      <c r="AE53" s="48" t="str">
        <f t="shared" si="8"/>
        <v/>
      </c>
      <c r="AF53" s="48" t="str">
        <f>IFERROR(INDEX(_TECH_Crisis_Model!$E$5:$E$191,MATCH('Crisis Simulator'!$B$4&amp;"|"&amp;$C53,_TECH_Crisis_Model!$I$5:$I$191,0)),"")</f>
        <v>Decision rights, escalation and crisis governance determine response speed under pressure.</v>
      </c>
      <c r="AG53" s="48" t="str">
        <f>IFERROR(INDEX(_TECH_Crisis_Model!$G$5:$G$191,MATCH('Crisis Simulator'!$B$4&amp;"|"&amp;$C53,_TECH_Crisis_Model!$I$5:$I$191,0)),"")</f>
        <v>Define crisis roles, escalation path, decision cadence and management war room routines.</v>
      </c>
      <c r="AH53" s="48" t="str">
        <f>IFERROR(INDEX(_TECH_Initiative_Library!$A$5:$A$76,MATCH(1,INDEX((_TECH_Initiative_Library!$B$5:$B$76=$C53)*(_TECH_Initiative_Library!$C$5:$C$76=$D53),0),0)),"")</f>
        <v>INI-008</v>
      </c>
      <c r="AI53" s="48" t="str">
        <f>IFERROR(INDEX(_TECH_Initiative_Library!$F$5:$F$76,MATCH(1,INDEX((_TECH_Initiative_Library!$B$5:$B$76=$C53)*(_TECH_Initiative_Library!$C$5:$C$76=$D53),0),0)),"")</f>
        <v>Implement crisis governance, roles and escalation model</v>
      </c>
      <c r="AJ53" s="48" t="str">
        <f ca="1">IFERROR(INDEX(_TECH_Initiative_Library!$AC$5:$AC$76,MATCH(1,INDEX((_TECH_Initiative_Library!$B$5:$B$76=$C53)*(_TECH_Initiative_Library!$C$5:$C$76=$D53),0),0)),"")</f>
        <v/>
      </c>
      <c r="AK53" s="48" t="str">
        <f ca="1">IFERROR(INDEX(_TECH_Initiative_Library!$AE$5:$AE$76,MATCH(1,INDEX((_TECH_Initiative_Library!$B$5:$B$76=$C53)*(_TECH_Initiative_Library!$C$5:$C$76=$D53),0),0)),"")</f>
        <v/>
      </c>
      <c r="AL53" s="48" t="str">
        <f>IF($B53="Yes",IFERROR(SUMIFS(_TECH_Industry_Templates!$E:$E,_TECH_Industry_Templates!$A:$A,'Company Profile'!$B$9,_TECH_Industry_Templates!$B:$B,$C53),1),"")</f>
        <v/>
      </c>
      <c r="AM53" s="48" t="str">
        <f t="shared" si="9"/>
        <v/>
      </c>
      <c r="AN53" s="48" t="str">
        <f>IF($AM53="","",RANK.EQ($AM53,$AM$8:$AM$414,0)+COUNTIF($AM$8:$AM53,$AM53)-1)</f>
        <v/>
      </c>
    </row>
    <row r="54" spans="1:40" ht="85.5">
      <c r="A54" s="28" t="str">
        <f>IF($AM54="","",RANK.EQ($AM54,$AM$8:$AM$414,0)+COUNTIF($AM$8:$AM54,$AM54)-1)</f>
        <v/>
      </c>
      <c r="B54" s="7" t="str">
        <f t="shared" si="0"/>
        <v/>
      </c>
      <c r="C54" s="7" t="s">
        <v>60</v>
      </c>
      <c r="D54" s="7" t="s">
        <v>1075</v>
      </c>
      <c r="E54" s="7" t="s">
        <v>2326</v>
      </c>
      <c r="F54" s="7" t="s">
        <v>2327</v>
      </c>
      <c r="G54" s="28" t="str">
        <f>IF(OR(COUNTA('Governance Crisis'!$H$7)=0,'Governance Crisis'!$H$7="N/A"),"",VALUE('Governance Crisis'!$H$7))</f>
        <v/>
      </c>
      <c r="H54" s="7" t="str">
        <f t="shared" si="1"/>
        <v/>
      </c>
      <c r="I54" s="7" t="str">
        <f>IF($G54="","",IFERROR(IF('Governance Crisis'!$L$7="",IF($G54&lt;=1,"Critical",IF($G54=2,"High",IF($G54=3,"Medium",IF($G54=4,"Low","Optimized")))),'Governance Crisis'!$L$7),IF($G54&lt;=1,"Critical",IF($G54=2,"High",IF($G54=3,"Medium",IF($G54=4,"Low","Optimized"))))))</f>
        <v/>
      </c>
      <c r="J54" s="7" t="str">
        <f>IF($G54="","",IFERROR(INDEX('Recommendation Matrix'!$E$5:$J$411,MATCH($E54,'Recommendation Matrix'!$A$5:$A$411,0),$G54+1),""))</f>
        <v/>
      </c>
      <c r="K54" s="7" t="str">
        <f>IF($G54="","",IFERROR(VLOOKUP($E54,'Recommendation Matrix'!$A$5:$K$411,11,FALSE),""))</f>
        <v/>
      </c>
      <c r="L54" s="28" t="str">
        <f t="shared" si="2"/>
        <v/>
      </c>
      <c r="M54" s="28" t="str">
        <f>IF($G54="","",IFERROR(INDEX('Recommendation Matrix'!$L$5:$Q$411,MATCH($E54,'Recommendation Matrix'!$A$5:$A$411,0),$G54+1),""))</f>
        <v/>
      </c>
      <c r="N54" s="28" t="str">
        <f t="shared" si="3"/>
        <v/>
      </c>
      <c r="O54" s="28" t="str">
        <f t="shared" si="4"/>
        <v/>
      </c>
      <c r="P54" s="28" t="str">
        <f t="shared" si="5"/>
        <v/>
      </c>
      <c r="Q54" s="28" t="str">
        <f t="shared" si="6"/>
        <v/>
      </c>
      <c r="R54" s="8" t="str">
        <f t="shared" si="7"/>
        <v/>
      </c>
      <c r="S54" s="28">
        <f>IFERROR('Governance Crisis'!$G$7,"")</f>
        <v>5</v>
      </c>
      <c r="T54" s="28">
        <f>IFERROR('Governance Crisis'!$W$7,"")</f>
        <v>4</v>
      </c>
      <c r="U54" s="28">
        <f>IFERROR('Governance Crisis'!$X$7,"")</f>
        <v>5</v>
      </c>
      <c r="V54" s="28">
        <f>IFERROR('Governance Crisis'!$Y$7,"")</f>
        <v>5</v>
      </c>
      <c r="W54" s="7" t="s">
        <v>2314</v>
      </c>
      <c r="X54" s="7" t="s">
        <v>1863</v>
      </c>
      <c r="Y54" s="7" t="s">
        <v>2328</v>
      </c>
      <c r="Z54" s="7">
        <f>IFERROR('Governance Crisis'!$U$7,"")</f>
        <v>0</v>
      </c>
      <c r="AA54" s="7"/>
      <c r="AB54" s="29"/>
      <c r="AC54" s="7"/>
      <c r="AD54" s="48" t="str">
        <f>IF($B54="Yes",IFERROR(SUMIFS(_TECH_Crisis_Model!$D$5:$D$191,_TECH_Crisis_Model!$A$5:$A$191,'Crisis Simulator'!$B$4,_TECH_Crisis_Model!$B$5:$B$191,$C54),1),"")</f>
        <v/>
      </c>
      <c r="AE54" s="48" t="str">
        <f t="shared" si="8"/>
        <v/>
      </c>
      <c r="AF54" s="48" t="str">
        <f>IFERROR(INDEX(_TECH_Crisis_Model!$E$5:$E$191,MATCH('Crisis Simulator'!$B$4&amp;"|"&amp;$C54,_TECH_Crisis_Model!$I$5:$I$191,0)),"")</f>
        <v>Decision rights, escalation and crisis governance determine response speed under pressure.</v>
      </c>
      <c r="AG54" s="48" t="str">
        <f>IFERROR(INDEX(_TECH_Crisis_Model!$G$5:$G$191,MATCH('Crisis Simulator'!$B$4&amp;"|"&amp;$C54,_TECH_Crisis_Model!$I$5:$I$191,0)),"")</f>
        <v>Define crisis roles, escalation path, decision cadence and management war room routines.</v>
      </c>
      <c r="AH54" s="48" t="str">
        <f>IFERROR(INDEX(_TECH_Initiative_Library!$A$5:$A$76,MATCH(1,INDEX((_TECH_Initiative_Library!$B$5:$B$76=$C54)*(_TECH_Initiative_Library!$C$5:$C$76=$D54),0),0)),"")</f>
        <v>INI-008</v>
      </c>
      <c r="AI54" s="48" t="str">
        <f>IFERROR(INDEX(_TECH_Initiative_Library!$F$5:$F$76,MATCH(1,INDEX((_TECH_Initiative_Library!$B$5:$B$76=$C54)*(_TECH_Initiative_Library!$C$5:$C$76=$D54),0),0)),"")</f>
        <v>Implement crisis governance, roles and escalation model</v>
      </c>
      <c r="AJ54" s="48" t="str">
        <f ca="1">IFERROR(INDEX(_TECH_Initiative_Library!$AC$5:$AC$76,MATCH(1,INDEX((_TECH_Initiative_Library!$B$5:$B$76=$C54)*(_TECH_Initiative_Library!$C$5:$C$76=$D54),0),0)),"")</f>
        <v/>
      </c>
      <c r="AK54" s="48" t="str">
        <f ca="1">IFERROR(INDEX(_TECH_Initiative_Library!$AE$5:$AE$76,MATCH(1,INDEX((_TECH_Initiative_Library!$B$5:$B$76=$C54)*(_TECH_Initiative_Library!$C$5:$C$76=$D54),0),0)),"")</f>
        <v/>
      </c>
      <c r="AL54" s="48" t="str">
        <f>IF($B54="Yes",IFERROR(SUMIFS(_TECH_Industry_Templates!$E:$E,_TECH_Industry_Templates!$A:$A,'Company Profile'!$B$9,_TECH_Industry_Templates!$B:$B,$C54),1),"")</f>
        <v/>
      </c>
      <c r="AM54" s="48" t="str">
        <f t="shared" si="9"/>
        <v/>
      </c>
      <c r="AN54" s="48" t="str">
        <f>IF($AM54="","",RANK.EQ($AM54,$AM$8:$AM$414,0)+COUNTIF($AM$8:$AM54,$AM54)-1)</f>
        <v/>
      </c>
    </row>
    <row r="55" spans="1:40" ht="71.25">
      <c r="A55" s="28" t="str">
        <f>IF($AM55="","",RANK.EQ($AM55,$AM$8:$AM$414,0)+COUNTIF($AM$8:$AM55,$AM55)-1)</f>
        <v/>
      </c>
      <c r="B55" s="7" t="str">
        <f t="shared" si="0"/>
        <v/>
      </c>
      <c r="C55" s="7" t="s">
        <v>60</v>
      </c>
      <c r="D55" s="7" t="s">
        <v>1075</v>
      </c>
      <c r="E55" s="7" t="s">
        <v>2336</v>
      </c>
      <c r="F55" s="7" t="s">
        <v>2337</v>
      </c>
      <c r="G55" s="28" t="str">
        <f>IF(OR(COUNTA('Governance Crisis'!$H$8)=0,'Governance Crisis'!$H$8="N/A"),"",VALUE('Governance Crisis'!$H$8))</f>
        <v/>
      </c>
      <c r="H55" s="7" t="str">
        <f t="shared" si="1"/>
        <v/>
      </c>
      <c r="I55" s="7" t="str">
        <f>IF($G55="","",IFERROR(IF('Governance Crisis'!$L$8="",IF($G55&lt;=1,"Critical",IF($G55=2,"High",IF($G55=3,"Medium",IF($G55=4,"Low","Optimized")))),'Governance Crisis'!$L$8),IF($G55&lt;=1,"Critical",IF($G55=2,"High",IF($G55=3,"Medium",IF($G55=4,"Low","Optimized"))))))</f>
        <v/>
      </c>
      <c r="J55" s="7" t="str">
        <f>IF($G55="","",IFERROR(INDEX('Recommendation Matrix'!$E$5:$J$411,MATCH($E55,'Recommendation Matrix'!$A$5:$A$411,0),$G55+1),""))</f>
        <v/>
      </c>
      <c r="K55" s="7" t="str">
        <f>IF($G55="","",IFERROR(VLOOKUP($E55,'Recommendation Matrix'!$A$5:$K$411,11,FALSE),""))</f>
        <v/>
      </c>
      <c r="L55" s="28" t="str">
        <f t="shared" si="2"/>
        <v/>
      </c>
      <c r="M55" s="28" t="str">
        <f>IF($G55="","",IFERROR(INDEX('Recommendation Matrix'!$L$5:$Q$411,MATCH($E55,'Recommendation Matrix'!$A$5:$A$411,0),$G55+1),""))</f>
        <v/>
      </c>
      <c r="N55" s="28" t="str">
        <f t="shared" si="3"/>
        <v/>
      </c>
      <c r="O55" s="28" t="str">
        <f t="shared" si="4"/>
        <v/>
      </c>
      <c r="P55" s="28" t="str">
        <f t="shared" si="5"/>
        <v/>
      </c>
      <c r="Q55" s="28" t="str">
        <f t="shared" si="6"/>
        <v/>
      </c>
      <c r="R55" s="8" t="str">
        <f t="shared" si="7"/>
        <v/>
      </c>
      <c r="S55" s="28">
        <f>IFERROR('Governance Crisis'!$G$8,"")</f>
        <v>5</v>
      </c>
      <c r="T55" s="28">
        <f>IFERROR('Governance Crisis'!$W$8,"")</f>
        <v>4</v>
      </c>
      <c r="U55" s="28">
        <f>IFERROR('Governance Crisis'!$X$8,"")</f>
        <v>5</v>
      </c>
      <c r="V55" s="28">
        <f>IFERROR('Governance Crisis'!$Y$8,"")</f>
        <v>5</v>
      </c>
      <c r="W55" s="7" t="s">
        <v>2314</v>
      </c>
      <c r="X55" s="7" t="s">
        <v>1863</v>
      </c>
      <c r="Y55" s="7" t="s">
        <v>2338</v>
      </c>
      <c r="Z55" s="7">
        <f>IFERROR('Governance Crisis'!$U$8,"")</f>
        <v>0</v>
      </c>
      <c r="AA55" s="7"/>
      <c r="AB55" s="29"/>
      <c r="AC55" s="7"/>
      <c r="AD55" s="48" t="str">
        <f>IF($B55="Yes",IFERROR(SUMIFS(_TECH_Crisis_Model!$D$5:$D$191,_TECH_Crisis_Model!$A$5:$A$191,'Crisis Simulator'!$B$4,_TECH_Crisis_Model!$B$5:$B$191,$C55),1),"")</f>
        <v/>
      </c>
      <c r="AE55" s="48" t="str">
        <f t="shared" si="8"/>
        <v/>
      </c>
      <c r="AF55" s="48" t="str">
        <f>IFERROR(INDEX(_TECH_Crisis_Model!$E$5:$E$191,MATCH('Crisis Simulator'!$B$4&amp;"|"&amp;$C55,_TECH_Crisis_Model!$I$5:$I$191,0)),"")</f>
        <v>Decision rights, escalation and crisis governance determine response speed under pressure.</v>
      </c>
      <c r="AG55" s="48" t="str">
        <f>IFERROR(INDEX(_TECH_Crisis_Model!$G$5:$G$191,MATCH('Crisis Simulator'!$B$4&amp;"|"&amp;$C55,_TECH_Crisis_Model!$I$5:$I$191,0)),"")</f>
        <v>Define crisis roles, escalation path, decision cadence and management war room routines.</v>
      </c>
      <c r="AH55" s="48" t="str">
        <f>IFERROR(INDEX(_TECH_Initiative_Library!$A$5:$A$76,MATCH(1,INDEX((_TECH_Initiative_Library!$B$5:$B$76=$C55)*(_TECH_Initiative_Library!$C$5:$C$76=$D55),0),0)),"")</f>
        <v>INI-008</v>
      </c>
      <c r="AI55" s="48" t="str">
        <f>IFERROR(INDEX(_TECH_Initiative_Library!$F$5:$F$76,MATCH(1,INDEX((_TECH_Initiative_Library!$B$5:$B$76=$C55)*(_TECH_Initiative_Library!$C$5:$C$76=$D55),0),0)),"")</f>
        <v>Implement crisis governance, roles and escalation model</v>
      </c>
      <c r="AJ55" s="48" t="str">
        <f ca="1">IFERROR(INDEX(_TECH_Initiative_Library!$AC$5:$AC$76,MATCH(1,INDEX((_TECH_Initiative_Library!$B$5:$B$76=$C55)*(_TECH_Initiative_Library!$C$5:$C$76=$D55),0),0)),"")</f>
        <v/>
      </c>
      <c r="AK55" s="48" t="str">
        <f ca="1">IFERROR(INDEX(_TECH_Initiative_Library!$AE$5:$AE$76,MATCH(1,INDEX((_TECH_Initiative_Library!$B$5:$B$76=$C55)*(_TECH_Initiative_Library!$C$5:$C$76=$D55),0),0)),"")</f>
        <v/>
      </c>
      <c r="AL55" s="48" t="str">
        <f>IF($B55="Yes",IFERROR(SUMIFS(_TECH_Industry_Templates!$E:$E,_TECH_Industry_Templates!$A:$A,'Company Profile'!$B$9,_TECH_Industry_Templates!$B:$B,$C55),1),"")</f>
        <v/>
      </c>
      <c r="AM55" s="48" t="str">
        <f t="shared" si="9"/>
        <v/>
      </c>
      <c r="AN55" s="48" t="str">
        <f>IF($AM55="","",RANK.EQ($AM55,$AM$8:$AM$414,0)+COUNTIF($AM$8:$AM55,$AM55)-1)</f>
        <v/>
      </c>
    </row>
    <row r="56" spans="1:40" ht="71.25">
      <c r="A56" s="28" t="str">
        <f>IF($AM56="","",RANK.EQ($AM56,$AM$8:$AM$414,0)+COUNTIF($AM$8:$AM56,$AM56)-1)</f>
        <v/>
      </c>
      <c r="B56" s="7" t="str">
        <f t="shared" si="0"/>
        <v/>
      </c>
      <c r="C56" s="7" t="s">
        <v>60</v>
      </c>
      <c r="D56" s="7" t="s">
        <v>1075</v>
      </c>
      <c r="E56" s="7" t="s">
        <v>2346</v>
      </c>
      <c r="F56" s="7" t="s">
        <v>2347</v>
      </c>
      <c r="G56" s="28" t="str">
        <f>IF(OR(COUNTA('Governance Crisis'!$H$9)=0,'Governance Crisis'!$H$9="N/A"),"",VALUE('Governance Crisis'!$H$9))</f>
        <v/>
      </c>
      <c r="H56" s="7" t="str">
        <f t="shared" si="1"/>
        <v/>
      </c>
      <c r="I56" s="7" t="str">
        <f>IF($G56="","",IFERROR(IF('Governance Crisis'!$L$9="",IF($G56&lt;=1,"Critical",IF($G56=2,"High",IF($G56=3,"Medium",IF($G56=4,"Low","Optimized")))),'Governance Crisis'!$L$9),IF($G56&lt;=1,"Critical",IF($G56=2,"High",IF($G56=3,"Medium",IF($G56=4,"Low","Optimized"))))))</f>
        <v/>
      </c>
      <c r="J56" s="7" t="str">
        <f>IF($G56="","",IFERROR(INDEX('Recommendation Matrix'!$E$5:$J$411,MATCH($E56,'Recommendation Matrix'!$A$5:$A$411,0),$G56+1),""))</f>
        <v/>
      </c>
      <c r="K56" s="7" t="str">
        <f>IF($G56="","",IFERROR(VLOOKUP($E56,'Recommendation Matrix'!$A$5:$K$411,11,FALSE),""))</f>
        <v/>
      </c>
      <c r="L56" s="28" t="str">
        <f t="shared" si="2"/>
        <v/>
      </c>
      <c r="M56" s="28" t="str">
        <f>IF($G56="","",IFERROR(INDEX('Recommendation Matrix'!$L$5:$Q$411,MATCH($E56,'Recommendation Matrix'!$A$5:$A$411,0),$G56+1),""))</f>
        <v/>
      </c>
      <c r="N56" s="28" t="str">
        <f t="shared" si="3"/>
        <v/>
      </c>
      <c r="O56" s="28" t="str">
        <f t="shared" si="4"/>
        <v/>
      </c>
      <c r="P56" s="28" t="str">
        <f t="shared" si="5"/>
        <v/>
      </c>
      <c r="Q56" s="28" t="str">
        <f t="shared" si="6"/>
        <v/>
      </c>
      <c r="R56" s="8" t="str">
        <f t="shared" si="7"/>
        <v/>
      </c>
      <c r="S56" s="28">
        <f>IFERROR('Governance Crisis'!$G$9,"")</f>
        <v>5</v>
      </c>
      <c r="T56" s="28">
        <f>IFERROR('Governance Crisis'!$W$9,"")</f>
        <v>4</v>
      </c>
      <c r="U56" s="28">
        <f>IFERROR('Governance Crisis'!$X$9,"")</f>
        <v>5</v>
      </c>
      <c r="V56" s="28">
        <f>IFERROR('Governance Crisis'!$Y$9,"")</f>
        <v>5</v>
      </c>
      <c r="W56" s="7" t="s">
        <v>2314</v>
      </c>
      <c r="X56" s="7" t="s">
        <v>1863</v>
      </c>
      <c r="Y56" s="7" t="s">
        <v>2348</v>
      </c>
      <c r="Z56" s="7">
        <f>IFERROR('Governance Crisis'!$U$9,"")</f>
        <v>0</v>
      </c>
      <c r="AA56" s="7"/>
      <c r="AB56" s="29"/>
      <c r="AC56" s="7"/>
      <c r="AD56" s="48" t="str">
        <f>IF($B56="Yes",IFERROR(SUMIFS(_TECH_Crisis_Model!$D$5:$D$191,_TECH_Crisis_Model!$A$5:$A$191,'Crisis Simulator'!$B$4,_TECH_Crisis_Model!$B$5:$B$191,$C56),1),"")</f>
        <v/>
      </c>
      <c r="AE56" s="48" t="str">
        <f t="shared" si="8"/>
        <v/>
      </c>
      <c r="AF56" s="48" t="str">
        <f>IFERROR(INDEX(_TECH_Crisis_Model!$E$5:$E$191,MATCH('Crisis Simulator'!$B$4&amp;"|"&amp;$C56,_TECH_Crisis_Model!$I$5:$I$191,0)),"")</f>
        <v>Decision rights, escalation and crisis governance determine response speed under pressure.</v>
      </c>
      <c r="AG56" s="48" t="str">
        <f>IFERROR(INDEX(_TECH_Crisis_Model!$G$5:$G$191,MATCH('Crisis Simulator'!$B$4&amp;"|"&amp;$C56,_TECH_Crisis_Model!$I$5:$I$191,0)),"")</f>
        <v>Define crisis roles, escalation path, decision cadence and management war room routines.</v>
      </c>
      <c r="AH56" s="48" t="str">
        <f>IFERROR(INDEX(_TECH_Initiative_Library!$A$5:$A$76,MATCH(1,INDEX((_TECH_Initiative_Library!$B$5:$B$76=$C56)*(_TECH_Initiative_Library!$C$5:$C$76=$D56),0),0)),"")</f>
        <v>INI-008</v>
      </c>
      <c r="AI56" s="48" t="str">
        <f>IFERROR(INDEX(_TECH_Initiative_Library!$F$5:$F$76,MATCH(1,INDEX((_TECH_Initiative_Library!$B$5:$B$76=$C56)*(_TECH_Initiative_Library!$C$5:$C$76=$D56),0),0)),"")</f>
        <v>Implement crisis governance, roles and escalation model</v>
      </c>
      <c r="AJ56" s="48" t="str">
        <f ca="1">IFERROR(INDEX(_TECH_Initiative_Library!$AC$5:$AC$76,MATCH(1,INDEX((_TECH_Initiative_Library!$B$5:$B$76=$C56)*(_TECH_Initiative_Library!$C$5:$C$76=$D56),0),0)),"")</f>
        <v/>
      </c>
      <c r="AK56" s="48" t="str">
        <f ca="1">IFERROR(INDEX(_TECH_Initiative_Library!$AE$5:$AE$76,MATCH(1,INDEX((_TECH_Initiative_Library!$B$5:$B$76=$C56)*(_TECH_Initiative_Library!$C$5:$C$76=$D56),0),0)),"")</f>
        <v/>
      </c>
      <c r="AL56" s="48" t="str">
        <f>IF($B56="Yes",IFERROR(SUMIFS(_TECH_Industry_Templates!$E:$E,_TECH_Industry_Templates!$A:$A,'Company Profile'!$B$9,_TECH_Industry_Templates!$B:$B,$C56),1),"")</f>
        <v/>
      </c>
      <c r="AM56" s="48" t="str">
        <f t="shared" si="9"/>
        <v/>
      </c>
      <c r="AN56" s="48" t="str">
        <f>IF($AM56="","",RANK.EQ($AM56,$AM$8:$AM$414,0)+COUNTIF($AM$8:$AM56,$AM56)-1)</f>
        <v/>
      </c>
    </row>
    <row r="57" spans="1:40" ht="71.25">
      <c r="A57" s="28" t="str">
        <f>IF($AM57="","",RANK.EQ($AM57,$AM$8:$AM$414,0)+COUNTIF($AM$8:$AM57,$AM57)-1)</f>
        <v/>
      </c>
      <c r="B57" s="7" t="str">
        <f t="shared" si="0"/>
        <v/>
      </c>
      <c r="C57" s="7" t="s">
        <v>60</v>
      </c>
      <c r="D57" s="7" t="s">
        <v>1075</v>
      </c>
      <c r="E57" s="7" t="s">
        <v>2356</v>
      </c>
      <c r="F57" s="7" t="s">
        <v>2357</v>
      </c>
      <c r="G57" s="28" t="str">
        <f>IF(OR(COUNTA('Governance Crisis'!$H$10)=0,'Governance Crisis'!$H$10="N/A"),"",VALUE('Governance Crisis'!$H$10))</f>
        <v/>
      </c>
      <c r="H57" s="7" t="str">
        <f t="shared" si="1"/>
        <v/>
      </c>
      <c r="I57" s="7" t="str">
        <f>IF($G57="","",IFERROR(IF('Governance Crisis'!$L$10="",IF($G57&lt;=1,"Critical",IF($G57=2,"High",IF($G57=3,"Medium",IF($G57=4,"Low","Optimized")))),'Governance Crisis'!$L$10),IF($G57&lt;=1,"Critical",IF($G57=2,"High",IF($G57=3,"Medium",IF($G57=4,"Low","Optimized"))))))</f>
        <v/>
      </c>
      <c r="J57" s="7" t="str">
        <f>IF($G57="","",IFERROR(INDEX('Recommendation Matrix'!$E$5:$J$411,MATCH($E57,'Recommendation Matrix'!$A$5:$A$411,0),$G57+1),""))</f>
        <v/>
      </c>
      <c r="K57" s="7" t="str">
        <f>IF($G57="","",IFERROR(VLOOKUP($E57,'Recommendation Matrix'!$A$5:$K$411,11,FALSE),""))</f>
        <v/>
      </c>
      <c r="L57" s="28" t="str">
        <f t="shared" si="2"/>
        <v/>
      </c>
      <c r="M57" s="28" t="str">
        <f>IF($G57="","",IFERROR(INDEX('Recommendation Matrix'!$L$5:$Q$411,MATCH($E57,'Recommendation Matrix'!$A$5:$A$411,0),$G57+1),""))</f>
        <v/>
      </c>
      <c r="N57" s="28" t="str">
        <f t="shared" si="3"/>
        <v/>
      </c>
      <c r="O57" s="28" t="str">
        <f t="shared" si="4"/>
        <v/>
      </c>
      <c r="P57" s="28" t="str">
        <f t="shared" si="5"/>
        <v/>
      </c>
      <c r="Q57" s="28" t="str">
        <f t="shared" si="6"/>
        <v/>
      </c>
      <c r="R57" s="8" t="str">
        <f t="shared" si="7"/>
        <v/>
      </c>
      <c r="S57" s="28">
        <f>IFERROR('Governance Crisis'!$G$10,"")</f>
        <v>3</v>
      </c>
      <c r="T57" s="28">
        <f>IFERROR('Governance Crisis'!$W$10,"")</f>
        <v>4</v>
      </c>
      <c r="U57" s="28">
        <f>IFERROR('Governance Crisis'!$X$10,"")</f>
        <v>5</v>
      </c>
      <c r="V57" s="28">
        <f>IFERROR('Governance Crisis'!$Y$10,"")</f>
        <v>5</v>
      </c>
      <c r="W57" s="7" t="s">
        <v>2314</v>
      </c>
      <c r="X57" s="7" t="s">
        <v>1863</v>
      </c>
      <c r="Y57" s="7" t="s">
        <v>2358</v>
      </c>
      <c r="Z57" s="7">
        <f>IFERROR('Governance Crisis'!$U$10,"")</f>
        <v>0</v>
      </c>
      <c r="AA57" s="7"/>
      <c r="AB57" s="29"/>
      <c r="AC57" s="7"/>
      <c r="AD57" s="48" t="str">
        <f>IF($B57="Yes",IFERROR(SUMIFS(_TECH_Crisis_Model!$D$5:$D$191,_TECH_Crisis_Model!$A$5:$A$191,'Crisis Simulator'!$B$4,_TECH_Crisis_Model!$B$5:$B$191,$C57),1),"")</f>
        <v/>
      </c>
      <c r="AE57" s="48" t="str">
        <f t="shared" si="8"/>
        <v/>
      </c>
      <c r="AF57" s="48" t="str">
        <f>IFERROR(INDEX(_TECH_Crisis_Model!$E$5:$E$191,MATCH('Crisis Simulator'!$B$4&amp;"|"&amp;$C57,_TECH_Crisis_Model!$I$5:$I$191,0)),"")</f>
        <v>Decision rights, escalation and crisis governance determine response speed under pressure.</v>
      </c>
      <c r="AG57" s="48" t="str">
        <f>IFERROR(INDEX(_TECH_Crisis_Model!$G$5:$G$191,MATCH('Crisis Simulator'!$B$4&amp;"|"&amp;$C57,_TECH_Crisis_Model!$I$5:$I$191,0)),"")</f>
        <v>Define crisis roles, escalation path, decision cadence and management war room routines.</v>
      </c>
      <c r="AH57" s="48" t="str">
        <f>IFERROR(INDEX(_TECH_Initiative_Library!$A$5:$A$76,MATCH(1,INDEX((_TECH_Initiative_Library!$B$5:$B$76=$C57)*(_TECH_Initiative_Library!$C$5:$C$76=$D57),0),0)),"")</f>
        <v>INI-008</v>
      </c>
      <c r="AI57" s="48" t="str">
        <f>IFERROR(INDEX(_TECH_Initiative_Library!$F$5:$F$76,MATCH(1,INDEX((_TECH_Initiative_Library!$B$5:$B$76=$C57)*(_TECH_Initiative_Library!$C$5:$C$76=$D57),0),0)),"")</f>
        <v>Implement crisis governance, roles and escalation model</v>
      </c>
      <c r="AJ57" s="48" t="str">
        <f ca="1">IFERROR(INDEX(_TECH_Initiative_Library!$AC$5:$AC$76,MATCH(1,INDEX((_TECH_Initiative_Library!$B$5:$B$76=$C57)*(_TECH_Initiative_Library!$C$5:$C$76=$D57),0),0)),"")</f>
        <v/>
      </c>
      <c r="AK57" s="48" t="str">
        <f ca="1">IFERROR(INDEX(_TECH_Initiative_Library!$AE$5:$AE$76,MATCH(1,INDEX((_TECH_Initiative_Library!$B$5:$B$76=$C57)*(_TECH_Initiative_Library!$C$5:$C$76=$D57),0),0)),"")</f>
        <v/>
      </c>
      <c r="AL57" s="48" t="str">
        <f>IF($B57="Yes",IFERROR(SUMIFS(_TECH_Industry_Templates!$E:$E,_TECH_Industry_Templates!$A:$A,'Company Profile'!$B$9,_TECH_Industry_Templates!$B:$B,$C57),1),"")</f>
        <v/>
      </c>
      <c r="AM57" s="48" t="str">
        <f t="shared" si="9"/>
        <v/>
      </c>
      <c r="AN57" s="48" t="str">
        <f>IF($AM57="","",RANK.EQ($AM57,$AM$8:$AM$414,0)+COUNTIF($AM$8:$AM57,$AM57)-1)</f>
        <v/>
      </c>
    </row>
    <row r="58" spans="1:40" ht="71.25">
      <c r="A58" s="28" t="str">
        <f>IF($AM58="","",RANK.EQ($AM58,$AM$8:$AM$414,0)+COUNTIF($AM$8:$AM58,$AM58)-1)</f>
        <v/>
      </c>
      <c r="B58" s="7" t="str">
        <f t="shared" si="0"/>
        <v/>
      </c>
      <c r="C58" s="7" t="s">
        <v>60</v>
      </c>
      <c r="D58" s="7" t="s">
        <v>1084</v>
      </c>
      <c r="E58" s="7" t="s">
        <v>2366</v>
      </c>
      <c r="F58" s="7" t="s">
        <v>2367</v>
      </c>
      <c r="G58" s="28" t="str">
        <f>IF(OR(COUNTA('Governance Crisis'!$H$11)=0,'Governance Crisis'!$H$11="N/A"),"",VALUE('Governance Crisis'!$H$11))</f>
        <v/>
      </c>
      <c r="H58" s="7" t="str">
        <f t="shared" si="1"/>
        <v/>
      </c>
      <c r="I58" s="7" t="str">
        <f>IF($G58="","",IFERROR(IF('Governance Crisis'!$L$11="",IF($G58&lt;=1,"Critical",IF($G58=2,"High",IF($G58=3,"Medium",IF($G58=4,"Low","Optimized")))),'Governance Crisis'!$L$11),IF($G58&lt;=1,"Critical",IF($G58=2,"High",IF($G58=3,"Medium",IF($G58=4,"Low","Optimized"))))))</f>
        <v/>
      </c>
      <c r="J58" s="7" t="str">
        <f>IF($G58="","",IFERROR(INDEX('Recommendation Matrix'!$E$5:$J$411,MATCH($E58,'Recommendation Matrix'!$A$5:$A$411,0),$G58+1),""))</f>
        <v/>
      </c>
      <c r="K58" s="7" t="str">
        <f>IF($G58="","",IFERROR(VLOOKUP($E58,'Recommendation Matrix'!$A$5:$K$411,11,FALSE),""))</f>
        <v/>
      </c>
      <c r="L58" s="28" t="str">
        <f t="shared" si="2"/>
        <v/>
      </c>
      <c r="M58" s="28" t="str">
        <f>IF($G58="","",IFERROR(INDEX('Recommendation Matrix'!$L$5:$Q$411,MATCH($E58,'Recommendation Matrix'!$A$5:$A$411,0),$G58+1),""))</f>
        <v/>
      </c>
      <c r="N58" s="28" t="str">
        <f t="shared" si="3"/>
        <v/>
      </c>
      <c r="O58" s="28" t="str">
        <f t="shared" si="4"/>
        <v/>
      </c>
      <c r="P58" s="28" t="str">
        <f t="shared" si="5"/>
        <v/>
      </c>
      <c r="Q58" s="28" t="str">
        <f t="shared" si="6"/>
        <v/>
      </c>
      <c r="R58" s="8" t="str">
        <f t="shared" si="7"/>
        <v/>
      </c>
      <c r="S58" s="28">
        <f>IFERROR('Governance Crisis'!$G$11,"")</f>
        <v>5</v>
      </c>
      <c r="T58" s="28">
        <f>IFERROR('Governance Crisis'!$W$11,"")</f>
        <v>4</v>
      </c>
      <c r="U58" s="28">
        <f>IFERROR('Governance Crisis'!$X$11,"")</f>
        <v>5</v>
      </c>
      <c r="V58" s="28">
        <f>IFERROR('Governance Crisis'!$Y$11,"")</f>
        <v>5</v>
      </c>
      <c r="W58" s="7" t="s">
        <v>2314</v>
      </c>
      <c r="X58" s="7" t="s">
        <v>1863</v>
      </c>
      <c r="Y58" s="7" t="s">
        <v>2368</v>
      </c>
      <c r="Z58" s="7">
        <f>IFERROR('Governance Crisis'!$U$11,"")</f>
        <v>0</v>
      </c>
      <c r="AA58" s="7"/>
      <c r="AB58" s="29"/>
      <c r="AC58" s="7"/>
      <c r="AD58" s="48" t="str">
        <f>IF($B58="Yes",IFERROR(SUMIFS(_TECH_Crisis_Model!$D$5:$D$191,_TECH_Crisis_Model!$A$5:$A$191,'Crisis Simulator'!$B$4,_TECH_Crisis_Model!$B$5:$B$191,$C58),1),"")</f>
        <v/>
      </c>
      <c r="AE58" s="48" t="str">
        <f t="shared" si="8"/>
        <v/>
      </c>
      <c r="AF58" s="48" t="str">
        <f>IFERROR(INDEX(_TECH_Crisis_Model!$E$5:$E$191,MATCH('Crisis Simulator'!$B$4&amp;"|"&amp;$C58,_TECH_Crisis_Model!$I$5:$I$191,0)),"")</f>
        <v>Decision rights, escalation and crisis governance determine response speed under pressure.</v>
      </c>
      <c r="AG58" s="48" t="str">
        <f>IFERROR(INDEX(_TECH_Crisis_Model!$G$5:$G$191,MATCH('Crisis Simulator'!$B$4&amp;"|"&amp;$C58,_TECH_Crisis_Model!$I$5:$I$191,0)),"")</f>
        <v>Define crisis roles, escalation path, decision cadence and management war room routines.</v>
      </c>
      <c r="AH58" s="48" t="str">
        <f>IFERROR(INDEX(_TECH_Initiative_Library!$A$5:$A$76,MATCH(1,INDEX((_TECH_Initiative_Library!$B$5:$B$76=$C58)*(_TECH_Initiative_Library!$C$5:$C$76=$D58),0),0)),"")</f>
        <v>INI-009</v>
      </c>
      <c r="AI58" s="48" t="str">
        <f>IFERROR(INDEX(_TECH_Initiative_Library!$F$5:$F$76,MATCH(1,INDEX((_TECH_Initiative_Library!$B$5:$B$76=$C58)*(_TECH_Initiative_Library!$C$5:$C$76=$D58),0),0)),"")</f>
        <v>Build integrated risk, continuity and resilience control cycle</v>
      </c>
      <c r="AJ58" s="48" t="str">
        <f ca="1">IFERROR(INDEX(_TECH_Initiative_Library!$AC$5:$AC$76,MATCH(1,INDEX((_TECH_Initiative_Library!$B$5:$B$76=$C58)*(_TECH_Initiative_Library!$C$5:$C$76=$D58),0),0)),"")</f>
        <v/>
      </c>
      <c r="AK58" s="48" t="str">
        <f ca="1">IFERROR(INDEX(_TECH_Initiative_Library!$AE$5:$AE$76,MATCH(1,INDEX((_TECH_Initiative_Library!$B$5:$B$76=$C58)*(_TECH_Initiative_Library!$C$5:$C$76=$D58),0),0)),"")</f>
        <v/>
      </c>
      <c r="AL58" s="48" t="str">
        <f>IF($B58="Yes",IFERROR(SUMIFS(_TECH_Industry_Templates!$E:$E,_TECH_Industry_Templates!$A:$A,'Company Profile'!$B$9,_TECH_Industry_Templates!$B:$B,$C58),1),"")</f>
        <v/>
      </c>
      <c r="AM58" s="48" t="str">
        <f t="shared" si="9"/>
        <v/>
      </c>
      <c r="AN58" s="48" t="str">
        <f>IF($AM58="","",RANK.EQ($AM58,$AM$8:$AM$414,0)+COUNTIF($AM$8:$AM58,$AM58)-1)</f>
        <v/>
      </c>
    </row>
    <row r="59" spans="1:40" ht="85.5">
      <c r="A59" s="28" t="str">
        <f>IF($AM59="","",RANK.EQ($AM59,$AM$8:$AM$414,0)+COUNTIF($AM$8:$AM59,$AM59)-1)</f>
        <v/>
      </c>
      <c r="B59" s="7" t="str">
        <f t="shared" si="0"/>
        <v/>
      </c>
      <c r="C59" s="7" t="s">
        <v>60</v>
      </c>
      <c r="D59" s="7" t="s">
        <v>1084</v>
      </c>
      <c r="E59" s="7" t="s">
        <v>2376</v>
      </c>
      <c r="F59" s="7" t="s">
        <v>2377</v>
      </c>
      <c r="G59" s="28" t="str">
        <f>IF(OR(COUNTA('Governance Crisis'!$H$12)=0,'Governance Crisis'!$H$12="N/A"),"",VALUE('Governance Crisis'!$H$12))</f>
        <v/>
      </c>
      <c r="H59" s="7" t="str">
        <f t="shared" si="1"/>
        <v/>
      </c>
      <c r="I59" s="7" t="str">
        <f>IF($G59="","",IFERROR(IF('Governance Crisis'!$L$12="",IF($G59&lt;=1,"Critical",IF($G59=2,"High",IF($G59=3,"Medium",IF($G59=4,"Low","Optimized")))),'Governance Crisis'!$L$12),IF($G59&lt;=1,"Critical",IF($G59=2,"High",IF($G59=3,"Medium",IF($G59=4,"Low","Optimized"))))))</f>
        <v/>
      </c>
      <c r="J59" s="7" t="str">
        <f>IF($G59="","",IFERROR(INDEX('Recommendation Matrix'!$E$5:$J$411,MATCH($E59,'Recommendation Matrix'!$A$5:$A$411,0),$G59+1),""))</f>
        <v/>
      </c>
      <c r="K59" s="7" t="str">
        <f>IF($G59="","",IFERROR(VLOOKUP($E59,'Recommendation Matrix'!$A$5:$K$411,11,FALSE),""))</f>
        <v/>
      </c>
      <c r="L59" s="28" t="str">
        <f t="shared" si="2"/>
        <v/>
      </c>
      <c r="M59" s="28" t="str">
        <f>IF($G59="","",IFERROR(INDEX('Recommendation Matrix'!$L$5:$Q$411,MATCH($E59,'Recommendation Matrix'!$A$5:$A$411,0),$G59+1),""))</f>
        <v/>
      </c>
      <c r="N59" s="28" t="str">
        <f t="shared" si="3"/>
        <v/>
      </c>
      <c r="O59" s="28" t="str">
        <f t="shared" si="4"/>
        <v/>
      </c>
      <c r="P59" s="28" t="str">
        <f t="shared" si="5"/>
        <v/>
      </c>
      <c r="Q59" s="28" t="str">
        <f t="shared" si="6"/>
        <v/>
      </c>
      <c r="R59" s="8" t="str">
        <f t="shared" si="7"/>
        <v/>
      </c>
      <c r="S59" s="28">
        <f>IFERROR('Governance Crisis'!$G$12,"")</f>
        <v>5</v>
      </c>
      <c r="T59" s="28">
        <f>IFERROR('Governance Crisis'!$W$12,"")</f>
        <v>5</v>
      </c>
      <c r="U59" s="28">
        <f>IFERROR('Governance Crisis'!$X$12,"")</f>
        <v>5</v>
      </c>
      <c r="V59" s="28">
        <f>IFERROR('Governance Crisis'!$Y$12,"")</f>
        <v>5</v>
      </c>
      <c r="W59" s="7" t="s">
        <v>2314</v>
      </c>
      <c r="X59" s="7" t="s">
        <v>1863</v>
      </c>
      <c r="Y59" s="7" t="s">
        <v>2378</v>
      </c>
      <c r="Z59" s="7">
        <f>IFERROR('Governance Crisis'!$U$12,"")</f>
        <v>0</v>
      </c>
      <c r="AA59" s="7"/>
      <c r="AB59" s="29"/>
      <c r="AC59" s="7"/>
      <c r="AD59" s="48" t="str">
        <f>IF($B59="Yes",IFERROR(SUMIFS(_TECH_Crisis_Model!$D$5:$D$191,_TECH_Crisis_Model!$A$5:$A$191,'Crisis Simulator'!$B$4,_TECH_Crisis_Model!$B$5:$B$191,$C59),1),"")</f>
        <v/>
      </c>
      <c r="AE59" s="48" t="str">
        <f t="shared" si="8"/>
        <v/>
      </c>
      <c r="AF59" s="48" t="str">
        <f>IFERROR(INDEX(_TECH_Crisis_Model!$E$5:$E$191,MATCH('Crisis Simulator'!$B$4&amp;"|"&amp;$C59,_TECH_Crisis_Model!$I$5:$I$191,0)),"")</f>
        <v>Decision rights, escalation and crisis governance determine response speed under pressure.</v>
      </c>
      <c r="AG59" s="48" t="str">
        <f>IFERROR(INDEX(_TECH_Crisis_Model!$G$5:$G$191,MATCH('Crisis Simulator'!$B$4&amp;"|"&amp;$C59,_TECH_Crisis_Model!$I$5:$I$191,0)),"")</f>
        <v>Define crisis roles, escalation path, decision cadence and management war room routines.</v>
      </c>
      <c r="AH59" s="48" t="str">
        <f>IFERROR(INDEX(_TECH_Initiative_Library!$A$5:$A$76,MATCH(1,INDEX((_TECH_Initiative_Library!$B$5:$B$76=$C59)*(_TECH_Initiative_Library!$C$5:$C$76=$D59),0),0)),"")</f>
        <v>INI-009</v>
      </c>
      <c r="AI59" s="48" t="str">
        <f>IFERROR(INDEX(_TECH_Initiative_Library!$F$5:$F$76,MATCH(1,INDEX((_TECH_Initiative_Library!$B$5:$B$76=$C59)*(_TECH_Initiative_Library!$C$5:$C$76=$D59),0),0)),"")</f>
        <v>Build integrated risk, continuity and resilience control cycle</v>
      </c>
      <c r="AJ59" s="48" t="str">
        <f ca="1">IFERROR(INDEX(_TECH_Initiative_Library!$AC$5:$AC$76,MATCH(1,INDEX((_TECH_Initiative_Library!$B$5:$B$76=$C59)*(_TECH_Initiative_Library!$C$5:$C$76=$D59),0),0)),"")</f>
        <v/>
      </c>
      <c r="AK59" s="48" t="str">
        <f ca="1">IFERROR(INDEX(_TECH_Initiative_Library!$AE$5:$AE$76,MATCH(1,INDEX((_TECH_Initiative_Library!$B$5:$B$76=$C59)*(_TECH_Initiative_Library!$C$5:$C$76=$D59),0),0)),"")</f>
        <v/>
      </c>
      <c r="AL59" s="48" t="str">
        <f>IF($B59="Yes",IFERROR(SUMIFS(_TECH_Industry_Templates!$E:$E,_TECH_Industry_Templates!$A:$A,'Company Profile'!$B$9,_TECH_Industry_Templates!$B:$B,$C59),1),"")</f>
        <v/>
      </c>
      <c r="AM59" s="48" t="str">
        <f t="shared" si="9"/>
        <v/>
      </c>
      <c r="AN59" s="48" t="str">
        <f>IF($AM59="","",RANK.EQ($AM59,$AM$8:$AM$414,0)+COUNTIF($AM$8:$AM59,$AM59)-1)</f>
        <v/>
      </c>
    </row>
    <row r="60" spans="1:40" ht="71.25">
      <c r="A60" s="28" t="str">
        <f>IF($AM60="","",RANK.EQ($AM60,$AM$8:$AM$414,0)+COUNTIF($AM$8:$AM60,$AM60)-1)</f>
        <v/>
      </c>
      <c r="B60" s="7" t="str">
        <f t="shared" si="0"/>
        <v/>
      </c>
      <c r="C60" s="7" t="s">
        <v>60</v>
      </c>
      <c r="D60" s="7" t="s">
        <v>1084</v>
      </c>
      <c r="E60" s="7" t="s">
        <v>2386</v>
      </c>
      <c r="F60" s="7" t="s">
        <v>2387</v>
      </c>
      <c r="G60" s="28" t="str">
        <f>IF(OR(COUNTA('Governance Crisis'!$H$13)=0,'Governance Crisis'!$H$13="N/A"),"",VALUE('Governance Crisis'!$H$13))</f>
        <v/>
      </c>
      <c r="H60" s="7" t="str">
        <f t="shared" si="1"/>
        <v/>
      </c>
      <c r="I60" s="7" t="str">
        <f>IF($G60="","",IFERROR(IF('Governance Crisis'!$L$13="",IF($G60&lt;=1,"Critical",IF($G60=2,"High",IF($G60=3,"Medium",IF($G60=4,"Low","Optimized")))),'Governance Crisis'!$L$13),IF($G60&lt;=1,"Critical",IF($G60=2,"High",IF($G60=3,"Medium",IF($G60=4,"Low","Optimized"))))))</f>
        <v/>
      </c>
      <c r="J60" s="7" t="str">
        <f>IF($G60="","",IFERROR(INDEX('Recommendation Matrix'!$E$5:$J$411,MATCH($E60,'Recommendation Matrix'!$A$5:$A$411,0),$G60+1),""))</f>
        <v/>
      </c>
      <c r="K60" s="7" t="str">
        <f>IF($G60="","",IFERROR(VLOOKUP($E60,'Recommendation Matrix'!$A$5:$K$411,11,FALSE),""))</f>
        <v/>
      </c>
      <c r="L60" s="28" t="str">
        <f t="shared" si="2"/>
        <v/>
      </c>
      <c r="M60" s="28" t="str">
        <f>IF($G60="","",IFERROR(INDEX('Recommendation Matrix'!$L$5:$Q$411,MATCH($E60,'Recommendation Matrix'!$A$5:$A$411,0),$G60+1),""))</f>
        <v/>
      </c>
      <c r="N60" s="28" t="str">
        <f t="shared" si="3"/>
        <v/>
      </c>
      <c r="O60" s="28" t="str">
        <f t="shared" si="4"/>
        <v/>
      </c>
      <c r="P60" s="28" t="str">
        <f t="shared" si="5"/>
        <v/>
      </c>
      <c r="Q60" s="28" t="str">
        <f t="shared" si="6"/>
        <v/>
      </c>
      <c r="R60" s="8" t="str">
        <f t="shared" si="7"/>
        <v/>
      </c>
      <c r="S60" s="28">
        <f>IFERROR('Governance Crisis'!$G$13,"")</f>
        <v>5</v>
      </c>
      <c r="T60" s="28">
        <f>IFERROR('Governance Crisis'!$W$13,"")</f>
        <v>4</v>
      </c>
      <c r="U60" s="28">
        <f>IFERROR('Governance Crisis'!$X$13,"")</f>
        <v>5</v>
      </c>
      <c r="V60" s="28">
        <f>IFERROR('Governance Crisis'!$Y$13,"")</f>
        <v>5</v>
      </c>
      <c r="W60" s="7" t="s">
        <v>2314</v>
      </c>
      <c r="X60" s="7" t="s">
        <v>1863</v>
      </c>
      <c r="Y60" s="7" t="s">
        <v>2388</v>
      </c>
      <c r="Z60" s="7">
        <f>IFERROR('Governance Crisis'!$U$13,"")</f>
        <v>0</v>
      </c>
      <c r="AA60" s="7"/>
      <c r="AB60" s="29"/>
      <c r="AC60" s="7"/>
      <c r="AD60" s="48" t="str">
        <f>IF($B60="Yes",IFERROR(SUMIFS(_TECH_Crisis_Model!$D$5:$D$191,_TECH_Crisis_Model!$A$5:$A$191,'Crisis Simulator'!$B$4,_TECH_Crisis_Model!$B$5:$B$191,$C60),1),"")</f>
        <v/>
      </c>
      <c r="AE60" s="48" t="str">
        <f t="shared" si="8"/>
        <v/>
      </c>
      <c r="AF60" s="48" t="str">
        <f>IFERROR(INDEX(_TECH_Crisis_Model!$E$5:$E$191,MATCH('Crisis Simulator'!$B$4&amp;"|"&amp;$C60,_TECH_Crisis_Model!$I$5:$I$191,0)),"")</f>
        <v>Decision rights, escalation and crisis governance determine response speed under pressure.</v>
      </c>
      <c r="AG60" s="48" t="str">
        <f>IFERROR(INDEX(_TECH_Crisis_Model!$G$5:$G$191,MATCH('Crisis Simulator'!$B$4&amp;"|"&amp;$C60,_TECH_Crisis_Model!$I$5:$I$191,0)),"")</f>
        <v>Define crisis roles, escalation path, decision cadence and management war room routines.</v>
      </c>
      <c r="AH60" s="48" t="str">
        <f>IFERROR(INDEX(_TECH_Initiative_Library!$A$5:$A$76,MATCH(1,INDEX((_TECH_Initiative_Library!$B$5:$B$76=$C60)*(_TECH_Initiative_Library!$C$5:$C$76=$D60),0),0)),"")</f>
        <v>INI-009</v>
      </c>
      <c r="AI60" s="48" t="str">
        <f>IFERROR(INDEX(_TECH_Initiative_Library!$F$5:$F$76,MATCH(1,INDEX((_TECH_Initiative_Library!$B$5:$B$76=$C60)*(_TECH_Initiative_Library!$C$5:$C$76=$D60),0),0)),"")</f>
        <v>Build integrated risk, continuity and resilience control cycle</v>
      </c>
      <c r="AJ60" s="48" t="str">
        <f ca="1">IFERROR(INDEX(_TECH_Initiative_Library!$AC$5:$AC$76,MATCH(1,INDEX((_TECH_Initiative_Library!$B$5:$B$76=$C60)*(_TECH_Initiative_Library!$C$5:$C$76=$D60),0),0)),"")</f>
        <v/>
      </c>
      <c r="AK60" s="48" t="str">
        <f ca="1">IFERROR(INDEX(_TECH_Initiative_Library!$AE$5:$AE$76,MATCH(1,INDEX((_TECH_Initiative_Library!$B$5:$B$76=$C60)*(_TECH_Initiative_Library!$C$5:$C$76=$D60),0),0)),"")</f>
        <v/>
      </c>
      <c r="AL60" s="48" t="str">
        <f>IF($B60="Yes",IFERROR(SUMIFS(_TECH_Industry_Templates!$E:$E,_TECH_Industry_Templates!$A:$A,'Company Profile'!$B$9,_TECH_Industry_Templates!$B:$B,$C60),1),"")</f>
        <v/>
      </c>
      <c r="AM60" s="48" t="str">
        <f t="shared" si="9"/>
        <v/>
      </c>
      <c r="AN60" s="48" t="str">
        <f>IF($AM60="","",RANK.EQ($AM60,$AM$8:$AM$414,0)+COUNTIF($AM$8:$AM60,$AM60)-1)</f>
        <v/>
      </c>
    </row>
    <row r="61" spans="1:40" ht="71.25">
      <c r="A61" s="28" t="str">
        <f>IF($AM61="","",RANK.EQ($AM61,$AM$8:$AM$414,0)+COUNTIF($AM$8:$AM61,$AM61)-1)</f>
        <v/>
      </c>
      <c r="B61" s="7" t="str">
        <f t="shared" si="0"/>
        <v/>
      </c>
      <c r="C61" s="7" t="s">
        <v>60</v>
      </c>
      <c r="D61" s="7" t="s">
        <v>1084</v>
      </c>
      <c r="E61" s="7" t="s">
        <v>2396</v>
      </c>
      <c r="F61" s="7" t="s">
        <v>2397</v>
      </c>
      <c r="G61" s="28" t="str">
        <f>IF(OR(COUNTA('Governance Crisis'!$H$14)=0,'Governance Crisis'!$H$14="N/A"),"",VALUE('Governance Crisis'!$H$14))</f>
        <v/>
      </c>
      <c r="H61" s="7" t="str">
        <f t="shared" si="1"/>
        <v/>
      </c>
      <c r="I61" s="7" t="str">
        <f>IF($G61="","",IFERROR(IF('Governance Crisis'!$L$14="",IF($G61&lt;=1,"Critical",IF($G61=2,"High",IF($G61=3,"Medium",IF($G61=4,"Low","Optimized")))),'Governance Crisis'!$L$14),IF($G61&lt;=1,"Critical",IF($G61=2,"High",IF($G61=3,"Medium",IF($G61=4,"Low","Optimized"))))))</f>
        <v/>
      </c>
      <c r="J61" s="7" t="str">
        <f>IF($G61="","",IFERROR(INDEX('Recommendation Matrix'!$E$5:$J$411,MATCH($E61,'Recommendation Matrix'!$A$5:$A$411,0),$G61+1),""))</f>
        <v/>
      </c>
      <c r="K61" s="7" t="str">
        <f>IF($G61="","",IFERROR(VLOOKUP($E61,'Recommendation Matrix'!$A$5:$K$411,11,FALSE),""))</f>
        <v/>
      </c>
      <c r="L61" s="28" t="str">
        <f t="shared" si="2"/>
        <v/>
      </c>
      <c r="M61" s="28" t="str">
        <f>IF($G61="","",IFERROR(INDEX('Recommendation Matrix'!$L$5:$Q$411,MATCH($E61,'Recommendation Matrix'!$A$5:$A$411,0),$G61+1),""))</f>
        <v/>
      </c>
      <c r="N61" s="28" t="str">
        <f t="shared" si="3"/>
        <v/>
      </c>
      <c r="O61" s="28" t="str">
        <f t="shared" si="4"/>
        <v/>
      </c>
      <c r="P61" s="28" t="str">
        <f t="shared" si="5"/>
        <v/>
      </c>
      <c r="Q61" s="28" t="str">
        <f t="shared" si="6"/>
        <v/>
      </c>
      <c r="R61" s="8" t="str">
        <f t="shared" si="7"/>
        <v/>
      </c>
      <c r="S61" s="28">
        <f>IFERROR('Governance Crisis'!$G$14,"")</f>
        <v>5</v>
      </c>
      <c r="T61" s="28">
        <f>IFERROR('Governance Crisis'!$W$14,"")</f>
        <v>4</v>
      </c>
      <c r="U61" s="28">
        <f>IFERROR('Governance Crisis'!$X$14,"")</f>
        <v>5</v>
      </c>
      <c r="V61" s="28">
        <f>IFERROR('Governance Crisis'!$Y$14,"")</f>
        <v>5</v>
      </c>
      <c r="W61" s="7" t="s">
        <v>2314</v>
      </c>
      <c r="X61" s="7" t="s">
        <v>1863</v>
      </c>
      <c r="Y61" s="7" t="s">
        <v>2398</v>
      </c>
      <c r="Z61" s="7">
        <f>IFERROR('Governance Crisis'!$U$14,"")</f>
        <v>0</v>
      </c>
      <c r="AA61" s="7"/>
      <c r="AB61" s="29"/>
      <c r="AC61" s="7"/>
      <c r="AD61" s="48" t="str">
        <f>IF($B61="Yes",IFERROR(SUMIFS(_TECH_Crisis_Model!$D$5:$D$191,_TECH_Crisis_Model!$A$5:$A$191,'Crisis Simulator'!$B$4,_TECH_Crisis_Model!$B$5:$B$191,$C61),1),"")</f>
        <v/>
      </c>
      <c r="AE61" s="48" t="str">
        <f t="shared" si="8"/>
        <v/>
      </c>
      <c r="AF61" s="48" t="str">
        <f>IFERROR(INDEX(_TECH_Crisis_Model!$E$5:$E$191,MATCH('Crisis Simulator'!$B$4&amp;"|"&amp;$C61,_TECH_Crisis_Model!$I$5:$I$191,0)),"")</f>
        <v>Decision rights, escalation and crisis governance determine response speed under pressure.</v>
      </c>
      <c r="AG61" s="48" t="str">
        <f>IFERROR(INDEX(_TECH_Crisis_Model!$G$5:$G$191,MATCH('Crisis Simulator'!$B$4&amp;"|"&amp;$C61,_TECH_Crisis_Model!$I$5:$I$191,0)),"")</f>
        <v>Define crisis roles, escalation path, decision cadence and management war room routines.</v>
      </c>
      <c r="AH61" s="48" t="str">
        <f>IFERROR(INDEX(_TECH_Initiative_Library!$A$5:$A$76,MATCH(1,INDEX((_TECH_Initiative_Library!$B$5:$B$76=$C61)*(_TECH_Initiative_Library!$C$5:$C$76=$D61),0),0)),"")</f>
        <v>INI-009</v>
      </c>
      <c r="AI61" s="48" t="str">
        <f>IFERROR(INDEX(_TECH_Initiative_Library!$F$5:$F$76,MATCH(1,INDEX((_TECH_Initiative_Library!$B$5:$B$76=$C61)*(_TECH_Initiative_Library!$C$5:$C$76=$D61),0),0)),"")</f>
        <v>Build integrated risk, continuity and resilience control cycle</v>
      </c>
      <c r="AJ61" s="48" t="str">
        <f ca="1">IFERROR(INDEX(_TECH_Initiative_Library!$AC$5:$AC$76,MATCH(1,INDEX((_TECH_Initiative_Library!$B$5:$B$76=$C61)*(_TECH_Initiative_Library!$C$5:$C$76=$D61),0),0)),"")</f>
        <v/>
      </c>
      <c r="AK61" s="48" t="str">
        <f ca="1">IFERROR(INDEX(_TECH_Initiative_Library!$AE$5:$AE$76,MATCH(1,INDEX((_TECH_Initiative_Library!$B$5:$B$76=$C61)*(_TECH_Initiative_Library!$C$5:$C$76=$D61),0),0)),"")</f>
        <v/>
      </c>
      <c r="AL61" s="48" t="str">
        <f>IF($B61="Yes",IFERROR(SUMIFS(_TECH_Industry_Templates!$E:$E,_TECH_Industry_Templates!$A:$A,'Company Profile'!$B$9,_TECH_Industry_Templates!$B:$B,$C61),1),"")</f>
        <v/>
      </c>
      <c r="AM61" s="48" t="str">
        <f t="shared" si="9"/>
        <v/>
      </c>
      <c r="AN61" s="48" t="str">
        <f>IF($AM61="","",RANK.EQ($AM61,$AM$8:$AM$414,0)+COUNTIF($AM$8:$AM61,$AM61)-1)</f>
        <v/>
      </c>
    </row>
    <row r="62" spans="1:40" ht="85.5">
      <c r="A62" s="28" t="str">
        <f>IF($AM62="","",RANK.EQ($AM62,$AM$8:$AM$414,0)+COUNTIF($AM$8:$AM62,$AM62)-1)</f>
        <v/>
      </c>
      <c r="B62" s="7" t="str">
        <f t="shared" si="0"/>
        <v/>
      </c>
      <c r="C62" s="7" t="s">
        <v>60</v>
      </c>
      <c r="D62" s="7" t="s">
        <v>1084</v>
      </c>
      <c r="E62" s="7" t="s">
        <v>2406</v>
      </c>
      <c r="F62" s="7" t="s">
        <v>2407</v>
      </c>
      <c r="G62" s="28" t="str">
        <f>IF(OR(COUNTA('Governance Crisis'!$H$15)=0,'Governance Crisis'!$H$15="N/A"),"",VALUE('Governance Crisis'!$H$15))</f>
        <v/>
      </c>
      <c r="H62" s="7" t="str">
        <f t="shared" si="1"/>
        <v/>
      </c>
      <c r="I62" s="7" t="str">
        <f>IF($G62="","",IFERROR(IF('Governance Crisis'!$L$15="",IF($G62&lt;=1,"Critical",IF($G62=2,"High",IF($G62=3,"Medium",IF($G62=4,"Low","Optimized")))),'Governance Crisis'!$L$15),IF($G62&lt;=1,"Critical",IF($G62=2,"High",IF($G62=3,"Medium",IF($G62=4,"Low","Optimized"))))))</f>
        <v/>
      </c>
      <c r="J62" s="7" t="str">
        <f>IF($G62="","",IFERROR(INDEX('Recommendation Matrix'!$E$5:$J$411,MATCH($E62,'Recommendation Matrix'!$A$5:$A$411,0),$G62+1),""))</f>
        <v/>
      </c>
      <c r="K62" s="7" t="str">
        <f>IF($G62="","",IFERROR(VLOOKUP($E62,'Recommendation Matrix'!$A$5:$K$411,11,FALSE),""))</f>
        <v/>
      </c>
      <c r="L62" s="28" t="str">
        <f t="shared" si="2"/>
        <v/>
      </c>
      <c r="M62" s="28" t="str">
        <f>IF($G62="","",IFERROR(INDEX('Recommendation Matrix'!$L$5:$Q$411,MATCH($E62,'Recommendation Matrix'!$A$5:$A$411,0),$G62+1),""))</f>
        <v/>
      </c>
      <c r="N62" s="28" t="str">
        <f t="shared" si="3"/>
        <v/>
      </c>
      <c r="O62" s="28" t="str">
        <f t="shared" si="4"/>
        <v/>
      </c>
      <c r="P62" s="28" t="str">
        <f t="shared" si="5"/>
        <v/>
      </c>
      <c r="Q62" s="28" t="str">
        <f t="shared" si="6"/>
        <v/>
      </c>
      <c r="R62" s="8" t="str">
        <f t="shared" si="7"/>
        <v/>
      </c>
      <c r="S62" s="28">
        <f>IFERROR('Governance Crisis'!$G$15,"")</f>
        <v>5</v>
      </c>
      <c r="T62" s="28">
        <f>IFERROR('Governance Crisis'!$W$15,"")</f>
        <v>4</v>
      </c>
      <c r="U62" s="28">
        <f>IFERROR('Governance Crisis'!$X$15,"")</f>
        <v>5</v>
      </c>
      <c r="V62" s="28">
        <f>IFERROR('Governance Crisis'!$Y$15,"")</f>
        <v>5</v>
      </c>
      <c r="W62" s="7" t="s">
        <v>2314</v>
      </c>
      <c r="X62" s="7" t="s">
        <v>1863</v>
      </c>
      <c r="Y62" s="7" t="s">
        <v>2408</v>
      </c>
      <c r="Z62" s="7">
        <f>IFERROR('Governance Crisis'!$U$15,"")</f>
        <v>0</v>
      </c>
      <c r="AA62" s="7"/>
      <c r="AB62" s="29"/>
      <c r="AC62" s="7"/>
      <c r="AD62" s="48" t="str">
        <f>IF($B62="Yes",IFERROR(SUMIFS(_TECH_Crisis_Model!$D$5:$D$191,_TECH_Crisis_Model!$A$5:$A$191,'Crisis Simulator'!$B$4,_TECH_Crisis_Model!$B$5:$B$191,$C62),1),"")</f>
        <v/>
      </c>
      <c r="AE62" s="48" t="str">
        <f t="shared" si="8"/>
        <v/>
      </c>
      <c r="AF62" s="48" t="str">
        <f>IFERROR(INDEX(_TECH_Crisis_Model!$E$5:$E$191,MATCH('Crisis Simulator'!$B$4&amp;"|"&amp;$C62,_TECH_Crisis_Model!$I$5:$I$191,0)),"")</f>
        <v>Decision rights, escalation and crisis governance determine response speed under pressure.</v>
      </c>
      <c r="AG62" s="48" t="str">
        <f>IFERROR(INDEX(_TECH_Crisis_Model!$G$5:$G$191,MATCH('Crisis Simulator'!$B$4&amp;"|"&amp;$C62,_TECH_Crisis_Model!$I$5:$I$191,0)),"")</f>
        <v>Define crisis roles, escalation path, decision cadence and management war room routines.</v>
      </c>
      <c r="AH62" s="48" t="str">
        <f>IFERROR(INDEX(_TECH_Initiative_Library!$A$5:$A$76,MATCH(1,INDEX((_TECH_Initiative_Library!$B$5:$B$76=$C62)*(_TECH_Initiative_Library!$C$5:$C$76=$D62),0),0)),"")</f>
        <v>INI-009</v>
      </c>
      <c r="AI62" s="48" t="str">
        <f>IFERROR(INDEX(_TECH_Initiative_Library!$F$5:$F$76,MATCH(1,INDEX((_TECH_Initiative_Library!$B$5:$B$76=$C62)*(_TECH_Initiative_Library!$C$5:$C$76=$D62),0),0)),"")</f>
        <v>Build integrated risk, continuity and resilience control cycle</v>
      </c>
      <c r="AJ62" s="48" t="str">
        <f ca="1">IFERROR(INDEX(_TECH_Initiative_Library!$AC$5:$AC$76,MATCH(1,INDEX((_TECH_Initiative_Library!$B$5:$B$76=$C62)*(_TECH_Initiative_Library!$C$5:$C$76=$D62),0),0)),"")</f>
        <v/>
      </c>
      <c r="AK62" s="48" t="str">
        <f ca="1">IFERROR(INDEX(_TECH_Initiative_Library!$AE$5:$AE$76,MATCH(1,INDEX((_TECH_Initiative_Library!$B$5:$B$76=$C62)*(_TECH_Initiative_Library!$C$5:$C$76=$D62),0),0)),"")</f>
        <v/>
      </c>
      <c r="AL62" s="48" t="str">
        <f>IF($B62="Yes",IFERROR(SUMIFS(_TECH_Industry_Templates!$E:$E,_TECH_Industry_Templates!$A:$A,'Company Profile'!$B$9,_TECH_Industry_Templates!$B:$B,$C62),1),"")</f>
        <v/>
      </c>
      <c r="AM62" s="48" t="str">
        <f t="shared" si="9"/>
        <v/>
      </c>
      <c r="AN62" s="48" t="str">
        <f>IF($AM62="","",RANK.EQ($AM62,$AM$8:$AM$414,0)+COUNTIF($AM$8:$AM62,$AM62)-1)</f>
        <v/>
      </c>
    </row>
    <row r="63" spans="1:40" ht="85.5">
      <c r="A63" s="28" t="str">
        <f>IF($AM63="","",RANK.EQ($AM63,$AM$8:$AM$414,0)+COUNTIF($AM$8:$AM63,$AM63)-1)</f>
        <v/>
      </c>
      <c r="B63" s="7" t="str">
        <f t="shared" si="0"/>
        <v/>
      </c>
      <c r="C63" s="7" t="s">
        <v>60</v>
      </c>
      <c r="D63" s="7" t="s">
        <v>1084</v>
      </c>
      <c r="E63" s="7" t="s">
        <v>2416</v>
      </c>
      <c r="F63" s="7" t="s">
        <v>2417</v>
      </c>
      <c r="G63" s="28" t="str">
        <f>IF(OR(COUNTA('Governance Crisis'!$H$16)=0,'Governance Crisis'!$H$16="N/A"),"",VALUE('Governance Crisis'!$H$16))</f>
        <v/>
      </c>
      <c r="H63" s="7" t="str">
        <f t="shared" si="1"/>
        <v/>
      </c>
      <c r="I63" s="7" t="str">
        <f>IF($G63="","",IFERROR(IF('Governance Crisis'!$L$16="",IF($G63&lt;=1,"Critical",IF($G63=2,"High",IF($G63=3,"Medium",IF($G63=4,"Low","Optimized")))),'Governance Crisis'!$L$16),IF($G63&lt;=1,"Critical",IF($G63=2,"High",IF($G63=3,"Medium",IF($G63=4,"Low","Optimized"))))))</f>
        <v/>
      </c>
      <c r="J63" s="7" t="str">
        <f>IF($G63="","",IFERROR(INDEX('Recommendation Matrix'!$E$5:$J$411,MATCH($E63,'Recommendation Matrix'!$A$5:$A$411,0),$G63+1),""))</f>
        <v/>
      </c>
      <c r="K63" s="7" t="str">
        <f>IF($G63="","",IFERROR(VLOOKUP($E63,'Recommendation Matrix'!$A$5:$K$411,11,FALSE),""))</f>
        <v/>
      </c>
      <c r="L63" s="28" t="str">
        <f t="shared" si="2"/>
        <v/>
      </c>
      <c r="M63" s="28" t="str">
        <f>IF($G63="","",IFERROR(INDEX('Recommendation Matrix'!$L$5:$Q$411,MATCH($E63,'Recommendation Matrix'!$A$5:$A$411,0),$G63+1),""))</f>
        <v/>
      </c>
      <c r="N63" s="28" t="str">
        <f t="shared" si="3"/>
        <v/>
      </c>
      <c r="O63" s="28" t="str">
        <f t="shared" si="4"/>
        <v/>
      </c>
      <c r="P63" s="28" t="str">
        <f t="shared" si="5"/>
        <v/>
      </c>
      <c r="Q63" s="28" t="str">
        <f t="shared" si="6"/>
        <v/>
      </c>
      <c r="R63" s="8" t="str">
        <f t="shared" si="7"/>
        <v/>
      </c>
      <c r="S63" s="28">
        <f>IFERROR('Governance Crisis'!$G$16,"")</f>
        <v>5</v>
      </c>
      <c r="T63" s="28">
        <f>IFERROR('Governance Crisis'!$W$16,"")</f>
        <v>5</v>
      </c>
      <c r="U63" s="28">
        <f>IFERROR('Governance Crisis'!$X$16,"")</f>
        <v>5</v>
      </c>
      <c r="V63" s="28">
        <f>IFERROR('Governance Crisis'!$Y$16,"")</f>
        <v>5</v>
      </c>
      <c r="W63" s="7" t="s">
        <v>2314</v>
      </c>
      <c r="X63" s="7" t="s">
        <v>1863</v>
      </c>
      <c r="Y63" s="7" t="s">
        <v>2418</v>
      </c>
      <c r="Z63" s="7">
        <f>IFERROR('Governance Crisis'!$U$16,"")</f>
        <v>0</v>
      </c>
      <c r="AA63" s="7"/>
      <c r="AB63" s="29"/>
      <c r="AC63" s="7"/>
      <c r="AD63" s="48" t="str">
        <f>IF($B63="Yes",IFERROR(SUMIFS(_TECH_Crisis_Model!$D$5:$D$191,_TECH_Crisis_Model!$A$5:$A$191,'Crisis Simulator'!$B$4,_TECH_Crisis_Model!$B$5:$B$191,$C63),1),"")</f>
        <v/>
      </c>
      <c r="AE63" s="48" t="str">
        <f t="shared" si="8"/>
        <v/>
      </c>
      <c r="AF63" s="48" t="str">
        <f>IFERROR(INDEX(_TECH_Crisis_Model!$E$5:$E$191,MATCH('Crisis Simulator'!$B$4&amp;"|"&amp;$C63,_TECH_Crisis_Model!$I$5:$I$191,0)),"")</f>
        <v>Decision rights, escalation and crisis governance determine response speed under pressure.</v>
      </c>
      <c r="AG63" s="48" t="str">
        <f>IFERROR(INDEX(_TECH_Crisis_Model!$G$5:$G$191,MATCH('Crisis Simulator'!$B$4&amp;"|"&amp;$C63,_TECH_Crisis_Model!$I$5:$I$191,0)),"")</f>
        <v>Define crisis roles, escalation path, decision cadence and management war room routines.</v>
      </c>
      <c r="AH63" s="48" t="str">
        <f>IFERROR(INDEX(_TECH_Initiative_Library!$A$5:$A$76,MATCH(1,INDEX((_TECH_Initiative_Library!$B$5:$B$76=$C63)*(_TECH_Initiative_Library!$C$5:$C$76=$D63),0),0)),"")</f>
        <v>INI-009</v>
      </c>
      <c r="AI63" s="48" t="str">
        <f>IFERROR(INDEX(_TECH_Initiative_Library!$F$5:$F$76,MATCH(1,INDEX((_TECH_Initiative_Library!$B$5:$B$76=$C63)*(_TECH_Initiative_Library!$C$5:$C$76=$D63),0),0)),"")</f>
        <v>Build integrated risk, continuity and resilience control cycle</v>
      </c>
      <c r="AJ63" s="48" t="str">
        <f ca="1">IFERROR(INDEX(_TECH_Initiative_Library!$AC$5:$AC$76,MATCH(1,INDEX((_TECH_Initiative_Library!$B$5:$B$76=$C63)*(_TECH_Initiative_Library!$C$5:$C$76=$D63),0),0)),"")</f>
        <v/>
      </c>
      <c r="AK63" s="48" t="str">
        <f ca="1">IFERROR(INDEX(_TECH_Initiative_Library!$AE$5:$AE$76,MATCH(1,INDEX((_TECH_Initiative_Library!$B$5:$B$76=$C63)*(_TECH_Initiative_Library!$C$5:$C$76=$D63),0),0)),"")</f>
        <v/>
      </c>
      <c r="AL63" s="48" t="str">
        <f>IF($B63="Yes",IFERROR(SUMIFS(_TECH_Industry_Templates!$E:$E,_TECH_Industry_Templates!$A:$A,'Company Profile'!$B$9,_TECH_Industry_Templates!$B:$B,$C63),1),"")</f>
        <v/>
      </c>
      <c r="AM63" s="48" t="str">
        <f t="shared" si="9"/>
        <v/>
      </c>
      <c r="AN63" s="48" t="str">
        <f>IF($AM63="","",RANK.EQ($AM63,$AM$8:$AM$414,0)+COUNTIF($AM$8:$AM63,$AM63)-1)</f>
        <v/>
      </c>
    </row>
    <row r="64" spans="1:40" ht="71.25">
      <c r="A64" s="28" t="str">
        <f>IF($AM64="","",RANK.EQ($AM64,$AM$8:$AM$414,0)+COUNTIF($AM$8:$AM64,$AM64)-1)</f>
        <v/>
      </c>
      <c r="B64" s="7" t="str">
        <f t="shared" si="0"/>
        <v/>
      </c>
      <c r="C64" s="7" t="s">
        <v>60</v>
      </c>
      <c r="D64" s="7" t="s">
        <v>1084</v>
      </c>
      <c r="E64" s="7" t="s">
        <v>2426</v>
      </c>
      <c r="F64" s="7" t="s">
        <v>2427</v>
      </c>
      <c r="G64" s="28" t="str">
        <f>IF(OR(COUNTA('Governance Crisis'!$H$17)=0,'Governance Crisis'!$H$17="N/A"),"",VALUE('Governance Crisis'!$H$17))</f>
        <v/>
      </c>
      <c r="H64" s="7" t="str">
        <f t="shared" si="1"/>
        <v/>
      </c>
      <c r="I64" s="7" t="str">
        <f>IF($G64="","",IFERROR(IF('Governance Crisis'!$L$17="",IF($G64&lt;=1,"Critical",IF($G64=2,"High",IF($G64=3,"Medium",IF($G64=4,"Low","Optimized")))),'Governance Crisis'!$L$17),IF($G64&lt;=1,"Critical",IF($G64=2,"High",IF($G64=3,"Medium",IF($G64=4,"Low","Optimized"))))))</f>
        <v/>
      </c>
      <c r="J64" s="7" t="str">
        <f>IF($G64="","",IFERROR(INDEX('Recommendation Matrix'!$E$5:$J$411,MATCH($E64,'Recommendation Matrix'!$A$5:$A$411,0),$G64+1),""))</f>
        <v/>
      </c>
      <c r="K64" s="7" t="str">
        <f>IF($G64="","",IFERROR(VLOOKUP($E64,'Recommendation Matrix'!$A$5:$K$411,11,FALSE),""))</f>
        <v/>
      </c>
      <c r="L64" s="28" t="str">
        <f t="shared" si="2"/>
        <v/>
      </c>
      <c r="M64" s="28" t="str">
        <f>IF($G64="","",IFERROR(INDEX('Recommendation Matrix'!$L$5:$Q$411,MATCH($E64,'Recommendation Matrix'!$A$5:$A$411,0),$G64+1),""))</f>
        <v/>
      </c>
      <c r="N64" s="28" t="str">
        <f t="shared" si="3"/>
        <v/>
      </c>
      <c r="O64" s="28" t="str">
        <f t="shared" si="4"/>
        <v/>
      </c>
      <c r="P64" s="28" t="str">
        <f t="shared" si="5"/>
        <v/>
      </c>
      <c r="Q64" s="28" t="str">
        <f t="shared" si="6"/>
        <v/>
      </c>
      <c r="R64" s="8" t="str">
        <f t="shared" si="7"/>
        <v/>
      </c>
      <c r="S64" s="28">
        <f>IFERROR('Governance Crisis'!$G$17,"")</f>
        <v>5</v>
      </c>
      <c r="T64" s="28">
        <f>IFERROR('Governance Crisis'!$W$17,"")</f>
        <v>4</v>
      </c>
      <c r="U64" s="28">
        <f>IFERROR('Governance Crisis'!$X$17,"")</f>
        <v>5</v>
      </c>
      <c r="V64" s="28">
        <f>IFERROR('Governance Crisis'!$Y$17,"")</f>
        <v>5</v>
      </c>
      <c r="W64" s="7" t="s">
        <v>2314</v>
      </c>
      <c r="X64" s="7" t="s">
        <v>1863</v>
      </c>
      <c r="Y64" s="7" t="s">
        <v>2428</v>
      </c>
      <c r="Z64" s="7">
        <f>IFERROR('Governance Crisis'!$U$17,"")</f>
        <v>0</v>
      </c>
      <c r="AA64" s="7"/>
      <c r="AB64" s="29"/>
      <c r="AC64" s="7"/>
      <c r="AD64" s="48" t="str">
        <f>IF($B64="Yes",IFERROR(SUMIFS(_TECH_Crisis_Model!$D$5:$D$191,_TECH_Crisis_Model!$A$5:$A$191,'Crisis Simulator'!$B$4,_TECH_Crisis_Model!$B$5:$B$191,$C64),1),"")</f>
        <v/>
      </c>
      <c r="AE64" s="48" t="str">
        <f t="shared" si="8"/>
        <v/>
      </c>
      <c r="AF64" s="48" t="str">
        <f>IFERROR(INDEX(_TECH_Crisis_Model!$E$5:$E$191,MATCH('Crisis Simulator'!$B$4&amp;"|"&amp;$C64,_TECH_Crisis_Model!$I$5:$I$191,0)),"")</f>
        <v>Decision rights, escalation and crisis governance determine response speed under pressure.</v>
      </c>
      <c r="AG64" s="48" t="str">
        <f>IFERROR(INDEX(_TECH_Crisis_Model!$G$5:$G$191,MATCH('Crisis Simulator'!$B$4&amp;"|"&amp;$C64,_TECH_Crisis_Model!$I$5:$I$191,0)),"")</f>
        <v>Define crisis roles, escalation path, decision cadence and management war room routines.</v>
      </c>
      <c r="AH64" s="48" t="str">
        <f>IFERROR(INDEX(_TECH_Initiative_Library!$A$5:$A$76,MATCH(1,INDEX((_TECH_Initiative_Library!$B$5:$B$76=$C64)*(_TECH_Initiative_Library!$C$5:$C$76=$D64),0),0)),"")</f>
        <v>INI-009</v>
      </c>
      <c r="AI64" s="48" t="str">
        <f>IFERROR(INDEX(_TECH_Initiative_Library!$F$5:$F$76,MATCH(1,INDEX((_TECH_Initiative_Library!$B$5:$B$76=$C64)*(_TECH_Initiative_Library!$C$5:$C$76=$D64),0),0)),"")</f>
        <v>Build integrated risk, continuity and resilience control cycle</v>
      </c>
      <c r="AJ64" s="48" t="str">
        <f ca="1">IFERROR(INDEX(_TECH_Initiative_Library!$AC$5:$AC$76,MATCH(1,INDEX((_TECH_Initiative_Library!$B$5:$B$76=$C64)*(_TECH_Initiative_Library!$C$5:$C$76=$D64),0),0)),"")</f>
        <v/>
      </c>
      <c r="AK64" s="48" t="str">
        <f ca="1">IFERROR(INDEX(_TECH_Initiative_Library!$AE$5:$AE$76,MATCH(1,INDEX((_TECH_Initiative_Library!$B$5:$B$76=$C64)*(_TECH_Initiative_Library!$C$5:$C$76=$D64),0),0)),"")</f>
        <v/>
      </c>
      <c r="AL64" s="48" t="str">
        <f>IF($B64="Yes",IFERROR(SUMIFS(_TECH_Industry_Templates!$E:$E,_TECH_Industry_Templates!$A:$A,'Company Profile'!$B$9,_TECH_Industry_Templates!$B:$B,$C64),1),"")</f>
        <v/>
      </c>
      <c r="AM64" s="48" t="str">
        <f t="shared" si="9"/>
        <v/>
      </c>
      <c r="AN64" s="48" t="str">
        <f>IF($AM64="","",RANK.EQ($AM64,$AM$8:$AM$414,0)+COUNTIF($AM$8:$AM64,$AM64)-1)</f>
        <v/>
      </c>
    </row>
    <row r="65" spans="1:40" ht="71.25">
      <c r="A65" s="28" t="str">
        <f>IF($AM65="","",RANK.EQ($AM65,$AM$8:$AM$414,0)+COUNTIF($AM$8:$AM65,$AM65)-1)</f>
        <v/>
      </c>
      <c r="B65" s="7" t="str">
        <f t="shared" si="0"/>
        <v/>
      </c>
      <c r="C65" s="7" t="s">
        <v>60</v>
      </c>
      <c r="D65" s="7" t="s">
        <v>1092</v>
      </c>
      <c r="E65" s="7" t="s">
        <v>2436</v>
      </c>
      <c r="F65" s="7" t="s">
        <v>2437</v>
      </c>
      <c r="G65" s="28" t="str">
        <f>IF(OR(COUNTA('Governance Crisis'!$H$18)=0,'Governance Crisis'!$H$18="N/A"),"",VALUE('Governance Crisis'!$H$18))</f>
        <v/>
      </c>
      <c r="H65" s="7" t="str">
        <f t="shared" si="1"/>
        <v/>
      </c>
      <c r="I65" s="7" t="str">
        <f>IF($G65="","",IFERROR(IF('Governance Crisis'!$L$18="",IF($G65&lt;=1,"Critical",IF($G65=2,"High",IF($G65=3,"Medium",IF($G65=4,"Low","Optimized")))),'Governance Crisis'!$L$18),IF($G65&lt;=1,"Critical",IF($G65=2,"High",IF($G65=3,"Medium",IF($G65=4,"Low","Optimized"))))))</f>
        <v/>
      </c>
      <c r="J65" s="7" t="str">
        <f>IF($G65="","",IFERROR(INDEX('Recommendation Matrix'!$E$5:$J$411,MATCH($E65,'Recommendation Matrix'!$A$5:$A$411,0),$G65+1),""))</f>
        <v/>
      </c>
      <c r="K65" s="7" t="str">
        <f>IF($G65="","",IFERROR(VLOOKUP($E65,'Recommendation Matrix'!$A$5:$K$411,11,FALSE),""))</f>
        <v/>
      </c>
      <c r="L65" s="28" t="str">
        <f t="shared" si="2"/>
        <v/>
      </c>
      <c r="M65" s="28" t="str">
        <f>IF($G65="","",IFERROR(INDEX('Recommendation Matrix'!$L$5:$Q$411,MATCH($E65,'Recommendation Matrix'!$A$5:$A$411,0),$G65+1),""))</f>
        <v/>
      </c>
      <c r="N65" s="28" t="str">
        <f t="shared" si="3"/>
        <v/>
      </c>
      <c r="O65" s="28" t="str">
        <f t="shared" si="4"/>
        <v/>
      </c>
      <c r="P65" s="28" t="str">
        <f t="shared" si="5"/>
        <v/>
      </c>
      <c r="Q65" s="28" t="str">
        <f t="shared" si="6"/>
        <v/>
      </c>
      <c r="R65" s="8" t="str">
        <f t="shared" si="7"/>
        <v/>
      </c>
      <c r="S65" s="28">
        <f>IFERROR('Governance Crisis'!$G$18,"")</f>
        <v>5</v>
      </c>
      <c r="T65" s="28">
        <f>IFERROR('Governance Crisis'!$W$18,"")</f>
        <v>4</v>
      </c>
      <c r="U65" s="28">
        <f>IFERROR('Governance Crisis'!$X$18,"")</f>
        <v>5</v>
      </c>
      <c r="V65" s="28">
        <f>IFERROR('Governance Crisis'!$Y$18,"")</f>
        <v>5</v>
      </c>
      <c r="W65" s="7" t="s">
        <v>2314</v>
      </c>
      <c r="X65" s="7" t="s">
        <v>1863</v>
      </c>
      <c r="Y65" s="7" t="s">
        <v>2438</v>
      </c>
      <c r="Z65" s="7">
        <f>IFERROR('Governance Crisis'!$U$18,"")</f>
        <v>0</v>
      </c>
      <c r="AA65" s="7"/>
      <c r="AB65" s="29"/>
      <c r="AC65" s="7"/>
      <c r="AD65" s="48" t="str">
        <f>IF($B65="Yes",IFERROR(SUMIFS(_TECH_Crisis_Model!$D$5:$D$191,_TECH_Crisis_Model!$A$5:$A$191,'Crisis Simulator'!$B$4,_TECH_Crisis_Model!$B$5:$B$191,$C65),1),"")</f>
        <v/>
      </c>
      <c r="AE65" s="48" t="str">
        <f t="shared" si="8"/>
        <v/>
      </c>
      <c r="AF65" s="48" t="str">
        <f>IFERROR(INDEX(_TECH_Crisis_Model!$E$5:$E$191,MATCH('Crisis Simulator'!$B$4&amp;"|"&amp;$C65,_TECH_Crisis_Model!$I$5:$I$191,0)),"")</f>
        <v>Decision rights, escalation and crisis governance determine response speed under pressure.</v>
      </c>
      <c r="AG65" s="48" t="str">
        <f>IFERROR(INDEX(_TECH_Crisis_Model!$G$5:$G$191,MATCH('Crisis Simulator'!$B$4&amp;"|"&amp;$C65,_TECH_Crisis_Model!$I$5:$I$191,0)),"")</f>
        <v>Define crisis roles, escalation path, decision cadence and management war room routines.</v>
      </c>
      <c r="AH65" s="48" t="str">
        <f>IFERROR(INDEX(_TECH_Initiative_Library!$A$5:$A$76,MATCH(1,INDEX((_TECH_Initiative_Library!$B$5:$B$76=$C65)*(_TECH_Initiative_Library!$C$5:$C$76=$D65),0),0)),"")</f>
        <v>INI-010</v>
      </c>
      <c r="AI65" s="48" t="str">
        <f>IFERROR(INDEX(_TECH_Initiative_Library!$F$5:$F$76,MATCH(1,INDEX((_TECH_Initiative_Library!$B$5:$B$76=$C65)*(_TECH_Initiative_Library!$C$5:$C$76=$D65),0),0)),"")</f>
        <v>Implement incident command, escalation and after-action review</v>
      </c>
      <c r="AJ65" s="48" t="str">
        <f ca="1">IFERROR(INDEX(_TECH_Initiative_Library!$AC$5:$AC$76,MATCH(1,INDEX((_TECH_Initiative_Library!$B$5:$B$76=$C65)*(_TECH_Initiative_Library!$C$5:$C$76=$D65),0),0)),"")</f>
        <v/>
      </c>
      <c r="AK65" s="48" t="str">
        <f ca="1">IFERROR(INDEX(_TECH_Initiative_Library!$AE$5:$AE$76,MATCH(1,INDEX((_TECH_Initiative_Library!$B$5:$B$76=$C65)*(_TECH_Initiative_Library!$C$5:$C$76=$D65),0),0)),"")</f>
        <v/>
      </c>
      <c r="AL65" s="48" t="str">
        <f>IF($B65="Yes",IFERROR(SUMIFS(_TECH_Industry_Templates!$E:$E,_TECH_Industry_Templates!$A:$A,'Company Profile'!$B$9,_TECH_Industry_Templates!$B:$B,$C65),1),"")</f>
        <v/>
      </c>
      <c r="AM65" s="48" t="str">
        <f t="shared" si="9"/>
        <v/>
      </c>
      <c r="AN65" s="48" t="str">
        <f>IF($AM65="","",RANK.EQ($AM65,$AM$8:$AM$414,0)+COUNTIF($AM$8:$AM65,$AM65)-1)</f>
        <v/>
      </c>
    </row>
    <row r="66" spans="1:40" ht="71.25">
      <c r="A66" s="28" t="str">
        <f>IF($AM66="","",RANK.EQ($AM66,$AM$8:$AM$414,0)+COUNTIF($AM$8:$AM66,$AM66)-1)</f>
        <v/>
      </c>
      <c r="B66" s="7" t="str">
        <f t="shared" si="0"/>
        <v/>
      </c>
      <c r="C66" s="7" t="s">
        <v>60</v>
      </c>
      <c r="D66" s="7" t="s">
        <v>1092</v>
      </c>
      <c r="E66" s="7" t="s">
        <v>2446</v>
      </c>
      <c r="F66" s="7" t="s">
        <v>2447</v>
      </c>
      <c r="G66" s="28" t="str">
        <f>IF(OR(COUNTA('Governance Crisis'!$H$19)=0,'Governance Crisis'!$H$19="N/A"),"",VALUE('Governance Crisis'!$H$19))</f>
        <v/>
      </c>
      <c r="H66" s="7" t="str">
        <f t="shared" si="1"/>
        <v/>
      </c>
      <c r="I66" s="7" t="str">
        <f>IF($G66="","",IFERROR(IF('Governance Crisis'!$L$19="",IF($G66&lt;=1,"Critical",IF($G66=2,"High",IF($G66=3,"Medium",IF($G66=4,"Low","Optimized")))),'Governance Crisis'!$L$19),IF($G66&lt;=1,"Critical",IF($G66=2,"High",IF($G66=3,"Medium",IF($G66=4,"Low","Optimized"))))))</f>
        <v/>
      </c>
      <c r="J66" s="7" t="str">
        <f>IF($G66="","",IFERROR(INDEX('Recommendation Matrix'!$E$5:$J$411,MATCH($E66,'Recommendation Matrix'!$A$5:$A$411,0),$G66+1),""))</f>
        <v/>
      </c>
      <c r="K66" s="7" t="str">
        <f>IF($G66="","",IFERROR(VLOOKUP($E66,'Recommendation Matrix'!$A$5:$K$411,11,FALSE),""))</f>
        <v/>
      </c>
      <c r="L66" s="28" t="str">
        <f t="shared" si="2"/>
        <v/>
      </c>
      <c r="M66" s="28" t="str">
        <f>IF($G66="","",IFERROR(INDEX('Recommendation Matrix'!$L$5:$Q$411,MATCH($E66,'Recommendation Matrix'!$A$5:$A$411,0),$G66+1),""))</f>
        <v/>
      </c>
      <c r="N66" s="28" t="str">
        <f t="shared" si="3"/>
        <v/>
      </c>
      <c r="O66" s="28" t="str">
        <f t="shared" si="4"/>
        <v/>
      </c>
      <c r="P66" s="28" t="str">
        <f t="shared" si="5"/>
        <v/>
      </c>
      <c r="Q66" s="28" t="str">
        <f t="shared" si="6"/>
        <v/>
      </c>
      <c r="R66" s="8" t="str">
        <f t="shared" si="7"/>
        <v/>
      </c>
      <c r="S66" s="28">
        <f>IFERROR('Governance Crisis'!$G$19,"")</f>
        <v>5</v>
      </c>
      <c r="T66" s="28">
        <f>IFERROR('Governance Crisis'!$W$19,"")</f>
        <v>4</v>
      </c>
      <c r="U66" s="28">
        <f>IFERROR('Governance Crisis'!$X$19,"")</f>
        <v>5</v>
      </c>
      <c r="V66" s="28">
        <f>IFERROR('Governance Crisis'!$Y$19,"")</f>
        <v>5</v>
      </c>
      <c r="W66" s="7" t="s">
        <v>2314</v>
      </c>
      <c r="X66" s="7" t="s">
        <v>1863</v>
      </c>
      <c r="Y66" s="7" t="s">
        <v>2448</v>
      </c>
      <c r="Z66" s="7">
        <f>IFERROR('Governance Crisis'!$U$19,"")</f>
        <v>0</v>
      </c>
      <c r="AA66" s="7"/>
      <c r="AB66" s="29"/>
      <c r="AC66" s="7"/>
      <c r="AD66" s="48" t="str">
        <f>IF($B66="Yes",IFERROR(SUMIFS(_TECH_Crisis_Model!$D$5:$D$191,_TECH_Crisis_Model!$A$5:$A$191,'Crisis Simulator'!$B$4,_TECH_Crisis_Model!$B$5:$B$191,$C66),1),"")</f>
        <v/>
      </c>
      <c r="AE66" s="48" t="str">
        <f t="shared" si="8"/>
        <v/>
      </c>
      <c r="AF66" s="48" t="str">
        <f>IFERROR(INDEX(_TECH_Crisis_Model!$E$5:$E$191,MATCH('Crisis Simulator'!$B$4&amp;"|"&amp;$C66,_TECH_Crisis_Model!$I$5:$I$191,0)),"")</f>
        <v>Decision rights, escalation and crisis governance determine response speed under pressure.</v>
      </c>
      <c r="AG66" s="48" t="str">
        <f>IFERROR(INDEX(_TECH_Crisis_Model!$G$5:$G$191,MATCH('Crisis Simulator'!$B$4&amp;"|"&amp;$C66,_TECH_Crisis_Model!$I$5:$I$191,0)),"")</f>
        <v>Define crisis roles, escalation path, decision cadence and management war room routines.</v>
      </c>
      <c r="AH66" s="48" t="str">
        <f>IFERROR(INDEX(_TECH_Initiative_Library!$A$5:$A$76,MATCH(1,INDEX((_TECH_Initiative_Library!$B$5:$B$76=$C66)*(_TECH_Initiative_Library!$C$5:$C$76=$D66),0),0)),"")</f>
        <v>INI-010</v>
      </c>
      <c r="AI66" s="48" t="str">
        <f>IFERROR(INDEX(_TECH_Initiative_Library!$F$5:$F$76,MATCH(1,INDEX((_TECH_Initiative_Library!$B$5:$B$76=$C66)*(_TECH_Initiative_Library!$C$5:$C$76=$D66),0),0)),"")</f>
        <v>Implement incident command, escalation and after-action review</v>
      </c>
      <c r="AJ66" s="48" t="str">
        <f ca="1">IFERROR(INDEX(_TECH_Initiative_Library!$AC$5:$AC$76,MATCH(1,INDEX((_TECH_Initiative_Library!$B$5:$B$76=$C66)*(_TECH_Initiative_Library!$C$5:$C$76=$D66),0),0)),"")</f>
        <v/>
      </c>
      <c r="AK66" s="48" t="str">
        <f ca="1">IFERROR(INDEX(_TECH_Initiative_Library!$AE$5:$AE$76,MATCH(1,INDEX((_TECH_Initiative_Library!$B$5:$B$76=$C66)*(_TECH_Initiative_Library!$C$5:$C$76=$D66),0),0)),"")</f>
        <v/>
      </c>
      <c r="AL66" s="48" t="str">
        <f>IF($B66="Yes",IFERROR(SUMIFS(_TECH_Industry_Templates!$E:$E,_TECH_Industry_Templates!$A:$A,'Company Profile'!$B$9,_TECH_Industry_Templates!$B:$B,$C66),1),"")</f>
        <v/>
      </c>
      <c r="AM66" s="48" t="str">
        <f t="shared" si="9"/>
        <v/>
      </c>
      <c r="AN66" s="48" t="str">
        <f>IF($AM66="","",RANK.EQ($AM66,$AM$8:$AM$414,0)+COUNTIF($AM$8:$AM66,$AM66)-1)</f>
        <v/>
      </c>
    </row>
    <row r="67" spans="1:40" ht="71.25">
      <c r="A67" s="28" t="str">
        <f>IF($AM67="","",RANK.EQ($AM67,$AM$8:$AM$414,0)+COUNTIF($AM$8:$AM67,$AM67)-1)</f>
        <v/>
      </c>
      <c r="B67" s="7" t="str">
        <f t="shared" si="0"/>
        <v/>
      </c>
      <c r="C67" s="7" t="s">
        <v>60</v>
      </c>
      <c r="D67" s="7" t="s">
        <v>1092</v>
      </c>
      <c r="E67" s="7" t="s">
        <v>2456</v>
      </c>
      <c r="F67" s="7" t="s">
        <v>2457</v>
      </c>
      <c r="G67" s="28" t="str">
        <f>IF(OR(COUNTA('Governance Crisis'!$H$20)=0,'Governance Crisis'!$H$20="N/A"),"",VALUE('Governance Crisis'!$H$20))</f>
        <v/>
      </c>
      <c r="H67" s="7" t="str">
        <f t="shared" si="1"/>
        <v/>
      </c>
      <c r="I67" s="7" t="str">
        <f>IF($G67="","",IFERROR(IF('Governance Crisis'!$L$20="",IF($G67&lt;=1,"Critical",IF($G67=2,"High",IF($G67=3,"Medium",IF($G67=4,"Low","Optimized")))),'Governance Crisis'!$L$20),IF($G67&lt;=1,"Critical",IF($G67=2,"High",IF($G67=3,"Medium",IF($G67=4,"Low","Optimized"))))))</f>
        <v/>
      </c>
      <c r="J67" s="7" t="str">
        <f>IF($G67="","",IFERROR(INDEX('Recommendation Matrix'!$E$5:$J$411,MATCH($E67,'Recommendation Matrix'!$A$5:$A$411,0),$G67+1),""))</f>
        <v/>
      </c>
      <c r="K67" s="7" t="str">
        <f>IF($G67="","",IFERROR(VLOOKUP($E67,'Recommendation Matrix'!$A$5:$K$411,11,FALSE),""))</f>
        <v/>
      </c>
      <c r="L67" s="28" t="str">
        <f t="shared" si="2"/>
        <v/>
      </c>
      <c r="M67" s="28" t="str">
        <f>IF($G67="","",IFERROR(INDEX('Recommendation Matrix'!$L$5:$Q$411,MATCH($E67,'Recommendation Matrix'!$A$5:$A$411,0),$G67+1),""))</f>
        <v/>
      </c>
      <c r="N67" s="28" t="str">
        <f t="shared" si="3"/>
        <v/>
      </c>
      <c r="O67" s="28" t="str">
        <f t="shared" si="4"/>
        <v/>
      </c>
      <c r="P67" s="28" t="str">
        <f t="shared" si="5"/>
        <v/>
      </c>
      <c r="Q67" s="28" t="str">
        <f t="shared" si="6"/>
        <v/>
      </c>
      <c r="R67" s="8" t="str">
        <f t="shared" si="7"/>
        <v/>
      </c>
      <c r="S67" s="28">
        <f>IFERROR('Governance Crisis'!$G$20,"")</f>
        <v>5</v>
      </c>
      <c r="T67" s="28">
        <f>IFERROR('Governance Crisis'!$W$20,"")</f>
        <v>4</v>
      </c>
      <c r="U67" s="28">
        <f>IFERROR('Governance Crisis'!$X$20,"")</f>
        <v>5</v>
      </c>
      <c r="V67" s="28">
        <f>IFERROR('Governance Crisis'!$Y$20,"")</f>
        <v>5</v>
      </c>
      <c r="W67" s="7" t="s">
        <v>2314</v>
      </c>
      <c r="X67" s="7" t="s">
        <v>1863</v>
      </c>
      <c r="Y67" s="7" t="s">
        <v>2458</v>
      </c>
      <c r="Z67" s="7">
        <f>IFERROR('Governance Crisis'!$U$20,"")</f>
        <v>0</v>
      </c>
      <c r="AA67" s="7"/>
      <c r="AB67" s="29"/>
      <c r="AC67" s="7"/>
      <c r="AD67" s="48" t="str">
        <f>IF($B67="Yes",IFERROR(SUMIFS(_TECH_Crisis_Model!$D$5:$D$191,_TECH_Crisis_Model!$A$5:$A$191,'Crisis Simulator'!$B$4,_TECH_Crisis_Model!$B$5:$B$191,$C67),1),"")</f>
        <v/>
      </c>
      <c r="AE67" s="48" t="str">
        <f t="shared" si="8"/>
        <v/>
      </c>
      <c r="AF67" s="48" t="str">
        <f>IFERROR(INDEX(_TECH_Crisis_Model!$E$5:$E$191,MATCH('Crisis Simulator'!$B$4&amp;"|"&amp;$C67,_TECH_Crisis_Model!$I$5:$I$191,0)),"")</f>
        <v>Decision rights, escalation and crisis governance determine response speed under pressure.</v>
      </c>
      <c r="AG67" s="48" t="str">
        <f>IFERROR(INDEX(_TECH_Crisis_Model!$G$5:$G$191,MATCH('Crisis Simulator'!$B$4&amp;"|"&amp;$C67,_TECH_Crisis_Model!$I$5:$I$191,0)),"")</f>
        <v>Define crisis roles, escalation path, decision cadence and management war room routines.</v>
      </c>
      <c r="AH67" s="48" t="str">
        <f>IFERROR(INDEX(_TECH_Initiative_Library!$A$5:$A$76,MATCH(1,INDEX((_TECH_Initiative_Library!$B$5:$B$76=$C67)*(_TECH_Initiative_Library!$C$5:$C$76=$D67),0),0)),"")</f>
        <v>INI-010</v>
      </c>
      <c r="AI67" s="48" t="str">
        <f>IFERROR(INDEX(_TECH_Initiative_Library!$F$5:$F$76,MATCH(1,INDEX((_TECH_Initiative_Library!$B$5:$B$76=$C67)*(_TECH_Initiative_Library!$C$5:$C$76=$D67),0),0)),"")</f>
        <v>Implement incident command, escalation and after-action review</v>
      </c>
      <c r="AJ67" s="48" t="str">
        <f ca="1">IFERROR(INDEX(_TECH_Initiative_Library!$AC$5:$AC$76,MATCH(1,INDEX((_TECH_Initiative_Library!$B$5:$B$76=$C67)*(_TECH_Initiative_Library!$C$5:$C$76=$D67),0),0)),"")</f>
        <v/>
      </c>
      <c r="AK67" s="48" t="str">
        <f ca="1">IFERROR(INDEX(_TECH_Initiative_Library!$AE$5:$AE$76,MATCH(1,INDEX((_TECH_Initiative_Library!$B$5:$B$76=$C67)*(_TECH_Initiative_Library!$C$5:$C$76=$D67),0),0)),"")</f>
        <v/>
      </c>
      <c r="AL67" s="48" t="str">
        <f>IF($B67="Yes",IFERROR(SUMIFS(_TECH_Industry_Templates!$E:$E,_TECH_Industry_Templates!$A:$A,'Company Profile'!$B$9,_TECH_Industry_Templates!$B:$B,$C67),1),"")</f>
        <v/>
      </c>
      <c r="AM67" s="48" t="str">
        <f t="shared" si="9"/>
        <v/>
      </c>
      <c r="AN67" s="48" t="str">
        <f>IF($AM67="","",RANK.EQ($AM67,$AM$8:$AM$414,0)+COUNTIF($AM$8:$AM67,$AM67)-1)</f>
        <v/>
      </c>
    </row>
    <row r="68" spans="1:40" ht="85.5">
      <c r="A68" s="28" t="str">
        <f>IF($AM68="","",RANK.EQ($AM68,$AM$8:$AM$414,0)+COUNTIF($AM$8:$AM68,$AM68)-1)</f>
        <v/>
      </c>
      <c r="B68" s="7" t="str">
        <f t="shared" si="0"/>
        <v/>
      </c>
      <c r="C68" s="7" t="s">
        <v>60</v>
      </c>
      <c r="D68" s="7" t="s">
        <v>1092</v>
      </c>
      <c r="E68" s="7" t="s">
        <v>2466</v>
      </c>
      <c r="F68" s="7" t="s">
        <v>2467</v>
      </c>
      <c r="G68" s="28" t="str">
        <f>IF(OR(COUNTA('Governance Crisis'!$H$21)=0,'Governance Crisis'!$H$21="N/A"),"",VALUE('Governance Crisis'!$H$21))</f>
        <v/>
      </c>
      <c r="H68" s="7" t="str">
        <f t="shared" si="1"/>
        <v/>
      </c>
      <c r="I68" s="7" t="str">
        <f>IF($G68="","",IFERROR(IF('Governance Crisis'!$L$21="",IF($G68&lt;=1,"Critical",IF($G68=2,"High",IF($G68=3,"Medium",IF($G68=4,"Low","Optimized")))),'Governance Crisis'!$L$21),IF($G68&lt;=1,"Critical",IF($G68=2,"High",IF($G68=3,"Medium",IF($G68=4,"Low","Optimized"))))))</f>
        <v/>
      </c>
      <c r="J68" s="7" t="str">
        <f>IF($G68="","",IFERROR(INDEX('Recommendation Matrix'!$E$5:$J$411,MATCH($E68,'Recommendation Matrix'!$A$5:$A$411,0),$G68+1),""))</f>
        <v/>
      </c>
      <c r="K68" s="7" t="str">
        <f>IF($G68="","",IFERROR(VLOOKUP($E68,'Recommendation Matrix'!$A$5:$K$411,11,FALSE),""))</f>
        <v/>
      </c>
      <c r="L68" s="28" t="str">
        <f t="shared" si="2"/>
        <v/>
      </c>
      <c r="M68" s="28" t="str">
        <f>IF($G68="","",IFERROR(INDEX('Recommendation Matrix'!$L$5:$Q$411,MATCH($E68,'Recommendation Matrix'!$A$5:$A$411,0),$G68+1),""))</f>
        <v/>
      </c>
      <c r="N68" s="28" t="str">
        <f t="shared" si="3"/>
        <v/>
      </c>
      <c r="O68" s="28" t="str">
        <f t="shared" si="4"/>
        <v/>
      </c>
      <c r="P68" s="28" t="str">
        <f t="shared" si="5"/>
        <v/>
      </c>
      <c r="Q68" s="28" t="str">
        <f t="shared" si="6"/>
        <v/>
      </c>
      <c r="R68" s="8" t="str">
        <f t="shared" si="7"/>
        <v/>
      </c>
      <c r="S68" s="28">
        <f>IFERROR('Governance Crisis'!$G$21,"")</f>
        <v>5</v>
      </c>
      <c r="T68" s="28">
        <f>IFERROR('Governance Crisis'!$W$21,"")</f>
        <v>4</v>
      </c>
      <c r="U68" s="28">
        <f>IFERROR('Governance Crisis'!$X$21,"")</f>
        <v>5</v>
      </c>
      <c r="V68" s="28">
        <f>IFERROR('Governance Crisis'!$Y$21,"")</f>
        <v>5</v>
      </c>
      <c r="W68" s="7" t="s">
        <v>2314</v>
      </c>
      <c r="X68" s="7" t="s">
        <v>1863</v>
      </c>
      <c r="Y68" s="7" t="s">
        <v>2468</v>
      </c>
      <c r="Z68" s="7">
        <f>IFERROR('Governance Crisis'!$U$21,"")</f>
        <v>0</v>
      </c>
      <c r="AA68" s="7"/>
      <c r="AB68" s="29"/>
      <c r="AC68" s="7"/>
      <c r="AD68" s="48" t="str">
        <f>IF($B68="Yes",IFERROR(SUMIFS(_TECH_Crisis_Model!$D$5:$D$191,_TECH_Crisis_Model!$A$5:$A$191,'Crisis Simulator'!$B$4,_TECH_Crisis_Model!$B$5:$B$191,$C68),1),"")</f>
        <v/>
      </c>
      <c r="AE68" s="48" t="str">
        <f t="shared" si="8"/>
        <v/>
      </c>
      <c r="AF68" s="48" t="str">
        <f>IFERROR(INDEX(_TECH_Crisis_Model!$E$5:$E$191,MATCH('Crisis Simulator'!$B$4&amp;"|"&amp;$C68,_TECH_Crisis_Model!$I$5:$I$191,0)),"")</f>
        <v>Decision rights, escalation and crisis governance determine response speed under pressure.</v>
      </c>
      <c r="AG68" s="48" t="str">
        <f>IFERROR(INDEX(_TECH_Crisis_Model!$G$5:$G$191,MATCH('Crisis Simulator'!$B$4&amp;"|"&amp;$C68,_TECH_Crisis_Model!$I$5:$I$191,0)),"")</f>
        <v>Define crisis roles, escalation path, decision cadence and management war room routines.</v>
      </c>
      <c r="AH68" s="48" t="str">
        <f>IFERROR(INDEX(_TECH_Initiative_Library!$A$5:$A$76,MATCH(1,INDEX((_TECH_Initiative_Library!$B$5:$B$76=$C68)*(_TECH_Initiative_Library!$C$5:$C$76=$D68),0),0)),"")</f>
        <v>INI-010</v>
      </c>
      <c r="AI68" s="48" t="str">
        <f>IFERROR(INDEX(_TECH_Initiative_Library!$F$5:$F$76,MATCH(1,INDEX((_TECH_Initiative_Library!$B$5:$B$76=$C68)*(_TECH_Initiative_Library!$C$5:$C$76=$D68),0),0)),"")</f>
        <v>Implement incident command, escalation and after-action review</v>
      </c>
      <c r="AJ68" s="48" t="str">
        <f ca="1">IFERROR(INDEX(_TECH_Initiative_Library!$AC$5:$AC$76,MATCH(1,INDEX((_TECH_Initiative_Library!$B$5:$B$76=$C68)*(_TECH_Initiative_Library!$C$5:$C$76=$D68),0),0)),"")</f>
        <v/>
      </c>
      <c r="AK68" s="48" t="str">
        <f ca="1">IFERROR(INDEX(_TECH_Initiative_Library!$AE$5:$AE$76,MATCH(1,INDEX((_TECH_Initiative_Library!$B$5:$B$76=$C68)*(_TECH_Initiative_Library!$C$5:$C$76=$D68),0),0)),"")</f>
        <v/>
      </c>
      <c r="AL68" s="48" t="str">
        <f>IF($B68="Yes",IFERROR(SUMIFS(_TECH_Industry_Templates!$E:$E,_TECH_Industry_Templates!$A:$A,'Company Profile'!$B$9,_TECH_Industry_Templates!$B:$B,$C68),1),"")</f>
        <v/>
      </c>
      <c r="AM68" s="48" t="str">
        <f t="shared" si="9"/>
        <v/>
      </c>
      <c r="AN68" s="48" t="str">
        <f>IF($AM68="","",RANK.EQ($AM68,$AM$8:$AM$414,0)+COUNTIF($AM$8:$AM68,$AM68)-1)</f>
        <v/>
      </c>
    </row>
    <row r="69" spans="1:40" ht="57">
      <c r="A69" s="28" t="str">
        <f>IF($AM69="","",RANK.EQ($AM69,$AM$8:$AM$414,0)+COUNTIF($AM$8:$AM69,$AM69)-1)</f>
        <v/>
      </c>
      <c r="B69" s="7" t="str">
        <f t="shared" si="0"/>
        <v/>
      </c>
      <c r="C69" s="7" t="s">
        <v>60</v>
      </c>
      <c r="D69" s="7" t="s">
        <v>1092</v>
      </c>
      <c r="E69" s="7" t="s">
        <v>2476</v>
      </c>
      <c r="F69" s="7" t="s">
        <v>2477</v>
      </c>
      <c r="G69" s="28" t="str">
        <f>IF(OR(COUNTA('Governance Crisis'!$H$22)=0,'Governance Crisis'!$H$22="N/A"),"",VALUE('Governance Crisis'!$H$22))</f>
        <v/>
      </c>
      <c r="H69" s="7" t="str">
        <f t="shared" si="1"/>
        <v/>
      </c>
      <c r="I69" s="7" t="str">
        <f>IF($G69="","",IFERROR(IF('Governance Crisis'!$L$22="",IF($G69&lt;=1,"Critical",IF($G69=2,"High",IF($G69=3,"Medium",IF($G69=4,"Low","Optimized")))),'Governance Crisis'!$L$22),IF($G69&lt;=1,"Critical",IF($G69=2,"High",IF($G69=3,"Medium",IF($G69=4,"Low","Optimized"))))))</f>
        <v/>
      </c>
      <c r="J69" s="7" t="str">
        <f>IF($G69="","",IFERROR(INDEX('Recommendation Matrix'!$E$5:$J$411,MATCH($E69,'Recommendation Matrix'!$A$5:$A$411,0),$G69+1),""))</f>
        <v/>
      </c>
      <c r="K69" s="7" t="str">
        <f>IF($G69="","",IFERROR(VLOOKUP($E69,'Recommendation Matrix'!$A$5:$K$411,11,FALSE),""))</f>
        <v/>
      </c>
      <c r="L69" s="28" t="str">
        <f t="shared" si="2"/>
        <v/>
      </c>
      <c r="M69" s="28" t="str">
        <f>IF($G69="","",IFERROR(INDEX('Recommendation Matrix'!$L$5:$Q$411,MATCH($E69,'Recommendation Matrix'!$A$5:$A$411,0),$G69+1),""))</f>
        <v/>
      </c>
      <c r="N69" s="28" t="str">
        <f t="shared" si="3"/>
        <v/>
      </c>
      <c r="O69" s="28" t="str">
        <f t="shared" si="4"/>
        <v/>
      </c>
      <c r="P69" s="28" t="str">
        <f t="shared" si="5"/>
        <v/>
      </c>
      <c r="Q69" s="28" t="str">
        <f t="shared" si="6"/>
        <v/>
      </c>
      <c r="R69" s="8" t="str">
        <f t="shared" si="7"/>
        <v/>
      </c>
      <c r="S69" s="28">
        <f>IFERROR('Governance Crisis'!$G$22,"")</f>
        <v>3</v>
      </c>
      <c r="T69" s="28">
        <f>IFERROR('Governance Crisis'!$W$22,"")</f>
        <v>4</v>
      </c>
      <c r="U69" s="28">
        <f>IFERROR('Governance Crisis'!$X$22,"")</f>
        <v>5</v>
      </c>
      <c r="V69" s="28">
        <f>IFERROR('Governance Crisis'!$Y$22,"")</f>
        <v>5</v>
      </c>
      <c r="W69" s="7" t="s">
        <v>2314</v>
      </c>
      <c r="X69" s="7" t="s">
        <v>1863</v>
      </c>
      <c r="Y69" s="7" t="s">
        <v>2478</v>
      </c>
      <c r="Z69" s="7">
        <f>IFERROR('Governance Crisis'!$U$22,"")</f>
        <v>0</v>
      </c>
      <c r="AA69" s="7"/>
      <c r="AB69" s="29"/>
      <c r="AC69" s="7"/>
      <c r="AD69" s="48" t="str">
        <f>IF($B69="Yes",IFERROR(SUMIFS(_TECH_Crisis_Model!$D$5:$D$191,_TECH_Crisis_Model!$A$5:$A$191,'Crisis Simulator'!$B$4,_TECH_Crisis_Model!$B$5:$B$191,$C69),1),"")</f>
        <v/>
      </c>
      <c r="AE69" s="48" t="str">
        <f t="shared" si="8"/>
        <v/>
      </c>
      <c r="AF69" s="48" t="str">
        <f>IFERROR(INDEX(_TECH_Crisis_Model!$E$5:$E$191,MATCH('Crisis Simulator'!$B$4&amp;"|"&amp;$C69,_TECH_Crisis_Model!$I$5:$I$191,0)),"")</f>
        <v>Decision rights, escalation and crisis governance determine response speed under pressure.</v>
      </c>
      <c r="AG69" s="48" t="str">
        <f>IFERROR(INDEX(_TECH_Crisis_Model!$G$5:$G$191,MATCH('Crisis Simulator'!$B$4&amp;"|"&amp;$C69,_TECH_Crisis_Model!$I$5:$I$191,0)),"")</f>
        <v>Define crisis roles, escalation path, decision cadence and management war room routines.</v>
      </c>
      <c r="AH69" s="48" t="str">
        <f>IFERROR(INDEX(_TECH_Initiative_Library!$A$5:$A$76,MATCH(1,INDEX((_TECH_Initiative_Library!$B$5:$B$76=$C69)*(_TECH_Initiative_Library!$C$5:$C$76=$D69),0),0)),"")</f>
        <v>INI-010</v>
      </c>
      <c r="AI69" s="48" t="str">
        <f>IFERROR(INDEX(_TECH_Initiative_Library!$F$5:$F$76,MATCH(1,INDEX((_TECH_Initiative_Library!$B$5:$B$76=$C69)*(_TECH_Initiative_Library!$C$5:$C$76=$D69),0),0)),"")</f>
        <v>Implement incident command, escalation and after-action review</v>
      </c>
      <c r="AJ69" s="48" t="str">
        <f ca="1">IFERROR(INDEX(_TECH_Initiative_Library!$AC$5:$AC$76,MATCH(1,INDEX((_TECH_Initiative_Library!$B$5:$B$76=$C69)*(_TECH_Initiative_Library!$C$5:$C$76=$D69),0),0)),"")</f>
        <v/>
      </c>
      <c r="AK69" s="48" t="str">
        <f ca="1">IFERROR(INDEX(_TECH_Initiative_Library!$AE$5:$AE$76,MATCH(1,INDEX((_TECH_Initiative_Library!$B$5:$B$76=$C69)*(_TECH_Initiative_Library!$C$5:$C$76=$D69),0),0)),"")</f>
        <v/>
      </c>
      <c r="AL69" s="48" t="str">
        <f>IF($B69="Yes",IFERROR(SUMIFS(_TECH_Industry_Templates!$E:$E,_TECH_Industry_Templates!$A:$A,'Company Profile'!$B$9,_TECH_Industry_Templates!$B:$B,$C69),1),"")</f>
        <v/>
      </c>
      <c r="AM69" s="48" t="str">
        <f t="shared" si="9"/>
        <v/>
      </c>
      <c r="AN69" s="48" t="str">
        <f>IF($AM69="","",RANK.EQ($AM69,$AM$8:$AM$414,0)+COUNTIF($AM$8:$AM69,$AM69)-1)</f>
        <v/>
      </c>
    </row>
    <row r="70" spans="1:40" ht="71.25">
      <c r="A70" s="28" t="str">
        <f>IF($AM70="","",RANK.EQ($AM70,$AM$8:$AM$414,0)+COUNTIF($AM$8:$AM70,$AM70)-1)</f>
        <v/>
      </c>
      <c r="B70" s="7" t="str">
        <f t="shared" si="0"/>
        <v/>
      </c>
      <c r="C70" s="7" t="s">
        <v>60</v>
      </c>
      <c r="D70" s="7" t="s">
        <v>1092</v>
      </c>
      <c r="E70" s="7" t="s">
        <v>2486</v>
      </c>
      <c r="F70" s="7" t="s">
        <v>2487</v>
      </c>
      <c r="G70" s="28" t="str">
        <f>IF(OR(COUNTA('Governance Crisis'!$H$23)=0,'Governance Crisis'!$H$23="N/A"),"",VALUE('Governance Crisis'!$H$23))</f>
        <v/>
      </c>
      <c r="H70" s="7" t="str">
        <f t="shared" si="1"/>
        <v/>
      </c>
      <c r="I70" s="7" t="str">
        <f>IF($G70="","",IFERROR(IF('Governance Crisis'!$L$23="",IF($G70&lt;=1,"Critical",IF($G70=2,"High",IF($G70=3,"Medium",IF($G70=4,"Low","Optimized")))),'Governance Crisis'!$L$23),IF($G70&lt;=1,"Critical",IF($G70=2,"High",IF($G70=3,"Medium",IF($G70=4,"Low","Optimized"))))))</f>
        <v/>
      </c>
      <c r="J70" s="7" t="str">
        <f>IF($G70="","",IFERROR(INDEX('Recommendation Matrix'!$E$5:$J$411,MATCH($E70,'Recommendation Matrix'!$A$5:$A$411,0),$G70+1),""))</f>
        <v/>
      </c>
      <c r="K70" s="7" t="str">
        <f>IF($G70="","",IFERROR(VLOOKUP($E70,'Recommendation Matrix'!$A$5:$K$411,11,FALSE),""))</f>
        <v/>
      </c>
      <c r="L70" s="28" t="str">
        <f t="shared" si="2"/>
        <v/>
      </c>
      <c r="M70" s="28" t="str">
        <f>IF($G70="","",IFERROR(INDEX('Recommendation Matrix'!$L$5:$Q$411,MATCH($E70,'Recommendation Matrix'!$A$5:$A$411,0),$G70+1),""))</f>
        <v/>
      </c>
      <c r="N70" s="28" t="str">
        <f t="shared" si="3"/>
        <v/>
      </c>
      <c r="O70" s="28" t="str">
        <f t="shared" si="4"/>
        <v/>
      </c>
      <c r="P70" s="28" t="str">
        <f t="shared" si="5"/>
        <v/>
      </c>
      <c r="Q70" s="28" t="str">
        <f t="shared" si="6"/>
        <v/>
      </c>
      <c r="R70" s="8" t="str">
        <f t="shared" si="7"/>
        <v/>
      </c>
      <c r="S70" s="28">
        <f>IFERROR('Governance Crisis'!$G$23,"")</f>
        <v>5</v>
      </c>
      <c r="T70" s="28">
        <f>IFERROR('Governance Crisis'!$W$23,"")</f>
        <v>4</v>
      </c>
      <c r="U70" s="28">
        <f>IFERROR('Governance Crisis'!$X$23,"")</f>
        <v>5</v>
      </c>
      <c r="V70" s="28">
        <f>IFERROR('Governance Crisis'!$Y$23,"")</f>
        <v>5</v>
      </c>
      <c r="W70" s="7" t="s">
        <v>2314</v>
      </c>
      <c r="X70" s="7" t="s">
        <v>1863</v>
      </c>
      <c r="Y70" s="7" t="s">
        <v>2488</v>
      </c>
      <c r="Z70" s="7">
        <f>IFERROR('Governance Crisis'!$U$23,"")</f>
        <v>0</v>
      </c>
      <c r="AA70" s="7"/>
      <c r="AB70" s="29"/>
      <c r="AC70" s="7"/>
      <c r="AD70" s="48" t="str">
        <f>IF($B70="Yes",IFERROR(SUMIFS(_TECH_Crisis_Model!$D$5:$D$191,_TECH_Crisis_Model!$A$5:$A$191,'Crisis Simulator'!$B$4,_TECH_Crisis_Model!$B$5:$B$191,$C70),1),"")</f>
        <v/>
      </c>
      <c r="AE70" s="48" t="str">
        <f t="shared" si="8"/>
        <v/>
      </c>
      <c r="AF70" s="48" t="str">
        <f>IFERROR(INDEX(_TECH_Crisis_Model!$E$5:$E$191,MATCH('Crisis Simulator'!$B$4&amp;"|"&amp;$C70,_TECH_Crisis_Model!$I$5:$I$191,0)),"")</f>
        <v>Decision rights, escalation and crisis governance determine response speed under pressure.</v>
      </c>
      <c r="AG70" s="48" t="str">
        <f>IFERROR(INDEX(_TECH_Crisis_Model!$G$5:$G$191,MATCH('Crisis Simulator'!$B$4&amp;"|"&amp;$C70,_TECH_Crisis_Model!$I$5:$I$191,0)),"")</f>
        <v>Define crisis roles, escalation path, decision cadence and management war room routines.</v>
      </c>
      <c r="AH70" s="48" t="str">
        <f>IFERROR(INDEX(_TECH_Initiative_Library!$A$5:$A$76,MATCH(1,INDEX((_TECH_Initiative_Library!$B$5:$B$76=$C70)*(_TECH_Initiative_Library!$C$5:$C$76=$D70),0),0)),"")</f>
        <v>INI-010</v>
      </c>
      <c r="AI70" s="48" t="str">
        <f>IFERROR(INDEX(_TECH_Initiative_Library!$F$5:$F$76,MATCH(1,INDEX((_TECH_Initiative_Library!$B$5:$B$76=$C70)*(_TECH_Initiative_Library!$C$5:$C$76=$D70),0),0)),"")</f>
        <v>Implement incident command, escalation and after-action review</v>
      </c>
      <c r="AJ70" s="48" t="str">
        <f ca="1">IFERROR(INDEX(_TECH_Initiative_Library!$AC$5:$AC$76,MATCH(1,INDEX((_TECH_Initiative_Library!$B$5:$B$76=$C70)*(_TECH_Initiative_Library!$C$5:$C$76=$D70),0),0)),"")</f>
        <v/>
      </c>
      <c r="AK70" s="48" t="str">
        <f ca="1">IFERROR(INDEX(_TECH_Initiative_Library!$AE$5:$AE$76,MATCH(1,INDEX((_TECH_Initiative_Library!$B$5:$B$76=$C70)*(_TECH_Initiative_Library!$C$5:$C$76=$D70),0),0)),"")</f>
        <v/>
      </c>
      <c r="AL70" s="48" t="str">
        <f>IF($B70="Yes",IFERROR(SUMIFS(_TECH_Industry_Templates!$E:$E,_TECH_Industry_Templates!$A:$A,'Company Profile'!$B$9,_TECH_Industry_Templates!$B:$B,$C70),1),"")</f>
        <v/>
      </c>
      <c r="AM70" s="48" t="str">
        <f t="shared" si="9"/>
        <v/>
      </c>
      <c r="AN70" s="48" t="str">
        <f>IF($AM70="","",RANK.EQ($AM70,$AM$8:$AM$414,0)+COUNTIF($AM$8:$AM70,$AM70)-1)</f>
        <v/>
      </c>
    </row>
    <row r="71" spans="1:40" ht="71.25">
      <c r="A71" s="28" t="str">
        <f>IF($AM71="","",RANK.EQ($AM71,$AM$8:$AM$414,0)+COUNTIF($AM$8:$AM71,$AM71)-1)</f>
        <v/>
      </c>
      <c r="B71" s="7" t="str">
        <f t="shared" si="0"/>
        <v/>
      </c>
      <c r="C71" s="7" t="s">
        <v>63</v>
      </c>
      <c r="D71" s="7" t="s">
        <v>1100</v>
      </c>
      <c r="E71" s="7" t="s">
        <v>2498</v>
      </c>
      <c r="F71" s="7" t="s">
        <v>2499</v>
      </c>
      <c r="G71" s="28" t="str">
        <f>IF(OR(COUNTA('HR Workforce'!$H$5)=0,'HR Workforce'!$H$5="N/A"),"",VALUE('HR Workforce'!$H$5))</f>
        <v/>
      </c>
      <c r="H71" s="7" t="str">
        <f t="shared" si="1"/>
        <v/>
      </c>
      <c r="I71" s="7" t="str">
        <f>IF($G71="","",IFERROR(IF('HR Workforce'!$L$5="",IF($G71&lt;=1,"Critical",IF($G71=2,"High",IF($G71=3,"Medium",IF($G71=4,"Low","Optimized")))),'HR Workforce'!$L$5),IF($G71&lt;=1,"Critical",IF($G71=2,"High",IF($G71=3,"Medium",IF($G71=4,"Low","Optimized"))))))</f>
        <v/>
      </c>
      <c r="J71" s="7" t="str">
        <f>IF($G71="","",IFERROR(INDEX('Recommendation Matrix'!$E$5:$J$411,MATCH($E71,'Recommendation Matrix'!$A$5:$A$411,0),$G71+1),""))</f>
        <v/>
      </c>
      <c r="K71" s="7" t="str">
        <f>IF($G71="","",IFERROR(VLOOKUP($E71,'Recommendation Matrix'!$A$5:$K$411,11,FALSE),""))</f>
        <v/>
      </c>
      <c r="L71" s="28" t="str">
        <f t="shared" si="2"/>
        <v/>
      </c>
      <c r="M71" s="28" t="str">
        <f>IF($G71="","",IFERROR(INDEX('Recommendation Matrix'!$L$5:$Q$411,MATCH($E71,'Recommendation Matrix'!$A$5:$A$411,0),$G71+1),""))</f>
        <v/>
      </c>
      <c r="N71" s="28" t="str">
        <f t="shared" si="3"/>
        <v/>
      </c>
      <c r="O71" s="28" t="str">
        <f t="shared" si="4"/>
        <v/>
      </c>
      <c r="P71" s="28" t="str">
        <f t="shared" si="5"/>
        <v/>
      </c>
      <c r="Q71" s="28" t="str">
        <f t="shared" si="6"/>
        <v/>
      </c>
      <c r="R71" s="8" t="str">
        <f t="shared" si="7"/>
        <v/>
      </c>
      <c r="S71" s="28">
        <f>IFERROR('HR Workforce'!$G$5,"")</f>
        <v>5</v>
      </c>
      <c r="T71" s="28">
        <f>IFERROR('HR Workforce'!$W$5,"")</f>
        <v>4</v>
      </c>
      <c r="U71" s="28">
        <f>IFERROR('HR Workforce'!$X$5,"")</f>
        <v>5</v>
      </c>
      <c r="V71" s="28">
        <f>IFERROR('HR Workforce'!$Y$5,"")</f>
        <v>5</v>
      </c>
      <c r="W71" s="7" t="s">
        <v>2509</v>
      </c>
      <c r="X71" s="7" t="s">
        <v>2510</v>
      </c>
      <c r="Y71" s="7" t="s">
        <v>2502</v>
      </c>
      <c r="Z71" s="7">
        <f>IFERROR('HR Workforce'!$U$5,"")</f>
        <v>0</v>
      </c>
      <c r="AA71" s="7"/>
      <c r="AB71" s="29"/>
      <c r="AC71" s="7"/>
      <c r="AD71" s="48" t="str">
        <f>IF($B71="Yes",IFERROR(SUMIFS(_TECH_Crisis_Model!$D$5:$D$191,_TECH_Crisis_Model!$A$5:$A$191,'Crisis Simulator'!$B$4,_TECH_Crisis_Model!$B$5:$B$191,$C71),1),"")</f>
        <v/>
      </c>
      <c r="AE71" s="48" t="str">
        <f t="shared" si="8"/>
        <v/>
      </c>
      <c r="AF71" s="48" t="str">
        <f>IFERROR(INDEX(_TECH_Crisis_Model!$E$5:$E$191,MATCH('Crisis Simulator'!$B$4&amp;"|"&amp;$C71,_TECH_Crisis_Model!$I$5:$I$191,0)),"")</f>
        <v>Workforce availability, critical people and knowledge continuity determine operational capacity.</v>
      </c>
      <c r="AG71" s="48" t="str">
        <f>IFERROR(INDEX(_TECH_Crisis_Model!$G$5:$G$191,MATCH('Crisis Simulator'!$B$4&amp;"|"&amp;$C71,_TECH_Crisis_Model!$I$5:$I$191,0)),"")</f>
        <v>Create critical role backups, knowledge transfer, cross-training and workforce continuity plans.</v>
      </c>
      <c r="AH71" s="48" t="str">
        <f>IFERROR(INDEX(_TECH_Initiative_Library!$A$5:$A$76,MATCH(1,INDEX((_TECH_Initiative_Library!$B$5:$B$76=$C71)*(_TECH_Initiative_Library!$C$5:$C$76=$D71),0),0)),"")</f>
        <v>INI-011</v>
      </c>
      <c r="AI71" s="48" t="str">
        <f>IFERROR(INDEX(_TECH_Initiative_Library!$F$5:$F$76,MATCH(1,INDEX((_TECH_Initiative_Library!$B$5:$B$76=$C71)*(_TECH_Initiative_Library!$C$5:$C$76=$D71),0),0)),"")</f>
        <v>Create workforce visibility, critical-role and location dashboard</v>
      </c>
      <c r="AJ71" s="48" t="str">
        <f ca="1">IFERROR(INDEX(_TECH_Initiative_Library!$AC$5:$AC$76,MATCH(1,INDEX((_TECH_Initiative_Library!$B$5:$B$76=$C71)*(_TECH_Initiative_Library!$C$5:$C$76=$D71),0),0)),"")</f>
        <v/>
      </c>
      <c r="AK71" s="48" t="str">
        <f ca="1">IFERROR(INDEX(_TECH_Initiative_Library!$AE$5:$AE$76,MATCH(1,INDEX((_TECH_Initiative_Library!$B$5:$B$76=$C71)*(_TECH_Initiative_Library!$C$5:$C$76=$D71),0),0)),"")</f>
        <v/>
      </c>
      <c r="AL71" s="48" t="str">
        <f>IF($B71="Yes",IFERROR(SUMIFS(_TECH_Industry_Templates!$E:$E,_TECH_Industry_Templates!$A:$A,'Company Profile'!$B$9,_TECH_Industry_Templates!$B:$B,$C71),1),"")</f>
        <v/>
      </c>
      <c r="AM71" s="48" t="str">
        <f t="shared" si="9"/>
        <v/>
      </c>
      <c r="AN71" s="48" t="str">
        <f>IF($AM71="","",RANK.EQ($AM71,$AM$8:$AM$414,0)+COUNTIF($AM$8:$AM71,$AM71)-1)</f>
        <v/>
      </c>
    </row>
    <row r="72" spans="1:40" ht="85.5">
      <c r="A72" s="28" t="str">
        <f>IF($AM72="","",RANK.EQ($AM72,$AM$8:$AM$414,0)+COUNTIF($AM$8:$AM72,$AM72)-1)</f>
        <v/>
      </c>
      <c r="B72" s="7" t="str">
        <f t="shared" ref="B72:B135" si="10">IF($G72="","",IF($G72&lt;5,"Yes","Maintain"))</f>
        <v/>
      </c>
      <c r="C72" s="7" t="s">
        <v>63</v>
      </c>
      <c r="D72" s="7" t="s">
        <v>1100</v>
      </c>
      <c r="E72" s="7" t="s">
        <v>2512</v>
      </c>
      <c r="F72" s="7" t="s">
        <v>2513</v>
      </c>
      <c r="G72" s="28" t="str">
        <f>IF(OR(COUNTA('HR Workforce'!$H$6)=0,'HR Workforce'!$H$6="N/A"),"",VALUE('HR Workforce'!$H$6))</f>
        <v/>
      </c>
      <c r="H72" s="7" t="str">
        <f t="shared" ref="H72:H135" si="11">IF($G72="","",IF($G72&gt;=5,"Sustain",$G72+1))</f>
        <v/>
      </c>
      <c r="I72" s="7" t="str">
        <f>IF($G72="","",IFERROR(IF('HR Workforce'!$L$6="",IF($G72&lt;=1,"Critical",IF($G72=2,"High",IF($G72=3,"Medium",IF($G72=4,"Low","Optimized")))),'HR Workforce'!$L$6),IF($G72&lt;=1,"Critical",IF($G72=2,"High",IF($G72=3,"Medium",IF($G72=4,"Low","Optimized"))))))</f>
        <v/>
      </c>
      <c r="J72" s="7" t="str">
        <f>IF($G72="","",IFERROR(INDEX('Recommendation Matrix'!$E$5:$J$411,MATCH($E72,'Recommendation Matrix'!$A$5:$A$411,0),$G72+1),""))</f>
        <v/>
      </c>
      <c r="K72" s="7" t="str">
        <f>IF($G72="","",IFERROR(VLOOKUP($E72,'Recommendation Matrix'!$A$5:$K$411,11,FALSE),""))</f>
        <v/>
      </c>
      <c r="L72" s="28" t="str">
        <f t="shared" ref="L72:L135" si="12">IF($G72="","",MAX(1,MIN(5,ROUNDUP(((5-$G72)*0.55)+($S72*0.25)+($U72*0.2),0))))</f>
        <v/>
      </c>
      <c r="M72" s="28" t="str">
        <f>IF($G72="","",IFERROR(INDEX('Recommendation Matrix'!$L$5:$Q$411,MATCH($E72,'Recommendation Matrix'!$A$5:$A$411,0),$G72+1),""))</f>
        <v/>
      </c>
      <c r="N72" s="28" t="str">
        <f t="shared" ref="N72:N135" si="13">IF($G72="","",MAX(1,MIN(5,ROUND(($S72+$T72+$V72)/3,0))))</f>
        <v/>
      </c>
      <c r="O72" s="28" t="str">
        <f t="shared" ref="O72:O135" si="14">IF($G72="","",IF($I72="Critical",5,IF($I72="High",4,IF($I72="Medium",3,IF($I72="Low",2,1)))))</f>
        <v/>
      </c>
      <c r="P72" s="28" t="str">
        <f t="shared" ref="P72:P135" si="15">IF($G72="","",MAX(1,MIN(5,ROUNDUP(((5-$G72)*0.6)+($U72*0.4),0))))</f>
        <v/>
      </c>
      <c r="Q72" s="28" t="str">
        <f t="shared" ref="Q72:Q135" si="16">IF($G72="","",MAX(1,MIN(5,ROUND(($T72+$V72)/2,0))))</f>
        <v/>
      </c>
      <c r="R72" s="8" t="str">
        <f t="shared" ref="R72:R135" si="17">IF($G72="","",ROUND(($N72+$O72+$P72+$Q72)/$M72,2))</f>
        <v/>
      </c>
      <c r="S72" s="28">
        <f>IFERROR('HR Workforce'!$G$6,"")</f>
        <v>5</v>
      </c>
      <c r="T72" s="28">
        <f>IFERROR('HR Workforce'!$W$6,"")</f>
        <v>4</v>
      </c>
      <c r="U72" s="28">
        <f>IFERROR('HR Workforce'!$X$6,"")</f>
        <v>5</v>
      </c>
      <c r="V72" s="28">
        <f>IFERROR('HR Workforce'!$Y$6,"")</f>
        <v>5</v>
      </c>
      <c r="W72" s="7" t="s">
        <v>2509</v>
      </c>
      <c r="X72" s="7" t="s">
        <v>2510</v>
      </c>
      <c r="Y72" s="7" t="s">
        <v>2514</v>
      </c>
      <c r="Z72" s="7">
        <f>IFERROR('HR Workforce'!$U$6,"")</f>
        <v>0</v>
      </c>
      <c r="AA72" s="7"/>
      <c r="AB72" s="29"/>
      <c r="AC72" s="7"/>
      <c r="AD72" s="48" t="str">
        <f>IF($B72="Yes",IFERROR(SUMIFS(_TECH_Crisis_Model!$D$5:$D$191,_TECH_Crisis_Model!$A$5:$A$191,'Crisis Simulator'!$B$4,_TECH_Crisis_Model!$B$5:$B$191,$C72),1),"")</f>
        <v/>
      </c>
      <c r="AE72" s="48" t="str">
        <f t="shared" ref="AE72:AE135" si="18">IF(AD72="","",ROUND($R72*(0.7+0.3*AD72),2))</f>
        <v/>
      </c>
      <c r="AF72" s="48" t="str">
        <f>IFERROR(INDEX(_TECH_Crisis_Model!$E$5:$E$191,MATCH('Crisis Simulator'!$B$4&amp;"|"&amp;$C72,_TECH_Crisis_Model!$I$5:$I$191,0)),"")</f>
        <v>Workforce availability, critical people and knowledge continuity determine operational capacity.</v>
      </c>
      <c r="AG72" s="48" t="str">
        <f>IFERROR(INDEX(_TECH_Crisis_Model!$G$5:$G$191,MATCH('Crisis Simulator'!$B$4&amp;"|"&amp;$C72,_TECH_Crisis_Model!$I$5:$I$191,0)),"")</f>
        <v>Create critical role backups, knowledge transfer, cross-training and workforce continuity plans.</v>
      </c>
      <c r="AH72" s="48" t="str">
        <f>IFERROR(INDEX(_TECH_Initiative_Library!$A$5:$A$76,MATCH(1,INDEX((_TECH_Initiative_Library!$B$5:$B$76=$C72)*(_TECH_Initiative_Library!$C$5:$C$76=$D72),0),0)),"")</f>
        <v>INI-011</v>
      </c>
      <c r="AI72" s="48" t="str">
        <f>IFERROR(INDEX(_TECH_Initiative_Library!$F$5:$F$76,MATCH(1,INDEX((_TECH_Initiative_Library!$B$5:$B$76=$C72)*(_TECH_Initiative_Library!$C$5:$C$76=$D72),0),0)),"")</f>
        <v>Create workforce visibility, critical-role and location dashboard</v>
      </c>
      <c r="AJ72" s="48" t="str">
        <f ca="1">IFERROR(INDEX(_TECH_Initiative_Library!$AC$5:$AC$76,MATCH(1,INDEX((_TECH_Initiative_Library!$B$5:$B$76=$C72)*(_TECH_Initiative_Library!$C$5:$C$76=$D72),0),0)),"")</f>
        <v/>
      </c>
      <c r="AK72" s="48" t="str">
        <f ca="1">IFERROR(INDEX(_TECH_Initiative_Library!$AE$5:$AE$76,MATCH(1,INDEX((_TECH_Initiative_Library!$B$5:$B$76=$C72)*(_TECH_Initiative_Library!$C$5:$C$76=$D72),0),0)),"")</f>
        <v/>
      </c>
      <c r="AL72" s="48" t="str">
        <f>IF($B72="Yes",IFERROR(SUMIFS(_TECH_Industry_Templates!$E:$E,_TECH_Industry_Templates!$A:$A,'Company Profile'!$B$9,_TECH_Industry_Templates!$B:$B,$C72),1),"")</f>
        <v/>
      </c>
      <c r="AM72" s="48" t="str">
        <f t="shared" ref="AM72:AM135" si="19">IF($R72="","",ROUND(IF($AE72="",$R72,$AE72)*$AL72,2))</f>
        <v/>
      </c>
      <c r="AN72" s="48" t="str">
        <f>IF($AM72="","",RANK.EQ($AM72,$AM$8:$AM$414,0)+COUNTIF($AM$8:$AM72,$AM72)-1)</f>
        <v/>
      </c>
    </row>
    <row r="73" spans="1:40" ht="85.5">
      <c r="A73" s="28" t="str">
        <f>IF($AM73="","",RANK.EQ($AM73,$AM$8:$AM$414,0)+COUNTIF($AM$8:$AM73,$AM73)-1)</f>
        <v/>
      </c>
      <c r="B73" s="7" t="str">
        <f t="shared" si="10"/>
        <v/>
      </c>
      <c r="C73" s="7" t="s">
        <v>63</v>
      </c>
      <c r="D73" s="7" t="s">
        <v>1100</v>
      </c>
      <c r="E73" s="7" t="s">
        <v>2522</v>
      </c>
      <c r="F73" s="7" t="s">
        <v>2523</v>
      </c>
      <c r="G73" s="28" t="str">
        <f>IF(OR(COUNTA('HR Workforce'!$H$7)=0,'HR Workforce'!$H$7="N/A"),"",VALUE('HR Workforce'!$H$7))</f>
        <v/>
      </c>
      <c r="H73" s="7" t="str">
        <f t="shared" si="11"/>
        <v/>
      </c>
      <c r="I73" s="7" t="str">
        <f>IF($G73="","",IFERROR(IF('HR Workforce'!$L$7="",IF($G73&lt;=1,"Critical",IF($G73=2,"High",IF($G73=3,"Medium",IF($G73=4,"Low","Optimized")))),'HR Workforce'!$L$7),IF($G73&lt;=1,"Critical",IF($G73=2,"High",IF($G73=3,"Medium",IF($G73=4,"Low","Optimized"))))))</f>
        <v/>
      </c>
      <c r="J73" s="7" t="str">
        <f>IF($G73="","",IFERROR(INDEX('Recommendation Matrix'!$E$5:$J$411,MATCH($E73,'Recommendation Matrix'!$A$5:$A$411,0),$G73+1),""))</f>
        <v/>
      </c>
      <c r="K73" s="7" t="str">
        <f>IF($G73="","",IFERROR(VLOOKUP($E73,'Recommendation Matrix'!$A$5:$K$411,11,FALSE),""))</f>
        <v/>
      </c>
      <c r="L73" s="28" t="str">
        <f t="shared" si="12"/>
        <v/>
      </c>
      <c r="M73" s="28" t="str">
        <f>IF($G73="","",IFERROR(INDEX('Recommendation Matrix'!$L$5:$Q$411,MATCH($E73,'Recommendation Matrix'!$A$5:$A$411,0),$G73+1),""))</f>
        <v/>
      </c>
      <c r="N73" s="28" t="str">
        <f t="shared" si="13"/>
        <v/>
      </c>
      <c r="O73" s="28" t="str">
        <f t="shared" si="14"/>
        <v/>
      </c>
      <c r="P73" s="28" t="str">
        <f t="shared" si="15"/>
        <v/>
      </c>
      <c r="Q73" s="28" t="str">
        <f t="shared" si="16"/>
        <v/>
      </c>
      <c r="R73" s="8" t="str">
        <f t="shared" si="17"/>
        <v/>
      </c>
      <c r="S73" s="28">
        <f>IFERROR('HR Workforce'!$G$7,"")</f>
        <v>5</v>
      </c>
      <c r="T73" s="28">
        <f>IFERROR('HR Workforce'!$W$7,"")</f>
        <v>4</v>
      </c>
      <c r="U73" s="28">
        <f>IFERROR('HR Workforce'!$X$7,"")</f>
        <v>5</v>
      </c>
      <c r="V73" s="28">
        <f>IFERROR('HR Workforce'!$Y$7,"")</f>
        <v>5</v>
      </c>
      <c r="W73" s="7" t="s">
        <v>2509</v>
      </c>
      <c r="X73" s="7" t="s">
        <v>2510</v>
      </c>
      <c r="Y73" s="7" t="s">
        <v>2524</v>
      </c>
      <c r="Z73" s="7">
        <f>IFERROR('HR Workforce'!$U$7,"")</f>
        <v>0</v>
      </c>
      <c r="AA73" s="7"/>
      <c r="AB73" s="29"/>
      <c r="AC73" s="7"/>
      <c r="AD73" s="48" t="str">
        <f>IF($B73="Yes",IFERROR(SUMIFS(_TECH_Crisis_Model!$D$5:$D$191,_TECH_Crisis_Model!$A$5:$A$191,'Crisis Simulator'!$B$4,_TECH_Crisis_Model!$B$5:$B$191,$C73),1),"")</f>
        <v/>
      </c>
      <c r="AE73" s="48" t="str">
        <f t="shared" si="18"/>
        <v/>
      </c>
      <c r="AF73" s="48" t="str">
        <f>IFERROR(INDEX(_TECH_Crisis_Model!$E$5:$E$191,MATCH('Crisis Simulator'!$B$4&amp;"|"&amp;$C73,_TECH_Crisis_Model!$I$5:$I$191,0)),"")</f>
        <v>Workforce availability, critical people and knowledge continuity determine operational capacity.</v>
      </c>
      <c r="AG73" s="48" t="str">
        <f>IFERROR(INDEX(_TECH_Crisis_Model!$G$5:$G$191,MATCH('Crisis Simulator'!$B$4&amp;"|"&amp;$C73,_TECH_Crisis_Model!$I$5:$I$191,0)),"")</f>
        <v>Create critical role backups, knowledge transfer, cross-training and workforce continuity plans.</v>
      </c>
      <c r="AH73" s="48" t="str">
        <f>IFERROR(INDEX(_TECH_Initiative_Library!$A$5:$A$76,MATCH(1,INDEX((_TECH_Initiative_Library!$B$5:$B$76=$C73)*(_TECH_Initiative_Library!$C$5:$C$76=$D73),0),0)),"")</f>
        <v>INI-011</v>
      </c>
      <c r="AI73" s="48" t="str">
        <f>IFERROR(INDEX(_TECH_Initiative_Library!$F$5:$F$76,MATCH(1,INDEX((_TECH_Initiative_Library!$B$5:$B$76=$C73)*(_TECH_Initiative_Library!$C$5:$C$76=$D73),0),0)),"")</f>
        <v>Create workforce visibility, critical-role and location dashboard</v>
      </c>
      <c r="AJ73" s="48" t="str">
        <f ca="1">IFERROR(INDEX(_TECH_Initiative_Library!$AC$5:$AC$76,MATCH(1,INDEX((_TECH_Initiative_Library!$B$5:$B$76=$C73)*(_TECH_Initiative_Library!$C$5:$C$76=$D73),0),0)),"")</f>
        <v/>
      </c>
      <c r="AK73" s="48" t="str">
        <f ca="1">IFERROR(INDEX(_TECH_Initiative_Library!$AE$5:$AE$76,MATCH(1,INDEX((_TECH_Initiative_Library!$B$5:$B$76=$C73)*(_TECH_Initiative_Library!$C$5:$C$76=$D73),0),0)),"")</f>
        <v/>
      </c>
      <c r="AL73" s="48" t="str">
        <f>IF($B73="Yes",IFERROR(SUMIFS(_TECH_Industry_Templates!$E:$E,_TECH_Industry_Templates!$A:$A,'Company Profile'!$B$9,_TECH_Industry_Templates!$B:$B,$C73),1),"")</f>
        <v/>
      </c>
      <c r="AM73" s="48" t="str">
        <f t="shared" si="19"/>
        <v/>
      </c>
      <c r="AN73" s="48" t="str">
        <f>IF($AM73="","",RANK.EQ($AM73,$AM$8:$AM$414,0)+COUNTIF($AM$8:$AM73,$AM73)-1)</f>
        <v/>
      </c>
    </row>
    <row r="74" spans="1:40" ht="71.25">
      <c r="A74" s="28" t="str">
        <f>IF($AM74="","",RANK.EQ($AM74,$AM$8:$AM$414,0)+COUNTIF($AM$8:$AM74,$AM74)-1)</f>
        <v/>
      </c>
      <c r="B74" s="7" t="str">
        <f t="shared" si="10"/>
        <v/>
      </c>
      <c r="C74" s="7" t="s">
        <v>63</v>
      </c>
      <c r="D74" s="7" t="s">
        <v>1100</v>
      </c>
      <c r="E74" s="7" t="s">
        <v>2532</v>
      </c>
      <c r="F74" s="7" t="s">
        <v>2533</v>
      </c>
      <c r="G74" s="28" t="str">
        <f>IF(OR(COUNTA('HR Workforce'!$H$8)=0,'HR Workforce'!$H$8="N/A"),"",VALUE('HR Workforce'!$H$8))</f>
        <v/>
      </c>
      <c r="H74" s="7" t="str">
        <f t="shared" si="11"/>
        <v/>
      </c>
      <c r="I74" s="7" t="str">
        <f>IF($G74="","",IFERROR(IF('HR Workforce'!$L$8="",IF($G74&lt;=1,"Critical",IF($G74=2,"High",IF($G74=3,"Medium",IF($G74=4,"Low","Optimized")))),'HR Workforce'!$L$8),IF($G74&lt;=1,"Critical",IF($G74=2,"High",IF($G74=3,"Medium",IF($G74=4,"Low","Optimized"))))))</f>
        <v/>
      </c>
      <c r="J74" s="7" t="str">
        <f>IF($G74="","",IFERROR(INDEX('Recommendation Matrix'!$E$5:$J$411,MATCH($E74,'Recommendation Matrix'!$A$5:$A$411,0),$G74+1),""))</f>
        <v/>
      </c>
      <c r="K74" s="7" t="str">
        <f>IF($G74="","",IFERROR(VLOOKUP($E74,'Recommendation Matrix'!$A$5:$K$411,11,FALSE),""))</f>
        <v/>
      </c>
      <c r="L74" s="28" t="str">
        <f t="shared" si="12"/>
        <v/>
      </c>
      <c r="M74" s="28" t="str">
        <f>IF($G74="","",IFERROR(INDEX('Recommendation Matrix'!$L$5:$Q$411,MATCH($E74,'Recommendation Matrix'!$A$5:$A$411,0),$G74+1),""))</f>
        <v/>
      </c>
      <c r="N74" s="28" t="str">
        <f t="shared" si="13"/>
        <v/>
      </c>
      <c r="O74" s="28" t="str">
        <f t="shared" si="14"/>
        <v/>
      </c>
      <c r="P74" s="28" t="str">
        <f t="shared" si="15"/>
        <v/>
      </c>
      <c r="Q74" s="28" t="str">
        <f t="shared" si="16"/>
        <v/>
      </c>
      <c r="R74" s="8" t="str">
        <f t="shared" si="17"/>
        <v/>
      </c>
      <c r="S74" s="28">
        <f>IFERROR('HR Workforce'!$G$8,"")</f>
        <v>5</v>
      </c>
      <c r="T74" s="28">
        <f>IFERROR('HR Workforce'!$W$8,"")</f>
        <v>5</v>
      </c>
      <c r="U74" s="28">
        <f>IFERROR('HR Workforce'!$X$8,"")</f>
        <v>5</v>
      </c>
      <c r="V74" s="28">
        <f>IFERROR('HR Workforce'!$Y$8,"")</f>
        <v>5</v>
      </c>
      <c r="W74" s="7" t="s">
        <v>2509</v>
      </c>
      <c r="X74" s="7" t="s">
        <v>2510</v>
      </c>
      <c r="Y74" s="7" t="s">
        <v>2534</v>
      </c>
      <c r="Z74" s="7">
        <f>IFERROR('HR Workforce'!$U$8,"")</f>
        <v>0</v>
      </c>
      <c r="AA74" s="7"/>
      <c r="AB74" s="29"/>
      <c r="AC74" s="7"/>
      <c r="AD74" s="48" t="str">
        <f>IF($B74="Yes",IFERROR(SUMIFS(_TECH_Crisis_Model!$D$5:$D$191,_TECH_Crisis_Model!$A$5:$A$191,'Crisis Simulator'!$B$4,_TECH_Crisis_Model!$B$5:$B$191,$C74),1),"")</f>
        <v/>
      </c>
      <c r="AE74" s="48" t="str">
        <f t="shared" si="18"/>
        <v/>
      </c>
      <c r="AF74" s="48" t="str">
        <f>IFERROR(INDEX(_TECH_Crisis_Model!$E$5:$E$191,MATCH('Crisis Simulator'!$B$4&amp;"|"&amp;$C74,_TECH_Crisis_Model!$I$5:$I$191,0)),"")</f>
        <v>Workforce availability, critical people and knowledge continuity determine operational capacity.</v>
      </c>
      <c r="AG74" s="48" t="str">
        <f>IFERROR(INDEX(_TECH_Crisis_Model!$G$5:$G$191,MATCH('Crisis Simulator'!$B$4&amp;"|"&amp;$C74,_TECH_Crisis_Model!$I$5:$I$191,0)),"")</f>
        <v>Create critical role backups, knowledge transfer, cross-training and workforce continuity plans.</v>
      </c>
      <c r="AH74" s="48" t="str">
        <f>IFERROR(INDEX(_TECH_Initiative_Library!$A$5:$A$76,MATCH(1,INDEX((_TECH_Initiative_Library!$B$5:$B$76=$C74)*(_TECH_Initiative_Library!$C$5:$C$76=$D74),0),0)),"")</f>
        <v>INI-011</v>
      </c>
      <c r="AI74" s="48" t="str">
        <f>IFERROR(INDEX(_TECH_Initiative_Library!$F$5:$F$76,MATCH(1,INDEX((_TECH_Initiative_Library!$B$5:$B$76=$C74)*(_TECH_Initiative_Library!$C$5:$C$76=$D74),0),0)),"")</f>
        <v>Create workforce visibility, critical-role and location dashboard</v>
      </c>
      <c r="AJ74" s="48" t="str">
        <f ca="1">IFERROR(INDEX(_TECH_Initiative_Library!$AC$5:$AC$76,MATCH(1,INDEX((_TECH_Initiative_Library!$B$5:$B$76=$C74)*(_TECH_Initiative_Library!$C$5:$C$76=$D74),0),0)),"")</f>
        <v/>
      </c>
      <c r="AK74" s="48" t="str">
        <f ca="1">IFERROR(INDEX(_TECH_Initiative_Library!$AE$5:$AE$76,MATCH(1,INDEX((_TECH_Initiative_Library!$B$5:$B$76=$C74)*(_TECH_Initiative_Library!$C$5:$C$76=$D74),0),0)),"")</f>
        <v/>
      </c>
      <c r="AL74" s="48" t="str">
        <f>IF($B74="Yes",IFERROR(SUMIFS(_TECH_Industry_Templates!$E:$E,_TECH_Industry_Templates!$A:$A,'Company Profile'!$B$9,_TECH_Industry_Templates!$B:$B,$C74),1),"")</f>
        <v/>
      </c>
      <c r="AM74" s="48" t="str">
        <f t="shared" si="19"/>
        <v/>
      </c>
      <c r="AN74" s="48" t="str">
        <f>IF($AM74="","",RANK.EQ($AM74,$AM$8:$AM$414,0)+COUNTIF($AM$8:$AM74,$AM74)-1)</f>
        <v/>
      </c>
    </row>
    <row r="75" spans="1:40" ht="71.25">
      <c r="A75" s="28" t="str">
        <f>IF($AM75="","",RANK.EQ($AM75,$AM$8:$AM$414,0)+COUNTIF($AM$8:$AM75,$AM75)-1)</f>
        <v/>
      </c>
      <c r="B75" s="7" t="str">
        <f t="shared" si="10"/>
        <v/>
      </c>
      <c r="C75" s="7" t="s">
        <v>63</v>
      </c>
      <c r="D75" s="7" t="s">
        <v>1100</v>
      </c>
      <c r="E75" s="7" t="s">
        <v>2542</v>
      </c>
      <c r="F75" s="7" t="s">
        <v>2543</v>
      </c>
      <c r="G75" s="28" t="str">
        <f>IF(OR(COUNTA('HR Workforce'!$H$9)=0,'HR Workforce'!$H$9="N/A"),"",VALUE('HR Workforce'!$H$9))</f>
        <v/>
      </c>
      <c r="H75" s="7" t="str">
        <f t="shared" si="11"/>
        <v/>
      </c>
      <c r="I75" s="7" t="str">
        <f>IF($G75="","",IFERROR(IF('HR Workforce'!$L$9="",IF($G75&lt;=1,"Critical",IF($G75=2,"High",IF($G75=3,"Medium",IF($G75=4,"Low","Optimized")))),'HR Workforce'!$L$9),IF($G75&lt;=1,"Critical",IF($G75=2,"High",IF($G75=3,"Medium",IF($G75=4,"Low","Optimized"))))))</f>
        <v/>
      </c>
      <c r="J75" s="7" t="str">
        <f>IF($G75="","",IFERROR(INDEX('Recommendation Matrix'!$E$5:$J$411,MATCH($E75,'Recommendation Matrix'!$A$5:$A$411,0),$G75+1),""))</f>
        <v/>
      </c>
      <c r="K75" s="7" t="str">
        <f>IF($G75="","",IFERROR(VLOOKUP($E75,'Recommendation Matrix'!$A$5:$K$411,11,FALSE),""))</f>
        <v/>
      </c>
      <c r="L75" s="28" t="str">
        <f t="shared" si="12"/>
        <v/>
      </c>
      <c r="M75" s="28" t="str">
        <f>IF($G75="","",IFERROR(INDEX('Recommendation Matrix'!$L$5:$Q$411,MATCH($E75,'Recommendation Matrix'!$A$5:$A$411,0),$G75+1),""))</f>
        <v/>
      </c>
      <c r="N75" s="28" t="str">
        <f t="shared" si="13"/>
        <v/>
      </c>
      <c r="O75" s="28" t="str">
        <f t="shared" si="14"/>
        <v/>
      </c>
      <c r="P75" s="28" t="str">
        <f t="shared" si="15"/>
        <v/>
      </c>
      <c r="Q75" s="28" t="str">
        <f t="shared" si="16"/>
        <v/>
      </c>
      <c r="R75" s="8" t="str">
        <f t="shared" si="17"/>
        <v/>
      </c>
      <c r="S75" s="28">
        <f>IFERROR('HR Workforce'!$G$9,"")</f>
        <v>5</v>
      </c>
      <c r="T75" s="28">
        <f>IFERROR('HR Workforce'!$W$9,"")</f>
        <v>4</v>
      </c>
      <c r="U75" s="28">
        <f>IFERROR('HR Workforce'!$X$9,"")</f>
        <v>5</v>
      </c>
      <c r="V75" s="28">
        <f>IFERROR('HR Workforce'!$Y$9,"")</f>
        <v>5</v>
      </c>
      <c r="W75" s="7" t="s">
        <v>2509</v>
      </c>
      <c r="X75" s="7" t="s">
        <v>2510</v>
      </c>
      <c r="Y75" s="7" t="s">
        <v>2544</v>
      </c>
      <c r="Z75" s="7">
        <f>IFERROR('HR Workforce'!$U$9,"")</f>
        <v>0</v>
      </c>
      <c r="AA75" s="7"/>
      <c r="AB75" s="29"/>
      <c r="AC75" s="7"/>
      <c r="AD75" s="48" t="str">
        <f>IF($B75="Yes",IFERROR(SUMIFS(_TECH_Crisis_Model!$D$5:$D$191,_TECH_Crisis_Model!$A$5:$A$191,'Crisis Simulator'!$B$4,_TECH_Crisis_Model!$B$5:$B$191,$C75),1),"")</f>
        <v/>
      </c>
      <c r="AE75" s="48" t="str">
        <f t="shared" si="18"/>
        <v/>
      </c>
      <c r="AF75" s="48" t="str">
        <f>IFERROR(INDEX(_TECH_Crisis_Model!$E$5:$E$191,MATCH('Crisis Simulator'!$B$4&amp;"|"&amp;$C75,_TECH_Crisis_Model!$I$5:$I$191,0)),"")</f>
        <v>Workforce availability, critical people and knowledge continuity determine operational capacity.</v>
      </c>
      <c r="AG75" s="48" t="str">
        <f>IFERROR(INDEX(_TECH_Crisis_Model!$G$5:$G$191,MATCH('Crisis Simulator'!$B$4&amp;"|"&amp;$C75,_TECH_Crisis_Model!$I$5:$I$191,0)),"")</f>
        <v>Create critical role backups, knowledge transfer, cross-training and workforce continuity plans.</v>
      </c>
      <c r="AH75" s="48" t="str">
        <f>IFERROR(INDEX(_TECH_Initiative_Library!$A$5:$A$76,MATCH(1,INDEX((_TECH_Initiative_Library!$B$5:$B$76=$C75)*(_TECH_Initiative_Library!$C$5:$C$76=$D75),0),0)),"")</f>
        <v>INI-011</v>
      </c>
      <c r="AI75" s="48" t="str">
        <f>IFERROR(INDEX(_TECH_Initiative_Library!$F$5:$F$76,MATCH(1,INDEX((_TECH_Initiative_Library!$B$5:$B$76=$C75)*(_TECH_Initiative_Library!$C$5:$C$76=$D75),0),0)),"")</f>
        <v>Create workforce visibility, critical-role and location dashboard</v>
      </c>
      <c r="AJ75" s="48" t="str">
        <f ca="1">IFERROR(INDEX(_TECH_Initiative_Library!$AC$5:$AC$76,MATCH(1,INDEX((_TECH_Initiative_Library!$B$5:$B$76=$C75)*(_TECH_Initiative_Library!$C$5:$C$76=$D75),0),0)),"")</f>
        <v/>
      </c>
      <c r="AK75" s="48" t="str">
        <f ca="1">IFERROR(INDEX(_TECH_Initiative_Library!$AE$5:$AE$76,MATCH(1,INDEX((_TECH_Initiative_Library!$B$5:$B$76=$C75)*(_TECH_Initiative_Library!$C$5:$C$76=$D75),0),0)),"")</f>
        <v/>
      </c>
      <c r="AL75" s="48" t="str">
        <f>IF($B75="Yes",IFERROR(SUMIFS(_TECH_Industry_Templates!$E:$E,_TECH_Industry_Templates!$A:$A,'Company Profile'!$B$9,_TECH_Industry_Templates!$B:$B,$C75),1),"")</f>
        <v/>
      </c>
      <c r="AM75" s="48" t="str">
        <f t="shared" si="19"/>
        <v/>
      </c>
      <c r="AN75" s="48" t="str">
        <f>IF($AM75="","",RANK.EQ($AM75,$AM$8:$AM$414,0)+COUNTIF($AM$8:$AM75,$AM75)-1)</f>
        <v/>
      </c>
    </row>
    <row r="76" spans="1:40" ht="71.25">
      <c r="A76" s="28" t="str">
        <f>IF($AM76="","",RANK.EQ($AM76,$AM$8:$AM$414,0)+COUNTIF($AM$8:$AM76,$AM76)-1)</f>
        <v/>
      </c>
      <c r="B76" s="7" t="str">
        <f t="shared" si="10"/>
        <v/>
      </c>
      <c r="C76" s="7" t="s">
        <v>63</v>
      </c>
      <c r="D76" s="7" t="s">
        <v>1100</v>
      </c>
      <c r="E76" s="7" t="s">
        <v>2552</v>
      </c>
      <c r="F76" s="7" t="s">
        <v>2553</v>
      </c>
      <c r="G76" s="28" t="str">
        <f>IF(OR(COUNTA('HR Workforce'!$H$10)=0,'HR Workforce'!$H$10="N/A"),"",VALUE('HR Workforce'!$H$10))</f>
        <v/>
      </c>
      <c r="H76" s="7" t="str">
        <f t="shared" si="11"/>
        <v/>
      </c>
      <c r="I76" s="7" t="str">
        <f>IF($G76="","",IFERROR(IF('HR Workforce'!$L$10="",IF($G76&lt;=1,"Critical",IF($G76=2,"High",IF($G76=3,"Medium",IF($G76=4,"Low","Optimized")))),'HR Workforce'!$L$10),IF($G76&lt;=1,"Critical",IF($G76=2,"High",IF($G76=3,"Medium",IF($G76=4,"Low","Optimized"))))))</f>
        <v/>
      </c>
      <c r="J76" s="7" t="str">
        <f>IF($G76="","",IFERROR(INDEX('Recommendation Matrix'!$E$5:$J$411,MATCH($E76,'Recommendation Matrix'!$A$5:$A$411,0),$G76+1),""))</f>
        <v/>
      </c>
      <c r="K76" s="7" t="str">
        <f>IF($G76="","",IFERROR(VLOOKUP($E76,'Recommendation Matrix'!$A$5:$K$411,11,FALSE),""))</f>
        <v/>
      </c>
      <c r="L76" s="28" t="str">
        <f t="shared" si="12"/>
        <v/>
      </c>
      <c r="M76" s="28" t="str">
        <f>IF($G76="","",IFERROR(INDEX('Recommendation Matrix'!$L$5:$Q$411,MATCH($E76,'Recommendation Matrix'!$A$5:$A$411,0),$G76+1),""))</f>
        <v/>
      </c>
      <c r="N76" s="28" t="str">
        <f t="shared" si="13"/>
        <v/>
      </c>
      <c r="O76" s="28" t="str">
        <f t="shared" si="14"/>
        <v/>
      </c>
      <c r="P76" s="28" t="str">
        <f t="shared" si="15"/>
        <v/>
      </c>
      <c r="Q76" s="28" t="str">
        <f t="shared" si="16"/>
        <v/>
      </c>
      <c r="R76" s="8" t="str">
        <f t="shared" si="17"/>
        <v/>
      </c>
      <c r="S76" s="28">
        <f>IFERROR('HR Workforce'!$G$10,"")</f>
        <v>3</v>
      </c>
      <c r="T76" s="28">
        <f>IFERROR('HR Workforce'!$W$10,"")</f>
        <v>4</v>
      </c>
      <c r="U76" s="28">
        <f>IFERROR('HR Workforce'!$X$10,"")</f>
        <v>5</v>
      </c>
      <c r="V76" s="28">
        <f>IFERROR('HR Workforce'!$Y$10,"")</f>
        <v>5</v>
      </c>
      <c r="W76" s="7" t="s">
        <v>2509</v>
      </c>
      <c r="X76" s="7" t="s">
        <v>2510</v>
      </c>
      <c r="Y76" s="7" t="s">
        <v>2554</v>
      </c>
      <c r="Z76" s="7">
        <f>IFERROR('HR Workforce'!$U$10,"")</f>
        <v>0</v>
      </c>
      <c r="AA76" s="7"/>
      <c r="AB76" s="29"/>
      <c r="AC76" s="7"/>
      <c r="AD76" s="48" t="str">
        <f>IF($B76="Yes",IFERROR(SUMIFS(_TECH_Crisis_Model!$D$5:$D$191,_TECH_Crisis_Model!$A$5:$A$191,'Crisis Simulator'!$B$4,_TECH_Crisis_Model!$B$5:$B$191,$C76),1),"")</f>
        <v/>
      </c>
      <c r="AE76" s="48" t="str">
        <f t="shared" si="18"/>
        <v/>
      </c>
      <c r="AF76" s="48" t="str">
        <f>IFERROR(INDEX(_TECH_Crisis_Model!$E$5:$E$191,MATCH('Crisis Simulator'!$B$4&amp;"|"&amp;$C76,_TECH_Crisis_Model!$I$5:$I$191,0)),"")</f>
        <v>Workforce availability, critical people and knowledge continuity determine operational capacity.</v>
      </c>
      <c r="AG76" s="48" t="str">
        <f>IFERROR(INDEX(_TECH_Crisis_Model!$G$5:$G$191,MATCH('Crisis Simulator'!$B$4&amp;"|"&amp;$C76,_TECH_Crisis_Model!$I$5:$I$191,0)),"")</f>
        <v>Create critical role backups, knowledge transfer, cross-training and workforce continuity plans.</v>
      </c>
      <c r="AH76" s="48" t="str">
        <f>IFERROR(INDEX(_TECH_Initiative_Library!$A$5:$A$76,MATCH(1,INDEX((_TECH_Initiative_Library!$B$5:$B$76=$C76)*(_TECH_Initiative_Library!$C$5:$C$76=$D76),0),0)),"")</f>
        <v>INI-011</v>
      </c>
      <c r="AI76" s="48" t="str">
        <f>IFERROR(INDEX(_TECH_Initiative_Library!$F$5:$F$76,MATCH(1,INDEX((_TECH_Initiative_Library!$B$5:$B$76=$C76)*(_TECH_Initiative_Library!$C$5:$C$76=$D76),0),0)),"")</f>
        <v>Create workforce visibility, critical-role and location dashboard</v>
      </c>
      <c r="AJ76" s="48" t="str">
        <f ca="1">IFERROR(INDEX(_TECH_Initiative_Library!$AC$5:$AC$76,MATCH(1,INDEX((_TECH_Initiative_Library!$B$5:$B$76=$C76)*(_TECH_Initiative_Library!$C$5:$C$76=$D76),0),0)),"")</f>
        <v/>
      </c>
      <c r="AK76" s="48" t="str">
        <f ca="1">IFERROR(INDEX(_TECH_Initiative_Library!$AE$5:$AE$76,MATCH(1,INDEX((_TECH_Initiative_Library!$B$5:$B$76=$C76)*(_TECH_Initiative_Library!$C$5:$C$76=$D76),0),0)),"")</f>
        <v/>
      </c>
      <c r="AL76" s="48" t="str">
        <f>IF($B76="Yes",IFERROR(SUMIFS(_TECH_Industry_Templates!$E:$E,_TECH_Industry_Templates!$A:$A,'Company Profile'!$B$9,_TECH_Industry_Templates!$B:$B,$C76),1),"")</f>
        <v/>
      </c>
      <c r="AM76" s="48" t="str">
        <f t="shared" si="19"/>
        <v/>
      </c>
      <c r="AN76" s="48" t="str">
        <f>IF($AM76="","",RANK.EQ($AM76,$AM$8:$AM$414,0)+COUNTIF($AM$8:$AM76,$AM76)-1)</f>
        <v/>
      </c>
    </row>
    <row r="77" spans="1:40" ht="71.25">
      <c r="A77" s="28" t="str">
        <f>IF($AM77="","",RANK.EQ($AM77,$AM$8:$AM$414,0)+COUNTIF($AM$8:$AM77,$AM77)-1)</f>
        <v/>
      </c>
      <c r="B77" s="7" t="str">
        <f t="shared" si="10"/>
        <v/>
      </c>
      <c r="C77" s="7" t="s">
        <v>63</v>
      </c>
      <c r="D77" s="7" t="s">
        <v>1113</v>
      </c>
      <c r="E77" s="7" t="s">
        <v>2562</v>
      </c>
      <c r="F77" s="7" t="s">
        <v>2563</v>
      </c>
      <c r="G77" s="28" t="str">
        <f>IF(OR(COUNTA('HR Workforce'!$H$11)=0,'HR Workforce'!$H$11="N/A"),"",VALUE('HR Workforce'!$H$11))</f>
        <v/>
      </c>
      <c r="H77" s="7" t="str">
        <f t="shared" si="11"/>
        <v/>
      </c>
      <c r="I77" s="7" t="str">
        <f>IF($G77="","",IFERROR(IF('HR Workforce'!$L$11="",IF($G77&lt;=1,"Critical",IF($G77=2,"High",IF($G77=3,"Medium",IF($G77=4,"Low","Optimized")))),'HR Workforce'!$L$11),IF($G77&lt;=1,"Critical",IF($G77=2,"High",IF($G77=3,"Medium",IF($G77=4,"Low","Optimized"))))))</f>
        <v/>
      </c>
      <c r="J77" s="7" t="str">
        <f>IF($G77="","",IFERROR(INDEX('Recommendation Matrix'!$E$5:$J$411,MATCH($E77,'Recommendation Matrix'!$A$5:$A$411,0),$G77+1),""))</f>
        <v/>
      </c>
      <c r="K77" s="7" t="str">
        <f>IF($G77="","",IFERROR(VLOOKUP($E77,'Recommendation Matrix'!$A$5:$K$411,11,FALSE),""))</f>
        <v/>
      </c>
      <c r="L77" s="28" t="str">
        <f t="shared" si="12"/>
        <v/>
      </c>
      <c r="M77" s="28" t="str">
        <f>IF($G77="","",IFERROR(INDEX('Recommendation Matrix'!$L$5:$Q$411,MATCH($E77,'Recommendation Matrix'!$A$5:$A$411,0),$G77+1),""))</f>
        <v/>
      </c>
      <c r="N77" s="28" t="str">
        <f t="shared" si="13"/>
        <v/>
      </c>
      <c r="O77" s="28" t="str">
        <f t="shared" si="14"/>
        <v/>
      </c>
      <c r="P77" s="28" t="str">
        <f t="shared" si="15"/>
        <v/>
      </c>
      <c r="Q77" s="28" t="str">
        <f t="shared" si="16"/>
        <v/>
      </c>
      <c r="R77" s="8" t="str">
        <f t="shared" si="17"/>
        <v/>
      </c>
      <c r="S77" s="28">
        <f>IFERROR('HR Workforce'!$G$11,"")</f>
        <v>5</v>
      </c>
      <c r="T77" s="28">
        <f>IFERROR('HR Workforce'!$W$11,"")</f>
        <v>4</v>
      </c>
      <c r="U77" s="28">
        <f>IFERROR('HR Workforce'!$X$11,"")</f>
        <v>5</v>
      </c>
      <c r="V77" s="28">
        <f>IFERROR('HR Workforce'!$Y$11,"")</f>
        <v>5</v>
      </c>
      <c r="W77" s="7" t="s">
        <v>2509</v>
      </c>
      <c r="X77" s="7" t="s">
        <v>2510</v>
      </c>
      <c r="Y77" s="7" t="s">
        <v>2564</v>
      </c>
      <c r="Z77" s="7">
        <f>IFERROR('HR Workforce'!$U$11,"")</f>
        <v>0</v>
      </c>
      <c r="AA77" s="7"/>
      <c r="AB77" s="29"/>
      <c r="AC77" s="7"/>
      <c r="AD77" s="48" t="str">
        <f>IF($B77="Yes",IFERROR(SUMIFS(_TECH_Crisis_Model!$D$5:$D$191,_TECH_Crisis_Model!$A$5:$A$191,'Crisis Simulator'!$B$4,_TECH_Crisis_Model!$B$5:$B$191,$C77),1),"")</f>
        <v/>
      </c>
      <c r="AE77" s="48" t="str">
        <f t="shared" si="18"/>
        <v/>
      </c>
      <c r="AF77" s="48" t="str">
        <f>IFERROR(INDEX(_TECH_Crisis_Model!$E$5:$E$191,MATCH('Crisis Simulator'!$B$4&amp;"|"&amp;$C77,_TECH_Crisis_Model!$I$5:$I$191,0)),"")</f>
        <v>Workforce availability, critical people and knowledge continuity determine operational capacity.</v>
      </c>
      <c r="AG77" s="48" t="str">
        <f>IFERROR(INDEX(_TECH_Crisis_Model!$G$5:$G$191,MATCH('Crisis Simulator'!$B$4&amp;"|"&amp;$C77,_TECH_Crisis_Model!$I$5:$I$191,0)),"")</f>
        <v>Create critical role backups, knowledge transfer, cross-training and workforce continuity plans.</v>
      </c>
      <c r="AH77" s="48" t="str">
        <f>IFERROR(INDEX(_TECH_Initiative_Library!$A$5:$A$76,MATCH(1,INDEX((_TECH_Initiative_Library!$B$5:$B$76=$C77)*(_TECH_Initiative_Library!$C$5:$C$76=$D77),0),0)),"")</f>
        <v>INI-012</v>
      </c>
      <c r="AI77" s="48" t="str">
        <f>IFERROR(INDEX(_TECH_Initiative_Library!$F$5:$F$76,MATCH(1,INDEX((_TECH_Initiative_Library!$B$5:$B$76=$C77)*(_TECH_Initiative_Library!$C$5:$C$76=$D77),0),0)),"")</f>
        <v>Build recruitment, retention and succession resilience plan</v>
      </c>
      <c r="AJ77" s="48" t="str">
        <f ca="1">IFERROR(INDEX(_TECH_Initiative_Library!$AC$5:$AC$76,MATCH(1,INDEX((_TECH_Initiative_Library!$B$5:$B$76=$C77)*(_TECH_Initiative_Library!$C$5:$C$76=$D77),0),0)),"")</f>
        <v/>
      </c>
      <c r="AK77" s="48" t="str">
        <f ca="1">IFERROR(INDEX(_TECH_Initiative_Library!$AE$5:$AE$76,MATCH(1,INDEX((_TECH_Initiative_Library!$B$5:$B$76=$C77)*(_TECH_Initiative_Library!$C$5:$C$76=$D77),0),0)),"")</f>
        <v/>
      </c>
      <c r="AL77" s="48" t="str">
        <f>IF($B77="Yes",IFERROR(SUMIFS(_TECH_Industry_Templates!$E:$E,_TECH_Industry_Templates!$A:$A,'Company Profile'!$B$9,_TECH_Industry_Templates!$B:$B,$C77),1),"")</f>
        <v/>
      </c>
      <c r="AM77" s="48" t="str">
        <f t="shared" si="19"/>
        <v/>
      </c>
      <c r="AN77" s="48" t="str">
        <f>IF($AM77="","",RANK.EQ($AM77,$AM$8:$AM$414,0)+COUNTIF($AM$8:$AM77,$AM77)-1)</f>
        <v/>
      </c>
    </row>
    <row r="78" spans="1:40" ht="71.25">
      <c r="A78" s="28" t="str">
        <f>IF($AM78="","",RANK.EQ($AM78,$AM$8:$AM$414,0)+COUNTIF($AM$8:$AM78,$AM78)-1)</f>
        <v/>
      </c>
      <c r="B78" s="7" t="str">
        <f t="shared" si="10"/>
        <v/>
      </c>
      <c r="C78" s="7" t="s">
        <v>63</v>
      </c>
      <c r="D78" s="7" t="s">
        <v>1113</v>
      </c>
      <c r="E78" s="7" t="s">
        <v>2572</v>
      </c>
      <c r="F78" s="7" t="s">
        <v>2573</v>
      </c>
      <c r="G78" s="28" t="str">
        <f>IF(OR(COUNTA('HR Workforce'!$H$12)=0,'HR Workforce'!$H$12="N/A"),"",VALUE('HR Workforce'!$H$12))</f>
        <v/>
      </c>
      <c r="H78" s="7" t="str">
        <f t="shared" si="11"/>
        <v/>
      </c>
      <c r="I78" s="7" t="str">
        <f>IF($G78="","",IFERROR(IF('HR Workforce'!$L$12="",IF($G78&lt;=1,"Critical",IF($G78=2,"High",IF($G78=3,"Medium",IF($G78=4,"Low","Optimized")))),'HR Workforce'!$L$12),IF($G78&lt;=1,"Critical",IF($G78=2,"High",IF($G78=3,"Medium",IF($G78=4,"Low","Optimized"))))))</f>
        <v/>
      </c>
      <c r="J78" s="7" t="str">
        <f>IF($G78="","",IFERROR(INDEX('Recommendation Matrix'!$E$5:$J$411,MATCH($E78,'Recommendation Matrix'!$A$5:$A$411,0),$G78+1),""))</f>
        <v/>
      </c>
      <c r="K78" s="7" t="str">
        <f>IF($G78="","",IFERROR(VLOOKUP($E78,'Recommendation Matrix'!$A$5:$K$411,11,FALSE),""))</f>
        <v/>
      </c>
      <c r="L78" s="28" t="str">
        <f t="shared" si="12"/>
        <v/>
      </c>
      <c r="M78" s="28" t="str">
        <f>IF($G78="","",IFERROR(INDEX('Recommendation Matrix'!$L$5:$Q$411,MATCH($E78,'Recommendation Matrix'!$A$5:$A$411,0),$G78+1),""))</f>
        <v/>
      </c>
      <c r="N78" s="28" t="str">
        <f t="shared" si="13"/>
        <v/>
      </c>
      <c r="O78" s="28" t="str">
        <f t="shared" si="14"/>
        <v/>
      </c>
      <c r="P78" s="28" t="str">
        <f t="shared" si="15"/>
        <v/>
      </c>
      <c r="Q78" s="28" t="str">
        <f t="shared" si="16"/>
        <v/>
      </c>
      <c r="R78" s="8" t="str">
        <f t="shared" si="17"/>
        <v/>
      </c>
      <c r="S78" s="28">
        <f>IFERROR('HR Workforce'!$G$12,"")</f>
        <v>5</v>
      </c>
      <c r="T78" s="28">
        <f>IFERROR('HR Workforce'!$W$12,"")</f>
        <v>4</v>
      </c>
      <c r="U78" s="28">
        <f>IFERROR('HR Workforce'!$X$12,"")</f>
        <v>5</v>
      </c>
      <c r="V78" s="28">
        <f>IFERROR('HR Workforce'!$Y$12,"")</f>
        <v>5</v>
      </c>
      <c r="W78" s="7" t="s">
        <v>2509</v>
      </c>
      <c r="X78" s="7" t="s">
        <v>2510</v>
      </c>
      <c r="Y78" s="7" t="s">
        <v>2574</v>
      </c>
      <c r="Z78" s="7">
        <f>IFERROR('HR Workforce'!$U$12,"")</f>
        <v>0</v>
      </c>
      <c r="AA78" s="7"/>
      <c r="AB78" s="29"/>
      <c r="AC78" s="7"/>
      <c r="AD78" s="48" t="str">
        <f>IF($B78="Yes",IFERROR(SUMIFS(_TECH_Crisis_Model!$D$5:$D$191,_TECH_Crisis_Model!$A$5:$A$191,'Crisis Simulator'!$B$4,_TECH_Crisis_Model!$B$5:$B$191,$C78),1),"")</f>
        <v/>
      </c>
      <c r="AE78" s="48" t="str">
        <f t="shared" si="18"/>
        <v/>
      </c>
      <c r="AF78" s="48" t="str">
        <f>IFERROR(INDEX(_TECH_Crisis_Model!$E$5:$E$191,MATCH('Crisis Simulator'!$B$4&amp;"|"&amp;$C78,_TECH_Crisis_Model!$I$5:$I$191,0)),"")</f>
        <v>Workforce availability, critical people and knowledge continuity determine operational capacity.</v>
      </c>
      <c r="AG78" s="48" t="str">
        <f>IFERROR(INDEX(_TECH_Crisis_Model!$G$5:$G$191,MATCH('Crisis Simulator'!$B$4&amp;"|"&amp;$C78,_TECH_Crisis_Model!$I$5:$I$191,0)),"")</f>
        <v>Create critical role backups, knowledge transfer, cross-training and workforce continuity plans.</v>
      </c>
      <c r="AH78" s="48" t="str">
        <f>IFERROR(INDEX(_TECH_Initiative_Library!$A$5:$A$76,MATCH(1,INDEX((_TECH_Initiative_Library!$B$5:$B$76=$C78)*(_TECH_Initiative_Library!$C$5:$C$76=$D78),0),0)),"")</f>
        <v>INI-012</v>
      </c>
      <c r="AI78" s="48" t="str">
        <f>IFERROR(INDEX(_TECH_Initiative_Library!$F$5:$F$76,MATCH(1,INDEX((_TECH_Initiative_Library!$B$5:$B$76=$C78)*(_TECH_Initiative_Library!$C$5:$C$76=$D78),0),0)),"")</f>
        <v>Build recruitment, retention and succession resilience plan</v>
      </c>
      <c r="AJ78" s="48" t="str">
        <f ca="1">IFERROR(INDEX(_TECH_Initiative_Library!$AC$5:$AC$76,MATCH(1,INDEX((_TECH_Initiative_Library!$B$5:$B$76=$C78)*(_TECH_Initiative_Library!$C$5:$C$76=$D78),0),0)),"")</f>
        <v/>
      </c>
      <c r="AK78" s="48" t="str">
        <f ca="1">IFERROR(INDEX(_TECH_Initiative_Library!$AE$5:$AE$76,MATCH(1,INDEX((_TECH_Initiative_Library!$B$5:$B$76=$C78)*(_TECH_Initiative_Library!$C$5:$C$76=$D78),0),0)),"")</f>
        <v/>
      </c>
      <c r="AL78" s="48" t="str">
        <f>IF($B78="Yes",IFERROR(SUMIFS(_TECH_Industry_Templates!$E:$E,_TECH_Industry_Templates!$A:$A,'Company Profile'!$B$9,_TECH_Industry_Templates!$B:$B,$C78),1),"")</f>
        <v/>
      </c>
      <c r="AM78" s="48" t="str">
        <f t="shared" si="19"/>
        <v/>
      </c>
      <c r="AN78" s="48" t="str">
        <f>IF($AM78="","",RANK.EQ($AM78,$AM$8:$AM$414,0)+COUNTIF($AM$8:$AM78,$AM78)-1)</f>
        <v/>
      </c>
    </row>
    <row r="79" spans="1:40" ht="71.25">
      <c r="A79" s="28" t="str">
        <f>IF($AM79="","",RANK.EQ($AM79,$AM$8:$AM$414,0)+COUNTIF($AM$8:$AM79,$AM79)-1)</f>
        <v/>
      </c>
      <c r="B79" s="7" t="str">
        <f t="shared" si="10"/>
        <v/>
      </c>
      <c r="C79" s="7" t="s">
        <v>63</v>
      </c>
      <c r="D79" s="7" t="s">
        <v>1113</v>
      </c>
      <c r="E79" s="7" t="s">
        <v>2582</v>
      </c>
      <c r="F79" s="7" t="s">
        <v>2583</v>
      </c>
      <c r="G79" s="28" t="str">
        <f>IF(OR(COUNTA('HR Workforce'!$H$13)=0,'HR Workforce'!$H$13="N/A"),"",VALUE('HR Workforce'!$H$13))</f>
        <v/>
      </c>
      <c r="H79" s="7" t="str">
        <f t="shared" si="11"/>
        <v/>
      </c>
      <c r="I79" s="7" t="str">
        <f>IF($G79="","",IFERROR(IF('HR Workforce'!$L$13="",IF($G79&lt;=1,"Critical",IF($G79=2,"High",IF($G79=3,"Medium",IF($G79=4,"Low","Optimized")))),'HR Workforce'!$L$13),IF($G79&lt;=1,"Critical",IF($G79=2,"High",IF($G79=3,"Medium",IF($G79=4,"Low","Optimized"))))))</f>
        <v/>
      </c>
      <c r="J79" s="7" t="str">
        <f>IF($G79="","",IFERROR(INDEX('Recommendation Matrix'!$E$5:$J$411,MATCH($E79,'Recommendation Matrix'!$A$5:$A$411,0),$G79+1),""))</f>
        <v/>
      </c>
      <c r="K79" s="7" t="str">
        <f>IF($G79="","",IFERROR(VLOOKUP($E79,'Recommendation Matrix'!$A$5:$K$411,11,FALSE),""))</f>
        <v/>
      </c>
      <c r="L79" s="28" t="str">
        <f t="shared" si="12"/>
        <v/>
      </c>
      <c r="M79" s="28" t="str">
        <f>IF($G79="","",IFERROR(INDEX('Recommendation Matrix'!$L$5:$Q$411,MATCH($E79,'Recommendation Matrix'!$A$5:$A$411,0),$G79+1),""))</f>
        <v/>
      </c>
      <c r="N79" s="28" t="str">
        <f t="shared" si="13"/>
        <v/>
      </c>
      <c r="O79" s="28" t="str">
        <f t="shared" si="14"/>
        <v/>
      </c>
      <c r="P79" s="28" t="str">
        <f t="shared" si="15"/>
        <v/>
      </c>
      <c r="Q79" s="28" t="str">
        <f t="shared" si="16"/>
        <v/>
      </c>
      <c r="R79" s="8" t="str">
        <f t="shared" si="17"/>
        <v/>
      </c>
      <c r="S79" s="28">
        <f>IFERROR('HR Workforce'!$G$13,"")</f>
        <v>5</v>
      </c>
      <c r="T79" s="28">
        <f>IFERROR('HR Workforce'!$W$13,"")</f>
        <v>4</v>
      </c>
      <c r="U79" s="28">
        <f>IFERROR('HR Workforce'!$X$13,"")</f>
        <v>5</v>
      </c>
      <c r="V79" s="28">
        <f>IFERROR('HR Workforce'!$Y$13,"")</f>
        <v>5</v>
      </c>
      <c r="W79" s="7" t="s">
        <v>2509</v>
      </c>
      <c r="X79" s="7" t="s">
        <v>2510</v>
      </c>
      <c r="Y79" s="7" t="s">
        <v>2584</v>
      </c>
      <c r="Z79" s="7">
        <f>IFERROR('HR Workforce'!$U$13,"")</f>
        <v>0</v>
      </c>
      <c r="AA79" s="7"/>
      <c r="AB79" s="29"/>
      <c r="AC79" s="7"/>
      <c r="AD79" s="48" t="str">
        <f>IF($B79="Yes",IFERROR(SUMIFS(_TECH_Crisis_Model!$D$5:$D$191,_TECH_Crisis_Model!$A$5:$A$191,'Crisis Simulator'!$B$4,_TECH_Crisis_Model!$B$5:$B$191,$C79),1),"")</f>
        <v/>
      </c>
      <c r="AE79" s="48" t="str">
        <f t="shared" si="18"/>
        <v/>
      </c>
      <c r="AF79" s="48" t="str">
        <f>IFERROR(INDEX(_TECH_Crisis_Model!$E$5:$E$191,MATCH('Crisis Simulator'!$B$4&amp;"|"&amp;$C79,_TECH_Crisis_Model!$I$5:$I$191,0)),"")</f>
        <v>Workforce availability, critical people and knowledge continuity determine operational capacity.</v>
      </c>
      <c r="AG79" s="48" t="str">
        <f>IFERROR(INDEX(_TECH_Crisis_Model!$G$5:$G$191,MATCH('Crisis Simulator'!$B$4&amp;"|"&amp;$C79,_TECH_Crisis_Model!$I$5:$I$191,0)),"")</f>
        <v>Create critical role backups, knowledge transfer, cross-training and workforce continuity plans.</v>
      </c>
      <c r="AH79" s="48" t="str">
        <f>IFERROR(INDEX(_TECH_Initiative_Library!$A$5:$A$76,MATCH(1,INDEX((_TECH_Initiative_Library!$B$5:$B$76=$C79)*(_TECH_Initiative_Library!$C$5:$C$76=$D79),0),0)),"")</f>
        <v>INI-012</v>
      </c>
      <c r="AI79" s="48" t="str">
        <f>IFERROR(INDEX(_TECH_Initiative_Library!$F$5:$F$76,MATCH(1,INDEX((_TECH_Initiative_Library!$B$5:$B$76=$C79)*(_TECH_Initiative_Library!$C$5:$C$76=$D79),0),0)),"")</f>
        <v>Build recruitment, retention and succession resilience plan</v>
      </c>
      <c r="AJ79" s="48" t="str">
        <f ca="1">IFERROR(INDEX(_TECH_Initiative_Library!$AC$5:$AC$76,MATCH(1,INDEX((_TECH_Initiative_Library!$B$5:$B$76=$C79)*(_TECH_Initiative_Library!$C$5:$C$76=$D79),0),0)),"")</f>
        <v/>
      </c>
      <c r="AK79" s="48" t="str">
        <f ca="1">IFERROR(INDEX(_TECH_Initiative_Library!$AE$5:$AE$76,MATCH(1,INDEX((_TECH_Initiative_Library!$B$5:$B$76=$C79)*(_TECH_Initiative_Library!$C$5:$C$76=$D79),0),0)),"")</f>
        <v/>
      </c>
      <c r="AL79" s="48" t="str">
        <f>IF($B79="Yes",IFERROR(SUMIFS(_TECH_Industry_Templates!$E:$E,_TECH_Industry_Templates!$A:$A,'Company Profile'!$B$9,_TECH_Industry_Templates!$B:$B,$C79),1),"")</f>
        <v/>
      </c>
      <c r="AM79" s="48" t="str">
        <f t="shared" si="19"/>
        <v/>
      </c>
      <c r="AN79" s="48" t="str">
        <f>IF($AM79="","",RANK.EQ($AM79,$AM$8:$AM$414,0)+COUNTIF($AM$8:$AM79,$AM79)-1)</f>
        <v/>
      </c>
    </row>
    <row r="80" spans="1:40" ht="71.25">
      <c r="A80" s="28" t="str">
        <f>IF($AM80="","",RANK.EQ($AM80,$AM$8:$AM$414,0)+COUNTIF($AM$8:$AM80,$AM80)-1)</f>
        <v/>
      </c>
      <c r="B80" s="7" t="str">
        <f t="shared" si="10"/>
        <v/>
      </c>
      <c r="C80" s="7" t="s">
        <v>63</v>
      </c>
      <c r="D80" s="7" t="s">
        <v>1113</v>
      </c>
      <c r="E80" s="7" t="s">
        <v>2592</v>
      </c>
      <c r="F80" s="7" t="s">
        <v>2593</v>
      </c>
      <c r="G80" s="28" t="str">
        <f>IF(OR(COUNTA('HR Workforce'!$H$14)=0,'HR Workforce'!$H$14="N/A"),"",VALUE('HR Workforce'!$H$14))</f>
        <v/>
      </c>
      <c r="H80" s="7" t="str">
        <f t="shared" si="11"/>
        <v/>
      </c>
      <c r="I80" s="7" t="str">
        <f>IF($G80="","",IFERROR(IF('HR Workforce'!$L$14="",IF($G80&lt;=1,"Critical",IF($G80=2,"High",IF($G80=3,"Medium",IF($G80=4,"Low","Optimized")))),'HR Workforce'!$L$14),IF($G80&lt;=1,"Critical",IF($G80=2,"High",IF($G80=3,"Medium",IF($G80=4,"Low","Optimized"))))))</f>
        <v/>
      </c>
      <c r="J80" s="7" t="str">
        <f>IF($G80="","",IFERROR(INDEX('Recommendation Matrix'!$E$5:$J$411,MATCH($E80,'Recommendation Matrix'!$A$5:$A$411,0),$G80+1),""))</f>
        <v/>
      </c>
      <c r="K80" s="7" t="str">
        <f>IF($G80="","",IFERROR(VLOOKUP($E80,'Recommendation Matrix'!$A$5:$K$411,11,FALSE),""))</f>
        <v/>
      </c>
      <c r="L80" s="28" t="str">
        <f t="shared" si="12"/>
        <v/>
      </c>
      <c r="M80" s="28" t="str">
        <f>IF($G80="","",IFERROR(INDEX('Recommendation Matrix'!$L$5:$Q$411,MATCH($E80,'Recommendation Matrix'!$A$5:$A$411,0),$G80+1),""))</f>
        <v/>
      </c>
      <c r="N80" s="28" t="str">
        <f t="shared" si="13"/>
        <v/>
      </c>
      <c r="O80" s="28" t="str">
        <f t="shared" si="14"/>
        <v/>
      </c>
      <c r="P80" s="28" t="str">
        <f t="shared" si="15"/>
        <v/>
      </c>
      <c r="Q80" s="28" t="str">
        <f t="shared" si="16"/>
        <v/>
      </c>
      <c r="R80" s="8" t="str">
        <f t="shared" si="17"/>
        <v/>
      </c>
      <c r="S80" s="28">
        <f>IFERROR('HR Workforce'!$G$14,"")</f>
        <v>5</v>
      </c>
      <c r="T80" s="28">
        <f>IFERROR('HR Workforce'!$W$14,"")</f>
        <v>4</v>
      </c>
      <c r="U80" s="28">
        <f>IFERROR('HR Workforce'!$X$14,"")</f>
        <v>5</v>
      </c>
      <c r="V80" s="28">
        <f>IFERROR('HR Workforce'!$Y$14,"")</f>
        <v>5</v>
      </c>
      <c r="W80" s="7" t="s">
        <v>2509</v>
      </c>
      <c r="X80" s="7" t="s">
        <v>2510</v>
      </c>
      <c r="Y80" s="7" t="s">
        <v>2594</v>
      </c>
      <c r="Z80" s="7">
        <f>IFERROR('HR Workforce'!$U$14,"")</f>
        <v>0</v>
      </c>
      <c r="AA80" s="7"/>
      <c r="AB80" s="29"/>
      <c r="AC80" s="7"/>
      <c r="AD80" s="48" t="str">
        <f>IF($B80="Yes",IFERROR(SUMIFS(_TECH_Crisis_Model!$D$5:$D$191,_TECH_Crisis_Model!$A$5:$A$191,'Crisis Simulator'!$B$4,_TECH_Crisis_Model!$B$5:$B$191,$C80),1),"")</f>
        <v/>
      </c>
      <c r="AE80" s="48" t="str">
        <f t="shared" si="18"/>
        <v/>
      </c>
      <c r="AF80" s="48" t="str">
        <f>IFERROR(INDEX(_TECH_Crisis_Model!$E$5:$E$191,MATCH('Crisis Simulator'!$B$4&amp;"|"&amp;$C80,_TECH_Crisis_Model!$I$5:$I$191,0)),"")</f>
        <v>Workforce availability, critical people and knowledge continuity determine operational capacity.</v>
      </c>
      <c r="AG80" s="48" t="str">
        <f>IFERROR(INDEX(_TECH_Crisis_Model!$G$5:$G$191,MATCH('Crisis Simulator'!$B$4&amp;"|"&amp;$C80,_TECH_Crisis_Model!$I$5:$I$191,0)),"")</f>
        <v>Create critical role backups, knowledge transfer, cross-training and workforce continuity plans.</v>
      </c>
      <c r="AH80" s="48" t="str">
        <f>IFERROR(INDEX(_TECH_Initiative_Library!$A$5:$A$76,MATCH(1,INDEX((_TECH_Initiative_Library!$B$5:$B$76=$C80)*(_TECH_Initiative_Library!$C$5:$C$76=$D80),0),0)),"")</f>
        <v>INI-012</v>
      </c>
      <c r="AI80" s="48" t="str">
        <f>IFERROR(INDEX(_TECH_Initiative_Library!$F$5:$F$76,MATCH(1,INDEX((_TECH_Initiative_Library!$B$5:$B$76=$C80)*(_TECH_Initiative_Library!$C$5:$C$76=$D80),0),0)),"")</f>
        <v>Build recruitment, retention and succession resilience plan</v>
      </c>
      <c r="AJ80" s="48" t="str">
        <f ca="1">IFERROR(INDEX(_TECH_Initiative_Library!$AC$5:$AC$76,MATCH(1,INDEX((_TECH_Initiative_Library!$B$5:$B$76=$C80)*(_TECH_Initiative_Library!$C$5:$C$76=$D80),0),0)),"")</f>
        <v/>
      </c>
      <c r="AK80" s="48" t="str">
        <f ca="1">IFERROR(INDEX(_TECH_Initiative_Library!$AE$5:$AE$76,MATCH(1,INDEX((_TECH_Initiative_Library!$B$5:$B$76=$C80)*(_TECH_Initiative_Library!$C$5:$C$76=$D80),0),0)),"")</f>
        <v/>
      </c>
      <c r="AL80" s="48" t="str">
        <f>IF($B80="Yes",IFERROR(SUMIFS(_TECH_Industry_Templates!$E:$E,_TECH_Industry_Templates!$A:$A,'Company Profile'!$B$9,_TECH_Industry_Templates!$B:$B,$C80),1),"")</f>
        <v/>
      </c>
      <c r="AM80" s="48" t="str">
        <f t="shared" si="19"/>
        <v/>
      </c>
      <c r="AN80" s="48" t="str">
        <f>IF($AM80="","",RANK.EQ($AM80,$AM$8:$AM$414,0)+COUNTIF($AM$8:$AM80,$AM80)-1)</f>
        <v/>
      </c>
    </row>
    <row r="81" spans="1:40" ht="71.25">
      <c r="A81" s="28" t="str">
        <f>IF($AM81="","",RANK.EQ($AM81,$AM$8:$AM$414,0)+COUNTIF($AM$8:$AM81,$AM81)-1)</f>
        <v/>
      </c>
      <c r="B81" s="7" t="str">
        <f t="shared" si="10"/>
        <v/>
      </c>
      <c r="C81" s="7" t="s">
        <v>63</v>
      </c>
      <c r="D81" s="7" t="s">
        <v>1113</v>
      </c>
      <c r="E81" s="7" t="s">
        <v>2602</v>
      </c>
      <c r="F81" s="7" t="s">
        <v>2603</v>
      </c>
      <c r="G81" s="28" t="str">
        <f>IF(OR(COUNTA('HR Workforce'!$H$15)=0,'HR Workforce'!$H$15="N/A"),"",VALUE('HR Workforce'!$H$15))</f>
        <v/>
      </c>
      <c r="H81" s="7" t="str">
        <f t="shared" si="11"/>
        <v/>
      </c>
      <c r="I81" s="7" t="str">
        <f>IF($G81="","",IFERROR(IF('HR Workforce'!$L$15="",IF($G81&lt;=1,"Critical",IF($G81=2,"High",IF($G81=3,"Medium",IF($G81=4,"Low","Optimized")))),'HR Workforce'!$L$15),IF($G81&lt;=1,"Critical",IF($G81=2,"High",IF($G81=3,"Medium",IF($G81=4,"Low","Optimized"))))))</f>
        <v/>
      </c>
      <c r="J81" s="7" t="str">
        <f>IF($G81="","",IFERROR(INDEX('Recommendation Matrix'!$E$5:$J$411,MATCH($E81,'Recommendation Matrix'!$A$5:$A$411,0),$G81+1),""))</f>
        <v/>
      </c>
      <c r="K81" s="7" t="str">
        <f>IF($G81="","",IFERROR(VLOOKUP($E81,'Recommendation Matrix'!$A$5:$K$411,11,FALSE),""))</f>
        <v/>
      </c>
      <c r="L81" s="28" t="str">
        <f t="shared" si="12"/>
        <v/>
      </c>
      <c r="M81" s="28" t="str">
        <f>IF($G81="","",IFERROR(INDEX('Recommendation Matrix'!$L$5:$Q$411,MATCH($E81,'Recommendation Matrix'!$A$5:$A$411,0),$G81+1),""))</f>
        <v/>
      </c>
      <c r="N81" s="28" t="str">
        <f t="shared" si="13"/>
        <v/>
      </c>
      <c r="O81" s="28" t="str">
        <f t="shared" si="14"/>
        <v/>
      </c>
      <c r="P81" s="28" t="str">
        <f t="shared" si="15"/>
        <v/>
      </c>
      <c r="Q81" s="28" t="str">
        <f t="shared" si="16"/>
        <v/>
      </c>
      <c r="R81" s="8" t="str">
        <f t="shared" si="17"/>
        <v/>
      </c>
      <c r="S81" s="28">
        <f>IFERROR('HR Workforce'!$G$15,"")</f>
        <v>5</v>
      </c>
      <c r="T81" s="28">
        <f>IFERROR('HR Workforce'!$W$15,"")</f>
        <v>4</v>
      </c>
      <c r="U81" s="28">
        <f>IFERROR('HR Workforce'!$X$15,"")</f>
        <v>5</v>
      </c>
      <c r="V81" s="28">
        <f>IFERROR('HR Workforce'!$Y$15,"")</f>
        <v>5</v>
      </c>
      <c r="W81" s="7" t="s">
        <v>2509</v>
      </c>
      <c r="X81" s="7" t="s">
        <v>2510</v>
      </c>
      <c r="Y81" s="7" t="s">
        <v>2604</v>
      </c>
      <c r="Z81" s="7">
        <f>IFERROR('HR Workforce'!$U$15,"")</f>
        <v>0</v>
      </c>
      <c r="AA81" s="7"/>
      <c r="AB81" s="29"/>
      <c r="AC81" s="7"/>
      <c r="AD81" s="48" t="str">
        <f>IF($B81="Yes",IFERROR(SUMIFS(_TECH_Crisis_Model!$D$5:$D$191,_TECH_Crisis_Model!$A$5:$A$191,'Crisis Simulator'!$B$4,_TECH_Crisis_Model!$B$5:$B$191,$C81),1),"")</f>
        <v/>
      </c>
      <c r="AE81" s="48" t="str">
        <f t="shared" si="18"/>
        <v/>
      </c>
      <c r="AF81" s="48" t="str">
        <f>IFERROR(INDEX(_TECH_Crisis_Model!$E$5:$E$191,MATCH('Crisis Simulator'!$B$4&amp;"|"&amp;$C81,_TECH_Crisis_Model!$I$5:$I$191,0)),"")</f>
        <v>Workforce availability, critical people and knowledge continuity determine operational capacity.</v>
      </c>
      <c r="AG81" s="48" t="str">
        <f>IFERROR(INDEX(_TECH_Crisis_Model!$G$5:$G$191,MATCH('Crisis Simulator'!$B$4&amp;"|"&amp;$C81,_TECH_Crisis_Model!$I$5:$I$191,0)),"")</f>
        <v>Create critical role backups, knowledge transfer, cross-training and workforce continuity plans.</v>
      </c>
      <c r="AH81" s="48" t="str">
        <f>IFERROR(INDEX(_TECH_Initiative_Library!$A$5:$A$76,MATCH(1,INDEX((_TECH_Initiative_Library!$B$5:$B$76=$C81)*(_TECH_Initiative_Library!$C$5:$C$76=$D81),0),0)),"")</f>
        <v>INI-012</v>
      </c>
      <c r="AI81" s="48" t="str">
        <f>IFERROR(INDEX(_TECH_Initiative_Library!$F$5:$F$76,MATCH(1,INDEX((_TECH_Initiative_Library!$B$5:$B$76=$C81)*(_TECH_Initiative_Library!$C$5:$C$76=$D81),0),0)),"")</f>
        <v>Build recruitment, retention and succession resilience plan</v>
      </c>
      <c r="AJ81" s="48" t="str">
        <f ca="1">IFERROR(INDEX(_TECH_Initiative_Library!$AC$5:$AC$76,MATCH(1,INDEX((_TECH_Initiative_Library!$B$5:$B$76=$C81)*(_TECH_Initiative_Library!$C$5:$C$76=$D81),0),0)),"")</f>
        <v/>
      </c>
      <c r="AK81" s="48" t="str">
        <f ca="1">IFERROR(INDEX(_TECH_Initiative_Library!$AE$5:$AE$76,MATCH(1,INDEX((_TECH_Initiative_Library!$B$5:$B$76=$C81)*(_TECH_Initiative_Library!$C$5:$C$76=$D81),0),0)),"")</f>
        <v/>
      </c>
      <c r="AL81" s="48" t="str">
        <f>IF($B81="Yes",IFERROR(SUMIFS(_TECH_Industry_Templates!$E:$E,_TECH_Industry_Templates!$A:$A,'Company Profile'!$B$9,_TECH_Industry_Templates!$B:$B,$C81),1),"")</f>
        <v/>
      </c>
      <c r="AM81" s="48" t="str">
        <f t="shared" si="19"/>
        <v/>
      </c>
      <c r="AN81" s="48" t="str">
        <f>IF($AM81="","",RANK.EQ($AM81,$AM$8:$AM$414,0)+COUNTIF($AM$8:$AM81,$AM81)-1)</f>
        <v/>
      </c>
    </row>
    <row r="82" spans="1:40" ht="71.25">
      <c r="A82" s="28" t="str">
        <f>IF($AM82="","",RANK.EQ($AM82,$AM$8:$AM$414,0)+COUNTIF($AM$8:$AM82,$AM82)-1)</f>
        <v/>
      </c>
      <c r="B82" s="7" t="str">
        <f t="shared" si="10"/>
        <v/>
      </c>
      <c r="C82" s="7" t="s">
        <v>63</v>
      </c>
      <c r="D82" s="7" t="s">
        <v>1113</v>
      </c>
      <c r="E82" s="7" t="s">
        <v>2612</v>
      </c>
      <c r="F82" s="7" t="s">
        <v>2613</v>
      </c>
      <c r="G82" s="28" t="str">
        <f>IF(OR(COUNTA('HR Workforce'!$H$16)=0,'HR Workforce'!$H$16="N/A"),"",VALUE('HR Workforce'!$H$16))</f>
        <v/>
      </c>
      <c r="H82" s="7" t="str">
        <f t="shared" si="11"/>
        <v/>
      </c>
      <c r="I82" s="7" t="str">
        <f>IF($G82="","",IFERROR(IF('HR Workforce'!$L$16="",IF($G82&lt;=1,"Critical",IF($G82=2,"High",IF($G82=3,"Medium",IF($G82=4,"Low","Optimized")))),'HR Workforce'!$L$16),IF($G82&lt;=1,"Critical",IF($G82=2,"High",IF($G82=3,"Medium",IF($G82=4,"Low","Optimized"))))))</f>
        <v/>
      </c>
      <c r="J82" s="7" t="str">
        <f>IF($G82="","",IFERROR(INDEX('Recommendation Matrix'!$E$5:$J$411,MATCH($E82,'Recommendation Matrix'!$A$5:$A$411,0),$G82+1),""))</f>
        <v/>
      </c>
      <c r="K82" s="7" t="str">
        <f>IF($G82="","",IFERROR(VLOOKUP($E82,'Recommendation Matrix'!$A$5:$K$411,11,FALSE),""))</f>
        <v/>
      </c>
      <c r="L82" s="28" t="str">
        <f t="shared" si="12"/>
        <v/>
      </c>
      <c r="M82" s="28" t="str">
        <f>IF($G82="","",IFERROR(INDEX('Recommendation Matrix'!$L$5:$Q$411,MATCH($E82,'Recommendation Matrix'!$A$5:$A$411,0),$G82+1),""))</f>
        <v/>
      </c>
      <c r="N82" s="28" t="str">
        <f t="shared" si="13"/>
        <v/>
      </c>
      <c r="O82" s="28" t="str">
        <f t="shared" si="14"/>
        <v/>
      </c>
      <c r="P82" s="28" t="str">
        <f t="shared" si="15"/>
        <v/>
      </c>
      <c r="Q82" s="28" t="str">
        <f t="shared" si="16"/>
        <v/>
      </c>
      <c r="R82" s="8" t="str">
        <f t="shared" si="17"/>
        <v/>
      </c>
      <c r="S82" s="28">
        <f>IFERROR('HR Workforce'!$G$16,"")</f>
        <v>5</v>
      </c>
      <c r="T82" s="28">
        <f>IFERROR('HR Workforce'!$W$16,"")</f>
        <v>4</v>
      </c>
      <c r="U82" s="28">
        <f>IFERROR('HR Workforce'!$X$16,"")</f>
        <v>5</v>
      </c>
      <c r="V82" s="28">
        <f>IFERROR('HR Workforce'!$Y$16,"")</f>
        <v>5</v>
      </c>
      <c r="W82" s="7" t="s">
        <v>2509</v>
      </c>
      <c r="X82" s="7" t="s">
        <v>2510</v>
      </c>
      <c r="Y82" s="7" t="s">
        <v>2614</v>
      </c>
      <c r="Z82" s="7">
        <f>IFERROR('HR Workforce'!$U$16,"")</f>
        <v>0</v>
      </c>
      <c r="AA82" s="7"/>
      <c r="AB82" s="29"/>
      <c r="AC82" s="7"/>
      <c r="AD82" s="48" t="str">
        <f>IF($B82="Yes",IFERROR(SUMIFS(_TECH_Crisis_Model!$D$5:$D$191,_TECH_Crisis_Model!$A$5:$A$191,'Crisis Simulator'!$B$4,_TECH_Crisis_Model!$B$5:$B$191,$C82),1),"")</f>
        <v/>
      </c>
      <c r="AE82" s="48" t="str">
        <f t="shared" si="18"/>
        <v/>
      </c>
      <c r="AF82" s="48" t="str">
        <f>IFERROR(INDEX(_TECH_Crisis_Model!$E$5:$E$191,MATCH('Crisis Simulator'!$B$4&amp;"|"&amp;$C82,_TECH_Crisis_Model!$I$5:$I$191,0)),"")</f>
        <v>Workforce availability, critical people and knowledge continuity determine operational capacity.</v>
      </c>
      <c r="AG82" s="48" t="str">
        <f>IFERROR(INDEX(_TECH_Crisis_Model!$G$5:$G$191,MATCH('Crisis Simulator'!$B$4&amp;"|"&amp;$C82,_TECH_Crisis_Model!$I$5:$I$191,0)),"")</f>
        <v>Create critical role backups, knowledge transfer, cross-training and workforce continuity plans.</v>
      </c>
      <c r="AH82" s="48" t="str">
        <f>IFERROR(INDEX(_TECH_Initiative_Library!$A$5:$A$76,MATCH(1,INDEX((_TECH_Initiative_Library!$B$5:$B$76=$C82)*(_TECH_Initiative_Library!$C$5:$C$76=$D82),0),0)),"")</f>
        <v>INI-012</v>
      </c>
      <c r="AI82" s="48" t="str">
        <f>IFERROR(INDEX(_TECH_Initiative_Library!$F$5:$F$76,MATCH(1,INDEX((_TECH_Initiative_Library!$B$5:$B$76=$C82)*(_TECH_Initiative_Library!$C$5:$C$76=$D82),0),0)),"")</f>
        <v>Build recruitment, retention and succession resilience plan</v>
      </c>
      <c r="AJ82" s="48" t="str">
        <f ca="1">IFERROR(INDEX(_TECH_Initiative_Library!$AC$5:$AC$76,MATCH(1,INDEX((_TECH_Initiative_Library!$B$5:$B$76=$C82)*(_TECH_Initiative_Library!$C$5:$C$76=$D82),0),0)),"")</f>
        <v/>
      </c>
      <c r="AK82" s="48" t="str">
        <f ca="1">IFERROR(INDEX(_TECH_Initiative_Library!$AE$5:$AE$76,MATCH(1,INDEX((_TECH_Initiative_Library!$B$5:$B$76=$C82)*(_TECH_Initiative_Library!$C$5:$C$76=$D82),0),0)),"")</f>
        <v/>
      </c>
      <c r="AL82" s="48" t="str">
        <f>IF($B82="Yes",IFERROR(SUMIFS(_TECH_Industry_Templates!$E:$E,_TECH_Industry_Templates!$A:$A,'Company Profile'!$B$9,_TECH_Industry_Templates!$B:$B,$C82),1),"")</f>
        <v/>
      </c>
      <c r="AM82" s="48" t="str">
        <f t="shared" si="19"/>
        <v/>
      </c>
      <c r="AN82" s="48" t="str">
        <f>IF($AM82="","",RANK.EQ($AM82,$AM$8:$AM$414,0)+COUNTIF($AM$8:$AM82,$AM82)-1)</f>
        <v/>
      </c>
    </row>
    <row r="83" spans="1:40" ht="71.25">
      <c r="A83" s="28" t="str">
        <f>IF($AM83="","",RANK.EQ($AM83,$AM$8:$AM$414,0)+COUNTIF($AM$8:$AM83,$AM83)-1)</f>
        <v/>
      </c>
      <c r="B83" s="7" t="str">
        <f t="shared" si="10"/>
        <v/>
      </c>
      <c r="C83" s="7" t="s">
        <v>63</v>
      </c>
      <c r="D83" s="7" t="s">
        <v>1121</v>
      </c>
      <c r="E83" s="7" t="s">
        <v>2622</v>
      </c>
      <c r="F83" s="7" t="s">
        <v>2623</v>
      </c>
      <c r="G83" s="28" t="str">
        <f>IF(OR(COUNTA('HR Workforce'!$H$17)=0,'HR Workforce'!$H$17="N/A"),"",VALUE('HR Workforce'!$H$17))</f>
        <v/>
      </c>
      <c r="H83" s="7" t="str">
        <f t="shared" si="11"/>
        <v/>
      </c>
      <c r="I83" s="7" t="str">
        <f>IF($G83="","",IFERROR(IF('HR Workforce'!$L$17="",IF($G83&lt;=1,"Critical",IF($G83=2,"High",IF($G83=3,"Medium",IF($G83=4,"Low","Optimized")))),'HR Workforce'!$L$17),IF($G83&lt;=1,"Critical",IF($G83=2,"High",IF($G83=3,"Medium",IF($G83=4,"Low","Optimized"))))))</f>
        <v/>
      </c>
      <c r="J83" s="7" t="str">
        <f>IF($G83="","",IFERROR(INDEX('Recommendation Matrix'!$E$5:$J$411,MATCH($E83,'Recommendation Matrix'!$A$5:$A$411,0),$G83+1),""))</f>
        <v/>
      </c>
      <c r="K83" s="7" t="str">
        <f>IF($G83="","",IFERROR(VLOOKUP($E83,'Recommendation Matrix'!$A$5:$K$411,11,FALSE),""))</f>
        <v/>
      </c>
      <c r="L83" s="28" t="str">
        <f t="shared" si="12"/>
        <v/>
      </c>
      <c r="M83" s="28" t="str">
        <f>IF($G83="","",IFERROR(INDEX('Recommendation Matrix'!$L$5:$Q$411,MATCH($E83,'Recommendation Matrix'!$A$5:$A$411,0),$G83+1),""))</f>
        <v/>
      </c>
      <c r="N83" s="28" t="str">
        <f t="shared" si="13"/>
        <v/>
      </c>
      <c r="O83" s="28" t="str">
        <f t="shared" si="14"/>
        <v/>
      </c>
      <c r="P83" s="28" t="str">
        <f t="shared" si="15"/>
        <v/>
      </c>
      <c r="Q83" s="28" t="str">
        <f t="shared" si="16"/>
        <v/>
      </c>
      <c r="R83" s="8" t="str">
        <f t="shared" si="17"/>
        <v/>
      </c>
      <c r="S83" s="28">
        <f>IFERROR('HR Workforce'!$G$17,"")</f>
        <v>4</v>
      </c>
      <c r="T83" s="28">
        <f>IFERROR('HR Workforce'!$W$17,"")</f>
        <v>4</v>
      </c>
      <c r="U83" s="28">
        <f>IFERROR('HR Workforce'!$X$17,"")</f>
        <v>5</v>
      </c>
      <c r="V83" s="28">
        <f>IFERROR('HR Workforce'!$Y$17,"")</f>
        <v>5</v>
      </c>
      <c r="W83" s="7" t="s">
        <v>2509</v>
      </c>
      <c r="X83" s="7" t="s">
        <v>2510</v>
      </c>
      <c r="Y83" s="7" t="s">
        <v>2624</v>
      </c>
      <c r="Z83" s="7">
        <f>IFERROR('HR Workforce'!$U$17,"")</f>
        <v>0</v>
      </c>
      <c r="AA83" s="7"/>
      <c r="AB83" s="29"/>
      <c r="AC83" s="7"/>
      <c r="AD83" s="48" t="str">
        <f>IF($B83="Yes",IFERROR(SUMIFS(_TECH_Crisis_Model!$D$5:$D$191,_TECH_Crisis_Model!$A$5:$A$191,'Crisis Simulator'!$B$4,_TECH_Crisis_Model!$B$5:$B$191,$C83),1),"")</f>
        <v/>
      </c>
      <c r="AE83" s="48" t="str">
        <f t="shared" si="18"/>
        <v/>
      </c>
      <c r="AF83" s="48" t="str">
        <f>IFERROR(INDEX(_TECH_Crisis_Model!$E$5:$E$191,MATCH('Crisis Simulator'!$B$4&amp;"|"&amp;$C83,_TECH_Crisis_Model!$I$5:$I$191,0)),"")</f>
        <v>Workforce availability, critical people and knowledge continuity determine operational capacity.</v>
      </c>
      <c r="AG83" s="48" t="str">
        <f>IFERROR(INDEX(_TECH_Crisis_Model!$G$5:$G$191,MATCH('Crisis Simulator'!$B$4&amp;"|"&amp;$C83,_TECH_Crisis_Model!$I$5:$I$191,0)),"")</f>
        <v>Create critical role backups, knowledge transfer, cross-training and workforce continuity plans.</v>
      </c>
      <c r="AH83" s="48" t="str">
        <f>IFERROR(INDEX(_TECH_Initiative_Library!$A$5:$A$76,MATCH(1,INDEX((_TECH_Initiative_Library!$B$5:$B$76=$C83)*(_TECH_Initiative_Library!$C$5:$C$76=$D83),0),0)),"")</f>
        <v>INI-013</v>
      </c>
      <c r="AI83" s="48" t="str">
        <f>IFERROR(INDEX(_TECH_Initiative_Library!$F$5:$F$76,MATCH(1,INDEX((_TECH_Initiative_Library!$B$5:$B$76=$C83)*(_TECH_Initiative_Library!$C$5:$C$76=$D83),0),0)),"")</f>
        <v>Implement workforce continuity, wellbeing and availability playbook</v>
      </c>
      <c r="AJ83" s="48" t="str">
        <f ca="1">IFERROR(INDEX(_TECH_Initiative_Library!$AC$5:$AC$76,MATCH(1,INDEX((_TECH_Initiative_Library!$B$5:$B$76=$C83)*(_TECH_Initiative_Library!$C$5:$C$76=$D83),0),0)),"")</f>
        <v/>
      </c>
      <c r="AK83" s="48" t="str">
        <f ca="1">IFERROR(INDEX(_TECH_Initiative_Library!$AE$5:$AE$76,MATCH(1,INDEX((_TECH_Initiative_Library!$B$5:$B$76=$C83)*(_TECH_Initiative_Library!$C$5:$C$76=$D83),0),0)),"")</f>
        <v/>
      </c>
      <c r="AL83" s="48" t="str">
        <f>IF($B83="Yes",IFERROR(SUMIFS(_TECH_Industry_Templates!$E:$E,_TECH_Industry_Templates!$A:$A,'Company Profile'!$B$9,_TECH_Industry_Templates!$B:$B,$C83),1),"")</f>
        <v/>
      </c>
      <c r="AM83" s="48" t="str">
        <f t="shared" si="19"/>
        <v/>
      </c>
      <c r="AN83" s="48" t="str">
        <f>IF($AM83="","",RANK.EQ($AM83,$AM$8:$AM$414,0)+COUNTIF($AM$8:$AM83,$AM83)-1)</f>
        <v/>
      </c>
    </row>
    <row r="84" spans="1:40" ht="85.5">
      <c r="A84" s="28" t="str">
        <f>IF($AM84="","",RANK.EQ($AM84,$AM$8:$AM$414,0)+COUNTIF($AM$8:$AM84,$AM84)-1)</f>
        <v/>
      </c>
      <c r="B84" s="7" t="str">
        <f t="shared" si="10"/>
        <v/>
      </c>
      <c r="C84" s="7" t="s">
        <v>63</v>
      </c>
      <c r="D84" s="7" t="s">
        <v>1121</v>
      </c>
      <c r="E84" s="7" t="s">
        <v>2632</v>
      </c>
      <c r="F84" s="7" t="s">
        <v>2633</v>
      </c>
      <c r="G84" s="28" t="str">
        <f>IF(OR(COUNTA('HR Workforce'!$H$18)=0,'HR Workforce'!$H$18="N/A"),"",VALUE('HR Workforce'!$H$18))</f>
        <v/>
      </c>
      <c r="H84" s="7" t="str">
        <f t="shared" si="11"/>
        <v/>
      </c>
      <c r="I84" s="7" t="str">
        <f>IF($G84="","",IFERROR(IF('HR Workforce'!$L$18="",IF($G84&lt;=1,"Critical",IF($G84=2,"High",IF($G84=3,"Medium",IF($G84=4,"Low","Optimized")))),'HR Workforce'!$L$18),IF($G84&lt;=1,"Critical",IF($G84=2,"High",IF($G84=3,"Medium",IF($G84=4,"Low","Optimized"))))))</f>
        <v/>
      </c>
      <c r="J84" s="7" t="str">
        <f>IF($G84="","",IFERROR(INDEX('Recommendation Matrix'!$E$5:$J$411,MATCH($E84,'Recommendation Matrix'!$A$5:$A$411,0),$G84+1),""))</f>
        <v/>
      </c>
      <c r="K84" s="7" t="str">
        <f>IF($G84="","",IFERROR(VLOOKUP($E84,'Recommendation Matrix'!$A$5:$K$411,11,FALSE),""))</f>
        <v/>
      </c>
      <c r="L84" s="28" t="str">
        <f t="shared" si="12"/>
        <v/>
      </c>
      <c r="M84" s="28" t="str">
        <f>IF($G84="","",IFERROR(INDEX('Recommendation Matrix'!$L$5:$Q$411,MATCH($E84,'Recommendation Matrix'!$A$5:$A$411,0),$G84+1),""))</f>
        <v/>
      </c>
      <c r="N84" s="28" t="str">
        <f t="shared" si="13"/>
        <v/>
      </c>
      <c r="O84" s="28" t="str">
        <f t="shared" si="14"/>
        <v/>
      </c>
      <c r="P84" s="28" t="str">
        <f t="shared" si="15"/>
        <v/>
      </c>
      <c r="Q84" s="28" t="str">
        <f t="shared" si="16"/>
        <v/>
      </c>
      <c r="R84" s="8" t="str">
        <f t="shared" si="17"/>
        <v/>
      </c>
      <c r="S84" s="28">
        <f>IFERROR('HR Workforce'!$G$18,"")</f>
        <v>4</v>
      </c>
      <c r="T84" s="28">
        <f>IFERROR('HR Workforce'!$W$18,"")</f>
        <v>4</v>
      </c>
      <c r="U84" s="28">
        <f>IFERROR('HR Workforce'!$X$18,"")</f>
        <v>5</v>
      </c>
      <c r="V84" s="28">
        <f>IFERROR('HR Workforce'!$Y$18,"")</f>
        <v>5</v>
      </c>
      <c r="W84" s="7" t="s">
        <v>2509</v>
      </c>
      <c r="X84" s="7" t="s">
        <v>2510</v>
      </c>
      <c r="Y84" s="7" t="s">
        <v>2634</v>
      </c>
      <c r="Z84" s="7">
        <f>IFERROR('HR Workforce'!$U$18,"")</f>
        <v>0</v>
      </c>
      <c r="AA84" s="7"/>
      <c r="AB84" s="29"/>
      <c r="AC84" s="7"/>
      <c r="AD84" s="48" t="str">
        <f>IF($B84="Yes",IFERROR(SUMIFS(_TECH_Crisis_Model!$D$5:$D$191,_TECH_Crisis_Model!$A$5:$A$191,'Crisis Simulator'!$B$4,_TECH_Crisis_Model!$B$5:$B$191,$C84),1),"")</f>
        <v/>
      </c>
      <c r="AE84" s="48" t="str">
        <f t="shared" si="18"/>
        <v/>
      </c>
      <c r="AF84" s="48" t="str">
        <f>IFERROR(INDEX(_TECH_Crisis_Model!$E$5:$E$191,MATCH('Crisis Simulator'!$B$4&amp;"|"&amp;$C84,_TECH_Crisis_Model!$I$5:$I$191,0)),"")</f>
        <v>Workforce availability, critical people and knowledge continuity determine operational capacity.</v>
      </c>
      <c r="AG84" s="48" t="str">
        <f>IFERROR(INDEX(_TECH_Crisis_Model!$G$5:$G$191,MATCH('Crisis Simulator'!$B$4&amp;"|"&amp;$C84,_TECH_Crisis_Model!$I$5:$I$191,0)),"")</f>
        <v>Create critical role backups, knowledge transfer, cross-training and workforce continuity plans.</v>
      </c>
      <c r="AH84" s="48" t="str">
        <f>IFERROR(INDEX(_TECH_Initiative_Library!$A$5:$A$76,MATCH(1,INDEX((_TECH_Initiative_Library!$B$5:$B$76=$C84)*(_TECH_Initiative_Library!$C$5:$C$76=$D84),0),0)),"")</f>
        <v>INI-013</v>
      </c>
      <c r="AI84" s="48" t="str">
        <f>IFERROR(INDEX(_TECH_Initiative_Library!$F$5:$F$76,MATCH(1,INDEX((_TECH_Initiative_Library!$B$5:$B$76=$C84)*(_TECH_Initiative_Library!$C$5:$C$76=$D84),0),0)),"")</f>
        <v>Implement workforce continuity, wellbeing and availability playbook</v>
      </c>
      <c r="AJ84" s="48" t="str">
        <f ca="1">IFERROR(INDEX(_TECH_Initiative_Library!$AC$5:$AC$76,MATCH(1,INDEX((_TECH_Initiative_Library!$B$5:$B$76=$C84)*(_TECH_Initiative_Library!$C$5:$C$76=$D84),0),0)),"")</f>
        <v/>
      </c>
      <c r="AK84" s="48" t="str">
        <f ca="1">IFERROR(INDEX(_TECH_Initiative_Library!$AE$5:$AE$76,MATCH(1,INDEX((_TECH_Initiative_Library!$B$5:$B$76=$C84)*(_TECH_Initiative_Library!$C$5:$C$76=$D84),0),0)),"")</f>
        <v/>
      </c>
      <c r="AL84" s="48" t="str">
        <f>IF($B84="Yes",IFERROR(SUMIFS(_TECH_Industry_Templates!$E:$E,_TECH_Industry_Templates!$A:$A,'Company Profile'!$B$9,_TECH_Industry_Templates!$B:$B,$C84),1),"")</f>
        <v/>
      </c>
      <c r="AM84" s="48" t="str">
        <f t="shared" si="19"/>
        <v/>
      </c>
      <c r="AN84" s="48" t="str">
        <f>IF($AM84="","",RANK.EQ($AM84,$AM$8:$AM$414,0)+COUNTIF($AM$8:$AM84,$AM84)-1)</f>
        <v/>
      </c>
    </row>
    <row r="85" spans="1:40" ht="71.25">
      <c r="A85" s="28" t="str">
        <f>IF($AM85="","",RANK.EQ($AM85,$AM$8:$AM$414,0)+COUNTIF($AM$8:$AM85,$AM85)-1)</f>
        <v/>
      </c>
      <c r="B85" s="7" t="str">
        <f t="shared" si="10"/>
        <v/>
      </c>
      <c r="C85" s="7" t="s">
        <v>63</v>
      </c>
      <c r="D85" s="7" t="s">
        <v>1121</v>
      </c>
      <c r="E85" s="7" t="s">
        <v>2642</v>
      </c>
      <c r="F85" s="7" t="s">
        <v>2643</v>
      </c>
      <c r="G85" s="28" t="str">
        <f>IF(OR(COUNTA('HR Workforce'!$H$19)=0,'HR Workforce'!$H$19="N/A"),"",VALUE('HR Workforce'!$H$19))</f>
        <v/>
      </c>
      <c r="H85" s="7" t="str">
        <f t="shared" si="11"/>
        <v/>
      </c>
      <c r="I85" s="7" t="str">
        <f>IF($G85="","",IFERROR(IF('HR Workforce'!$L$19="",IF($G85&lt;=1,"Critical",IF($G85=2,"High",IF($G85=3,"Medium",IF($G85=4,"Low","Optimized")))),'HR Workforce'!$L$19),IF($G85&lt;=1,"Critical",IF($G85=2,"High",IF($G85=3,"Medium",IF($G85=4,"Low","Optimized"))))))</f>
        <v/>
      </c>
      <c r="J85" s="7" t="str">
        <f>IF($G85="","",IFERROR(INDEX('Recommendation Matrix'!$E$5:$J$411,MATCH($E85,'Recommendation Matrix'!$A$5:$A$411,0),$G85+1),""))</f>
        <v/>
      </c>
      <c r="K85" s="7" t="str">
        <f>IF($G85="","",IFERROR(VLOOKUP($E85,'Recommendation Matrix'!$A$5:$K$411,11,FALSE),""))</f>
        <v/>
      </c>
      <c r="L85" s="28" t="str">
        <f t="shared" si="12"/>
        <v/>
      </c>
      <c r="M85" s="28" t="str">
        <f>IF($G85="","",IFERROR(INDEX('Recommendation Matrix'!$L$5:$Q$411,MATCH($E85,'Recommendation Matrix'!$A$5:$A$411,0),$G85+1),""))</f>
        <v/>
      </c>
      <c r="N85" s="28" t="str">
        <f t="shared" si="13"/>
        <v/>
      </c>
      <c r="O85" s="28" t="str">
        <f t="shared" si="14"/>
        <v/>
      </c>
      <c r="P85" s="28" t="str">
        <f t="shared" si="15"/>
        <v/>
      </c>
      <c r="Q85" s="28" t="str">
        <f t="shared" si="16"/>
        <v/>
      </c>
      <c r="R85" s="8" t="str">
        <f t="shared" si="17"/>
        <v/>
      </c>
      <c r="S85" s="28">
        <f>IFERROR('HR Workforce'!$G$19,"")</f>
        <v>5</v>
      </c>
      <c r="T85" s="28">
        <f>IFERROR('HR Workforce'!$W$19,"")</f>
        <v>5</v>
      </c>
      <c r="U85" s="28">
        <f>IFERROR('HR Workforce'!$X$19,"")</f>
        <v>5</v>
      </c>
      <c r="V85" s="28">
        <f>IFERROR('HR Workforce'!$Y$19,"")</f>
        <v>5</v>
      </c>
      <c r="W85" s="7" t="s">
        <v>2509</v>
      </c>
      <c r="X85" s="7" t="s">
        <v>2510</v>
      </c>
      <c r="Y85" s="7" t="s">
        <v>2644</v>
      </c>
      <c r="Z85" s="7">
        <f>IFERROR('HR Workforce'!$U$19,"")</f>
        <v>0</v>
      </c>
      <c r="AA85" s="7"/>
      <c r="AB85" s="29"/>
      <c r="AC85" s="7"/>
      <c r="AD85" s="48" t="str">
        <f>IF($B85="Yes",IFERROR(SUMIFS(_TECH_Crisis_Model!$D$5:$D$191,_TECH_Crisis_Model!$A$5:$A$191,'Crisis Simulator'!$B$4,_TECH_Crisis_Model!$B$5:$B$191,$C85),1),"")</f>
        <v/>
      </c>
      <c r="AE85" s="48" t="str">
        <f t="shared" si="18"/>
        <v/>
      </c>
      <c r="AF85" s="48" t="str">
        <f>IFERROR(INDEX(_TECH_Crisis_Model!$E$5:$E$191,MATCH('Crisis Simulator'!$B$4&amp;"|"&amp;$C85,_TECH_Crisis_Model!$I$5:$I$191,0)),"")</f>
        <v>Workforce availability, critical people and knowledge continuity determine operational capacity.</v>
      </c>
      <c r="AG85" s="48" t="str">
        <f>IFERROR(INDEX(_TECH_Crisis_Model!$G$5:$G$191,MATCH('Crisis Simulator'!$B$4&amp;"|"&amp;$C85,_TECH_Crisis_Model!$I$5:$I$191,0)),"")</f>
        <v>Create critical role backups, knowledge transfer, cross-training and workforce continuity plans.</v>
      </c>
      <c r="AH85" s="48" t="str">
        <f>IFERROR(INDEX(_TECH_Initiative_Library!$A$5:$A$76,MATCH(1,INDEX((_TECH_Initiative_Library!$B$5:$B$76=$C85)*(_TECH_Initiative_Library!$C$5:$C$76=$D85),0),0)),"")</f>
        <v>INI-013</v>
      </c>
      <c r="AI85" s="48" t="str">
        <f>IFERROR(INDEX(_TECH_Initiative_Library!$F$5:$F$76,MATCH(1,INDEX((_TECH_Initiative_Library!$B$5:$B$76=$C85)*(_TECH_Initiative_Library!$C$5:$C$76=$D85),0),0)),"")</f>
        <v>Implement workforce continuity, wellbeing and availability playbook</v>
      </c>
      <c r="AJ85" s="48" t="str">
        <f ca="1">IFERROR(INDEX(_TECH_Initiative_Library!$AC$5:$AC$76,MATCH(1,INDEX((_TECH_Initiative_Library!$B$5:$B$76=$C85)*(_TECH_Initiative_Library!$C$5:$C$76=$D85),0),0)),"")</f>
        <v/>
      </c>
      <c r="AK85" s="48" t="str">
        <f ca="1">IFERROR(INDEX(_TECH_Initiative_Library!$AE$5:$AE$76,MATCH(1,INDEX((_TECH_Initiative_Library!$B$5:$B$76=$C85)*(_TECH_Initiative_Library!$C$5:$C$76=$D85),0),0)),"")</f>
        <v/>
      </c>
      <c r="AL85" s="48" t="str">
        <f>IF($B85="Yes",IFERROR(SUMIFS(_TECH_Industry_Templates!$E:$E,_TECH_Industry_Templates!$A:$A,'Company Profile'!$B$9,_TECH_Industry_Templates!$B:$B,$C85),1),"")</f>
        <v/>
      </c>
      <c r="AM85" s="48" t="str">
        <f t="shared" si="19"/>
        <v/>
      </c>
      <c r="AN85" s="48" t="str">
        <f>IF($AM85="","",RANK.EQ($AM85,$AM$8:$AM$414,0)+COUNTIF($AM$8:$AM85,$AM85)-1)</f>
        <v/>
      </c>
    </row>
    <row r="86" spans="1:40" ht="71.25">
      <c r="A86" s="28" t="str">
        <f>IF($AM86="","",RANK.EQ($AM86,$AM$8:$AM$414,0)+COUNTIF($AM$8:$AM86,$AM86)-1)</f>
        <v/>
      </c>
      <c r="B86" s="7" t="str">
        <f t="shared" si="10"/>
        <v/>
      </c>
      <c r="C86" s="7" t="s">
        <v>63</v>
      </c>
      <c r="D86" s="7" t="s">
        <v>1121</v>
      </c>
      <c r="E86" s="7" t="s">
        <v>2652</v>
      </c>
      <c r="F86" s="7" t="s">
        <v>2653</v>
      </c>
      <c r="G86" s="28" t="str">
        <f>IF(OR(COUNTA('HR Workforce'!$H$20)=0,'HR Workforce'!$H$20="N/A"),"",VALUE('HR Workforce'!$H$20))</f>
        <v/>
      </c>
      <c r="H86" s="7" t="str">
        <f t="shared" si="11"/>
        <v/>
      </c>
      <c r="I86" s="7" t="str">
        <f>IF($G86="","",IFERROR(IF('HR Workforce'!$L$20="",IF($G86&lt;=1,"Critical",IF($G86=2,"High",IF($G86=3,"Medium",IF($G86=4,"Low","Optimized")))),'HR Workforce'!$L$20),IF($G86&lt;=1,"Critical",IF($G86=2,"High",IF($G86=3,"Medium",IF($G86=4,"Low","Optimized"))))))</f>
        <v/>
      </c>
      <c r="J86" s="7" t="str">
        <f>IF($G86="","",IFERROR(INDEX('Recommendation Matrix'!$E$5:$J$411,MATCH($E86,'Recommendation Matrix'!$A$5:$A$411,0),$G86+1),""))</f>
        <v/>
      </c>
      <c r="K86" s="7" t="str">
        <f>IF($G86="","",IFERROR(VLOOKUP($E86,'Recommendation Matrix'!$A$5:$K$411,11,FALSE),""))</f>
        <v/>
      </c>
      <c r="L86" s="28" t="str">
        <f t="shared" si="12"/>
        <v/>
      </c>
      <c r="M86" s="28" t="str">
        <f>IF($G86="","",IFERROR(INDEX('Recommendation Matrix'!$L$5:$Q$411,MATCH($E86,'Recommendation Matrix'!$A$5:$A$411,0),$G86+1),""))</f>
        <v/>
      </c>
      <c r="N86" s="28" t="str">
        <f t="shared" si="13"/>
        <v/>
      </c>
      <c r="O86" s="28" t="str">
        <f t="shared" si="14"/>
        <v/>
      </c>
      <c r="P86" s="28" t="str">
        <f t="shared" si="15"/>
        <v/>
      </c>
      <c r="Q86" s="28" t="str">
        <f t="shared" si="16"/>
        <v/>
      </c>
      <c r="R86" s="8" t="str">
        <f t="shared" si="17"/>
        <v/>
      </c>
      <c r="S86" s="28">
        <f>IFERROR('HR Workforce'!$G$20,"")</f>
        <v>5</v>
      </c>
      <c r="T86" s="28">
        <f>IFERROR('HR Workforce'!$W$20,"")</f>
        <v>4</v>
      </c>
      <c r="U86" s="28">
        <f>IFERROR('HR Workforce'!$X$20,"")</f>
        <v>5</v>
      </c>
      <c r="V86" s="28">
        <f>IFERROR('HR Workforce'!$Y$20,"")</f>
        <v>5</v>
      </c>
      <c r="W86" s="7" t="s">
        <v>2509</v>
      </c>
      <c r="X86" s="7" t="s">
        <v>2510</v>
      </c>
      <c r="Y86" s="7" t="s">
        <v>2654</v>
      </c>
      <c r="Z86" s="7">
        <f>IFERROR('HR Workforce'!$U$20,"")</f>
        <v>0</v>
      </c>
      <c r="AA86" s="7"/>
      <c r="AB86" s="29"/>
      <c r="AC86" s="7"/>
      <c r="AD86" s="48" t="str">
        <f>IF($B86="Yes",IFERROR(SUMIFS(_TECH_Crisis_Model!$D$5:$D$191,_TECH_Crisis_Model!$A$5:$A$191,'Crisis Simulator'!$B$4,_TECH_Crisis_Model!$B$5:$B$191,$C86),1),"")</f>
        <v/>
      </c>
      <c r="AE86" s="48" t="str">
        <f t="shared" si="18"/>
        <v/>
      </c>
      <c r="AF86" s="48" t="str">
        <f>IFERROR(INDEX(_TECH_Crisis_Model!$E$5:$E$191,MATCH('Crisis Simulator'!$B$4&amp;"|"&amp;$C86,_TECH_Crisis_Model!$I$5:$I$191,0)),"")</f>
        <v>Workforce availability, critical people and knowledge continuity determine operational capacity.</v>
      </c>
      <c r="AG86" s="48" t="str">
        <f>IFERROR(INDEX(_TECH_Crisis_Model!$G$5:$G$191,MATCH('Crisis Simulator'!$B$4&amp;"|"&amp;$C86,_TECH_Crisis_Model!$I$5:$I$191,0)),"")</f>
        <v>Create critical role backups, knowledge transfer, cross-training and workforce continuity plans.</v>
      </c>
      <c r="AH86" s="48" t="str">
        <f>IFERROR(INDEX(_TECH_Initiative_Library!$A$5:$A$76,MATCH(1,INDEX((_TECH_Initiative_Library!$B$5:$B$76=$C86)*(_TECH_Initiative_Library!$C$5:$C$76=$D86),0),0)),"")</f>
        <v>INI-013</v>
      </c>
      <c r="AI86" s="48" t="str">
        <f>IFERROR(INDEX(_TECH_Initiative_Library!$F$5:$F$76,MATCH(1,INDEX((_TECH_Initiative_Library!$B$5:$B$76=$C86)*(_TECH_Initiative_Library!$C$5:$C$76=$D86),0),0)),"")</f>
        <v>Implement workforce continuity, wellbeing and availability playbook</v>
      </c>
      <c r="AJ86" s="48" t="str">
        <f ca="1">IFERROR(INDEX(_TECH_Initiative_Library!$AC$5:$AC$76,MATCH(1,INDEX((_TECH_Initiative_Library!$B$5:$B$76=$C86)*(_TECH_Initiative_Library!$C$5:$C$76=$D86),0),0)),"")</f>
        <v/>
      </c>
      <c r="AK86" s="48" t="str">
        <f ca="1">IFERROR(INDEX(_TECH_Initiative_Library!$AE$5:$AE$76,MATCH(1,INDEX((_TECH_Initiative_Library!$B$5:$B$76=$C86)*(_TECH_Initiative_Library!$C$5:$C$76=$D86),0),0)),"")</f>
        <v/>
      </c>
      <c r="AL86" s="48" t="str">
        <f>IF($B86="Yes",IFERROR(SUMIFS(_TECH_Industry_Templates!$E:$E,_TECH_Industry_Templates!$A:$A,'Company Profile'!$B$9,_TECH_Industry_Templates!$B:$B,$C86),1),"")</f>
        <v/>
      </c>
      <c r="AM86" s="48" t="str">
        <f t="shared" si="19"/>
        <v/>
      </c>
      <c r="AN86" s="48" t="str">
        <f>IF($AM86="","",RANK.EQ($AM86,$AM$8:$AM$414,0)+COUNTIF($AM$8:$AM86,$AM86)-1)</f>
        <v/>
      </c>
    </row>
    <row r="87" spans="1:40" ht="71.25">
      <c r="A87" s="28" t="str">
        <f>IF($AM87="","",RANK.EQ($AM87,$AM$8:$AM$414,0)+COUNTIF($AM$8:$AM87,$AM87)-1)</f>
        <v/>
      </c>
      <c r="B87" s="7" t="str">
        <f t="shared" si="10"/>
        <v/>
      </c>
      <c r="C87" s="7" t="s">
        <v>63</v>
      </c>
      <c r="D87" s="7" t="s">
        <v>1121</v>
      </c>
      <c r="E87" s="7" t="s">
        <v>2662</v>
      </c>
      <c r="F87" s="7" t="s">
        <v>2663</v>
      </c>
      <c r="G87" s="28" t="str">
        <f>IF(OR(COUNTA('HR Workforce'!$H$21)=0,'HR Workforce'!$H$21="N/A"),"",VALUE('HR Workforce'!$H$21))</f>
        <v/>
      </c>
      <c r="H87" s="7" t="str">
        <f t="shared" si="11"/>
        <v/>
      </c>
      <c r="I87" s="7" t="str">
        <f>IF($G87="","",IFERROR(IF('HR Workforce'!$L$21="",IF($G87&lt;=1,"Critical",IF($G87=2,"High",IF($G87=3,"Medium",IF($G87=4,"Low","Optimized")))),'HR Workforce'!$L$21),IF($G87&lt;=1,"Critical",IF($G87=2,"High",IF($G87=3,"Medium",IF($G87=4,"Low","Optimized"))))))</f>
        <v/>
      </c>
      <c r="J87" s="7" t="str">
        <f>IF($G87="","",IFERROR(INDEX('Recommendation Matrix'!$E$5:$J$411,MATCH($E87,'Recommendation Matrix'!$A$5:$A$411,0),$G87+1),""))</f>
        <v/>
      </c>
      <c r="K87" s="7" t="str">
        <f>IF($G87="","",IFERROR(VLOOKUP($E87,'Recommendation Matrix'!$A$5:$K$411,11,FALSE),""))</f>
        <v/>
      </c>
      <c r="L87" s="28" t="str">
        <f t="shared" si="12"/>
        <v/>
      </c>
      <c r="M87" s="28" t="str">
        <f>IF($G87="","",IFERROR(INDEX('Recommendation Matrix'!$L$5:$Q$411,MATCH($E87,'Recommendation Matrix'!$A$5:$A$411,0),$G87+1),""))</f>
        <v/>
      </c>
      <c r="N87" s="28" t="str">
        <f t="shared" si="13"/>
        <v/>
      </c>
      <c r="O87" s="28" t="str">
        <f t="shared" si="14"/>
        <v/>
      </c>
      <c r="P87" s="28" t="str">
        <f t="shared" si="15"/>
        <v/>
      </c>
      <c r="Q87" s="28" t="str">
        <f t="shared" si="16"/>
        <v/>
      </c>
      <c r="R87" s="8" t="str">
        <f t="shared" si="17"/>
        <v/>
      </c>
      <c r="S87" s="28">
        <f>IFERROR('HR Workforce'!$G$21,"")</f>
        <v>5</v>
      </c>
      <c r="T87" s="28">
        <f>IFERROR('HR Workforce'!$W$21,"")</f>
        <v>4</v>
      </c>
      <c r="U87" s="28">
        <f>IFERROR('HR Workforce'!$X$21,"")</f>
        <v>5</v>
      </c>
      <c r="V87" s="28">
        <f>IFERROR('HR Workforce'!$Y$21,"")</f>
        <v>5</v>
      </c>
      <c r="W87" s="7" t="s">
        <v>2509</v>
      </c>
      <c r="X87" s="7" t="s">
        <v>2510</v>
      </c>
      <c r="Y87" s="7" t="s">
        <v>2664</v>
      </c>
      <c r="Z87" s="7">
        <f>IFERROR('HR Workforce'!$U$21,"")</f>
        <v>0</v>
      </c>
      <c r="AA87" s="7"/>
      <c r="AB87" s="29"/>
      <c r="AC87" s="7"/>
      <c r="AD87" s="48" t="str">
        <f>IF($B87="Yes",IFERROR(SUMIFS(_TECH_Crisis_Model!$D$5:$D$191,_TECH_Crisis_Model!$A$5:$A$191,'Crisis Simulator'!$B$4,_TECH_Crisis_Model!$B$5:$B$191,$C87),1),"")</f>
        <v/>
      </c>
      <c r="AE87" s="48" t="str">
        <f t="shared" si="18"/>
        <v/>
      </c>
      <c r="AF87" s="48" t="str">
        <f>IFERROR(INDEX(_TECH_Crisis_Model!$E$5:$E$191,MATCH('Crisis Simulator'!$B$4&amp;"|"&amp;$C87,_TECH_Crisis_Model!$I$5:$I$191,0)),"")</f>
        <v>Workforce availability, critical people and knowledge continuity determine operational capacity.</v>
      </c>
      <c r="AG87" s="48" t="str">
        <f>IFERROR(INDEX(_TECH_Crisis_Model!$G$5:$G$191,MATCH('Crisis Simulator'!$B$4&amp;"|"&amp;$C87,_TECH_Crisis_Model!$I$5:$I$191,0)),"")</f>
        <v>Create critical role backups, knowledge transfer, cross-training and workforce continuity plans.</v>
      </c>
      <c r="AH87" s="48" t="str">
        <f>IFERROR(INDEX(_TECH_Initiative_Library!$A$5:$A$76,MATCH(1,INDEX((_TECH_Initiative_Library!$B$5:$B$76=$C87)*(_TECH_Initiative_Library!$C$5:$C$76=$D87),0),0)),"")</f>
        <v>INI-013</v>
      </c>
      <c r="AI87" s="48" t="str">
        <f>IFERROR(INDEX(_TECH_Initiative_Library!$F$5:$F$76,MATCH(1,INDEX((_TECH_Initiative_Library!$B$5:$B$76=$C87)*(_TECH_Initiative_Library!$C$5:$C$76=$D87),0),0)),"")</f>
        <v>Implement workforce continuity, wellbeing and availability playbook</v>
      </c>
      <c r="AJ87" s="48" t="str">
        <f ca="1">IFERROR(INDEX(_TECH_Initiative_Library!$AC$5:$AC$76,MATCH(1,INDEX((_TECH_Initiative_Library!$B$5:$B$76=$C87)*(_TECH_Initiative_Library!$C$5:$C$76=$D87),0),0)),"")</f>
        <v/>
      </c>
      <c r="AK87" s="48" t="str">
        <f ca="1">IFERROR(INDEX(_TECH_Initiative_Library!$AE$5:$AE$76,MATCH(1,INDEX((_TECH_Initiative_Library!$B$5:$B$76=$C87)*(_TECH_Initiative_Library!$C$5:$C$76=$D87),0),0)),"")</f>
        <v/>
      </c>
      <c r="AL87" s="48" t="str">
        <f>IF($B87="Yes",IFERROR(SUMIFS(_TECH_Industry_Templates!$E:$E,_TECH_Industry_Templates!$A:$A,'Company Profile'!$B$9,_TECH_Industry_Templates!$B:$B,$C87),1),"")</f>
        <v/>
      </c>
      <c r="AM87" s="48" t="str">
        <f t="shared" si="19"/>
        <v/>
      </c>
      <c r="AN87" s="48" t="str">
        <f>IF($AM87="","",RANK.EQ($AM87,$AM$8:$AM$414,0)+COUNTIF($AM$8:$AM87,$AM87)-1)</f>
        <v/>
      </c>
    </row>
    <row r="88" spans="1:40" ht="85.5">
      <c r="A88" s="28" t="str">
        <f>IF($AM88="","",RANK.EQ($AM88,$AM$8:$AM$414,0)+COUNTIF($AM$8:$AM88,$AM88)-1)</f>
        <v/>
      </c>
      <c r="B88" s="7" t="str">
        <f t="shared" si="10"/>
        <v/>
      </c>
      <c r="C88" s="7" t="s">
        <v>63</v>
      </c>
      <c r="D88" s="7" t="s">
        <v>1121</v>
      </c>
      <c r="E88" s="7" t="s">
        <v>2672</v>
      </c>
      <c r="F88" s="7" t="s">
        <v>2673</v>
      </c>
      <c r="G88" s="28" t="str">
        <f>IF(OR(COUNTA('HR Workforce'!$H$22)=0,'HR Workforce'!$H$22="N/A"),"",VALUE('HR Workforce'!$H$22))</f>
        <v/>
      </c>
      <c r="H88" s="7" t="str">
        <f t="shared" si="11"/>
        <v/>
      </c>
      <c r="I88" s="7" t="str">
        <f>IF($G88="","",IFERROR(IF('HR Workforce'!$L$22="",IF($G88&lt;=1,"Critical",IF($G88=2,"High",IF($G88=3,"Medium",IF($G88=4,"Low","Optimized")))),'HR Workforce'!$L$22),IF($G88&lt;=1,"Critical",IF($G88=2,"High",IF($G88=3,"Medium",IF($G88=4,"Low","Optimized"))))))</f>
        <v/>
      </c>
      <c r="J88" s="7" t="str">
        <f>IF($G88="","",IFERROR(INDEX('Recommendation Matrix'!$E$5:$J$411,MATCH($E88,'Recommendation Matrix'!$A$5:$A$411,0),$G88+1),""))</f>
        <v/>
      </c>
      <c r="K88" s="7" t="str">
        <f>IF($G88="","",IFERROR(VLOOKUP($E88,'Recommendation Matrix'!$A$5:$K$411,11,FALSE),""))</f>
        <v/>
      </c>
      <c r="L88" s="28" t="str">
        <f t="shared" si="12"/>
        <v/>
      </c>
      <c r="M88" s="28" t="str">
        <f>IF($G88="","",IFERROR(INDEX('Recommendation Matrix'!$L$5:$Q$411,MATCH($E88,'Recommendation Matrix'!$A$5:$A$411,0),$G88+1),""))</f>
        <v/>
      </c>
      <c r="N88" s="28" t="str">
        <f t="shared" si="13"/>
        <v/>
      </c>
      <c r="O88" s="28" t="str">
        <f t="shared" si="14"/>
        <v/>
      </c>
      <c r="P88" s="28" t="str">
        <f t="shared" si="15"/>
        <v/>
      </c>
      <c r="Q88" s="28" t="str">
        <f t="shared" si="16"/>
        <v/>
      </c>
      <c r="R88" s="8" t="str">
        <f t="shared" si="17"/>
        <v/>
      </c>
      <c r="S88" s="28">
        <f>IFERROR('HR Workforce'!$G$22,"")</f>
        <v>3</v>
      </c>
      <c r="T88" s="28">
        <f>IFERROR('HR Workforce'!$W$22,"")</f>
        <v>4</v>
      </c>
      <c r="U88" s="28">
        <f>IFERROR('HR Workforce'!$X$22,"")</f>
        <v>5</v>
      </c>
      <c r="V88" s="28">
        <f>IFERROR('HR Workforce'!$Y$22,"")</f>
        <v>5</v>
      </c>
      <c r="W88" s="7" t="s">
        <v>2509</v>
      </c>
      <c r="X88" s="7" t="s">
        <v>2510</v>
      </c>
      <c r="Y88" s="7" t="s">
        <v>2674</v>
      </c>
      <c r="Z88" s="7">
        <f>IFERROR('HR Workforce'!$U$22,"")</f>
        <v>0</v>
      </c>
      <c r="AA88" s="7"/>
      <c r="AB88" s="29"/>
      <c r="AC88" s="7"/>
      <c r="AD88" s="48" t="str">
        <f>IF($B88="Yes",IFERROR(SUMIFS(_TECH_Crisis_Model!$D$5:$D$191,_TECH_Crisis_Model!$A$5:$A$191,'Crisis Simulator'!$B$4,_TECH_Crisis_Model!$B$5:$B$191,$C88),1),"")</f>
        <v/>
      </c>
      <c r="AE88" s="48" t="str">
        <f t="shared" si="18"/>
        <v/>
      </c>
      <c r="AF88" s="48" t="str">
        <f>IFERROR(INDEX(_TECH_Crisis_Model!$E$5:$E$191,MATCH('Crisis Simulator'!$B$4&amp;"|"&amp;$C88,_TECH_Crisis_Model!$I$5:$I$191,0)),"")</f>
        <v>Workforce availability, critical people and knowledge continuity determine operational capacity.</v>
      </c>
      <c r="AG88" s="48" t="str">
        <f>IFERROR(INDEX(_TECH_Crisis_Model!$G$5:$G$191,MATCH('Crisis Simulator'!$B$4&amp;"|"&amp;$C88,_TECH_Crisis_Model!$I$5:$I$191,0)),"")</f>
        <v>Create critical role backups, knowledge transfer, cross-training and workforce continuity plans.</v>
      </c>
      <c r="AH88" s="48" t="str">
        <f>IFERROR(INDEX(_TECH_Initiative_Library!$A$5:$A$76,MATCH(1,INDEX((_TECH_Initiative_Library!$B$5:$B$76=$C88)*(_TECH_Initiative_Library!$C$5:$C$76=$D88),0),0)),"")</f>
        <v>INI-013</v>
      </c>
      <c r="AI88" s="48" t="str">
        <f>IFERROR(INDEX(_TECH_Initiative_Library!$F$5:$F$76,MATCH(1,INDEX((_TECH_Initiative_Library!$B$5:$B$76=$C88)*(_TECH_Initiative_Library!$C$5:$C$76=$D88),0),0)),"")</f>
        <v>Implement workforce continuity, wellbeing and availability playbook</v>
      </c>
      <c r="AJ88" s="48" t="str">
        <f ca="1">IFERROR(INDEX(_TECH_Initiative_Library!$AC$5:$AC$76,MATCH(1,INDEX((_TECH_Initiative_Library!$B$5:$B$76=$C88)*(_TECH_Initiative_Library!$C$5:$C$76=$D88),0),0)),"")</f>
        <v/>
      </c>
      <c r="AK88" s="48" t="str">
        <f ca="1">IFERROR(INDEX(_TECH_Initiative_Library!$AE$5:$AE$76,MATCH(1,INDEX((_TECH_Initiative_Library!$B$5:$B$76=$C88)*(_TECH_Initiative_Library!$C$5:$C$76=$D88),0),0)),"")</f>
        <v/>
      </c>
      <c r="AL88" s="48" t="str">
        <f>IF($B88="Yes",IFERROR(SUMIFS(_TECH_Industry_Templates!$E:$E,_TECH_Industry_Templates!$A:$A,'Company Profile'!$B$9,_TECH_Industry_Templates!$B:$B,$C88),1),"")</f>
        <v/>
      </c>
      <c r="AM88" s="48" t="str">
        <f t="shared" si="19"/>
        <v/>
      </c>
      <c r="AN88" s="48" t="str">
        <f>IF($AM88="","",RANK.EQ($AM88,$AM$8:$AM$414,0)+COUNTIF($AM$8:$AM88,$AM88)-1)</f>
        <v/>
      </c>
    </row>
    <row r="89" spans="1:40" ht="71.25">
      <c r="A89" s="28" t="str">
        <f>IF($AM89="","",RANK.EQ($AM89,$AM$8:$AM$414,0)+COUNTIF($AM$8:$AM89,$AM89)-1)</f>
        <v/>
      </c>
      <c r="B89" s="7" t="str">
        <f t="shared" si="10"/>
        <v/>
      </c>
      <c r="C89" s="7" t="s">
        <v>63</v>
      </c>
      <c r="D89" s="7" t="s">
        <v>1121</v>
      </c>
      <c r="E89" s="7" t="s">
        <v>2682</v>
      </c>
      <c r="F89" s="7" t="s">
        <v>2683</v>
      </c>
      <c r="G89" s="28" t="str">
        <f>IF(OR(COUNTA('HR Workforce'!$H$23)=0,'HR Workforce'!$H$23="N/A"),"",VALUE('HR Workforce'!$H$23))</f>
        <v/>
      </c>
      <c r="H89" s="7" t="str">
        <f t="shared" si="11"/>
        <v/>
      </c>
      <c r="I89" s="7" t="str">
        <f>IF($G89="","",IFERROR(IF('HR Workforce'!$L$23="",IF($G89&lt;=1,"Critical",IF($G89=2,"High",IF($G89=3,"Medium",IF($G89=4,"Low","Optimized")))),'HR Workforce'!$L$23),IF($G89&lt;=1,"Critical",IF($G89=2,"High",IF($G89=3,"Medium",IF($G89=4,"Low","Optimized"))))))</f>
        <v/>
      </c>
      <c r="J89" s="7" t="str">
        <f>IF($G89="","",IFERROR(INDEX('Recommendation Matrix'!$E$5:$J$411,MATCH($E89,'Recommendation Matrix'!$A$5:$A$411,0),$G89+1),""))</f>
        <v/>
      </c>
      <c r="K89" s="7" t="str">
        <f>IF($G89="","",IFERROR(VLOOKUP($E89,'Recommendation Matrix'!$A$5:$K$411,11,FALSE),""))</f>
        <v/>
      </c>
      <c r="L89" s="28" t="str">
        <f t="shared" si="12"/>
        <v/>
      </c>
      <c r="M89" s="28" t="str">
        <f>IF($G89="","",IFERROR(INDEX('Recommendation Matrix'!$L$5:$Q$411,MATCH($E89,'Recommendation Matrix'!$A$5:$A$411,0),$G89+1),""))</f>
        <v/>
      </c>
      <c r="N89" s="28" t="str">
        <f t="shared" si="13"/>
        <v/>
      </c>
      <c r="O89" s="28" t="str">
        <f t="shared" si="14"/>
        <v/>
      </c>
      <c r="P89" s="28" t="str">
        <f t="shared" si="15"/>
        <v/>
      </c>
      <c r="Q89" s="28" t="str">
        <f t="shared" si="16"/>
        <v/>
      </c>
      <c r="R89" s="8" t="str">
        <f t="shared" si="17"/>
        <v/>
      </c>
      <c r="S89" s="28">
        <f>IFERROR('HR Workforce'!$G$23,"")</f>
        <v>5</v>
      </c>
      <c r="T89" s="28">
        <f>IFERROR('HR Workforce'!$W$23,"")</f>
        <v>4</v>
      </c>
      <c r="U89" s="28">
        <f>IFERROR('HR Workforce'!$X$23,"")</f>
        <v>5</v>
      </c>
      <c r="V89" s="28">
        <f>IFERROR('HR Workforce'!$Y$23,"")</f>
        <v>5</v>
      </c>
      <c r="W89" s="7" t="s">
        <v>2509</v>
      </c>
      <c r="X89" s="7" t="s">
        <v>2510</v>
      </c>
      <c r="Y89" s="7" t="s">
        <v>2684</v>
      </c>
      <c r="Z89" s="7">
        <f>IFERROR('HR Workforce'!$U$23,"")</f>
        <v>0</v>
      </c>
      <c r="AA89" s="7"/>
      <c r="AB89" s="29"/>
      <c r="AC89" s="7"/>
      <c r="AD89" s="48" t="str">
        <f>IF($B89="Yes",IFERROR(SUMIFS(_TECH_Crisis_Model!$D$5:$D$191,_TECH_Crisis_Model!$A$5:$A$191,'Crisis Simulator'!$B$4,_TECH_Crisis_Model!$B$5:$B$191,$C89),1),"")</f>
        <v/>
      </c>
      <c r="AE89" s="48" t="str">
        <f t="shared" si="18"/>
        <v/>
      </c>
      <c r="AF89" s="48" t="str">
        <f>IFERROR(INDEX(_TECH_Crisis_Model!$E$5:$E$191,MATCH('Crisis Simulator'!$B$4&amp;"|"&amp;$C89,_TECH_Crisis_Model!$I$5:$I$191,0)),"")</f>
        <v>Workforce availability, critical people and knowledge continuity determine operational capacity.</v>
      </c>
      <c r="AG89" s="48" t="str">
        <f>IFERROR(INDEX(_TECH_Crisis_Model!$G$5:$G$191,MATCH('Crisis Simulator'!$B$4&amp;"|"&amp;$C89,_TECH_Crisis_Model!$I$5:$I$191,0)),"")</f>
        <v>Create critical role backups, knowledge transfer, cross-training and workforce continuity plans.</v>
      </c>
      <c r="AH89" s="48" t="str">
        <f>IFERROR(INDEX(_TECH_Initiative_Library!$A$5:$A$76,MATCH(1,INDEX((_TECH_Initiative_Library!$B$5:$B$76=$C89)*(_TECH_Initiative_Library!$C$5:$C$76=$D89),0),0)),"")</f>
        <v>INI-013</v>
      </c>
      <c r="AI89" s="48" t="str">
        <f>IFERROR(INDEX(_TECH_Initiative_Library!$F$5:$F$76,MATCH(1,INDEX((_TECH_Initiative_Library!$B$5:$B$76=$C89)*(_TECH_Initiative_Library!$C$5:$C$76=$D89),0),0)),"")</f>
        <v>Implement workforce continuity, wellbeing and availability playbook</v>
      </c>
      <c r="AJ89" s="48" t="str">
        <f ca="1">IFERROR(INDEX(_TECH_Initiative_Library!$AC$5:$AC$76,MATCH(1,INDEX((_TECH_Initiative_Library!$B$5:$B$76=$C89)*(_TECH_Initiative_Library!$C$5:$C$76=$D89),0),0)),"")</f>
        <v/>
      </c>
      <c r="AK89" s="48" t="str">
        <f ca="1">IFERROR(INDEX(_TECH_Initiative_Library!$AE$5:$AE$76,MATCH(1,INDEX((_TECH_Initiative_Library!$B$5:$B$76=$C89)*(_TECH_Initiative_Library!$C$5:$C$76=$D89),0),0)),"")</f>
        <v/>
      </c>
      <c r="AL89" s="48" t="str">
        <f>IF($B89="Yes",IFERROR(SUMIFS(_TECH_Industry_Templates!$E:$E,_TECH_Industry_Templates!$A:$A,'Company Profile'!$B$9,_TECH_Industry_Templates!$B:$B,$C89),1),"")</f>
        <v/>
      </c>
      <c r="AM89" s="48" t="str">
        <f t="shared" si="19"/>
        <v/>
      </c>
      <c r="AN89" s="48" t="str">
        <f>IF($AM89="","",RANK.EQ($AM89,$AM$8:$AM$414,0)+COUNTIF($AM$8:$AM89,$AM89)-1)</f>
        <v/>
      </c>
    </row>
    <row r="90" spans="1:40" ht="85.5">
      <c r="A90" s="28" t="str">
        <f>IF($AM90="","",RANK.EQ($AM90,$AM$8:$AM$414,0)+COUNTIF($AM$8:$AM90,$AM90)-1)</f>
        <v/>
      </c>
      <c r="B90" s="7" t="str">
        <f t="shared" si="10"/>
        <v/>
      </c>
      <c r="C90" s="7" t="s">
        <v>63</v>
      </c>
      <c r="D90" s="7" t="s">
        <v>1129</v>
      </c>
      <c r="E90" s="7" t="s">
        <v>2692</v>
      </c>
      <c r="F90" s="7" t="s">
        <v>2693</v>
      </c>
      <c r="G90" s="28" t="str">
        <f>IF(OR(COUNTA('HR Workforce'!$H$24)=0,'HR Workforce'!$H$24="N/A"),"",VALUE('HR Workforce'!$H$24))</f>
        <v/>
      </c>
      <c r="H90" s="7" t="str">
        <f t="shared" si="11"/>
        <v/>
      </c>
      <c r="I90" s="7" t="str">
        <f>IF($G90="","",IFERROR(IF('HR Workforce'!$L$24="",IF($G90&lt;=1,"Critical",IF($G90=2,"High",IF($G90=3,"Medium",IF($G90=4,"Low","Optimized")))),'HR Workforce'!$L$24),IF($G90&lt;=1,"Critical",IF($G90=2,"High",IF($G90=3,"Medium",IF($G90=4,"Low","Optimized"))))))</f>
        <v/>
      </c>
      <c r="J90" s="7" t="str">
        <f>IF($G90="","",IFERROR(INDEX('Recommendation Matrix'!$E$5:$J$411,MATCH($E90,'Recommendation Matrix'!$A$5:$A$411,0),$G90+1),""))</f>
        <v/>
      </c>
      <c r="K90" s="7" t="str">
        <f>IF($G90="","",IFERROR(VLOOKUP($E90,'Recommendation Matrix'!$A$5:$K$411,11,FALSE),""))</f>
        <v/>
      </c>
      <c r="L90" s="28" t="str">
        <f t="shared" si="12"/>
        <v/>
      </c>
      <c r="M90" s="28" t="str">
        <f>IF($G90="","",IFERROR(INDEX('Recommendation Matrix'!$L$5:$Q$411,MATCH($E90,'Recommendation Matrix'!$A$5:$A$411,0),$G90+1),""))</f>
        <v/>
      </c>
      <c r="N90" s="28" t="str">
        <f t="shared" si="13"/>
        <v/>
      </c>
      <c r="O90" s="28" t="str">
        <f t="shared" si="14"/>
        <v/>
      </c>
      <c r="P90" s="28" t="str">
        <f t="shared" si="15"/>
        <v/>
      </c>
      <c r="Q90" s="28" t="str">
        <f t="shared" si="16"/>
        <v/>
      </c>
      <c r="R90" s="8" t="str">
        <f t="shared" si="17"/>
        <v/>
      </c>
      <c r="S90" s="28">
        <f>IFERROR('HR Workforce'!$G$24,"")</f>
        <v>5</v>
      </c>
      <c r="T90" s="28">
        <f>IFERROR('HR Workforce'!$W$24,"")</f>
        <v>5</v>
      </c>
      <c r="U90" s="28">
        <f>IFERROR('HR Workforce'!$X$24,"")</f>
        <v>5</v>
      </c>
      <c r="V90" s="28">
        <f>IFERROR('HR Workforce'!$Y$24,"")</f>
        <v>5</v>
      </c>
      <c r="W90" s="7" t="s">
        <v>2509</v>
      </c>
      <c r="X90" s="7" t="s">
        <v>2510</v>
      </c>
      <c r="Y90" s="7" t="s">
        <v>2694</v>
      </c>
      <c r="Z90" s="7">
        <f>IFERROR('HR Workforce'!$U$24,"")</f>
        <v>0</v>
      </c>
      <c r="AA90" s="7"/>
      <c r="AB90" s="29"/>
      <c r="AC90" s="7"/>
      <c r="AD90" s="48" t="str">
        <f>IF($B90="Yes",IFERROR(SUMIFS(_TECH_Crisis_Model!$D$5:$D$191,_TECH_Crisis_Model!$A$5:$A$191,'Crisis Simulator'!$B$4,_TECH_Crisis_Model!$B$5:$B$191,$C90),1),"")</f>
        <v/>
      </c>
      <c r="AE90" s="48" t="str">
        <f t="shared" si="18"/>
        <v/>
      </c>
      <c r="AF90" s="48" t="str">
        <f>IFERROR(INDEX(_TECH_Crisis_Model!$E$5:$E$191,MATCH('Crisis Simulator'!$B$4&amp;"|"&amp;$C90,_TECH_Crisis_Model!$I$5:$I$191,0)),"")</f>
        <v>Workforce availability, critical people and knowledge continuity determine operational capacity.</v>
      </c>
      <c r="AG90" s="48" t="str">
        <f>IFERROR(INDEX(_TECH_Crisis_Model!$G$5:$G$191,MATCH('Crisis Simulator'!$B$4&amp;"|"&amp;$C90,_TECH_Crisis_Model!$I$5:$I$191,0)),"")</f>
        <v>Create critical role backups, knowledge transfer, cross-training and workforce continuity plans.</v>
      </c>
      <c r="AH90" s="48" t="str">
        <f>IFERROR(INDEX(_TECH_Initiative_Library!$A$5:$A$76,MATCH(1,INDEX((_TECH_Initiative_Library!$B$5:$B$76=$C90)*(_TECH_Initiative_Library!$C$5:$C$76=$D90),0),0)),"")</f>
        <v>INI-014</v>
      </c>
      <c r="AI90" s="48" t="str">
        <f>IFERROR(INDEX(_TECH_Initiative_Library!$F$5:$F$76,MATCH(1,INDEX((_TECH_Initiative_Library!$B$5:$B$76=$C90)*(_TECH_Initiative_Library!$C$5:$C$76=$D90),0),0)),"")</f>
        <v>Stabilize HRMS, workforce data and HR compliance controls</v>
      </c>
      <c r="AJ90" s="48" t="str">
        <f ca="1">IFERROR(INDEX(_TECH_Initiative_Library!$AC$5:$AC$76,MATCH(1,INDEX((_TECH_Initiative_Library!$B$5:$B$76=$C90)*(_TECH_Initiative_Library!$C$5:$C$76=$D90),0),0)),"")</f>
        <v/>
      </c>
      <c r="AK90" s="48" t="str">
        <f ca="1">IFERROR(INDEX(_TECH_Initiative_Library!$AE$5:$AE$76,MATCH(1,INDEX((_TECH_Initiative_Library!$B$5:$B$76=$C90)*(_TECH_Initiative_Library!$C$5:$C$76=$D90),0),0)),"")</f>
        <v/>
      </c>
      <c r="AL90" s="48" t="str">
        <f>IF($B90="Yes",IFERROR(SUMIFS(_TECH_Industry_Templates!$E:$E,_TECH_Industry_Templates!$A:$A,'Company Profile'!$B$9,_TECH_Industry_Templates!$B:$B,$C90),1),"")</f>
        <v/>
      </c>
      <c r="AM90" s="48" t="str">
        <f t="shared" si="19"/>
        <v/>
      </c>
      <c r="AN90" s="48" t="str">
        <f>IF($AM90="","",RANK.EQ($AM90,$AM$8:$AM$414,0)+COUNTIF($AM$8:$AM90,$AM90)-1)</f>
        <v/>
      </c>
    </row>
    <row r="91" spans="1:40" ht="71.25">
      <c r="A91" s="28" t="str">
        <f>IF($AM91="","",RANK.EQ($AM91,$AM$8:$AM$414,0)+COUNTIF($AM$8:$AM91,$AM91)-1)</f>
        <v/>
      </c>
      <c r="B91" s="7" t="str">
        <f t="shared" si="10"/>
        <v/>
      </c>
      <c r="C91" s="7" t="s">
        <v>63</v>
      </c>
      <c r="D91" s="7" t="s">
        <v>1129</v>
      </c>
      <c r="E91" s="7" t="s">
        <v>2702</v>
      </c>
      <c r="F91" s="7" t="s">
        <v>2703</v>
      </c>
      <c r="G91" s="28" t="str">
        <f>IF(OR(COUNTA('HR Workforce'!$H$25)=0,'HR Workforce'!$H$25="N/A"),"",VALUE('HR Workforce'!$H$25))</f>
        <v/>
      </c>
      <c r="H91" s="7" t="str">
        <f t="shared" si="11"/>
        <v/>
      </c>
      <c r="I91" s="7" t="str">
        <f>IF($G91="","",IFERROR(IF('HR Workforce'!$L$25="",IF($G91&lt;=1,"Critical",IF($G91=2,"High",IF($G91=3,"Medium",IF($G91=4,"Low","Optimized")))),'HR Workforce'!$L$25),IF($G91&lt;=1,"Critical",IF($G91=2,"High",IF($G91=3,"Medium",IF($G91=4,"Low","Optimized"))))))</f>
        <v/>
      </c>
      <c r="J91" s="7" t="str">
        <f>IF($G91="","",IFERROR(INDEX('Recommendation Matrix'!$E$5:$J$411,MATCH($E91,'Recommendation Matrix'!$A$5:$A$411,0),$G91+1),""))</f>
        <v/>
      </c>
      <c r="K91" s="7" t="str">
        <f>IF($G91="","",IFERROR(VLOOKUP($E91,'Recommendation Matrix'!$A$5:$K$411,11,FALSE),""))</f>
        <v/>
      </c>
      <c r="L91" s="28" t="str">
        <f t="shared" si="12"/>
        <v/>
      </c>
      <c r="M91" s="28" t="str">
        <f>IF($G91="","",IFERROR(INDEX('Recommendation Matrix'!$L$5:$Q$411,MATCH($E91,'Recommendation Matrix'!$A$5:$A$411,0),$G91+1),""))</f>
        <v/>
      </c>
      <c r="N91" s="28" t="str">
        <f t="shared" si="13"/>
        <v/>
      </c>
      <c r="O91" s="28" t="str">
        <f t="shared" si="14"/>
        <v/>
      </c>
      <c r="P91" s="28" t="str">
        <f t="shared" si="15"/>
        <v/>
      </c>
      <c r="Q91" s="28" t="str">
        <f t="shared" si="16"/>
        <v/>
      </c>
      <c r="R91" s="8" t="str">
        <f t="shared" si="17"/>
        <v/>
      </c>
      <c r="S91" s="28">
        <f>IFERROR('HR Workforce'!$G$25,"")</f>
        <v>4</v>
      </c>
      <c r="T91" s="28">
        <f>IFERROR('HR Workforce'!$W$25,"")</f>
        <v>4</v>
      </c>
      <c r="U91" s="28">
        <f>IFERROR('HR Workforce'!$X$25,"")</f>
        <v>5</v>
      </c>
      <c r="V91" s="28">
        <f>IFERROR('HR Workforce'!$Y$25,"")</f>
        <v>5</v>
      </c>
      <c r="W91" s="7" t="s">
        <v>2509</v>
      </c>
      <c r="X91" s="7" t="s">
        <v>2510</v>
      </c>
      <c r="Y91" s="7" t="s">
        <v>2704</v>
      </c>
      <c r="Z91" s="7">
        <f>IFERROR('HR Workforce'!$U$25,"")</f>
        <v>0</v>
      </c>
      <c r="AA91" s="7"/>
      <c r="AB91" s="29"/>
      <c r="AC91" s="7"/>
      <c r="AD91" s="48" t="str">
        <f>IF($B91="Yes",IFERROR(SUMIFS(_TECH_Crisis_Model!$D$5:$D$191,_TECH_Crisis_Model!$A$5:$A$191,'Crisis Simulator'!$B$4,_TECH_Crisis_Model!$B$5:$B$191,$C91),1),"")</f>
        <v/>
      </c>
      <c r="AE91" s="48" t="str">
        <f t="shared" si="18"/>
        <v/>
      </c>
      <c r="AF91" s="48" t="str">
        <f>IFERROR(INDEX(_TECH_Crisis_Model!$E$5:$E$191,MATCH('Crisis Simulator'!$B$4&amp;"|"&amp;$C91,_TECH_Crisis_Model!$I$5:$I$191,0)),"")</f>
        <v>Workforce availability, critical people and knowledge continuity determine operational capacity.</v>
      </c>
      <c r="AG91" s="48" t="str">
        <f>IFERROR(INDEX(_TECH_Crisis_Model!$G$5:$G$191,MATCH('Crisis Simulator'!$B$4&amp;"|"&amp;$C91,_TECH_Crisis_Model!$I$5:$I$191,0)),"")</f>
        <v>Create critical role backups, knowledge transfer, cross-training and workforce continuity plans.</v>
      </c>
      <c r="AH91" s="48" t="str">
        <f>IFERROR(INDEX(_TECH_Initiative_Library!$A$5:$A$76,MATCH(1,INDEX((_TECH_Initiative_Library!$B$5:$B$76=$C91)*(_TECH_Initiative_Library!$C$5:$C$76=$D91),0),0)),"")</f>
        <v>INI-014</v>
      </c>
      <c r="AI91" s="48" t="str">
        <f>IFERROR(INDEX(_TECH_Initiative_Library!$F$5:$F$76,MATCH(1,INDEX((_TECH_Initiative_Library!$B$5:$B$76=$C91)*(_TECH_Initiative_Library!$C$5:$C$76=$D91),0),0)),"")</f>
        <v>Stabilize HRMS, workforce data and HR compliance controls</v>
      </c>
      <c r="AJ91" s="48" t="str">
        <f ca="1">IFERROR(INDEX(_TECH_Initiative_Library!$AC$5:$AC$76,MATCH(1,INDEX((_TECH_Initiative_Library!$B$5:$B$76=$C91)*(_TECH_Initiative_Library!$C$5:$C$76=$D91),0),0)),"")</f>
        <v/>
      </c>
      <c r="AK91" s="48" t="str">
        <f ca="1">IFERROR(INDEX(_TECH_Initiative_Library!$AE$5:$AE$76,MATCH(1,INDEX((_TECH_Initiative_Library!$B$5:$B$76=$C91)*(_TECH_Initiative_Library!$C$5:$C$76=$D91),0),0)),"")</f>
        <v/>
      </c>
      <c r="AL91" s="48" t="str">
        <f>IF($B91="Yes",IFERROR(SUMIFS(_TECH_Industry_Templates!$E:$E,_TECH_Industry_Templates!$A:$A,'Company Profile'!$B$9,_TECH_Industry_Templates!$B:$B,$C91),1),"")</f>
        <v/>
      </c>
      <c r="AM91" s="48" t="str">
        <f t="shared" si="19"/>
        <v/>
      </c>
      <c r="AN91" s="48" t="str">
        <f>IF($AM91="","",RANK.EQ($AM91,$AM$8:$AM$414,0)+COUNTIF($AM$8:$AM91,$AM91)-1)</f>
        <v/>
      </c>
    </row>
    <row r="92" spans="1:40" ht="71.25">
      <c r="A92" s="28" t="str">
        <f>IF($AM92="","",RANK.EQ($AM92,$AM$8:$AM$414,0)+COUNTIF($AM$8:$AM92,$AM92)-1)</f>
        <v/>
      </c>
      <c r="B92" s="7" t="str">
        <f t="shared" si="10"/>
        <v/>
      </c>
      <c r="C92" s="7" t="s">
        <v>63</v>
      </c>
      <c r="D92" s="7" t="s">
        <v>1129</v>
      </c>
      <c r="E92" s="7" t="s">
        <v>2712</v>
      </c>
      <c r="F92" s="7" t="s">
        <v>2713</v>
      </c>
      <c r="G92" s="28" t="str">
        <f>IF(OR(COUNTA('HR Workforce'!$H$26)=0,'HR Workforce'!$H$26="N/A"),"",VALUE('HR Workforce'!$H$26))</f>
        <v/>
      </c>
      <c r="H92" s="7" t="str">
        <f t="shared" si="11"/>
        <v/>
      </c>
      <c r="I92" s="7" t="str">
        <f>IF($G92="","",IFERROR(IF('HR Workforce'!$L$26="",IF($G92&lt;=1,"Critical",IF($G92=2,"High",IF($G92=3,"Medium",IF($G92=4,"Low","Optimized")))),'HR Workforce'!$L$26),IF($G92&lt;=1,"Critical",IF($G92=2,"High",IF($G92=3,"Medium",IF($G92=4,"Low","Optimized"))))))</f>
        <v/>
      </c>
      <c r="J92" s="7" t="str">
        <f>IF($G92="","",IFERROR(INDEX('Recommendation Matrix'!$E$5:$J$411,MATCH($E92,'Recommendation Matrix'!$A$5:$A$411,0),$G92+1),""))</f>
        <v/>
      </c>
      <c r="K92" s="7" t="str">
        <f>IF($G92="","",IFERROR(VLOOKUP($E92,'Recommendation Matrix'!$A$5:$K$411,11,FALSE),""))</f>
        <v/>
      </c>
      <c r="L92" s="28" t="str">
        <f t="shared" si="12"/>
        <v/>
      </c>
      <c r="M92" s="28" t="str">
        <f>IF($G92="","",IFERROR(INDEX('Recommendation Matrix'!$L$5:$Q$411,MATCH($E92,'Recommendation Matrix'!$A$5:$A$411,0),$G92+1),""))</f>
        <v/>
      </c>
      <c r="N92" s="28" t="str">
        <f t="shared" si="13"/>
        <v/>
      </c>
      <c r="O92" s="28" t="str">
        <f t="shared" si="14"/>
        <v/>
      </c>
      <c r="P92" s="28" t="str">
        <f t="shared" si="15"/>
        <v/>
      </c>
      <c r="Q92" s="28" t="str">
        <f t="shared" si="16"/>
        <v/>
      </c>
      <c r="R92" s="8" t="str">
        <f t="shared" si="17"/>
        <v/>
      </c>
      <c r="S92" s="28">
        <f>IFERROR('HR Workforce'!$G$26,"")</f>
        <v>4</v>
      </c>
      <c r="T92" s="28">
        <f>IFERROR('HR Workforce'!$W$26,"")</f>
        <v>4</v>
      </c>
      <c r="U92" s="28">
        <f>IFERROR('HR Workforce'!$X$26,"")</f>
        <v>5</v>
      </c>
      <c r="V92" s="28">
        <f>IFERROR('HR Workforce'!$Y$26,"")</f>
        <v>5</v>
      </c>
      <c r="W92" s="7" t="s">
        <v>2509</v>
      </c>
      <c r="X92" s="7" t="s">
        <v>2510</v>
      </c>
      <c r="Y92" s="7" t="s">
        <v>2714</v>
      </c>
      <c r="Z92" s="7">
        <f>IFERROR('HR Workforce'!$U$26,"")</f>
        <v>0</v>
      </c>
      <c r="AA92" s="7"/>
      <c r="AB92" s="29"/>
      <c r="AC92" s="7"/>
      <c r="AD92" s="48" t="str">
        <f>IF($B92="Yes",IFERROR(SUMIFS(_TECH_Crisis_Model!$D$5:$D$191,_TECH_Crisis_Model!$A$5:$A$191,'Crisis Simulator'!$B$4,_TECH_Crisis_Model!$B$5:$B$191,$C92),1),"")</f>
        <v/>
      </c>
      <c r="AE92" s="48" t="str">
        <f t="shared" si="18"/>
        <v/>
      </c>
      <c r="AF92" s="48" t="str">
        <f>IFERROR(INDEX(_TECH_Crisis_Model!$E$5:$E$191,MATCH('Crisis Simulator'!$B$4&amp;"|"&amp;$C92,_TECH_Crisis_Model!$I$5:$I$191,0)),"")</f>
        <v>Workforce availability, critical people and knowledge continuity determine operational capacity.</v>
      </c>
      <c r="AG92" s="48" t="str">
        <f>IFERROR(INDEX(_TECH_Crisis_Model!$G$5:$G$191,MATCH('Crisis Simulator'!$B$4&amp;"|"&amp;$C92,_TECH_Crisis_Model!$I$5:$I$191,0)),"")</f>
        <v>Create critical role backups, knowledge transfer, cross-training and workforce continuity plans.</v>
      </c>
      <c r="AH92" s="48" t="str">
        <f>IFERROR(INDEX(_TECH_Initiative_Library!$A$5:$A$76,MATCH(1,INDEX((_TECH_Initiative_Library!$B$5:$B$76=$C92)*(_TECH_Initiative_Library!$C$5:$C$76=$D92),0),0)),"")</f>
        <v>INI-014</v>
      </c>
      <c r="AI92" s="48" t="str">
        <f>IFERROR(INDEX(_TECH_Initiative_Library!$F$5:$F$76,MATCH(1,INDEX((_TECH_Initiative_Library!$B$5:$B$76=$C92)*(_TECH_Initiative_Library!$C$5:$C$76=$D92),0),0)),"")</f>
        <v>Stabilize HRMS, workforce data and HR compliance controls</v>
      </c>
      <c r="AJ92" s="48" t="str">
        <f ca="1">IFERROR(INDEX(_TECH_Initiative_Library!$AC$5:$AC$76,MATCH(1,INDEX((_TECH_Initiative_Library!$B$5:$B$76=$C92)*(_TECH_Initiative_Library!$C$5:$C$76=$D92),0),0)),"")</f>
        <v/>
      </c>
      <c r="AK92" s="48" t="str">
        <f ca="1">IFERROR(INDEX(_TECH_Initiative_Library!$AE$5:$AE$76,MATCH(1,INDEX((_TECH_Initiative_Library!$B$5:$B$76=$C92)*(_TECH_Initiative_Library!$C$5:$C$76=$D92),0),0)),"")</f>
        <v/>
      </c>
      <c r="AL92" s="48" t="str">
        <f>IF($B92="Yes",IFERROR(SUMIFS(_TECH_Industry_Templates!$E:$E,_TECH_Industry_Templates!$A:$A,'Company Profile'!$B$9,_TECH_Industry_Templates!$B:$B,$C92),1),"")</f>
        <v/>
      </c>
      <c r="AM92" s="48" t="str">
        <f t="shared" si="19"/>
        <v/>
      </c>
      <c r="AN92" s="48" t="str">
        <f>IF($AM92="","",RANK.EQ($AM92,$AM$8:$AM$414,0)+COUNTIF($AM$8:$AM92,$AM92)-1)</f>
        <v/>
      </c>
    </row>
    <row r="93" spans="1:40" ht="71.25">
      <c r="A93" s="28" t="str">
        <f>IF($AM93="","",RANK.EQ($AM93,$AM$8:$AM$414,0)+COUNTIF($AM$8:$AM93,$AM93)-1)</f>
        <v/>
      </c>
      <c r="B93" s="7" t="str">
        <f t="shared" si="10"/>
        <v/>
      </c>
      <c r="C93" s="7" t="s">
        <v>63</v>
      </c>
      <c r="D93" s="7" t="s">
        <v>1129</v>
      </c>
      <c r="E93" s="7" t="s">
        <v>2722</v>
      </c>
      <c r="F93" s="7" t="s">
        <v>2723</v>
      </c>
      <c r="G93" s="28" t="str">
        <f>IF(OR(COUNTA('HR Workforce'!$H$27)=0,'HR Workforce'!$H$27="N/A"),"",VALUE('HR Workforce'!$H$27))</f>
        <v/>
      </c>
      <c r="H93" s="7" t="str">
        <f t="shared" si="11"/>
        <v/>
      </c>
      <c r="I93" s="7" t="str">
        <f>IF($G93="","",IFERROR(IF('HR Workforce'!$L$27="",IF($G93&lt;=1,"Critical",IF($G93=2,"High",IF($G93=3,"Medium",IF($G93=4,"Low","Optimized")))),'HR Workforce'!$L$27),IF($G93&lt;=1,"Critical",IF($G93=2,"High",IF($G93=3,"Medium",IF($G93=4,"Low","Optimized"))))))</f>
        <v/>
      </c>
      <c r="J93" s="7" t="str">
        <f>IF($G93="","",IFERROR(INDEX('Recommendation Matrix'!$E$5:$J$411,MATCH($E93,'Recommendation Matrix'!$A$5:$A$411,0),$G93+1),""))</f>
        <v/>
      </c>
      <c r="K93" s="7" t="str">
        <f>IF($G93="","",IFERROR(VLOOKUP($E93,'Recommendation Matrix'!$A$5:$K$411,11,FALSE),""))</f>
        <v/>
      </c>
      <c r="L93" s="28" t="str">
        <f t="shared" si="12"/>
        <v/>
      </c>
      <c r="M93" s="28" t="str">
        <f>IF($G93="","",IFERROR(INDEX('Recommendation Matrix'!$L$5:$Q$411,MATCH($E93,'Recommendation Matrix'!$A$5:$A$411,0),$G93+1),""))</f>
        <v/>
      </c>
      <c r="N93" s="28" t="str">
        <f t="shared" si="13"/>
        <v/>
      </c>
      <c r="O93" s="28" t="str">
        <f t="shared" si="14"/>
        <v/>
      </c>
      <c r="P93" s="28" t="str">
        <f t="shared" si="15"/>
        <v/>
      </c>
      <c r="Q93" s="28" t="str">
        <f t="shared" si="16"/>
        <v/>
      </c>
      <c r="R93" s="8" t="str">
        <f t="shared" si="17"/>
        <v/>
      </c>
      <c r="S93" s="28">
        <f>IFERROR('HR Workforce'!$G$27,"")</f>
        <v>4</v>
      </c>
      <c r="T93" s="28">
        <f>IFERROR('HR Workforce'!$W$27,"")</f>
        <v>4</v>
      </c>
      <c r="U93" s="28">
        <f>IFERROR('HR Workforce'!$X$27,"")</f>
        <v>5</v>
      </c>
      <c r="V93" s="28">
        <f>IFERROR('HR Workforce'!$Y$27,"")</f>
        <v>5</v>
      </c>
      <c r="W93" s="7" t="s">
        <v>2509</v>
      </c>
      <c r="X93" s="7" t="s">
        <v>2510</v>
      </c>
      <c r="Y93" s="7" t="s">
        <v>2724</v>
      </c>
      <c r="Z93" s="7">
        <f>IFERROR('HR Workforce'!$U$27,"")</f>
        <v>0</v>
      </c>
      <c r="AA93" s="7"/>
      <c r="AB93" s="29"/>
      <c r="AC93" s="7"/>
      <c r="AD93" s="48" t="str">
        <f>IF($B93="Yes",IFERROR(SUMIFS(_TECH_Crisis_Model!$D$5:$D$191,_TECH_Crisis_Model!$A$5:$A$191,'Crisis Simulator'!$B$4,_TECH_Crisis_Model!$B$5:$B$191,$C93),1),"")</f>
        <v/>
      </c>
      <c r="AE93" s="48" t="str">
        <f t="shared" si="18"/>
        <v/>
      </c>
      <c r="AF93" s="48" t="str">
        <f>IFERROR(INDEX(_TECH_Crisis_Model!$E$5:$E$191,MATCH('Crisis Simulator'!$B$4&amp;"|"&amp;$C93,_TECH_Crisis_Model!$I$5:$I$191,0)),"")</f>
        <v>Workforce availability, critical people and knowledge continuity determine operational capacity.</v>
      </c>
      <c r="AG93" s="48" t="str">
        <f>IFERROR(INDEX(_TECH_Crisis_Model!$G$5:$G$191,MATCH('Crisis Simulator'!$B$4&amp;"|"&amp;$C93,_TECH_Crisis_Model!$I$5:$I$191,0)),"")</f>
        <v>Create critical role backups, knowledge transfer, cross-training and workforce continuity plans.</v>
      </c>
      <c r="AH93" s="48" t="str">
        <f>IFERROR(INDEX(_TECH_Initiative_Library!$A$5:$A$76,MATCH(1,INDEX((_TECH_Initiative_Library!$B$5:$B$76=$C93)*(_TECH_Initiative_Library!$C$5:$C$76=$D93),0),0)),"")</f>
        <v>INI-014</v>
      </c>
      <c r="AI93" s="48" t="str">
        <f>IFERROR(INDEX(_TECH_Initiative_Library!$F$5:$F$76,MATCH(1,INDEX((_TECH_Initiative_Library!$B$5:$B$76=$C93)*(_TECH_Initiative_Library!$C$5:$C$76=$D93),0),0)),"")</f>
        <v>Stabilize HRMS, workforce data and HR compliance controls</v>
      </c>
      <c r="AJ93" s="48" t="str">
        <f ca="1">IFERROR(INDEX(_TECH_Initiative_Library!$AC$5:$AC$76,MATCH(1,INDEX((_TECH_Initiative_Library!$B$5:$B$76=$C93)*(_TECH_Initiative_Library!$C$5:$C$76=$D93),0),0)),"")</f>
        <v/>
      </c>
      <c r="AK93" s="48" t="str">
        <f ca="1">IFERROR(INDEX(_TECH_Initiative_Library!$AE$5:$AE$76,MATCH(1,INDEX((_TECH_Initiative_Library!$B$5:$B$76=$C93)*(_TECH_Initiative_Library!$C$5:$C$76=$D93),0),0)),"")</f>
        <v/>
      </c>
      <c r="AL93" s="48" t="str">
        <f>IF($B93="Yes",IFERROR(SUMIFS(_TECH_Industry_Templates!$E:$E,_TECH_Industry_Templates!$A:$A,'Company Profile'!$B$9,_TECH_Industry_Templates!$B:$B,$C93),1),"")</f>
        <v/>
      </c>
      <c r="AM93" s="48" t="str">
        <f t="shared" si="19"/>
        <v/>
      </c>
      <c r="AN93" s="48" t="str">
        <f>IF($AM93="","",RANK.EQ($AM93,$AM$8:$AM$414,0)+COUNTIF($AM$8:$AM93,$AM93)-1)</f>
        <v/>
      </c>
    </row>
    <row r="94" spans="1:40" ht="71.25">
      <c r="A94" s="28" t="str">
        <f>IF($AM94="","",RANK.EQ($AM94,$AM$8:$AM$414,0)+COUNTIF($AM$8:$AM94,$AM94)-1)</f>
        <v/>
      </c>
      <c r="B94" s="7" t="str">
        <f t="shared" si="10"/>
        <v/>
      </c>
      <c r="C94" s="7" t="s">
        <v>63</v>
      </c>
      <c r="D94" s="7" t="s">
        <v>1129</v>
      </c>
      <c r="E94" s="7" t="s">
        <v>2732</v>
      </c>
      <c r="F94" s="7" t="s">
        <v>2733</v>
      </c>
      <c r="G94" s="28" t="str">
        <f>IF(OR(COUNTA('HR Workforce'!$H$28)=0,'HR Workforce'!$H$28="N/A"),"",VALUE('HR Workforce'!$H$28))</f>
        <v/>
      </c>
      <c r="H94" s="7" t="str">
        <f t="shared" si="11"/>
        <v/>
      </c>
      <c r="I94" s="7" t="str">
        <f>IF($G94="","",IFERROR(IF('HR Workforce'!$L$28="",IF($G94&lt;=1,"Critical",IF($G94=2,"High",IF($G94=3,"Medium",IF($G94=4,"Low","Optimized")))),'HR Workforce'!$L$28),IF($G94&lt;=1,"Critical",IF($G94=2,"High",IF($G94=3,"Medium",IF($G94=4,"Low","Optimized"))))))</f>
        <v/>
      </c>
      <c r="J94" s="7" t="str">
        <f>IF($G94="","",IFERROR(INDEX('Recommendation Matrix'!$E$5:$J$411,MATCH($E94,'Recommendation Matrix'!$A$5:$A$411,0),$G94+1),""))</f>
        <v/>
      </c>
      <c r="K94" s="7" t="str">
        <f>IF($G94="","",IFERROR(VLOOKUP($E94,'Recommendation Matrix'!$A$5:$K$411,11,FALSE),""))</f>
        <v/>
      </c>
      <c r="L94" s="28" t="str">
        <f t="shared" si="12"/>
        <v/>
      </c>
      <c r="M94" s="28" t="str">
        <f>IF($G94="","",IFERROR(INDEX('Recommendation Matrix'!$L$5:$Q$411,MATCH($E94,'Recommendation Matrix'!$A$5:$A$411,0),$G94+1),""))</f>
        <v/>
      </c>
      <c r="N94" s="28" t="str">
        <f t="shared" si="13"/>
        <v/>
      </c>
      <c r="O94" s="28" t="str">
        <f t="shared" si="14"/>
        <v/>
      </c>
      <c r="P94" s="28" t="str">
        <f t="shared" si="15"/>
        <v/>
      </c>
      <c r="Q94" s="28" t="str">
        <f t="shared" si="16"/>
        <v/>
      </c>
      <c r="R94" s="8" t="str">
        <f t="shared" si="17"/>
        <v/>
      </c>
      <c r="S94" s="28">
        <f>IFERROR('HR Workforce'!$G$28,"")</f>
        <v>3</v>
      </c>
      <c r="T94" s="28">
        <f>IFERROR('HR Workforce'!$W$28,"")</f>
        <v>4</v>
      </c>
      <c r="U94" s="28">
        <f>IFERROR('HR Workforce'!$X$28,"")</f>
        <v>5</v>
      </c>
      <c r="V94" s="28">
        <f>IFERROR('HR Workforce'!$Y$28,"")</f>
        <v>5</v>
      </c>
      <c r="W94" s="7" t="s">
        <v>2509</v>
      </c>
      <c r="X94" s="7" t="s">
        <v>2510</v>
      </c>
      <c r="Y94" s="7" t="s">
        <v>2734</v>
      </c>
      <c r="Z94" s="7">
        <f>IFERROR('HR Workforce'!$U$28,"")</f>
        <v>0</v>
      </c>
      <c r="AA94" s="7"/>
      <c r="AB94" s="29"/>
      <c r="AC94" s="7"/>
      <c r="AD94" s="48" t="str">
        <f>IF($B94="Yes",IFERROR(SUMIFS(_TECH_Crisis_Model!$D$5:$D$191,_TECH_Crisis_Model!$A$5:$A$191,'Crisis Simulator'!$B$4,_TECH_Crisis_Model!$B$5:$B$191,$C94),1),"")</f>
        <v/>
      </c>
      <c r="AE94" s="48" t="str">
        <f t="shared" si="18"/>
        <v/>
      </c>
      <c r="AF94" s="48" t="str">
        <f>IFERROR(INDEX(_TECH_Crisis_Model!$E$5:$E$191,MATCH('Crisis Simulator'!$B$4&amp;"|"&amp;$C94,_TECH_Crisis_Model!$I$5:$I$191,0)),"")</f>
        <v>Workforce availability, critical people and knowledge continuity determine operational capacity.</v>
      </c>
      <c r="AG94" s="48" t="str">
        <f>IFERROR(INDEX(_TECH_Crisis_Model!$G$5:$G$191,MATCH('Crisis Simulator'!$B$4&amp;"|"&amp;$C94,_TECH_Crisis_Model!$I$5:$I$191,0)),"")</f>
        <v>Create critical role backups, knowledge transfer, cross-training and workforce continuity plans.</v>
      </c>
      <c r="AH94" s="48" t="str">
        <f>IFERROR(INDEX(_TECH_Initiative_Library!$A$5:$A$76,MATCH(1,INDEX((_TECH_Initiative_Library!$B$5:$B$76=$C94)*(_TECH_Initiative_Library!$C$5:$C$76=$D94),0),0)),"")</f>
        <v>INI-014</v>
      </c>
      <c r="AI94" s="48" t="str">
        <f>IFERROR(INDEX(_TECH_Initiative_Library!$F$5:$F$76,MATCH(1,INDEX((_TECH_Initiative_Library!$B$5:$B$76=$C94)*(_TECH_Initiative_Library!$C$5:$C$76=$D94),0),0)),"")</f>
        <v>Stabilize HRMS, workforce data and HR compliance controls</v>
      </c>
      <c r="AJ94" s="48" t="str">
        <f ca="1">IFERROR(INDEX(_TECH_Initiative_Library!$AC$5:$AC$76,MATCH(1,INDEX((_TECH_Initiative_Library!$B$5:$B$76=$C94)*(_TECH_Initiative_Library!$C$5:$C$76=$D94),0),0)),"")</f>
        <v/>
      </c>
      <c r="AK94" s="48" t="str">
        <f ca="1">IFERROR(INDEX(_TECH_Initiative_Library!$AE$5:$AE$76,MATCH(1,INDEX((_TECH_Initiative_Library!$B$5:$B$76=$C94)*(_TECH_Initiative_Library!$C$5:$C$76=$D94),0),0)),"")</f>
        <v/>
      </c>
      <c r="AL94" s="48" t="str">
        <f>IF($B94="Yes",IFERROR(SUMIFS(_TECH_Industry_Templates!$E:$E,_TECH_Industry_Templates!$A:$A,'Company Profile'!$B$9,_TECH_Industry_Templates!$B:$B,$C94),1),"")</f>
        <v/>
      </c>
      <c r="AM94" s="48" t="str">
        <f t="shared" si="19"/>
        <v/>
      </c>
      <c r="AN94" s="48" t="str">
        <f>IF($AM94="","",RANK.EQ($AM94,$AM$8:$AM$414,0)+COUNTIF($AM$8:$AM94,$AM94)-1)</f>
        <v/>
      </c>
    </row>
    <row r="95" spans="1:40" ht="71.25">
      <c r="A95" s="28" t="str">
        <f>IF($AM95="","",RANK.EQ($AM95,$AM$8:$AM$414,0)+COUNTIF($AM$8:$AM95,$AM95)-1)</f>
        <v/>
      </c>
      <c r="B95" s="7" t="str">
        <f t="shared" si="10"/>
        <v/>
      </c>
      <c r="C95" s="7" t="s">
        <v>66</v>
      </c>
      <c r="D95" s="7" t="s">
        <v>1137</v>
      </c>
      <c r="E95" s="7" t="s">
        <v>2744</v>
      </c>
      <c r="F95" s="7" t="s">
        <v>2745</v>
      </c>
      <c r="G95" s="28" t="str">
        <f>IF(OR(COUNTA('Finance Procurement'!$H$5)=0,'Finance Procurement'!$H$5="N/A"),"",VALUE('Finance Procurement'!$H$5))</f>
        <v/>
      </c>
      <c r="H95" s="7" t="str">
        <f t="shared" si="11"/>
        <v/>
      </c>
      <c r="I95" s="7" t="str">
        <f>IF($G95="","",IFERROR(IF('Finance Procurement'!$L$5="",IF($G95&lt;=1,"Critical",IF($G95=2,"High",IF($G95=3,"Medium",IF($G95=4,"Low","Optimized")))),'Finance Procurement'!$L$5),IF($G95&lt;=1,"Critical",IF($G95=2,"High",IF($G95=3,"Medium",IF($G95=4,"Low","Optimized"))))))</f>
        <v/>
      </c>
      <c r="J95" s="7" t="str">
        <f>IF($G95="","",IFERROR(INDEX('Recommendation Matrix'!$E$5:$J$411,MATCH($E95,'Recommendation Matrix'!$A$5:$A$411,0),$G95+1),""))</f>
        <v/>
      </c>
      <c r="K95" s="7" t="str">
        <f>IF($G95="","",IFERROR(VLOOKUP($E95,'Recommendation Matrix'!$A$5:$K$411,11,FALSE),""))</f>
        <v/>
      </c>
      <c r="L95" s="28" t="str">
        <f t="shared" si="12"/>
        <v/>
      </c>
      <c r="M95" s="28" t="str">
        <f>IF($G95="","",IFERROR(INDEX('Recommendation Matrix'!$L$5:$Q$411,MATCH($E95,'Recommendation Matrix'!$A$5:$A$411,0),$G95+1),""))</f>
        <v/>
      </c>
      <c r="N95" s="28" t="str">
        <f t="shared" si="13"/>
        <v/>
      </c>
      <c r="O95" s="28" t="str">
        <f t="shared" si="14"/>
        <v/>
      </c>
      <c r="P95" s="28" t="str">
        <f t="shared" si="15"/>
        <v/>
      </c>
      <c r="Q95" s="28" t="str">
        <f t="shared" si="16"/>
        <v/>
      </c>
      <c r="R95" s="8" t="str">
        <f t="shared" si="17"/>
        <v/>
      </c>
      <c r="S95" s="28">
        <f>IFERROR('Finance Procurement'!$G$5,"")</f>
        <v>5</v>
      </c>
      <c r="T95" s="28">
        <f>IFERROR('Finance Procurement'!$W$5,"")</f>
        <v>4</v>
      </c>
      <c r="U95" s="28">
        <f>IFERROR('Finance Procurement'!$X$5,"")</f>
        <v>5</v>
      </c>
      <c r="V95" s="28">
        <f>IFERROR('Finance Procurement'!$Y$5,"")</f>
        <v>5</v>
      </c>
      <c r="W95" s="7" t="s">
        <v>2755</v>
      </c>
      <c r="X95" s="7" t="s">
        <v>2756</v>
      </c>
      <c r="Y95" s="7" t="s">
        <v>2748</v>
      </c>
      <c r="Z95" s="7">
        <f>IFERROR('Finance Procurement'!$U$5,"")</f>
        <v>0</v>
      </c>
      <c r="AA95" s="7"/>
      <c r="AB95" s="29"/>
      <c r="AC95" s="7"/>
      <c r="AD95" s="48" t="str">
        <f>IF($B95="Yes",IFERROR(SUMIFS(_TECH_Crisis_Model!$D$5:$D$191,_TECH_Crisis_Model!$A$5:$A$191,'Crisis Simulator'!$B$4,_TECH_Crisis_Model!$B$5:$B$191,$C95),1),"")</f>
        <v/>
      </c>
      <c r="AE95" s="48" t="str">
        <f t="shared" si="18"/>
        <v/>
      </c>
      <c r="AF95" s="48" t="str">
        <f>IFERROR(INDEX(_TECH_Crisis_Model!$E$5:$E$191,MATCH('Crisis Simulator'!$B$4&amp;"|"&amp;$C95,_TECH_Crisis_Model!$I$5:$I$191,0)),"")</f>
        <v>Cash control, supplier payments and procurement discipline determine financial survival and response options.</v>
      </c>
      <c r="AG95" s="48" t="str">
        <f>IFERROR(INDEX(_TECH_Crisis_Model!$G$5:$G$191,MATCH('Crisis Simulator'!$B$4&amp;"|"&amp;$C95,_TECH_Crisis_Model!$I$5:$I$191,0)),"")</f>
        <v>Build cash stress testing, payment prioritization, supplier risk review and procurement controls.</v>
      </c>
      <c r="AH95" s="48" t="str">
        <f>IFERROR(INDEX(_TECH_Initiative_Library!$A$5:$A$76,MATCH(1,INDEX((_TECH_Initiative_Library!$B$5:$B$76=$C95)*(_TECH_Initiative_Library!$C$5:$C$76=$D95),0),0)),"")</f>
        <v>INI-015</v>
      </c>
      <c r="AI95" s="48" t="str">
        <f>IFERROR(INDEX(_TECH_Initiative_Library!$F$5:$F$76,MATCH(1,INDEX((_TECH_Initiative_Library!$B$5:$B$76=$C95)*(_TECH_Initiative_Library!$C$5:$C$76=$D95),0),0)),"")</f>
        <v>Implement cash-flow resilience and financial scenario planning</v>
      </c>
      <c r="AJ95" s="48" t="str">
        <f ca="1">IFERROR(INDEX(_TECH_Initiative_Library!$AC$5:$AC$76,MATCH(1,INDEX((_TECH_Initiative_Library!$B$5:$B$76=$C95)*(_TECH_Initiative_Library!$C$5:$C$76=$D95),0),0)),"")</f>
        <v/>
      </c>
      <c r="AK95" s="48" t="str">
        <f ca="1">IFERROR(INDEX(_TECH_Initiative_Library!$AE$5:$AE$76,MATCH(1,INDEX((_TECH_Initiative_Library!$B$5:$B$76=$C95)*(_TECH_Initiative_Library!$C$5:$C$76=$D95),0),0)),"")</f>
        <v/>
      </c>
      <c r="AL95" s="48" t="str">
        <f>IF($B95="Yes",IFERROR(SUMIFS(_TECH_Industry_Templates!$E:$E,_TECH_Industry_Templates!$A:$A,'Company Profile'!$B$9,_TECH_Industry_Templates!$B:$B,$C95),1),"")</f>
        <v/>
      </c>
      <c r="AM95" s="48" t="str">
        <f t="shared" si="19"/>
        <v/>
      </c>
      <c r="AN95" s="48" t="str">
        <f>IF($AM95="","",RANK.EQ($AM95,$AM$8:$AM$414,0)+COUNTIF($AM$8:$AM95,$AM95)-1)</f>
        <v/>
      </c>
    </row>
    <row r="96" spans="1:40" ht="71.25">
      <c r="A96" s="28" t="str">
        <f>IF($AM96="","",RANK.EQ($AM96,$AM$8:$AM$414,0)+COUNTIF($AM$8:$AM96,$AM96)-1)</f>
        <v/>
      </c>
      <c r="B96" s="7" t="str">
        <f t="shared" si="10"/>
        <v/>
      </c>
      <c r="C96" s="7" t="s">
        <v>66</v>
      </c>
      <c r="D96" s="7" t="s">
        <v>1137</v>
      </c>
      <c r="E96" s="7" t="s">
        <v>2758</v>
      </c>
      <c r="F96" s="7" t="s">
        <v>2759</v>
      </c>
      <c r="G96" s="28" t="str">
        <f>IF(OR(COUNTA('Finance Procurement'!$H$6)=0,'Finance Procurement'!$H$6="N/A"),"",VALUE('Finance Procurement'!$H$6))</f>
        <v/>
      </c>
      <c r="H96" s="7" t="str">
        <f t="shared" si="11"/>
        <v/>
      </c>
      <c r="I96" s="7" t="str">
        <f>IF($G96="","",IFERROR(IF('Finance Procurement'!$L$6="",IF($G96&lt;=1,"Critical",IF($G96=2,"High",IF($G96=3,"Medium",IF($G96=4,"Low","Optimized")))),'Finance Procurement'!$L$6),IF($G96&lt;=1,"Critical",IF($G96=2,"High",IF($G96=3,"Medium",IF($G96=4,"Low","Optimized"))))))</f>
        <v/>
      </c>
      <c r="J96" s="7" t="str">
        <f>IF($G96="","",IFERROR(INDEX('Recommendation Matrix'!$E$5:$J$411,MATCH($E96,'Recommendation Matrix'!$A$5:$A$411,0),$G96+1),""))</f>
        <v/>
      </c>
      <c r="K96" s="7" t="str">
        <f>IF($G96="","",IFERROR(VLOOKUP($E96,'Recommendation Matrix'!$A$5:$K$411,11,FALSE),""))</f>
        <v/>
      </c>
      <c r="L96" s="28" t="str">
        <f t="shared" si="12"/>
        <v/>
      </c>
      <c r="M96" s="28" t="str">
        <f>IF($G96="","",IFERROR(INDEX('Recommendation Matrix'!$L$5:$Q$411,MATCH($E96,'Recommendation Matrix'!$A$5:$A$411,0),$G96+1),""))</f>
        <v/>
      </c>
      <c r="N96" s="28" t="str">
        <f t="shared" si="13"/>
        <v/>
      </c>
      <c r="O96" s="28" t="str">
        <f t="shared" si="14"/>
        <v/>
      </c>
      <c r="P96" s="28" t="str">
        <f t="shared" si="15"/>
        <v/>
      </c>
      <c r="Q96" s="28" t="str">
        <f t="shared" si="16"/>
        <v/>
      </c>
      <c r="R96" s="8" t="str">
        <f t="shared" si="17"/>
        <v/>
      </c>
      <c r="S96" s="28">
        <f>IFERROR('Finance Procurement'!$G$6,"")</f>
        <v>5</v>
      </c>
      <c r="T96" s="28">
        <f>IFERROR('Finance Procurement'!$W$6,"")</f>
        <v>4</v>
      </c>
      <c r="U96" s="28">
        <f>IFERROR('Finance Procurement'!$X$6,"")</f>
        <v>5</v>
      </c>
      <c r="V96" s="28">
        <f>IFERROR('Finance Procurement'!$Y$6,"")</f>
        <v>5</v>
      </c>
      <c r="W96" s="7" t="s">
        <v>2755</v>
      </c>
      <c r="X96" s="7" t="s">
        <v>2756</v>
      </c>
      <c r="Y96" s="7" t="s">
        <v>2760</v>
      </c>
      <c r="Z96" s="7">
        <f>IFERROR('Finance Procurement'!$U$6,"")</f>
        <v>0</v>
      </c>
      <c r="AA96" s="7"/>
      <c r="AB96" s="29"/>
      <c r="AC96" s="7"/>
      <c r="AD96" s="48" t="str">
        <f>IF($B96="Yes",IFERROR(SUMIFS(_TECH_Crisis_Model!$D$5:$D$191,_TECH_Crisis_Model!$A$5:$A$191,'Crisis Simulator'!$B$4,_TECH_Crisis_Model!$B$5:$B$191,$C96),1),"")</f>
        <v/>
      </c>
      <c r="AE96" s="48" t="str">
        <f t="shared" si="18"/>
        <v/>
      </c>
      <c r="AF96" s="48" t="str">
        <f>IFERROR(INDEX(_TECH_Crisis_Model!$E$5:$E$191,MATCH('Crisis Simulator'!$B$4&amp;"|"&amp;$C96,_TECH_Crisis_Model!$I$5:$I$191,0)),"")</f>
        <v>Cash control, supplier payments and procurement discipline determine financial survival and response options.</v>
      </c>
      <c r="AG96" s="48" t="str">
        <f>IFERROR(INDEX(_TECH_Crisis_Model!$G$5:$G$191,MATCH('Crisis Simulator'!$B$4&amp;"|"&amp;$C96,_TECH_Crisis_Model!$I$5:$I$191,0)),"")</f>
        <v>Build cash stress testing, payment prioritization, supplier risk review and procurement controls.</v>
      </c>
      <c r="AH96" s="48" t="str">
        <f>IFERROR(INDEX(_TECH_Initiative_Library!$A$5:$A$76,MATCH(1,INDEX((_TECH_Initiative_Library!$B$5:$B$76=$C96)*(_TECH_Initiative_Library!$C$5:$C$76=$D96),0),0)),"")</f>
        <v>INI-015</v>
      </c>
      <c r="AI96" s="48" t="str">
        <f>IFERROR(INDEX(_TECH_Initiative_Library!$F$5:$F$76,MATCH(1,INDEX((_TECH_Initiative_Library!$B$5:$B$76=$C96)*(_TECH_Initiative_Library!$C$5:$C$76=$D96),0),0)),"")</f>
        <v>Implement cash-flow resilience and financial scenario planning</v>
      </c>
      <c r="AJ96" s="48" t="str">
        <f ca="1">IFERROR(INDEX(_TECH_Initiative_Library!$AC$5:$AC$76,MATCH(1,INDEX((_TECH_Initiative_Library!$B$5:$B$76=$C96)*(_TECH_Initiative_Library!$C$5:$C$76=$D96),0),0)),"")</f>
        <v/>
      </c>
      <c r="AK96" s="48" t="str">
        <f ca="1">IFERROR(INDEX(_TECH_Initiative_Library!$AE$5:$AE$76,MATCH(1,INDEX((_TECH_Initiative_Library!$B$5:$B$76=$C96)*(_TECH_Initiative_Library!$C$5:$C$76=$D96),0),0)),"")</f>
        <v/>
      </c>
      <c r="AL96" s="48" t="str">
        <f>IF($B96="Yes",IFERROR(SUMIFS(_TECH_Industry_Templates!$E:$E,_TECH_Industry_Templates!$A:$A,'Company Profile'!$B$9,_TECH_Industry_Templates!$B:$B,$C96),1),"")</f>
        <v/>
      </c>
      <c r="AM96" s="48" t="str">
        <f t="shared" si="19"/>
        <v/>
      </c>
      <c r="AN96" s="48" t="str">
        <f>IF($AM96="","",RANK.EQ($AM96,$AM$8:$AM$414,0)+COUNTIF($AM$8:$AM96,$AM96)-1)</f>
        <v/>
      </c>
    </row>
    <row r="97" spans="1:40" ht="71.25">
      <c r="A97" s="28" t="str">
        <f>IF($AM97="","",RANK.EQ($AM97,$AM$8:$AM$414,0)+COUNTIF($AM$8:$AM97,$AM97)-1)</f>
        <v/>
      </c>
      <c r="B97" s="7" t="str">
        <f t="shared" si="10"/>
        <v/>
      </c>
      <c r="C97" s="7" t="s">
        <v>66</v>
      </c>
      <c r="D97" s="7" t="s">
        <v>1137</v>
      </c>
      <c r="E97" s="7" t="s">
        <v>2768</v>
      </c>
      <c r="F97" s="7" t="s">
        <v>2769</v>
      </c>
      <c r="G97" s="28" t="str">
        <f>IF(OR(COUNTA('Finance Procurement'!$H$7)=0,'Finance Procurement'!$H$7="N/A"),"",VALUE('Finance Procurement'!$H$7))</f>
        <v/>
      </c>
      <c r="H97" s="7" t="str">
        <f t="shared" si="11"/>
        <v/>
      </c>
      <c r="I97" s="7" t="str">
        <f>IF($G97="","",IFERROR(IF('Finance Procurement'!$L$7="",IF($G97&lt;=1,"Critical",IF($G97=2,"High",IF($G97=3,"Medium",IF($G97=4,"Low","Optimized")))),'Finance Procurement'!$L$7),IF($G97&lt;=1,"Critical",IF($G97=2,"High",IF($G97=3,"Medium",IF($G97=4,"Low","Optimized"))))))</f>
        <v/>
      </c>
      <c r="J97" s="7" t="str">
        <f>IF($G97="","",IFERROR(INDEX('Recommendation Matrix'!$E$5:$J$411,MATCH($E97,'Recommendation Matrix'!$A$5:$A$411,0),$G97+1),""))</f>
        <v/>
      </c>
      <c r="K97" s="7" t="str">
        <f>IF($G97="","",IFERROR(VLOOKUP($E97,'Recommendation Matrix'!$A$5:$K$411,11,FALSE),""))</f>
        <v/>
      </c>
      <c r="L97" s="28" t="str">
        <f t="shared" si="12"/>
        <v/>
      </c>
      <c r="M97" s="28" t="str">
        <f>IF($G97="","",IFERROR(INDEX('Recommendation Matrix'!$L$5:$Q$411,MATCH($E97,'Recommendation Matrix'!$A$5:$A$411,0),$G97+1),""))</f>
        <v/>
      </c>
      <c r="N97" s="28" t="str">
        <f t="shared" si="13"/>
        <v/>
      </c>
      <c r="O97" s="28" t="str">
        <f t="shared" si="14"/>
        <v/>
      </c>
      <c r="P97" s="28" t="str">
        <f t="shared" si="15"/>
        <v/>
      </c>
      <c r="Q97" s="28" t="str">
        <f t="shared" si="16"/>
        <v/>
      </c>
      <c r="R97" s="8" t="str">
        <f t="shared" si="17"/>
        <v/>
      </c>
      <c r="S97" s="28">
        <f>IFERROR('Finance Procurement'!$G$7,"")</f>
        <v>3</v>
      </c>
      <c r="T97" s="28">
        <f>IFERROR('Finance Procurement'!$W$7,"")</f>
        <v>4</v>
      </c>
      <c r="U97" s="28">
        <f>IFERROR('Finance Procurement'!$X$7,"")</f>
        <v>5</v>
      </c>
      <c r="V97" s="28">
        <f>IFERROR('Finance Procurement'!$Y$7,"")</f>
        <v>5</v>
      </c>
      <c r="W97" s="7" t="s">
        <v>2755</v>
      </c>
      <c r="X97" s="7" t="s">
        <v>2756</v>
      </c>
      <c r="Y97" s="7" t="s">
        <v>2770</v>
      </c>
      <c r="Z97" s="7">
        <f>IFERROR('Finance Procurement'!$U$7,"")</f>
        <v>0</v>
      </c>
      <c r="AA97" s="7"/>
      <c r="AB97" s="29"/>
      <c r="AC97" s="7"/>
      <c r="AD97" s="48" t="str">
        <f>IF($B97="Yes",IFERROR(SUMIFS(_TECH_Crisis_Model!$D$5:$D$191,_TECH_Crisis_Model!$A$5:$A$191,'Crisis Simulator'!$B$4,_TECH_Crisis_Model!$B$5:$B$191,$C97),1),"")</f>
        <v/>
      </c>
      <c r="AE97" s="48" t="str">
        <f t="shared" si="18"/>
        <v/>
      </c>
      <c r="AF97" s="48" t="str">
        <f>IFERROR(INDEX(_TECH_Crisis_Model!$E$5:$E$191,MATCH('Crisis Simulator'!$B$4&amp;"|"&amp;$C97,_TECH_Crisis_Model!$I$5:$I$191,0)),"")</f>
        <v>Cash control, supplier payments and procurement discipline determine financial survival and response options.</v>
      </c>
      <c r="AG97" s="48" t="str">
        <f>IFERROR(INDEX(_TECH_Crisis_Model!$G$5:$G$191,MATCH('Crisis Simulator'!$B$4&amp;"|"&amp;$C97,_TECH_Crisis_Model!$I$5:$I$191,0)),"")</f>
        <v>Build cash stress testing, payment prioritization, supplier risk review and procurement controls.</v>
      </c>
      <c r="AH97" s="48" t="str">
        <f>IFERROR(INDEX(_TECH_Initiative_Library!$A$5:$A$76,MATCH(1,INDEX((_TECH_Initiative_Library!$B$5:$B$76=$C97)*(_TECH_Initiative_Library!$C$5:$C$76=$D97),0),0)),"")</f>
        <v>INI-015</v>
      </c>
      <c r="AI97" s="48" t="str">
        <f>IFERROR(INDEX(_TECH_Initiative_Library!$F$5:$F$76,MATCH(1,INDEX((_TECH_Initiative_Library!$B$5:$B$76=$C97)*(_TECH_Initiative_Library!$C$5:$C$76=$D97),0),0)),"")</f>
        <v>Implement cash-flow resilience and financial scenario planning</v>
      </c>
      <c r="AJ97" s="48" t="str">
        <f ca="1">IFERROR(INDEX(_TECH_Initiative_Library!$AC$5:$AC$76,MATCH(1,INDEX((_TECH_Initiative_Library!$B$5:$B$76=$C97)*(_TECH_Initiative_Library!$C$5:$C$76=$D97),0),0)),"")</f>
        <v/>
      </c>
      <c r="AK97" s="48" t="str">
        <f ca="1">IFERROR(INDEX(_TECH_Initiative_Library!$AE$5:$AE$76,MATCH(1,INDEX((_TECH_Initiative_Library!$B$5:$B$76=$C97)*(_TECH_Initiative_Library!$C$5:$C$76=$D97),0),0)),"")</f>
        <v/>
      </c>
      <c r="AL97" s="48" t="str">
        <f>IF($B97="Yes",IFERROR(SUMIFS(_TECH_Industry_Templates!$E:$E,_TECH_Industry_Templates!$A:$A,'Company Profile'!$B$9,_TECH_Industry_Templates!$B:$B,$C97),1),"")</f>
        <v/>
      </c>
      <c r="AM97" s="48" t="str">
        <f t="shared" si="19"/>
        <v/>
      </c>
      <c r="AN97" s="48" t="str">
        <f>IF($AM97="","",RANK.EQ($AM97,$AM$8:$AM$414,0)+COUNTIF($AM$8:$AM97,$AM97)-1)</f>
        <v/>
      </c>
    </row>
    <row r="98" spans="1:40" ht="71.25">
      <c r="A98" s="28" t="str">
        <f>IF($AM98="","",RANK.EQ($AM98,$AM$8:$AM$414,0)+COUNTIF($AM$8:$AM98,$AM98)-1)</f>
        <v/>
      </c>
      <c r="B98" s="7" t="str">
        <f t="shared" si="10"/>
        <v/>
      </c>
      <c r="C98" s="7" t="s">
        <v>66</v>
      </c>
      <c r="D98" s="7" t="s">
        <v>1137</v>
      </c>
      <c r="E98" s="7" t="s">
        <v>2778</v>
      </c>
      <c r="F98" s="7" t="s">
        <v>2779</v>
      </c>
      <c r="G98" s="28" t="str">
        <f>IF(OR(COUNTA('Finance Procurement'!$H$8)=0,'Finance Procurement'!$H$8="N/A"),"",VALUE('Finance Procurement'!$H$8))</f>
        <v/>
      </c>
      <c r="H98" s="7" t="str">
        <f t="shared" si="11"/>
        <v/>
      </c>
      <c r="I98" s="7" t="str">
        <f>IF($G98="","",IFERROR(IF('Finance Procurement'!$L$8="",IF($G98&lt;=1,"Critical",IF($G98=2,"High",IF($G98=3,"Medium",IF($G98=4,"Low","Optimized")))),'Finance Procurement'!$L$8),IF($G98&lt;=1,"Critical",IF($G98=2,"High",IF($G98=3,"Medium",IF($G98=4,"Low","Optimized"))))))</f>
        <v/>
      </c>
      <c r="J98" s="7" t="str">
        <f>IF($G98="","",IFERROR(INDEX('Recommendation Matrix'!$E$5:$J$411,MATCH($E98,'Recommendation Matrix'!$A$5:$A$411,0),$G98+1),""))</f>
        <v/>
      </c>
      <c r="K98" s="7" t="str">
        <f>IF($G98="","",IFERROR(VLOOKUP($E98,'Recommendation Matrix'!$A$5:$K$411,11,FALSE),""))</f>
        <v/>
      </c>
      <c r="L98" s="28" t="str">
        <f t="shared" si="12"/>
        <v/>
      </c>
      <c r="M98" s="28" t="str">
        <f>IF($G98="","",IFERROR(INDEX('Recommendation Matrix'!$L$5:$Q$411,MATCH($E98,'Recommendation Matrix'!$A$5:$A$411,0),$G98+1),""))</f>
        <v/>
      </c>
      <c r="N98" s="28" t="str">
        <f t="shared" si="13"/>
        <v/>
      </c>
      <c r="O98" s="28" t="str">
        <f t="shared" si="14"/>
        <v/>
      </c>
      <c r="P98" s="28" t="str">
        <f t="shared" si="15"/>
        <v/>
      </c>
      <c r="Q98" s="28" t="str">
        <f t="shared" si="16"/>
        <v/>
      </c>
      <c r="R98" s="8" t="str">
        <f t="shared" si="17"/>
        <v/>
      </c>
      <c r="S98" s="28">
        <f>IFERROR('Finance Procurement'!$G$8,"")</f>
        <v>5</v>
      </c>
      <c r="T98" s="28">
        <f>IFERROR('Finance Procurement'!$W$8,"")</f>
        <v>4</v>
      </c>
      <c r="U98" s="28">
        <f>IFERROR('Finance Procurement'!$X$8,"")</f>
        <v>5</v>
      </c>
      <c r="V98" s="28">
        <f>IFERROR('Finance Procurement'!$Y$8,"")</f>
        <v>5</v>
      </c>
      <c r="W98" s="7" t="s">
        <v>2755</v>
      </c>
      <c r="X98" s="7" t="s">
        <v>2756</v>
      </c>
      <c r="Y98" s="7" t="s">
        <v>2780</v>
      </c>
      <c r="Z98" s="7">
        <f>IFERROR('Finance Procurement'!$U$8,"")</f>
        <v>0</v>
      </c>
      <c r="AA98" s="7"/>
      <c r="AB98" s="29"/>
      <c r="AC98" s="7"/>
      <c r="AD98" s="48" t="str">
        <f>IF($B98="Yes",IFERROR(SUMIFS(_TECH_Crisis_Model!$D$5:$D$191,_TECH_Crisis_Model!$A$5:$A$191,'Crisis Simulator'!$B$4,_TECH_Crisis_Model!$B$5:$B$191,$C98),1),"")</f>
        <v/>
      </c>
      <c r="AE98" s="48" t="str">
        <f t="shared" si="18"/>
        <v/>
      </c>
      <c r="AF98" s="48" t="str">
        <f>IFERROR(INDEX(_TECH_Crisis_Model!$E$5:$E$191,MATCH('Crisis Simulator'!$B$4&amp;"|"&amp;$C98,_TECH_Crisis_Model!$I$5:$I$191,0)),"")</f>
        <v>Cash control, supplier payments and procurement discipline determine financial survival and response options.</v>
      </c>
      <c r="AG98" s="48" t="str">
        <f>IFERROR(INDEX(_TECH_Crisis_Model!$G$5:$G$191,MATCH('Crisis Simulator'!$B$4&amp;"|"&amp;$C98,_TECH_Crisis_Model!$I$5:$I$191,0)),"")</f>
        <v>Build cash stress testing, payment prioritization, supplier risk review and procurement controls.</v>
      </c>
      <c r="AH98" s="48" t="str">
        <f>IFERROR(INDEX(_TECH_Initiative_Library!$A$5:$A$76,MATCH(1,INDEX((_TECH_Initiative_Library!$B$5:$B$76=$C98)*(_TECH_Initiative_Library!$C$5:$C$76=$D98),0),0)),"")</f>
        <v>INI-015</v>
      </c>
      <c r="AI98" s="48" t="str">
        <f>IFERROR(INDEX(_TECH_Initiative_Library!$F$5:$F$76,MATCH(1,INDEX((_TECH_Initiative_Library!$B$5:$B$76=$C98)*(_TECH_Initiative_Library!$C$5:$C$76=$D98),0),0)),"")</f>
        <v>Implement cash-flow resilience and financial scenario planning</v>
      </c>
      <c r="AJ98" s="48" t="str">
        <f ca="1">IFERROR(INDEX(_TECH_Initiative_Library!$AC$5:$AC$76,MATCH(1,INDEX((_TECH_Initiative_Library!$B$5:$B$76=$C98)*(_TECH_Initiative_Library!$C$5:$C$76=$D98),0),0)),"")</f>
        <v/>
      </c>
      <c r="AK98" s="48" t="str">
        <f ca="1">IFERROR(INDEX(_TECH_Initiative_Library!$AE$5:$AE$76,MATCH(1,INDEX((_TECH_Initiative_Library!$B$5:$B$76=$C98)*(_TECH_Initiative_Library!$C$5:$C$76=$D98),0),0)),"")</f>
        <v/>
      </c>
      <c r="AL98" s="48" t="str">
        <f>IF($B98="Yes",IFERROR(SUMIFS(_TECH_Industry_Templates!$E:$E,_TECH_Industry_Templates!$A:$A,'Company Profile'!$B$9,_TECH_Industry_Templates!$B:$B,$C98),1),"")</f>
        <v/>
      </c>
      <c r="AM98" s="48" t="str">
        <f t="shared" si="19"/>
        <v/>
      </c>
      <c r="AN98" s="48" t="str">
        <f>IF($AM98="","",RANK.EQ($AM98,$AM$8:$AM$414,0)+COUNTIF($AM$8:$AM98,$AM98)-1)</f>
        <v/>
      </c>
    </row>
    <row r="99" spans="1:40" ht="57">
      <c r="A99" s="28" t="str">
        <f>IF($AM99="","",RANK.EQ($AM99,$AM$8:$AM$414,0)+COUNTIF($AM$8:$AM99,$AM99)-1)</f>
        <v/>
      </c>
      <c r="B99" s="7" t="str">
        <f t="shared" si="10"/>
        <v/>
      </c>
      <c r="C99" s="7" t="s">
        <v>66</v>
      </c>
      <c r="D99" s="7" t="s">
        <v>1137</v>
      </c>
      <c r="E99" s="7" t="s">
        <v>2788</v>
      </c>
      <c r="F99" s="7" t="s">
        <v>2789</v>
      </c>
      <c r="G99" s="28" t="str">
        <f>IF(OR(COUNTA('Finance Procurement'!$H$9)=0,'Finance Procurement'!$H$9="N/A"),"",VALUE('Finance Procurement'!$H$9))</f>
        <v/>
      </c>
      <c r="H99" s="7" t="str">
        <f t="shared" si="11"/>
        <v/>
      </c>
      <c r="I99" s="7" t="str">
        <f>IF($G99="","",IFERROR(IF('Finance Procurement'!$L$9="",IF($G99&lt;=1,"Critical",IF($G99=2,"High",IF($G99=3,"Medium",IF($G99=4,"Low","Optimized")))),'Finance Procurement'!$L$9),IF($G99&lt;=1,"Critical",IF($G99=2,"High",IF($G99=3,"Medium",IF($G99=4,"Low","Optimized"))))))</f>
        <v/>
      </c>
      <c r="J99" s="7" t="str">
        <f>IF($G99="","",IFERROR(INDEX('Recommendation Matrix'!$E$5:$J$411,MATCH($E99,'Recommendation Matrix'!$A$5:$A$411,0),$G99+1),""))</f>
        <v/>
      </c>
      <c r="K99" s="7" t="str">
        <f>IF($G99="","",IFERROR(VLOOKUP($E99,'Recommendation Matrix'!$A$5:$K$411,11,FALSE),""))</f>
        <v/>
      </c>
      <c r="L99" s="28" t="str">
        <f t="shared" si="12"/>
        <v/>
      </c>
      <c r="M99" s="28" t="str">
        <f>IF($G99="","",IFERROR(INDEX('Recommendation Matrix'!$L$5:$Q$411,MATCH($E99,'Recommendation Matrix'!$A$5:$A$411,0),$G99+1),""))</f>
        <v/>
      </c>
      <c r="N99" s="28" t="str">
        <f t="shared" si="13"/>
        <v/>
      </c>
      <c r="O99" s="28" t="str">
        <f t="shared" si="14"/>
        <v/>
      </c>
      <c r="P99" s="28" t="str">
        <f t="shared" si="15"/>
        <v/>
      </c>
      <c r="Q99" s="28" t="str">
        <f t="shared" si="16"/>
        <v/>
      </c>
      <c r="R99" s="8" t="str">
        <f t="shared" si="17"/>
        <v/>
      </c>
      <c r="S99" s="28">
        <f>IFERROR('Finance Procurement'!$G$9,"")</f>
        <v>3</v>
      </c>
      <c r="T99" s="28">
        <f>IFERROR('Finance Procurement'!$W$9,"")</f>
        <v>4</v>
      </c>
      <c r="U99" s="28">
        <f>IFERROR('Finance Procurement'!$X$9,"")</f>
        <v>5</v>
      </c>
      <c r="V99" s="28">
        <f>IFERROR('Finance Procurement'!$Y$9,"")</f>
        <v>5</v>
      </c>
      <c r="W99" s="7" t="s">
        <v>2755</v>
      </c>
      <c r="X99" s="7" t="s">
        <v>2756</v>
      </c>
      <c r="Y99" s="7" t="s">
        <v>2790</v>
      </c>
      <c r="Z99" s="7">
        <f>IFERROR('Finance Procurement'!$U$9,"")</f>
        <v>0</v>
      </c>
      <c r="AA99" s="7"/>
      <c r="AB99" s="29"/>
      <c r="AC99" s="7"/>
      <c r="AD99" s="48" t="str">
        <f>IF($B99="Yes",IFERROR(SUMIFS(_TECH_Crisis_Model!$D$5:$D$191,_TECH_Crisis_Model!$A$5:$A$191,'Crisis Simulator'!$B$4,_TECH_Crisis_Model!$B$5:$B$191,$C99),1),"")</f>
        <v/>
      </c>
      <c r="AE99" s="48" t="str">
        <f t="shared" si="18"/>
        <v/>
      </c>
      <c r="AF99" s="48" t="str">
        <f>IFERROR(INDEX(_TECH_Crisis_Model!$E$5:$E$191,MATCH('Crisis Simulator'!$B$4&amp;"|"&amp;$C99,_TECH_Crisis_Model!$I$5:$I$191,0)),"")</f>
        <v>Cash control, supplier payments and procurement discipline determine financial survival and response options.</v>
      </c>
      <c r="AG99" s="48" t="str">
        <f>IFERROR(INDEX(_TECH_Crisis_Model!$G$5:$G$191,MATCH('Crisis Simulator'!$B$4&amp;"|"&amp;$C99,_TECH_Crisis_Model!$I$5:$I$191,0)),"")</f>
        <v>Build cash stress testing, payment prioritization, supplier risk review and procurement controls.</v>
      </c>
      <c r="AH99" s="48" t="str">
        <f>IFERROR(INDEX(_TECH_Initiative_Library!$A$5:$A$76,MATCH(1,INDEX((_TECH_Initiative_Library!$B$5:$B$76=$C99)*(_TECH_Initiative_Library!$C$5:$C$76=$D99),0),0)),"")</f>
        <v>INI-015</v>
      </c>
      <c r="AI99" s="48" t="str">
        <f>IFERROR(INDEX(_TECH_Initiative_Library!$F$5:$F$76,MATCH(1,INDEX((_TECH_Initiative_Library!$B$5:$B$76=$C99)*(_TECH_Initiative_Library!$C$5:$C$76=$D99),0),0)),"")</f>
        <v>Implement cash-flow resilience and financial scenario planning</v>
      </c>
      <c r="AJ99" s="48" t="str">
        <f ca="1">IFERROR(INDEX(_TECH_Initiative_Library!$AC$5:$AC$76,MATCH(1,INDEX((_TECH_Initiative_Library!$B$5:$B$76=$C99)*(_TECH_Initiative_Library!$C$5:$C$76=$D99),0),0)),"")</f>
        <v/>
      </c>
      <c r="AK99" s="48" t="str">
        <f ca="1">IFERROR(INDEX(_TECH_Initiative_Library!$AE$5:$AE$76,MATCH(1,INDEX((_TECH_Initiative_Library!$B$5:$B$76=$C99)*(_TECH_Initiative_Library!$C$5:$C$76=$D99),0),0)),"")</f>
        <v/>
      </c>
      <c r="AL99" s="48" t="str">
        <f>IF($B99="Yes",IFERROR(SUMIFS(_TECH_Industry_Templates!$E:$E,_TECH_Industry_Templates!$A:$A,'Company Profile'!$B$9,_TECH_Industry_Templates!$B:$B,$C99),1),"")</f>
        <v/>
      </c>
      <c r="AM99" s="48" t="str">
        <f t="shared" si="19"/>
        <v/>
      </c>
      <c r="AN99" s="48" t="str">
        <f>IF($AM99="","",RANK.EQ($AM99,$AM$8:$AM$414,0)+COUNTIF($AM$8:$AM99,$AM99)-1)</f>
        <v/>
      </c>
    </row>
    <row r="100" spans="1:40" ht="85.5">
      <c r="A100" s="28" t="str">
        <f>IF($AM100="","",RANK.EQ($AM100,$AM$8:$AM$414,0)+COUNTIF($AM$8:$AM100,$AM100)-1)</f>
        <v/>
      </c>
      <c r="B100" s="7" t="str">
        <f t="shared" si="10"/>
        <v/>
      </c>
      <c r="C100" s="7" t="s">
        <v>66</v>
      </c>
      <c r="D100" s="7" t="s">
        <v>1137</v>
      </c>
      <c r="E100" s="7" t="s">
        <v>2798</v>
      </c>
      <c r="F100" s="7" t="s">
        <v>2799</v>
      </c>
      <c r="G100" s="28" t="str">
        <f>IF(OR(COUNTA('Finance Procurement'!$H$10)=0,'Finance Procurement'!$H$10="N/A"),"",VALUE('Finance Procurement'!$H$10))</f>
        <v/>
      </c>
      <c r="H100" s="7" t="str">
        <f t="shared" si="11"/>
        <v/>
      </c>
      <c r="I100" s="7" t="str">
        <f>IF($G100="","",IFERROR(IF('Finance Procurement'!$L$10="",IF($G100&lt;=1,"Critical",IF($G100=2,"High",IF($G100=3,"Medium",IF($G100=4,"Low","Optimized")))),'Finance Procurement'!$L$10),IF($G100&lt;=1,"Critical",IF($G100=2,"High",IF($G100=3,"Medium",IF($G100=4,"Low","Optimized"))))))</f>
        <v/>
      </c>
      <c r="J100" s="7" t="str">
        <f>IF($G100="","",IFERROR(INDEX('Recommendation Matrix'!$E$5:$J$411,MATCH($E100,'Recommendation Matrix'!$A$5:$A$411,0),$G100+1),""))</f>
        <v/>
      </c>
      <c r="K100" s="7" t="str">
        <f>IF($G100="","",IFERROR(VLOOKUP($E100,'Recommendation Matrix'!$A$5:$K$411,11,FALSE),""))</f>
        <v/>
      </c>
      <c r="L100" s="28" t="str">
        <f t="shared" si="12"/>
        <v/>
      </c>
      <c r="M100" s="28" t="str">
        <f>IF($G100="","",IFERROR(INDEX('Recommendation Matrix'!$L$5:$Q$411,MATCH($E100,'Recommendation Matrix'!$A$5:$A$411,0),$G100+1),""))</f>
        <v/>
      </c>
      <c r="N100" s="28" t="str">
        <f t="shared" si="13"/>
        <v/>
      </c>
      <c r="O100" s="28" t="str">
        <f t="shared" si="14"/>
        <v/>
      </c>
      <c r="P100" s="28" t="str">
        <f t="shared" si="15"/>
        <v/>
      </c>
      <c r="Q100" s="28" t="str">
        <f t="shared" si="16"/>
        <v/>
      </c>
      <c r="R100" s="8" t="str">
        <f t="shared" si="17"/>
        <v/>
      </c>
      <c r="S100" s="28">
        <f>IFERROR('Finance Procurement'!$G$10,"")</f>
        <v>5</v>
      </c>
      <c r="T100" s="28">
        <f>IFERROR('Finance Procurement'!$W$10,"")</f>
        <v>4</v>
      </c>
      <c r="U100" s="28">
        <f>IFERROR('Finance Procurement'!$X$10,"")</f>
        <v>5</v>
      </c>
      <c r="V100" s="28">
        <f>IFERROR('Finance Procurement'!$Y$10,"")</f>
        <v>5</v>
      </c>
      <c r="W100" s="7" t="s">
        <v>2755</v>
      </c>
      <c r="X100" s="7" t="s">
        <v>2756</v>
      </c>
      <c r="Y100" s="7" t="s">
        <v>2800</v>
      </c>
      <c r="Z100" s="7">
        <f>IFERROR('Finance Procurement'!$U$10,"")</f>
        <v>0</v>
      </c>
      <c r="AA100" s="7"/>
      <c r="AB100" s="29"/>
      <c r="AC100" s="7"/>
      <c r="AD100" s="48" t="str">
        <f>IF($B100="Yes",IFERROR(SUMIFS(_TECH_Crisis_Model!$D$5:$D$191,_TECH_Crisis_Model!$A$5:$A$191,'Crisis Simulator'!$B$4,_TECH_Crisis_Model!$B$5:$B$191,$C100),1),"")</f>
        <v/>
      </c>
      <c r="AE100" s="48" t="str">
        <f t="shared" si="18"/>
        <v/>
      </c>
      <c r="AF100" s="48" t="str">
        <f>IFERROR(INDEX(_TECH_Crisis_Model!$E$5:$E$191,MATCH('Crisis Simulator'!$B$4&amp;"|"&amp;$C100,_TECH_Crisis_Model!$I$5:$I$191,0)),"")</f>
        <v>Cash control, supplier payments and procurement discipline determine financial survival and response options.</v>
      </c>
      <c r="AG100" s="48" t="str">
        <f>IFERROR(INDEX(_TECH_Crisis_Model!$G$5:$G$191,MATCH('Crisis Simulator'!$B$4&amp;"|"&amp;$C100,_TECH_Crisis_Model!$I$5:$I$191,0)),"")</f>
        <v>Build cash stress testing, payment prioritization, supplier risk review and procurement controls.</v>
      </c>
      <c r="AH100" s="48" t="str">
        <f>IFERROR(INDEX(_TECH_Initiative_Library!$A$5:$A$76,MATCH(1,INDEX((_TECH_Initiative_Library!$B$5:$B$76=$C100)*(_TECH_Initiative_Library!$C$5:$C$76=$D100),0),0)),"")</f>
        <v>INI-015</v>
      </c>
      <c r="AI100" s="48" t="str">
        <f>IFERROR(INDEX(_TECH_Initiative_Library!$F$5:$F$76,MATCH(1,INDEX((_TECH_Initiative_Library!$B$5:$B$76=$C100)*(_TECH_Initiative_Library!$C$5:$C$76=$D100),0),0)),"")</f>
        <v>Implement cash-flow resilience and financial scenario planning</v>
      </c>
      <c r="AJ100" s="48" t="str">
        <f ca="1">IFERROR(INDEX(_TECH_Initiative_Library!$AC$5:$AC$76,MATCH(1,INDEX((_TECH_Initiative_Library!$B$5:$B$76=$C100)*(_TECH_Initiative_Library!$C$5:$C$76=$D100),0),0)),"")</f>
        <v/>
      </c>
      <c r="AK100" s="48" t="str">
        <f ca="1">IFERROR(INDEX(_TECH_Initiative_Library!$AE$5:$AE$76,MATCH(1,INDEX((_TECH_Initiative_Library!$B$5:$B$76=$C100)*(_TECH_Initiative_Library!$C$5:$C$76=$D100),0),0)),"")</f>
        <v/>
      </c>
      <c r="AL100" s="48" t="str">
        <f>IF($B100="Yes",IFERROR(SUMIFS(_TECH_Industry_Templates!$E:$E,_TECH_Industry_Templates!$A:$A,'Company Profile'!$B$9,_TECH_Industry_Templates!$B:$B,$C100),1),"")</f>
        <v/>
      </c>
      <c r="AM100" s="48" t="str">
        <f t="shared" si="19"/>
        <v/>
      </c>
      <c r="AN100" s="48" t="str">
        <f>IF($AM100="","",RANK.EQ($AM100,$AM$8:$AM$414,0)+COUNTIF($AM$8:$AM100,$AM100)-1)</f>
        <v/>
      </c>
    </row>
    <row r="101" spans="1:40" ht="71.25">
      <c r="A101" s="28" t="str">
        <f>IF($AM101="","",RANK.EQ($AM101,$AM$8:$AM$414,0)+COUNTIF($AM$8:$AM101,$AM101)-1)</f>
        <v/>
      </c>
      <c r="B101" s="7" t="str">
        <f t="shared" si="10"/>
        <v/>
      </c>
      <c r="C101" s="7" t="s">
        <v>66</v>
      </c>
      <c r="D101" s="7" t="s">
        <v>1147</v>
      </c>
      <c r="E101" s="7" t="s">
        <v>2808</v>
      </c>
      <c r="F101" s="7" t="s">
        <v>2809</v>
      </c>
      <c r="G101" s="28" t="str">
        <f>IF(OR(COUNTA('Finance Procurement'!$H$11)=0,'Finance Procurement'!$H$11="N/A"),"",VALUE('Finance Procurement'!$H$11))</f>
        <v/>
      </c>
      <c r="H101" s="7" t="str">
        <f t="shared" si="11"/>
        <v/>
      </c>
      <c r="I101" s="7" t="str">
        <f>IF($G101="","",IFERROR(IF('Finance Procurement'!$L$11="",IF($G101&lt;=1,"Critical",IF($G101=2,"High",IF($G101=3,"Medium",IF($G101=4,"Low","Optimized")))),'Finance Procurement'!$L$11),IF($G101&lt;=1,"Critical",IF($G101=2,"High",IF($G101=3,"Medium",IF($G101=4,"Low","Optimized"))))))</f>
        <v/>
      </c>
      <c r="J101" s="7" t="str">
        <f>IF($G101="","",IFERROR(INDEX('Recommendation Matrix'!$E$5:$J$411,MATCH($E101,'Recommendation Matrix'!$A$5:$A$411,0),$G101+1),""))</f>
        <v/>
      </c>
      <c r="K101" s="7" t="str">
        <f>IF($G101="","",IFERROR(VLOOKUP($E101,'Recommendation Matrix'!$A$5:$K$411,11,FALSE),""))</f>
        <v/>
      </c>
      <c r="L101" s="28" t="str">
        <f t="shared" si="12"/>
        <v/>
      </c>
      <c r="M101" s="28" t="str">
        <f>IF($G101="","",IFERROR(INDEX('Recommendation Matrix'!$L$5:$Q$411,MATCH($E101,'Recommendation Matrix'!$A$5:$A$411,0),$G101+1),""))</f>
        <v/>
      </c>
      <c r="N101" s="28" t="str">
        <f t="shared" si="13"/>
        <v/>
      </c>
      <c r="O101" s="28" t="str">
        <f t="shared" si="14"/>
        <v/>
      </c>
      <c r="P101" s="28" t="str">
        <f t="shared" si="15"/>
        <v/>
      </c>
      <c r="Q101" s="28" t="str">
        <f t="shared" si="16"/>
        <v/>
      </c>
      <c r="R101" s="8" t="str">
        <f t="shared" si="17"/>
        <v/>
      </c>
      <c r="S101" s="28">
        <f>IFERROR('Finance Procurement'!$G$11,"")</f>
        <v>3</v>
      </c>
      <c r="T101" s="28">
        <f>IFERROR('Finance Procurement'!$W$11,"")</f>
        <v>4</v>
      </c>
      <c r="U101" s="28">
        <f>IFERROR('Finance Procurement'!$X$11,"")</f>
        <v>5</v>
      </c>
      <c r="V101" s="28">
        <f>IFERROR('Finance Procurement'!$Y$11,"")</f>
        <v>5</v>
      </c>
      <c r="W101" s="7" t="s">
        <v>2755</v>
      </c>
      <c r="X101" s="7" t="s">
        <v>2756</v>
      </c>
      <c r="Y101" s="7" t="s">
        <v>2810</v>
      </c>
      <c r="Z101" s="7">
        <f>IFERROR('Finance Procurement'!$U$11,"")</f>
        <v>0</v>
      </c>
      <c r="AA101" s="7"/>
      <c r="AB101" s="29"/>
      <c r="AC101" s="7"/>
      <c r="AD101" s="48" t="str">
        <f>IF($B101="Yes",IFERROR(SUMIFS(_TECH_Crisis_Model!$D$5:$D$191,_TECH_Crisis_Model!$A$5:$A$191,'Crisis Simulator'!$B$4,_TECH_Crisis_Model!$B$5:$B$191,$C101),1),"")</f>
        <v/>
      </c>
      <c r="AE101" s="48" t="str">
        <f t="shared" si="18"/>
        <v/>
      </c>
      <c r="AF101" s="48" t="str">
        <f>IFERROR(INDEX(_TECH_Crisis_Model!$E$5:$E$191,MATCH('Crisis Simulator'!$B$4&amp;"|"&amp;$C101,_TECH_Crisis_Model!$I$5:$I$191,0)),"")</f>
        <v>Cash control, supplier payments and procurement discipline determine financial survival and response options.</v>
      </c>
      <c r="AG101" s="48" t="str">
        <f>IFERROR(INDEX(_TECH_Crisis_Model!$G$5:$G$191,MATCH('Crisis Simulator'!$B$4&amp;"|"&amp;$C101,_TECH_Crisis_Model!$I$5:$I$191,0)),"")</f>
        <v>Build cash stress testing, payment prioritization, supplier risk review and procurement controls.</v>
      </c>
      <c r="AH101" s="48" t="str">
        <f>IFERROR(INDEX(_TECH_Initiative_Library!$A$5:$A$76,MATCH(1,INDEX((_TECH_Initiative_Library!$B$5:$B$76=$C101)*(_TECH_Initiative_Library!$C$5:$C$76=$D101),0),0)),"")</f>
        <v>INI-016</v>
      </c>
      <c r="AI101" s="48" t="str">
        <f>IFERROR(INDEX(_TECH_Initiative_Library!$F$5:$F$76,MATCH(1,INDEX((_TECH_Initiative_Library!$B$5:$B$76=$C101)*(_TECH_Initiative_Library!$C$5:$C$76=$D101),0),0)),"")</f>
        <v>Strengthen financial controls, approvals and accounting continuity</v>
      </c>
      <c r="AJ101" s="48" t="str">
        <f ca="1">IFERROR(INDEX(_TECH_Initiative_Library!$AC$5:$AC$76,MATCH(1,INDEX((_TECH_Initiative_Library!$B$5:$B$76=$C101)*(_TECH_Initiative_Library!$C$5:$C$76=$D101),0),0)),"")</f>
        <v/>
      </c>
      <c r="AK101" s="48" t="str">
        <f ca="1">IFERROR(INDEX(_TECH_Initiative_Library!$AE$5:$AE$76,MATCH(1,INDEX((_TECH_Initiative_Library!$B$5:$B$76=$C101)*(_TECH_Initiative_Library!$C$5:$C$76=$D101),0),0)),"")</f>
        <v/>
      </c>
      <c r="AL101" s="48" t="str">
        <f>IF($B101="Yes",IFERROR(SUMIFS(_TECH_Industry_Templates!$E:$E,_TECH_Industry_Templates!$A:$A,'Company Profile'!$B$9,_TECH_Industry_Templates!$B:$B,$C101),1),"")</f>
        <v/>
      </c>
      <c r="AM101" s="48" t="str">
        <f t="shared" si="19"/>
        <v/>
      </c>
      <c r="AN101" s="48" t="str">
        <f>IF($AM101="","",RANK.EQ($AM101,$AM$8:$AM$414,0)+COUNTIF($AM$8:$AM101,$AM101)-1)</f>
        <v/>
      </c>
    </row>
    <row r="102" spans="1:40" ht="71.25">
      <c r="A102" s="28" t="str">
        <f>IF($AM102="","",RANK.EQ($AM102,$AM$8:$AM$414,0)+COUNTIF($AM$8:$AM102,$AM102)-1)</f>
        <v/>
      </c>
      <c r="B102" s="7" t="str">
        <f t="shared" si="10"/>
        <v/>
      </c>
      <c r="C102" s="7" t="s">
        <v>66</v>
      </c>
      <c r="D102" s="7" t="s">
        <v>1147</v>
      </c>
      <c r="E102" s="7" t="s">
        <v>2818</v>
      </c>
      <c r="F102" s="7" t="s">
        <v>2819</v>
      </c>
      <c r="G102" s="28" t="str">
        <f>IF(OR(COUNTA('Finance Procurement'!$H$12)=0,'Finance Procurement'!$H$12="N/A"),"",VALUE('Finance Procurement'!$H$12))</f>
        <v/>
      </c>
      <c r="H102" s="7" t="str">
        <f t="shared" si="11"/>
        <v/>
      </c>
      <c r="I102" s="7" t="str">
        <f>IF($G102="","",IFERROR(IF('Finance Procurement'!$L$12="",IF($G102&lt;=1,"Critical",IF($G102=2,"High",IF($G102=3,"Medium",IF($G102=4,"Low","Optimized")))),'Finance Procurement'!$L$12),IF($G102&lt;=1,"Critical",IF($G102=2,"High",IF($G102=3,"Medium",IF($G102=4,"Low","Optimized"))))))</f>
        <v/>
      </c>
      <c r="J102" s="7" t="str">
        <f>IF($G102="","",IFERROR(INDEX('Recommendation Matrix'!$E$5:$J$411,MATCH($E102,'Recommendation Matrix'!$A$5:$A$411,0),$G102+1),""))</f>
        <v/>
      </c>
      <c r="K102" s="7" t="str">
        <f>IF($G102="","",IFERROR(VLOOKUP($E102,'Recommendation Matrix'!$A$5:$K$411,11,FALSE),""))</f>
        <v/>
      </c>
      <c r="L102" s="28" t="str">
        <f t="shared" si="12"/>
        <v/>
      </c>
      <c r="M102" s="28" t="str">
        <f>IF($G102="","",IFERROR(INDEX('Recommendation Matrix'!$L$5:$Q$411,MATCH($E102,'Recommendation Matrix'!$A$5:$A$411,0),$G102+1),""))</f>
        <v/>
      </c>
      <c r="N102" s="28" t="str">
        <f t="shared" si="13"/>
        <v/>
      </c>
      <c r="O102" s="28" t="str">
        <f t="shared" si="14"/>
        <v/>
      </c>
      <c r="P102" s="28" t="str">
        <f t="shared" si="15"/>
        <v/>
      </c>
      <c r="Q102" s="28" t="str">
        <f t="shared" si="16"/>
        <v/>
      </c>
      <c r="R102" s="8" t="str">
        <f t="shared" si="17"/>
        <v/>
      </c>
      <c r="S102" s="28">
        <f>IFERROR('Finance Procurement'!$G$12,"")</f>
        <v>5</v>
      </c>
      <c r="T102" s="28">
        <f>IFERROR('Finance Procurement'!$W$12,"")</f>
        <v>5</v>
      </c>
      <c r="U102" s="28">
        <f>IFERROR('Finance Procurement'!$X$12,"")</f>
        <v>5</v>
      </c>
      <c r="V102" s="28">
        <f>IFERROR('Finance Procurement'!$Y$12,"")</f>
        <v>5</v>
      </c>
      <c r="W102" s="7" t="s">
        <v>2755</v>
      </c>
      <c r="X102" s="7" t="s">
        <v>2756</v>
      </c>
      <c r="Y102" s="7" t="s">
        <v>2820</v>
      </c>
      <c r="Z102" s="7">
        <f>IFERROR('Finance Procurement'!$U$12,"")</f>
        <v>0</v>
      </c>
      <c r="AA102" s="7"/>
      <c r="AB102" s="29"/>
      <c r="AC102" s="7"/>
      <c r="AD102" s="48" t="str">
        <f>IF($B102="Yes",IFERROR(SUMIFS(_TECH_Crisis_Model!$D$5:$D$191,_TECH_Crisis_Model!$A$5:$A$191,'Crisis Simulator'!$B$4,_TECH_Crisis_Model!$B$5:$B$191,$C102),1),"")</f>
        <v/>
      </c>
      <c r="AE102" s="48" t="str">
        <f t="shared" si="18"/>
        <v/>
      </c>
      <c r="AF102" s="48" t="str">
        <f>IFERROR(INDEX(_TECH_Crisis_Model!$E$5:$E$191,MATCH('Crisis Simulator'!$B$4&amp;"|"&amp;$C102,_TECH_Crisis_Model!$I$5:$I$191,0)),"")</f>
        <v>Cash control, supplier payments and procurement discipline determine financial survival and response options.</v>
      </c>
      <c r="AG102" s="48" t="str">
        <f>IFERROR(INDEX(_TECH_Crisis_Model!$G$5:$G$191,MATCH('Crisis Simulator'!$B$4&amp;"|"&amp;$C102,_TECH_Crisis_Model!$I$5:$I$191,0)),"")</f>
        <v>Build cash stress testing, payment prioritization, supplier risk review and procurement controls.</v>
      </c>
      <c r="AH102" s="48" t="str">
        <f>IFERROR(INDEX(_TECH_Initiative_Library!$A$5:$A$76,MATCH(1,INDEX((_TECH_Initiative_Library!$B$5:$B$76=$C102)*(_TECH_Initiative_Library!$C$5:$C$76=$D102),0),0)),"")</f>
        <v>INI-016</v>
      </c>
      <c r="AI102" s="48" t="str">
        <f>IFERROR(INDEX(_TECH_Initiative_Library!$F$5:$F$76,MATCH(1,INDEX((_TECH_Initiative_Library!$B$5:$B$76=$C102)*(_TECH_Initiative_Library!$C$5:$C$76=$D102),0),0)),"")</f>
        <v>Strengthen financial controls, approvals and accounting continuity</v>
      </c>
      <c r="AJ102" s="48" t="str">
        <f ca="1">IFERROR(INDEX(_TECH_Initiative_Library!$AC$5:$AC$76,MATCH(1,INDEX((_TECH_Initiative_Library!$B$5:$B$76=$C102)*(_TECH_Initiative_Library!$C$5:$C$76=$D102),0),0)),"")</f>
        <v/>
      </c>
      <c r="AK102" s="48" t="str">
        <f ca="1">IFERROR(INDEX(_TECH_Initiative_Library!$AE$5:$AE$76,MATCH(1,INDEX((_TECH_Initiative_Library!$B$5:$B$76=$C102)*(_TECH_Initiative_Library!$C$5:$C$76=$D102),0),0)),"")</f>
        <v/>
      </c>
      <c r="AL102" s="48" t="str">
        <f>IF($B102="Yes",IFERROR(SUMIFS(_TECH_Industry_Templates!$E:$E,_TECH_Industry_Templates!$A:$A,'Company Profile'!$B$9,_TECH_Industry_Templates!$B:$B,$C102),1),"")</f>
        <v/>
      </c>
      <c r="AM102" s="48" t="str">
        <f t="shared" si="19"/>
        <v/>
      </c>
      <c r="AN102" s="48" t="str">
        <f>IF($AM102="","",RANK.EQ($AM102,$AM$8:$AM$414,0)+COUNTIF($AM$8:$AM102,$AM102)-1)</f>
        <v/>
      </c>
    </row>
    <row r="103" spans="1:40" ht="71.25">
      <c r="A103" s="28" t="str">
        <f>IF($AM103="","",RANK.EQ($AM103,$AM$8:$AM$414,0)+COUNTIF($AM$8:$AM103,$AM103)-1)</f>
        <v/>
      </c>
      <c r="B103" s="7" t="str">
        <f t="shared" si="10"/>
        <v/>
      </c>
      <c r="C103" s="7" t="s">
        <v>66</v>
      </c>
      <c r="D103" s="7" t="s">
        <v>1147</v>
      </c>
      <c r="E103" s="7" t="s">
        <v>2828</v>
      </c>
      <c r="F103" s="7" t="s">
        <v>2829</v>
      </c>
      <c r="G103" s="28" t="str">
        <f>IF(OR(COUNTA('Finance Procurement'!$H$13)=0,'Finance Procurement'!$H$13="N/A"),"",VALUE('Finance Procurement'!$H$13))</f>
        <v/>
      </c>
      <c r="H103" s="7" t="str">
        <f t="shared" si="11"/>
        <v/>
      </c>
      <c r="I103" s="7" t="str">
        <f>IF($G103="","",IFERROR(IF('Finance Procurement'!$L$13="",IF($G103&lt;=1,"Critical",IF($G103=2,"High",IF($G103=3,"Medium",IF($G103=4,"Low","Optimized")))),'Finance Procurement'!$L$13),IF($G103&lt;=1,"Critical",IF($G103=2,"High",IF($G103=3,"Medium",IF($G103=4,"Low","Optimized"))))))</f>
        <v/>
      </c>
      <c r="J103" s="7" t="str">
        <f>IF($G103="","",IFERROR(INDEX('Recommendation Matrix'!$E$5:$J$411,MATCH($E103,'Recommendation Matrix'!$A$5:$A$411,0),$G103+1),""))</f>
        <v/>
      </c>
      <c r="K103" s="7" t="str">
        <f>IF($G103="","",IFERROR(VLOOKUP($E103,'Recommendation Matrix'!$A$5:$K$411,11,FALSE),""))</f>
        <v/>
      </c>
      <c r="L103" s="28" t="str">
        <f t="shared" si="12"/>
        <v/>
      </c>
      <c r="M103" s="28" t="str">
        <f>IF($G103="","",IFERROR(INDEX('Recommendation Matrix'!$L$5:$Q$411,MATCH($E103,'Recommendation Matrix'!$A$5:$A$411,0),$G103+1),""))</f>
        <v/>
      </c>
      <c r="N103" s="28" t="str">
        <f t="shared" si="13"/>
        <v/>
      </c>
      <c r="O103" s="28" t="str">
        <f t="shared" si="14"/>
        <v/>
      </c>
      <c r="P103" s="28" t="str">
        <f t="shared" si="15"/>
        <v/>
      </c>
      <c r="Q103" s="28" t="str">
        <f t="shared" si="16"/>
        <v/>
      </c>
      <c r="R103" s="8" t="str">
        <f t="shared" si="17"/>
        <v/>
      </c>
      <c r="S103" s="28">
        <f>IFERROR('Finance Procurement'!$G$13,"")</f>
        <v>5</v>
      </c>
      <c r="T103" s="28">
        <f>IFERROR('Finance Procurement'!$W$13,"")</f>
        <v>4</v>
      </c>
      <c r="U103" s="28">
        <f>IFERROR('Finance Procurement'!$X$13,"")</f>
        <v>5</v>
      </c>
      <c r="V103" s="28">
        <f>IFERROR('Finance Procurement'!$Y$13,"")</f>
        <v>5</v>
      </c>
      <c r="W103" s="7" t="s">
        <v>2755</v>
      </c>
      <c r="X103" s="7" t="s">
        <v>2756</v>
      </c>
      <c r="Y103" s="7" t="s">
        <v>2830</v>
      </c>
      <c r="Z103" s="7">
        <f>IFERROR('Finance Procurement'!$U$13,"")</f>
        <v>0</v>
      </c>
      <c r="AA103" s="7"/>
      <c r="AB103" s="29"/>
      <c r="AC103" s="7"/>
      <c r="AD103" s="48" t="str">
        <f>IF($B103="Yes",IFERROR(SUMIFS(_TECH_Crisis_Model!$D$5:$D$191,_TECH_Crisis_Model!$A$5:$A$191,'Crisis Simulator'!$B$4,_TECH_Crisis_Model!$B$5:$B$191,$C103),1),"")</f>
        <v/>
      </c>
      <c r="AE103" s="48" t="str">
        <f t="shared" si="18"/>
        <v/>
      </c>
      <c r="AF103" s="48" t="str">
        <f>IFERROR(INDEX(_TECH_Crisis_Model!$E$5:$E$191,MATCH('Crisis Simulator'!$B$4&amp;"|"&amp;$C103,_TECH_Crisis_Model!$I$5:$I$191,0)),"")</f>
        <v>Cash control, supplier payments and procurement discipline determine financial survival and response options.</v>
      </c>
      <c r="AG103" s="48" t="str">
        <f>IFERROR(INDEX(_TECH_Crisis_Model!$G$5:$G$191,MATCH('Crisis Simulator'!$B$4&amp;"|"&amp;$C103,_TECH_Crisis_Model!$I$5:$I$191,0)),"")</f>
        <v>Build cash stress testing, payment prioritization, supplier risk review and procurement controls.</v>
      </c>
      <c r="AH103" s="48" t="str">
        <f>IFERROR(INDEX(_TECH_Initiative_Library!$A$5:$A$76,MATCH(1,INDEX((_TECH_Initiative_Library!$B$5:$B$76=$C103)*(_TECH_Initiative_Library!$C$5:$C$76=$D103),0),0)),"")</f>
        <v>INI-016</v>
      </c>
      <c r="AI103" s="48" t="str">
        <f>IFERROR(INDEX(_TECH_Initiative_Library!$F$5:$F$76,MATCH(1,INDEX((_TECH_Initiative_Library!$B$5:$B$76=$C103)*(_TECH_Initiative_Library!$C$5:$C$76=$D103),0),0)),"")</f>
        <v>Strengthen financial controls, approvals and accounting continuity</v>
      </c>
      <c r="AJ103" s="48" t="str">
        <f ca="1">IFERROR(INDEX(_TECH_Initiative_Library!$AC$5:$AC$76,MATCH(1,INDEX((_TECH_Initiative_Library!$B$5:$B$76=$C103)*(_TECH_Initiative_Library!$C$5:$C$76=$D103),0),0)),"")</f>
        <v/>
      </c>
      <c r="AK103" s="48" t="str">
        <f ca="1">IFERROR(INDEX(_TECH_Initiative_Library!$AE$5:$AE$76,MATCH(1,INDEX((_TECH_Initiative_Library!$B$5:$B$76=$C103)*(_TECH_Initiative_Library!$C$5:$C$76=$D103),0),0)),"")</f>
        <v/>
      </c>
      <c r="AL103" s="48" t="str">
        <f>IF($B103="Yes",IFERROR(SUMIFS(_TECH_Industry_Templates!$E:$E,_TECH_Industry_Templates!$A:$A,'Company Profile'!$B$9,_TECH_Industry_Templates!$B:$B,$C103),1),"")</f>
        <v/>
      </c>
      <c r="AM103" s="48" t="str">
        <f t="shared" si="19"/>
        <v/>
      </c>
      <c r="AN103" s="48" t="str">
        <f>IF($AM103="","",RANK.EQ($AM103,$AM$8:$AM$414,0)+COUNTIF($AM$8:$AM103,$AM103)-1)</f>
        <v/>
      </c>
    </row>
    <row r="104" spans="1:40" ht="71.25">
      <c r="A104" s="28" t="str">
        <f>IF($AM104="","",RANK.EQ($AM104,$AM$8:$AM$414,0)+COUNTIF($AM$8:$AM104,$AM104)-1)</f>
        <v/>
      </c>
      <c r="B104" s="7" t="str">
        <f t="shared" si="10"/>
        <v/>
      </c>
      <c r="C104" s="7" t="s">
        <v>66</v>
      </c>
      <c r="D104" s="7" t="s">
        <v>1147</v>
      </c>
      <c r="E104" s="7" t="s">
        <v>2838</v>
      </c>
      <c r="F104" s="7" t="s">
        <v>2839</v>
      </c>
      <c r="G104" s="28" t="str">
        <f>IF(OR(COUNTA('Finance Procurement'!$H$14)=0,'Finance Procurement'!$H$14="N/A"),"",VALUE('Finance Procurement'!$H$14))</f>
        <v/>
      </c>
      <c r="H104" s="7" t="str">
        <f t="shared" si="11"/>
        <v/>
      </c>
      <c r="I104" s="7" t="str">
        <f>IF($G104="","",IFERROR(IF('Finance Procurement'!$L$14="",IF($G104&lt;=1,"Critical",IF($G104=2,"High",IF($G104=3,"Medium",IF($G104=4,"Low","Optimized")))),'Finance Procurement'!$L$14),IF($G104&lt;=1,"Critical",IF($G104=2,"High",IF($G104=3,"Medium",IF($G104=4,"Low","Optimized"))))))</f>
        <v/>
      </c>
      <c r="J104" s="7" t="str">
        <f>IF($G104="","",IFERROR(INDEX('Recommendation Matrix'!$E$5:$J$411,MATCH($E104,'Recommendation Matrix'!$A$5:$A$411,0),$G104+1),""))</f>
        <v/>
      </c>
      <c r="K104" s="7" t="str">
        <f>IF($G104="","",IFERROR(VLOOKUP($E104,'Recommendation Matrix'!$A$5:$K$411,11,FALSE),""))</f>
        <v/>
      </c>
      <c r="L104" s="28" t="str">
        <f t="shared" si="12"/>
        <v/>
      </c>
      <c r="M104" s="28" t="str">
        <f>IF($G104="","",IFERROR(INDEX('Recommendation Matrix'!$L$5:$Q$411,MATCH($E104,'Recommendation Matrix'!$A$5:$A$411,0),$G104+1),""))</f>
        <v/>
      </c>
      <c r="N104" s="28" t="str">
        <f t="shared" si="13"/>
        <v/>
      </c>
      <c r="O104" s="28" t="str">
        <f t="shared" si="14"/>
        <v/>
      </c>
      <c r="P104" s="28" t="str">
        <f t="shared" si="15"/>
        <v/>
      </c>
      <c r="Q104" s="28" t="str">
        <f t="shared" si="16"/>
        <v/>
      </c>
      <c r="R104" s="8" t="str">
        <f t="shared" si="17"/>
        <v/>
      </c>
      <c r="S104" s="28">
        <f>IFERROR('Finance Procurement'!$G$14,"")</f>
        <v>5</v>
      </c>
      <c r="T104" s="28">
        <f>IFERROR('Finance Procurement'!$W$14,"")</f>
        <v>4</v>
      </c>
      <c r="U104" s="28">
        <f>IFERROR('Finance Procurement'!$X$14,"")</f>
        <v>5</v>
      </c>
      <c r="V104" s="28">
        <f>IFERROR('Finance Procurement'!$Y$14,"")</f>
        <v>5</v>
      </c>
      <c r="W104" s="7" t="s">
        <v>2755</v>
      </c>
      <c r="X104" s="7" t="s">
        <v>2756</v>
      </c>
      <c r="Y104" s="7" t="s">
        <v>2840</v>
      </c>
      <c r="Z104" s="7">
        <f>IFERROR('Finance Procurement'!$U$14,"")</f>
        <v>0</v>
      </c>
      <c r="AA104" s="7"/>
      <c r="AB104" s="29"/>
      <c r="AC104" s="7"/>
      <c r="AD104" s="48" t="str">
        <f>IF($B104="Yes",IFERROR(SUMIFS(_TECH_Crisis_Model!$D$5:$D$191,_TECH_Crisis_Model!$A$5:$A$191,'Crisis Simulator'!$B$4,_TECH_Crisis_Model!$B$5:$B$191,$C104),1),"")</f>
        <v/>
      </c>
      <c r="AE104" s="48" t="str">
        <f t="shared" si="18"/>
        <v/>
      </c>
      <c r="AF104" s="48" t="str">
        <f>IFERROR(INDEX(_TECH_Crisis_Model!$E$5:$E$191,MATCH('Crisis Simulator'!$B$4&amp;"|"&amp;$C104,_TECH_Crisis_Model!$I$5:$I$191,0)),"")</f>
        <v>Cash control, supplier payments and procurement discipline determine financial survival and response options.</v>
      </c>
      <c r="AG104" s="48" t="str">
        <f>IFERROR(INDEX(_TECH_Crisis_Model!$G$5:$G$191,MATCH('Crisis Simulator'!$B$4&amp;"|"&amp;$C104,_TECH_Crisis_Model!$I$5:$I$191,0)),"")</f>
        <v>Build cash stress testing, payment prioritization, supplier risk review and procurement controls.</v>
      </c>
      <c r="AH104" s="48" t="str">
        <f>IFERROR(INDEX(_TECH_Initiative_Library!$A$5:$A$76,MATCH(1,INDEX((_TECH_Initiative_Library!$B$5:$B$76=$C104)*(_TECH_Initiative_Library!$C$5:$C$76=$D104),0),0)),"")</f>
        <v>INI-016</v>
      </c>
      <c r="AI104" s="48" t="str">
        <f>IFERROR(INDEX(_TECH_Initiative_Library!$F$5:$F$76,MATCH(1,INDEX((_TECH_Initiative_Library!$B$5:$B$76=$C104)*(_TECH_Initiative_Library!$C$5:$C$76=$D104),0),0)),"")</f>
        <v>Strengthen financial controls, approvals and accounting continuity</v>
      </c>
      <c r="AJ104" s="48" t="str">
        <f ca="1">IFERROR(INDEX(_TECH_Initiative_Library!$AC$5:$AC$76,MATCH(1,INDEX((_TECH_Initiative_Library!$B$5:$B$76=$C104)*(_TECH_Initiative_Library!$C$5:$C$76=$D104),0),0)),"")</f>
        <v/>
      </c>
      <c r="AK104" s="48" t="str">
        <f ca="1">IFERROR(INDEX(_TECH_Initiative_Library!$AE$5:$AE$76,MATCH(1,INDEX((_TECH_Initiative_Library!$B$5:$B$76=$C104)*(_TECH_Initiative_Library!$C$5:$C$76=$D104),0),0)),"")</f>
        <v/>
      </c>
      <c r="AL104" s="48" t="str">
        <f>IF($B104="Yes",IFERROR(SUMIFS(_TECH_Industry_Templates!$E:$E,_TECH_Industry_Templates!$A:$A,'Company Profile'!$B$9,_TECH_Industry_Templates!$B:$B,$C104),1),"")</f>
        <v/>
      </c>
      <c r="AM104" s="48" t="str">
        <f t="shared" si="19"/>
        <v/>
      </c>
      <c r="AN104" s="48" t="str">
        <f>IF($AM104="","",RANK.EQ($AM104,$AM$8:$AM$414,0)+COUNTIF($AM$8:$AM104,$AM104)-1)</f>
        <v/>
      </c>
    </row>
    <row r="105" spans="1:40" ht="85.5">
      <c r="A105" s="28" t="str">
        <f>IF($AM105="","",RANK.EQ($AM105,$AM$8:$AM$414,0)+COUNTIF($AM$8:$AM105,$AM105)-1)</f>
        <v/>
      </c>
      <c r="B105" s="7" t="str">
        <f t="shared" si="10"/>
        <v/>
      </c>
      <c r="C105" s="7" t="s">
        <v>66</v>
      </c>
      <c r="D105" s="7" t="s">
        <v>1147</v>
      </c>
      <c r="E105" s="7" t="s">
        <v>2848</v>
      </c>
      <c r="F105" s="7" t="s">
        <v>2849</v>
      </c>
      <c r="G105" s="28" t="str">
        <f>IF(OR(COUNTA('Finance Procurement'!$H$15)=0,'Finance Procurement'!$H$15="N/A"),"",VALUE('Finance Procurement'!$H$15))</f>
        <v/>
      </c>
      <c r="H105" s="7" t="str">
        <f t="shared" si="11"/>
        <v/>
      </c>
      <c r="I105" s="7" t="str">
        <f>IF($G105="","",IFERROR(IF('Finance Procurement'!$L$15="",IF($G105&lt;=1,"Critical",IF($G105=2,"High",IF($G105=3,"Medium",IF($G105=4,"Low","Optimized")))),'Finance Procurement'!$L$15),IF($G105&lt;=1,"Critical",IF($G105=2,"High",IF($G105=3,"Medium",IF($G105=4,"Low","Optimized"))))))</f>
        <v/>
      </c>
      <c r="J105" s="7" t="str">
        <f>IF($G105="","",IFERROR(INDEX('Recommendation Matrix'!$E$5:$J$411,MATCH($E105,'Recommendation Matrix'!$A$5:$A$411,0),$G105+1),""))</f>
        <v/>
      </c>
      <c r="K105" s="7" t="str">
        <f>IF($G105="","",IFERROR(VLOOKUP($E105,'Recommendation Matrix'!$A$5:$K$411,11,FALSE),""))</f>
        <v/>
      </c>
      <c r="L105" s="28" t="str">
        <f t="shared" si="12"/>
        <v/>
      </c>
      <c r="M105" s="28" t="str">
        <f>IF($G105="","",IFERROR(INDEX('Recommendation Matrix'!$L$5:$Q$411,MATCH($E105,'Recommendation Matrix'!$A$5:$A$411,0),$G105+1),""))</f>
        <v/>
      </c>
      <c r="N105" s="28" t="str">
        <f t="shared" si="13"/>
        <v/>
      </c>
      <c r="O105" s="28" t="str">
        <f t="shared" si="14"/>
        <v/>
      </c>
      <c r="P105" s="28" t="str">
        <f t="shared" si="15"/>
        <v/>
      </c>
      <c r="Q105" s="28" t="str">
        <f t="shared" si="16"/>
        <v/>
      </c>
      <c r="R105" s="8" t="str">
        <f t="shared" si="17"/>
        <v/>
      </c>
      <c r="S105" s="28">
        <f>IFERROR('Finance Procurement'!$G$15,"")</f>
        <v>5</v>
      </c>
      <c r="T105" s="28">
        <f>IFERROR('Finance Procurement'!$W$15,"")</f>
        <v>4</v>
      </c>
      <c r="U105" s="28">
        <f>IFERROR('Finance Procurement'!$X$15,"")</f>
        <v>5</v>
      </c>
      <c r="V105" s="28">
        <f>IFERROR('Finance Procurement'!$Y$15,"")</f>
        <v>5</v>
      </c>
      <c r="W105" s="7" t="s">
        <v>2755</v>
      </c>
      <c r="X105" s="7" t="s">
        <v>2756</v>
      </c>
      <c r="Y105" s="7" t="s">
        <v>2850</v>
      </c>
      <c r="Z105" s="7">
        <f>IFERROR('Finance Procurement'!$U$15,"")</f>
        <v>0</v>
      </c>
      <c r="AA105" s="7"/>
      <c r="AB105" s="29"/>
      <c r="AC105" s="7"/>
      <c r="AD105" s="48" t="str">
        <f>IF($B105="Yes",IFERROR(SUMIFS(_TECH_Crisis_Model!$D$5:$D$191,_TECH_Crisis_Model!$A$5:$A$191,'Crisis Simulator'!$B$4,_TECH_Crisis_Model!$B$5:$B$191,$C105),1),"")</f>
        <v/>
      </c>
      <c r="AE105" s="48" t="str">
        <f t="shared" si="18"/>
        <v/>
      </c>
      <c r="AF105" s="48" t="str">
        <f>IFERROR(INDEX(_TECH_Crisis_Model!$E$5:$E$191,MATCH('Crisis Simulator'!$B$4&amp;"|"&amp;$C105,_TECH_Crisis_Model!$I$5:$I$191,0)),"")</f>
        <v>Cash control, supplier payments and procurement discipline determine financial survival and response options.</v>
      </c>
      <c r="AG105" s="48" t="str">
        <f>IFERROR(INDEX(_TECH_Crisis_Model!$G$5:$G$191,MATCH('Crisis Simulator'!$B$4&amp;"|"&amp;$C105,_TECH_Crisis_Model!$I$5:$I$191,0)),"")</f>
        <v>Build cash stress testing, payment prioritization, supplier risk review and procurement controls.</v>
      </c>
      <c r="AH105" s="48" t="str">
        <f>IFERROR(INDEX(_TECH_Initiative_Library!$A$5:$A$76,MATCH(1,INDEX((_TECH_Initiative_Library!$B$5:$B$76=$C105)*(_TECH_Initiative_Library!$C$5:$C$76=$D105),0),0)),"")</f>
        <v>INI-016</v>
      </c>
      <c r="AI105" s="48" t="str">
        <f>IFERROR(INDEX(_TECH_Initiative_Library!$F$5:$F$76,MATCH(1,INDEX((_TECH_Initiative_Library!$B$5:$B$76=$C105)*(_TECH_Initiative_Library!$C$5:$C$76=$D105),0),0)),"")</f>
        <v>Strengthen financial controls, approvals and accounting continuity</v>
      </c>
      <c r="AJ105" s="48" t="str">
        <f ca="1">IFERROR(INDEX(_TECH_Initiative_Library!$AC$5:$AC$76,MATCH(1,INDEX((_TECH_Initiative_Library!$B$5:$B$76=$C105)*(_TECH_Initiative_Library!$C$5:$C$76=$D105),0),0)),"")</f>
        <v/>
      </c>
      <c r="AK105" s="48" t="str">
        <f ca="1">IFERROR(INDEX(_TECH_Initiative_Library!$AE$5:$AE$76,MATCH(1,INDEX((_TECH_Initiative_Library!$B$5:$B$76=$C105)*(_TECH_Initiative_Library!$C$5:$C$76=$D105),0),0)),"")</f>
        <v/>
      </c>
      <c r="AL105" s="48" t="str">
        <f>IF($B105="Yes",IFERROR(SUMIFS(_TECH_Industry_Templates!$E:$E,_TECH_Industry_Templates!$A:$A,'Company Profile'!$B$9,_TECH_Industry_Templates!$B:$B,$C105),1),"")</f>
        <v/>
      </c>
      <c r="AM105" s="48" t="str">
        <f t="shared" si="19"/>
        <v/>
      </c>
      <c r="AN105" s="48" t="str">
        <f>IF($AM105="","",RANK.EQ($AM105,$AM$8:$AM$414,0)+COUNTIF($AM$8:$AM105,$AM105)-1)</f>
        <v/>
      </c>
    </row>
    <row r="106" spans="1:40" ht="85.5">
      <c r="A106" s="28" t="str">
        <f>IF($AM106="","",RANK.EQ($AM106,$AM$8:$AM$414,0)+COUNTIF($AM$8:$AM106,$AM106)-1)</f>
        <v/>
      </c>
      <c r="B106" s="7" t="str">
        <f t="shared" si="10"/>
        <v/>
      </c>
      <c r="C106" s="7" t="s">
        <v>66</v>
      </c>
      <c r="D106" s="7" t="s">
        <v>1147</v>
      </c>
      <c r="E106" s="7" t="s">
        <v>2858</v>
      </c>
      <c r="F106" s="7" t="s">
        <v>2859</v>
      </c>
      <c r="G106" s="28" t="str">
        <f>IF(OR(COUNTA('Finance Procurement'!$H$16)=0,'Finance Procurement'!$H$16="N/A"),"",VALUE('Finance Procurement'!$H$16))</f>
        <v/>
      </c>
      <c r="H106" s="7" t="str">
        <f t="shared" si="11"/>
        <v/>
      </c>
      <c r="I106" s="7" t="str">
        <f>IF($G106="","",IFERROR(IF('Finance Procurement'!$L$16="",IF($G106&lt;=1,"Critical",IF($G106=2,"High",IF($G106=3,"Medium",IF($G106=4,"Low","Optimized")))),'Finance Procurement'!$L$16),IF($G106&lt;=1,"Critical",IF($G106=2,"High",IF($G106=3,"Medium",IF($G106=4,"Low","Optimized"))))))</f>
        <v/>
      </c>
      <c r="J106" s="7" t="str">
        <f>IF($G106="","",IFERROR(INDEX('Recommendation Matrix'!$E$5:$J$411,MATCH($E106,'Recommendation Matrix'!$A$5:$A$411,0),$G106+1),""))</f>
        <v/>
      </c>
      <c r="K106" s="7" t="str">
        <f>IF($G106="","",IFERROR(VLOOKUP($E106,'Recommendation Matrix'!$A$5:$K$411,11,FALSE),""))</f>
        <v/>
      </c>
      <c r="L106" s="28" t="str">
        <f t="shared" si="12"/>
        <v/>
      </c>
      <c r="M106" s="28" t="str">
        <f>IF($G106="","",IFERROR(INDEX('Recommendation Matrix'!$L$5:$Q$411,MATCH($E106,'Recommendation Matrix'!$A$5:$A$411,0),$G106+1),""))</f>
        <v/>
      </c>
      <c r="N106" s="28" t="str">
        <f t="shared" si="13"/>
        <v/>
      </c>
      <c r="O106" s="28" t="str">
        <f t="shared" si="14"/>
        <v/>
      </c>
      <c r="P106" s="28" t="str">
        <f t="shared" si="15"/>
        <v/>
      </c>
      <c r="Q106" s="28" t="str">
        <f t="shared" si="16"/>
        <v/>
      </c>
      <c r="R106" s="8" t="str">
        <f t="shared" si="17"/>
        <v/>
      </c>
      <c r="S106" s="28">
        <f>IFERROR('Finance Procurement'!$G$16,"")</f>
        <v>4</v>
      </c>
      <c r="T106" s="28">
        <f>IFERROR('Finance Procurement'!$W$16,"")</f>
        <v>5</v>
      </c>
      <c r="U106" s="28">
        <f>IFERROR('Finance Procurement'!$X$16,"")</f>
        <v>5</v>
      </c>
      <c r="V106" s="28">
        <f>IFERROR('Finance Procurement'!$Y$16,"")</f>
        <v>5</v>
      </c>
      <c r="W106" s="7" t="s">
        <v>2755</v>
      </c>
      <c r="X106" s="7" t="s">
        <v>2756</v>
      </c>
      <c r="Y106" s="7" t="s">
        <v>2860</v>
      </c>
      <c r="Z106" s="7">
        <f>IFERROR('Finance Procurement'!$U$16,"")</f>
        <v>0</v>
      </c>
      <c r="AA106" s="7"/>
      <c r="AB106" s="29"/>
      <c r="AC106" s="7"/>
      <c r="AD106" s="48" t="str">
        <f>IF($B106="Yes",IFERROR(SUMIFS(_TECH_Crisis_Model!$D$5:$D$191,_TECH_Crisis_Model!$A$5:$A$191,'Crisis Simulator'!$B$4,_TECH_Crisis_Model!$B$5:$B$191,$C106),1),"")</f>
        <v/>
      </c>
      <c r="AE106" s="48" t="str">
        <f t="shared" si="18"/>
        <v/>
      </c>
      <c r="AF106" s="48" t="str">
        <f>IFERROR(INDEX(_TECH_Crisis_Model!$E$5:$E$191,MATCH('Crisis Simulator'!$B$4&amp;"|"&amp;$C106,_TECH_Crisis_Model!$I$5:$I$191,0)),"")</f>
        <v>Cash control, supplier payments and procurement discipline determine financial survival and response options.</v>
      </c>
      <c r="AG106" s="48" t="str">
        <f>IFERROR(INDEX(_TECH_Crisis_Model!$G$5:$G$191,MATCH('Crisis Simulator'!$B$4&amp;"|"&amp;$C106,_TECH_Crisis_Model!$I$5:$I$191,0)),"")</f>
        <v>Build cash stress testing, payment prioritization, supplier risk review and procurement controls.</v>
      </c>
      <c r="AH106" s="48" t="str">
        <f>IFERROR(INDEX(_TECH_Initiative_Library!$A$5:$A$76,MATCH(1,INDEX((_TECH_Initiative_Library!$B$5:$B$76=$C106)*(_TECH_Initiative_Library!$C$5:$C$76=$D106),0),0)),"")</f>
        <v>INI-016</v>
      </c>
      <c r="AI106" s="48" t="str">
        <f>IFERROR(INDEX(_TECH_Initiative_Library!$F$5:$F$76,MATCH(1,INDEX((_TECH_Initiative_Library!$B$5:$B$76=$C106)*(_TECH_Initiative_Library!$C$5:$C$76=$D106),0),0)),"")</f>
        <v>Strengthen financial controls, approvals and accounting continuity</v>
      </c>
      <c r="AJ106" s="48" t="str">
        <f ca="1">IFERROR(INDEX(_TECH_Initiative_Library!$AC$5:$AC$76,MATCH(1,INDEX((_TECH_Initiative_Library!$B$5:$B$76=$C106)*(_TECH_Initiative_Library!$C$5:$C$76=$D106),0),0)),"")</f>
        <v/>
      </c>
      <c r="AK106" s="48" t="str">
        <f ca="1">IFERROR(INDEX(_TECH_Initiative_Library!$AE$5:$AE$76,MATCH(1,INDEX((_TECH_Initiative_Library!$B$5:$B$76=$C106)*(_TECH_Initiative_Library!$C$5:$C$76=$D106),0),0)),"")</f>
        <v/>
      </c>
      <c r="AL106" s="48" t="str">
        <f>IF($B106="Yes",IFERROR(SUMIFS(_TECH_Industry_Templates!$E:$E,_TECH_Industry_Templates!$A:$A,'Company Profile'!$B$9,_TECH_Industry_Templates!$B:$B,$C106),1),"")</f>
        <v/>
      </c>
      <c r="AM106" s="48" t="str">
        <f t="shared" si="19"/>
        <v/>
      </c>
      <c r="AN106" s="48" t="str">
        <f>IF($AM106="","",RANK.EQ($AM106,$AM$8:$AM$414,0)+COUNTIF($AM$8:$AM106,$AM106)-1)</f>
        <v/>
      </c>
    </row>
    <row r="107" spans="1:40" ht="85.5">
      <c r="A107" s="28" t="str">
        <f>IF($AM107="","",RANK.EQ($AM107,$AM$8:$AM$414,0)+COUNTIF($AM$8:$AM107,$AM107)-1)</f>
        <v/>
      </c>
      <c r="B107" s="7" t="str">
        <f t="shared" si="10"/>
        <v/>
      </c>
      <c r="C107" s="7" t="s">
        <v>66</v>
      </c>
      <c r="D107" s="7" t="s">
        <v>1158</v>
      </c>
      <c r="E107" s="7" t="s">
        <v>2868</v>
      </c>
      <c r="F107" s="7" t="s">
        <v>2869</v>
      </c>
      <c r="G107" s="28" t="str">
        <f>IF(OR(COUNTA('Finance Procurement'!$H$17)=0,'Finance Procurement'!$H$17="N/A"),"",VALUE('Finance Procurement'!$H$17))</f>
        <v/>
      </c>
      <c r="H107" s="7" t="str">
        <f t="shared" si="11"/>
        <v/>
      </c>
      <c r="I107" s="7" t="str">
        <f>IF($G107="","",IFERROR(IF('Finance Procurement'!$L$17="",IF($G107&lt;=1,"Critical",IF($G107=2,"High",IF($G107=3,"Medium",IF($G107=4,"Low","Optimized")))),'Finance Procurement'!$L$17),IF($G107&lt;=1,"Critical",IF($G107=2,"High",IF($G107=3,"Medium",IF($G107=4,"Low","Optimized"))))))</f>
        <v/>
      </c>
      <c r="J107" s="7" t="str">
        <f>IF($G107="","",IFERROR(INDEX('Recommendation Matrix'!$E$5:$J$411,MATCH($E107,'Recommendation Matrix'!$A$5:$A$411,0),$G107+1),""))</f>
        <v/>
      </c>
      <c r="K107" s="7" t="str">
        <f>IF($G107="","",IFERROR(VLOOKUP($E107,'Recommendation Matrix'!$A$5:$K$411,11,FALSE),""))</f>
        <v/>
      </c>
      <c r="L107" s="28" t="str">
        <f t="shared" si="12"/>
        <v/>
      </c>
      <c r="M107" s="28" t="str">
        <f>IF($G107="","",IFERROR(INDEX('Recommendation Matrix'!$L$5:$Q$411,MATCH($E107,'Recommendation Matrix'!$A$5:$A$411,0),$G107+1),""))</f>
        <v/>
      </c>
      <c r="N107" s="28" t="str">
        <f t="shared" si="13"/>
        <v/>
      </c>
      <c r="O107" s="28" t="str">
        <f t="shared" si="14"/>
        <v/>
      </c>
      <c r="P107" s="28" t="str">
        <f t="shared" si="15"/>
        <v/>
      </c>
      <c r="Q107" s="28" t="str">
        <f t="shared" si="16"/>
        <v/>
      </c>
      <c r="R107" s="8" t="str">
        <f t="shared" si="17"/>
        <v/>
      </c>
      <c r="S107" s="28">
        <f>IFERROR('Finance Procurement'!$G$17,"")</f>
        <v>3</v>
      </c>
      <c r="T107" s="28">
        <f>IFERROR('Finance Procurement'!$W$17,"")</f>
        <v>4</v>
      </c>
      <c r="U107" s="28">
        <f>IFERROR('Finance Procurement'!$X$17,"")</f>
        <v>5</v>
      </c>
      <c r="V107" s="28">
        <f>IFERROR('Finance Procurement'!$Y$17,"")</f>
        <v>5</v>
      </c>
      <c r="W107" s="7" t="s">
        <v>2755</v>
      </c>
      <c r="X107" s="7" t="s">
        <v>2756</v>
      </c>
      <c r="Y107" s="7" t="s">
        <v>2870</v>
      </c>
      <c r="Z107" s="7">
        <f>IFERROR('Finance Procurement'!$U$17,"")</f>
        <v>0</v>
      </c>
      <c r="AA107" s="7"/>
      <c r="AB107" s="29"/>
      <c r="AC107" s="7"/>
      <c r="AD107" s="48" t="str">
        <f>IF($B107="Yes",IFERROR(SUMIFS(_TECH_Crisis_Model!$D$5:$D$191,_TECH_Crisis_Model!$A$5:$A$191,'Crisis Simulator'!$B$4,_TECH_Crisis_Model!$B$5:$B$191,$C107),1),"")</f>
        <v/>
      </c>
      <c r="AE107" s="48" t="str">
        <f t="shared" si="18"/>
        <v/>
      </c>
      <c r="AF107" s="48" t="str">
        <f>IFERROR(INDEX(_TECH_Crisis_Model!$E$5:$E$191,MATCH('Crisis Simulator'!$B$4&amp;"|"&amp;$C107,_TECH_Crisis_Model!$I$5:$I$191,0)),"")</f>
        <v>Cash control, supplier payments and procurement discipline determine financial survival and response options.</v>
      </c>
      <c r="AG107" s="48" t="str">
        <f>IFERROR(INDEX(_TECH_Crisis_Model!$G$5:$G$191,MATCH('Crisis Simulator'!$B$4&amp;"|"&amp;$C107,_TECH_Crisis_Model!$I$5:$I$191,0)),"")</f>
        <v>Build cash stress testing, payment prioritization, supplier risk review and procurement controls.</v>
      </c>
      <c r="AH107" s="48" t="str">
        <f>IFERROR(INDEX(_TECH_Initiative_Library!$A$5:$A$76,MATCH(1,INDEX((_TECH_Initiative_Library!$B$5:$B$76=$C107)*(_TECH_Initiative_Library!$C$5:$C$76=$D107),0),0)),"")</f>
        <v>INI-017</v>
      </c>
      <c r="AI107" s="48" t="str">
        <f>IFERROR(INDEX(_TECH_Initiative_Library!$F$5:$F$76,MATCH(1,INDEX((_TECH_Initiative_Library!$B$5:$B$76=$C107)*(_TECH_Initiative_Library!$C$5:$C$76=$D107),0),0)),"")</f>
        <v>Build resilient procurement governance and supplier risk controls</v>
      </c>
      <c r="AJ107" s="48" t="str">
        <f ca="1">IFERROR(INDEX(_TECH_Initiative_Library!$AC$5:$AC$76,MATCH(1,INDEX((_TECH_Initiative_Library!$B$5:$B$76=$C107)*(_TECH_Initiative_Library!$C$5:$C$76=$D107),0),0)),"")</f>
        <v/>
      </c>
      <c r="AK107" s="48" t="str">
        <f ca="1">IFERROR(INDEX(_TECH_Initiative_Library!$AE$5:$AE$76,MATCH(1,INDEX((_TECH_Initiative_Library!$B$5:$B$76=$C107)*(_TECH_Initiative_Library!$C$5:$C$76=$D107),0),0)),"")</f>
        <v/>
      </c>
      <c r="AL107" s="48" t="str">
        <f>IF($B107="Yes",IFERROR(SUMIFS(_TECH_Industry_Templates!$E:$E,_TECH_Industry_Templates!$A:$A,'Company Profile'!$B$9,_TECH_Industry_Templates!$B:$B,$C107),1),"")</f>
        <v/>
      </c>
      <c r="AM107" s="48" t="str">
        <f t="shared" si="19"/>
        <v/>
      </c>
      <c r="AN107" s="48" t="str">
        <f>IF($AM107="","",RANK.EQ($AM107,$AM$8:$AM$414,0)+COUNTIF($AM$8:$AM107,$AM107)-1)</f>
        <v/>
      </c>
    </row>
    <row r="108" spans="1:40" ht="85.5">
      <c r="A108" s="28" t="str">
        <f>IF($AM108="","",RANK.EQ($AM108,$AM$8:$AM$414,0)+COUNTIF($AM$8:$AM108,$AM108)-1)</f>
        <v/>
      </c>
      <c r="B108" s="7" t="str">
        <f t="shared" si="10"/>
        <v/>
      </c>
      <c r="C108" s="7" t="s">
        <v>66</v>
      </c>
      <c r="D108" s="7" t="s">
        <v>1158</v>
      </c>
      <c r="E108" s="7" t="s">
        <v>2878</v>
      </c>
      <c r="F108" s="7" t="s">
        <v>2879</v>
      </c>
      <c r="G108" s="28" t="str">
        <f>IF(OR(COUNTA('Finance Procurement'!$H$18)=0,'Finance Procurement'!$H$18="N/A"),"",VALUE('Finance Procurement'!$H$18))</f>
        <v/>
      </c>
      <c r="H108" s="7" t="str">
        <f t="shared" si="11"/>
        <v/>
      </c>
      <c r="I108" s="7" t="str">
        <f>IF($G108="","",IFERROR(IF('Finance Procurement'!$L$18="",IF($G108&lt;=1,"Critical",IF($G108=2,"High",IF($G108=3,"Medium",IF($G108=4,"Low","Optimized")))),'Finance Procurement'!$L$18),IF($G108&lt;=1,"Critical",IF($G108=2,"High",IF($G108=3,"Medium",IF($G108=4,"Low","Optimized"))))))</f>
        <v/>
      </c>
      <c r="J108" s="7" t="str">
        <f>IF($G108="","",IFERROR(INDEX('Recommendation Matrix'!$E$5:$J$411,MATCH($E108,'Recommendation Matrix'!$A$5:$A$411,0),$G108+1),""))</f>
        <v/>
      </c>
      <c r="K108" s="7" t="str">
        <f>IF($G108="","",IFERROR(VLOOKUP($E108,'Recommendation Matrix'!$A$5:$K$411,11,FALSE),""))</f>
        <v/>
      </c>
      <c r="L108" s="28" t="str">
        <f t="shared" si="12"/>
        <v/>
      </c>
      <c r="M108" s="28" t="str">
        <f>IF($G108="","",IFERROR(INDEX('Recommendation Matrix'!$L$5:$Q$411,MATCH($E108,'Recommendation Matrix'!$A$5:$A$411,0),$G108+1),""))</f>
        <v/>
      </c>
      <c r="N108" s="28" t="str">
        <f t="shared" si="13"/>
        <v/>
      </c>
      <c r="O108" s="28" t="str">
        <f t="shared" si="14"/>
        <v/>
      </c>
      <c r="P108" s="28" t="str">
        <f t="shared" si="15"/>
        <v/>
      </c>
      <c r="Q108" s="28" t="str">
        <f t="shared" si="16"/>
        <v/>
      </c>
      <c r="R108" s="8" t="str">
        <f t="shared" si="17"/>
        <v/>
      </c>
      <c r="S108" s="28">
        <f>IFERROR('Finance Procurement'!$G$18,"")</f>
        <v>5</v>
      </c>
      <c r="T108" s="28">
        <f>IFERROR('Finance Procurement'!$W$18,"")</f>
        <v>4</v>
      </c>
      <c r="U108" s="28">
        <f>IFERROR('Finance Procurement'!$X$18,"")</f>
        <v>5</v>
      </c>
      <c r="V108" s="28">
        <f>IFERROR('Finance Procurement'!$Y$18,"")</f>
        <v>5</v>
      </c>
      <c r="W108" s="7" t="s">
        <v>2755</v>
      </c>
      <c r="X108" s="7" t="s">
        <v>2756</v>
      </c>
      <c r="Y108" s="7" t="s">
        <v>2880</v>
      </c>
      <c r="Z108" s="7">
        <f>IFERROR('Finance Procurement'!$U$18,"")</f>
        <v>0</v>
      </c>
      <c r="AA108" s="7"/>
      <c r="AB108" s="29"/>
      <c r="AC108" s="7"/>
      <c r="AD108" s="48" t="str">
        <f>IF($B108="Yes",IFERROR(SUMIFS(_TECH_Crisis_Model!$D$5:$D$191,_TECH_Crisis_Model!$A$5:$A$191,'Crisis Simulator'!$B$4,_TECH_Crisis_Model!$B$5:$B$191,$C108),1),"")</f>
        <v/>
      </c>
      <c r="AE108" s="48" t="str">
        <f t="shared" si="18"/>
        <v/>
      </c>
      <c r="AF108" s="48" t="str">
        <f>IFERROR(INDEX(_TECH_Crisis_Model!$E$5:$E$191,MATCH('Crisis Simulator'!$B$4&amp;"|"&amp;$C108,_TECH_Crisis_Model!$I$5:$I$191,0)),"")</f>
        <v>Cash control, supplier payments and procurement discipline determine financial survival and response options.</v>
      </c>
      <c r="AG108" s="48" t="str">
        <f>IFERROR(INDEX(_TECH_Crisis_Model!$G$5:$G$191,MATCH('Crisis Simulator'!$B$4&amp;"|"&amp;$C108,_TECH_Crisis_Model!$I$5:$I$191,0)),"")</f>
        <v>Build cash stress testing, payment prioritization, supplier risk review and procurement controls.</v>
      </c>
      <c r="AH108" s="48" t="str">
        <f>IFERROR(INDEX(_TECH_Initiative_Library!$A$5:$A$76,MATCH(1,INDEX((_TECH_Initiative_Library!$B$5:$B$76=$C108)*(_TECH_Initiative_Library!$C$5:$C$76=$D108),0),0)),"")</f>
        <v>INI-017</v>
      </c>
      <c r="AI108" s="48" t="str">
        <f>IFERROR(INDEX(_TECH_Initiative_Library!$F$5:$F$76,MATCH(1,INDEX((_TECH_Initiative_Library!$B$5:$B$76=$C108)*(_TECH_Initiative_Library!$C$5:$C$76=$D108),0),0)),"")</f>
        <v>Build resilient procurement governance and supplier risk controls</v>
      </c>
      <c r="AJ108" s="48" t="str">
        <f ca="1">IFERROR(INDEX(_TECH_Initiative_Library!$AC$5:$AC$76,MATCH(1,INDEX((_TECH_Initiative_Library!$B$5:$B$76=$C108)*(_TECH_Initiative_Library!$C$5:$C$76=$D108),0),0)),"")</f>
        <v/>
      </c>
      <c r="AK108" s="48" t="str">
        <f ca="1">IFERROR(INDEX(_TECH_Initiative_Library!$AE$5:$AE$76,MATCH(1,INDEX((_TECH_Initiative_Library!$B$5:$B$76=$C108)*(_TECH_Initiative_Library!$C$5:$C$76=$D108),0),0)),"")</f>
        <v/>
      </c>
      <c r="AL108" s="48" t="str">
        <f>IF($B108="Yes",IFERROR(SUMIFS(_TECH_Industry_Templates!$E:$E,_TECH_Industry_Templates!$A:$A,'Company Profile'!$B$9,_TECH_Industry_Templates!$B:$B,$C108),1),"")</f>
        <v/>
      </c>
      <c r="AM108" s="48" t="str">
        <f t="shared" si="19"/>
        <v/>
      </c>
      <c r="AN108" s="48" t="str">
        <f>IF($AM108="","",RANK.EQ($AM108,$AM$8:$AM$414,0)+COUNTIF($AM$8:$AM108,$AM108)-1)</f>
        <v/>
      </c>
    </row>
    <row r="109" spans="1:40" ht="71.25">
      <c r="A109" s="28" t="str">
        <f>IF($AM109="","",RANK.EQ($AM109,$AM$8:$AM$414,0)+COUNTIF($AM$8:$AM109,$AM109)-1)</f>
        <v/>
      </c>
      <c r="B109" s="7" t="str">
        <f t="shared" si="10"/>
        <v/>
      </c>
      <c r="C109" s="7" t="s">
        <v>66</v>
      </c>
      <c r="D109" s="7" t="s">
        <v>1158</v>
      </c>
      <c r="E109" s="7" t="s">
        <v>2888</v>
      </c>
      <c r="F109" s="7" t="s">
        <v>2889</v>
      </c>
      <c r="G109" s="28" t="str">
        <f>IF(OR(COUNTA('Finance Procurement'!$H$19)=0,'Finance Procurement'!$H$19="N/A"),"",VALUE('Finance Procurement'!$H$19))</f>
        <v/>
      </c>
      <c r="H109" s="7" t="str">
        <f t="shared" si="11"/>
        <v/>
      </c>
      <c r="I109" s="7" t="str">
        <f>IF($G109="","",IFERROR(IF('Finance Procurement'!$L$19="",IF($G109&lt;=1,"Critical",IF($G109=2,"High",IF($G109=3,"Medium",IF($G109=4,"Low","Optimized")))),'Finance Procurement'!$L$19),IF($G109&lt;=1,"Critical",IF($G109=2,"High",IF($G109=3,"Medium",IF($G109=4,"Low","Optimized"))))))</f>
        <v/>
      </c>
      <c r="J109" s="7" t="str">
        <f>IF($G109="","",IFERROR(INDEX('Recommendation Matrix'!$E$5:$J$411,MATCH($E109,'Recommendation Matrix'!$A$5:$A$411,0),$G109+1),""))</f>
        <v/>
      </c>
      <c r="K109" s="7" t="str">
        <f>IF($G109="","",IFERROR(VLOOKUP($E109,'Recommendation Matrix'!$A$5:$K$411,11,FALSE),""))</f>
        <v/>
      </c>
      <c r="L109" s="28" t="str">
        <f t="shared" si="12"/>
        <v/>
      </c>
      <c r="M109" s="28" t="str">
        <f>IF($G109="","",IFERROR(INDEX('Recommendation Matrix'!$L$5:$Q$411,MATCH($E109,'Recommendation Matrix'!$A$5:$A$411,0),$G109+1),""))</f>
        <v/>
      </c>
      <c r="N109" s="28" t="str">
        <f t="shared" si="13"/>
        <v/>
      </c>
      <c r="O109" s="28" t="str">
        <f t="shared" si="14"/>
        <v/>
      </c>
      <c r="P109" s="28" t="str">
        <f t="shared" si="15"/>
        <v/>
      </c>
      <c r="Q109" s="28" t="str">
        <f t="shared" si="16"/>
        <v/>
      </c>
      <c r="R109" s="8" t="str">
        <f t="shared" si="17"/>
        <v/>
      </c>
      <c r="S109" s="28">
        <f>IFERROR('Finance Procurement'!$G$19,"")</f>
        <v>5</v>
      </c>
      <c r="T109" s="28">
        <f>IFERROR('Finance Procurement'!$W$19,"")</f>
        <v>4</v>
      </c>
      <c r="U109" s="28">
        <f>IFERROR('Finance Procurement'!$X$19,"")</f>
        <v>5</v>
      </c>
      <c r="V109" s="28">
        <f>IFERROR('Finance Procurement'!$Y$19,"")</f>
        <v>5</v>
      </c>
      <c r="W109" s="7" t="s">
        <v>2755</v>
      </c>
      <c r="X109" s="7" t="s">
        <v>2756</v>
      </c>
      <c r="Y109" s="7" t="s">
        <v>2890</v>
      </c>
      <c r="Z109" s="7">
        <f>IFERROR('Finance Procurement'!$U$19,"")</f>
        <v>0</v>
      </c>
      <c r="AA109" s="7"/>
      <c r="AB109" s="29"/>
      <c r="AC109" s="7"/>
      <c r="AD109" s="48" t="str">
        <f>IF($B109="Yes",IFERROR(SUMIFS(_TECH_Crisis_Model!$D$5:$D$191,_TECH_Crisis_Model!$A$5:$A$191,'Crisis Simulator'!$B$4,_TECH_Crisis_Model!$B$5:$B$191,$C109),1),"")</f>
        <v/>
      </c>
      <c r="AE109" s="48" t="str">
        <f t="shared" si="18"/>
        <v/>
      </c>
      <c r="AF109" s="48" t="str">
        <f>IFERROR(INDEX(_TECH_Crisis_Model!$E$5:$E$191,MATCH('Crisis Simulator'!$B$4&amp;"|"&amp;$C109,_TECH_Crisis_Model!$I$5:$I$191,0)),"")</f>
        <v>Cash control, supplier payments and procurement discipline determine financial survival and response options.</v>
      </c>
      <c r="AG109" s="48" t="str">
        <f>IFERROR(INDEX(_TECH_Crisis_Model!$G$5:$G$191,MATCH('Crisis Simulator'!$B$4&amp;"|"&amp;$C109,_TECH_Crisis_Model!$I$5:$I$191,0)),"")</f>
        <v>Build cash stress testing, payment prioritization, supplier risk review and procurement controls.</v>
      </c>
      <c r="AH109" s="48" t="str">
        <f>IFERROR(INDEX(_TECH_Initiative_Library!$A$5:$A$76,MATCH(1,INDEX((_TECH_Initiative_Library!$B$5:$B$76=$C109)*(_TECH_Initiative_Library!$C$5:$C$76=$D109),0),0)),"")</f>
        <v>INI-017</v>
      </c>
      <c r="AI109" s="48" t="str">
        <f>IFERROR(INDEX(_TECH_Initiative_Library!$F$5:$F$76,MATCH(1,INDEX((_TECH_Initiative_Library!$B$5:$B$76=$C109)*(_TECH_Initiative_Library!$C$5:$C$76=$D109),0),0)),"")</f>
        <v>Build resilient procurement governance and supplier risk controls</v>
      </c>
      <c r="AJ109" s="48" t="str">
        <f ca="1">IFERROR(INDEX(_TECH_Initiative_Library!$AC$5:$AC$76,MATCH(1,INDEX((_TECH_Initiative_Library!$B$5:$B$76=$C109)*(_TECH_Initiative_Library!$C$5:$C$76=$D109),0),0)),"")</f>
        <v/>
      </c>
      <c r="AK109" s="48" t="str">
        <f ca="1">IFERROR(INDEX(_TECH_Initiative_Library!$AE$5:$AE$76,MATCH(1,INDEX((_TECH_Initiative_Library!$B$5:$B$76=$C109)*(_TECH_Initiative_Library!$C$5:$C$76=$D109),0),0)),"")</f>
        <v/>
      </c>
      <c r="AL109" s="48" t="str">
        <f>IF($B109="Yes",IFERROR(SUMIFS(_TECH_Industry_Templates!$E:$E,_TECH_Industry_Templates!$A:$A,'Company Profile'!$B$9,_TECH_Industry_Templates!$B:$B,$C109),1),"")</f>
        <v/>
      </c>
      <c r="AM109" s="48" t="str">
        <f t="shared" si="19"/>
        <v/>
      </c>
      <c r="AN109" s="48" t="str">
        <f>IF($AM109="","",RANK.EQ($AM109,$AM$8:$AM$414,0)+COUNTIF($AM$8:$AM109,$AM109)-1)</f>
        <v/>
      </c>
    </row>
    <row r="110" spans="1:40" ht="71.25">
      <c r="A110" s="28" t="str">
        <f>IF($AM110="","",RANK.EQ($AM110,$AM$8:$AM$414,0)+COUNTIF($AM$8:$AM110,$AM110)-1)</f>
        <v/>
      </c>
      <c r="B110" s="7" t="str">
        <f t="shared" si="10"/>
        <v/>
      </c>
      <c r="C110" s="7" t="s">
        <v>66</v>
      </c>
      <c r="D110" s="7" t="s">
        <v>1158</v>
      </c>
      <c r="E110" s="7" t="s">
        <v>2898</v>
      </c>
      <c r="F110" s="7" t="s">
        <v>2899</v>
      </c>
      <c r="G110" s="28" t="str">
        <f>IF(OR(COUNTA('Finance Procurement'!$H$20)=0,'Finance Procurement'!$H$20="N/A"),"",VALUE('Finance Procurement'!$H$20))</f>
        <v/>
      </c>
      <c r="H110" s="7" t="str">
        <f t="shared" si="11"/>
        <v/>
      </c>
      <c r="I110" s="7" t="str">
        <f>IF($G110="","",IFERROR(IF('Finance Procurement'!$L$20="",IF($G110&lt;=1,"Critical",IF($G110=2,"High",IF($G110=3,"Medium",IF($G110=4,"Low","Optimized")))),'Finance Procurement'!$L$20),IF($G110&lt;=1,"Critical",IF($G110=2,"High",IF($G110=3,"Medium",IF($G110=4,"Low","Optimized"))))))</f>
        <v/>
      </c>
      <c r="J110" s="7" t="str">
        <f>IF($G110="","",IFERROR(INDEX('Recommendation Matrix'!$E$5:$J$411,MATCH($E110,'Recommendation Matrix'!$A$5:$A$411,0),$G110+1),""))</f>
        <v/>
      </c>
      <c r="K110" s="7" t="str">
        <f>IF($G110="","",IFERROR(VLOOKUP($E110,'Recommendation Matrix'!$A$5:$K$411,11,FALSE),""))</f>
        <v/>
      </c>
      <c r="L110" s="28" t="str">
        <f t="shared" si="12"/>
        <v/>
      </c>
      <c r="M110" s="28" t="str">
        <f>IF($G110="","",IFERROR(INDEX('Recommendation Matrix'!$L$5:$Q$411,MATCH($E110,'Recommendation Matrix'!$A$5:$A$411,0),$G110+1),""))</f>
        <v/>
      </c>
      <c r="N110" s="28" t="str">
        <f t="shared" si="13"/>
        <v/>
      </c>
      <c r="O110" s="28" t="str">
        <f t="shared" si="14"/>
        <v/>
      </c>
      <c r="P110" s="28" t="str">
        <f t="shared" si="15"/>
        <v/>
      </c>
      <c r="Q110" s="28" t="str">
        <f t="shared" si="16"/>
        <v/>
      </c>
      <c r="R110" s="8" t="str">
        <f t="shared" si="17"/>
        <v/>
      </c>
      <c r="S110" s="28">
        <f>IFERROR('Finance Procurement'!$G$20,"")</f>
        <v>5</v>
      </c>
      <c r="T110" s="28">
        <f>IFERROR('Finance Procurement'!$W$20,"")</f>
        <v>4</v>
      </c>
      <c r="U110" s="28">
        <f>IFERROR('Finance Procurement'!$X$20,"")</f>
        <v>5</v>
      </c>
      <c r="V110" s="28">
        <f>IFERROR('Finance Procurement'!$Y$20,"")</f>
        <v>5</v>
      </c>
      <c r="W110" s="7" t="s">
        <v>2755</v>
      </c>
      <c r="X110" s="7" t="s">
        <v>2756</v>
      </c>
      <c r="Y110" s="7" t="s">
        <v>2900</v>
      </c>
      <c r="Z110" s="7">
        <f>IFERROR('Finance Procurement'!$U$20,"")</f>
        <v>0</v>
      </c>
      <c r="AA110" s="7"/>
      <c r="AB110" s="29"/>
      <c r="AC110" s="7"/>
      <c r="AD110" s="48" t="str">
        <f>IF($B110="Yes",IFERROR(SUMIFS(_TECH_Crisis_Model!$D$5:$D$191,_TECH_Crisis_Model!$A$5:$A$191,'Crisis Simulator'!$B$4,_TECH_Crisis_Model!$B$5:$B$191,$C110),1),"")</f>
        <v/>
      </c>
      <c r="AE110" s="48" t="str">
        <f t="shared" si="18"/>
        <v/>
      </c>
      <c r="AF110" s="48" t="str">
        <f>IFERROR(INDEX(_TECH_Crisis_Model!$E$5:$E$191,MATCH('Crisis Simulator'!$B$4&amp;"|"&amp;$C110,_TECH_Crisis_Model!$I$5:$I$191,0)),"")</f>
        <v>Cash control, supplier payments and procurement discipline determine financial survival and response options.</v>
      </c>
      <c r="AG110" s="48" t="str">
        <f>IFERROR(INDEX(_TECH_Crisis_Model!$G$5:$G$191,MATCH('Crisis Simulator'!$B$4&amp;"|"&amp;$C110,_TECH_Crisis_Model!$I$5:$I$191,0)),"")</f>
        <v>Build cash stress testing, payment prioritization, supplier risk review and procurement controls.</v>
      </c>
      <c r="AH110" s="48" t="str">
        <f>IFERROR(INDEX(_TECH_Initiative_Library!$A$5:$A$76,MATCH(1,INDEX((_TECH_Initiative_Library!$B$5:$B$76=$C110)*(_TECH_Initiative_Library!$C$5:$C$76=$D110),0),0)),"")</f>
        <v>INI-017</v>
      </c>
      <c r="AI110" s="48" t="str">
        <f>IFERROR(INDEX(_TECH_Initiative_Library!$F$5:$F$76,MATCH(1,INDEX((_TECH_Initiative_Library!$B$5:$B$76=$C110)*(_TECH_Initiative_Library!$C$5:$C$76=$D110),0),0)),"")</f>
        <v>Build resilient procurement governance and supplier risk controls</v>
      </c>
      <c r="AJ110" s="48" t="str">
        <f ca="1">IFERROR(INDEX(_TECH_Initiative_Library!$AC$5:$AC$76,MATCH(1,INDEX((_TECH_Initiative_Library!$B$5:$B$76=$C110)*(_TECH_Initiative_Library!$C$5:$C$76=$D110),0),0)),"")</f>
        <v/>
      </c>
      <c r="AK110" s="48" t="str">
        <f ca="1">IFERROR(INDEX(_TECH_Initiative_Library!$AE$5:$AE$76,MATCH(1,INDEX((_TECH_Initiative_Library!$B$5:$B$76=$C110)*(_TECH_Initiative_Library!$C$5:$C$76=$D110),0),0)),"")</f>
        <v/>
      </c>
      <c r="AL110" s="48" t="str">
        <f>IF($B110="Yes",IFERROR(SUMIFS(_TECH_Industry_Templates!$E:$E,_TECH_Industry_Templates!$A:$A,'Company Profile'!$B$9,_TECH_Industry_Templates!$B:$B,$C110),1),"")</f>
        <v/>
      </c>
      <c r="AM110" s="48" t="str">
        <f t="shared" si="19"/>
        <v/>
      </c>
      <c r="AN110" s="48" t="str">
        <f>IF($AM110="","",RANK.EQ($AM110,$AM$8:$AM$414,0)+COUNTIF($AM$8:$AM110,$AM110)-1)</f>
        <v/>
      </c>
    </row>
    <row r="111" spans="1:40" ht="71.25">
      <c r="A111" s="28" t="str">
        <f>IF($AM111="","",RANK.EQ($AM111,$AM$8:$AM$414,0)+COUNTIF($AM$8:$AM111,$AM111)-1)</f>
        <v/>
      </c>
      <c r="B111" s="7" t="str">
        <f t="shared" si="10"/>
        <v/>
      </c>
      <c r="C111" s="7" t="s">
        <v>66</v>
      </c>
      <c r="D111" s="7" t="s">
        <v>1158</v>
      </c>
      <c r="E111" s="7" t="s">
        <v>2908</v>
      </c>
      <c r="F111" s="7" t="s">
        <v>2909</v>
      </c>
      <c r="G111" s="28" t="str">
        <f>IF(OR(COUNTA('Finance Procurement'!$H$21)=0,'Finance Procurement'!$H$21="N/A"),"",VALUE('Finance Procurement'!$H$21))</f>
        <v/>
      </c>
      <c r="H111" s="7" t="str">
        <f t="shared" si="11"/>
        <v/>
      </c>
      <c r="I111" s="7" t="str">
        <f>IF($G111="","",IFERROR(IF('Finance Procurement'!$L$21="",IF($G111&lt;=1,"Critical",IF($G111=2,"High",IF($G111=3,"Medium",IF($G111=4,"Low","Optimized")))),'Finance Procurement'!$L$21),IF($G111&lt;=1,"Critical",IF($G111=2,"High",IF($G111=3,"Medium",IF($G111=4,"Low","Optimized"))))))</f>
        <v/>
      </c>
      <c r="J111" s="7" t="str">
        <f>IF($G111="","",IFERROR(INDEX('Recommendation Matrix'!$E$5:$J$411,MATCH($E111,'Recommendation Matrix'!$A$5:$A$411,0),$G111+1),""))</f>
        <v/>
      </c>
      <c r="K111" s="7" t="str">
        <f>IF($G111="","",IFERROR(VLOOKUP($E111,'Recommendation Matrix'!$A$5:$K$411,11,FALSE),""))</f>
        <v/>
      </c>
      <c r="L111" s="28" t="str">
        <f t="shared" si="12"/>
        <v/>
      </c>
      <c r="M111" s="28" t="str">
        <f>IF($G111="","",IFERROR(INDEX('Recommendation Matrix'!$L$5:$Q$411,MATCH($E111,'Recommendation Matrix'!$A$5:$A$411,0),$G111+1),""))</f>
        <v/>
      </c>
      <c r="N111" s="28" t="str">
        <f t="shared" si="13"/>
        <v/>
      </c>
      <c r="O111" s="28" t="str">
        <f t="shared" si="14"/>
        <v/>
      </c>
      <c r="P111" s="28" t="str">
        <f t="shared" si="15"/>
        <v/>
      </c>
      <c r="Q111" s="28" t="str">
        <f t="shared" si="16"/>
        <v/>
      </c>
      <c r="R111" s="8" t="str">
        <f t="shared" si="17"/>
        <v/>
      </c>
      <c r="S111" s="28">
        <f>IFERROR('Finance Procurement'!$G$21,"")</f>
        <v>5</v>
      </c>
      <c r="T111" s="28">
        <f>IFERROR('Finance Procurement'!$W$21,"")</f>
        <v>5</v>
      </c>
      <c r="U111" s="28">
        <f>IFERROR('Finance Procurement'!$X$21,"")</f>
        <v>5</v>
      </c>
      <c r="V111" s="28">
        <f>IFERROR('Finance Procurement'!$Y$21,"")</f>
        <v>5</v>
      </c>
      <c r="W111" s="7" t="s">
        <v>2755</v>
      </c>
      <c r="X111" s="7" t="s">
        <v>2756</v>
      </c>
      <c r="Y111" s="7" t="s">
        <v>2910</v>
      </c>
      <c r="Z111" s="7">
        <f>IFERROR('Finance Procurement'!$U$21,"")</f>
        <v>0</v>
      </c>
      <c r="AA111" s="7"/>
      <c r="AB111" s="29"/>
      <c r="AC111" s="7"/>
      <c r="AD111" s="48" t="str">
        <f>IF($B111="Yes",IFERROR(SUMIFS(_TECH_Crisis_Model!$D$5:$D$191,_TECH_Crisis_Model!$A$5:$A$191,'Crisis Simulator'!$B$4,_TECH_Crisis_Model!$B$5:$B$191,$C111),1),"")</f>
        <v/>
      </c>
      <c r="AE111" s="48" t="str">
        <f t="shared" si="18"/>
        <v/>
      </c>
      <c r="AF111" s="48" t="str">
        <f>IFERROR(INDEX(_TECH_Crisis_Model!$E$5:$E$191,MATCH('Crisis Simulator'!$B$4&amp;"|"&amp;$C111,_TECH_Crisis_Model!$I$5:$I$191,0)),"")</f>
        <v>Cash control, supplier payments and procurement discipline determine financial survival and response options.</v>
      </c>
      <c r="AG111" s="48" t="str">
        <f>IFERROR(INDEX(_TECH_Crisis_Model!$G$5:$G$191,MATCH('Crisis Simulator'!$B$4&amp;"|"&amp;$C111,_TECH_Crisis_Model!$I$5:$I$191,0)),"")</f>
        <v>Build cash stress testing, payment prioritization, supplier risk review and procurement controls.</v>
      </c>
      <c r="AH111" s="48" t="str">
        <f>IFERROR(INDEX(_TECH_Initiative_Library!$A$5:$A$76,MATCH(1,INDEX((_TECH_Initiative_Library!$B$5:$B$76=$C111)*(_TECH_Initiative_Library!$C$5:$C$76=$D111),0),0)),"")</f>
        <v>INI-017</v>
      </c>
      <c r="AI111" s="48" t="str">
        <f>IFERROR(INDEX(_TECH_Initiative_Library!$F$5:$F$76,MATCH(1,INDEX((_TECH_Initiative_Library!$B$5:$B$76=$C111)*(_TECH_Initiative_Library!$C$5:$C$76=$D111),0),0)),"")</f>
        <v>Build resilient procurement governance and supplier risk controls</v>
      </c>
      <c r="AJ111" s="48" t="str">
        <f ca="1">IFERROR(INDEX(_TECH_Initiative_Library!$AC$5:$AC$76,MATCH(1,INDEX((_TECH_Initiative_Library!$B$5:$B$76=$C111)*(_TECH_Initiative_Library!$C$5:$C$76=$D111),0),0)),"")</f>
        <v/>
      </c>
      <c r="AK111" s="48" t="str">
        <f ca="1">IFERROR(INDEX(_TECH_Initiative_Library!$AE$5:$AE$76,MATCH(1,INDEX((_TECH_Initiative_Library!$B$5:$B$76=$C111)*(_TECH_Initiative_Library!$C$5:$C$76=$D111),0),0)),"")</f>
        <v/>
      </c>
      <c r="AL111" s="48" t="str">
        <f>IF($B111="Yes",IFERROR(SUMIFS(_TECH_Industry_Templates!$E:$E,_TECH_Industry_Templates!$A:$A,'Company Profile'!$B$9,_TECH_Industry_Templates!$B:$B,$C111),1),"")</f>
        <v/>
      </c>
      <c r="AM111" s="48" t="str">
        <f t="shared" si="19"/>
        <v/>
      </c>
      <c r="AN111" s="48" t="str">
        <f>IF($AM111="","",RANK.EQ($AM111,$AM$8:$AM$414,0)+COUNTIF($AM$8:$AM111,$AM111)-1)</f>
        <v/>
      </c>
    </row>
    <row r="112" spans="1:40" ht="71.25">
      <c r="A112" s="28" t="str">
        <f>IF($AM112="","",RANK.EQ($AM112,$AM$8:$AM$414,0)+COUNTIF($AM$8:$AM112,$AM112)-1)</f>
        <v/>
      </c>
      <c r="B112" s="7" t="str">
        <f t="shared" si="10"/>
        <v/>
      </c>
      <c r="C112" s="7" t="s">
        <v>66</v>
      </c>
      <c r="D112" s="7" t="s">
        <v>1158</v>
      </c>
      <c r="E112" s="7" t="s">
        <v>2918</v>
      </c>
      <c r="F112" s="7" t="s">
        <v>2919</v>
      </c>
      <c r="G112" s="28" t="str">
        <f>IF(OR(COUNTA('Finance Procurement'!$H$22)=0,'Finance Procurement'!$H$22="N/A"),"",VALUE('Finance Procurement'!$H$22))</f>
        <v/>
      </c>
      <c r="H112" s="7" t="str">
        <f t="shared" si="11"/>
        <v/>
      </c>
      <c r="I112" s="7" t="str">
        <f>IF($G112="","",IFERROR(IF('Finance Procurement'!$L$22="",IF($G112&lt;=1,"Critical",IF($G112=2,"High",IF($G112=3,"Medium",IF($G112=4,"Low","Optimized")))),'Finance Procurement'!$L$22),IF($G112&lt;=1,"Critical",IF($G112=2,"High",IF($G112=3,"Medium",IF($G112=4,"Low","Optimized"))))))</f>
        <v/>
      </c>
      <c r="J112" s="7" t="str">
        <f>IF($G112="","",IFERROR(INDEX('Recommendation Matrix'!$E$5:$J$411,MATCH($E112,'Recommendation Matrix'!$A$5:$A$411,0),$G112+1),""))</f>
        <v/>
      </c>
      <c r="K112" s="7" t="str">
        <f>IF($G112="","",IFERROR(VLOOKUP($E112,'Recommendation Matrix'!$A$5:$K$411,11,FALSE),""))</f>
        <v/>
      </c>
      <c r="L112" s="28" t="str">
        <f t="shared" si="12"/>
        <v/>
      </c>
      <c r="M112" s="28" t="str">
        <f>IF($G112="","",IFERROR(INDEX('Recommendation Matrix'!$L$5:$Q$411,MATCH($E112,'Recommendation Matrix'!$A$5:$A$411,0),$G112+1),""))</f>
        <v/>
      </c>
      <c r="N112" s="28" t="str">
        <f t="shared" si="13"/>
        <v/>
      </c>
      <c r="O112" s="28" t="str">
        <f t="shared" si="14"/>
        <v/>
      </c>
      <c r="P112" s="28" t="str">
        <f t="shared" si="15"/>
        <v/>
      </c>
      <c r="Q112" s="28" t="str">
        <f t="shared" si="16"/>
        <v/>
      </c>
      <c r="R112" s="8" t="str">
        <f t="shared" si="17"/>
        <v/>
      </c>
      <c r="S112" s="28">
        <f>IFERROR('Finance Procurement'!$G$22,"")</f>
        <v>3</v>
      </c>
      <c r="T112" s="28">
        <f>IFERROR('Finance Procurement'!$W$22,"")</f>
        <v>4</v>
      </c>
      <c r="U112" s="28">
        <f>IFERROR('Finance Procurement'!$X$22,"")</f>
        <v>5</v>
      </c>
      <c r="V112" s="28">
        <f>IFERROR('Finance Procurement'!$Y$22,"")</f>
        <v>5</v>
      </c>
      <c r="W112" s="7" t="s">
        <v>2755</v>
      </c>
      <c r="X112" s="7" t="s">
        <v>2756</v>
      </c>
      <c r="Y112" s="7" t="s">
        <v>2920</v>
      </c>
      <c r="Z112" s="7">
        <f>IFERROR('Finance Procurement'!$U$22,"")</f>
        <v>0</v>
      </c>
      <c r="AA112" s="7"/>
      <c r="AB112" s="29"/>
      <c r="AC112" s="7"/>
      <c r="AD112" s="48" t="str">
        <f>IF($B112="Yes",IFERROR(SUMIFS(_TECH_Crisis_Model!$D$5:$D$191,_TECH_Crisis_Model!$A$5:$A$191,'Crisis Simulator'!$B$4,_TECH_Crisis_Model!$B$5:$B$191,$C112),1),"")</f>
        <v/>
      </c>
      <c r="AE112" s="48" t="str">
        <f t="shared" si="18"/>
        <v/>
      </c>
      <c r="AF112" s="48" t="str">
        <f>IFERROR(INDEX(_TECH_Crisis_Model!$E$5:$E$191,MATCH('Crisis Simulator'!$B$4&amp;"|"&amp;$C112,_TECH_Crisis_Model!$I$5:$I$191,0)),"")</f>
        <v>Cash control, supplier payments and procurement discipline determine financial survival and response options.</v>
      </c>
      <c r="AG112" s="48" t="str">
        <f>IFERROR(INDEX(_TECH_Crisis_Model!$G$5:$G$191,MATCH('Crisis Simulator'!$B$4&amp;"|"&amp;$C112,_TECH_Crisis_Model!$I$5:$I$191,0)),"")</f>
        <v>Build cash stress testing, payment prioritization, supplier risk review and procurement controls.</v>
      </c>
      <c r="AH112" s="48" t="str">
        <f>IFERROR(INDEX(_TECH_Initiative_Library!$A$5:$A$76,MATCH(1,INDEX((_TECH_Initiative_Library!$B$5:$B$76=$C112)*(_TECH_Initiative_Library!$C$5:$C$76=$D112),0),0)),"")</f>
        <v>INI-017</v>
      </c>
      <c r="AI112" s="48" t="str">
        <f>IFERROR(INDEX(_TECH_Initiative_Library!$F$5:$F$76,MATCH(1,INDEX((_TECH_Initiative_Library!$B$5:$B$76=$C112)*(_TECH_Initiative_Library!$C$5:$C$76=$D112),0),0)),"")</f>
        <v>Build resilient procurement governance and supplier risk controls</v>
      </c>
      <c r="AJ112" s="48" t="str">
        <f ca="1">IFERROR(INDEX(_TECH_Initiative_Library!$AC$5:$AC$76,MATCH(1,INDEX((_TECH_Initiative_Library!$B$5:$B$76=$C112)*(_TECH_Initiative_Library!$C$5:$C$76=$D112),0),0)),"")</f>
        <v/>
      </c>
      <c r="AK112" s="48" t="str">
        <f ca="1">IFERROR(INDEX(_TECH_Initiative_Library!$AE$5:$AE$76,MATCH(1,INDEX((_TECH_Initiative_Library!$B$5:$B$76=$C112)*(_TECH_Initiative_Library!$C$5:$C$76=$D112),0),0)),"")</f>
        <v/>
      </c>
      <c r="AL112" s="48" t="str">
        <f>IF($B112="Yes",IFERROR(SUMIFS(_TECH_Industry_Templates!$E:$E,_TECH_Industry_Templates!$A:$A,'Company Profile'!$B$9,_TECH_Industry_Templates!$B:$B,$C112),1),"")</f>
        <v/>
      </c>
      <c r="AM112" s="48" t="str">
        <f t="shared" si="19"/>
        <v/>
      </c>
      <c r="AN112" s="48" t="str">
        <f>IF($AM112="","",RANK.EQ($AM112,$AM$8:$AM$414,0)+COUNTIF($AM$8:$AM112,$AM112)-1)</f>
        <v/>
      </c>
    </row>
    <row r="113" spans="1:40" ht="71.25">
      <c r="A113" s="28" t="str">
        <f>IF($AM113="","",RANK.EQ($AM113,$AM$8:$AM$414,0)+COUNTIF($AM$8:$AM113,$AM113)-1)</f>
        <v/>
      </c>
      <c r="B113" s="7" t="str">
        <f t="shared" si="10"/>
        <v/>
      </c>
      <c r="C113" s="7" t="s">
        <v>66</v>
      </c>
      <c r="D113" s="7" t="s">
        <v>1158</v>
      </c>
      <c r="E113" s="7" t="s">
        <v>2928</v>
      </c>
      <c r="F113" s="7" t="s">
        <v>2929</v>
      </c>
      <c r="G113" s="28" t="str">
        <f>IF(OR(COUNTA('Finance Procurement'!$H$23)=0,'Finance Procurement'!$H$23="N/A"),"",VALUE('Finance Procurement'!$H$23))</f>
        <v/>
      </c>
      <c r="H113" s="7" t="str">
        <f t="shared" si="11"/>
        <v/>
      </c>
      <c r="I113" s="7" t="str">
        <f>IF($G113="","",IFERROR(IF('Finance Procurement'!$L$23="",IF($G113&lt;=1,"Critical",IF($G113=2,"High",IF($G113=3,"Medium",IF($G113=4,"Low","Optimized")))),'Finance Procurement'!$L$23),IF($G113&lt;=1,"Critical",IF($G113=2,"High",IF($G113=3,"Medium",IF($G113=4,"Low","Optimized"))))))</f>
        <v/>
      </c>
      <c r="J113" s="7" t="str">
        <f>IF($G113="","",IFERROR(INDEX('Recommendation Matrix'!$E$5:$J$411,MATCH($E113,'Recommendation Matrix'!$A$5:$A$411,0),$G113+1),""))</f>
        <v/>
      </c>
      <c r="K113" s="7" t="str">
        <f>IF($G113="","",IFERROR(VLOOKUP($E113,'Recommendation Matrix'!$A$5:$K$411,11,FALSE),""))</f>
        <v/>
      </c>
      <c r="L113" s="28" t="str">
        <f t="shared" si="12"/>
        <v/>
      </c>
      <c r="M113" s="28" t="str">
        <f>IF($G113="","",IFERROR(INDEX('Recommendation Matrix'!$L$5:$Q$411,MATCH($E113,'Recommendation Matrix'!$A$5:$A$411,0),$G113+1),""))</f>
        <v/>
      </c>
      <c r="N113" s="28" t="str">
        <f t="shared" si="13"/>
        <v/>
      </c>
      <c r="O113" s="28" t="str">
        <f t="shared" si="14"/>
        <v/>
      </c>
      <c r="P113" s="28" t="str">
        <f t="shared" si="15"/>
        <v/>
      </c>
      <c r="Q113" s="28" t="str">
        <f t="shared" si="16"/>
        <v/>
      </c>
      <c r="R113" s="8" t="str">
        <f t="shared" si="17"/>
        <v/>
      </c>
      <c r="S113" s="28">
        <f>IFERROR('Finance Procurement'!$G$23,"")</f>
        <v>5</v>
      </c>
      <c r="T113" s="28">
        <f>IFERROR('Finance Procurement'!$W$23,"")</f>
        <v>4</v>
      </c>
      <c r="U113" s="28">
        <f>IFERROR('Finance Procurement'!$X$23,"")</f>
        <v>5</v>
      </c>
      <c r="V113" s="28">
        <f>IFERROR('Finance Procurement'!$Y$23,"")</f>
        <v>5</v>
      </c>
      <c r="W113" s="7" t="s">
        <v>2755</v>
      </c>
      <c r="X113" s="7" t="s">
        <v>2756</v>
      </c>
      <c r="Y113" s="7" t="s">
        <v>2930</v>
      </c>
      <c r="Z113" s="7">
        <f>IFERROR('Finance Procurement'!$U$23,"")</f>
        <v>0</v>
      </c>
      <c r="AA113" s="7"/>
      <c r="AB113" s="29"/>
      <c r="AC113" s="7"/>
      <c r="AD113" s="48" t="str">
        <f>IF($B113="Yes",IFERROR(SUMIFS(_TECH_Crisis_Model!$D$5:$D$191,_TECH_Crisis_Model!$A$5:$A$191,'Crisis Simulator'!$B$4,_TECH_Crisis_Model!$B$5:$B$191,$C113),1),"")</f>
        <v/>
      </c>
      <c r="AE113" s="48" t="str">
        <f t="shared" si="18"/>
        <v/>
      </c>
      <c r="AF113" s="48" t="str">
        <f>IFERROR(INDEX(_TECH_Crisis_Model!$E$5:$E$191,MATCH('Crisis Simulator'!$B$4&amp;"|"&amp;$C113,_TECH_Crisis_Model!$I$5:$I$191,0)),"")</f>
        <v>Cash control, supplier payments and procurement discipline determine financial survival and response options.</v>
      </c>
      <c r="AG113" s="48" t="str">
        <f>IFERROR(INDEX(_TECH_Crisis_Model!$G$5:$G$191,MATCH('Crisis Simulator'!$B$4&amp;"|"&amp;$C113,_TECH_Crisis_Model!$I$5:$I$191,0)),"")</f>
        <v>Build cash stress testing, payment prioritization, supplier risk review and procurement controls.</v>
      </c>
      <c r="AH113" s="48" t="str">
        <f>IFERROR(INDEX(_TECH_Initiative_Library!$A$5:$A$76,MATCH(1,INDEX((_TECH_Initiative_Library!$B$5:$B$76=$C113)*(_TECH_Initiative_Library!$C$5:$C$76=$D113),0),0)),"")</f>
        <v>INI-017</v>
      </c>
      <c r="AI113" s="48" t="str">
        <f>IFERROR(INDEX(_TECH_Initiative_Library!$F$5:$F$76,MATCH(1,INDEX((_TECH_Initiative_Library!$B$5:$B$76=$C113)*(_TECH_Initiative_Library!$C$5:$C$76=$D113),0),0)),"")</f>
        <v>Build resilient procurement governance and supplier risk controls</v>
      </c>
      <c r="AJ113" s="48" t="str">
        <f ca="1">IFERROR(INDEX(_TECH_Initiative_Library!$AC$5:$AC$76,MATCH(1,INDEX((_TECH_Initiative_Library!$B$5:$B$76=$C113)*(_TECH_Initiative_Library!$C$5:$C$76=$D113),0),0)),"")</f>
        <v/>
      </c>
      <c r="AK113" s="48" t="str">
        <f ca="1">IFERROR(INDEX(_TECH_Initiative_Library!$AE$5:$AE$76,MATCH(1,INDEX((_TECH_Initiative_Library!$B$5:$B$76=$C113)*(_TECH_Initiative_Library!$C$5:$C$76=$D113),0),0)),"")</f>
        <v/>
      </c>
      <c r="AL113" s="48" t="str">
        <f>IF($B113="Yes",IFERROR(SUMIFS(_TECH_Industry_Templates!$E:$E,_TECH_Industry_Templates!$A:$A,'Company Profile'!$B$9,_TECH_Industry_Templates!$B:$B,$C113),1),"")</f>
        <v/>
      </c>
      <c r="AM113" s="48" t="str">
        <f t="shared" si="19"/>
        <v/>
      </c>
      <c r="AN113" s="48" t="str">
        <f>IF($AM113="","",RANK.EQ($AM113,$AM$8:$AM$414,0)+COUNTIF($AM$8:$AM113,$AM113)-1)</f>
        <v/>
      </c>
    </row>
    <row r="114" spans="1:40" ht="71.25">
      <c r="A114" s="28" t="str">
        <f>IF($AM114="","",RANK.EQ($AM114,$AM$8:$AM$414,0)+COUNTIF($AM$8:$AM114,$AM114)-1)</f>
        <v/>
      </c>
      <c r="B114" s="7" t="str">
        <f t="shared" si="10"/>
        <v/>
      </c>
      <c r="C114" s="7" t="s">
        <v>66</v>
      </c>
      <c r="D114" s="7" t="s">
        <v>1169</v>
      </c>
      <c r="E114" s="7" t="s">
        <v>2938</v>
      </c>
      <c r="F114" s="7" t="s">
        <v>2939</v>
      </c>
      <c r="G114" s="28" t="str">
        <f>IF(OR(COUNTA('Finance Procurement'!$H$24)=0,'Finance Procurement'!$H$24="N/A"),"",VALUE('Finance Procurement'!$H$24))</f>
        <v/>
      </c>
      <c r="H114" s="7" t="str">
        <f t="shared" si="11"/>
        <v/>
      </c>
      <c r="I114" s="7" t="str">
        <f>IF($G114="","",IFERROR(IF('Finance Procurement'!$L$24="",IF($G114&lt;=1,"Critical",IF($G114=2,"High",IF($G114=3,"Medium",IF($G114=4,"Low","Optimized")))),'Finance Procurement'!$L$24),IF($G114&lt;=1,"Critical",IF($G114=2,"High",IF($G114=3,"Medium",IF($G114=4,"Low","Optimized"))))))</f>
        <v/>
      </c>
      <c r="J114" s="7" t="str">
        <f>IF($G114="","",IFERROR(INDEX('Recommendation Matrix'!$E$5:$J$411,MATCH($E114,'Recommendation Matrix'!$A$5:$A$411,0),$G114+1),""))</f>
        <v/>
      </c>
      <c r="K114" s="7" t="str">
        <f>IF($G114="","",IFERROR(VLOOKUP($E114,'Recommendation Matrix'!$A$5:$K$411,11,FALSE),""))</f>
        <v/>
      </c>
      <c r="L114" s="28" t="str">
        <f t="shared" si="12"/>
        <v/>
      </c>
      <c r="M114" s="28" t="str">
        <f>IF($G114="","",IFERROR(INDEX('Recommendation Matrix'!$L$5:$Q$411,MATCH($E114,'Recommendation Matrix'!$A$5:$A$411,0),$G114+1),""))</f>
        <v/>
      </c>
      <c r="N114" s="28" t="str">
        <f t="shared" si="13"/>
        <v/>
      </c>
      <c r="O114" s="28" t="str">
        <f t="shared" si="14"/>
        <v/>
      </c>
      <c r="P114" s="28" t="str">
        <f t="shared" si="15"/>
        <v/>
      </c>
      <c r="Q114" s="28" t="str">
        <f t="shared" si="16"/>
        <v/>
      </c>
      <c r="R114" s="8" t="str">
        <f t="shared" si="17"/>
        <v/>
      </c>
      <c r="S114" s="28">
        <f>IFERROR('Finance Procurement'!$G$24,"")</f>
        <v>4</v>
      </c>
      <c r="T114" s="28">
        <f>IFERROR('Finance Procurement'!$W$24,"")</f>
        <v>4</v>
      </c>
      <c r="U114" s="28">
        <f>IFERROR('Finance Procurement'!$X$24,"")</f>
        <v>5</v>
      </c>
      <c r="V114" s="28">
        <f>IFERROR('Finance Procurement'!$Y$24,"")</f>
        <v>5</v>
      </c>
      <c r="W114" s="7" t="s">
        <v>2755</v>
      </c>
      <c r="X114" s="7" t="s">
        <v>2756</v>
      </c>
      <c r="Y114" s="7" t="s">
        <v>2940</v>
      </c>
      <c r="Z114" s="7">
        <f>IFERROR('Finance Procurement'!$U$24,"")</f>
        <v>0</v>
      </c>
      <c r="AA114" s="7"/>
      <c r="AB114" s="29"/>
      <c r="AC114" s="7"/>
      <c r="AD114" s="48" t="str">
        <f>IF($B114="Yes",IFERROR(SUMIFS(_TECH_Crisis_Model!$D$5:$D$191,_TECH_Crisis_Model!$A$5:$A$191,'Crisis Simulator'!$B$4,_TECH_Crisis_Model!$B$5:$B$191,$C114),1),"")</f>
        <v/>
      </c>
      <c r="AE114" s="48" t="str">
        <f t="shared" si="18"/>
        <v/>
      </c>
      <c r="AF114" s="48" t="str">
        <f>IFERROR(INDEX(_TECH_Crisis_Model!$E$5:$E$191,MATCH('Crisis Simulator'!$B$4&amp;"|"&amp;$C114,_TECH_Crisis_Model!$I$5:$I$191,0)),"")</f>
        <v>Cash control, supplier payments and procurement discipline determine financial survival and response options.</v>
      </c>
      <c r="AG114" s="48" t="str">
        <f>IFERROR(INDEX(_TECH_Crisis_Model!$G$5:$G$191,MATCH('Crisis Simulator'!$B$4&amp;"|"&amp;$C114,_TECH_Crisis_Model!$I$5:$I$191,0)),"")</f>
        <v>Build cash stress testing, payment prioritization, supplier risk review and procurement controls.</v>
      </c>
      <c r="AH114" s="48" t="str">
        <f>IFERROR(INDEX(_TECH_Initiative_Library!$A$5:$A$76,MATCH(1,INDEX((_TECH_Initiative_Library!$B$5:$B$76=$C114)*(_TECH_Initiative_Library!$C$5:$C$76=$D114),0),0)),"")</f>
        <v>INI-018</v>
      </c>
      <c r="AI114" s="48" t="str">
        <f>IFERROR(INDEX(_TECH_Initiative_Library!$F$5:$F$76,MATCH(1,INDEX((_TECH_Initiative_Library!$B$5:$B$76=$C114)*(_TECH_Initiative_Library!$C$5:$C$76=$D114),0),0)),"")</f>
        <v>Optimize working capital and liquidity early-warning controls</v>
      </c>
      <c r="AJ114" s="48" t="str">
        <f ca="1">IFERROR(INDEX(_TECH_Initiative_Library!$AC$5:$AC$76,MATCH(1,INDEX((_TECH_Initiative_Library!$B$5:$B$76=$C114)*(_TECH_Initiative_Library!$C$5:$C$76=$D114),0),0)),"")</f>
        <v/>
      </c>
      <c r="AK114" s="48" t="str">
        <f ca="1">IFERROR(INDEX(_TECH_Initiative_Library!$AE$5:$AE$76,MATCH(1,INDEX((_TECH_Initiative_Library!$B$5:$B$76=$C114)*(_TECH_Initiative_Library!$C$5:$C$76=$D114),0),0)),"")</f>
        <v/>
      </c>
      <c r="AL114" s="48" t="str">
        <f>IF($B114="Yes",IFERROR(SUMIFS(_TECH_Industry_Templates!$E:$E,_TECH_Industry_Templates!$A:$A,'Company Profile'!$B$9,_TECH_Industry_Templates!$B:$B,$C114),1),"")</f>
        <v/>
      </c>
      <c r="AM114" s="48" t="str">
        <f t="shared" si="19"/>
        <v/>
      </c>
      <c r="AN114" s="48" t="str">
        <f>IF($AM114="","",RANK.EQ($AM114,$AM$8:$AM$414,0)+COUNTIF($AM$8:$AM114,$AM114)-1)</f>
        <v/>
      </c>
    </row>
    <row r="115" spans="1:40" ht="57">
      <c r="A115" s="28" t="str">
        <f>IF($AM115="","",RANK.EQ($AM115,$AM$8:$AM$414,0)+COUNTIF($AM$8:$AM115,$AM115)-1)</f>
        <v/>
      </c>
      <c r="B115" s="7" t="str">
        <f t="shared" si="10"/>
        <v/>
      </c>
      <c r="C115" s="7" t="s">
        <v>66</v>
      </c>
      <c r="D115" s="7" t="s">
        <v>1169</v>
      </c>
      <c r="E115" s="7" t="s">
        <v>2948</v>
      </c>
      <c r="F115" s="7" t="s">
        <v>2949</v>
      </c>
      <c r="G115" s="28" t="str">
        <f>IF(OR(COUNTA('Finance Procurement'!$H$25)=0,'Finance Procurement'!$H$25="N/A"),"",VALUE('Finance Procurement'!$H$25))</f>
        <v/>
      </c>
      <c r="H115" s="7" t="str">
        <f t="shared" si="11"/>
        <v/>
      </c>
      <c r="I115" s="7" t="str">
        <f>IF($G115="","",IFERROR(IF('Finance Procurement'!$L$25="",IF($G115&lt;=1,"Critical",IF($G115=2,"High",IF($G115=3,"Medium",IF($G115=4,"Low","Optimized")))),'Finance Procurement'!$L$25),IF($G115&lt;=1,"Critical",IF($G115=2,"High",IF($G115=3,"Medium",IF($G115=4,"Low","Optimized"))))))</f>
        <v/>
      </c>
      <c r="J115" s="7" t="str">
        <f>IF($G115="","",IFERROR(INDEX('Recommendation Matrix'!$E$5:$J$411,MATCH($E115,'Recommendation Matrix'!$A$5:$A$411,0),$G115+1),""))</f>
        <v/>
      </c>
      <c r="K115" s="7" t="str">
        <f>IF($G115="","",IFERROR(VLOOKUP($E115,'Recommendation Matrix'!$A$5:$K$411,11,FALSE),""))</f>
        <v/>
      </c>
      <c r="L115" s="28" t="str">
        <f t="shared" si="12"/>
        <v/>
      </c>
      <c r="M115" s="28" t="str">
        <f>IF($G115="","",IFERROR(INDEX('Recommendation Matrix'!$L$5:$Q$411,MATCH($E115,'Recommendation Matrix'!$A$5:$A$411,0),$G115+1),""))</f>
        <v/>
      </c>
      <c r="N115" s="28" t="str">
        <f t="shared" si="13"/>
        <v/>
      </c>
      <c r="O115" s="28" t="str">
        <f t="shared" si="14"/>
        <v/>
      </c>
      <c r="P115" s="28" t="str">
        <f t="shared" si="15"/>
        <v/>
      </c>
      <c r="Q115" s="28" t="str">
        <f t="shared" si="16"/>
        <v/>
      </c>
      <c r="R115" s="8" t="str">
        <f t="shared" si="17"/>
        <v/>
      </c>
      <c r="S115" s="28">
        <f>IFERROR('Finance Procurement'!$G$25,"")</f>
        <v>5</v>
      </c>
      <c r="T115" s="28">
        <f>IFERROR('Finance Procurement'!$W$25,"")</f>
        <v>4</v>
      </c>
      <c r="U115" s="28">
        <f>IFERROR('Finance Procurement'!$X$25,"")</f>
        <v>5</v>
      </c>
      <c r="V115" s="28">
        <f>IFERROR('Finance Procurement'!$Y$25,"")</f>
        <v>5</v>
      </c>
      <c r="W115" s="7" t="s">
        <v>2755</v>
      </c>
      <c r="X115" s="7" t="s">
        <v>2756</v>
      </c>
      <c r="Y115" s="7" t="s">
        <v>2950</v>
      </c>
      <c r="Z115" s="7">
        <f>IFERROR('Finance Procurement'!$U$25,"")</f>
        <v>0</v>
      </c>
      <c r="AA115" s="7"/>
      <c r="AB115" s="29"/>
      <c r="AC115" s="7"/>
      <c r="AD115" s="48" t="str">
        <f>IF($B115="Yes",IFERROR(SUMIFS(_TECH_Crisis_Model!$D$5:$D$191,_TECH_Crisis_Model!$A$5:$A$191,'Crisis Simulator'!$B$4,_TECH_Crisis_Model!$B$5:$B$191,$C115),1),"")</f>
        <v/>
      </c>
      <c r="AE115" s="48" t="str">
        <f t="shared" si="18"/>
        <v/>
      </c>
      <c r="AF115" s="48" t="str">
        <f>IFERROR(INDEX(_TECH_Crisis_Model!$E$5:$E$191,MATCH('Crisis Simulator'!$B$4&amp;"|"&amp;$C115,_TECH_Crisis_Model!$I$5:$I$191,0)),"")</f>
        <v>Cash control, supplier payments and procurement discipline determine financial survival and response options.</v>
      </c>
      <c r="AG115" s="48" t="str">
        <f>IFERROR(INDEX(_TECH_Crisis_Model!$G$5:$G$191,MATCH('Crisis Simulator'!$B$4&amp;"|"&amp;$C115,_TECH_Crisis_Model!$I$5:$I$191,0)),"")</f>
        <v>Build cash stress testing, payment prioritization, supplier risk review and procurement controls.</v>
      </c>
      <c r="AH115" s="48" t="str">
        <f>IFERROR(INDEX(_TECH_Initiative_Library!$A$5:$A$76,MATCH(1,INDEX((_TECH_Initiative_Library!$B$5:$B$76=$C115)*(_TECH_Initiative_Library!$C$5:$C$76=$D115),0),0)),"")</f>
        <v>INI-018</v>
      </c>
      <c r="AI115" s="48" t="str">
        <f>IFERROR(INDEX(_TECH_Initiative_Library!$F$5:$F$76,MATCH(1,INDEX((_TECH_Initiative_Library!$B$5:$B$76=$C115)*(_TECH_Initiative_Library!$C$5:$C$76=$D115),0),0)),"")</f>
        <v>Optimize working capital and liquidity early-warning controls</v>
      </c>
      <c r="AJ115" s="48" t="str">
        <f ca="1">IFERROR(INDEX(_TECH_Initiative_Library!$AC$5:$AC$76,MATCH(1,INDEX((_TECH_Initiative_Library!$B$5:$B$76=$C115)*(_TECH_Initiative_Library!$C$5:$C$76=$D115),0),0)),"")</f>
        <v/>
      </c>
      <c r="AK115" s="48" t="str">
        <f ca="1">IFERROR(INDEX(_TECH_Initiative_Library!$AE$5:$AE$76,MATCH(1,INDEX((_TECH_Initiative_Library!$B$5:$B$76=$C115)*(_TECH_Initiative_Library!$C$5:$C$76=$D115),0),0)),"")</f>
        <v/>
      </c>
      <c r="AL115" s="48" t="str">
        <f>IF($B115="Yes",IFERROR(SUMIFS(_TECH_Industry_Templates!$E:$E,_TECH_Industry_Templates!$A:$A,'Company Profile'!$B$9,_TECH_Industry_Templates!$B:$B,$C115),1),"")</f>
        <v/>
      </c>
      <c r="AM115" s="48" t="str">
        <f t="shared" si="19"/>
        <v/>
      </c>
      <c r="AN115" s="48" t="str">
        <f>IF($AM115="","",RANK.EQ($AM115,$AM$8:$AM$414,0)+COUNTIF($AM$8:$AM115,$AM115)-1)</f>
        <v/>
      </c>
    </row>
    <row r="116" spans="1:40" ht="71.25">
      <c r="A116" s="28" t="str">
        <f>IF($AM116="","",RANK.EQ($AM116,$AM$8:$AM$414,0)+COUNTIF($AM$8:$AM116,$AM116)-1)</f>
        <v/>
      </c>
      <c r="B116" s="7" t="str">
        <f t="shared" si="10"/>
        <v/>
      </c>
      <c r="C116" s="7" t="s">
        <v>66</v>
      </c>
      <c r="D116" s="7" t="s">
        <v>1169</v>
      </c>
      <c r="E116" s="7" t="s">
        <v>2958</v>
      </c>
      <c r="F116" s="7" t="s">
        <v>2959</v>
      </c>
      <c r="G116" s="28" t="str">
        <f>IF(OR(COUNTA('Finance Procurement'!$H$26)=0,'Finance Procurement'!$H$26="N/A"),"",VALUE('Finance Procurement'!$H$26))</f>
        <v/>
      </c>
      <c r="H116" s="7" t="str">
        <f t="shared" si="11"/>
        <v/>
      </c>
      <c r="I116" s="7" t="str">
        <f>IF($G116="","",IFERROR(IF('Finance Procurement'!$L$26="",IF($G116&lt;=1,"Critical",IF($G116=2,"High",IF($G116=3,"Medium",IF($G116=4,"Low","Optimized")))),'Finance Procurement'!$L$26),IF($G116&lt;=1,"Critical",IF($G116=2,"High",IF($G116=3,"Medium",IF($G116=4,"Low","Optimized"))))))</f>
        <v/>
      </c>
      <c r="J116" s="7" t="str">
        <f>IF($G116="","",IFERROR(INDEX('Recommendation Matrix'!$E$5:$J$411,MATCH($E116,'Recommendation Matrix'!$A$5:$A$411,0),$G116+1),""))</f>
        <v/>
      </c>
      <c r="K116" s="7" t="str">
        <f>IF($G116="","",IFERROR(VLOOKUP($E116,'Recommendation Matrix'!$A$5:$K$411,11,FALSE),""))</f>
        <v/>
      </c>
      <c r="L116" s="28" t="str">
        <f t="shared" si="12"/>
        <v/>
      </c>
      <c r="M116" s="28" t="str">
        <f>IF($G116="","",IFERROR(INDEX('Recommendation Matrix'!$L$5:$Q$411,MATCH($E116,'Recommendation Matrix'!$A$5:$A$411,0),$G116+1),""))</f>
        <v/>
      </c>
      <c r="N116" s="28" t="str">
        <f t="shared" si="13"/>
        <v/>
      </c>
      <c r="O116" s="28" t="str">
        <f t="shared" si="14"/>
        <v/>
      </c>
      <c r="P116" s="28" t="str">
        <f t="shared" si="15"/>
        <v/>
      </c>
      <c r="Q116" s="28" t="str">
        <f t="shared" si="16"/>
        <v/>
      </c>
      <c r="R116" s="8" t="str">
        <f t="shared" si="17"/>
        <v/>
      </c>
      <c r="S116" s="28">
        <f>IFERROR('Finance Procurement'!$G$26,"")</f>
        <v>5</v>
      </c>
      <c r="T116" s="28">
        <f>IFERROR('Finance Procurement'!$W$26,"")</f>
        <v>5</v>
      </c>
      <c r="U116" s="28">
        <f>IFERROR('Finance Procurement'!$X$26,"")</f>
        <v>5</v>
      </c>
      <c r="V116" s="28">
        <f>IFERROR('Finance Procurement'!$Y$26,"")</f>
        <v>5</v>
      </c>
      <c r="W116" s="7" t="s">
        <v>2755</v>
      </c>
      <c r="X116" s="7" t="s">
        <v>2756</v>
      </c>
      <c r="Y116" s="7" t="s">
        <v>2960</v>
      </c>
      <c r="Z116" s="7">
        <f>IFERROR('Finance Procurement'!$U$26,"")</f>
        <v>0</v>
      </c>
      <c r="AA116" s="7"/>
      <c r="AB116" s="29"/>
      <c r="AC116" s="7"/>
      <c r="AD116" s="48" t="str">
        <f>IF($B116="Yes",IFERROR(SUMIFS(_TECH_Crisis_Model!$D$5:$D$191,_TECH_Crisis_Model!$A$5:$A$191,'Crisis Simulator'!$B$4,_TECH_Crisis_Model!$B$5:$B$191,$C116),1),"")</f>
        <v/>
      </c>
      <c r="AE116" s="48" t="str">
        <f t="shared" si="18"/>
        <v/>
      </c>
      <c r="AF116" s="48" t="str">
        <f>IFERROR(INDEX(_TECH_Crisis_Model!$E$5:$E$191,MATCH('Crisis Simulator'!$B$4&amp;"|"&amp;$C116,_TECH_Crisis_Model!$I$5:$I$191,0)),"")</f>
        <v>Cash control, supplier payments and procurement discipline determine financial survival and response options.</v>
      </c>
      <c r="AG116" s="48" t="str">
        <f>IFERROR(INDEX(_TECH_Crisis_Model!$G$5:$G$191,MATCH('Crisis Simulator'!$B$4&amp;"|"&amp;$C116,_TECH_Crisis_Model!$I$5:$I$191,0)),"")</f>
        <v>Build cash stress testing, payment prioritization, supplier risk review and procurement controls.</v>
      </c>
      <c r="AH116" s="48" t="str">
        <f>IFERROR(INDEX(_TECH_Initiative_Library!$A$5:$A$76,MATCH(1,INDEX((_TECH_Initiative_Library!$B$5:$B$76=$C116)*(_TECH_Initiative_Library!$C$5:$C$76=$D116),0),0)),"")</f>
        <v>INI-018</v>
      </c>
      <c r="AI116" s="48" t="str">
        <f>IFERROR(INDEX(_TECH_Initiative_Library!$F$5:$F$76,MATCH(1,INDEX((_TECH_Initiative_Library!$B$5:$B$76=$C116)*(_TECH_Initiative_Library!$C$5:$C$76=$D116),0),0)),"")</f>
        <v>Optimize working capital and liquidity early-warning controls</v>
      </c>
      <c r="AJ116" s="48" t="str">
        <f ca="1">IFERROR(INDEX(_TECH_Initiative_Library!$AC$5:$AC$76,MATCH(1,INDEX((_TECH_Initiative_Library!$B$5:$B$76=$C116)*(_TECH_Initiative_Library!$C$5:$C$76=$D116),0),0)),"")</f>
        <v/>
      </c>
      <c r="AK116" s="48" t="str">
        <f ca="1">IFERROR(INDEX(_TECH_Initiative_Library!$AE$5:$AE$76,MATCH(1,INDEX((_TECH_Initiative_Library!$B$5:$B$76=$C116)*(_TECH_Initiative_Library!$C$5:$C$76=$D116),0),0)),"")</f>
        <v/>
      </c>
      <c r="AL116" s="48" t="str">
        <f>IF($B116="Yes",IFERROR(SUMIFS(_TECH_Industry_Templates!$E:$E,_TECH_Industry_Templates!$A:$A,'Company Profile'!$B$9,_TECH_Industry_Templates!$B:$B,$C116),1),"")</f>
        <v/>
      </c>
      <c r="AM116" s="48" t="str">
        <f t="shared" si="19"/>
        <v/>
      </c>
      <c r="AN116" s="48" t="str">
        <f>IF($AM116="","",RANK.EQ($AM116,$AM$8:$AM$414,0)+COUNTIF($AM$8:$AM116,$AM116)-1)</f>
        <v/>
      </c>
    </row>
    <row r="117" spans="1:40" ht="71.25">
      <c r="A117" s="28" t="str">
        <f>IF($AM117="","",RANK.EQ($AM117,$AM$8:$AM$414,0)+COUNTIF($AM$8:$AM117,$AM117)-1)</f>
        <v/>
      </c>
      <c r="B117" s="7" t="str">
        <f t="shared" si="10"/>
        <v/>
      </c>
      <c r="C117" s="7" t="s">
        <v>66</v>
      </c>
      <c r="D117" s="7" t="s">
        <v>1169</v>
      </c>
      <c r="E117" s="7" t="s">
        <v>2968</v>
      </c>
      <c r="F117" s="7" t="s">
        <v>2969</v>
      </c>
      <c r="G117" s="28" t="str">
        <f>IF(OR(COUNTA('Finance Procurement'!$H$27)=0,'Finance Procurement'!$H$27="N/A"),"",VALUE('Finance Procurement'!$H$27))</f>
        <v/>
      </c>
      <c r="H117" s="7" t="str">
        <f t="shared" si="11"/>
        <v/>
      </c>
      <c r="I117" s="7" t="str">
        <f>IF($G117="","",IFERROR(IF('Finance Procurement'!$L$27="",IF($G117&lt;=1,"Critical",IF($G117=2,"High",IF($G117=3,"Medium",IF($G117=4,"Low","Optimized")))),'Finance Procurement'!$L$27),IF($G117&lt;=1,"Critical",IF($G117=2,"High",IF($G117=3,"Medium",IF($G117=4,"Low","Optimized"))))))</f>
        <v/>
      </c>
      <c r="J117" s="7" t="str">
        <f>IF($G117="","",IFERROR(INDEX('Recommendation Matrix'!$E$5:$J$411,MATCH($E117,'Recommendation Matrix'!$A$5:$A$411,0),$G117+1),""))</f>
        <v/>
      </c>
      <c r="K117" s="7" t="str">
        <f>IF($G117="","",IFERROR(VLOOKUP($E117,'Recommendation Matrix'!$A$5:$K$411,11,FALSE),""))</f>
        <v/>
      </c>
      <c r="L117" s="28" t="str">
        <f t="shared" si="12"/>
        <v/>
      </c>
      <c r="M117" s="28" t="str">
        <f>IF($G117="","",IFERROR(INDEX('Recommendation Matrix'!$L$5:$Q$411,MATCH($E117,'Recommendation Matrix'!$A$5:$A$411,0),$G117+1),""))</f>
        <v/>
      </c>
      <c r="N117" s="28" t="str">
        <f t="shared" si="13"/>
        <v/>
      </c>
      <c r="O117" s="28" t="str">
        <f t="shared" si="14"/>
        <v/>
      </c>
      <c r="P117" s="28" t="str">
        <f t="shared" si="15"/>
        <v/>
      </c>
      <c r="Q117" s="28" t="str">
        <f t="shared" si="16"/>
        <v/>
      </c>
      <c r="R117" s="8" t="str">
        <f t="shared" si="17"/>
        <v/>
      </c>
      <c r="S117" s="28">
        <f>IFERROR('Finance Procurement'!$G$27,"")</f>
        <v>5</v>
      </c>
      <c r="T117" s="28">
        <f>IFERROR('Finance Procurement'!$W$27,"")</f>
        <v>4</v>
      </c>
      <c r="U117" s="28">
        <f>IFERROR('Finance Procurement'!$X$27,"")</f>
        <v>5</v>
      </c>
      <c r="V117" s="28">
        <f>IFERROR('Finance Procurement'!$Y$27,"")</f>
        <v>5</v>
      </c>
      <c r="W117" s="7" t="s">
        <v>2755</v>
      </c>
      <c r="X117" s="7" t="s">
        <v>2756</v>
      </c>
      <c r="Y117" s="7" t="s">
        <v>2970</v>
      </c>
      <c r="Z117" s="7">
        <f>IFERROR('Finance Procurement'!$U$27,"")</f>
        <v>0</v>
      </c>
      <c r="AA117" s="7"/>
      <c r="AB117" s="29"/>
      <c r="AC117" s="7"/>
      <c r="AD117" s="48" t="str">
        <f>IF($B117="Yes",IFERROR(SUMIFS(_TECH_Crisis_Model!$D$5:$D$191,_TECH_Crisis_Model!$A$5:$A$191,'Crisis Simulator'!$B$4,_TECH_Crisis_Model!$B$5:$B$191,$C117),1),"")</f>
        <v/>
      </c>
      <c r="AE117" s="48" t="str">
        <f t="shared" si="18"/>
        <v/>
      </c>
      <c r="AF117" s="48" t="str">
        <f>IFERROR(INDEX(_TECH_Crisis_Model!$E$5:$E$191,MATCH('Crisis Simulator'!$B$4&amp;"|"&amp;$C117,_TECH_Crisis_Model!$I$5:$I$191,0)),"")</f>
        <v>Cash control, supplier payments and procurement discipline determine financial survival and response options.</v>
      </c>
      <c r="AG117" s="48" t="str">
        <f>IFERROR(INDEX(_TECH_Crisis_Model!$G$5:$G$191,MATCH('Crisis Simulator'!$B$4&amp;"|"&amp;$C117,_TECH_Crisis_Model!$I$5:$I$191,0)),"")</f>
        <v>Build cash stress testing, payment prioritization, supplier risk review and procurement controls.</v>
      </c>
      <c r="AH117" s="48" t="str">
        <f>IFERROR(INDEX(_TECH_Initiative_Library!$A$5:$A$76,MATCH(1,INDEX((_TECH_Initiative_Library!$B$5:$B$76=$C117)*(_TECH_Initiative_Library!$C$5:$C$76=$D117),0),0)),"")</f>
        <v>INI-018</v>
      </c>
      <c r="AI117" s="48" t="str">
        <f>IFERROR(INDEX(_TECH_Initiative_Library!$F$5:$F$76,MATCH(1,INDEX((_TECH_Initiative_Library!$B$5:$B$76=$C117)*(_TECH_Initiative_Library!$C$5:$C$76=$D117),0),0)),"")</f>
        <v>Optimize working capital and liquidity early-warning controls</v>
      </c>
      <c r="AJ117" s="48" t="str">
        <f ca="1">IFERROR(INDEX(_TECH_Initiative_Library!$AC$5:$AC$76,MATCH(1,INDEX((_TECH_Initiative_Library!$B$5:$B$76=$C117)*(_TECH_Initiative_Library!$C$5:$C$76=$D117),0),0)),"")</f>
        <v/>
      </c>
      <c r="AK117" s="48" t="str">
        <f ca="1">IFERROR(INDEX(_TECH_Initiative_Library!$AE$5:$AE$76,MATCH(1,INDEX((_TECH_Initiative_Library!$B$5:$B$76=$C117)*(_TECH_Initiative_Library!$C$5:$C$76=$D117),0),0)),"")</f>
        <v/>
      </c>
      <c r="AL117" s="48" t="str">
        <f>IF($B117="Yes",IFERROR(SUMIFS(_TECH_Industry_Templates!$E:$E,_TECH_Industry_Templates!$A:$A,'Company Profile'!$B$9,_TECH_Industry_Templates!$B:$B,$C117),1),"")</f>
        <v/>
      </c>
      <c r="AM117" s="48" t="str">
        <f t="shared" si="19"/>
        <v/>
      </c>
      <c r="AN117" s="48" t="str">
        <f>IF($AM117="","",RANK.EQ($AM117,$AM$8:$AM$414,0)+COUNTIF($AM$8:$AM117,$AM117)-1)</f>
        <v/>
      </c>
    </row>
    <row r="118" spans="1:40" ht="71.25">
      <c r="A118" s="28" t="str">
        <f>IF($AM118="","",RANK.EQ($AM118,$AM$8:$AM$414,0)+COUNTIF($AM$8:$AM118,$AM118)-1)</f>
        <v/>
      </c>
      <c r="B118" s="7" t="str">
        <f t="shared" si="10"/>
        <v/>
      </c>
      <c r="C118" s="7" t="s">
        <v>66</v>
      </c>
      <c r="D118" s="7" t="s">
        <v>1169</v>
      </c>
      <c r="E118" s="7" t="s">
        <v>2978</v>
      </c>
      <c r="F118" s="7" t="s">
        <v>2979</v>
      </c>
      <c r="G118" s="28" t="str">
        <f>IF(OR(COUNTA('Finance Procurement'!$H$28)=0,'Finance Procurement'!$H$28="N/A"),"",VALUE('Finance Procurement'!$H$28))</f>
        <v/>
      </c>
      <c r="H118" s="7" t="str">
        <f t="shared" si="11"/>
        <v/>
      </c>
      <c r="I118" s="7" t="str">
        <f>IF($G118="","",IFERROR(IF('Finance Procurement'!$L$28="",IF($G118&lt;=1,"Critical",IF($G118=2,"High",IF($G118=3,"Medium",IF($G118=4,"Low","Optimized")))),'Finance Procurement'!$L$28),IF($G118&lt;=1,"Critical",IF($G118=2,"High",IF($G118=3,"Medium",IF($G118=4,"Low","Optimized"))))))</f>
        <v/>
      </c>
      <c r="J118" s="7" t="str">
        <f>IF($G118="","",IFERROR(INDEX('Recommendation Matrix'!$E$5:$J$411,MATCH($E118,'Recommendation Matrix'!$A$5:$A$411,0),$G118+1),""))</f>
        <v/>
      </c>
      <c r="K118" s="7" t="str">
        <f>IF($G118="","",IFERROR(VLOOKUP($E118,'Recommendation Matrix'!$A$5:$K$411,11,FALSE),""))</f>
        <v/>
      </c>
      <c r="L118" s="28" t="str">
        <f t="shared" si="12"/>
        <v/>
      </c>
      <c r="M118" s="28" t="str">
        <f>IF($G118="","",IFERROR(INDEX('Recommendation Matrix'!$L$5:$Q$411,MATCH($E118,'Recommendation Matrix'!$A$5:$A$411,0),$G118+1),""))</f>
        <v/>
      </c>
      <c r="N118" s="28" t="str">
        <f t="shared" si="13"/>
        <v/>
      </c>
      <c r="O118" s="28" t="str">
        <f t="shared" si="14"/>
        <v/>
      </c>
      <c r="P118" s="28" t="str">
        <f t="shared" si="15"/>
        <v/>
      </c>
      <c r="Q118" s="28" t="str">
        <f t="shared" si="16"/>
        <v/>
      </c>
      <c r="R118" s="8" t="str">
        <f t="shared" si="17"/>
        <v/>
      </c>
      <c r="S118" s="28">
        <f>IFERROR('Finance Procurement'!$G$28,"")</f>
        <v>5</v>
      </c>
      <c r="T118" s="28">
        <f>IFERROR('Finance Procurement'!$W$28,"")</f>
        <v>4</v>
      </c>
      <c r="U118" s="28">
        <f>IFERROR('Finance Procurement'!$X$28,"")</f>
        <v>5</v>
      </c>
      <c r="V118" s="28">
        <f>IFERROR('Finance Procurement'!$Y$28,"")</f>
        <v>5</v>
      </c>
      <c r="W118" s="7" t="s">
        <v>2755</v>
      </c>
      <c r="X118" s="7" t="s">
        <v>2756</v>
      </c>
      <c r="Y118" s="7" t="s">
        <v>2980</v>
      </c>
      <c r="Z118" s="7">
        <f>IFERROR('Finance Procurement'!$U$28,"")</f>
        <v>0</v>
      </c>
      <c r="AA118" s="7"/>
      <c r="AB118" s="29"/>
      <c r="AC118" s="7"/>
      <c r="AD118" s="48" t="str">
        <f>IF($B118="Yes",IFERROR(SUMIFS(_TECH_Crisis_Model!$D$5:$D$191,_TECH_Crisis_Model!$A$5:$A$191,'Crisis Simulator'!$B$4,_TECH_Crisis_Model!$B$5:$B$191,$C118),1),"")</f>
        <v/>
      </c>
      <c r="AE118" s="48" t="str">
        <f t="shared" si="18"/>
        <v/>
      </c>
      <c r="AF118" s="48" t="str">
        <f>IFERROR(INDEX(_TECH_Crisis_Model!$E$5:$E$191,MATCH('Crisis Simulator'!$B$4&amp;"|"&amp;$C118,_TECH_Crisis_Model!$I$5:$I$191,0)),"")</f>
        <v>Cash control, supplier payments and procurement discipline determine financial survival and response options.</v>
      </c>
      <c r="AG118" s="48" t="str">
        <f>IFERROR(INDEX(_TECH_Crisis_Model!$G$5:$G$191,MATCH('Crisis Simulator'!$B$4&amp;"|"&amp;$C118,_TECH_Crisis_Model!$I$5:$I$191,0)),"")</f>
        <v>Build cash stress testing, payment prioritization, supplier risk review and procurement controls.</v>
      </c>
      <c r="AH118" s="48" t="str">
        <f>IFERROR(INDEX(_TECH_Initiative_Library!$A$5:$A$76,MATCH(1,INDEX((_TECH_Initiative_Library!$B$5:$B$76=$C118)*(_TECH_Initiative_Library!$C$5:$C$76=$D118),0),0)),"")</f>
        <v>INI-018</v>
      </c>
      <c r="AI118" s="48" t="str">
        <f>IFERROR(INDEX(_TECH_Initiative_Library!$F$5:$F$76,MATCH(1,INDEX((_TECH_Initiative_Library!$B$5:$B$76=$C118)*(_TECH_Initiative_Library!$C$5:$C$76=$D118),0),0)),"")</f>
        <v>Optimize working capital and liquidity early-warning controls</v>
      </c>
      <c r="AJ118" s="48" t="str">
        <f ca="1">IFERROR(INDEX(_TECH_Initiative_Library!$AC$5:$AC$76,MATCH(1,INDEX((_TECH_Initiative_Library!$B$5:$B$76=$C118)*(_TECH_Initiative_Library!$C$5:$C$76=$D118),0),0)),"")</f>
        <v/>
      </c>
      <c r="AK118" s="48" t="str">
        <f ca="1">IFERROR(INDEX(_TECH_Initiative_Library!$AE$5:$AE$76,MATCH(1,INDEX((_TECH_Initiative_Library!$B$5:$B$76=$C118)*(_TECH_Initiative_Library!$C$5:$C$76=$D118),0),0)),"")</f>
        <v/>
      </c>
      <c r="AL118" s="48" t="str">
        <f>IF($B118="Yes",IFERROR(SUMIFS(_TECH_Industry_Templates!$E:$E,_TECH_Industry_Templates!$A:$A,'Company Profile'!$B$9,_TECH_Industry_Templates!$B:$B,$C118),1),"")</f>
        <v/>
      </c>
      <c r="AM118" s="48" t="str">
        <f t="shared" si="19"/>
        <v/>
      </c>
      <c r="AN118" s="48" t="str">
        <f>IF($AM118="","",RANK.EQ($AM118,$AM$8:$AM$414,0)+COUNTIF($AM$8:$AM118,$AM118)-1)</f>
        <v/>
      </c>
    </row>
    <row r="119" spans="1:40" ht="71.25">
      <c r="A119" s="28" t="str">
        <f>IF($AM119="","",RANK.EQ($AM119,$AM$8:$AM$414,0)+COUNTIF($AM$8:$AM119,$AM119)-1)</f>
        <v/>
      </c>
      <c r="B119" s="7" t="str">
        <f t="shared" si="10"/>
        <v/>
      </c>
      <c r="C119" s="7" t="s">
        <v>69</v>
      </c>
      <c r="D119" s="7" t="s">
        <v>1177</v>
      </c>
      <c r="E119" s="7" t="s">
        <v>2990</v>
      </c>
      <c r="F119" s="7" t="s">
        <v>2991</v>
      </c>
      <c r="G119" s="28" t="str">
        <f>IF(OR(COUNTA('Legal Risk'!$H$5)=0,'Legal Risk'!$H$5="N/A"),"",VALUE('Legal Risk'!$H$5))</f>
        <v/>
      </c>
      <c r="H119" s="7" t="str">
        <f t="shared" si="11"/>
        <v/>
      </c>
      <c r="I119" s="7" t="str">
        <f>IF($G119="","",IFERROR(IF('Legal Risk'!$L$5="",IF($G119&lt;=1,"Critical",IF($G119=2,"High",IF($G119=3,"Medium",IF($G119=4,"Low","Optimized")))),'Legal Risk'!$L$5),IF($G119&lt;=1,"Critical",IF($G119=2,"High",IF($G119=3,"Medium",IF($G119=4,"Low","Optimized"))))))</f>
        <v/>
      </c>
      <c r="J119" s="7" t="str">
        <f>IF($G119="","",IFERROR(INDEX('Recommendation Matrix'!$E$5:$J$411,MATCH($E119,'Recommendation Matrix'!$A$5:$A$411,0),$G119+1),""))</f>
        <v/>
      </c>
      <c r="K119" s="7" t="str">
        <f>IF($G119="","",IFERROR(VLOOKUP($E119,'Recommendation Matrix'!$A$5:$K$411,11,FALSE),""))</f>
        <v/>
      </c>
      <c r="L119" s="28" t="str">
        <f t="shared" si="12"/>
        <v/>
      </c>
      <c r="M119" s="28" t="str">
        <f>IF($G119="","",IFERROR(INDEX('Recommendation Matrix'!$L$5:$Q$411,MATCH($E119,'Recommendation Matrix'!$A$5:$A$411,0),$G119+1),""))</f>
        <v/>
      </c>
      <c r="N119" s="28" t="str">
        <f t="shared" si="13"/>
        <v/>
      </c>
      <c r="O119" s="28" t="str">
        <f t="shared" si="14"/>
        <v/>
      </c>
      <c r="P119" s="28" t="str">
        <f t="shared" si="15"/>
        <v/>
      </c>
      <c r="Q119" s="28" t="str">
        <f t="shared" si="16"/>
        <v/>
      </c>
      <c r="R119" s="8" t="str">
        <f t="shared" si="17"/>
        <v/>
      </c>
      <c r="S119" s="28">
        <f>IFERROR('Legal Risk'!$G$5,"")</f>
        <v>4</v>
      </c>
      <c r="T119" s="28">
        <f>IFERROR('Legal Risk'!$W$5,"")</f>
        <v>5</v>
      </c>
      <c r="U119" s="28">
        <f>IFERROR('Legal Risk'!$X$5,"")</f>
        <v>5</v>
      </c>
      <c r="V119" s="28">
        <f>IFERROR('Legal Risk'!$Y$5,"")</f>
        <v>5</v>
      </c>
      <c r="W119" s="7" t="s">
        <v>3001</v>
      </c>
      <c r="X119" s="7" t="s">
        <v>3002</v>
      </c>
      <c r="Y119" s="7" t="s">
        <v>2994</v>
      </c>
      <c r="Z119" s="7">
        <f>IFERROR('Legal Risk'!$U$5,"")</f>
        <v>0</v>
      </c>
      <c r="AA119" s="7"/>
      <c r="AB119" s="29"/>
      <c r="AC119" s="7"/>
      <c r="AD119" s="48" t="str">
        <f>IF($B119="Yes",IFERROR(SUMIFS(_TECH_Crisis_Model!$D$5:$D$191,_TECH_Crisis_Model!$A$5:$A$191,'Crisis Simulator'!$B$4,_TECH_Crisis_Model!$B$5:$B$191,$C119),1),"")</f>
        <v/>
      </c>
      <c r="AE119" s="48" t="str">
        <f t="shared" si="18"/>
        <v/>
      </c>
      <c r="AF119" s="48" t="str">
        <f>IFERROR(INDEX(_TECH_Crisis_Model!$E$5:$E$191,MATCH('Crisis Simulator'!$B$4&amp;"|"&amp;$C119,_TECH_Crisis_Model!$I$5:$I$191,0)),"")</f>
        <v>Contracts, obligations and compliance exposure can turn operational crisis into legal or regulatory failure.</v>
      </c>
      <c r="AG119" s="48" t="str">
        <f>IFERROR(INDEX(_TECH_Crisis_Model!$G$5:$G$191,MATCH('Crisis Simulator'!$B$4&amp;"|"&amp;$C119,_TECH_Crisis_Model!$I$5:$I$191,0)),"")</f>
        <v>Review critical contracts, compliance obligations, force majeure, data protection and legal continuity.</v>
      </c>
      <c r="AH119" s="48" t="str">
        <f>IFERROR(INDEX(_TECH_Initiative_Library!$A$5:$A$76,MATCH(1,INDEX((_TECH_Initiative_Library!$B$5:$B$76=$C119)*(_TECH_Initiative_Library!$C$5:$C$76=$D119),0),0)),"")</f>
        <v>INI-019</v>
      </c>
      <c r="AI119" s="48" t="str">
        <f>IFERROR(INDEX(_TECH_Initiative_Library!$F$5:$F$76,MATCH(1,INDEX((_TECH_Initiative_Library!$B$5:$B$76=$C119)*(_TECH_Initiative_Library!$C$5:$C$76=$D119),0),0)),"")</f>
        <v>Implement compliance obligation monitoring and crisis legal controls</v>
      </c>
      <c r="AJ119" s="48" t="str">
        <f ca="1">IFERROR(INDEX(_TECH_Initiative_Library!$AC$5:$AC$76,MATCH(1,INDEX((_TECH_Initiative_Library!$B$5:$B$76=$C119)*(_TECH_Initiative_Library!$C$5:$C$76=$D119),0),0)),"")</f>
        <v/>
      </c>
      <c r="AK119" s="48" t="str">
        <f ca="1">IFERROR(INDEX(_TECH_Initiative_Library!$AE$5:$AE$76,MATCH(1,INDEX((_TECH_Initiative_Library!$B$5:$B$76=$C119)*(_TECH_Initiative_Library!$C$5:$C$76=$D119),0),0)),"")</f>
        <v/>
      </c>
      <c r="AL119" s="48" t="str">
        <f>IF($B119="Yes",IFERROR(SUMIFS(_TECH_Industry_Templates!$E:$E,_TECH_Industry_Templates!$A:$A,'Company Profile'!$B$9,_TECH_Industry_Templates!$B:$B,$C119),1),"")</f>
        <v/>
      </c>
      <c r="AM119" s="48" t="str">
        <f t="shared" si="19"/>
        <v/>
      </c>
      <c r="AN119" s="48" t="str">
        <f>IF($AM119="","",RANK.EQ($AM119,$AM$8:$AM$414,0)+COUNTIF($AM$8:$AM119,$AM119)-1)</f>
        <v/>
      </c>
    </row>
    <row r="120" spans="1:40" ht="85.5">
      <c r="A120" s="28" t="str">
        <f>IF($AM120="","",RANK.EQ($AM120,$AM$8:$AM$414,0)+COUNTIF($AM$8:$AM120,$AM120)-1)</f>
        <v/>
      </c>
      <c r="B120" s="7" t="str">
        <f t="shared" si="10"/>
        <v/>
      </c>
      <c r="C120" s="7" t="s">
        <v>69</v>
      </c>
      <c r="D120" s="7" t="s">
        <v>1177</v>
      </c>
      <c r="E120" s="7" t="s">
        <v>3004</v>
      </c>
      <c r="F120" s="7" t="s">
        <v>3005</v>
      </c>
      <c r="G120" s="28" t="str">
        <f>IF(OR(COUNTA('Legal Risk'!$H$6)=0,'Legal Risk'!$H$6="N/A"),"",VALUE('Legal Risk'!$H$6))</f>
        <v/>
      </c>
      <c r="H120" s="7" t="str">
        <f t="shared" si="11"/>
        <v/>
      </c>
      <c r="I120" s="7" t="str">
        <f>IF($G120="","",IFERROR(IF('Legal Risk'!$L$6="",IF($G120&lt;=1,"Critical",IF($G120=2,"High",IF($G120=3,"Medium",IF($G120=4,"Low","Optimized")))),'Legal Risk'!$L$6),IF($G120&lt;=1,"Critical",IF($G120=2,"High",IF($G120=3,"Medium",IF($G120=4,"Low","Optimized"))))))</f>
        <v/>
      </c>
      <c r="J120" s="7" t="str">
        <f>IF($G120="","",IFERROR(INDEX('Recommendation Matrix'!$E$5:$J$411,MATCH($E120,'Recommendation Matrix'!$A$5:$A$411,0),$G120+1),""))</f>
        <v/>
      </c>
      <c r="K120" s="7" t="str">
        <f>IF($G120="","",IFERROR(VLOOKUP($E120,'Recommendation Matrix'!$A$5:$K$411,11,FALSE),""))</f>
        <v/>
      </c>
      <c r="L120" s="28" t="str">
        <f t="shared" si="12"/>
        <v/>
      </c>
      <c r="M120" s="28" t="str">
        <f>IF($G120="","",IFERROR(INDEX('Recommendation Matrix'!$L$5:$Q$411,MATCH($E120,'Recommendation Matrix'!$A$5:$A$411,0),$G120+1),""))</f>
        <v/>
      </c>
      <c r="N120" s="28" t="str">
        <f t="shared" si="13"/>
        <v/>
      </c>
      <c r="O120" s="28" t="str">
        <f t="shared" si="14"/>
        <v/>
      </c>
      <c r="P120" s="28" t="str">
        <f t="shared" si="15"/>
        <v/>
      </c>
      <c r="Q120" s="28" t="str">
        <f t="shared" si="16"/>
        <v/>
      </c>
      <c r="R120" s="8" t="str">
        <f t="shared" si="17"/>
        <v/>
      </c>
      <c r="S120" s="28">
        <f>IFERROR('Legal Risk'!$G$6,"")</f>
        <v>5</v>
      </c>
      <c r="T120" s="28">
        <f>IFERROR('Legal Risk'!$W$6,"")</f>
        <v>5</v>
      </c>
      <c r="U120" s="28">
        <f>IFERROR('Legal Risk'!$X$6,"")</f>
        <v>5</v>
      </c>
      <c r="V120" s="28">
        <f>IFERROR('Legal Risk'!$Y$6,"")</f>
        <v>5</v>
      </c>
      <c r="W120" s="7" t="s">
        <v>3001</v>
      </c>
      <c r="X120" s="7" t="s">
        <v>3002</v>
      </c>
      <c r="Y120" s="7" t="s">
        <v>3006</v>
      </c>
      <c r="Z120" s="7">
        <f>IFERROR('Legal Risk'!$U$6,"")</f>
        <v>0</v>
      </c>
      <c r="AA120" s="7"/>
      <c r="AB120" s="29"/>
      <c r="AC120" s="7"/>
      <c r="AD120" s="48" t="str">
        <f>IF($B120="Yes",IFERROR(SUMIFS(_TECH_Crisis_Model!$D$5:$D$191,_TECH_Crisis_Model!$A$5:$A$191,'Crisis Simulator'!$B$4,_TECH_Crisis_Model!$B$5:$B$191,$C120),1),"")</f>
        <v/>
      </c>
      <c r="AE120" s="48" t="str">
        <f t="shared" si="18"/>
        <v/>
      </c>
      <c r="AF120" s="48" t="str">
        <f>IFERROR(INDEX(_TECH_Crisis_Model!$E$5:$E$191,MATCH('Crisis Simulator'!$B$4&amp;"|"&amp;$C120,_TECH_Crisis_Model!$I$5:$I$191,0)),"")</f>
        <v>Contracts, obligations and compliance exposure can turn operational crisis into legal or regulatory failure.</v>
      </c>
      <c r="AG120" s="48" t="str">
        <f>IFERROR(INDEX(_TECH_Crisis_Model!$G$5:$G$191,MATCH('Crisis Simulator'!$B$4&amp;"|"&amp;$C120,_TECH_Crisis_Model!$I$5:$I$191,0)),"")</f>
        <v>Review critical contracts, compliance obligations, force majeure, data protection and legal continuity.</v>
      </c>
      <c r="AH120" s="48" t="str">
        <f>IFERROR(INDEX(_TECH_Initiative_Library!$A$5:$A$76,MATCH(1,INDEX((_TECH_Initiative_Library!$B$5:$B$76=$C120)*(_TECH_Initiative_Library!$C$5:$C$76=$D120),0),0)),"")</f>
        <v>INI-019</v>
      </c>
      <c r="AI120" s="48" t="str">
        <f>IFERROR(INDEX(_TECH_Initiative_Library!$F$5:$F$76,MATCH(1,INDEX((_TECH_Initiative_Library!$B$5:$B$76=$C120)*(_TECH_Initiative_Library!$C$5:$C$76=$D120),0),0)),"")</f>
        <v>Implement compliance obligation monitoring and crisis legal controls</v>
      </c>
      <c r="AJ120" s="48" t="str">
        <f ca="1">IFERROR(INDEX(_TECH_Initiative_Library!$AC$5:$AC$76,MATCH(1,INDEX((_TECH_Initiative_Library!$B$5:$B$76=$C120)*(_TECH_Initiative_Library!$C$5:$C$76=$D120),0),0)),"")</f>
        <v/>
      </c>
      <c r="AK120" s="48" t="str">
        <f ca="1">IFERROR(INDEX(_TECH_Initiative_Library!$AE$5:$AE$76,MATCH(1,INDEX((_TECH_Initiative_Library!$B$5:$B$76=$C120)*(_TECH_Initiative_Library!$C$5:$C$76=$D120),0),0)),"")</f>
        <v/>
      </c>
      <c r="AL120" s="48" t="str">
        <f>IF($B120="Yes",IFERROR(SUMIFS(_TECH_Industry_Templates!$E:$E,_TECH_Industry_Templates!$A:$A,'Company Profile'!$B$9,_TECH_Industry_Templates!$B:$B,$C120),1),"")</f>
        <v/>
      </c>
      <c r="AM120" s="48" t="str">
        <f t="shared" si="19"/>
        <v/>
      </c>
      <c r="AN120" s="48" t="str">
        <f>IF($AM120="","",RANK.EQ($AM120,$AM$8:$AM$414,0)+COUNTIF($AM$8:$AM120,$AM120)-1)</f>
        <v/>
      </c>
    </row>
    <row r="121" spans="1:40" ht="71.25">
      <c r="A121" s="28" t="str">
        <f>IF($AM121="","",RANK.EQ($AM121,$AM$8:$AM$414,0)+COUNTIF($AM$8:$AM121,$AM121)-1)</f>
        <v/>
      </c>
      <c r="B121" s="7" t="str">
        <f t="shared" si="10"/>
        <v/>
      </c>
      <c r="C121" s="7" t="s">
        <v>69</v>
      </c>
      <c r="D121" s="7" t="s">
        <v>1177</v>
      </c>
      <c r="E121" s="7" t="s">
        <v>3014</v>
      </c>
      <c r="F121" s="7" t="s">
        <v>3015</v>
      </c>
      <c r="G121" s="28" t="str">
        <f>IF(OR(COUNTA('Legal Risk'!$H$7)=0,'Legal Risk'!$H$7="N/A"),"",VALUE('Legal Risk'!$H$7))</f>
        <v/>
      </c>
      <c r="H121" s="7" t="str">
        <f t="shared" si="11"/>
        <v/>
      </c>
      <c r="I121" s="7" t="str">
        <f>IF($G121="","",IFERROR(IF('Legal Risk'!$L$7="",IF($G121&lt;=1,"Critical",IF($G121=2,"High",IF($G121=3,"Medium",IF($G121=4,"Low","Optimized")))),'Legal Risk'!$L$7),IF($G121&lt;=1,"Critical",IF($G121=2,"High",IF($G121=3,"Medium",IF($G121=4,"Low","Optimized"))))))</f>
        <v/>
      </c>
      <c r="J121" s="7" t="str">
        <f>IF($G121="","",IFERROR(INDEX('Recommendation Matrix'!$E$5:$J$411,MATCH($E121,'Recommendation Matrix'!$A$5:$A$411,0),$G121+1),""))</f>
        <v/>
      </c>
      <c r="K121" s="7" t="str">
        <f>IF($G121="","",IFERROR(VLOOKUP($E121,'Recommendation Matrix'!$A$5:$K$411,11,FALSE),""))</f>
        <v/>
      </c>
      <c r="L121" s="28" t="str">
        <f t="shared" si="12"/>
        <v/>
      </c>
      <c r="M121" s="28" t="str">
        <f>IF($G121="","",IFERROR(INDEX('Recommendation Matrix'!$L$5:$Q$411,MATCH($E121,'Recommendation Matrix'!$A$5:$A$411,0),$G121+1),""))</f>
        <v/>
      </c>
      <c r="N121" s="28" t="str">
        <f t="shared" si="13"/>
        <v/>
      </c>
      <c r="O121" s="28" t="str">
        <f t="shared" si="14"/>
        <v/>
      </c>
      <c r="P121" s="28" t="str">
        <f t="shared" si="15"/>
        <v/>
      </c>
      <c r="Q121" s="28" t="str">
        <f t="shared" si="16"/>
        <v/>
      </c>
      <c r="R121" s="8" t="str">
        <f t="shared" si="17"/>
        <v/>
      </c>
      <c r="S121" s="28">
        <f>IFERROR('Legal Risk'!$G$7,"")</f>
        <v>5</v>
      </c>
      <c r="T121" s="28">
        <f>IFERROR('Legal Risk'!$W$7,"")</f>
        <v>5</v>
      </c>
      <c r="U121" s="28">
        <f>IFERROR('Legal Risk'!$X$7,"")</f>
        <v>5</v>
      </c>
      <c r="V121" s="28">
        <f>IFERROR('Legal Risk'!$Y$7,"")</f>
        <v>5</v>
      </c>
      <c r="W121" s="7" t="s">
        <v>3001</v>
      </c>
      <c r="X121" s="7" t="s">
        <v>3002</v>
      </c>
      <c r="Y121" s="7" t="s">
        <v>3016</v>
      </c>
      <c r="Z121" s="7">
        <f>IFERROR('Legal Risk'!$U$7,"")</f>
        <v>0</v>
      </c>
      <c r="AA121" s="7"/>
      <c r="AB121" s="29"/>
      <c r="AC121" s="7"/>
      <c r="AD121" s="48" t="str">
        <f>IF($B121="Yes",IFERROR(SUMIFS(_TECH_Crisis_Model!$D$5:$D$191,_TECH_Crisis_Model!$A$5:$A$191,'Crisis Simulator'!$B$4,_TECH_Crisis_Model!$B$5:$B$191,$C121),1),"")</f>
        <v/>
      </c>
      <c r="AE121" s="48" t="str">
        <f t="shared" si="18"/>
        <v/>
      </c>
      <c r="AF121" s="48" t="str">
        <f>IFERROR(INDEX(_TECH_Crisis_Model!$E$5:$E$191,MATCH('Crisis Simulator'!$B$4&amp;"|"&amp;$C121,_TECH_Crisis_Model!$I$5:$I$191,0)),"")</f>
        <v>Contracts, obligations and compliance exposure can turn operational crisis into legal or regulatory failure.</v>
      </c>
      <c r="AG121" s="48" t="str">
        <f>IFERROR(INDEX(_TECH_Crisis_Model!$G$5:$G$191,MATCH('Crisis Simulator'!$B$4&amp;"|"&amp;$C121,_TECH_Crisis_Model!$I$5:$I$191,0)),"")</f>
        <v>Review critical contracts, compliance obligations, force majeure, data protection and legal continuity.</v>
      </c>
      <c r="AH121" s="48" t="str">
        <f>IFERROR(INDEX(_TECH_Initiative_Library!$A$5:$A$76,MATCH(1,INDEX((_TECH_Initiative_Library!$B$5:$B$76=$C121)*(_TECH_Initiative_Library!$C$5:$C$76=$D121),0),0)),"")</f>
        <v>INI-019</v>
      </c>
      <c r="AI121" s="48" t="str">
        <f>IFERROR(INDEX(_TECH_Initiative_Library!$F$5:$F$76,MATCH(1,INDEX((_TECH_Initiative_Library!$B$5:$B$76=$C121)*(_TECH_Initiative_Library!$C$5:$C$76=$D121),0),0)),"")</f>
        <v>Implement compliance obligation monitoring and crisis legal controls</v>
      </c>
      <c r="AJ121" s="48" t="str">
        <f ca="1">IFERROR(INDEX(_TECH_Initiative_Library!$AC$5:$AC$76,MATCH(1,INDEX((_TECH_Initiative_Library!$B$5:$B$76=$C121)*(_TECH_Initiative_Library!$C$5:$C$76=$D121),0),0)),"")</f>
        <v/>
      </c>
      <c r="AK121" s="48" t="str">
        <f ca="1">IFERROR(INDEX(_TECH_Initiative_Library!$AE$5:$AE$76,MATCH(1,INDEX((_TECH_Initiative_Library!$B$5:$B$76=$C121)*(_TECH_Initiative_Library!$C$5:$C$76=$D121),0),0)),"")</f>
        <v/>
      </c>
      <c r="AL121" s="48" t="str">
        <f>IF($B121="Yes",IFERROR(SUMIFS(_TECH_Industry_Templates!$E:$E,_TECH_Industry_Templates!$A:$A,'Company Profile'!$B$9,_TECH_Industry_Templates!$B:$B,$C121),1),"")</f>
        <v/>
      </c>
      <c r="AM121" s="48" t="str">
        <f t="shared" si="19"/>
        <v/>
      </c>
      <c r="AN121" s="48" t="str">
        <f>IF($AM121="","",RANK.EQ($AM121,$AM$8:$AM$414,0)+COUNTIF($AM$8:$AM121,$AM121)-1)</f>
        <v/>
      </c>
    </row>
    <row r="122" spans="1:40" ht="85.5">
      <c r="A122" s="28" t="str">
        <f>IF($AM122="","",RANK.EQ($AM122,$AM$8:$AM$414,0)+COUNTIF($AM$8:$AM122,$AM122)-1)</f>
        <v/>
      </c>
      <c r="B122" s="7" t="str">
        <f t="shared" si="10"/>
        <v/>
      </c>
      <c r="C122" s="7" t="s">
        <v>69</v>
      </c>
      <c r="D122" s="7" t="s">
        <v>1177</v>
      </c>
      <c r="E122" s="7" t="s">
        <v>3024</v>
      </c>
      <c r="F122" s="7" t="s">
        <v>3025</v>
      </c>
      <c r="G122" s="28" t="str">
        <f>IF(OR(COUNTA('Legal Risk'!$H$8)=0,'Legal Risk'!$H$8="N/A"),"",VALUE('Legal Risk'!$H$8))</f>
        <v/>
      </c>
      <c r="H122" s="7" t="str">
        <f t="shared" si="11"/>
        <v/>
      </c>
      <c r="I122" s="7" t="str">
        <f>IF($G122="","",IFERROR(IF('Legal Risk'!$L$8="",IF($G122&lt;=1,"Critical",IF($G122=2,"High",IF($G122=3,"Medium",IF($G122=4,"Low","Optimized")))),'Legal Risk'!$L$8),IF($G122&lt;=1,"Critical",IF($G122=2,"High",IF($G122=3,"Medium",IF($G122=4,"Low","Optimized"))))))</f>
        <v/>
      </c>
      <c r="J122" s="7" t="str">
        <f>IF($G122="","",IFERROR(INDEX('Recommendation Matrix'!$E$5:$J$411,MATCH($E122,'Recommendation Matrix'!$A$5:$A$411,0),$G122+1),""))</f>
        <v/>
      </c>
      <c r="K122" s="7" t="str">
        <f>IF($G122="","",IFERROR(VLOOKUP($E122,'Recommendation Matrix'!$A$5:$K$411,11,FALSE),""))</f>
        <v/>
      </c>
      <c r="L122" s="28" t="str">
        <f t="shared" si="12"/>
        <v/>
      </c>
      <c r="M122" s="28" t="str">
        <f>IF($G122="","",IFERROR(INDEX('Recommendation Matrix'!$L$5:$Q$411,MATCH($E122,'Recommendation Matrix'!$A$5:$A$411,0),$G122+1),""))</f>
        <v/>
      </c>
      <c r="N122" s="28" t="str">
        <f t="shared" si="13"/>
        <v/>
      </c>
      <c r="O122" s="28" t="str">
        <f t="shared" si="14"/>
        <v/>
      </c>
      <c r="P122" s="28" t="str">
        <f t="shared" si="15"/>
        <v/>
      </c>
      <c r="Q122" s="28" t="str">
        <f t="shared" si="16"/>
        <v/>
      </c>
      <c r="R122" s="8" t="str">
        <f t="shared" si="17"/>
        <v/>
      </c>
      <c r="S122" s="28">
        <f>IFERROR('Legal Risk'!$G$8,"")</f>
        <v>3</v>
      </c>
      <c r="T122" s="28">
        <f>IFERROR('Legal Risk'!$W$8,"")</f>
        <v>5</v>
      </c>
      <c r="U122" s="28">
        <f>IFERROR('Legal Risk'!$X$8,"")</f>
        <v>5</v>
      </c>
      <c r="V122" s="28">
        <f>IFERROR('Legal Risk'!$Y$8,"")</f>
        <v>5</v>
      </c>
      <c r="W122" s="7" t="s">
        <v>3001</v>
      </c>
      <c r="X122" s="7" t="s">
        <v>3002</v>
      </c>
      <c r="Y122" s="7" t="s">
        <v>3026</v>
      </c>
      <c r="Z122" s="7">
        <f>IFERROR('Legal Risk'!$U$8,"")</f>
        <v>0</v>
      </c>
      <c r="AA122" s="7"/>
      <c r="AB122" s="29"/>
      <c r="AC122" s="7"/>
      <c r="AD122" s="48" t="str">
        <f>IF($B122="Yes",IFERROR(SUMIFS(_TECH_Crisis_Model!$D$5:$D$191,_TECH_Crisis_Model!$A$5:$A$191,'Crisis Simulator'!$B$4,_TECH_Crisis_Model!$B$5:$B$191,$C122),1),"")</f>
        <v/>
      </c>
      <c r="AE122" s="48" t="str">
        <f t="shared" si="18"/>
        <v/>
      </c>
      <c r="AF122" s="48" t="str">
        <f>IFERROR(INDEX(_TECH_Crisis_Model!$E$5:$E$191,MATCH('Crisis Simulator'!$B$4&amp;"|"&amp;$C122,_TECH_Crisis_Model!$I$5:$I$191,0)),"")</f>
        <v>Contracts, obligations and compliance exposure can turn operational crisis into legal or regulatory failure.</v>
      </c>
      <c r="AG122" s="48" t="str">
        <f>IFERROR(INDEX(_TECH_Crisis_Model!$G$5:$G$191,MATCH('Crisis Simulator'!$B$4&amp;"|"&amp;$C122,_TECH_Crisis_Model!$I$5:$I$191,0)),"")</f>
        <v>Review critical contracts, compliance obligations, force majeure, data protection and legal continuity.</v>
      </c>
      <c r="AH122" s="48" t="str">
        <f>IFERROR(INDEX(_TECH_Initiative_Library!$A$5:$A$76,MATCH(1,INDEX((_TECH_Initiative_Library!$B$5:$B$76=$C122)*(_TECH_Initiative_Library!$C$5:$C$76=$D122),0),0)),"")</f>
        <v>INI-019</v>
      </c>
      <c r="AI122" s="48" t="str">
        <f>IFERROR(INDEX(_TECH_Initiative_Library!$F$5:$F$76,MATCH(1,INDEX((_TECH_Initiative_Library!$B$5:$B$76=$C122)*(_TECH_Initiative_Library!$C$5:$C$76=$D122),0),0)),"")</f>
        <v>Implement compliance obligation monitoring and crisis legal controls</v>
      </c>
      <c r="AJ122" s="48" t="str">
        <f ca="1">IFERROR(INDEX(_TECH_Initiative_Library!$AC$5:$AC$76,MATCH(1,INDEX((_TECH_Initiative_Library!$B$5:$B$76=$C122)*(_TECH_Initiative_Library!$C$5:$C$76=$D122),0),0)),"")</f>
        <v/>
      </c>
      <c r="AK122" s="48" t="str">
        <f ca="1">IFERROR(INDEX(_TECH_Initiative_Library!$AE$5:$AE$76,MATCH(1,INDEX((_TECH_Initiative_Library!$B$5:$B$76=$C122)*(_TECH_Initiative_Library!$C$5:$C$76=$D122),0),0)),"")</f>
        <v/>
      </c>
      <c r="AL122" s="48" t="str">
        <f>IF($B122="Yes",IFERROR(SUMIFS(_TECH_Industry_Templates!$E:$E,_TECH_Industry_Templates!$A:$A,'Company Profile'!$B$9,_TECH_Industry_Templates!$B:$B,$C122),1),"")</f>
        <v/>
      </c>
      <c r="AM122" s="48" t="str">
        <f t="shared" si="19"/>
        <v/>
      </c>
      <c r="AN122" s="48" t="str">
        <f>IF($AM122="","",RANK.EQ($AM122,$AM$8:$AM$414,0)+COUNTIF($AM$8:$AM122,$AM122)-1)</f>
        <v/>
      </c>
    </row>
    <row r="123" spans="1:40" ht="71.25">
      <c r="A123" s="28" t="str">
        <f>IF($AM123="","",RANK.EQ($AM123,$AM$8:$AM$414,0)+COUNTIF($AM$8:$AM123,$AM123)-1)</f>
        <v/>
      </c>
      <c r="B123" s="7" t="str">
        <f t="shared" si="10"/>
        <v/>
      </c>
      <c r="C123" s="7" t="s">
        <v>69</v>
      </c>
      <c r="D123" s="7" t="s">
        <v>1177</v>
      </c>
      <c r="E123" s="7" t="s">
        <v>3034</v>
      </c>
      <c r="F123" s="7" t="s">
        <v>3035</v>
      </c>
      <c r="G123" s="28" t="str">
        <f>IF(OR(COUNTA('Legal Risk'!$H$9)=0,'Legal Risk'!$H$9="N/A"),"",VALUE('Legal Risk'!$H$9))</f>
        <v/>
      </c>
      <c r="H123" s="7" t="str">
        <f t="shared" si="11"/>
        <v/>
      </c>
      <c r="I123" s="7" t="str">
        <f>IF($G123="","",IFERROR(IF('Legal Risk'!$L$9="",IF($G123&lt;=1,"Critical",IF($G123=2,"High",IF($G123=3,"Medium",IF($G123=4,"Low","Optimized")))),'Legal Risk'!$L$9),IF($G123&lt;=1,"Critical",IF($G123=2,"High",IF($G123=3,"Medium",IF($G123=4,"Low","Optimized"))))))</f>
        <v/>
      </c>
      <c r="J123" s="7" t="str">
        <f>IF($G123="","",IFERROR(INDEX('Recommendation Matrix'!$E$5:$J$411,MATCH($E123,'Recommendation Matrix'!$A$5:$A$411,0),$G123+1),""))</f>
        <v/>
      </c>
      <c r="K123" s="7" t="str">
        <f>IF($G123="","",IFERROR(VLOOKUP($E123,'Recommendation Matrix'!$A$5:$K$411,11,FALSE),""))</f>
        <v/>
      </c>
      <c r="L123" s="28" t="str">
        <f t="shared" si="12"/>
        <v/>
      </c>
      <c r="M123" s="28" t="str">
        <f>IF($G123="","",IFERROR(INDEX('Recommendation Matrix'!$L$5:$Q$411,MATCH($E123,'Recommendation Matrix'!$A$5:$A$411,0),$G123+1),""))</f>
        <v/>
      </c>
      <c r="N123" s="28" t="str">
        <f t="shared" si="13"/>
        <v/>
      </c>
      <c r="O123" s="28" t="str">
        <f t="shared" si="14"/>
        <v/>
      </c>
      <c r="P123" s="28" t="str">
        <f t="shared" si="15"/>
        <v/>
      </c>
      <c r="Q123" s="28" t="str">
        <f t="shared" si="16"/>
        <v/>
      </c>
      <c r="R123" s="8" t="str">
        <f t="shared" si="17"/>
        <v/>
      </c>
      <c r="S123" s="28">
        <f>IFERROR('Legal Risk'!$G$9,"")</f>
        <v>3</v>
      </c>
      <c r="T123" s="28">
        <f>IFERROR('Legal Risk'!$W$9,"")</f>
        <v>5</v>
      </c>
      <c r="U123" s="28">
        <f>IFERROR('Legal Risk'!$X$9,"")</f>
        <v>5</v>
      </c>
      <c r="V123" s="28">
        <f>IFERROR('Legal Risk'!$Y$9,"")</f>
        <v>5</v>
      </c>
      <c r="W123" s="7" t="s">
        <v>3001</v>
      </c>
      <c r="X123" s="7" t="s">
        <v>3002</v>
      </c>
      <c r="Y123" s="7" t="s">
        <v>3036</v>
      </c>
      <c r="Z123" s="7">
        <f>IFERROR('Legal Risk'!$U$9,"")</f>
        <v>0</v>
      </c>
      <c r="AA123" s="7"/>
      <c r="AB123" s="29"/>
      <c r="AC123" s="7"/>
      <c r="AD123" s="48" t="str">
        <f>IF($B123="Yes",IFERROR(SUMIFS(_TECH_Crisis_Model!$D$5:$D$191,_TECH_Crisis_Model!$A$5:$A$191,'Crisis Simulator'!$B$4,_TECH_Crisis_Model!$B$5:$B$191,$C123),1),"")</f>
        <v/>
      </c>
      <c r="AE123" s="48" t="str">
        <f t="shared" si="18"/>
        <v/>
      </c>
      <c r="AF123" s="48" t="str">
        <f>IFERROR(INDEX(_TECH_Crisis_Model!$E$5:$E$191,MATCH('Crisis Simulator'!$B$4&amp;"|"&amp;$C123,_TECH_Crisis_Model!$I$5:$I$191,0)),"")</f>
        <v>Contracts, obligations and compliance exposure can turn operational crisis into legal or regulatory failure.</v>
      </c>
      <c r="AG123" s="48" t="str">
        <f>IFERROR(INDEX(_TECH_Crisis_Model!$G$5:$G$191,MATCH('Crisis Simulator'!$B$4&amp;"|"&amp;$C123,_TECH_Crisis_Model!$I$5:$I$191,0)),"")</f>
        <v>Review critical contracts, compliance obligations, force majeure, data protection and legal continuity.</v>
      </c>
      <c r="AH123" s="48" t="str">
        <f>IFERROR(INDEX(_TECH_Initiative_Library!$A$5:$A$76,MATCH(1,INDEX((_TECH_Initiative_Library!$B$5:$B$76=$C123)*(_TECH_Initiative_Library!$C$5:$C$76=$D123),0),0)),"")</f>
        <v>INI-019</v>
      </c>
      <c r="AI123" s="48" t="str">
        <f>IFERROR(INDEX(_TECH_Initiative_Library!$F$5:$F$76,MATCH(1,INDEX((_TECH_Initiative_Library!$B$5:$B$76=$C123)*(_TECH_Initiative_Library!$C$5:$C$76=$D123),0),0)),"")</f>
        <v>Implement compliance obligation monitoring and crisis legal controls</v>
      </c>
      <c r="AJ123" s="48" t="str">
        <f ca="1">IFERROR(INDEX(_TECH_Initiative_Library!$AC$5:$AC$76,MATCH(1,INDEX((_TECH_Initiative_Library!$B$5:$B$76=$C123)*(_TECH_Initiative_Library!$C$5:$C$76=$D123),0),0)),"")</f>
        <v/>
      </c>
      <c r="AK123" s="48" t="str">
        <f ca="1">IFERROR(INDEX(_TECH_Initiative_Library!$AE$5:$AE$76,MATCH(1,INDEX((_TECH_Initiative_Library!$B$5:$B$76=$C123)*(_TECH_Initiative_Library!$C$5:$C$76=$D123),0),0)),"")</f>
        <v/>
      </c>
      <c r="AL123" s="48" t="str">
        <f>IF($B123="Yes",IFERROR(SUMIFS(_TECH_Industry_Templates!$E:$E,_TECH_Industry_Templates!$A:$A,'Company Profile'!$B$9,_TECH_Industry_Templates!$B:$B,$C123),1),"")</f>
        <v/>
      </c>
      <c r="AM123" s="48" t="str">
        <f t="shared" si="19"/>
        <v/>
      </c>
      <c r="AN123" s="48" t="str">
        <f>IF($AM123="","",RANK.EQ($AM123,$AM$8:$AM$414,0)+COUNTIF($AM$8:$AM123,$AM123)-1)</f>
        <v/>
      </c>
    </row>
    <row r="124" spans="1:40" ht="71.25">
      <c r="A124" s="28" t="str">
        <f>IF($AM124="","",RANK.EQ($AM124,$AM$8:$AM$414,0)+COUNTIF($AM$8:$AM124,$AM124)-1)</f>
        <v/>
      </c>
      <c r="B124" s="7" t="str">
        <f t="shared" si="10"/>
        <v/>
      </c>
      <c r="C124" s="7" t="s">
        <v>69</v>
      </c>
      <c r="D124" s="7" t="s">
        <v>1177</v>
      </c>
      <c r="E124" s="7" t="s">
        <v>3044</v>
      </c>
      <c r="F124" s="7" t="s">
        <v>3045</v>
      </c>
      <c r="G124" s="28" t="str">
        <f>IF(OR(COUNTA('Legal Risk'!$H$10)=0,'Legal Risk'!$H$10="N/A"),"",VALUE('Legal Risk'!$H$10))</f>
        <v/>
      </c>
      <c r="H124" s="7" t="str">
        <f t="shared" si="11"/>
        <v/>
      </c>
      <c r="I124" s="7" t="str">
        <f>IF($G124="","",IFERROR(IF('Legal Risk'!$L$10="",IF($G124&lt;=1,"Critical",IF($G124=2,"High",IF($G124=3,"Medium",IF($G124=4,"Low","Optimized")))),'Legal Risk'!$L$10),IF($G124&lt;=1,"Critical",IF($G124=2,"High",IF($G124=3,"Medium",IF($G124=4,"Low","Optimized"))))))</f>
        <v/>
      </c>
      <c r="J124" s="7" t="str">
        <f>IF($G124="","",IFERROR(INDEX('Recommendation Matrix'!$E$5:$J$411,MATCH($E124,'Recommendation Matrix'!$A$5:$A$411,0),$G124+1),""))</f>
        <v/>
      </c>
      <c r="K124" s="7" t="str">
        <f>IF($G124="","",IFERROR(VLOOKUP($E124,'Recommendation Matrix'!$A$5:$K$411,11,FALSE),""))</f>
        <v/>
      </c>
      <c r="L124" s="28" t="str">
        <f t="shared" si="12"/>
        <v/>
      </c>
      <c r="M124" s="28" t="str">
        <f>IF($G124="","",IFERROR(INDEX('Recommendation Matrix'!$L$5:$Q$411,MATCH($E124,'Recommendation Matrix'!$A$5:$A$411,0),$G124+1),""))</f>
        <v/>
      </c>
      <c r="N124" s="28" t="str">
        <f t="shared" si="13"/>
        <v/>
      </c>
      <c r="O124" s="28" t="str">
        <f t="shared" si="14"/>
        <v/>
      </c>
      <c r="P124" s="28" t="str">
        <f t="shared" si="15"/>
        <v/>
      </c>
      <c r="Q124" s="28" t="str">
        <f t="shared" si="16"/>
        <v/>
      </c>
      <c r="R124" s="8" t="str">
        <f t="shared" si="17"/>
        <v/>
      </c>
      <c r="S124" s="28">
        <f>IFERROR('Legal Risk'!$G$10,"")</f>
        <v>5</v>
      </c>
      <c r="T124" s="28">
        <f>IFERROR('Legal Risk'!$W$10,"")</f>
        <v>5</v>
      </c>
      <c r="U124" s="28">
        <f>IFERROR('Legal Risk'!$X$10,"")</f>
        <v>5</v>
      </c>
      <c r="V124" s="28">
        <f>IFERROR('Legal Risk'!$Y$10,"")</f>
        <v>5</v>
      </c>
      <c r="W124" s="7" t="s">
        <v>3001</v>
      </c>
      <c r="X124" s="7" t="s">
        <v>3002</v>
      </c>
      <c r="Y124" s="7" t="s">
        <v>3046</v>
      </c>
      <c r="Z124" s="7">
        <f>IFERROR('Legal Risk'!$U$10,"")</f>
        <v>0</v>
      </c>
      <c r="AA124" s="7"/>
      <c r="AB124" s="29"/>
      <c r="AC124" s="7"/>
      <c r="AD124" s="48" t="str">
        <f>IF($B124="Yes",IFERROR(SUMIFS(_TECH_Crisis_Model!$D$5:$D$191,_TECH_Crisis_Model!$A$5:$A$191,'Crisis Simulator'!$B$4,_TECH_Crisis_Model!$B$5:$B$191,$C124),1),"")</f>
        <v/>
      </c>
      <c r="AE124" s="48" t="str">
        <f t="shared" si="18"/>
        <v/>
      </c>
      <c r="AF124" s="48" t="str">
        <f>IFERROR(INDEX(_TECH_Crisis_Model!$E$5:$E$191,MATCH('Crisis Simulator'!$B$4&amp;"|"&amp;$C124,_TECH_Crisis_Model!$I$5:$I$191,0)),"")</f>
        <v>Contracts, obligations and compliance exposure can turn operational crisis into legal or regulatory failure.</v>
      </c>
      <c r="AG124" s="48" t="str">
        <f>IFERROR(INDEX(_TECH_Crisis_Model!$G$5:$G$191,MATCH('Crisis Simulator'!$B$4&amp;"|"&amp;$C124,_TECH_Crisis_Model!$I$5:$I$191,0)),"")</f>
        <v>Review critical contracts, compliance obligations, force majeure, data protection and legal continuity.</v>
      </c>
      <c r="AH124" s="48" t="str">
        <f>IFERROR(INDEX(_TECH_Initiative_Library!$A$5:$A$76,MATCH(1,INDEX((_TECH_Initiative_Library!$B$5:$B$76=$C124)*(_TECH_Initiative_Library!$C$5:$C$76=$D124),0),0)),"")</f>
        <v>INI-019</v>
      </c>
      <c r="AI124" s="48" t="str">
        <f>IFERROR(INDEX(_TECH_Initiative_Library!$F$5:$F$76,MATCH(1,INDEX((_TECH_Initiative_Library!$B$5:$B$76=$C124)*(_TECH_Initiative_Library!$C$5:$C$76=$D124),0),0)),"")</f>
        <v>Implement compliance obligation monitoring and crisis legal controls</v>
      </c>
      <c r="AJ124" s="48" t="str">
        <f ca="1">IFERROR(INDEX(_TECH_Initiative_Library!$AC$5:$AC$76,MATCH(1,INDEX((_TECH_Initiative_Library!$B$5:$B$76=$C124)*(_TECH_Initiative_Library!$C$5:$C$76=$D124),0),0)),"")</f>
        <v/>
      </c>
      <c r="AK124" s="48" t="str">
        <f ca="1">IFERROR(INDEX(_TECH_Initiative_Library!$AE$5:$AE$76,MATCH(1,INDEX((_TECH_Initiative_Library!$B$5:$B$76=$C124)*(_TECH_Initiative_Library!$C$5:$C$76=$D124),0),0)),"")</f>
        <v/>
      </c>
      <c r="AL124" s="48" t="str">
        <f>IF($B124="Yes",IFERROR(SUMIFS(_TECH_Industry_Templates!$E:$E,_TECH_Industry_Templates!$A:$A,'Company Profile'!$B$9,_TECH_Industry_Templates!$B:$B,$C124),1),"")</f>
        <v/>
      </c>
      <c r="AM124" s="48" t="str">
        <f t="shared" si="19"/>
        <v/>
      </c>
      <c r="AN124" s="48" t="str">
        <f>IF($AM124="","",RANK.EQ($AM124,$AM$8:$AM$414,0)+COUNTIF($AM$8:$AM124,$AM124)-1)</f>
        <v/>
      </c>
    </row>
    <row r="125" spans="1:40" ht="71.25">
      <c r="A125" s="28" t="str">
        <f>IF($AM125="","",RANK.EQ($AM125,$AM$8:$AM$414,0)+COUNTIF($AM$8:$AM125,$AM125)-1)</f>
        <v/>
      </c>
      <c r="B125" s="7" t="str">
        <f t="shared" si="10"/>
        <v/>
      </c>
      <c r="C125" s="7" t="s">
        <v>69</v>
      </c>
      <c r="D125" s="7" t="s">
        <v>1187</v>
      </c>
      <c r="E125" s="7" t="s">
        <v>3054</v>
      </c>
      <c r="F125" s="7" t="s">
        <v>3055</v>
      </c>
      <c r="G125" s="28" t="str">
        <f>IF(OR(COUNTA('Legal Risk'!$H$11)=0,'Legal Risk'!$H$11="N/A"),"",VALUE('Legal Risk'!$H$11))</f>
        <v/>
      </c>
      <c r="H125" s="7" t="str">
        <f t="shared" si="11"/>
        <v/>
      </c>
      <c r="I125" s="7" t="str">
        <f>IF($G125="","",IFERROR(IF('Legal Risk'!$L$11="",IF($G125&lt;=1,"Critical",IF($G125=2,"High",IF($G125=3,"Medium",IF($G125=4,"Low","Optimized")))),'Legal Risk'!$L$11),IF($G125&lt;=1,"Critical",IF($G125=2,"High",IF($G125=3,"Medium",IF($G125=4,"Low","Optimized"))))))</f>
        <v/>
      </c>
      <c r="J125" s="7" t="str">
        <f>IF($G125="","",IFERROR(INDEX('Recommendation Matrix'!$E$5:$J$411,MATCH($E125,'Recommendation Matrix'!$A$5:$A$411,0),$G125+1),""))</f>
        <v/>
      </c>
      <c r="K125" s="7" t="str">
        <f>IF($G125="","",IFERROR(VLOOKUP($E125,'Recommendation Matrix'!$A$5:$K$411,11,FALSE),""))</f>
        <v/>
      </c>
      <c r="L125" s="28" t="str">
        <f t="shared" si="12"/>
        <v/>
      </c>
      <c r="M125" s="28" t="str">
        <f>IF($G125="","",IFERROR(INDEX('Recommendation Matrix'!$L$5:$Q$411,MATCH($E125,'Recommendation Matrix'!$A$5:$A$411,0),$G125+1),""))</f>
        <v/>
      </c>
      <c r="N125" s="28" t="str">
        <f t="shared" si="13"/>
        <v/>
      </c>
      <c r="O125" s="28" t="str">
        <f t="shared" si="14"/>
        <v/>
      </c>
      <c r="P125" s="28" t="str">
        <f t="shared" si="15"/>
        <v/>
      </c>
      <c r="Q125" s="28" t="str">
        <f t="shared" si="16"/>
        <v/>
      </c>
      <c r="R125" s="8" t="str">
        <f t="shared" si="17"/>
        <v/>
      </c>
      <c r="S125" s="28">
        <f>IFERROR('Legal Risk'!$G$11,"")</f>
        <v>5</v>
      </c>
      <c r="T125" s="28">
        <f>IFERROR('Legal Risk'!$W$11,"")</f>
        <v>5</v>
      </c>
      <c r="U125" s="28">
        <f>IFERROR('Legal Risk'!$X$11,"")</f>
        <v>5</v>
      </c>
      <c r="V125" s="28">
        <f>IFERROR('Legal Risk'!$Y$11,"")</f>
        <v>5</v>
      </c>
      <c r="W125" s="7" t="s">
        <v>3001</v>
      </c>
      <c r="X125" s="7" t="s">
        <v>3002</v>
      </c>
      <c r="Y125" s="7" t="s">
        <v>3056</v>
      </c>
      <c r="Z125" s="7">
        <f>IFERROR('Legal Risk'!$U$11,"")</f>
        <v>0</v>
      </c>
      <c r="AA125" s="7"/>
      <c r="AB125" s="29"/>
      <c r="AC125" s="7"/>
      <c r="AD125" s="48" t="str">
        <f>IF($B125="Yes",IFERROR(SUMIFS(_TECH_Crisis_Model!$D$5:$D$191,_TECH_Crisis_Model!$A$5:$A$191,'Crisis Simulator'!$B$4,_TECH_Crisis_Model!$B$5:$B$191,$C125),1),"")</f>
        <v/>
      </c>
      <c r="AE125" s="48" t="str">
        <f t="shared" si="18"/>
        <v/>
      </c>
      <c r="AF125" s="48" t="str">
        <f>IFERROR(INDEX(_TECH_Crisis_Model!$E$5:$E$191,MATCH('Crisis Simulator'!$B$4&amp;"|"&amp;$C125,_TECH_Crisis_Model!$I$5:$I$191,0)),"")</f>
        <v>Contracts, obligations and compliance exposure can turn operational crisis into legal or regulatory failure.</v>
      </c>
      <c r="AG125" s="48" t="str">
        <f>IFERROR(INDEX(_TECH_Crisis_Model!$G$5:$G$191,MATCH('Crisis Simulator'!$B$4&amp;"|"&amp;$C125,_TECH_Crisis_Model!$I$5:$I$191,0)),"")</f>
        <v>Review critical contracts, compliance obligations, force majeure, data protection and legal continuity.</v>
      </c>
      <c r="AH125" s="48" t="str">
        <f>IFERROR(INDEX(_TECH_Initiative_Library!$A$5:$A$76,MATCH(1,INDEX((_TECH_Initiative_Library!$B$5:$B$76=$C125)*(_TECH_Initiative_Library!$C$5:$C$76=$D125),0),0)),"")</f>
        <v>INI-020</v>
      </c>
      <c r="AI125" s="48" t="str">
        <f>IFERROR(INDEX(_TECH_Initiative_Library!$F$5:$F$76,MATCH(1,INDEX((_TECH_Initiative_Library!$B$5:$B$76=$C125)*(_TECH_Initiative_Library!$C$5:$C$76=$D125),0),0)),"")</f>
        <v>Build contract register, obligations and force-majeure response model</v>
      </c>
      <c r="AJ125" s="48" t="str">
        <f ca="1">IFERROR(INDEX(_TECH_Initiative_Library!$AC$5:$AC$76,MATCH(1,INDEX((_TECH_Initiative_Library!$B$5:$B$76=$C125)*(_TECH_Initiative_Library!$C$5:$C$76=$D125),0),0)),"")</f>
        <v/>
      </c>
      <c r="AK125" s="48" t="str">
        <f ca="1">IFERROR(INDEX(_TECH_Initiative_Library!$AE$5:$AE$76,MATCH(1,INDEX((_TECH_Initiative_Library!$B$5:$B$76=$C125)*(_TECH_Initiative_Library!$C$5:$C$76=$D125),0),0)),"")</f>
        <v/>
      </c>
      <c r="AL125" s="48" t="str">
        <f>IF($B125="Yes",IFERROR(SUMIFS(_TECH_Industry_Templates!$E:$E,_TECH_Industry_Templates!$A:$A,'Company Profile'!$B$9,_TECH_Industry_Templates!$B:$B,$C125),1),"")</f>
        <v/>
      </c>
      <c r="AM125" s="48" t="str">
        <f t="shared" si="19"/>
        <v/>
      </c>
      <c r="AN125" s="48" t="str">
        <f>IF($AM125="","",RANK.EQ($AM125,$AM$8:$AM$414,0)+COUNTIF($AM$8:$AM125,$AM125)-1)</f>
        <v/>
      </c>
    </row>
    <row r="126" spans="1:40" ht="71.25">
      <c r="A126" s="28" t="str">
        <f>IF($AM126="","",RANK.EQ($AM126,$AM$8:$AM$414,0)+COUNTIF($AM$8:$AM126,$AM126)-1)</f>
        <v/>
      </c>
      <c r="B126" s="7" t="str">
        <f t="shared" si="10"/>
        <v/>
      </c>
      <c r="C126" s="7" t="s">
        <v>69</v>
      </c>
      <c r="D126" s="7" t="s">
        <v>1187</v>
      </c>
      <c r="E126" s="7" t="s">
        <v>3064</v>
      </c>
      <c r="F126" s="7" t="s">
        <v>3065</v>
      </c>
      <c r="G126" s="28" t="str">
        <f>IF(OR(COUNTA('Legal Risk'!$H$12)=0,'Legal Risk'!$H$12="N/A"),"",VALUE('Legal Risk'!$H$12))</f>
        <v/>
      </c>
      <c r="H126" s="7" t="str">
        <f t="shared" si="11"/>
        <v/>
      </c>
      <c r="I126" s="7" t="str">
        <f>IF($G126="","",IFERROR(IF('Legal Risk'!$L$12="",IF($G126&lt;=1,"Critical",IF($G126=2,"High",IF($G126=3,"Medium",IF($G126=4,"Low","Optimized")))),'Legal Risk'!$L$12),IF($G126&lt;=1,"Critical",IF($G126=2,"High",IF($G126=3,"Medium",IF($G126=4,"Low","Optimized"))))))</f>
        <v/>
      </c>
      <c r="J126" s="7" t="str">
        <f>IF($G126="","",IFERROR(INDEX('Recommendation Matrix'!$E$5:$J$411,MATCH($E126,'Recommendation Matrix'!$A$5:$A$411,0),$G126+1),""))</f>
        <v/>
      </c>
      <c r="K126" s="7" t="str">
        <f>IF($G126="","",IFERROR(VLOOKUP($E126,'Recommendation Matrix'!$A$5:$K$411,11,FALSE),""))</f>
        <v/>
      </c>
      <c r="L126" s="28" t="str">
        <f t="shared" si="12"/>
        <v/>
      </c>
      <c r="M126" s="28" t="str">
        <f>IF($G126="","",IFERROR(INDEX('Recommendation Matrix'!$L$5:$Q$411,MATCH($E126,'Recommendation Matrix'!$A$5:$A$411,0),$G126+1),""))</f>
        <v/>
      </c>
      <c r="N126" s="28" t="str">
        <f t="shared" si="13"/>
        <v/>
      </c>
      <c r="O126" s="28" t="str">
        <f t="shared" si="14"/>
        <v/>
      </c>
      <c r="P126" s="28" t="str">
        <f t="shared" si="15"/>
        <v/>
      </c>
      <c r="Q126" s="28" t="str">
        <f t="shared" si="16"/>
        <v/>
      </c>
      <c r="R126" s="8" t="str">
        <f t="shared" si="17"/>
        <v/>
      </c>
      <c r="S126" s="28">
        <f>IFERROR('Legal Risk'!$G$12,"")</f>
        <v>5</v>
      </c>
      <c r="T126" s="28">
        <f>IFERROR('Legal Risk'!$W$12,"")</f>
        <v>5</v>
      </c>
      <c r="U126" s="28">
        <f>IFERROR('Legal Risk'!$X$12,"")</f>
        <v>5</v>
      </c>
      <c r="V126" s="28">
        <f>IFERROR('Legal Risk'!$Y$12,"")</f>
        <v>5</v>
      </c>
      <c r="W126" s="7" t="s">
        <v>3001</v>
      </c>
      <c r="X126" s="7" t="s">
        <v>3002</v>
      </c>
      <c r="Y126" s="7" t="s">
        <v>3066</v>
      </c>
      <c r="Z126" s="7">
        <f>IFERROR('Legal Risk'!$U$12,"")</f>
        <v>0</v>
      </c>
      <c r="AA126" s="7"/>
      <c r="AB126" s="29"/>
      <c r="AC126" s="7"/>
      <c r="AD126" s="48" t="str">
        <f>IF($B126="Yes",IFERROR(SUMIFS(_TECH_Crisis_Model!$D$5:$D$191,_TECH_Crisis_Model!$A$5:$A$191,'Crisis Simulator'!$B$4,_TECH_Crisis_Model!$B$5:$B$191,$C126),1),"")</f>
        <v/>
      </c>
      <c r="AE126" s="48" t="str">
        <f t="shared" si="18"/>
        <v/>
      </c>
      <c r="AF126" s="48" t="str">
        <f>IFERROR(INDEX(_TECH_Crisis_Model!$E$5:$E$191,MATCH('Crisis Simulator'!$B$4&amp;"|"&amp;$C126,_TECH_Crisis_Model!$I$5:$I$191,0)),"")</f>
        <v>Contracts, obligations and compliance exposure can turn operational crisis into legal or regulatory failure.</v>
      </c>
      <c r="AG126" s="48" t="str">
        <f>IFERROR(INDEX(_TECH_Crisis_Model!$G$5:$G$191,MATCH('Crisis Simulator'!$B$4&amp;"|"&amp;$C126,_TECH_Crisis_Model!$I$5:$I$191,0)),"")</f>
        <v>Review critical contracts, compliance obligations, force majeure, data protection and legal continuity.</v>
      </c>
      <c r="AH126" s="48" t="str">
        <f>IFERROR(INDEX(_TECH_Initiative_Library!$A$5:$A$76,MATCH(1,INDEX((_TECH_Initiative_Library!$B$5:$B$76=$C126)*(_TECH_Initiative_Library!$C$5:$C$76=$D126),0),0)),"")</f>
        <v>INI-020</v>
      </c>
      <c r="AI126" s="48" t="str">
        <f>IFERROR(INDEX(_TECH_Initiative_Library!$F$5:$F$76,MATCH(1,INDEX((_TECH_Initiative_Library!$B$5:$B$76=$C126)*(_TECH_Initiative_Library!$C$5:$C$76=$D126),0),0)),"")</f>
        <v>Build contract register, obligations and force-majeure response model</v>
      </c>
      <c r="AJ126" s="48" t="str">
        <f ca="1">IFERROR(INDEX(_TECH_Initiative_Library!$AC$5:$AC$76,MATCH(1,INDEX((_TECH_Initiative_Library!$B$5:$B$76=$C126)*(_TECH_Initiative_Library!$C$5:$C$76=$D126),0),0)),"")</f>
        <v/>
      </c>
      <c r="AK126" s="48" t="str">
        <f ca="1">IFERROR(INDEX(_TECH_Initiative_Library!$AE$5:$AE$76,MATCH(1,INDEX((_TECH_Initiative_Library!$B$5:$B$76=$C126)*(_TECH_Initiative_Library!$C$5:$C$76=$D126),0),0)),"")</f>
        <v/>
      </c>
      <c r="AL126" s="48" t="str">
        <f>IF($B126="Yes",IFERROR(SUMIFS(_TECH_Industry_Templates!$E:$E,_TECH_Industry_Templates!$A:$A,'Company Profile'!$B$9,_TECH_Industry_Templates!$B:$B,$C126),1),"")</f>
        <v/>
      </c>
      <c r="AM126" s="48" t="str">
        <f t="shared" si="19"/>
        <v/>
      </c>
      <c r="AN126" s="48" t="str">
        <f>IF($AM126="","",RANK.EQ($AM126,$AM$8:$AM$414,0)+COUNTIF($AM$8:$AM126,$AM126)-1)</f>
        <v/>
      </c>
    </row>
    <row r="127" spans="1:40" ht="71.25">
      <c r="A127" s="28" t="str">
        <f>IF($AM127="","",RANK.EQ($AM127,$AM$8:$AM$414,0)+COUNTIF($AM$8:$AM127,$AM127)-1)</f>
        <v/>
      </c>
      <c r="B127" s="7" t="str">
        <f t="shared" si="10"/>
        <v/>
      </c>
      <c r="C127" s="7" t="s">
        <v>69</v>
      </c>
      <c r="D127" s="7" t="s">
        <v>1187</v>
      </c>
      <c r="E127" s="7" t="s">
        <v>3074</v>
      </c>
      <c r="F127" s="7" t="s">
        <v>3075</v>
      </c>
      <c r="G127" s="28" t="str">
        <f>IF(OR(COUNTA('Legal Risk'!$H$13)=0,'Legal Risk'!$H$13="N/A"),"",VALUE('Legal Risk'!$H$13))</f>
        <v/>
      </c>
      <c r="H127" s="7" t="str">
        <f t="shared" si="11"/>
        <v/>
      </c>
      <c r="I127" s="7" t="str">
        <f>IF($G127="","",IFERROR(IF('Legal Risk'!$L$13="",IF($G127&lt;=1,"Critical",IF($G127=2,"High",IF($G127=3,"Medium",IF($G127=4,"Low","Optimized")))),'Legal Risk'!$L$13),IF($G127&lt;=1,"Critical",IF($G127=2,"High",IF($G127=3,"Medium",IF($G127=4,"Low","Optimized"))))))</f>
        <v/>
      </c>
      <c r="J127" s="7" t="str">
        <f>IF($G127="","",IFERROR(INDEX('Recommendation Matrix'!$E$5:$J$411,MATCH($E127,'Recommendation Matrix'!$A$5:$A$411,0),$G127+1),""))</f>
        <v/>
      </c>
      <c r="K127" s="7" t="str">
        <f>IF($G127="","",IFERROR(VLOOKUP($E127,'Recommendation Matrix'!$A$5:$K$411,11,FALSE),""))</f>
        <v/>
      </c>
      <c r="L127" s="28" t="str">
        <f t="shared" si="12"/>
        <v/>
      </c>
      <c r="M127" s="28" t="str">
        <f>IF($G127="","",IFERROR(INDEX('Recommendation Matrix'!$L$5:$Q$411,MATCH($E127,'Recommendation Matrix'!$A$5:$A$411,0),$G127+1),""))</f>
        <v/>
      </c>
      <c r="N127" s="28" t="str">
        <f t="shared" si="13"/>
        <v/>
      </c>
      <c r="O127" s="28" t="str">
        <f t="shared" si="14"/>
        <v/>
      </c>
      <c r="P127" s="28" t="str">
        <f t="shared" si="15"/>
        <v/>
      </c>
      <c r="Q127" s="28" t="str">
        <f t="shared" si="16"/>
        <v/>
      </c>
      <c r="R127" s="8" t="str">
        <f t="shared" si="17"/>
        <v/>
      </c>
      <c r="S127" s="28">
        <f>IFERROR('Legal Risk'!$G$13,"")</f>
        <v>4</v>
      </c>
      <c r="T127" s="28">
        <f>IFERROR('Legal Risk'!$W$13,"")</f>
        <v>5</v>
      </c>
      <c r="U127" s="28">
        <f>IFERROR('Legal Risk'!$X$13,"")</f>
        <v>5</v>
      </c>
      <c r="V127" s="28">
        <f>IFERROR('Legal Risk'!$Y$13,"")</f>
        <v>5</v>
      </c>
      <c r="W127" s="7" t="s">
        <v>3001</v>
      </c>
      <c r="X127" s="7" t="s">
        <v>3002</v>
      </c>
      <c r="Y127" s="7" t="s">
        <v>3076</v>
      </c>
      <c r="Z127" s="7">
        <f>IFERROR('Legal Risk'!$U$13,"")</f>
        <v>0</v>
      </c>
      <c r="AA127" s="7"/>
      <c r="AB127" s="29"/>
      <c r="AC127" s="7"/>
      <c r="AD127" s="48" t="str">
        <f>IF($B127="Yes",IFERROR(SUMIFS(_TECH_Crisis_Model!$D$5:$D$191,_TECH_Crisis_Model!$A$5:$A$191,'Crisis Simulator'!$B$4,_TECH_Crisis_Model!$B$5:$B$191,$C127),1),"")</f>
        <v/>
      </c>
      <c r="AE127" s="48" t="str">
        <f t="shared" si="18"/>
        <v/>
      </c>
      <c r="AF127" s="48" t="str">
        <f>IFERROR(INDEX(_TECH_Crisis_Model!$E$5:$E$191,MATCH('Crisis Simulator'!$B$4&amp;"|"&amp;$C127,_TECH_Crisis_Model!$I$5:$I$191,0)),"")</f>
        <v>Contracts, obligations and compliance exposure can turn operational crisis into legal or regulatory failure.</v>
      </c>
      <c r="AG127" s="48" t="str">
        <f>IFERROR(INDEX(_TECH_Crisis_Model!$G$5:$G$191,MATCH('Crisis Simulator'!$B$4&amp;"|"&amp;$C127,_TECH_Crisis_Model!$I$5:$I$191,0)),"")</f>
        <v>Review critical contracts, compliance obligations, force majeure, data protection and legal continuity.</v>
      </c>
      <c r="AH127" s="48" t="str">
        <f>IFERROR(INDEX(_TECH_Initiative_Library!$A$5:$A$76,MATCH(1,INDEX((_TECH_Initiative_Library!$B$5:$B$76=$C127)*(_TECH_Initiative_Library!$C$5:$C$76=$D127),0),0)),"")</f>
        <v>INI-020</v>
      </c>
      <c r="AI127" s="48" t="str">
        <f>IFERROR(INDEX(_TECH_Initiative_Library!$F$5:$F$76,MATCH(1,INDEX((_TECH_Initiative_Library!$B$5:$B$76=$C127)*(_TECH_Initiative_Library!$C$5:$C$76=$D127),0),0)),"")</f>
        <v>Build contract register, obligations and force-majeure response model</v>
      </c>
      <c r="AJ127" s="48" t="str">
        <f ca="1">IFERROR(INDEX(_TECH_Initiative_Library!$AC$5:$AC$76,MATCH(1,INDEX((_TECH_Initiative_Library!$B$5:$B$76=$C127)*(_TECH_Initiative_Library!$C$5:$C$76=$D127),0),0)),"")</f>
        <v/>
      </c>
      <c r="AK127" s="48" t="str">
        <f ca="1">IFERROR(INDEX(_TECH_Initiative_Library!$AE$5:$AE$76,MATCH(1,INDEX((_TECH_Initiative_Library!$B$5:$B$76=$C127)*(_TECH_Initiative_Library!$C$5:$C$76=$D127),0),0)),"")</f>
        <v/>
      </c>
      <c r="AL127" s="48" t="str">
        <f>IF($B127="Yes",IFERROR(SUMIFS(_TECH_Industry_Templates!$E:$E,_TECH_Industry_Templates!$A:$A,'Company Profile'!$B$9,_TECH_Industry_Templates!$B:$B,$C127),1),"")</f>
        <v/>
      </c>
      <c r="AM127" s="48" t="str">
        <f t="shared" si="19"/>
        <v/>
      </c>
      <c r="AN127" s="48" t="str">
        <f>IF($AM127="","",RANK.EQ($AM127,$AM$8:$AM$414,0)+COUNTIF($AM$8:$AM127,$AM127)-1)</f>
        <v/>
      </c>
    </row>
    <row r="128" spans="1:40" ht="71.25">
      <c r="A128" s="28" t="str">
        <f>IF($AM128="","",RANK.EQ($AM128,$AM$8:$AM$414,0)+COUNTIF($AM$8:$AM128,$AM128)-1)</f>
        <v/>
      </c>
      <c r="B128" s="7" t="str">
        <f t="shared" si="10"/>
        <v/>
      </c>
      <c r="C128" s="7" t="s">
        <v>69</v>
      </c>
      <c r="D128" s="7" t="s">
        <v>1187</v>
      </c>
      <c r="E128" s="7" t="s">
        <v>3084</v>
      </c>
      <c r="F128" s="7" t="s">
        <v>3085</v>
      </c>
      <c r="G128" s="28" t="str">
        <f>IF(OR(COUNTA('Legal Risk'!$H$14)=0,'Legal Risk'!$H$14="N/A"),"",VALUE('Legal Risk'!$H$14))</f>
        <v/>
      </c>
      <c r="H128" s="7" t="str">
        <f t="shared" si="11"/>
        <v/>
      </c>
      <c r="I128" s="7" t="str">
        <f>IF($G128="","",IFERROR(IF('Legal Risk'!$L$14="",IF($G128&lt;=1,"Critical",IF($G128=2,"High",IF($G128=3,"Medium",IF($G128=4,"Low","Optimized")))),'Legal Risk'!$L$14),IF($G128&lt;=1,"Critical",IF($G128=2,"High",IF($G128=3,"Medium",IF($G128=4,"Low","Optimized"))))))</f>
        <v/>
      </c>
      <c r="J128" s="7" t="str">
        <f>IF($G128="","",IFERROR(INDEX('Recommendation Matrix'!$E$5:$J$411,MATCH($E128,'Recommendation Matrix'!$A$5:$A$411,0),$G128+1),""))</f>
        <v/>
      </c>
      <c r="K128" s="7" t="str">
        <f>IF($G128="","",IFERROR(VLOOKUP($E128,'Recommendation Matrix'!$A$5:$K$411,11,FALSE),""))</f>
        <v/>
      </c>
      <c r="L128" s="28" t="str">
        <f t="shared" si="12"/>
        <v/>
      </c>
      <c r="M128" s="28" t="str">
        <f>IF($G128="","",IFERROR(INDEX('Recommendation Matrix'!$L$5:$Q$411,MATCH($E128,'Recommendation Matrix'!$A$5:$A$411,0),$G128+1),""))</f>
        <v/>
      </c>
      <c r="N128" s="28" t="str">
        <f t="shared" si="13"/>
        <v/>
      </c>
      <c r="O128" s="28" t="str">
        <f t="shared" si="14"/>
        <v/>
      </c>
      <c r="P128" s="28" t="str">
        <f t="shared" si="15"/>
        <v/>
      </c>
      <c r="Q128" s="28" t="str">
        <f t="shared" si="16"/>
        <v/>
      </c>
      <c r="R128" s="8" t="str">
        <f t="shared" si="17"/>
        <v/>
      </c>
      <c r="S128" s="28">
        <f>IFERROR('Legal Risk'!$G$14,"")</f>
        <v>5</v>
      </c>
      <c r="T128" s="28">
        <f>IFERROR('Legal Risk'!$W$14,"")</f>
        <v>5</v>
      </c>
      <c r="U128" s="28">
        <f>IFERROR('Legal Risk'!$X$14,"")</f>
        <v>5</v>
      </c>
      <c r="V128" s="28">
        <f>IFERROR('Legal Risk'!$Y$14,"")</f>
        <v>5</v>
      </c>
      <c r="W128" s="7" t="s">
        <v>3001</v>
      </c>
      <c r="X128" s="7" t="s">
        <v>3002</v>
      </c>
      <c r="Y128" s="7" t="s">
        <v>3086</v>
      </c>
      <c r="Z128" s="7">
        <f>IFERROR('Legal Risk'!$U$14,"")</f>
        <v>0</v>
      </c>
      <c r="AA128" s="7"/>
      <c r="AB128" s="29"/>
      <c r="AC128" s="7"/>
      <c r="AD128" s="48" t="str">
        <f>IF($B128="Yes",IFERROR(SUMIFS(_TECH_Crisis_Model!$D$5:$D$191,_TECH_Crisis_Model!$A$5:$A$191,'Crisis Simulator'!$B$4,_TECH_Crisis_Model!$B$5:$B$191,$C128),1),"")</f>
        <v/>
      </c>
      <c r="AE128" s="48" t="str">
        <f t="shared" si="18"/>
        <v/>
      </c>
      <c r="AF128" s="48" t="str">
        <f>IFERROR(INDEX(_TECH_Crisis_Model!$E$5:$E$191,MATCH('Crisis Simulator'!$B$4&amp;"|"&amp;$C128,_TECH_Crisis_Model!$I$5:$I$191,0)),"")</f>
        <v>Contracts, obligations and compliance exposure can turn operational crisis into legal or regulatory failure.</v>
      </c>
      <c r="AG128" s="48" t="str">
        <f>IFERROR(INDEX(_TECH_Crisis_Model!$G$5:$G$191,MATCH('Crisis Simulator'!$B$4&amp;"|"&amp;$C128,_TECH_Crisis_Model!$I$5:$I$191,0)),"")</f>
        <v>Review critical contracts, compliance obligations, force majeure, data protection and legal continuity.</v>
      </c>
      <c r="AH128" s="48" t="str">
        <f>IFERROR(INDEX(_TECH_Initiative_Library!$A$5:$A$76,MATCH(1,INDEX((_TECH_Initiative_Library!$B$5:$B$76=$C128)*(_TECH_Initiative_Library!$C$5:$C$76=$D128),0),0)),"")</f>
        <v>INI-020</v>
      </c>
      <c r="AI128" s="48" t="str">
        <f>IFERROR(INDEX(_TECH_Initiative_Library!$F$5:$F$76,MATCH(1,INDEX((_TECH_Initiative_Library!$B$5:$B$76=$C128)*(_TECH_Initiative_Library!$C$5:$C$76=$D128),0),0)),"")</f>
        <v>Build contract register, obligations and force-majeure response model</v>
      </c>
      <c r="AJ128" s="48" t="str">
        <f ca="1">IFERROR(INDEX(_TECH_Initiative_Library!$AC$5:$AC$76,MATCH(1,INDEX((_TECH_Initiative_Library!$B$5:$B$76=$C128)*(_TECH_Initiative_Library!$C$5:$C$76=$D128),0),0)),"")</f>
        <v/>
      </c>
      <c r="AK128" s="48" t="str">
        <f ca="1">IFERROR(INDEX(_TECH_Initiative_Library!$AE$5:$AE$76,MATCH(1,INDEX((_TECH_Initiative_Library!$B$5:$B$76=$C128)*(_TECH_Initiative_Library!$C$5:$C$76=$D128),0),0)),"")</f>
        <v/>
      </c>
      <c r="AL128" s="48" t="str">
        <f>IF($B128="Yes",IFERROR(SUMIFS(_TECH_Industry_Templates!$E:$E,_TECH_Industry_Templates!$A:$A,'Company Profile'!$B$9,_TECH_Industry_Templates!$B:$B,$C128),1),"")</f>
        <v/>
      </c>
      <c r="AM128" s="48" t="str">
        <f t="shared" si="19"/>
        <v/>
      </c>
      <c r="AN128" s="48" t="str">
        <f>IF($AM128="","",RANK.EQ($AM128,$AM$8:$AM$414,0)+COUNTIF($AM$8:$AM128,$AM128)-1)</f>
        <v/>
      </c>
    </row>
    <row r="129" spans="1:40" ht="71.25">
      <c r="A129" s="28" t="str">
        <f>IF($AM129="","",RANK.EQ($AM129,$AM$8:$AM$414,0)+COUNTIF($AM$8:$AM129,$AM129)-1)</f>
        <v/>
      </c>
      <c r="B129" s="7" t="str">
        <f t="shared" si="10"/>
        <v/>
      </c>
      <c r="C129" s="7" t="s">
        <v>69</v>
      </c>
      <c r="D129" s="7" t="s">
        <v>1187</v>
      </c>
      <c r="E129" s="7" t="s">
        <v>3094</v>
      </c>
      <c r="F129" s="7" t="s">
        <v>3095</v>
      </c>
      <c r="G129" s="28" t="str">
        <f>IF(OR(COUNTA('Legal Risk'!$H$15)=0,'Legal Risk'!$H$15="N/A"),"",VALUE('Legal Risk'!$H$15))</f>
        <v/>
      </c>
      <c r="H129" s="7" t="str">
        <f t="shared" si="11"/>
        <v/>
      </c>
      <c r="I129" s="7" t="str">
        <f>IF($G129="","",IFERROR(IF('Legal Risk'!$L$15="",IF($G129&lt;=1,"Critical",IF($G129=2,"High",IF($G129=3,"Medium",IF($G129=4,"Low","Optimized")))),'Legal Risk'!$L$15),IF($G129&lt;=1,"Critical",IF($G129=2,"High",IF($G129=3,"Medium",IF($G129=4,"Low","Optimized"))))))</f>
        <v/>
      </c>
      <c r="J129" s="7" t="str">
        <f>IF($G129="","",IFERROR(INDEX('Recommendation Matrix'!$E$5:$J$411,MATCH($E129,'Recommendation Matrix'!$A$5:$A$411,0),$G129+1),""))</f>
        <v/>
      </c>
      <c r="K129" s="7" t="str">
        <f>IF($G129="","",IFERROR(VLOOKUP($E129,'Recommendation Matrix'!$A$5:$K$411,11,FALSE),""))</f>
        <v/>
      </c>
      <c r="L129" s="28" t="str">
        <f t="shared" si="12"/>
        <v/>
      </c>
      <c r="M129" s="28" t="str">
        <f>IF($G129="","",IFERROR(INDEX('Recommendation Matrix'!$L$5:$Q$411,MATCH($E129,'Recommendation Matrix'!$A$5:$A$411,0),$G129+1),""))</f>
        <v/>
      </c>
      <c r="N129" s="28" t="str">
        <f t="shared" si="13"/>
        <v/>
      </c>
      <c r="O129" s="28" t="str">
        <f t="shared" si="14"/>
        <v/>
      </c>
      <c r="P129" s="28" t="str">
        <f t="shared" si="15"/>
        <v/>
      </c>
      <c r="Q129" s="28" t="str">
        <f t="shared" si="16"/>
        <v/>
      </c>
      <c r="R129" s="8" t="str">
        <f t="shared" si="17"/>
        <v/>
      </c>
      <c r="S129" s="28">
        <f>IFERROR('Legal Risk'!$G$15,"")</f>
        <v>5</v>
      </c>
      <c r="T129" s="28">
        <f>IFERROR('Legal Risk'!$W$15,"")</f>
        <v>5</v>
      </c>
      <c r="U129" s="28">
        <f>IFERROR('Legal Risk'!$X$15,"")</f>
        <v>5</v>
      </c>
      <c r="V129" s="28">
        <f>IFERROR('Legal Risk'!$Y$15,"")</f>
        <v>5</v>
      </c>
      <c r="W129" s="7" t="s">
        <v>3001</v>
      </c>
      <c r="X129" s="7" t="s">
        <v>3002</v>
      </c>
      <c r="Y129" s="7" t="s">
        <v>3096</v>
      </c>
      <c r="Z129" s="7">
        <f>IFERROR('Legal Risk'!$U$15,"")</f>
        <v>0</v>
      </c>
      <c r="AA129" s="7"/>
      <c r="AB129" s="29"/>
      <c r="AC129" s="7"/>
      <c r="AD129" s="48" t="str">
        <f>IF($B129="Yes",IFERROR(SUMIFS(_TECH_Crisis_Model!$D$5:$D$191,_TECH_Crisis_Model!$A$5:$A$191,'Crisis Simulator'!$B$4,_TECH_Crisis_Model!$B$5:$B$191,$C129),1),"")</f>
        <v/>
      </c>
      <c r="AE129" s="48" t="str">
        <f t="shared" si="18"/>
        <v/>
      </c>
      <c r="AF129" s="48" t="str">
        <f>IFERROR(INDEX(_TECH_Crisis_Model!$E$5:$E$191,MATCH('Crisis Simulator'!$B$4&amp;"|"&amp;$C129,_TECH_Crisis_Model!$I$5:$I$191,0)),"")</f>
        <v>Contracts, obligations and compliance exposure can turn operational crisis into legal or regulatory failure.</v>
      </c>
      <c r="AG129" s="48" t="str">
        <f>IFERROR(INDEX(_TECH_Crisis_Model!$G$5:$G$191,MATCH('Crisis Simulator'!$B$4&amp;"|"&amp;$C129,_TECH_Crisis_Model!$I$5:$I$191,0)),"")</f>
        <v>Review critical contracts, compliance obligations, force majeure, data protection and legal continuity.</v>
      </c>
      <c r="AH129" s="48" t="str">
        <f>IFERROR(INDEX(_TECH_Initiative_Library!$A$5:$A$76,MATCH(1,INDEX((_TECH_Initiative_Library!$B$5:$B$76=$C129)*(_TECH_Initiative_Library!$C$5:$C$76=$D129),0),0)),"")</f>
        <v>INI-020</v>
      </c>
      <c r="AI129" s="48" t="str">
        <f>IFERROR(INDEX(_TECH_Initiative_Library!$F$5:$F$76,MATCH(1,INDEX((_TECH_Initiative_Library!$B$5:$B$76=$C129)*(_TECH_Initiative_Library!$C$5:$C$76=$D129),0),0)),"")</f>
        <v>Build contract register, obligations and force-majeure response model</v>
      </c>
      <c r="AJ129" s="48" t="str">
        <f ca="1">IFERROR(INDEX(_TECH_Initiative_Library!$AC$5:$AC$76,MATCH(1,INDEX((_TECH_Initiative_Library!$B$5:$B$76=$C129)*(_TECH_Initiative_Library!$C$5:$C$76=$D129),0),0)),"")</f>
        <v/>
      </c>
      <c r="AK129" s="48" t="str">
        <f ca="1">IFERROR(INDEX(_TECH_Initiative_Library!$AE$5:$AE$76,MATCH(1,INDEX((_TECH_Initiative_Library!$B$5:$B$76=$C129)*(_TECH_Initiative_Library!$C$5:$C$76=$D129),0),0)),"")</f>
        <v/>
      </c>
      <c r="AL129" s="48" t="str">
        <f>IF($B129="Yes",IFERROR(SUMIFS(_TECH_Industry_Templates!$E:$E,_TECH_Industry_Templates!$A:$A,'Company Profile'!$B$9,_TECH_Industry_Templates!$B:$B,$C129),1),"")</f>
        <v/>
      </c>
      <c r="AM129" s="48" t="str">
        <f t="shared" si="19"/>
        <v/>
      </c>
      <c r="AN129" s="48" t="str">
        <f>IF($AM129="","",RANK.EQ($AM129,$AM$8:$AM$414,0)+COUNTIF($AM$8:$AM129,$AM129)-1)</f>
        <v/>
      </c>
    </row>
    <row r="130" spans="1:40" ht="71.25">
      <c r="A130" s="28" t="str">
        <f>IF($AM130="","",RANK.EQ($AM130,$AM$8:$AM$414,0)+COUNTIF($AM$8:$AM130,$AM130)-1)</f>
        <v/>
      </c>
      <c r="B130" s="7" t="str">
        <f t="shared" si="10"/>
        <v/>
      </c>
      <c r="C130" s="7" t="s">
        <v>69</v>
      </c>
      <c r="D130" s="7" t="s">
        <v>1187</v>
      </c>
      <c r="E130" s="7" t="s">
        <v>3104</v>
      </c>
      <c r="F130" s="7" t="s">
        <v>3105</v>
      </c>
      <c r="G130" s="28" t="str">
        <f>IF(OR(COUNTA('Legal Risk'!$H$16)=0,'Legal Risk'!$H$16="N/A"),"",VALUE('Legal Risk'!$H$16))</f>
        <v/>
      </c>
      <c r="H130" s="7" t="str">
        <f t="shared" si="11"/>
        <v/>
      </c>
      <c r="I130" s="7" t="str">
        <f>IF($G130="","",IFERROR(IF('Legal Risk'!$L$16="",IF($G130&lt;=1,"Critical",IF($G130=2,"High",IF($G130=3,"Medium",IF($G130=4,"Low","Optimized")))),'Legal Risk'!$L$16),IF($G130&lt;=1,"Critical",IF($G130=2,"High",IF($G130=3,"Medium",IF($G130=4,"Low","Optimized"))))))</f>
        <v/>
      </c>
      <c r="J130" s="7" t="str">
        <f>IF($G130="","",IFERROR(INDEX('Recommendation Matrix'!$E$5:$J$411,MATCH($E130,'Recommendation Matrix'!$A$5:$A$411,0),$G130+1),""))</f>
        <v/>
      </c>
      <c r="K130" s="7" t="str">
        <f>IF($G130="","",IFERROR(VLOOKUP($E130,'Recommendation Matrix'!$A$5:$K$411,11,FALSE),""))</f>
        <v/>
      </c>
      <c r="L130" s="28" t="str">
        <f t="shared" si="12"/>
        <v/>
      </c>
      <c r="M130" s="28" t="str">
        <f>IF($G130="","",IFERROR(INDEX('Recommendation Matrix'!$L$5:$Q$411,MATCH($E130,'Recommendation Matrix'!$A$5:$A$411,0),$G130+1),""))</f>
        <v/>
      </c>
      <c r="N130" s="28" t="str">
        <f t="shared" si="13"/>
        <v/>
      </c>
      <c r="O130" s="28" t="str">
        <f t="shared" si="14"/>
        <v/>
      </c>
      <c r="P130" s="28" t="str">
        <f t="shared" si="15"/>
        <v/>
      </c>
      <c r="Q130" s="28" t="str">
        <f t="shared" si="16"/>
        <v/>
      </c>
      <c r="R130" s="8" t="str">
        <f t="shared" si="17"/>
        <v/>
      </c>
      <c r="S130" s="28">
        <f>IFERROR('Legal Risk'!$G$16,"")</f>
        <v>5</v>
      </c>
      <c r="T130" s="28">
        <f>IFERROR('Legal Risk'!$W$16,"")</f>
        <v>5</v>
      </c>
      <c r="U130" s="28">
        <f>IFERROR('Legal Risk'!$X$16,"")</f>
        <v>5</v>
      </c>
      <c r="V130" s="28">
        <f>IFERROR('Legal Risk'!$Y$16,"")</f>
        <v>5</v>
      </c>
      <c r="W130" s="7" t="s">
        <v>3001</v>
      </c>
      <c r="X130" s="7" t="s">
        <v>3002</v>
      </c>
      <c r="Y130" s="7" t="s">
        <v>3106</v>
      </c>
      <c r="Z130" s="7">
        <f>IFERROR('Legal Risk'!$U$16,"")</f>
        <v>0</v>
      </c>
      <c r="AA130" s="7"/>
      <c r="AB130" s="29"/>
      <c r="AC130" s="7"/>
      <c r="AD130" s="48" t="str">
        <f>IF($B130="Yes",IFERROR(SUMIFS(_TECH_Crisis_Model!$D$5:$D$191,_TECH_Crisis_Model!$A$5:$A$191,'Crisis Simulator'!$B$4,_TECH_Crisis_Model!$B$5:$B$191,$C130),1),"")</f>
        <v/>
      </c>
      <c r="AE130" s="48" t="str">
        <f t="shared" si="18"/>
        <v/>
      </c>
      <c r="AF130" s="48" t="str">
        <f>IFERROR(INDEX(_TECH_Crisis_Model!$E$5:$E$191,MATCH('Crisis Simulator'!$B$4&amp;"|"&amp;$C130,_TECH_Crisis_Model!$I$5:$I$191,0)),"")</f>
        <v>Contracts, obligations and compliance exposure can turn operational crisis into legal or regulatory failure.</v>
      </c>
      <c r="AG130" s="48" t="str">
        <f>IFERROR(INDEX(_TECH_Crisis_Model!$G$5:$G$191,MATCH('Crisis Simulator'!$B$4&amp;"|"&amp;$C130,_TECH_Crisis_Model!$I$5:$I$191,0)),"")</f>
        <v>Review critical contracts, compliance obligations, force majeure, data protection and legal continuity.</v>
      </c>
      <c r="AH130" s="48" t="str">
        <f>IFERROR(INDEX(_TECH_Initiative_Library!$A$5:$A$76,MATCH(1,INDEX((_TECH_Initiative_Library!$B$5:$B$76=$C130)*(_TECH_Initiative_Library!$C$5:$C$76=$D130),0),0)),"")</f>
        <v>INI-020</v>
      </c>
      <c r="AI130" s="48" t="str">
        <f>IFERROR(INDEX(_TECH_Initiative_Library!$F$5:$F$76,MATCH(1,INDEX((_TECH_Initiative_Library!$B$5:$B$76=$C130)*(_TECH_Initiative_Library!$C$5:$C$76=$D130),0),0)),"")</f>
        <v>Build contract register, obligations and force-majeure response model</v>
      </c>
      <c r="AJ130" s="48" t="str">
        <f ca="1">IFERROR(INDEX(_TECH_Initiative_Library!$AC$5:$AC$76,MATCH(1,INDEX((_TECH_Initiative_Library!$B$5:$B$76=$C130)*(_TECH_Initiative_Library!$C$5:$C$76=$D130),0),0)),"")</f>
        <v/>
      </c>
      <c r="AK130" s="48" t="str">
        <f ca="1">IFERROR(INDEX(_TECH_Initiative_Library!$AE$5:$AE$76,MATCH(1,INDEX((_TECH_Initiative_Library!$B$5:$B$76=$C130)*(_TECH_Initiative_Library!$C$5:$C$76=$D130),0),0)),"")</f>
        <v/>
      </c>
      <c r="AL130" s="48" t="str">
        <f>IF($B130="Yes",IFERROR(SUMIFS(_TECH_Industry_Templates!$E:$E,_TECH_Industry_Templates!$A:$A,'Company Profile'!$B$9,_TECH_Industry_Templates!$B:$B,$C130),1),"")</f>
        <v/>
      </c>
      <c r="AM130" s="48" t="str">
        <f t="shared" si="19"/>
        <v/>
      </c>
      <c r="AN130" s="48" t="str">
        <f>IF($AM130="","",RANK.EQ($AM130,$AM$8:$AM$414,0)+COUNTIF($AM$8:$AM130,$AM130)-1)</f>
        <v/>
      </c>
    </row>
    <row r="131" spans="1:40" ht="71.25">
      <c r="A131" s="28" t="str">
        <f>IF($AM131="","",RANK.EQ($AM131,$AM$8:$AM$414,0)+COUNTIF($AM$8:$AM131,$AM131)-1)</f>
        <v/>
      </c>
      <c r="B131" s="7" t="str">
        <f t="shared" si="10"/>
        <v/>
      </c>
      <c r="C131" s="7" t="s">
        <v>69</v>
      </c>
      <c r="D131" s="7" t="s">
        <v>1195</v>
      </c>
      <c r="E131" s="7" t="s">
        <v>3114</v>
      </c>
      <c r="F131" s="7" t="s">
        <v>3115</v>
      </c>
      <c r="G131" s="28" t="str">
        <f>IF(OR(COUNTA('Legal Risk'!$H$17)=0,'Legal Risk'!$H$17="N/A"),"",VALUE('Legal Risk'!$H$17))</f>
        <v/>
      </c>
      <c r="H131" s="7" t="str">
        <f t="shared" si="11"/>
        <v/>
      </c>
      <c r="I131" s="7" t="str">
        <f>IF($G131="","",IFERROR(IF('Legal Risk'!$L$17="",IF($G131&lt;=1,"Critical",IF($G131=2,"High",IF($G131=3,"Medium",IF($G131=4,"Low","Optimized")))),'Legal Risk'!$L$17),IF($G131&lt;=1,"Critical",IF($G131=2,"High",IF($G131=3,"Medium",IF($G131=4,"Low","Optimized"))))))</f>
        <v/>
      </c>
      <c r="J131" s="7" t="str">
        <f>IF($G131="","",IFERROR(INDEX('Recommendation Matrix'!$E$5:$J$411,MATCH($E131,'Recommendation Matrix'!$A$5:$A$411,0),$G131+1),""))</f>
        <v/>
      </c>
      <c r="K131" s="7" t="str">
        <f>IF($G131="","",IFERROR(VLOOKUP($E131,'Recommendation Matrix'!$A$5:$K$411,11,FALSE),""))</f>
        <v/>
      </c>
      <c r="L131" s="28" t="str">
        <f t="shared" si="12"/>
        <v/>
      </c>
      <c r="M131" s="28" t="str">
        <f>IF($G131="","",IFERROR(INDEX('Recommendation Matrix'!$L$5:$Q$411,MATCH($E131,'Recommendation Matrix'!$A$5:$A$411,0),$G131+1),""))</f>
        <v/>
      </c>
      <c r="N131" s="28" t="str">
        <f t="shared" si="13"/>
        <v/>
      </c>
      <c r="O131" s="28" t="str">
        <f t="shared" si="14"/>
        <v/>
      </c>
      <c r="P131" s="28" t="str">
        <f t="shared" si="15"/>
        <v/>
      </c>
      <c r="Q131" s="28" t="str">
        <f t="shared" si="16"/>
        <v/>
      </c>
      <c r="R131" s="8" t="str">
        <f t="shared" si="17"/>
        <v/>
      </c>
      <c r="S131" s="28">
        <f>IFERROR('Legal Risk'!$G$17,"")</f>
        <v>5</v>
      </c>
      <c r="T131" s="28">
        <f>IFERROR('Legal Risk'!$W$17,"")</f>
        <v>5</v>
      </c>
      <c r="U131" s="28">
        <f>IFERROR('Legal Risk'!$X$17,"")</f>
        <v>5</v>
      </c>
      <c r="V131" s="28">
        <f>IFERROR('Legal Risk'!$Y$17,"")</f>
        <v>5</v>
      </c>
      <c r="W131" s="7" t="s">
        <v>3001</v>
      </c>
      <c r="X131" s="7" t="s">
        <v>3002</v>
      </c>
      <c r="Y131" s="7" t="s">
        <v>3116</v>
      </c>
      <c r="Z131" s="7">
        <f>IFERROR('Legal Risk'!$U$17,"")</f>
        <v>0</v>
      </c>
      <c r="AA131" s="7"/>
      <c r="AB131" s="29"/>
      <c r="AC131" s="7"/>
      <c r="AD131" s="48" t="str">
        <f>IF($B131="Yes",IFERROR(SUMIFS(_TECH_Crisis_Model!$D$5:$D$191,_TECH_Crisis_Model!$A$5:$A$191,'Crisis Simulator'!$B$4,_TECH_Crisis_Model!$B$5:$B$191,$C131),1),"")</f>
        <v/>
      </c>
      <c r="AE131" s="48" t="str">
        <f t="shared" si="18"/>
        <v/>
      </c>
      <c r="AF131" s="48" t="str">
        <f>IFERROR(INDEX(_TECH_Crisis_Model!$E$5:$E$191,MATCH('Crisis Simulator'!$B$4&amp;"|"&amp;$C131,_TECH_Crisis_Model!$I$5:$I$191,0)),"")</f>
        <v>Contracts, obligations and compliance exposure can turn operational crisis into legal or regulatory failure.</v>
      </c>
      <c r="AG131" s="48" t="str">
        <f>IFERROR(INDEX(_TECH_Crisis_Model!$G$5:$G$191,MATCH('Crisis Simulator'!$B$4&amp;"|"&amp;$C131,_TECH_Crisis_Model!$I$5:$I$191,0)),"")</f>
        <v>Review critical contracts, compliance obligations, force majeure, data protection and legal continuity.</v>
      </c>
      <c r="AH131" s="48" t="str">
        <f>IFERROR(INDEX(_TECH_Initiative_Library!$A$5:$A$76,MATCH(1,INDEX((_TECH_Initiative_Library!$B$5:$B$76=$C131)*(_TECH_Initiative_Library!$C$5:$C$76=$D131),0),0)),"")</f>
        <v>INI-021</v>
      </c>
      <c r="AI131" s="48" t="str">
        <f>IFERROR(INDEX(_TECH_Initiative_Library!$F$5:$F$76,MATCH(1,INDEX((_TECH_Initiative_Library!$B$5:$B$76=$C131)*(_TECH_Initiative_Library!$C$5:$C$76=$D131),0),0)),"")</f>
        <v>Strengthen data, IP and confidentiality legal safeguards</v>
      </c>
      <c r="AJ131" s="48" t="str">
        <f ca="1">IFERROR(INDEX(_TECH_Initiative_Library!$AC$5:$AC$76,MATCH(1,INDEX((_TECH_Initiative_Library!$B$5:$B$76=$C131)*(_TECH_Initiative_Library!$C$5:$C$76=$D131),0),0)),"")</f>
        <v/>
      </c>
      <c r="AK131" s="48" t="str">
        <f ca="1">IFERROR(INDEX(_TECH_Initiative_Library!$AE$5:$AE$76,MATCH(1,INDEX((_TECH_Initiative_Library!$B$5:$B$76=$C131)*(_TECH_Initiative_Library!$C$5:$C$76=$D131),0),0)),"")</f>
        <v/>
      </c>
      <c r="AL131" s="48" t="str">
        <f>IF($B131="Yes",IFERROR(SUMIFS(_TECH_Industry_Templates!$E:$E,_TECH_Industry_Templates!$A:$A,'Company Profile'!$B$9,_TECH_Industry_Templates!$B:$B,$C131),1),"")</f>
        <v/>
      </c>
      <c r="AM131" s="48" t="str">
        <f t="shared" si="19"/>
        <v/>
      </c>
      <c r="AN131" s="48" t="str">
        <f>IF($AM131="","",RANK.EQ($AM131,$AM$8:$AM$414,0)+COUNTIF($AM$8:$AM131,$AM131)-1)</f>
        <v/>
      </c>
    </row>
    <row r="132" spans="1:40" ht="71.25">
      <c r="A132" s="28" t="str">
        <f>IF($AM132="","",RANK.EQ($AM132,$AM$8:$AM$414,0)+COUNTIF($AM$8:$AM132,$AM132)-1)</f>
        <v/>
      </c>
      <c r="B132" s="7" t="str">
        <f t="shared" si="10"/>
        <v/>
      </c>
      <c r="C132" s="7" t="s">
        <v>69</v>
      </c>
      <c r="D132" s="7" t="s">
        <v>1195</v>
      </c>
      <c r="E132" s="7" t="s">
        <v>3124</v>
      </c>
      <c r="F132" s="7" t="s">
        <v>3125</v>
      </c>
      <c r="G132" s="28" t="str">
        <f>IF(OR(COUNTA('Legal Risk'!$H$18)=0,'Legal Risk'!$H$18="N/A"),"",VALUE('Legal Risk'!$H$18))</f>
        <v/>
      </c>
      <c r="H132" s="7" t="str">
        <f t="shared" si="11"/>
        <v/>
      </c>
      <c r="I132" s="7" t="str">
        <f>IF($G132="","",IFERROR(IF('Legal Risk'!$L$18="",IF($G132&lt;=1,"Critical",IF($G132=2,"High",IF($G132=3,"Medium",IF($G132=4,"Low","Optimized")))),'Legal Risk'!$L$18),IF($G132&lt;=1,"Critical",IF($G132=2,"High",IF($G132=3,"Medium",IF($G132=4,"Low","Optimized"))))))</f>
        <v/>
      </c>
      <c r="J132" s="7" t="str">
        <f>IF($G132="","",IFERROR(INDEX('Recommendation Matrix'!$E$5:$J$411,MATCH($E132,'Recommendation Matrix'!$A$5:$A$411,0),$G132+1),""))</f>
        <v/>
      </c>
      <c r="K132" s="7" t="str">
        <f>IF($G132="","",IFERROR(VLOOKUP($E132,'Recommendation Matrix'!$A$5:$K$411,11,FALSE),""))</f>
        <v/>
      </c>
      <c r="L132" s="28" t="str">
        <f t="shared" si="12"/>
        <v/>
      </c>
      <c r="M132" s="28" t="str">
        <f>IF($G132="","",IFERROR(INDEX('Recommendation Matrix'!$L$5:$Q$411,MATCH($E132,'Recommendation Matrix'!$A$5:$A$411,0),$G132+1),""))</f>
        <v/>
      </c>
      <c r="N132" s="28" t="str">
        <f t="shared" si="13"/>
        <v/>
      </c>
      <c r="O132" s="28" t="str">
        <f t="shared" si="14"/>
        <v/>
      </c>
      <c r="P132" s="28" t="str">
        <f t="shared" si="15"/>
        <v/>
      </c>
      <c r="Q132" s="28" t="str">
        <f t="shared" si="16"/>
        <v/>
      </c>
      <c r="R132" s="8" t="str">
        <f t="shared" si="17"/>
        <v/>
      </c>
      <c r="S132" s="28">
        <f>IFERROR('Legal Risk'!$G$18,"")</f>
        <v>4</v>
      </c>
      <c r="T132" s="28">
        <f>IFERROR('Legal Risk'!$W$18,"")</f>
        <v>5</v>
      </c>
      <c r="U132" s="28">
        <f>IFERROR('Legal Risk'!$X$18,"")</f>
        <v>5</v>
      </c>
      <c r="V132" s="28">
        <f>IFERROR('Legal Risk'!$Y$18,"")</f>
        <v>5</v>
      </c>
      <c r="W132" s="7" t="s">
        <v>3001</v>
      </c>
      <c r="X132" s="7" t="s">
        <v>3002</v>
      </c>
      <c r="Y132" s="7" t="s">
        <v>3126</v>
      </c>
      <c r="Z132" s="7">
        <f>IFERROR('Legal Risk'!$U$18,"")</f>
        <v>0</v>
      </c>
      <c r="AA132" s="7"/>
      <c r="AB132" s="29"/>
      <c r="AC132" s="7"/>
      <c r="AD132" s="48" t="str">
        <f>IF($B132="Yes",IFERROR(SUMIFS(_TECH_Crisis_Model!$D$5:$D$191,_TECH_Crisis_Model!$A$5:$A$191,'Crisis Simulator'!$B$4,_TECH_Crisis_Model!$B$5:$B$191,$C132),1),"")</f>
        <v/>
      </c>
      <c r="AE132" s="48" t="str">
        <f t="shared" si="18"/>
        <v/>
      </c>
      <c r="AF132" s="48" t="str">
        <f>IFERROR(INDEX(_TECH_Crisis_Model!$E$5:$E$191,MATCH('Crisis Simulator'!$B$4&amp;"|"&amp;$C132,_TECH_Crisis_Model!$I$5:$I$191,0)),"")</f>
        <v>Contracts, obligations and compliance exposure can turn operational crisis into legal or regulatory failure.</v>
      </c>
      <c r="AG132" s="48" t="str">
        <f>IFERROR(INDEX(_TECH_Crisis_Model!$G$5:$G$191,MATCH('Crisis Simulator'!$B$4&amp;"|"&amp;$C132,_TECH_Crisis_Model!$I$5:$I$191,0)),"")</f>
        <v>Review critical contracts, compliance obligations, force majeure, data protection and legal continuity.</v>
      </c>
      <c r="AH132" s="48" t="str">
        <f>IFERROR(INDEX(_TECH_Initiative_Library!$A$5:$A$76,MATCH(1,INDEX((_TECH_Initiative_Library!$B$5:$B$76=$C132)*(_TECH_Initiative_Library!$C$5:$C$76=$D132),0),0)),"")</f>
        <v>INI-021</v>
      </c>
      <c r="AI132" s="48" t="str">
        <f>IFERROR(INDEX(_TECH_Initiative_Library!$F$5:$F$76,MATCH(1,INDEX((_TECH_Initiative_Library!$B$5:$B$76=$C132)*(_TECH_Initiative_Library!$C$5:$C$76=$D132),0),0)),"")</f>
        <v>Strengthen data, IP and confidentiality legal safeguards</v>
      </c>
      <c r="AJ132" s="48" t="str">
        <f ca="1">IFERROR(INDEX(_TECH_Initiative_Library!$AC$5:$AC$76,MATCH(1,INDEX((_TECH_Initiative_Library!$B$5:$B$76=$C132)*(_TECH_Initiative_Library!$C$5:$C$76=$D132),0),0)),"")</f>
        <v/>
      </c>
      <c r="AK132" s="48" t="str">
        <f ca="1">IFERROR(INDEX(_TECH_Initiative_Library!$AE$5:$AE$76,MATCH(1,INDEX((_TECH_Initiative_Library!$B$5:$B$76=$C132)*(_TECH_Initiative_Library!$C$5:$C$76=$D132),0),0)),"")</f>
        <v/>
      </c>
      <c r="AL132" s="48" t="str">
        <f>IF($B132="Yes",IFERROR(SUMIFS(_TECH_Industry_Templates!$E:$E,_TECH_Industry_Templates!$A:$A,'Company Profile'!$B$9,_TECH_Industry_Templates!$B:$B,$C132),1),"")</f>
        <v/>
      </c>
      <c r="AM132" s="48" t="str">
        <f t="shared" si="19"/>
        <v/>
      </c>
      <c r="AN132" s="48" t="str">
        <f>IF($AM132="","",RANK.EQ($AM132,$AM$8:$AM$414,0)+COUNTIF($AM$8:$AM132,$AM132)-1)</f>
        <v/>
      </c>
    </row>
    <row r="133" spans="1:40" ht="85.5">
      <c r="A133" s="28" t="str">
        <f>IF($AM133="","",RANK.EQ($AM133,$AM$8:$AM$414,0)+COUNTIF($AM$8:$AM133,$AM133)-1)</f>
        <v/>
      </c>
      <c r="B133" s="7" t="str">
        <f t="shared" si="10"/>
        <v/>
      </c>
      <c r="C133" s="7" t="s">
        <v>69</v>
      </c>
      <c r="D133" s="7" t="s">
        <v>1195</v>
      </c>
      <c r="E133" s="7" t="s">
        <v>3134</v>
      </c>
      <c r="F133" s="7" t="s">
        <v>3135</v>
      </c>
      <c r="G133" s="28" t="str">
        <f>IF(OR(COUNTA('Legal Risk'!$H$19)=0,'Legal Risk'!$H$19="N/A"),"",VALUE('Legal Risk'!$H$19))</f>
        <v/>
      </c>
      <c r="H133" s="7" t="str">
        <f t="shared" si="11"/>
        <v/>
      </c>
      <c r="I133" s="7" t="str">
        <f>IF($G133="","",IFERROR(IF('Legal Risk'!$L$19="",IF($G133&lt;=1,"Critical",IF($G133=2,"High",IF($G133=3,"Medium",IF($G133=4,"Low","Optimized")))),'Legal Risk'!$L$19),IF($G133&lt;=1,"Critical",IF($G133=2,"High",IF($G133=3,"Medium",IF($G133=4,"Low","Optimized"))))))</f>
        <v/>
      </c>
      <c r="J133" s="7" t="str">
        <f>IF($G133="","",IFERROR(INDEX('Recommendation Matrix'!$E$5:$J$411,MATCH($E133,'Recommendation Matrix'!$A$5:$A$411,0),$G133+1),""))</f>
        <v/>
      </c>
      <c r="K133" s="7" t="str">
        <f>IF($G133="","",IFERROR(VLOOKUP($E133,'Recommendation Matrix'!$A$5:$K$411,11,FALSE),""))</f>
        <v/>
      </c>
      <c r="L133" s="28" t="str">
        <f t="shared" si="12"/>
        <v/>
      </c>
      <c r="M133" s="28" t="str">
        <f>IF($G133="","",IFERROR(INDEX('Recommendation Matrix'!$L$5:$Q$411,MATCH($E133,'Recommendation Matrix'!$A$5:$A$411,0),$G133+1),""))</f>
        <v/>
      </c>
      <c r="N133" s="28" t="str">
        <f t="shared" si="13"/>
        <v/>
      </c>
      <c r="O133" s="28" t="str">
        <f t="shared" si="14"/>
        <v/>
      </c>
      <c r="P133" s="28" t="str">
        <f t="shared" si="15"/>
        <v/>
      </c>
      <c r="Q133" s="28" t="str">
        <f t="shared" si="16"/>
        <v/>
      </c>
      <c r="R133" s="8" t="str">
        <f t="shared" si="17"/>
        <v/>
      </c>
      <c r="S133" s="28">
        <f>IFERROR('Legal Risk'!$G$19,"")</f>
        <v>5</v>
      </c>
      <c r="T133" s="28">
        <f>IFERROR('Legal Risk'!$W$19,"")</f>
        <v>5</v>
      </c>
      <c r="U133" s="28">
        <f>IFERROR('Legal Risk'!$X$19,"")</f>
        <v>5</v>
      </c>
      <c r="V133" s="28">
        <f>IFERROR('Legal Risk'!$Y$19,"")</f>
        <v>5</v>
      </c>
      <c r="W133" s="7" t="s">
        <v>3001</v>
      </c>
      <c r="X133" s="7" t="s">
        <v>3002</v>
      </c>
      <c r="Y133" s="7" t="s">
        <v>3136</v>
      </c>
      <c r="Z133" s="7">
        <f>IFERROR('Legal Risk'!$U$19,"")</f>
        <v>0</v>
      </c>
      <c r="AA133" s="7"/>
      <c r="AB133" s="29"/>
      <c r="AC133" s="7"/>
      <c r="AD133" s="48" t="str">
        <f>IF($B133="Yes",IFERROR(SUMIFS(_TECH_Crisis_Model!$D$5:$D$191,_TECH_Crisis_Model!$A$5:$A$191,'Crisis Simulator'!$B$4,_TECH_Crisis_Model!$B$5:$B$191,$C133),1),"")</f>
        <v/>
      </c>
      <c r="AE133" s="48" t="str">
        <f t="shared" si="18"/>
        <v/>
      </c>
      <c r="AF133" s="48" t="str">
        <f>IFERROR(INDEX(_TECH_Crisis_Model!$E$5:$E$191,MATCH('Crisis Simulator'!$B$4&amp;"|"&amp;$C133,_TECH_Crisis_Model!$I$5:$I$191,0)),"")</f>
        <v>Contracts, obligations and compliance exposure can turn operational crisis into legal or regulatory failure.</v>
      </c>
      <c r="AG133" s="48" t="str">
        <f>IFERROR(INDEX(_TECH_Crisis_Model!$G$5:$G$191,MATCH('Crisis Simulator'!$B$4&amp;"|"&amp;$C133,_TECH_Crisis_Model!$I$5:$I$191,0)),"")</f>
        <v>Review critical contracts, compliance obligations, force majeure, data protection and legal continuity.</v>
      </c>
      <c r="AH133" s="48" t="str">
        <f>IFERROR(INDEX(_TECH_Initiative_Library!$A$5:$A$76,MATCH(1,INDEX((_TECH_Initiative_Library!$B$5:$B$76=$C133)*(_TECH_Initiative_Library!$C$5:$C$76=$D133),0),0)),"")</f>
        <v>INI-021</v>
      </c>
      <c r="AI133" s="48" t="str">
        <f>IFERROR(INDEX(_TECH_Initiative_Library!$F$5:$F$76,MATCH(1,INDEX((_TECH_Initiative_Library!$B$5:$B$76=$C133)*(_TECH_Initiative_Library!$C$5:$C$76=$D133),0),0)),"")</f>
        <v>Strengthen data, IP and confidentiality legal safeguards</v>
      </c>
      <c r="AJ133" s="48" t="str">
        <f ca="1">IFERROR(INDEX(_TECH_Initiative_Library!$AC$5:$AC$76,MATCH(1,INDEX((_TECH_Initiative_Library!$B$5:$B$76=$C133)*(_TECH_Initiative_Library!$C$5:$C$76=$D133),0),0)),"")</f>
        <v/>
      </c>
      <c r="AK133" s="48" t="str">
        <f ca="1">IFERROR(INDEX(_TECH_Initiative_Library!$AE$5:$AE$76,MATCH(1,INDEX((_TECH_Initiative_Library!$B$5:$B$76=$C133)*(_TECH_Initiative_Library!$C$5:$C$76=$D133),0),0)),"")</f>
        <v/>
      </c>
      <c r="AL133" s="48" t="str">
        <f>IF($B133="Yes",IFERROR(SUMIFS(_TECH_Industry_Templates!$E:$E,_TECH_Industry_Templates!$A:$A,'Company Profile'!$B$9,_TECH_Industry_Templates!$B:$B,$C133),1),"")</f>
        <v/>
      </c>
      <c r="AM133" s="48" t="str">
        <f t="shared" si="19"/>
        <v/>
      </c>
      <c r="AN133" s="48" t="str">
        <f>IF($AM133="","",RANK.EQ($AM133,$AM$8:$AM$414,0)+COUNTIF($AM$8:$AM133,$AM133)-1)</f>
        <v/>
      </c>
    </row>
    <row r="134" spans="1:40" ht="85.5">
      <c r="A134" s="28" t="str">
        <f>IF($AM134="","",RANK.EQ($AM134,$AM$8:$AM$414,0)+COUNTIF($AM$8:$AM134,$AM134)-1)</f>
        <v/>
      </c>
      <c r="B134" s="7" t="str">
        <f t="shared" si="10"/>
        <v/>
      </c>
      <c r="C134" s="7" t="s">
        <v>69</v>
      </c>
      <c r="D134" s="7" t="s">
        <v>1195</v>
      </c>
      <c r="E134" s="7" t="s">
        <v>3144</v>
      </c>
      <c r="F134" s="7" t="s">
        <v>3145</v>
      </c>
      <c r="G134" s="28" t="str">
        <f>IF(OR(COUNTA('Legal Risk'!$H$20)=0,'Legal Risk'!$H$20="N/A"),"",VALUE('Legal Risk'!$H$20))</f>
        <v/>
      </c>
      <c r="H134" s="7" t="str">
        <f t="shared" si="11"/>
        <v/>
      </c>
      <c r="I134" s="7" t="str">
        <f>IF($G134="","",IFERROR(IF('Legal Risk'!$L$20="",IF($G134&lt;=1,"Critical",IF($G134=2,"High",IF($G134=3,"Medium",IF($G134=4,"Low","Optimized")))),'Legal Risk'!$L$20),IF($G134&lt;=1,"Critical",IF($G134=2,"High",IF($G134=3,"Medium",IF($G134=4,"Low","Optimized"))))))</f>
        <v/>
      </c>
      <c r="J134" s="7" t="str">
        <f>IF($G134="","",IFERROR(INDEX('Recommendation Matrix'!$E$5:$J$411,MATCH($E134,'Recommendation Matrix'!$A$5:$A$411,0),$G134+1),""))</f>
        <v/>
      </c>
      <c r="K134" s="7" t="str">
        <f>IF($G134="","",IFERROR(VLOOKUP($E134,'Recommendation Matrix'!$A$5:$K$411,11,FALSE),""))</f>
        <v/>
      </c>
      <c r="L134" s="28" t="str">
        <f t="shared" si="12"/>
        <v/>
      </c>
      <c r="M134" s="28" t="str">
        <f>IF($G134="","",IFERROR(INDEX('Recommendation Matrix'!$L$5:$Q$411,MATCH($E134,'Recommendation Matrix'!$A$5:$A$411,0),$G134+1),""))</f>
        <v/>
      </c>
      <c r="N134" s="28" t="str">
        <f t="shared" si="13"/>
        <v/>
      </c>
      <c r="O134" s="28" t="str">
        <f t="shared" si="14"/>
        <v/>
      </c>
      <c r="P134" s="28" t="str">
        <f t="shared" si="15"/>
        <v/>
      </c>
      <c r="Q134" s="28" t="str">
        <f t="shared" si="16"/>
        <v/>
      </c>
      <c r="R134" s="8" t="str">
        <f t="shared" si="17"/>
        <v/>
      </c>
      <c r="S134" s="28">
        <f>IFERROR('Legal Risk'!$G$20,"")</f>
        <v>5</v>
      </c>
      <c r="T134" s="28">
        <f>IFERROR('Legal Risk'!$W$20,"")</f>
        <v>5</v>
      </c>
      <c r="U134" s="28">
        <f>IFERROR('Legal Risk'!$X$20,"")</f>
        <v>5</v>
      </c>
      <c r="V134" s="28">
        <f>IFERROR('Legal Risk'!$Y$20,"")</f>
        <v>5</v>
      </c>
      <c r="W134" s="7" t="s">
        <v>3001</v>
      </c>
      <c r="X134" s="7" t="s">
        <v>3002</v>
      </c>
      <c r="Y134" s="7" t="s">
        <v>3146</v>
      </c>
      <c r="Z134" s="7">
        <f>IFERROR('Legal Risk'!$U$20,"")</f>
        <v>0</v>
      </c>
      <c r="AA134" s="7"/>
      <c r="AB134" s="29"/>
      <c r="AC134" s="7"/>
      <c r="AD134" s="48" t="str">
        <f>IF($B134="Yes",IFERROR(SUMIFS(_TECH_Crisis_Model!$D$5:$D$191,_TECH_Crisis_Model!$A$5:$A$191,'Crisis Simulator'!$B$4,_TECH_Crisis_Model!$B$5:$B$191,$C134),1),"")</f>
        <v/>
      </c>
      <c r="AE134" s="48" t="str">
        <f t="shared" si="18"/>
        <v/>
      </c>
      <c r="AF134" s="48" t="str">
        <f>IFERROR(INDEX(_TECH_Crisis_Model!$E$5:$E$191,MATCH('Crisis Simulator'!$B$4&amp;"|"&amp;$C134,_TECH_Crisis_Model!$I$5:$I$191,0)),"")</f>
        <v>Contracts, obligations and compliance exposure can turn operational crisis into legal or regulatory failure.</v>
      </c>
      <c r="AG134" s="48" t="str">
        <f>IFERROR(INDEX(_TECH_Crisis_Model!$G$5:$G$191,MATCH('Crisis Simulator'!$B$4&amp;"|"&amp;$C134,_TECH_Crisis_Model!$I$5:$I$191,0)),"")</f>
        <v>Review critical contracts, compliance obligations, force majeure, data protection and legal continuity.</v>
      </c>
      <c r="AH134" s="48" t="str">
        <f>IFERROR(INDEX(_TECH_Initiative_Library!$A$5:$A$76,MATCH(1,INDEX((_TECH_Initiative_Library!$B$5:$B$76=$C134)*(_TECH_Initiative_Library!$C$5:$C$76=$D134),0),0)),"")</f>
        <v>INI-021</v>
      </c>
      <c r="AI134" s="48" t="str">
        <f>IFERROR(INDEX(_TECH_Initiative_Library!$F$5:$F$76,MATCH(1,INDEX((_TECH_Initiative_Library!$B$5:$B$76=$C134)*(_TECH_Initiative_Library!$C$5:$C$76=$D134),0),0)),"")</f>
        <v>Strengthen data, IP and confidentiality legal safeguards</v>
      </c>
      <c r="AJ134" s="48" t="str">
        <f ca="1">IFERROR(INDEX(_TECH_Initiative_Library!$AC$5:$AC$76,MATCH(1,INDEX((_TECH_Initiative_Library!$B$5:$B$76=$C134)*(_TECH_Initiative_Library!$C$5:$C$76=$D134),0),0)),"")</f>
        <v/>
      </c>
      <c r="AK134" s="48" t="str">
        <f ca="1">IFERROR(INDEX(_TECH_Initiative_Library!$AE$5:$AE$76,MATCH(1,INDEX((_TECH_Initiative_Library!$B$5:$B$76=$C134)*(_TECH_Initiative_Library!$C$5:$C$76=$D134),0),0)),"")</f>
        <v/>
      </c>
      <c r="AL134" s="48" t="str">
        <f>IF($B134="Yes",IFERROR(SUMIFS(_TECH_Industry_Templates!$E:$E,_TECH_Industry_Templates!$A:$A,'Company Profile'!$B$9,_TECH_Industry_Templates!$B:$B,$C134),1),"")</f>
        <v/>
      </c>
      <c r="AM134" s="48" t="str">
        <f t="shared" si="19"/>
        <v/>
      </c>
      <c r="AN134" s="48" t="str">
        <f>IF($AM134="","",RANK.EQ($AM134,$AM$8:$AM$414,0)+COUNTIF($AM$8:$AM134,$AM134)-1)</f>
        <v/>
      </c>
    </row>
    <row r="135" spans="1:40" ht="71.25">
      <c r="A135" s="28" t="str">
        <f>IF($AM135="","",RANK.EQ($AM135,$AM$8:$AM$414,0)+COUNTIF($AM$8:$AM135,$AM135)-1)</f>
        <v/>
      </c>
      <c r="B135" s="7" t="str">
        <f t="shared" si="10"/>
        <v/>
      </c>
      <c r="C135" s="7" t="s">
        <v>69</v>
      </c>
      <c r="D135" s="7" t="s">
        <v>1195</v>
      </c>
      <c r="E135" s="7" t="s">
        <v>3154</v>
      </c>
      <c r="F135" s="7" t="s">
        <v>3155</v>
      </c>
      <c r="G135" s="28" t="str">
        <f>IF(OR(COUNTA('Legal Risk'!$H$21)=0,'Legal Risk'!$H$21="N/A"),"",VALUE('Legal Risk'!$H$21))</f>
        <v/>
      </c>
      <c r="H135" s="7" t="str">
        <f t="shared" si="11"/>
        <v/>
      </c>
      <c r="I135" s="7" t="str">
        <f>IF($G135="","",IFERROR(IF('Legal Risk'!$L$21="",IF($G135&lt;=1,"Critical",IF($G135=2,"High",IF($G135=3,"Medium",IF($G135=4,"Low","Optimized")))),'Legal Risk'!$L$21),IF($G135&lt;=1,"Critical",IF($G135=2,"High",IF($G135=3,"Medium",IF($G135=4,"Low","Optimized"))))))</f>
        <v/>
      </c>
      <c r="J135" s="7" t="str">
        <f>IF($G135="","",IFERROR(INDEX('Recommendation Matrix'!$E$5:$J$411,MATCH($E135,'Recommendation Matrix'!$A$5:$A$411,0),$G135+1),""))</f>
        <v/>
      </c>
      <c r="K135" s="7" t="str">
        <f>IF($G135="","",IFERROR(VLOOKUP($E135,'Recommendation Matrix'!$A$5:$K$411,11,FALSE),""))</f>
        <v/>
      </c>
      <c r="L135" s="28" t="str">
        <f t="shared" si="12"/>
        <v/>
      </c>
      <c r="M135" s="28" t="str">
        <f>IF($G135="","",IFERROR(INDEX('Recommendation Matrix'!$L$5:$Q$411,MATCH($E135,'Recommendation Matrix'!$A$5:$A$411,0),$G135+1),""))</f>
        <v/>
      </c>
      <c r="N135" s="28" t="str">
        <f t="shared" si="13"/>
        <v/>
      </c>
      <c r="O135" s="28" t="str">
        <f t="shared" si="14"/>
        <v/>
      </c>
      <c r="P135" s="28" t="str">
        <f t="shared" si="15"/>
        <v/>
      </c>
      <c r="Q135" s="28" t="str">
        <f t="shared" si="16"/>
        <v/>
      </c>
      <c r="R135" s="8" t="str">
        <f t="shared" si="17"/>
        <v/>
      </c>
      <c r="S135" s="28">
        <f>IFERROR('Legal Risk'!$G$21,"")</f>
        <v>5</v>
      </c>
      <c r="T135" s="28">
        <f>IFERROR('Legal Risk'!$W$21,"")</f>
        <v>5</v>
      </c>
      <c r="U135" s="28">
        <f>IFERROR('Legal Risk'!$X$21,"")</f>
        <v>5</v>
      </c>
      <c r="V135" s="28">
        <f>IFERROR('Legal Risk'!$Y$21,"")</f>
        <v>5</v>
      </c>
      <c r="W135" s="7" t="s">
        <v>3001</v>
      </c>
      <c r="X135" s="7" t="s">
        <v>3002</v>
      </c>
      <c r="Y135" s="7" t="s">
        <v>3156</v>
      </c>
      <c r="Z135" s="7">
        <f>IFERROR('Legal Risk'!$U$21,"")</f>
        <v>0</v>
      </c>
      <c r="AA135" s="7"/>
      <c r="AB135" s="29"/>
      <c r="AC135" s="7"/>
      <c r="AD135" s="48" t="str">
        <f>IF($B135="Yes",IFERROR(SUMIFS(_TECH_Crisis_Model!$D$5:$D$191,_TECH_Crisis_Model!$A$5:$A$191,'Crisis Simulator'!$B$4,_TECH_Crisis_Model!$B$5:$B$191,$C135),1),"")</f>
        <v/>
      </c>
      <c r="AE135" s="48" t="str">
        <f t="shared" si="18"/>
        <v/>
      </c>
      <c r="AF135" s="48" t="str">
        <f>IFERROR(INDEX(_TECH_Crisis_Model!$E$5:$E$191,MATCH('Crisis Simulator'!$B$4&amp;"|"&amp;$C135,_TECH_Crisis_Model!$I$5:$I$191,0)),"")</f>
        <v>Contracts, obligations and compliance exposure can turn operational crisis into legal or regulatory failure.</v>
      </c>
      <c r="AG135" s="48" t="str">
        <f>IFERROR(INDEX(_TECH_Crisis_Model!$G$5:$G$191,MATCH('Crisis Simulator'!$B$4&amp;"|"&amp;$C135,_TECH_Crisis_Model!$I$5:$I$191,0)),"")</f>
        <v>Review critical contracts, compliance obligations, force majeure, data protection and legal continuity.</v>
      </c>
      <c r="AH135" s="48" t="str">
        <f>IFERROR(INDEX(_TECH_Initiative_Library!$A$5:$A$76,MATCH(1,INDEX((_TECH_Initiative_Library!$B$5:$B$76=$C135)*(_TECH_Initiative_Library!$C$5:$C$76=$D135),0),0)),"")</f>
        <v>INI-021</v>
      </c>
      <c r="AI135" s="48" t="str">
        <f>IFERROR(INDEX(_TECH_Initiative_Library!$F$5:$F$76,MATCH(1,INDEX((_TECH_Initiative_Library!$B$5:$B$76=$C135)*(_TECH_Initiative_Library!$C$5:$C$76=$D135),0),0)),"")</f>
        <v>Strengthen data, IP and confidentiality legal safeguards</v>
      </c>
      <c r="AJ135" s="48" t="str">
        <f ca="1">IFERROR(INDEX(_TECH_Initiative_Library!$AC$5:$AC$76,MATCH(1,INDEX((_TECH_Initiative_Library!$B$5:$B$76=$C135)*(_TECH_Initiative_Library!$C$5:$C$76=$D135),0),0)),"")</f>
        <v/>
      </c>
      <c r="AK135" s="48" t="str">
        <f ca="1">IFERROR(INDEX(_TECH_Initiative_Library!$AE$5:$AE$76,MATCH(1,INDEX((_TECH_Initiative_Library!$B$5:$B$76=$C135)*(_TECH_Initiative_Library!$C$5:$C$76=$D135),0),0)),"")</f>
        <v/>
      </c>
      <c r="AL135" s="48" t="str">
        <f>IF($B135="Yes",IFERROR(SUMIFS(_TECH_Industry_Templates!$E:$E,_TECH_Industry_Templates!$A:$A,'Company Profile'!$B$9,_TECH_Industry_Templates!$B:$B,$C135),1),"")</f>
        <v/>
      </c>
      <c r="AM135" s="48" t="str">
        <f t="shared" si="19"/>
        <v/>
      </c>
      <c r="AN135" s="48" t="str">
        <f>IF($AM135="","",RANK.EQ($AM135,$AM$8:$AM$414,0)+COUNTIF($AM$8:$AM135,$AM135)-1)</f>
        <v/>
      </c>
    </row>
    <row r="136" spans="1:40" ht="71.25">
      <c r="A136" s="28" t="str">
        <f>IF($AM136="","",RANK.EQ($AM136,$AM$8:$AM$414,0)+COUNTIF($AM$8:$AM136,$AM136)-1)</f>
        <v/>
      </c>
      <c r="B136" s="7" t="str">
        <f t="shared" ref="B136:B199" si="20">IF($G136="","",IF($G136&lt;5,"Yes","Maintain"))</f>
        <v/>
      </c>
      <c r="C136" s="7" t="s">
        <v>69</v>
      </c>
      <c r="D136" s="7" t="s">
        <v>1195</v>
      </c>
      <c r="E136" s="7" t="s">
        <v>3164</v>
      </c>
      <c r="F136" s="7" t="s">
        <v>3165</v>
      </c>
      <c r="G136" s="28" t="str">
        <f>IF(OR(COUNTA('Legal Risk'!$H$22)=0,'Legal Risk'!$H$22="N/A"),"",VALUE('Legal Risk'!$H$22))</f>
        <v/>
      </c>
      <c r="H136" s="7" t="str">
        <f t="shared" ref="H136:H199" si="21">IF($G136="","",IF($G136&gt;=5,"Sustain",$G136+1))</f>
        <v/>
      </c>
      <c r="I136" s="7" t="str">
        <f>IF($G136="","",IFERROR(IF('Legal Risk'!$L$22="",IF($G136&lt;=1,"Critical",IF($G136=2,"High",IF($G136=3,"Medium",IF($G136=4,"Low","Optimized")))),'Legal Risk'!$L$22),IF($G136&lt;=1,"Critical",IF($G136=2,"High",IF($G136=3,"Medium",IF($G136=4,"Low","Optimized"))))))</f>
        <v/>
      </c>
      <c r="J136" s="7" t="str">
        <f>IF($G136="","",IFERROR(INDEX('Recommendation Matrix'!$E$5:$J$411,MATCH($E136,'Recommendation Matrix'!$A$5:$A$411,0),$G136+1),""))</f>
        <v/>
      </c>
      <c r="K136" s="7" t="str">
        <f>IF($G136="","",IFERROR(VLOOKUP($E136,'Recommendation Matrix'!$A$5:$K$411,11,FALSE),""))</f>
        <v/>
      </c>
      <c r="L136" s="28" t="str">
        <f t="shared" ref="L136:L199" si="22">IF($G136="","",MAX(1,MIN(5,ROUNDUP(((5-$G136)*0.55)+($S136*0.25)+($U136*0.2),0))))</f>
        <v/>
      </c>
      <c r="M136" s="28" t="str">
        <f>IF($G136="","",IFERROR(INDEX('Recommendation Matrix'!$L$5:$Q$411,MATCH($E136,'Recommendation Matrix'!$A$5:$A$411,0),$G136+1),""))</f>
        <v/>
      </c>
      <c r="N136" s="28" t="str">
        <f t="shared" ref="N136:N199" si="23">IF($G136="","",MAX(1,MIN(5,ROUND(($S136+$T136+$V136)/3,0))))</f>
        <v/>
      </c>
      <c r="O136" s="28" t="str">
        <f t="shared" ref="O136:O199" si="24">IF($G136="","",IF($I136="Critical",5,IF($I136="High",4,IF($I136="Medium",3,IF($I136="Low",2,1)))))</f>
        <v/>
      </c>
      <c r="P136" s="28" t="str">
        <f t="shared" ref="P136:P199" si="25">IF($G136="","",MAX(1,MIN(5,ROUNDUP(((5-$G136)*0.6)+($U136*0.4),0))))</f>
        <v/>
      </c>
      <c r="Q136" s="28" t="str">
        <f t="shared" ref="Q136:Q199" si="26">IF($G136="","",MAX(1,MIN(5,ROUND(($T136+$V136)/2,0))))</f>
        <v/>
      </c>
      <c r="R136" s="8" t="str">
        <f t="shared" ref="R136:R199" si="27">IF($G136="","",ROUND(($N136+$O136+$P136+$Q136)/$M136,2))</f>
        <v/>
      </c>
      <c r="S136" s="28">
        <f>IFERROR('Legal Risk'!$G$22,"")</f>
        <v>5</v>
      </c>
      <c r="T136" s="28">
        <f>IFERROR('Legal Risk'!$W$22,"")</f>
        <v>5</v>
      </c>
      <c r="U136" s="28">
        <f>IFERROR('Legal Risk'!$X$22,"")</f>
        <v>5</v>
      </c>
      <c r="V136" s="28">
        <f>IFERROR('Legal Risk'!$Y$22,"")</f>
        <v>5</v>
      </c>
      <c r="W136" s="7" t="s">
        <v>3001</v>
      </c>
      <c r="X136" s="7" t="s">
        <v>3002</v>
      </c>
      <c r="Y136" s="7" t="s">
        <v>3166</v>
      </c>
      <c r="Z136" s="7">
        <f>IFERROR('Legal Risk'!$U$22,"")</f>
        <v>0</v>
      </c>
      <c r="AA136" s="7"/>
      <c r="AB136" s="29"/>
      <c r="AC136" s="7"/>
      <c r="AD136" s="48" t="str">
        <f>IF($B136="Yes",IFERROR(SUMIFS(_TECH_Crisis_Model!$D$5:$D$191,_TECH_Crisis_Model!$A$5:$A$191,'Crisis Simulator'!$B$4,_TECH_Crisis_Model!$B$5:$B$191,$C136),1),"")</f>
        <v/>
      </c>
      <c r="AE136" s="48" t="str">
        <f t="shared" ref="AE136:AE199" si="28">IF(AD136="","",ROUND($R136*(0.7+0.3*AD136),2))</f>
        <v/>
      </c>
      <c r="AF136" s="48" t="str">
        <f>IFERROR(INDEX(_TECH_Crisis_Model!$E$5:$E$191,MATCH('Crisis Simulator'!$B$4&amp;"|"&amp;$C136,_TECH_Crisis_Model!$I$5:$I$191,0)),"")</f>
        <v>Contracts, obligations and compliance exposure can turn operational crisis into legal or regulatory failure.</v>
      </c>
      <c r="AG136" s="48" t="str">
        <f>IFERROR(INDEX(_TECH_Crisis_Model!$G$5:$G$191,MATCH('Crisis Simulator'!$B$4&amp;"|"&amp;$C136,_TECH_Crisis_Model!$I$5:$I$191,0)),"")</f>
        <v>Review critical contracts, compliance obligations, force majeure, data protection and legal continuity.</v>
      </c>
      <c r="AH136" s="48" t="str">
        <f>IFERROR(INDEX(_TECH_Initiative_Library!$A$5:$A$76,MATCH(1,INDEX((_TECH_Initiative_Library!$B$5:$B$76=$C136)*(_TECH_Initiative_Library!$C$5:$C$76=$D136),0),0)),"")</f>
        <v>INI-021</v>
      </c>
      <c r="AI136" s="48" t="str">
        <f>IFERROR(INDEX(_TECH_Initiative_Library!$F$5:$F$76,MATCH(1,INDEX((_TECH_Initiative_Library!$B$5:$B$76=$C136)*(_TECH_Initiative_Library!$C$5:$C$76=$D136),0),0)),"")</f>
        <v>Strengthen data, IP and confidentiality legal safeguards</v>
      </c>
      <c r="AJ136" s="48" t="str">
        <f ca="1">IFERROR(INDEX(_TECH_Initiative_Library!$AC$5:$AC$76,MATCH(1,INDEX((_TECH_Initiative_Library!$B$5:$B$76=$C136)*(_TECH_Initiative_Library!$C$5:$C$76=$D136),0),0)),"")</f>
        <v/>
      </c>
      <c r="AK136" s="48" t="str">
        <f ca="1">IFERROR(INDEX(_TECH_Initiative_Library!$AE$5:$AE$76,MATCH(1,INDEX((_TECH_Initiative_Library!$B$5:$B$76=$C136)*(_TECH_Initiative_Library!$C$5:$C$76=$D136),0),0)),"")</f>
        <v/>
      </c>
      <c r="AL136" s="48" t="str">
        <f>IF($B136="Yes",IFERROR(SUMIFS(_TECH_Industry_Templates!$E:$E,_TECH_Industry_Templates!$A:$A,'Company Profile'!$B$9,_TECH_Industry_Templates!$B:$B,$C136),1),"")</f>
        <v/>
      </c>
      <c r="AM136" s="48" t="str">
        <f t="shared" ref="AM136:AM199" si="29">IF($R136="","",ROUND(IF($AE136="",$R136,$AE136)*$AL136,2))</f>
        <v/>
      </c>
      <c r="AN136" s="48" t="str">
        <f>IF($AM136="","",RANK.EQ($AM136,$AM$8:$AM$414,0)+COUNTIF($AM$8:$AM136,$AM136)-1)</f>
        <v/>
      </c>
    </row>
    <row r="137" spans="1:40" ht="85.5">
      <c r="A137" s="28" t="str">
        <f>IF($AM137="","",RANK.EQ($AM137,$AM$8:$AM$414,0)+COUNTIF($AM$8:$AM137,$AM137)-1)</f>
        <v/>
      </c>
      <c r="B137" s="7" t="str">
        <f t="shared" si="20"/>
        <v/>
      </c>
      <c r="C137" s="7" t="s">
        <v>69</v>
      </c>
      <c r="D137" s="7" t="s">
        <v>1203</v>
      </c>
      <c r="E137" s="7" t="s">
        <v>3174</v>
      </c>
      <c r="F137" s="7" t="s">
        <v>3175</v>
      </c>
      <c r="G137" s="28" t="str">
        <f>IF(OR(COUNTA('Legal Risk'!$H$23)=0,'Legal Risk'!$H$23="N/A"),"",VALUE('Legal Risk'!$H$23))</f>
        <v/>
      </c>
      <c r="H137" s="7" t="str">
        <f t="shared" si="21"/>
        <v/>
      </c>
      <c r="I137" s="7" t="str">
        <f>IF($G137="","",IFERROR(IF('Legal Risk'!$L$23="",IF($G137&lt;=1,"Critical",IF($G137=2,"High",IF($G137=3,"Medium",IF($G137=4,"Low","Optimized")))),'Legal Risk'!$L$23),IF($G137&lt;=1,"Critical",IF($G137=2,"High",IF($G137=3,"Medium",IF($G137=4,"Low","Optimized"))))))</f>
        <v/>
      </c>
      <c r="J137" s="7" t="str">
        <f>IF($G137="","",IFERROR(INDEX('Recommendation Matrix'!$E$5:$J$411,MATCH($E137,'Recommendation Matrix'!$A$5:$A$411,0),$G137+1),""))</f>
        <v/>
      </c>
      <c r="K137" s="7" t="str">
        <f>IF($G137="","",IFERROR(VLOOKUP($E137,'Recommendation Matrix'!$A$5:$K$411,11,FALSE),""))</f>
        <v/>
      </c>
      <c r="L137" s="28" t="str">
        <f t="shared" si="22"/>
        <v/>
      </c>
      <c r="M137" s="28" t="str">
        <f>IF($G137="","",IFERROR(INDEX('Recommendation Matrix'!$L$5:$Q$411,MATCH($E137,'Recommendation Matrix'!$A$5:$A$411,0),$G137+1),""))</f>
        <v/>
      </c>
      <c r="N137" s="28" t="str">
        <f t="shared" si="23"/>
        <v/>
      </c>
      <c r="O137" s="28" t="str">
        <f t="shared" si="24"/>
        <v/>
      </c>
      <c r="P137" s="28" t="str">
        <f t="shared" si="25"/>
        <v/>
      </c>
      <c r="Q137" s="28" t="str">
        <f t="shared" si="26"/>
        <v/>
      </c>
      <c r="R137" s="8" t="str">
        <f t="shared" si="27"/>
        <v/>
      </c>
      <c r="S137" s="28">
        <f>IFERROR('Legal Risk'!$G$23,"")</f>
        <v>3</v>
      </c>
      <c r="T137" s="28">
        <f>IFERROR('Legal Risk'!$W$23,"")</f>
        <v>5</v>
      </c>
      <c r="U137" s="28">
        <f>IFERROR('Legal Risk'!$X$23,"")</f>
        <v>5</v>
      </c>
      <c r="V137" s="28">
        <f>IFERROR('Legal Risk'!$Y$23,"")</f>
        <v>5</v>
      </c>
      <c r="W137" s="7" t="s">
        <v>3001</v>
      </c>
      <c r="X137" s="7" t="s">
        <v>3002</v>
      </c>
      <c r="Y137" s="7" t="s">
        <v>3176</v>
      </c>
      <c r="Z137" s="7">
        <f>IFERROR('Legal Risk'!$U$23,"")</f>
        <v>0</v>
      </c>
      <c r="AA137" s="7"/>
      <c r="AB137" s="29"/>
      <c r="AC137" s="7"/>
      <c r="AD137" s="48" t="str">
        <f>IF($B137="Yes",IFERROR(SUMIFS(_TECH_Crisis_Model!$D$5:$D$191,_TECH_Crisis_Model!$A$5:$A$191,'Crisis Simulator'!$B$4,_TECH_Crisis_Model!$B$5:$B$191,$C137),1),"")</f>
        <v/>
      </c>
      <c r="AE137" s="48" t="str">
        <f t="shared" si="28"/>
        <v/>
      </c>
      <c r="AF137" s="48" t="str">
        <f>IFERROR(INDEX(_TECH_Crisis_Model!$E$5:$E$191,MATCH('Crisis Simulator'!$B$4&amp;"|"&amp;$C137,_TECH_Crisis_Model!$I$5:$I$191,0)),"")</f>
        <v>Contracts, obligations and compliance exposure can turn operational crisis into legal or regulatory failure.</v>
      </c>
      <c r="AG137" s="48" t="str">
        <f>IFERROR(INDEX(_TECH_Crisis_Model!$G$5:$G$191,MATCH('Crisis Simulator'!$B$4&amp;"|"&amp;$C137,_TECH_Crisis_Model!$I$5:$I$191,0)),"")</f>
        <v>Review critical contracts, compliance obligations, force majeure, data protection and legal continuity.</v>
      </c>
      <c r="AH137" s="48" t="str">
        <f>IFERROR(INDEX(_TECH_Initiative_Library!$A$5:$A$76,MATCH(1,INDEX((_TECH_Initiative_Library!$B$5:$B$76=$C137)*(_TECH_Initiative_Library!$C$5:$C$76=$D137),0),0)),"")</f>
        <v>INI-022</v>
      </c>
      <c r="AI137" s="48" t="str">
        <f>IFERROR(INDEX(_TECH_Initiative_Library!$F$5:$F$76,MATCH(1,INDEX((_TECH_Initiative_Library!$B$5:$B$76=$C137)*(_TECH_Initiative_Library!$C$5:$C$76=$D137),0),0)),"")</f>
        <v>Prepare employment-law continuity and workforce-location compliance</v>
      </c>
      <c r="AJ137" s="48" t="str">
        <f ca="1">IFERROR(INDEX(_TECH_Initiative_Library!$AC$5:$AC$76,MATCH(1,INDEX((_TECH_Initiative_Library!$B$5:$B$76=$C137)*(_TECH_Initiative_Library!$C$5:$C$76=$D137),0),0)),"")</f>
        <v/>
      </c>
      <c r="AK137" s="48" t="str">
        <f ca="1">IFERROR(INDEX(_TECH_Initiative_Library!$AE$5:$AE$76,MATCH(1,INDEX((_TECH_Initiative_Library!$B$5:$B$76=$C137)*(_TECH_Initiative_Library!$C$5:$C$76=$D137),0),0)),"")</f>
        <v/>
      </c>
      <c r="AL137" s="48" t="str">
        <f>IF($B137="Yes",IFERROR(SUMIFS(_TECH_Industry_Templates!$E:$E,_TECH_Industry_Templates!$A:$A,'Company Profile'!$B$9,_TECH_Industry_Templates!$B:$B,$C137),1),"")</f>
        <v/>
      </c>
      <c r="AM137" s="48" t="str">
        <f t="shared" si="29"/>
        <v/>
      </c>
      <c r="AN137" s="48" t="str">
        <f>IF($AM137="","",RANK.EQ($AM137,$AM$8:$AM$414,0)+COUNTIF($AM$8:$AM137,$AM137)-1)</f>
        <v/>
      </c>
    </row>
    <row r="138" spans="1:40" ht="71.25">
      <c r="A138" s="28" t="str">
        <f>IF($AM138="","",RANK.EQ($AM138,$AM$8:$AM$414,0)+COUNTIF($AM$8:$AM138,$AM138)-1)</f>
        <v/>
      </c>
      <c r="B138" s="7" t="str">
        <f t="shared" si="20"/>
        <v/>
      </c>
      <c r="C138" s="7" t="s">
        <v>69</v>
      </c>
      <c r="D138" s="7" t="s">
        <v>1203</v>
      </c>
      <c r="E138" s="7" t="s">
        <v>3184</v>
      </c>
      <c r="F138" s="7" t="s">
        <v>3185</v>
      </c>
      <c r="G138" s="28" t="str">
        <f>IF(OR(COUNTA('Legal Risk'!$H$24)=0,'Legal Risk'!$H$24="N/A"),"",VALUE('Legal Risk'!$H$24))</f>
        <v/>
      </c>
      <c r="H138" s="7" t="str">
        <f t="shared" si="21"/>
        <v/>
      </c>
      <c r="I138" s="7" t="str">
        <f>IF($G138="","",IFERROR(IF('Legal Risk'!$L$24="",IF($G138&lt;=1,"Critical",IF($G138=2,"High",IF($G138=3,"Medium",IF($G138=4,"Low","Optimized")))),'Legal Risk'!$L$24),IF($G138&lt;=1,"Critical",IF($G138=2,"High",IF($G138=3,"Medium",IF($G138=4,"Low","Optimized"))))))</f>
        <v/>
      </c>
      <c r="J138" s="7" t="str">
        <f>IF($G138="","",IFERROR(INDEX('Recommendation Matrix'!$E$5:$J$411,MATCH($E138,'Recommendation Matrix'!$A$5:$A$411,0),$G138+1),""))</f>
        <v/>
      </c>
      <c r="K138" s="7" t="str">
        <f>IF($G138="","",IFERROR(VLOOKUP($E138,'Recommendation Matrix'!$A$5:$K$411,11,FALSE),""))</f>
        <v/>
      </c>
      <c r="L138" s="28" t="str">
        <f t="shared" si="22"/>
        <v/>
      </c>
      <c r="M138" s="28" t="str">
        <f>IF($G138="","",IFERROR(INDEX('Recommendation Matrix'!$L$5:$Q$411,MATCH($E138,'Recommendation Matrix'!$A$5:$A$411,0),$G138+1),""))</f>
        <v/>
      </c>
      <c r="N138" s="28" t="str">
        <f t="shared" si="23"/>
        <v/>
      </c>
      <c r="O138" s="28" t="str">
        <f t="shared" si="24"/>
        <v/>
      </c>
      <c r="P138" s="28" t="str">
        <f t="shared" si="25"/>
        <v/>
      </c>
      <c r="Q138" s="28" t="str">
        <f t="shared" si="26"/>
        <v/>
      </c>
      <c r="R138" s="8" t="str">
        <f t="shared" si="27"/>
        <v/>
      </c>
      <c r="S138" s="28">
        <f>IFERROR('Legal Risk'!$G$24,"")</f>
        <v>5</v>
      </c>
      <c r="T138" s="28">
        <f>IFERROR('Legal Risk'!$W$24,"")</f>
        <v>5</v>
      </c>
      <c r="U138" s="28">
        <f>IFERROR('Legal Risk'!$X$24,"")</f>
        <v>5</v>
      </c>
      <c r="V138" s="28">
        <f>IFERROR('Legal Risk'!$Y$24,"")</f>
        <v>5</v>
      </c>
      <c r="W138" s="7" t="s">
        <v>3001</v>
      </c>
      <c r="X138" s="7" t="s">
        <v>3002</v>
      </c>
      <c r="Y138" s="7" t="s">
        <v>3186</v>
      </c>
      <c r="Z138" s="7">
        <f>IFERROR('Legal Risk'!$U$24,"")</f>
        <v>0</v>
      </c>
      <c r="AA138" s="7"/>
      <c r="AB138" s="29"/>
      <c r="AC138" s="7"/>
      <c r="AD138" s="48" t="str">
        <f>IF($B138="Yes",IFERROR(SUMIFS(_TECH_Crisis_Model!$D$5:$D$191,_TECH_Crisis_Model!$A$5:$A$191,'Crisis Simulator'!$B$4,_TECH_Crisis_Model!$B$5:$B$191,$C138),1),"")</f>
        <v/>
      </c>
      <c r="AE138" s="48" t="str">
        <f t="shared" si="28"/>
        <v/>
      </c>
      <c r="AF138" s="48" t="str">
        <f>IFERROR(INDEX(_TECH_Crisis_Model!$E$5:$E$191,MATCH('Crisis Simulator'!$B$4&amp;"|"&amp;$C138,_TECH_Crisis_Model!$I$5:$I$191,0)),"")</f>
        <v>Contracts, obligations and compliance exposure can turn operational crisis into legal or regulatory failure.</v>
      </c>
      <c r="AG138" s="48" t="str">
        <f>IFERROR(INDEX(_TECH_Crisis_Model!$G$5:$G$191,MATCH('Crisis Simulator'!$B$4&amp;"|"&amp;$C138,_TECH_Crisis_Model!$I$5:$I$191,0)),"")</f>
        <v>Review critical contracts, compliance obligations, force majeure, data protection and legal continuity.</v>
      </c>
      <c r="AH138" s="48" t="str">
        <f>IFERROR(INDEX(_TECH_Initiative_Library!$A$5:$A$76,MATCH(1,INDEX((_TECH_Initiative_Library!$B$5:$B$76=$C138)*(_TECH_Initiative_Library!$C$5:$C$76=$D138),0),0)),"")</f>
        <v>INI-022</v>
      </c>
      <c r="AI138" s="48" t="str">
        <f>IFERROR(INDEX(_TECH_Initiative_Library!$F$5:$F$76,MATCH(1,INDEX((_TECH_Initiative_Library!$B$5:$B$76=$C138)*(_TECH_Initiative_Library!$C$5:$C$76=$D138),0),0)),"")</f>
        <v>Prepare employment-law continuity and workforce-location compliance</v>
      </c>
      <c r="AJ138" s="48" t="str">
        <f ca="1">IFERROR(INDEX(_TECH_Initiative_Library!$AC$5:$AC$76,MATCH(1,INDEX((_TECH_Initiative_Library!$B$5:$B$76=$C138)*(_TECH_Initiative_Library!$C$5:$C$76=$D138),0),0)),"")</f>
        <v/>
      </c>
      <c r="AK138" s="48" t="str">
        <f ca="1">IFERROR(INDEX(_TECH_Initiative_Library!$AE$5:$AE$76,MATCH(1,INDEX((_TECH_Initiative_Library!$B$5:$B$76=$C138)*(_TECH_Initiative_Library!$C$5:$C$76=$D138),0),0)),"")</f>
        <v/>
      </c>
      <c r="AL138" s="48" t="str">
        <f>IF($B138="Yes",IFERROR(SUMIFS(_TECH_Industry_Templates!$E:$E,_TECH_Industry_Templates!$A:$A,'Company Profile'!$B$9,_TECH_Industry_Templates!$B:$B,$C138),1),"")</f>
        <v/>
      </c>
      <c r="AM138" s="48" t="str">
        <f t="shared" si="29"/>
        <v/>
      </c>
      <c r="AN138" s="48" t="str">
        <f>IF($AM138="","",RANK.EQ($AM138,$AM$8:$AM$414,0)+COUNTIF($AM$8:$AM138,$AM138)-1)</f>
        <v/>
      </c>
    </row>
    <row r="139" spans="1:40" ht="85.5">
      <c r="A139" s="28" t="str">
        <f>IF($AM139="","",RANK.EQ($AM139,$AM$8:$AM$414,0)+COUNTIF($AM$8:$AM139,$AM139)-1)</f>
        <v/>
      </c>
      <c r="B139" s="7" t="str">
        <f t="shared" si="20"/>
        <v/>
      </c>
      <c r="C139" s="7" t="s">
        <v>72</v>
      </c>
      <c r="D139" s="7" t="s">
        <v>1211</v>
      </c>
      <c r="E139" s="7" t="s">
        <v>3196</v>
      </c>
      <c r="F139" s="7" t="s">
        <v>3197</v>
      </c>
      <c r="G139" s="28" t="str">
        <f>IF(OR(COUNTA('Physical Safety'!$H$5)=0,'Physical Safety'!$H$5="N/A"),"",VALUE('Physical Safety'!$H$5))</f>
        <v/>
      </c>
      <c r="H139" s="7" t="str">
        <f t="shared" si="21"/>
        <v/>
      </c>
      <c r="I139" s="7" t="str">
        <f>IF($G139="","",IFERROR(IF('Physical Safety'!$L$5="",IF($G139&lt;=1,"Critical",IF($G139=2,"High",IF($G139=3,"Medium",IF($G139=4,"Low","Optimized")))),'Physical Safety'!$L$5),IF($G139&lt;=1,"Critical",IF($G139=2,"High",IF($G139=3,"Medium",IF($G139=4,"Low","Optimized"))))))</f>
        <v/>
      </c>
      <c r="J139" s="7" t="str">
        <f>IF($G139="","",IFERROR(INDEX('Recommendation Matrix'!$E$5:$J$411,MATCH($E139,'Recommendation Matrix'!$A$5:$A$411,0),$G139+1),""))</f>
        <v/>
      </c>
      <c r="K139" s="7" t="str">
        <f>IF($G139="","",IFERROR(VLOOKUP($E139,'Recommendation Matrix'!$A$5:$K$411,11,FALSE),""))</f>
        <v/>
      </c>
      <c r="L139" s="28" t="str">
        <f t="shared" si="22"/>
        <v/>
      </c>
      <c r="M139" s="28" t="str">
        <f>IF($G139="","",IFERROR(INDEX('Recommendation Matrix'!$L$5:$Q$411,MATCH($E139,'Recommendation Matrix'!$A$5:$A$411,0),$G139+1),""))</f>
        <v/>
      </c>
      <c r="N139" s="28" t="str">
        <f t="shared" si="23"/>
        <v/>
      </c>
      <c r="O139" s="28" t="str">
        <f t="shared" si="24"/>
        <v/>
      </c>
      <c r="P139" s="28" t="str">
        <f t="shared" si="25"/>
        <v/>
      </c>
      <c r="Q139" s="28" t="str">
        <f t="shared" si="26"/>
        <v/>
      </c>
      <c r="R139" s="8" t="str">
        <f t="shared" si="27"/>
        <v/>
      </c>
      <c r="S139" s="28">
        <f>IFERROR('Physical Safety'!$G$5,"")</f>
        <v>5</v>
      </c>
      <c r="T139" s="28">
        <f>IFERROR('Physical Safety'!$W$5,"")</f>
        <v>4</v>
      </c>
      <c r="U139" s="28">
        <f>IFERROR('Physical Safety'!$X$5,"")</f>
        <v>5</v>
      </c>
      <c r="V139" s="28">
        <f>IFERROR('Physical Safety'!$Y$5,"")</f>
        <v>5</v>
      </c>
      <c r="W139" s="7" t="s">
        <v>3207</v>
      </c>
      <c r="X139" s="7" t="s">
        <v>3208</v>
      </c>
      <c r="Y139" s="7" t="s">
        <v>3200</v>
      </c>
      <c r="Z139" s="7">
        <f>IFERROR('Physical Safety'!$U$5,"")</f>
        <v>0</v>
      </c>
      <c r="AA139" s="7"/>
      <c r="AB139" s="29"/>
      <c r="AC139" s="7"/>
      <c r="AD139" s="48" t="str">
        <f>IF($B139="Yes",IFERROR(SUMIFS(_TECH_Crisis_Model!$D$5:$D$191,_TECH_Crisis_Model!$A$5:$A$191,'Crisis Simulator'!$B$4,_TECH_Crisis_Model!$B$5:$B$191,$C139),1),"")</f>
        <v/>
      </c>
      <c r="AE139" s="48" t="str">
        <f t="shared" si="28"/>
        <v/>
      </c>
      <c r="AF139" s="48" t="str">
        <f>IFERROR(INDEX(_TECH_Crisis_Model!$E$5:$E$191,MATCH('Crisis Simulator'!$B$4&amp;"|"&amp;$C139,_TECH_Crisis_Model!$I$5:$I$191,0)),"")</f>
        <v>Employee safety, access control, evacuation and facilities resilience are direct crisis constraints.</v>
      </c>
      <c r="AG139" s="48" t="str">
        <f>IFERROR(INDEX(_TECH_Crisis_Model!$G$5:$G$191,MATCH('Crisis Simulator'!$B$4&amp;"|"&amp;$C139,_TECH_Crisis_Model!$I$5:$I$191,0)),"")</f>
        <v>Implement evacuation, access control, emergency response, site security and travel-risk procedures.</v>
      </c>
      <c r="AH139" s="48" t="str">
        <f>IFERROR(INDEX(_TECH_Initiative_Library!$A$5:$A$76,MATCH(1,INDEX((_TECH_Initiative_Library!$B$5:$B$76=$C139)*(_TECH_Initiative_Library!$C$5:$C$76=$D139),0),0)),"")</f>
        <v>INI-023</v>
      </c>
      <c r="AI139" s="48" t="str">
        <f>IFERROR(INDEX(_TECH_Initiative_Library!$F$5:$F$76,MATCH(1,INDEX((_TECH_Initiative_Library!$B$5:$B$76=$C139)*(_TECH_Initiative_Library!$C$5:$C$76=$D139),0),0)),"")</f>
        <v>Implement occupational health and safety governance system</v>
      </c>
      <c r="AJ139" s="48" t="str">
        <f ca="1">IFERROR(INDEX(_TECH_Initiative_Library!$AC$5:$AC$76,MATCH(1,INDEX((_TECH_Initiative_Library!$B$5:$B$76=$C139)*(_TECH_Initiative_Library!$C$5:$C$76=$D139),0),0)),"")</f>
        <v/>
      </c>
      <c r="AK139" s="48" t="str">
        <f ca="1">IFERROR(INDEX(_TECH_Initiative_Library!$AE$5:$AE$76,MATCH(1,INDEX((_TECH_Initiative_Library!$B$5:$B$76=$C139)*(_TECH_Initiative_Library!$C$5:$C$76=$D139),0),0)),"")</f>
        <v/>
      </c>
      <c r="AL139" s="48" t="str">
        <f>IF($B139="Yes",IFERROR(SUMIFS(_TECH_Industry_Templates!$E:$E,_TECH_Industry_Templates!$A:$A,'Company Profile'!$B$9,_TECH_Industry_Templates!$B:$B,$C139),1),"")</f>
        <v/>
      </c>
      <c r="AM139" s="48" t="str">
        <f t="shared" si="29"/>
        <v/>
      </c>
      <c r="AN139" s="48" t="str">
        <f>IF($AM139="","",RANK.EQ($AM139,$AM$8:$AM$414,0)+COUNTIF($AM$8:$AM139,$AM139)-1)</f>
        <v/>
      </c>
    </row>
    <row r="140" spans="1:40" ht="85.5">
      <c r="A140" s="28" t="str">
        <f>IF($AM140="","",RANK.EQ($AM140,$AM$8:$AM$414,0)+COUNTIF($AM$8:$AM140,$AM140)-1)</f>
        <v/>
      </c>
      <c r="B140" s="7" t="str">
        <f t="shared" si="20"/>
        <v/>
      </c>
      <c r="C140" s="7" t="s">
        <v>72</v>
      </c>
      <c r="D140" s="7" t="s">
        <v>1211</v>
      </c>
      <c r="E140" s="7" t="s">
        <v>3210</v>
      </c>
      <c r="F140" s="7" t="s">
        <v>3211</v>
      </c>
      <c r="G140" s="28" t="str">
        <f>IF(OR(COUNTA('Physical Safety'!$H$6)=0,'Physical Safety'!$H$6="N/A"),"",VALUE('Physical Safety'!$H$6))</f>
        <v/>
      </c>
      <c r="H140" s="7" t="str">
        <f t="shared" si="21"/>
        <v/>
      </c>
      <c r="I140" s="7" t="str">
        <f>IF($G140="","",IFERROR(IF('Physical Safety'!$L$6="",IF($G140&lt;=1,"Critical",IF($G140=2,"High",IF($G140=3,"Medium",IF($G140=4,"Low","Optimized")))),'Physical Safety'!$L$6),IF($G140&lt;=1,"Critical",IF($G140=2,"High",IF($G140=3,"Medium",IF($G140=4,"Low","Optimized"))))))</f>
        <v/>
      </c>
      <c r="J140" s="7" t="str">
        <f>IF($G140="","",IFERROR(INDEX('Recommendation Matrix'!$E$5:$J$411,MATCH($E140,'Recommendation Matrix'!$A$5:$A$411,0),$G140+1),""))</f>
        <v/>
      </c>
      <c r="K140" s="7" t="str">
        <f>IF($G140="","",IFERROR(VLOOKUP($E140,'Recommendation Matrix'!$A$5:$K$411,11,FALSE),""))</f>
        <v/>
      </c>
      <c r="L140" s="28" t="str">
        <f t="shared" si="22"/>
        <v/>
      </c>
      <c r="M140" s="28" t="str">
        <f>IF($G140="","",IFERROR(INDEX('Recommendation Matrix'!$L$5:$Q$411,MATCH($E140,'Recommendation Matrix'!$A$5:$A$411,0),$G140+1),""))</f>
        <v/>
      </c>
      <c r="N140" s="28" t="str">
        <f t="shared" si="23"/>
        <v/>
      </c>
      <c r="O140" s="28" t="str">
        <f t="shared" si="24"/>
        <v/>
      </c>
      <c r="P140" s="28" t="str">
        <f t="shared" si="25"/>
        <v/>
      </c>
      <c r="Q140" s="28" t="str">
        <f t="shared" si="26"/>
        <v/>
      </c>
      <c r="R140" s="8" t="str">
        <f t="shared" si="27"/>
        <v/>
      </c>
      <c r="S140" s="28">
        <f>IFERROR('Physical Safety'!$G$6,"")</f>
        <v>5</v>
      </c>
      <c r="T140" s="28">
        <f>IFERROR('Physical Safety'!$W$6,"")</f>
        <v>4</v>
      </c>
      <c r="U140" s="28">
        <f>IFERROR('Physical Safety'!$X$6,"")</f>
        <v>5</v>
      </c>
      <c r="V140" s="28">
        <f>IFERROR('Physical Safety'!$Y$6,"")</f>
        <v>5</v>
      </c>
      <c r="W140" s="7" t="s">
        <v>3207</v>
      </c>
      <c r="X140" s="7" t="s">
        <v>3208</v>
      </c>
      <c r="Y140" s="7" t="s">
        <v>3212</v>
      </c>
      <c r="Z140" s="7">
        <f>IFERROR('Physical Safety'!$U$6,"")</f>
        <v>0</v>
      </c>
      <c r="AA140" s="7"/>
      <c r="AB140" s="29"/>
      <c r="AC140" s="7"/>
      <c r="AD140" s="48" t="str">
        <f>IF($B140="Yes",IFERROR(SUMIFS(_TECH_Crisis_Model!$D$5:$D$191,_TECH_Crisis_Model!$A$5:$A$191,'Crisis Simulator'!$B$4,_TECH_Crisis_Model!$B$5:$B$191,$C140),1),"")</f>
        <v/>
      </c>
      <c r="AE140" s="48" t="str">
        <f t="shared" si="28"/>
        <v/>
      </c>
      <c r="AF140" s="48" t="str">
        <f>IFERROR(INDEX(_TECH_Crisis_Model!$E$5:$E$191,MATCH('Crisis Simulator'!$B$4&amp;"|"&amp;$C140,_TECH_Crisis_Model!$I$5:$I$191,0)),"")</f>
        <v>Employee safety, access control, evacuation and facilities resilience are direct crisis constraints.</v>
      </c>
      <c r="AG140" s="48" t="str">
        <f>IFERROR(INDEX(_TECH_Crisis_Model!$G$5:$G$191,MATCH('Crisis Simulator'!$B$4&amp;"|"&amp;$C140,_TECH_Crisis_Model!$I$5:$I$191,0)),"")</f>
        <v>Implement evacuation, access control, emergency response, site security and travel-risk procedures.</v>
      </c>
      <c r="AH140" s="48" t="str">
        <f>IFERROR(INDEX(_TECH_Initiative_Library!$A$5:$A$76,MATCH(1,INDEX((_TECH_Initiative_Library!$B$5:$B$76=$C140)*(_TECH_Initiative_Library!$C$5:$C$76=$D140),0),0)),"")</f>
        <v>INI-023</v>
      </c>
      <c r="AI140" s="48" t="str">
        <f>IFERROR(INDEX(_TECH_Initiative_Library!$F$5:$F$76,MATCH(1,INDEX((_TECH_Initiative_Library!$B$5:$B$76=$C140)*(_TECH_Initiative_Library!$C$5:$C$76=$D140),0),0)),"")</f>
        <v>Implement occupational health and safety governance system</v>
      </c>
      <c r="AJ140" s="48" t="str">
        <f ca="1">IFERROR(INDEX(_TECH_Initiative_Library!$AC$5:$AC$76,MATCH(1,INDEX((_TECH_Initiative_Library!$B$5:$B$76=$C140)*(_TECH_Initiative_Library!$C$5:$C$76=$D140),0),0)),"")</f>
        <v/>
      </c>
      <c r="AK140" s="48" t="str">
        <f ca="1">IFERROR(INDEX(_TECH_Initiative_Library!$AE$5:$AE$76,MATCH(1,INDEX((_TECH_Initiative_Library!$B$5:$B$76=$C140)*(_TECH_Initiative_Library!$C$5:$C$76=$D140),0),0)),"")</f>
        <v/>
      </c>
      <c r="AL140" s="48" t="str">
        <f>IF($B140="Yes",IFERROR(SUMIFS(_TECH_Industry_Templates!$E:$E,_TECH_Industry_Templates!$A:$A,'Company Profile'!$B$9,_TECH_Industry_Templates!$B:$B,$C140),1),"")</f>
        <v/>
      </c>
      <c r="AM140" s="48" t="str">
        <f t="shared" si="29"/>
        <v/>
      </c>
      <c r="AN140" s="48" t="str">
        <f>IF($AM140="","",RANK.EQ($AM140,$AM$8:$AM$414,0)+COUNTIF($AM$8:$AM140,$AM140)-1)</f>
        <v/>
      </c>
    </row>
    <row r="141" spans="1:40" ht="71.25">
      <c r="A141" s="28" t="str">
        <f>IF($AM141="","",RANK.EQ($AM141,$AM$8:$AM$414,0)+COUNTIF($AM$8:$AM141,$AM141)-1)</f>
        <v/>
      </c>
      <c r="B141" s="7" t="str">
        <f t="shared" si="20"/>
        <v/>
      </c>
      <c r="C141" s="7" t="s">
        <v>72</v>
      </c>
      <c r="D141" s="7" t="s">
        <v>1211</v>
      </c>
      <c r="E141" s="7" t="s">
        <v>3220</v>
      </c>
      <c r="F141" s="7" t="s">
        <v>3221</v>
      </c>
      <c r="G141" s="28" t="str">
        <f>IF(OR(COUNTA('Physical Safety'!$H$7)=0,'Physical Safety'!$H$7="N/A"),"",VALUE('Physical Safety'!$H$7))</f>
        <v/>
      </c>
      <c r="H141" s="7" t="str">
        <f t="shared" si="21"/>
        <v/>
      </c>
      <c r="I141" s="7" t="str">
        <f>IF($G141="","",IFERROR(IF('Physical Safety'!$L$7="",IF($G141&lt;=1,"Critical",IF($G141=2,"High",IF($G141=3,"Medium",IF($G141=4,"Low","Optimized")))),'Physical Safety'!$L$7),IF($G141&lt;=1,"Critical",IF($G141=2,"High",IF($G141=3,"Medium",IF($G141=4,"Low","Optimized"))))))</f>
        <v/>
      </c>
      <c r="J141" s="7" t="str">
        <f>IF($G141="","",IFERROR(INDEX('Recommendation Matrix'!$E$5:$J$411,MATCH($E141,'Recommendation Matrix'!$A$5:$A$411,0),$G141+1),""))</f>
        <v/>
      </c>
      <c r="K141" s="7" t="str">
        <f>IF($G141="","",IFERROR(VLOOKUP($E141,'Recommendation Matrix'!$A$5:$K$411,11,FALSE),""))</f>
        <v/>
      </c>
      <c r="L141" s="28" t="str">
        <f t="shared" si="22"/>
        <v/>
      </c>
      <c r="M141" s="28" t="str">
        <f>IF($G141="","",IFERROR(INDEX('Recommendation Matrix'!$L$5:$Q$411,MATCH($E141,'Recommendation Matrix'!$A$5:$A$411,0),$G141+1),""))</f>
        <v/>
      </c>
      <c r="N141" s="28" t="str">
        <f t="shared" si="23"/>
        <v/>
      </c>
      <c r="O141" s="28" t="str">
        <f t="shared" si="24"/>
        <v/>
      </c>
      <c r="P141" s="28" t="str">
        <f t="shared" si="25"/>
        <v/>
      </c>
      <c r="Q141" s="28" t="str">
        <f t="shared" si="26"/>
        <v/>
      </c>
      <c r="R141" s="8" t="str">
        <f t="shared" si="27"/>
        <v/>
      </c>
      <c r="S141" s="28">
        <f>IFERROR('Physical Safety'!$G$7,"")</f>
        <v>5</v>
      </c>
      <c r="T141" s="28">
        <f>IFERROR('Physical Safety'!$W$7,"")</f>
        <v>4</v>
      </c>
      <c r="U141" s="28">
        <f>IFERROR('Physical Safety'!$X$7,"")</f>
        <v>5</v>
      </c>
      <c r="V141" s="28">
        <f>IFERROR('Physical Safety'!$Y$7,"")</f>
        <v>5</v>
      </c>
      <c r="W141" s="7" t="s">
        <v>3207</v>
      </c>
      <c r="X141" s="7" t="s">
        <v>3208</v>
      </c>
      <c r="Y141" s="7" t="s">
        <v>3222</v>
      </c>
      <c r="Z141" s="7">
        <f>IFERROR('Physical Safety'!$U$7,"")</f>
        <v>0</v>
      </c>
      <c r="AA141" s="7"/>
      <c r="AB141" s="29"/>
      <c r="AC141" s="7"/>
      <c r="AD141" s="48" t="str">
        <f>IF($B141="Yes",IFERROR(SUMIFS(_TECH_Crisis_Model!$D$5:$D$191,_TECH_Crisis_Model!$A$5:$A$191,'Crisis Simulator'!$B$4,_TECH_Crisis_Model!$B$5:$B$191,$C141),1),"")</f>
        <v/>
      </c>
      <c r="AE141" s="48" t="str">
        <f t="shared" si="28"/>
        <v/>
      </c>
      <c r="AF141" s="48" t="str">
        <f>IFERROR(INDEX(_TECH_Crisis_Model!$E$5:$E$191,MATCH('Crisis Simulator'!$B$4&amp;"|"&amp;$C141,_TECH_Crisis_Model!$I$5:$I$191,0)),"")</f>
        <v>Employee safety, access control, evacuation and facilities resilience are direct crisis constraints.</v>
      </c>
      <c r="AG141" s="48" t="str">
        <f>IFERROR(INDEX(_TECH_Crisis_Model!$G$5:$G$191,MATCH('Crisis Simulator'!$B$4&amp;"|"&amp;$C141,_TECH_Crisis_Model!$I$5:$I$191,0)),"")</f>
        <v>Implement evacuation, access control, emergency response, site security and travel-risk procedures.</v>
      </c>
      <c r="AH141" s="48" t="str">
        <f>IFERROR(INDEX(_TECH_Initiative_Library!$A$5:$A$76,MATCH(1,INDEX((_TECH_Initiative_Library!$B$5:$B$76=$C141)*(_TECH_Initiative_Library!$C$5:$C$76=$D141),0),0)),"")</f>
        <v>INI-023</v>
      </c>
      <c r="AI141" s="48" t="str">
        <f>IFERROR(INDEX(_TECH_Initiative_Library!$F$5:$F$76,MATCH(1,INDEX((_TECH_Initiative_Library!$B$5:$B$76=$C141)*(_TECH_Initiative_Library!$C$5:$C$76=$D141),0),0)),"")</f>
        <v>Implement occupational health and safety governance system</v>
      </c>
      <c r="AJ141" s="48" t="str">
        <f ca="1">IFERROR(INDEX(_TECH_Initiative_Library!$AC$5:$AC$76,MATCH(1,INDEX((_TECH_Initiative_Library!$B$5:$B$76=$C141)*(_TECH_Initiative_Library!$C$5:$C$76=$D141),0),0)),"")</f>
        <v/>
      </c>
      <c r="AK141" s="48" t="str">
        <f ca="1">IFERROR(INDEX(_TECH_Initiative_Library!$AE$5:$AE$76,MATCH(1,INDEX((_TECH_Initiative_Library!$B$5:$B$76=$C141)*(_TECH_Initiative_Library!$C$5:$C$76=$D141),0),0)),"")</f>
        <v/>
      </c>
      <c r="AL141" s="48" t="str">
        <f>IF($B141="Yes",IFERROR(SUMIFS(_TECH_Industry_Templates!$E:$E,_TECH_Industry_Templates!$A:$A,'Company Profile'!$B$9,_TECH_Industry_Templates!$B:$B,$C141),1),"")</f>
        <v/>
      </c>
      <c r="AM141" s="48" t="str">
        <f t="shared" si="29"/>
        <v/>
      </c>
      <c r="AN141" s="48" t="str">
        <f>IF($AM141="","",RANK.EQ($AM141,$AM$8:$AM$414,0)+COUNTIF($AM$8:$AM141,$AM141)-1)</f>
        <v/>
      </c>
    </row>
    <row r="142" spans="1:40" ht="71.25">
      <c r="A142" s="28" t="str">
        <f>IF($AM142="","",RANK.EQ($AM142,$AM$8:$AM$414,0)+COUNTIF($AM$8:$AM142,$AM142)-1)</f>
        <v/>
      </c>
      <c r="B142" s="7" t="str">
        <f t="shared" si="20"/>
        <v/>
      </c>
      <c r="C142" s="7" t="s">
        <v>72</v>
      </c>
      <c r="D142" s="7" t="s">
        <v>1211</v>
      </c>
      <c r="E142" s="7" t="s">
        <v>3230</v>
      </c>
      <c r="F142" s="7" t="s">
        <v>3231</v>
      </c>
      <c r="G142" s="28" t="str">
        <f>IF(OR(COUNTA('Physical Safety'!$H$8)=0,'Physical Safety'!$H$8="N/A"),"",VALUE('Physical Safety'!$H$8))</f>
        <v/>
      </c>
      <c r="H142" s="7" t="str">
        <f t="shared" si="21"/>
        <v/>
      </c>
      <c r="I142" s="7" t="str">
        <f>IF($G142="","",IFERROR(IF('Physical Safety'!$L$8="",IF($G142&lt;=1,"Critical",IF($G142=2,"High",IF($G142=3,"Medium",IF($G142=4,"Low","Optimized")))),'Physical Safety'!$L$8),IF($G142&lt;=1,"Critical",IF($G142=2,"High",IF($G142=3,"Medium",IF($G142=4,"Low","Optimized"))))))</f>
        <v/>
      </c>
      <c r="J142" s="7" t="str">
        <f>IF($G142="","",IFERROR(INDEX('Recommendation Matrix'!$E$5:$J$411,MATCH($E142,'Recommendation Matrix'!$A$5:$A$411,0),$G142+1),""))</f>
        <v/>
      </c>
      <c r="K142" s="7" t="str">
        <f>IF($G142="","",IFERROR(VLOOKUP($E142,'Recommendation Matrix'!$A$5:$K$411,11,FALSE),""))</f>
        <v/>
      </c>
      <c r="L142" s="28" t="str">
        <f t="shared" si="22"/>
        <v/>
      </c>
      <c r="M142" s="28" t="str">
        <f>IF($G142="","",IFERROR(INDEX('Recommendation Matrix'!$L$5:$Q$411,MATCH($E142,'Recommendation Matrix'!$A$5:$A$411,0),$G142+1),""))</f>
        <v/>
      </c>
      <c r="N142" s="28" t="str">
        <f t="shared" si="23"/>
        <v/>
      </c>
      <c r="O142" s="28" t="str">
        <f t="shared" si="24"/>
        <v/>
      </c>
      <c r="P142" s="28" t="str">
        <f t="shared" si="25"/>
        <v/>
      </c>
      <c r="Q142" s="28" t="str">
        <f t="shared" si="26"/>
        <v/>
      </c>
      <c r="R142" s="8" t="str">
        <f t="shared" si="27"/>
        <v/>
      </c>
      <c r="S142" s="28">
        <f>IFERROR('Physical Safety'!$G$8,"")</f>
        <v>5</v>
      </c>
      <c r="T142" s="28">
        <f>IFERROR('Physical Safety'!$W$8,"")</f>
        <v>4</v>
      </c>
      <c r="U142" s="28">
        <f>IFERROR('Physical Safety'!$X$8,"")</f>
        <v>5</v>
      </c>
      <c r="V142" s="28">
        <f>IFERROR('Physical Safety'!$Y$8,"")</f>
        <v>5</v>
      </c>
      <c r="W142" s="7" t="s">
        <v>3207</v>
      </c>
      <c r="X142" s="7" t="s">
        <v>3208</v>
      </c>
      <c r="Y142" s="7" t="s">
        <v>3232</v>
      </c>
      <c r="Z142" s="7">
        <f>IFERROR('Physical Safety'!$U$8,"")</f>
        <v>0</v>
      </c>
      <c r="AA142" s="7"/>
      <c r="AB142" s="29"/>
      <c r="AC142" s="7"/>
      <c r="AD142" s="48" t="str">
        <f>IF($B142="Yes",IFERROR(SUMIFS(_TECH_Crisis_Model!$D$5:$D$191,_TECH_Crisis_Model!$A$5:$A$191,'Crisis Simulator'!$B$4,_TECH_Crisis_Model!$B$5:$B$191,$C142),1),"")</f>
        <v/>
      </c>
      <c r="AE142" s="48" t="str">
        <f t="shared" si="28"/>
        <v/>
      </c>
      <c r="AF142" s="48" t="str">
        <f>IFERROR(INDEX(_TECH_Crisis_Model!$E$5:$E$191,MATCH('Crisis Simulator'!$B$4&amp;"|"&amp;$C142,_TECH_Crisis_Model!$I$5:$I$191,0)),"")</f>
        <v>Employee safety, access control, evacuation and facilities resilience are direct crisis constraints.</v>
      </c>
      <c r="AG142" s="48" t="str">
        <f>IFERROR(INDEX(_TECH_Crisis_Model!$G$5:$G$191,MATCH('Crisis Simulator'!$B$4&amp;"|"&amp;$C142,_TECH_Crisis_Model!$I$5:$I$191,0)),"")</f>
        <v>Implement evacuation, access control, emergency response, site security and travel-risk procedures.</v>
      </c>
      <c r="AH142" s="48" t="str">
        <f>IFERROR(INDEX(_TECH_Initiative_Library!$A$5:$A$76,MATCH(1,INDEX((_TECH_Initiative_Library!$B$5:$B$76=$C142)*(_TECH_Initiative_Library!$C$5:$C$76=$D142),0),0)),"")</f>
        <v>INI-023</v>
      </c>
      <c r="AI142" s="48" t="str">
        <f>IFERROR(INDEX(_TECH_Initiative_Library!$F$5:$F$76,MATCH(1,INDEX((_TECH_Initiative_Library!$B$5:$B$76=$C142)*(_TECH_Initiative_Library!$C$5:$C$76=$D142),0),0)),"")</f>
        <v>Implement occupational health and safety governance system</v>
      </c>
      <c r="AJ142" s="48" t="str">
        <f ca="1">IFERROR(INDEX(_TECH_Initiative_Library!$AC$5:$AC$76,MATCH(1,INDEX((_TECH_Initiative_Library!$B$5:$B$76=$C142)*(_TECH_Initiative_Library!$C$5:$C$76=$D142),0),0)),"")</f>
        <v/>
      </c>
      <c r="AK142" s="48" t="str">
        <f ca="1">IFERROR(INDEX(_TECH_Initiative_Library!$AE$5:$AE$76,MATCH(1,INDEX((_TECH_Initiative_Library!$B$5:$B$76=$C142)*(_TECH_Initiative_Library!$C$5:$C$76=$D142),0),0)),"")</f>
        <v/>
      </c>
      <c r="AL142" s="48" t="str">
        <f>IF($B142="Yes",IFERROR(SUMIFS(_TECH_Industry_Templates!$E:$E,_TECH_Industry_Templates!$A:$A,'Company Profile'!$B$9,_TECH_Industry_Templates!$B:$B,$C142),1),"")</f>
        <v/>
      </c>
      <c r="AM142" s="48" t="str">
        <f t="shared" si="29"/>
        <v/>
      </c>
      <c r="AN142" s="48" t="str">
        <f>IF($AM142="","",RANK.EQ($AM142,$AM$8:$AM$414,0)+COUNTIF($AM$8:$AM142,$AM142)-1)</f>
        <v/>
      </c>
    </row>
    <row r="143" spans="1:40" ht="71.25">
      <c r="A143" s="28" t="str">
        <f>IF($AM143="","",RANK.EQ($AM143,$AM$8:$AM$414,0)+COUNTIF($AM$8:$AM143,$AM143)-1)</f>
        <v/>
      </c>
      <c r="B143" s="7" t="str">
        <f t="shared" si="20"/>
        <v/>
      </c>
      <c r="C143" s="7" t="s">
        <v>72</v>
      </c>
      <c r="D143" s="7" t="s">
        <v>1211</v>
      </c>
      <c r="E143" s="7" t="s">
        <v>3240</v>
      </c>
      <c r="F143" s="7" t="s">
        <v>3241</v>
      </c>
      <c r="G143" s="28" t="str">
        <f>IF(OR(COUNTA('Physical Safety'!$H$9)=0,'Physical Safety'!$H$9="N/A"),"",VALUE('Physical Safety'!$H$9))</f>
        <v/>
      </c>
      <c r="H143" s="7" t="str">
        <f t="shared" si="21"/>
        <v/>
      </c>
      <c r="I143" s="7" t="str">
        <f>IF($G143="","",IFERROR(IF('Physical Safety'!$L$9="",IF($G143&lt;=1,"Critical",IF($G143=2,"High",IF($G143=3,"Medium",IF($G143=4,"Low","Optimized")))),'Physical Safety'!$L$9),IF($G143&lt;=1,"Critical",IF($G143=2,"High",IF($G143=3,"Medium",IF($G143=4,"Low","Optimized"))))))</f>
        <v/>
      </c>
      <c r="J143" s="7" t="str">
        <f>IF($G143="","",IFERROR(INDEX('Recommendation Matrix'!$E$5:$J$411,MATCH($E143,'Recommendation Matrix'!$A$5:$A$411,0),$G143+1),""))</f>
        <v/>
      </c>
      <c r="K143" s="7" t="str">
        <f>IF($G143="","",IFERROR(VLOOKUP($E143,'Recommendation Matrix'!$A$5:$K$411,11,FALSE),""))</f>
        <v/>
      </c>
      <c r="L143" s="28" t="str">
        <f t="shared" si="22"/>
        <v/>
      </c>
      <c r="M143" s="28" t="str">
        <f>IF($G143="","",IFERROR(INDEX('Recommendation Matrix'!$L$5:$Q$411,MATCH($E143,'Recommendation Matrix'!$A$5:$A$411,0),$G143+1),""))</f>
        <v/>
      </c>
      <c r="N143" s="28" t="str">
        <f t="shared" si="23"/>
        <v/>
      </c>
      <c r="O143" s="28" t="str">
        <f t="shared" si="24"/>
        <v/>
      </c>
      <c r="P143" s="28" t="str">
        <f t="shared" si="25"/>
        <v/>
      </c>
      <c r="Q143" s="28" t="str">
        <f t="shared" si="26"/>
        <v/>
      </c>
      <c r="R143" s="8" t="str">
        <f t="shared" si="27"/>
        <v/>
      </c>
      <c r="S143" s="28">
        <f>IFERROR('Physical Safety'!$G$9,"")</f>
        <v>5</v>
      </c>
      <c r="T143" s="28">
        <f>IFERROR('Physical Safety'!$W$9,"")</f>
        <v>4</v>
      </c>
      <c r="U143" s="28">
        <f>IFERROR('Physical Safety'!$X$9,"")</f>
        <v>5</v>
      </c>
      <c r="V143" s="28">
        <f>IFERROR('Physical Safety'!$Y$9,"")</f>
        <v>5</v>
      </c>
      <c r="W143" s="7" t="s">
        <v>3207</v>
      </c>
      <c r="X143" s="7" t="s">
        <v>3208</v>
      </c>
      <c r="Y143" s="7" t="s">
        <v>3242</v>
      </c>
      <c r="Z143" s="7">
        <f>IFERROR('Physical Safety'!$U$9,"")</f>
        <v>0</v>
      </c>
      <c r="AA143" s="7"/>
      <c r="AB143" s="29"/>
      <c r="AC143" s="7"/>
      <c r="AD143" s="48" t="str">
        <f>IF($B143="Yes",IFERROR(SUMIFS(_TECH_Crisis_Model!$D$5:$D$191,_TECH_Crisis_Model!$A$5:$A$191,'Crisis Simulator'!$B$4,_TECH_Crisis_Model!$B$5:$B$191,$C143),1),"")</f>
        <v/>
      </c>
      <c r="AE143" s="48" t="str">
        <f t="shared" si="28"/>
        <v/>
      </c>
      <c r="AF143" s="48" t="str">
        <f>IFERROR(INDEX(_TECH_Crisis_Model!$E$5:$E$191,MATCH('Crisis Simulator'!$B$4&amp;"|"&amp;$C143,_TECH_Crisis_Model!$I$5:$I$191,0)),"")</f>
        <v>Employee safety, access control, evacuation and facilities resilience are direct crisis constraints.</v>
      </c>
      <c r="AG143" s="48" t="str">
        <f>IFERROR(INDEX(_TECH_Crisis_Model!$G$5:$G$191,MATCH('Crisis Simulator'!$B$4&amp;"|"&amp;$C143,_TECH_Crisis_Model!$I$5:$I$191,0)),"")</f>
        <v>Implement evacuation, access control, emergency response, site security and travel-risk procedures.</v>
      </c>
      <c r="AH143" s="48" t="str">
        <f>IFERROR(INDEX(_TECH_Initiative_Library!$A$5:$A$76,MATCH(1,INDEX((_TECH_Initiative_Library!$B$5:$B$76=$C143)*(_TECH_Initiative_Library!$C$5:$C$76=$D143),0),0)),"")</f>
        <v>INI-023</v>
      </c>
      <c r="AI143" s="48" t="str">
        <f>IFERROR(INDEX(_TECH_Initiative_Library!$F$5:$F$76,MATCH(1,INDEX((_TECH_Initiative_Library!$B$5:$B$76=$C143)*(_TECH_Initiative_Library!$C$5:$C$76=$D143),0),0)),"")</f>
        <v>Implement occupational health and safety governance system</v>
      </c>
      <c r="AJ143" s="48" t="str">
        <f ca="1">IFERROR(INDEX(_TECH_Initiative_Library!$AC$5:$AC$76,MATCH(1,INDEX((_TECH_Initiative_Library!$B$5:$B$76=$C143)*(_TECH_Initiative_Library!$C$5:$C$76=$D143),0),0)),"")</f>
        <v/>
      </c>
      <c r="AK143" s="48" t="str">
        <f ca="1">IFERROR(INDEX(_TECH_Initiative_Library!$AE$5:$AE$76,MATCH(1,INDEX((_TECH_Initiative_Library!$B$5:$B$76=$C143)*(_TECH_Initiative_Library!$C$5:$C$76=$D143),0),0)),"")</f>
        <v/>
      </c>
      <c r="AL143" s="48" t="str">
        <f>IF($B143="Yes",IFERROR(SUMIFS(_TECH_Industry_Templates!$E:$E,_TECH_Industry_Templates!$A:$A,'Company Profile'!$B$9,_TECH_Industry_Templates!$B:$B,$C143),1),"")</f>
        <v/>
      </c>
      <c r="AM143" s="48" t="str">
        <f t="shared" si="29"/>
        <v/>
      </c>
      <c r="AN143" s="48" t="str">
        <f>IF($AM143="","",RANK.EQ($AM143,$AM$8:$AM$414,0)+COUNTIF($AM$8:$AM143,$AM143)-1)</f>
        <v/>
      </c>
    </row>
    <row r="144" spans="1:40" ht="71.25">
      <c r="A144" s="28" t="str">
        <f>IF($AM144="","",RANK.EQ($AM144,$AM$8:$AM$414,0)+COUNTIF($AM$8:$AM144,$AM144)-1)</f>
        <v/>
      </c>
      <c r="B144" s="7" t="str">
        <f t="shared" si="20"/>
        <v/>
      </c>
      <c r="C144" s="7" t="s">
        <v>72</v>
      </c>
      <c r="D144" s="7" t="s">
        <v>1211</v>
      </c>
      <c r="E144" s="7" t="s">
        <v>3250</v>
      </c>
      <c r="F144" s="7" t="s">
        <v>3251</v>
      </c>
      <c r="G144" s="28" t="str">
        <f>IF(OR(COUNTA('Physical Safety'!$H$10)=0,'Physical Safety'!$H$10="N/A"),"",VALUE('Physical Safety'!$H$10))</f>
        <v/>
      </c>
      <c r="H144" s="7" t="str">
        <f t="shared" si="21"/>
        <v/>
      </c>
      <c r="I144" s="7" t="str">
        <f>IF($G144="","",IFERROR(IF('Physical Safety'!$L$10="",IF($G144&lt;=1,"Critical",IF($G144=2,"High",IF($G144=3,"Medium",IF($G144=4,"Low","Optimized")))),'Physical Safety'!$L$10),IF($G144&lt;=1,"Critical",IF($G144=2,"High",IF($G144=3,"Medium",IF($G144=4,"Low","Optimized"))))))</f>
        <v/>
      </c>
      <c r="J144" s="7" t="str">
        <f>IF($G144="","",IFERROR(INDEX('Recommendation Matrix'!$E$5:$J$411,MATCH($E144,'Recommendation Matrix'!$A$5:$A$411,0),$G144+1),""))</f>
        <v/>
      </c>
      <c r="K144" s="7" t="str">
        <f>IF($G144="","",IFERROR(VLOOKUP($E144,'Recommendation Matrix'!$A$5:$K$411,11,FALSE),""))</f>
        <v/>
      </c>
      <c r="L144" s="28" t="str">
        <f t="shared" si="22"/>
        <v/>
      </c>
      <c r="M144" s="28" t="str">
        <f>IF($G144="","",IFERROR(INDEX('Recommendation Matrix'!$L$5:$Q$411,MATCH($E144,'Recommendation Matrix'!$A$5:$A$411,0),$G144+1),""))</f>
        <v/>
      </c>
      <c r="N144" s="28" t="str">
        <f t="shared" si="23"/>
        <v/>
      </c>
      <c r="O144" s="28" t="str">
        <f t="shared" si="24"/>
        <v/>
      </c>
      <c r="P144" s="28" t="str">
        <f t="shared" si="25"/>
        <v/>
      </c>
      <c r="Q144" s="28" t="str">
        <f t="shared" si="26"/>
        <v/>
      </c>
      <c r="R144" s="8" t="str">
        <f t="shared" si="27"/>
        <v/>
      </c>
      <c r="S144" s="28">
        <f>IFERROR('Physical Safety'!$G$10,"")</f>
        <v>5</v>
      </c>
      <c r="T144" s="28">
        <f>IFERROR('Physical Safety'!$W$10,"")</f>
        <v>4</v>
      </c>
      <c r="U144" s="28">
        <f>IFERROR('Physical Safety'!$X$10,"")</f>
        <v>5</v>
      </c>
      <c r="V144" s="28">
        <f>IFERROR('Physical Safety'!$Y$10,"")</f>
        <v>5</v>
      </c>
      <c r="W144" s="7" t="s">
        <v>3207</v>
      </c>
      <c r="X144" s="7" t="s">
        <v>3208</v>
      </c>
      <c r="Y144" s="7" t="s">
        <v>3252</v>
      </c>
      <c r="Z144" s="7">
        <f>IFERROR('Physical Safety'!$U$10,"")</f>
        <v>0</v>
      </c>
      <c r="AA144" s="7"/>
      <c r="AB144" s="29"/>
      <c r="AC144" s="7"/>
      <c r="AD144" s="48" t="str">
        <f>IF($B144="Yes",IFERROR(SUMIFS(_TECH_Crisis_Model!$D$5:$D$191,_TECH_Crisis_Model!$A$5:$A$191,'Crisis Simulator'!$B$4,_TECH_Crisis_Model!$B$5:$B$191,$C144),1),"")</f>
        <v/>
      </c>
      <c r="AE144" s="48" t="str">
        <f t="shared" si="28"/>
        <v/>
      </c>
      <c r="AF144" s="48" t="str">
        <f>IFERROR(INDEX(_TECH_Crisis_Model!$E$5:$E$191,MATCH('Crisis Simulator'!$B$4&amp;"|"&amp;$C144,_TECH_Crisis_Model!$I$5:$I$191,0)),"")</f>
        <v>Employee safety, access control, evacuation and facilities resilience are direct crisis constraints.</v>
      </c>
      <c r="AG144" s="48" t="str">
        <f>IFERROR(INDEX(_TECH_Crisis_Model!$G$5:$G$191,MATCH('Crisis Simulator'!$B$4&amp;"|"&amp;$C144,_TECH_Crisis_Model!$I$5:$I$191,0)),"")</f>
        <v>Implement evacuation, access control, emergency response, site security and travel-risk procedures.</v>
      </c>
      <c r="AH144" s="48" t="str">
        <f>IFERROR(INDEX(_TECH_Initiative_Library!$A$5:$A$76,MATCH(1,INDEX((_TECH_Initiative_Library!$B$5:$B$76=$C144)*(_TECH_Initiative_Library!$C$5:$C$76=$D144),0),0)),"")</f>
        <v>INI-023</v>
      </c>
      <c r="AI144" s="48" t="str">
        <f>IFERROR(INDEX(_TECH_Initiative_Library!$F$5:$F$76,MATCH(1,INDEX((_TECH_Initiative_Library!$B$5:$B$76=$C144)*(_TECH_Initiative_Library!$C$5:$C$76=$D144),0),0)),"")</f>
        <v>Implement occupational health and safety governance system</v>
      </c>
      <c r="AJ144" s="48" t="str">
        <f ca="1">IFERROR(INDEX(_TECH_Initiative_Library!$AC$5:$AC$76,MATCH(1,INDEX((_TECH_Initiative_Library!$B$5:$B$76=$C144)*(_TECH_Initiative_Library!$C$5:$C$76=$D144),0),0)),"")</f>
        <v/>
      </c>
      <c r="AK144" s="48" t="str">
        <f ca="1">IFERROR(INDEX(_TECH_Initiative_Library!$AE$5:$AE$76,MATCH(1,INDEX((_TECH_Initiative_Library!$B$5:$B$76=$C144)*(_TECH_Initiative_Library!$C$5:$C$76=$D144),0),0)),"")</f>
        <v/>
      </c>
      <c r="AL144" s="48" t="str">
        <f>IF($B144="Yes",IFERROR(SUMIFS(_TECH_Industry_Templates!$E:$E,_TECH_Industry_Templates!$A:$A,'Company Profile'!$B$9,_TECH_Industry_Templates!$B:$B,$C144),1),"")</f>
        <v/>
      </c>
      <c r="AM144" s="48" t="str">
        <f t="shared" si="29"/>
        <v/>
      </c>
      <c r="AN144" s="48" t="str">
        <f>IF($AM144="","",RANK.EQ($AM144,$AM$8:$AM$414,0)+COUNTIF($AM$8:$AM144,$AM144)-1)</f>
        <v/>
      </c>
    </row>
    <row r="145" spans="1:40" ht="85.5">
      <c r="A145" s="28" t="str">
        <f>IF($AM145="","",RANK.EQ($AM145,$AM$8:$AM$414,0)+COUNTIF($AM$8:$AM145,$AM145)-1)</f>
        <v/>
      </c>
      <c r="B145" s="7" t="str">
        <f t="shared" si="20"/>
        <v/>
      </c>
      <c r="C145" s="7" t="s">
        <v>72</v>
      </c>
      <c r="D145" s="7" t="s">
        <v>1226</v>
      </c>
      <c r="E145" s="7" t="s">
        <v>3260</v>
      </c>
      <c r="F145" s="7" t="s">
        <v>3261</v>
      </c>
      <c r="G145" s="28" t="str">
        <f>IF(OR(COUNTA('Physical Safety'!$H$11)=0,'Physical Safety'!$H$11="N/A"),"",VALUE('Physical Safety'!$H$11))</f>
        <v/>
      </c>
      <c r="H145" s="7" t="str">
        <f t="shared" si="21"/>
        <v/>
      </c>
      <c r="I145" s="7" t="str">
        <f>IF($G145="","",IFERROR(IF('Physical Safety'!$L$11="",IF($G145&lt;=1,"Critical",IF($G145=2,"High",IF($G145=3,"Medium",IF($G145=4,"Low","Optimized")))),'Physical Safety'!$L$11),IF($G145&lt;=1,"Critical",IF($G145=2,"High",IF($G145=3,"Medium",IF($G145=4,"Low","Optimized"))))))</f>
        <v/>
      </c>
      <c r="J145" s="7" t="str">
        <f>IF($G145="","",IFERROR(INDEX('Recommendation Matrix'!$E$5:$J$411,MATCH($E145,'Recommendation Matrix'!$A$5:$A$411,0),$G145+1),""))</f>
        <v/>
      </c>
      <c r="K145" s="7" t="str">
        <f>IF($G145="","",IFERROR(VLOOKUP($E145,'Recommendation Matrix'!$A$5:$K$411,11,FALSE),""))</f>
        <v/>
      </c>
      <c r="L145" s="28" t="str">
        <f t="shared" si="22"/>
        <v/>
      </c>
      <c r="M145" s="28" t="str">
        <f>IF($G145="","",IFERROR(INDEX('Recommendation Matrix'!$L$5:$Q$411,MATCH($E145,'Recommendation Matrix'!$A$5:$A$411,0),$G145+1),""))</f>
        <v/>
      </c>
      <c r="N145" s="28" t="str">
        <f t="shared" si="23"/>
        <v/>
      </c>
      <c r="O145" s="28" t="str">
        <f t="shared" si="24"/>
        <v/>
      </c>
      <c r="P145" s="28" t="str">
        <f t="shared" si="25"/>
        <v/>
      </c>
      <c r="Q145" s="28" t="str">
        <f t="shared" si="26"/>
        <v/>
      </c>
      <c r="R145" s="8" t="str">
        <f t="shared" si="27"/>
        <v/>
      </c>
      <c r="S145" s="28">
        <f>IFERROR('Physical Safety'!$G$11,"")</f>
        <v>5</v>
      </c>
      <c r="T145" s="28">
        <f>IFERROR('Physical Safety'!$W$11,"")</f>
        <v>4</v>
      </c>
      <c r="U145" s="28">
        <f>IFERROR('Physical Safety'!$X$11,"")</f>
        <v>5</v>
      </c>
      <c r="V145" s="28">
        <f>IFERROR('Physical Safety'!$Y$11,"")</f>
        <v>5</v>
      </c>
      <c r="W145" s="7" t="s">
        <v>3207</v>
      </c>
      <c r="X145" s="7" t="s">
        <v>3208</v>
      </c>
      <c r="Y145" s="7" t="s">
        <v>3262</v>
      </c>
      <c r="Z145" s="7">
        <f>IFERROR('Physical Safety'!$U$11,"")</f>
        <v>0</v>
      </c>
      <c r="AA145" s="7"/>
      <c r="AB145" s="29"/>
      <c r="AC145" s="7"/>
      <c r="AD145" s="48" t="str">
        <f>IF($B145="Yes",IFERROR(SUMIFS(_TECH_Crisis_Model!$D$5:$D$191,_TECH_Crisis_Model!$A$5:$A$191,'Crisis Simulator'!$B$4,_TECH_Crisis_Model!$B$5:$B$191,$C145),1),"")</f>
        <v/>
      </c>
      <c r="AE145" s="48" t="str">
        <f t="shared" si="28"/>
        <v/>
      </c>
      <c r="AF145" s="48" t="str">
        <f>IFERROR(INDEX(_TECH_Crisis_Model!$E$5:$E$191,MATCH('Crisis Simulator'!$B$4&amp;"|"&amp;$C145,_TECH_Crisis_Model!$I$5:$I$191,0)),"")</f>
        <v>Employee safety, access control, evacuation and facilities resilience are direct crisis constraints.</v>
      </c>
      <c r="AG145" s="48" t="str">
        <f>IFERROR(INDEX(_TECH_Crisis_Model!$G$5:$G$191,MATCH('Crisis Simulator'!$B$4&amp;"|"&amp;$C145,_TECH_Crisis_Model!$I$5:$I$191,0)),"")</f>
        <v>Implement evacuation, access control, emergency response, site security and travel-risk procedures.</v>
      </c>
      <c r="AH145" s="48" t="str">
        <f>IFERROR(INDEX(_TECH_Initiative_Library!$A$5:$A$76,MATCH(1,INDEX((_TECH_Initiative_Library!$B$5:$B$76=$C145)*(_TECH_Initiative_Library!$C$5:$C$76=$D145),0),0)),"")</f>
        <v>INI-024</v>
      </c>
      <c r="AI145" s="48" t="str">
        <f>IFERROR(INDEX(_TECH_Initiative_Library!$F$5:$F$76,MATCH(1,INDEX((_TECH_Initiative_Library!$B$5:$B$76=$C145)*(_TECH_Initiative_Library!$C$5:$C$76=$D145),0),0)),"")</f>
        <v>Secure facilities, physical access and site protection controls</v>
      </c>
      <c r="AJ145" s="48" t="str">
        <f ca="1">IFERROR(INDEX(_TECH_Initiative_Library!$AC$5:$AC$76,MATCH(1,INDEX((_TECH_Initiative_Library!$B$5:$B$76=$C145)*(_TECH_Initiative_Library!$C$5:$C$76=$D145),0),0)),"")</f>
        <v/>
      </c>
      <c r="AK145" s="48" t="str">
        <f ca="1">IFERROR(INDEX(_TECH_Initiative_Library!$AE$5:$AE$76,MATCH(1,INDEX((_TECH_Initiative_Library!$B$5:$B$76=$C145)*(_TECH_Initiative_Library!$C$5:$C$76=$D145),0),0)),"")</f>
        <v/>
      </c>
      <c r="AL145" s="48" t="str">
        <f>IF($B145="Yes",IFERROR(SUMIFS(_TECH_Industry_Templates!$E:$E,_TECH_Industry_Templates!$A:$A,'Company Profile'!$B$9,_TECH_Industry_Templates!$B:$B,$C145),1),"")</f>
        <v/>
      </c>
      <c r="AM145" s="48" t="str">
        <f t="shared" si="29"/>
        <v/>
      </c>
      <c r="AN145" s="48" t="str">
        <f>IF($AM145="","",RANK.EQ($AM145,$AM$8:$AM$414,0)+COUNTIF($AM$8:$AM145,$AM145)-1)</f>
        <v/>
      </c>
    </row>
    <row r="146" spans="1:40" ht="85.5">
      <c r="A146" s="28" t="str">
        <f>IF($AM146="","",RANK.EQ($AM146,$AM$8:$AM$414,0)+COUNTIF($AM$8:$AM146,$AM146)-1)</f>
        <v/>
      </c>
      <c r="B146" s="7" t="str">
        <f t="shared" si="20"/>
        <v/>
      </c>
      <c r="C146" s="7" t="s">
        <v>72</v>
      </c>
      <c r="D146" s="7" t="s">
        <v>1226</v>
      </c>
      <c r="E146" s="7" t="s">
        <v>3270</v>
      </c>
      <c r="F146" s="7" t="s">
        <v>3271</v>
      </c>
      <c r="G146" s="28" t="str">
        <f>IF(OR(COUNTA('Physical Safety'!$H$12)=0,'Physical Safety'!$H$12="N/A"),"",VALUE('Physical Safety'!$H$12))</f>
        <v/>
      </c>
      <c r="H146" s="7" t="str">
        <f t="shared" si="21"/>
        <v/>
      </c>
      <c r="I146" s="7" t="str">
        <f>IF($G146="","",IFERROR(IF('Physical Safety'!$L$12="",IF($G146&lt;=1,"Critical",IF($G146=2,"High",IF($G146=3,"Medium",IF($G146=4,"Low","Optimized")))),'Physical Safety'!$L$12),IF($G146&lt;=1,"Critical",IF($G146=2,"High",IF($G146=3,"Medium",IF($G146=4,"Low","Optimized"))))))</f>
        <v/>
      </c>
      <c r="J146" s="7" t="str">
        <f>IF($G146="","",IFERROR(INDEX('Recommendation Matrix'!$E$5:$J$411,MATCH($E146,'Recommendation Matrix'!$A$5:$A$411,0),$G146+1),""))</f>
        <v/>
      </c>
      <c r="K146" s="7" t="str">
        <f>IF($G146="","",IFERROR(VLOOKUP($E146,'Recommendation Matrix'!$A$5:$K$411,11,FALSE),""))</f>
        <v/>
      </c>
      <c r="L146" s="28" t="str">
        <f t="shared" si="22"/>
        <v/>
      </c>
      <c r="M146" s="28" t="str">
        <f>IF($G146="","",IFERROR(INDEX('Recommendation Matrix'!$L$5:$Q$411,MATCH($E146,'Recommendation Matrix'!$A$5:$A$411,0),$G146+1),""))</f>
        <v/>
      </c>
      <c r="N146" s="28" t="str">
        <f t="shared" si="23"/>
        <v/>
      </c>
      <c r="O146" s="28" t="str">
        <f t="shared" si="24"/>
        <v/>
      </c>
      <c r="P146" s="28" t="str">
        <f t="shared" si="25"/>
        <v/>
      </c>
      <c r="Q146" s="28" t="str">
        <f t="shared" si="26"/>
        <v/>
      </c>
      <c r="R146" s="8" t="str">
        <f t="shared" si="27"/>
        <v/>
      </c>
      <c r="S146" s="28">
        <f>IFERROR('Physical Safety'!$G$12,"")</f>
        <v>5</v>
      </c>
      <c r="T146" s="28">
        <f>IFERROR('Physical Safety'!$W$12,"")</f>
        <v>5</v>
      </c>
      <c r="U146" s="28">
        <f>IFERROR('Physical Safety'!$X$12,"")</f>
        <v>5</v>
      </c>
      <c r="V146" s="28">
        <f>IFERROR('Physical Safety'!$Y$12,"")</f>
        <v>5</v>
      </c>
      <c r="W146" s="7" t="s">
        <v>3207</v>
      </c>
      <c r="X146" s="7" t="s">
        <v>3208</v>
      </c>
      <c r="Y146" s="7" t="s">
        <v>3272</v>
      </c>
      <c r="Z146" s="7">
        <f>IFERROR('Physical Safety'!$U$12,"")</f>
        <v>0</v>
      </c>
      <c r="AA146" s="7"/>
      <c r="AB146" s="29"/>
      <c r="AC146" s="7"/>
      <c r="AD146" s="48" t="str">
        <f>IF($B146="Yes",IFERROR(SUMIFS(_TECH_Crisis_Model!$D$5:$D$191,_TECH_Crisis_Model!$A$5:$A$191,'Crisis Simulator'!$B$4,_TECH_Crisis_Model!$B$5:$B$191,$C146),1),"")</f>
        <v/>
      </c>
      <c r="AE146" s="48" t="str">
        <f t="shared" si="28"/>
        <v/>
      </c>
      <c r="AF146" s="48" t="str">
        <f>IFERROR(INDEX(_TECH_Crisis_Model!$E$5:$E$191,MATCH('Crisis Simulator'!$B$4&amp;"|"&amp;$C146,_TECH_Crisis_Model!$I$5:$I$191,0)),"")</f>
        <v>Employee safety, access control, evacuation and facilities resilience are direct crisis constraints.</v>
      </c>
      <c r="AG146" s="48" t="str">
        <f>IFERROR(INDEX(_TECH_Crisis_Model!$G$5:$G$191,MATCH('Crisis Simulator'!$B$4&amp;"|"&amp;$C146,_TECH_Crisis_Model!$I$5:$I$191,0)),"")</f>
        <v>Implement evacuation, access control, emergency response, site security and travel-risk procedures.</v>
      </c>
      <c r="AH146" s="48" t="str">
        <f>IFERROR(INDEX(_TECH_Initiative_Library!$A$5:$A$76,MATCH(1,INDEX((_TECH_Initiative_Library!$B$5:$B$76=$C146)*(_TECH_Initiative_Library!$C$5:$C$76=$D146),0),0)),"")</f>
        <v>INI-024</v>
      </c>
      <c r="AI146" s="48" t="str">
        <f>IFERROR(INDEX(_TECH_Initiative_Library!$F$5:$F$76,MATCH(1,INDEX((_TECH_Initiative_Library!$B$5:$B$76=$C146)*(_TECH_Initiative_Library!$C$5:$C$76=$D146),0),0)),"")</f>
        <v>Secure facilities, physical access and site protection controls</v>
      </c>
      <c r="AJ146" s="48" t="str">
        <f ca="1">IFERROR(INDEX(_TECH_Initiative_Library!$AC$5:$AC$76,MATCH(1,INDEX((_TECH_Initiative_Library!$B$5:$B$76=$C146)*(_TECH_Initiative_Library!$C$5:$C$76=$D146),0),0)),"")</f>
        <v/>
      </c>
      <c r="AK146" s="48" t="str">
        <f ca="1">IFERROR(INDEX(_TECH_Initiative_Library!$AE$5:$AE$76,MATCH(1,INDEX((_TECH_Initiative_Library!$B$5:$B$76=$C146)*(_TECH_Initiative_Library!$C$5:$C$76=$D146),0),0)),"")</f>
        <v/>
      </c>
      <c r="AL146" s="48" t="str">
        <f>IF($B146="Yes",IFERROR(SUMIFS(_TECH_Industry_Templates!$E:$E,_TECH_Industry_Templates!$A:$A,'Company Profile'!$B$9,_TECH_Industry_Templates!$B:$B,$C146),1),"")</f>
        <v/>
      </c>
      <c r="AM146" s="48" t="str">
        <f t="shared" si="29"/>
        <v/>
      </c>
      <c r="AN146" s="48" t="str">
        <f>IF($AM146="","",RANK.EQ($AM146,$AM$8:$AM$414,0)+COUNTIF($AM$8:$AM146,$AM146)-1)</f>
        <v/>
      </c>
    </row>
    <row r="147" spans="1:40" ht="71.25">
      <c r="A147" s="28" t="str">
        <f>IF($AM147="","",RANK.EQ($AM147,$AM$8:$AM$414,0)+COUNTIF($AM$8:$AM147,$AM147)-1)</f>
        <v/>
      </c>
      <c r="B147" s="7" t="str">
        <f t="shared" si="20"/>
        <v/>
      </c>
      <c r="C147" s="7" t="s">
        <v>72</v>
      </c>
      <c r="D147" s="7" t="s">
        <v>1226</v>
      </c>
      <c r="E147" s="7" t="s">
        <v>3280</v>
      </c>
      <c r="F147" s="7" t="s">
        <v>3281</v>
      </c>
      <c r="G147" s="28" t="str">
        <f>IF(OR(COUNTA('Physical Safety'!$H$13)=0,'Physical Safety'!$H$13="N/A"),"",VALUE('Physical Safety'!$H$13))</f>
        <v/>
      </c>
      <c r="H147" s="7" t="str">
        <f t="shared" si="21"/>
        <v/>
      </c>
      <c r="I147" s="7" t="str">
        <f>IF($G147="","",IFERROR(IF('Physical Safety'!$L$13="",IF($G147&lt;=1,"Critical",IF($G147=2,"High",IF($G147=3,"Medium",IF($G147=4,"Low","Optimized")))),'Physical Safety'!$L$13),IF($G147&lt;=1,"Critical",IF($G147=2,"High",IF($G147=3,"Medium",IF($G147=4,"Low","Optimized"))))))</f>
        <v/>
      </c>
      <c r="J147" s="7" t="str">
        <f>IF($G147="","",IFERROR(INDEX('Recommendation Matrix'!$E$5:$J$411,MATCH($E147,'Recommendation Matrix'!$A$5:$A$411,0),$G147+1),""))</f>
        <v/>
      </c>
      <c r="K147" s="7" t="str">
        <f>IF($G147="","",IFERROR(VLOOKUP($E147,'Recommendation Matrix'!$A$5:$K$411,11,FALSE),""))</f>
        <v/>
      </c>
      <c r="L147" s="28" t="str">
        <f t="shared" si="22"/>
        <v/>
      </c>
      <c r="M147" s="28" t="str">
        <f>IF($G147="","",IFERROR(INDEX('Recommendation Matrix'!$L$5:$Q$411,MATCH($E147,'Recommendation Matrix'!$A$5:$A$411,0),$G147+1),""))</f>
        <v/>
      </c>
      <c r="N147" s="28" t="str">
        <f t="shared" si="23"/>
        <v/>
      </c>
      <c r="O147" s="28" t="str">
        <f t="shared" si="24"/>
        <v/>
      </c>
      <c r="P147" s="28" t="str">
        <f t="shared" si="25"/>
        <v/>
      </c>
      <c r="Q147" s="28" t="str">
        <f t="shared" si="26"/>
        <v/>
      </c>
      <c r="R147" s="8" t="str">
        <f t="shared" si="27"/>
        <v/>
      </c>
      <c r="S147" s="28">
        <f>IFERROR('Physical Safety'!$G$13,"")</f>
        <v>4</v>
      </c>
      <c r="T147" s="28">
        <f>IFERROR('Physical Safety'!$W$13,"")</f>
        <v>4</v>
      </c>
      <c r="U147" s="28">
        <f>IFERROR('Physical Safety'!$X$13,"")</f>
        <v>5</v>
      </c>
      <c r="V147" s="28">
        <f>IFERROR('Physical Safety'!$Y$13,"")</f>
        <v>5</v>
      </c>
      <c r="W147" s="7" t="s">
        <v>3207</v>
      </c>
      <c r="X147" s="7" t="s">
        <v>3208</v>
      </c>
      <c r="Y147" s="7" t="s">
        <v>3282</v>
      </c>
      <c r="Z147" s="7">
        <f>IFERROR('Physical Safety'!$U$13,"")</f>
        <v>0</v>
      </c>
      <c r="AA147" s="7"/>
      <c r="AB147" s="29"/>
      <c r="AC147" s="7"/>
      <c r="AD147" s="48" t="str">
        <f>IF($B147="Yes",IFERROR(SUMIFS(_TECH_Crisis_Model!$D$5:$D$191,_TECH_Crisis_Model!$A$5:$A$191,'Crisis Simulator'!$B$4,_TECH_Crisis_Model!$B$5:$B$191,$C147),1),"")</f>
        <v/>
      </c>
      <c r="AE147" s="48" t="str">
        <f t="shared" si="28"/>
        <v/>
      </c>
      <c r="AF147" s="48" t="str">
        <f>IFERROR(INDEX(_TECH_Crisis_Model!$E$5:$E$191,MATCH('Crisis Simulator'!$B$4&amp;"|"&amp;$C147,_TECH_Crisis_Model!$I$5:$I$191,0)),"")</f>
        <v>Employee safety, access control, evacuation and facilities resilience are direct crisis constraints.</v>
      </c>
      <c r="AG147" s="48" t="str">
        <f>IFERROR(INDEX(_TECH_Crisis_Model!$G$5:$G$191,MATCH('Crisis Simulator'!$B$4&amp;"|"&amp;$C147,_TECH_Crisis_Model!$I$5:$I$191,0)),"")</f>
        <v>Implement evacuation, access control, emergency response, site security and travel-risk procedures.</v>
      </c>
      <c r="AH147" s="48" t="str">
        <f>IFERROR(INDEX(_TECH_Initiative_Library!$A$5:$A$76,MATCH(1,INDEX((_TECH_Initiative_Library!$B$5:$B$76=$C147)*(_TECH_Initiative_Library!$C$5:$C$76=$D147),0),0)),"")</f>
        <v>INI-024</v>
      </c>
      <c r="AI147" s="48" t="str">
        <f>IFERROR(INDEX(_TECH_Initiative_Library!$F$5:$F$76,MATCH(1,INDEX((_TECH_Initiative_Library!$B$5:$B$76=$C147)*(_TECH_Initiative_Library!$C$5:$C$76=$D147),0),0)),"")</f>
        <v>Secure facilities, physical access and site protection controls</v>
      </c>
      <c r="AJ147" s="48" t="str">
        <f ca="1">IFERROR(INDEX(_TECH_Initiative_Library!$AC$5:$AC$76,MATCH(1,INDEX((_TECH_Initiative_Library!$B$5:$B$76=$C147)*(_TECH_Initiative_Library!$C$5:$C$76=$D147),0),0)),"")</f>
        <v/>
      </c>
      <c r="AK147" s="48" t="str">
        <f ca="1">IFERROR(INDEX(_TECH_Initiative_Library!$AE$5:$AE$76,MATCH(1,INDEX((_TECH_Initiative_Library!$B$5:$B$76=$C147)*(_TECH_Initiative_Library!$C$5:$C$76=$D147),0),0)),"")</f>
        <v/>
      </c>
      <c r="AL147" s="48" t="str">
        <f>IF($B147="Yes",IFERROR(SUMIFS(_TECH_Industry_Templates!$E:$E,_TECH_Industry_Templates!$A:$A,'Company Profile'!$B$9,_TECH_Industry_Templates!$B:$B,$C147),1),"")</f>
        <v/>
      </c>
      <c r="AM147" s="48" t="str">
        <f t="shared" si="29"/>
        <v/>
      </c>
      <c r="AN147" s="48" t="str">
        <f>IF($AM147="","",RANK.EQ($AM147,$AM$8:$AM$414,0)+COUNTIF($AM$8:$AM147,$AM147)-1)</f>
        <v/>
      </c>
    </row>
    <row r="148" spans="1:40" ht="85.5">
      <c r="A148" s="28" t="str">
        <f>IF($AM148="","",RANK.EQ($AM148,$AM$8:$AM$414,0)+COUNTIF($AM$8:$AM148,$AM148)-1)</f>
        <v/>
      </c>
      <c r="B148" s="7" t="str">
        <f t="shared" si="20"/>
        <v/>
      </c>
      <c r="C148" s="7" t="s">
        <v>72</v>
      </c>
      <c r="D148" s="7" t="s">
        <v>1226</v>
      </c>
      <c r="E148" s="7" t="s">
        <v>3290</v>
      </c>
      <c r="F148" s="7" t="s">
        <v>3291</v>
      </c>
      <c r="G148" s="28" t="str">
        <f>IF(OR(COUNTA('Physical Safety'!$H$14)=0,'Physical Safety'!$H$14="N/A"),"",VALUE('Physical Safety'!$H$14))</f>
        <v/>
      </c>
      <c r="H148" s="7" t="str">
        <f t="shared" si="21"/>
        <v/>
      </c>
      <c r="I148" s="7" t="str">
        <f>IF($G148="","",IFERROR(IF('Physical Safety'!$L$14="",IF($G148&lt;=1,"Critical",IF($G148=2,"High",IF($G148=3,"Medium",IF($G148=4,"Low","Optimized")))),'Physical Safety'!$L$14),IF($G148&lt;=1,"Critical",IF($G148=2,"High",IF($G148=3,"Medium",IF($G148=4,"Low","Optimized"))))))</f>
        <v/>
      </c>
      <c r="J148" s="7" t="str">
        <f>IF($G148="","",IFERROR(INDEX('Recommendation Matrix'!$E$5:$J$411,MATCH($E148,'Recommendation Matrix'!$A$5:$A$411,0),$G148+1),""))</f>
        <v/>
      </c>
      <c r="K148" s="7" t="str">
        <f>IF($G148="","",IFERROR(VLOOKUP($E148,'Recommendation Matrix'!$A$5:$K$411,11,FALSE),""))</f>
        <v/>
      </c>
      <c r="L148" s="28" t="str">
        <f t="shared" si="22"/>
        <v/>
      </c>
      <c r="M148" s="28" t="str">
        <f>IF($G148="","",IFERROR(INDEX('Recommendation Matrix'!$L$5:$Q$411,MATCH($E148,'Recommendation Matrix'!$A$5:$A$411,0),$G148+1),""))</f>
        <v/>
      </c>
      <c r="N148" s="28" t="str">
        <f t="shared" si="23"/>
        <v/>
      </c>
      <c r="O148" s="28" t="str">
        <f t="shared" si="24"/>
        <v/>
      </c>
      <c r="P148" s="28" t="str">
        <f t="shared" si="25"/>
        <v/>
      </c>
      <c r="Q148" s="28" t="str">
        <f t="shared" si="26"/>
        <v/>
      </c>
      <c r="R148" s="8" t="str">
        <f t="shared" si="27"/>
        <v/>
      </c>
      <c r="S148" s="28">
        <f>IFERROR('Physical Safety'!$G$14,"")</f>
        <v>3</v>
      </c>
      <c r="T148" s="28">
        <f>IFERROR('Physical Safety'!$W$14,"")</f>
        <v>4</v>
      </c>
      <c r="U148" s="28">
        <f>IFERROR('Physical Safety'!$X$14,"")</f>
        <v>5</v>
      </c>
      <c r="V148" s="28">
        <f>IFERROR('Physical Safety'!$Y$14,"")</f>
        <v>5</v>
      </c>
      <c r="W148" s="7" t="s">
        <v>3207</v>
      </c>
      <c r="X148" s="7" t="s">
        <v>3208</v>
      </c>
      <c r="Y148" s="7" t="s">
        <v>3292</v>
      </c>
      <c r="Z148" s="7">
        <f>IFERROR('Physical Safety'!$U$14,"")</f>
        <v>0</v>
      </c>
      <c r="AA148" s="7"/>
      <c r="AB148" s="29"/>
      <c r="AC148" s="7"/>
      <c r="AD148" s="48" t="str">
        <f>IF($B148="Yes",IFERROR(SUMIFS(_TECH_Crisis_Model!$D$5:$D$191,_TECH_Crisis_Model!$A$5:$A$191,'Crisis Simulator'!$B$4,_TECH_Crisis_Model!$B$5:$B$191,$C148),1),"")</f>
        <v/>
      </c>
      <c r="AE148" s="48" t="str">
        <f t="shared" si="28"/>
        <v/>
      </c>
      <c r="AF148" s="48" t="str">
        <f>IFERROR(INDEX(_TECH_Crisis_Model!$E$5:$E$191,MATCH('Crisis Simulator'!$B$4&amp;"|"&amp;$C148,_TECH_Crisis_Model!$I$5:$I$191,0)),"")</f>
        <v>Employee safety, access control, evacuation and facilities resilience are direct crisis constraints.</v>
      </c>
      <c r="AG148" s="48" t="str">
        <f>IFERROR(INDEX(_TECH_Crisis_Model!$G$5:$G$191,MATCH('Crisis Simulator'!$B$4&amp;"|"&amp;$C148,_TECH_Crisis_Model!$I$5:$I$191,0)),"")</f>
        <v>Implement evacuation, access control, emergency response, site security and travel-risk procedures.</v>
      </c>
      <c r="AH148" s="48" t="str">
        <f>IFERROR(INDEX(_TECH_Initiative_Library!$A$5:$A$76,MATCH(1,INDEX((_TECH_Initiative_Library!$B$5:$B$76=$C148)*(_TECH_Initiative_Library!$C$5:$C$76=$D148),0),0)),"")</f>
        <v>INI-024</v>
      </c>
      <c r="AI148" s="48" t="str">
        <f>IFERROR(INDEX(_TECH_Initiative_Library!$F$5:$F$76,MATCH(1,INDEX((_TECH_Initiative_Library!$B$5:$B$76=$C148)*(_TECH_Initiative_Library!$C$5:$C$76=$D148),0),0)),"")</f>
        <v>Secure facilities, physical access and site protection controls</v>
      </c>
      <c r="AJ148" s="48" t="str">
        <f ca="1">IFERROR(INDEX(_TECH_Initiative_Library!$AC$5:$AC$76,MATCH(1,INDEX((_TECH_Initiative_Library!$B$5:$B$76=$C148)*(_TECH_Initiative_Library!$C$5:$C$76=$D148),0),0)),"")</f>
        <v/>
      </c>
      <c r="AK148" s="48" t="str">
        <f ca="1">IFERROR(INDEX(_TECH_Initiative_Library!$AE$5:$AE$76,MATCH(1,INDEX((_TECH_Initiative_Library!$B$5:$B$76=$C148)*(_TECH_Initiative_Library!$C$5:$C$76=$D148),0),0)),"")</f>
        <v/>
      </c>
      <c r="AL148" s="48" t="str">
        <f>IF($B148="Yes",IFERROR(SUMIFS(_TECH_Industry_Templates!$E:$E,_TECH_Industry_Templates!$A:$A,'Company Profile'!$B$9,_TECH_Industry_Templates!$B:$B,$C148),1),"")</f>
        <v/>
      </c>
      <c r="AM148" s="48" t="str">
        <f t="shared" si="29"/>
        <v/>
      </c>
      <c r="AN148" s="48" t="str">
        <f>IF($AM148="","",RANK.EQ($AM148,$AM$8:$AM$414,0)+COUNTIF($AM$8:$AM148,$AM148)-1)</f>
        <v/>
      </c>
    </row>
    <row r="149" spans="1:40" ht="71.25">
      <c r="A149" s="28" t="str">
        <f>IF($AM149="","",RANK.EQ($AM149,$AM$8:$AM$414,0)+COUNTIF($AM$8:$AM149,$AM149)-1)</f>
        <v/>
      </c>
      <c r="B149" s="7" t="str">
        <f t="shared" si="20"/>
        <v/>
      </c>
      <c r="C149" s="7" t="s">
        <v>72</v>
      </c>
      <c r="D149" s="7" t="s">
        <v>1226</v>
      </c>
      <c r="E149" s="7" t="s">
        <v>3300</v>
      </c>
      <c r="F149" s="7" t="s">
        <v>3301</v>
      </c>
      <c r="G149" s="28" t="str">
        <f>IF(OR(COUNTA('Physical Safety'!$H$15)=0,'Physical Safety'!$H$15="N/A"),"",VALUE('Physical Safety'!$H$15))</f>
        <v/>
      </c>
      <c r="H149" s="7" t="str">
        <f t="shared" si="21"/>
        <v/>
      </c>
      <c r="I149" s="7" t="str">
        <f>IF($G149="","",IFERROR(IF('Physical Safety'!$L$15="",IF($G149&lt;=1,"Critical",IF($G149=2,"High",IF($G149=3,"Medium",IF($G149=4,"Low","Optimized")))),'Physical Safety'!$L$15),IF($G149&lt;=1,"Critical",IF($G149=2,"High",IF($G149=3,"Medium",IF($G149=4,"Low","Optimized"))))))</f>
        <v/>
      </c>
      <c r="J149" s="7" t="str">
        <f>IF($G149="","",IFERROR(INDEX('Recommendation Matrix'!$E$5:$J$411,MATCH($E149,'Recommendation Matrix'!$A$5:$A$411,0),$G149+1),""))</f>
        <v/>
      </c>
      <c r="K149" s="7" t="str">
        <f>IF($G149="","",IFERROR(VLOOKUP($E149,'Recommendation Matrix'!$A$5:$K$411,11,FALSE),""))</f>
        <v/>
      </c>
      <c r="L149" s="28" t="str">
        <f t="shared" si="22"/>
        <v/>
      </c>
      <c r="M149" s="28" t="str">
        <f>IF($G149="","",IFERROR(INDEX('Recommendation Matrix'!$L$5:$Q$411,MATCH($E149,'Recommendation Matrix'!$A$5:$A$411,0),$G149+1),""))</f>
        <v/>
      </c>
      <c r="N149" s="28" t="str">
        <f t="shared" si="23"/>
        <v/>
      </c>
      <c r="O149" s="28" t="str">
        <f t="shared" si="24"/>
        <v/>
      </c>
      <c r="P149" s="28" t="str">
        <f t="shared" si="25"/>
        <v/>
      </c>
      <c r="Q149" s="28" t="str">
        <f t="shared" si="26"/>
        <v/>
      </c>
      <c r="R149" s="8" t="str">
        <f t="shared" si="27"/>
        <v/>
      </c>
      <c r="S149" s="28">
        <f>IFERROR('Physical Safety'!$G$15,"")</f>
        <v>3</v>
      </c>
      <c r="T149" s="28">
        <f>IFERROR('Physical Safety'!$W$15,"")</f>
        <v>4</v>
      </c>
      <c r="U149" s="28">
        <f>IFERROR('Physical Safety'!$X$15,"")</f>
        <v>5</v>
      </c>
      <c r="V149" s="28">
        <f>IFERROR('Physical Safety'!$Y$15,"")</f>
        <v>5</v>
      </c>
      <c r="W149" s="7" t="s">
        <v>3207</v>
      </c>
      <c r="X149" s="7" t="s">
        <v>3208</v>
      </c>
      <c r="Y149" s="7" t="s">
        <v>3302</v>
      </c>
      <c r="Z149" s="7">
        <f>IFERROR('Physical Safety'!$U$15,"")</f>
        <v>0</v>
      </c>
      <c r="AA149" s="7"/>
      <c r="AB149" s="29"/>
      <c r="AC149" s="7"/>
      <c r="AD149" s="48" t="str">
        <f>IF($B149="Yes",IFERROR(SUMIFS(_TECH_Crisis_Model!$D$5:$D$191,_TECH_Crisis_Model!$A$5:$A$191,'Crisis Simulator'!$B$4,_TECH_Crisis_Model!$B$5:$B$191,$C149),1),"")</f>
        <v/>
      </c>
      <c r="AE149" s="48" t="str">
        <f t="shared" si="28"/>
        <v/>
      </c>
      <c r="AF149" s="48" t="str">
        <f>IFERROR(INDEX(_TECH_Crisis_Model!$E$5:$E$191,MATCH('Crisis Simulator'!$B$4&amp;"|"&amp;$C149,_TECH_Crisis_Model!$I$5:$I$191,0)),"")</f>
        <v>Employee safety, access control, evacuation and facilities resilience are direct crisis constraints.</v>
      </c>
      <c r="AG149" s="48" t="str">
        <f>IFERROR(INDEX(_TECH_Crisis_Model!$G$5:$G$191,MATCH('Crisis Simulator'!$B$4&amp;"|"&amp;$C149,_TECH_Crisis_Model!$I$5:$I$191,0)),"")</f>
        <v>Implement evacuation, access control, emergency response, site security and travel-risk procedures.</v>
      </c>
      <c r="AH149" s="48" t="str">
        <f>IFERROR(INDEX(_TECH_Initiative_Library!$A$5:$A$76,MATCH(1,INDEX((_TECH_Initiative_Library!$B$5:$B$76=$C149)*(_TECH_Initiative_Library!$C$5:$C$76=$D149),0),0)),"")</f>
        <v>INI-024</v>
      </c>
      <c r="AI149" s="48" t="str">
        <f>IFERROR(INDEX(_TECH_Initiative_Library!$F$5:$F$76,MATCH(1,INDEX((_TECH_Initiative_Library!$B$5:$B$76=$C149)*(_TECH_Initiative_Library!$C$5:$C$76=$D149),0),0)),"")</f>
        <v>Secure facilities, physical access and site protection controls</v>
      </c>
      <c r="AJ149" s="48" t="str">
        <f ca="1">IFERROR(INDEX(_TECH_Initiative_Library!$AC$5:$AC$76,MATCH(1,INDEX((_TECH_Initiative_Library!$B$5:$B$76=$C149)*(_TECH_Initiative_Library!$C$5:$C$76=$D149),0),0)),"")</f>
        <v/>
      </c>
      <c r="AK149" s="48" t="str">
        <f ca="1">IFERROR(INDEX(_TECH_Initiative_Library!$AE$5:$AE$76,MATCH(1,INDEX((_TECH_Initiative_Library!$B$5:$B$76=$C149)*(_TECH_Initiative_Library!$C$5:$C$76=$D149),0),0)),"")</f>
        <v/>
      </c>
      <c r="AL149" s="48" t="str">
        <f>IF($B149="Yes",IFERROR(SUMIFS(_TECH_Industry_Templates!$E:$E,_TECH_Industry_Templates!$A:$A,'Company Profile'!$B$9,_TECH_Industry_Templates!$B:$B,$C149),1),"")</f>
        <v/>
      </c>
      <c r="AM149" s="48" t="str">
        <f t="shared" si="29"/>
        <v/>
      </c>
      <c r="AN149" s="48" t="str">
        <f>IF($AM149="","",RANK.EQ($AM149,$AM$8:$AM$414,0)+COUNTIF($AM$8:$AM149,$AM149)-1)</f>
        <v/>
      </c>
    </row>
    <row r="150" spans="1:40" ht="85.5">
      <c r="A150" s="28" t="str">
        <f>IF($AM150="","",RANK.EQ($AM150,$AM$8:$AM$414,0)+COUNTIF($AM$8:$AM150,$AM150)-1)</f>
        <v/>
      </c>
      <c r="B150" s="7" t="str">
        <f t="shared" si="20"/>
        <v/>
      </c>
      <c r="C150" s="7" t="s">
        <v>72</v>
      </c>
      <c r="D150" s="7" t="s">
        <v>1226</v>
      </c>
      <c r="E150" s="7" t="s">
        <v>3310</v>
      </c>
      <c r="F150" s="7" t="s">
        <v>3311</v>
      </c>
      <c r="G150" s="28" t="str">
        <f>IF(OR(COUNTA('Physical Safety'!$H$16)=0,'Physical Safety'!$H$16="N/A"),"",VALUE('Physical Safety'!$H$16))</f>
        <v/>
      </c>
      <c r="H150" s="7" t="str">
        <f t="shared" si="21"/>
        <v/>
      </c>
      <c r="I150" s="7" t="str">
        <f>IF($G150="","",IFERROR(IF('Physical Safety'!$L$16="",IF($G150&lt;=1,"Critical",IF($G150=2,"High",IF($G150=3,"Medium",IF($G150=4,"Low","Optimized")))),'Physical Safety'!$L$16),IF($G150&lt;=1,"Critical",IF($G150=2,"High",IF($G150=3,"Medium",IF($G150=4,"Low","Optimized"))))))</f>
        <v/>
      </c>
      <c r="J150" s="7" t="str">
        <f>IF($G150="","",IFERROR(INDEX('Recommendation Matrix'!$E$5:$J$411,MATCH($E150,'Recommendation Matrix'!$A$5:$A$411,0),$G150+1),""))</f>
        <v/>
      </c>
      <c r="K150" s="7" t="str">
        <f>IF($G150="","",IFERROR(VLOOKUP($E150,'Recommendation Matrix'!$A$5:$K$411,11,FALSE),""))</f>
        <v/>
      </c>
      <c r="L150" s="28" t="str">
        <f t="shared" si="22"/>
        <v/>
      </c>
      <c r="M150" s="28" t="str">
        <f>IF($G150="","",IFERROR(INDEX('Recommendation Matrix'!$L$5:$Q$411,MATCH($E150,'Recommendation Matrix'!$A$5:$A$411,0),$G150+1),""))</f>
        <v/>
      </c>
      <c r="N150" s="28" t="str">
        <f t="shared" si="23"/>
        <v/>
      </c>
      <c r="O150" s="28" t="str">
        <f t="shared" si="24"/>
        <v/>
      </c>
      <c r="P150" s="28" t="str">
        <f t="shared" si="25"/>
        <v/>
      </c>
      <c r="Q150" s="28" t="str">
        <f t="shared" si="26"/>
        <v/>
      </c>
      <c r="R150" s="8" t="str">
        <f t="shared" si="27"/>
        <v/>
      </c>
      <c r="S150" s="28">
        <f>IFERROR('Physical Safety'!$G$16,"")</f>
        <v>4</v>
      </c>
      <c r="T150" s="28">
        <f>IFERROR('Physical Safety'!$W$16,"")</f>
        <v>4</v>
      </c>
      <c r="U150" s="28">
        <f>IFERROR('Physical Safety'!$X$16,"")</f>
        <v>5</v>
      </c>
      <c r="V150" s="28">
        <f>IFERROR('Physical Safety'!$Y$16,"")</f>
        <v>5</v>
      </c>
      <c r="W150" s="7" t="s">
        <v>3207</v>
      </c>
      <c r="X150" s="7" t="s">
        <v>3208</v>
      </c>
      <c r="Y150" s="7" t="s">
        <v>3312</v>
      </c>
      <c r="Z150" s="7">
        <f>IFERROR('Physical Safety'!$U$16,"")</f>
        <v>0</v>
      </c>
      <c r="AA150" s="7"/>
      <c r="AB150" s="29"/>
      <c r="AC150" s="7"/>
      <c r="AD150" s="48" t="str">
        <f>IF($B150="Yes",IFERROR(SUMIFS(_TECH_Crisis_Model!$D$5:$D$191,_TECH_Crisis_Model!$A$5:$A$191,'Crisis Simulator'!$B$4,_TECH_Crisis_Model!$B$5:$B$191,$C150),1),"")</f>
        <v/>
      </c>
      <c r="AE150" s="48" t="str">
        <f t="shared" si="28"/>
        <v/>
      </c>
      <c r="AF150" s="48" t="str">
        <f>IFERROR(INDEX(_TECH_Crisis_Model!$E$5:$E$191,MATCH('Crisis Simulator'!$B$4&amp;"|"&amp;$C150,_TECH_Crisis_Model!$I$5:$I$191,0)),"")</f>
        <v>Employee safety, access control, evacuation and facilities resilience are direct crisis constraints.</v>
      </c>
      <c r="AG150" s="48" t="str">
        <f>IFERROR(INDEX(_TECH_Crisis_Model!$G$5:$G$191,MATCH('Crisis Simulator'!$B$4&amp;"|"&amp;$C150,_TECH_Crisis_Model!$I$5:$I$191,0)),"")</f>
        <v>Implement evacuation, access control, emergency response, site security and travel-risk procedures.</v>
      </c>
      <c r="AH150" s="48" t="str">
        <f>IFERROR(INDEX(_TECH_Initiative_Library!$A$5:$A$76,MATCH(1,INDEX((_TECH_Initiative_Library!$B$5:$B$76=$C150)*(_TECH_Initiative_Library!$C$5:$C$76=$D150),0),0)),"")</f>
        <v>INI-024</v>
      </c>
      <c r="AI150" s="48" t="str">
        <f>IFERROR(INDEX(_TECH_Initiative_Library!$F$5:$F$76,MATCH(1,INDEX((_TECH_Initiative_Library!$B$5:$B$76=$C150)*(_TECH_Initiative_Library!$C$5:$C$76=$D150),0),0)),"")</f>
        <v>Secure facilities, physical access and site protection controls</v>
      </c>
      <c r="AJ150" s="48" t="str">
        <f ca="1">IFERROR(INDEX(_TECH_Initiative_Library!$AC$5:$AC$76,MATCH(1,INDEX((_TECH_Initiative_Library!$B$5:$B$76=$C150)*(_TECH_Initiative_Library!$C$5:$C$76=$D150),0),0)),"")</f>
        <v/>
      </c>
      <c r="AK150" s="48" t="str">
        <f ca="1">IFERROR(INDEX(_TECH_Initiative_Library!$AE$5:$AE$76,MATCH(1,INDEX((_TECH_Initiative_Library!$B$5:$B$76=$C150)*(_TECH_Initiative_Library!$C$5:$C$76=$D150),0),0)),"")</f>
        <v/>
      </c>
      <c r="AL150" s="48" t="str">
        <f>IF($B150="Yes",IFERROR(SUMIFS(_TECH_Industry_Templates!$E:$E,_TECH_Industry_Templates!$A:$A,'Company Profile'!$B$9,_TECH_Industry_Templates!$B:$B,$C150),1),"")</f>
        <v/>
      </c>
      <c r="AM150" s="48" t="str">
        <f t="shared" si="29"/>
        <v/>
      </c>
      <c r="AN150" s="48" t="str">
        <f>IF($AM150="","",RANK.EQ($AM150,$AM$8:$AM$414,0)+COUNTIF($AM$8:$AM150,$AM150)-1)</f>
        <v/>
      </c>
    </row>
    <row r="151" spans="1:40" ht="85.5">
      <c r="A151" s="28" t="str">
        <f>IF($AM151="","",RANK.EQ($AM151,$AM$8:$AM$414,0)+COUNTIF($AM$8:$AM151,$AM151)-1)</f>
        <v/>
      </c>
      <c r="B151" s="7" t="str">
        <f t="shared" si="20"/>
        <v/>
      </c>
      <c r="C151" s="7" t="s">
        <v>72</v>
      </c>
      <c r="D151" s="7" t="s">
        <v>1234</v>
      </c>
      <c r="E151" s="7" t="s">
        <v>3320</v>
      </c>
      <c r="F151" s="7" t="s">
        <v>3321</v>
      </c>
      <c r="G151" s="28" t="str">
        <f>IF(OR(COUNTA('Physical Safety'!$H$17)=0,'Physical Safety'!$H$17="N/A"),"",VALUE('Physical Safety'!$H$17))</f>
        <v/>
      </c>
      <c r="H151" s="7" t="str">
        <f t="shared" si="21"/>
        <v/>
      </c>
      <c r="I151" s="7" t="str">
        <f>IF($G151="","",IFERROR(IF('Physical Safety'!$L$17="",IF($G151&lt;=1,"Critical",IF($G151=2,"High",IF($G151=3,"Medium",IF($G151=4,"Low","Optimized")))),'Physical Safety'!$L$17),IF($G151&lt;=1,"Critical",IF($G151=2,"High",IF($G151=3,"Medium",IF($G151=4,"Low","Optimized"))))))</f>
        <v/>
      </c>
      <c r="J151" s="7" t="str">
        <f>IF($G151="","",IFERROR(INDEX('Recommendation Matrix'!$E$5:$J$411,MATCH($E151,'Recommendation Matrix'!$A$5:$A$411,0),$G151+1),""))</f>
        <v/>
      </c>
      <c r="K151" s="7" t="str">
        <f>IF($G151="","",IFERROR(VLOOKUP($E151,'Recommendation Matrix'!$A$5:$K$411,11,FALSE),""))</f>
        <v/>
      </c>
      <c r="L151" s="28" t="str">
        <f t="shared" si="22"/>
        <v/>
      </c>
      <c r="M151" s="28" t="str">
        <f>IF($G151="","",IFERROR(INDEX('Recommendation Matrix'!$L$5:$Q$411,MATCH($E151,'Recommendation Matrix'!$A$5:$A$411,0),$G151+1),""))</f>
        <v/>
      </c>
      <c r="N151" s="28" t="str">
        <f t="shared" si="23"/>
        <v/>
      </c>
      <c r="O151" s="28" t="str">
        <f t="shared" si="24"/>
        <v/>
      </c>
      <c r="P151" s="28" t="str">
        <f t="shared" si="25"/>
        <v/>
      </c>
      <c r="Q151" s="28" t="str">
        <f t="shared" si="26"/>
        <v/>
      </c>
      <c r="R151" s="8" t="str">
        <f t="shared" si="27"/>
        <v/>
      </c>
      <c r="S151" s="28">
        <f>IFERROR('Physical Safety'!$G$17,"")</f>
        <v>3</v>
      </c>
      <c r="T151" s="28">
        <f>IFERROR('Physical Safety'!$W$17,"")</f>
        <v>4</v>
      </c>
      <c r="U151" s="28">
        <f>IFERROR('Physical Safety'!$X$17,"")</f>
        <v>5</v>
      </c>
      <c r="V151" s="28">
        <f>IFERROR('Physical Safety'!$Y$17,"")</f>
        <v>5</v>
      </c>
      <c r="W151" s="7" t="s">
        <v>3207</v>
      </c>
      <c r="X151" s="7" t="s">
        <v>3208</v>
      </c>
      <c r="Y151" s="7" t="s">
        <v>3322</v>
      </c>
      <c r="Z151" s="7">
        <f>IFERROR('Physical Safety'!$U$17,"")</f>
        <v>0</v>
      </c>
      <c r="AA151" s="7"/>
      <c r="AB151" s="29"/>
      <c r="AC151" s="7"/>
      <c r="AD151" s="48" t="str">
        <f>IF($B151="Yes",IFERROR(SUMIFS(_TECH_Crisis_Model!$D$5:$D$191,_TECH_Crisis_Model!$A$5:$A$191,'Crisis Simulator'!$B$4,_TECH_Crisis_Model!$B$5:$B$191,$C151),1),"")</f>
        <v/>
      </c>
      <c r="AE151" s="48" t="str">
        <f t="shared" si="28"/>
        <v/>
      </c>
      <c r="AF151" s="48" t="str">
        <f>IFERROR(INDEX(_TECH_Crisis_Model!$E$5:$E$191,MATCH('Crisis Simulator'!$B$4&amp;"|"&amp;$C151,_TECH_Crisis_Model!$I$5:$I$191,0)),"")</f>
        <v>Employee safety, access control, evacuation and facilities resilience are direct crisis constraints.</v>
      </c>
      <c r="AG151" s="48" t="str">
        <f>IFERROR(INDEX(_TECH_Crisis_Model!$G$5:$G$191,MATCH('Crisis Simulator'!$B$4&amp;"|"&amp;$C151,_TECH_Crisis_Model!$I$5:$I$191,0)),"")</f>
        <v>Implement evacuation, access control, emergency response, site security and travel-risk procedures.</v>
      </c>
      <c r="AH151" s="48" t="str">
        <f>IFERROR(INDEX(_TECH_Initiative_Library!$A$5:$A$76,MATCH(1,INDEX((_TECH_Initiative_Library!$B$5:$B$76=$C151)*(_TECH_Initiative_Library!$C$5:$C$76=$D151),0),0)),"")</f>
        <v>INI-025</v>
      </c>
      <c r="AI151" s="48" t="str">
        <f>IFERROR(INDEX(_TECH_Initiative_Library!$F$5:$F$76,MATCH(1,INDEX((_TECH_Initiative_Library!$B$5:$B$76=$C151)*(_TECH_Initiative_Library!$C$5:$C$76=$D151),0),0)),"")</f>
        <v>Build emergency response, evacuation and shelter procedures</v>
      </c>
      <c r="AJ151" s="48" t="str">
        <f ca="1">IFERROR(INDEX(_TECH_Initiative_Library!$AC$5:$AC$76,MATCH(1,INDEX((_TECH_Initiative_Library!$B$5:$B$76=$C151)*(_TECH_Initiative_Library!$C$5:$C$76=$D151),0),0)),"")</f>
        <v/>
      </c>
      <c r="AK151" s="48" t="str">
        <f ca="1">IFERROR(INDEX(_TECH_Initiative_Library!$AE$5:$AE$76,MATCH(1,INDEX((_TECH_Initiative_Library!$B$5:$B$76=$C151)*(_TECH_Initiative_Library!$C$5:$C$76=$D151),0),0)),"")</f>
        <v/>
      </c>
      <c r="AL151" s="48" t="str">
        <f>IF($B151="Yes",IFERROR(SUMIFS(_TECH_Industry_Templates!$E:$E,_TECH_Industry_Templates!$A:$A,'Company Profile'!$B$9,_TECH_Industry_Templates!$B:$B,$C151),1),"")</f>
        <v/>
      </c>
      <c r="AM151" s="48" t="str">
        <f t="shared" si="29"/>
        <v/>
      </c>
      <c r="AN151" s="48" t="str">
        <f>IF($AM151="","",RANK.EQ($AM151,$AM$8:$AM$414,0)+COUNTIF($AM$8:$AM151,$AM151)-1)</f>
        <v/>
      </c>
    </row>
    <row r="152" spans="1:40" ht="71.25">
      <c r="A152" s="28" t="str">
        <f>IF($AM152="","",RANK.EQ($AM152,$AM$8:$AM$414,0)+COUNTIF($AM$8:$AM152,$AM152)-1)</f>
        <v/>
      </c>
      <c r="B152" s="7" t="str">
        <f t="shared" si="20"/>
        <v/>
      </c>
      <c r="C152" s="7" t="s">
        <v>72</v>
      </c>
      <c r="D152" s="7" t="s">
        <v>1234</v>
      </c>
      <c r="E152" s="7" t="s">
        <v>3330</v>
      </c>
      <c r="F152" s="7" t="s">
        <v>3331</v>
      </c>
      <c r="G152" s="28" t="str">
        <f>IF(OR(COUNTA('Physical Safety'!$H$18)=0,'Physical Safety'!$H$18="N/A"),"",VALUE('Physical Safety'!$H$18))</f>
        <v/>
      </c>
      <c r="H152" s="7" t="str">
        <f t="shared" si="21"/>
        <v/>
      </c>
      <c r="I152" s="7" t="str">
        <f>IF($G152="","",IFERROR(IF('Physical Safety'!$L$18="",IF($G152&lt;=1,"Critical",IF($G152=2,"High",IF($G152=3,"Medium",IF($G152=4,"Low","Optimized")))),'Physical Safety'!$L$18),IF($G152&lt;=1,"Critical",IF($G152=2,"High",IF($G152=3,"Medium",IF($G152=4,"Low","Optimized"))))))</f>
        <v/>
      </c>
      <c r="J152" s="7" t="str">
        <f>IF($G152="","",IFERROR(INDEX('Recommendation Matrix'!$E$5:$J$411,MATCH($E152,'Recommendation Matrix'!$A$5:$A$411,0),$G152+1),""))</f>
        <v/>
      </c>
      <c r="K152" s="7" t="str">
        <f>IF($G152="","",IFERROR(VLOOKUP($E152,'Recommendation Matrix'!$A$5:$K$411,11,FALSE),""))</f>
        <v/>
      </c>
      <c r="L152" s="28" t="str">
        <f t="shared" si="22"/>
        <v/>
      </c>
      <c r="M152" s="28" t="str">
        <f>IF($G152="","",IFERROR(INDEX('Recommendation Matrix'!$L$5:$Q$411,MATCH($E152,'Recommendation Matrix'!$A$5:$A$411,0),$G152+1),""))</f>
        <v/>
      </c>
      <c r="N152" s="28" t="str">
        <f t="shared" si="23"/>
        <v/>
      </c>
      <c r="O152" s="28" t="str">
        <f t="shared" si="24"/>
        <v/>
      </c>
      <c r="P152" s="28" t="str">
        <f t="shared" si="25"/>
        <v/>
      </c>
      <c r="Q152" s="28" t="str">
        <f t="shared" si="26"/>
        <v/>
      </c>
      <c r="R152" s="8" t="str">
        <f t="shared" si="27"/>
        <v/>
      </c>
      <c r="S152" s="28">
        <f>IFERROR('Physical Safety'!$G$18,"")</f>
        <v>5</v>
      </c>
      <c r="T152" s="28">
        <f>IFERROR('Physical Safety'!$W$18,"")</f>
        <v>4</v>
      </c>
      <c r="U152" s="28">
        <f>IFERROR('Physical Safety'!$X$18,"")</f>
        <v>5</v>
      </c>
      <c r="V152" s="28">
        <f>IFERROR('Physical Safety'!$Y$18,"")</f>
        <v>5</v>
      </c>
      <c r="W152" s="7" t="s">
        <v>3207</v>
      </c>
      <c r="X152" s="7" t="s">
        <v>3208</v>
      </c>
      <c r="Y152" s="7" t="s">
        <v>3332</v>
      </c>
      <c r="Z152" s="7">
        <f>IFERROR('Physical Safety'!$U$18,"")</f>
        <v>0</v>
      </c>
      <c r="AA152" s="7"/>
      <c r="AB152" s="29"/>
      <c r="AC152" s="7"/>
      <c r="AD152" s="48" t="str">
        <f>IF($B152="Yes",IFERROR(SUMIFS(_TECH_Crisis_Model!$D$5:$D$191,_TECH_Crisis_Model!$A$5:$A$191,'Crisis Simulator'!$B$4,_TECH_Crisis_Model!$B$5:$B$191,$C152),1),"")</f>
        <v/>
      </c>
      <c r="AE152" s="48" t="str">
        <f t="shared" si="28"/>
        <v/>
      </c>
      <c r="AF152" s="48" t="str">
        <f>IFERROR(INDEX(_TECH_Crisis_Model!$E$5:$E$191,MATCH('Crisis Simulator'!$B$4&amp;"|"&amp;$C152,_TECH_Crisis_Model!$I$5:$I$191,0)),"")</f>
        <v>Employee safety, access control, evacuation and facilities resilience are direct crisis constraints.</v>
      </c>
      <c r="AG152" s="48" t="str">
        <f>IFERROR(INDEX(_TECH_Crisis_Model!$G$5:$G$191,MATCH('Crisis Simulator'!$B$4&amp;"|"&amp;$C152,_TECH_Crisis_Model!$I$5:$I$191,0)),"")</f>
        <v>Implement evacuation, access control, emergency response, site security and travel-risk procedures.</v>
      </c>
      <c r="AH152" s="48" t="str">
        <f>IFERROR(INDEX(_TECH_Initiative_Library!$A$5:$A$76,MATCH(1,INDEX((_TECH_Initiative_Library!$B$5:$B$76=$C152)*(_TECH_Initiative_Library!$C$5:$C$76=$D152),0),0)),"")</f>
        <v>INI-025</v>
      </c>
      <c r="AI152" s="48" t="str">
        <f>IFERROR(INDEX(_TECH_Initiative_Library!$F$5:$F$76,MATCH(1,INDEX((_TECH_Initiative_Library!$B$5:$B$76=$C152)*(_TECH_Initiative_Library!$C$5:$C$76=$D152),0),0)),"")</f>
        <v>Build emergency response, evacuation and shelter procedures</v>
      </c>
      <c r="AJ152" s="48" t="str">
        <f ca="1">IFERROR(INDEX(_TECH_Initiative_Library!$AC$5:$AC$76,MATCH(1,INDEX((_TECH_Initiative_Library!$B$5:$B$76=$C152)*(_TECH_Initiative_Library!$C$5:$C$76=$D152),0),0)),"")</f>
        <v/>
      </c>
      <c r="AK152" s="48" t="str">
        <f ca="1">IFERROR(INDEX(_TECH_Initiative_Library!$AE$5:$AE$76,MATCH(1,INDEX((_TECH_Initiative_Library!$B$5:$B$76=$C152)*(_TECH_Initiative_Library!$C$5:$C$76=$D152),0),0)),"")</f>
        <v/>
      </c>
      <c r="AL152" s="48" t="str">
        <f>IF($B152="Yes",IFERROR(SUMIFS(_TECH_Industry_Templates!$E:$E,_TECH_Industry_Templates!$A:$A,'Company Profile'!$B$9,_TECH_Industry_Templates!$B:$B,$C152),1),"")</f>
        <v/>
      </c>
      <c r="AM152" s="48" t="str">
        <f t="shared" si="29"/>
        <v/>
      </c>
      <c r="AN152" s="48" t="str">
        <f>IF($AM152="","",RANK.EQ($AM152,$AM$8:$AM$414,0)+COUNTIF($AM$8:$AM152,$AM152)-1)</f>
        <v/>
      </c>
    </row>
    <row r="153" spans="1:40" ht="71.25">
      <c r="A153" s="28" t="str">
        <f>IF($AM153="","",RANK.EQ($AM153,$AM$8:$AM$414,0)+COUNTIF($AM$8:$AM153,$AM153)-1)</f>
        <v/>
      </c>
      <c r="B153" s="7" t="str">
        <f t="shared" si="20"/>
        <v/>
      </c>
      <c r="C153" s="7" t="s">
        <v>72</v>
      </c>
      <c r="D153" s="7" t="s">
        <v>1234</v>
      </c>
      <c r="E153" s="7" t="s">
        <v>3340</v>
      </c>
      <c r="F153" s="7" t="s">
        <v>3341</v>
      </c>
      <c r="G153" s="28" t="str">
        <f>IF(OR(COUNTA('Physical Safety'!$H$19)=0,'Physical Safety'!$H$19="N/A"),"",VALUE('Physical Safety'!$H$19))</f>
        <v/>
      </c>
      <c r="H153" s="7" t="str">
        <f t="shared" si="21"/>
        <v/>
      </c>
      <c r="I153" s="7" t="str">
        <f>IF($G153="","",IFERROR(IF('Physical Safety'!$L$19="",IF($G153&lt;=1,"Critical",IF($G153=2,"High",IF($G153=3,"Medium",IF($G153=4,"Low","Optimized")))),'Physical Safety'!$L$19),IF($G153&lt;=1,"Critical",IF($G153=2,"High",IF($G153=3,"Medium",IF($G153=4,"Low","Optimized"))))))</f>
        <v/>
      </c>
      <c r="J153" s="7" t="str">
        <f>IF($G153="","",IFERROR(INDEX('Recommendation Matrix'!$E$5:$J$411,MATCH($E153,'Recommendation Matrix'!$A$5:$A$411,0),$G153+1),""))</f>
        <v/>
      </c>
      <c r="K153" s="7" t="str">
        <f>IF($G153="","",IFERROR(VLOOKUP($E153,'Recommendation Matrix'!$A$5:$K$411,11,FALSE),""))</f>
        <v/>
      </c>
      <c r="L153" s="28" t="str">
        <f t="shared" si="22"/>
        <v/>
      </c>
      <c r="M153" s="28" t="str">
        <f>IF($G153="","",IFERROR(INDEX('Recommendation Matrix'!$L$5:$Q$411,MATCH($E153,'Recommendation Matrix'!$A$5:$A$411,0),$G153+1),""))</f>
        <v/>
      </c>
      <c r="N153" s="28" t="str">
        <f t="shared" si="23"/>
        <v/>
      </c>
      <c r="O153" s="28" t="str">
        <f t="shared" si="24"/>
        <v/>
      </c>
      <c r="P153" s="28" t="str">
        <f t="shared" si="25"/>
        <v/>
      </c>
      <c r="Q153" s="28" t="str">
        <f t="shared" si="26"/>
        <v/>
      </c>
      <c r="R153" s="8" t="str">
        <f t="shared" si="27"/>
        <v/>
      </c>
      <c r="S153" s="28">
        <f>IFERROR('Physical Safety'!$G$19,"")</f>
        <v>3</v>
      </c>
      <c r="T153" s="28">
        <f>IFERROR('Physical Safety'!$W$19,"")</f>
        <v>4</v>
      </c>
      <c r="U153" s="28">
        <f>IFERROR('Physical Safety'!$X$19,"")</f>
        <v>5</v>
      </c>
      <c r="V153" s="28">
        <f>IFERROR('Physical Safety'!$Y$19,"")</f>
        <v>5</v>
      </c>
      <c r="W153" s="7" t="s">
        <v>3207</v>
      </c>
      <c r="X153" s="7" t="s">
        <v>3208</v>
      </c>
      <c r="Y153" s="7" t="s">
        <v>3342</v>
      </c>
      <c r="Z153" s="7">
        <f>IFERROR('Physical Safety'!$U$19,"")</f>
        <v>0</v>
      </c>
      <c r="AA153" s="7"/>
      <c r="AB153" s="29"/>
      <c r="AC153" s="7"/>
      <c r="AD153" s="48" t="str">
        <f>IF($B153="Yes",IFERROR(SUMIFS(_TECH_Crisis_Model!$D$5:$D$191,_TECH_Crisis_Model!$A$5:$A$191,'Crisis Simulator'!$B$4,_TECH_Crisis_Model!$B$5:$B$191,$C153),1),"")</f>
        <v/>
      </c>
      <c r="AE153" s="48" t="str">
        <f t="shared" si="28"/>
        <v/>
      </c>
      <c r="AF153" s="48" t="str">
        <f>IFERROR(INDEX(_TECH_Crisis_Model!$E$5:$E$191,MATCH('Crisis Simulator'!$B$4&amp;"|"&amp;$C153,_TECH_Crisis_Model!$I$5:$I$191,0)),"")</f>
        <v>Employee safety, access control, evacuation and facilities resilience are direct crisis constraints.</v>
      </c>
      <c r="AG153" s="48" t="str">
        <f>IFERROR(INDEX(_TECH_Crisis_Model!$G$5:$G$191,MATCH('Crisis Simulator'!$B$4&amp;"|"&amp;$C153,_TECH_Crisis_Model!$I$5:$I$191,0)),"")</f>
        <v>Implement evacuation, access control, emergency response, site security and travel-risk procedures.</v>
      </c>
      <c r="AH153" s="48" t="str">
        <f>IFERROR(INDEX(_TECH_Initiative_Library!$A$5:$A$76,MATCH(1,INDEX((_TECH_Initiative_Library!$B$5:$B$76=$C153)*(_TECH_Initiative_Library!$C$5:$C$76=$D153),0),0)),"")</f>
        <v>INI-025</v>
      </c>
      <c r="AI153" s="48" t="str">
        <f>IFERROR(INDEX(_TECH_Initiative_Library!$F$5:$F$76,MATCH(1,INDEX((_TECH_Initiative_Library!$B$5:$B$76=$C153)*(_TECH_Initiative_Library!$C$5:$C$76=$D153),0),0)),"")</f>
        <v>Build emergency response, evacuation and shelter procedures</v>
      </c>
      <c r="AJ153" s="48" t="str">
        <f ca="1">IFERROR(INDEX(_TECH_Initiative_Library!$AC$5:$AC$76,MATCH(1,INDEX((_TECH_Initiative_Library!$B$5:$B$76=$C153)*(_TECH_Initiative_Library!$C$5:$C$76=$D153),0),0)),"")</f>
        <v/>
      </c>
      <c r="AK153" s="48" t="str">
        <f ca="1">IFERROR(INDEX(_TECH_Initiative_Library!$AE$5:$AE$76,MATCH(1,INDEX((_TECH_Initiative_Library!$B$5:$B$76=$C153)*(_TECH_Initiative_Library!$C$5:$C$76=$D153),0),0)),"")</f>
        <v/>
      </c>
      <c r="AL153" s="48" t="str">
        <f>IF($B153="Yes",IFERROR(SUMIFS(_TECH_Industry_Templates!$E:$E,_TECH_Industry_Templates!$A:$A,'Company Profile'!$B$9,_TECH_Industry_Templates!$B:$B,$C153),1),"")</f>
        <v/>
      </c>
      <c r="AM153" s="48" t="str">
        <f t="shared" si="29"/>
        <v/>
      </c>
      <c r="AN153" s="48" t="str">
        <f>IF($AM153="","",RANK.EQ($AM153,$AM$8:$AM$414,0)+COUNTIF($AM$8:$AM153,$AM153)-1)</f>
        <v/>
      </c>
    </row>
    <row r="154" spans="1:40" ht="71.25">
      <c r="A154" s="28" t="str">
        <f>IF($AM154="","",RANK.EQ($AM154,$AM$8:$AM$414,0)+COUNTIF($AM$8:$AM154,$AM154)-1)</f>
        <v/>
      </c>
      <c r="B154" s="7" t="str">
        <f t="shared" si="20"/>
        <v/>
      </c>
      <c r="C154" s="7" t="s">
        <v>72</v>
      </c>
      <c r="D154" s="7" t="s">
        <v>1234</v>
      </c>
      <c r="E154" s="7" t="s">
        <v>3350</v>
      </c>
      <c r="F154" s="7" t="s">
        <v>3351</v>
      </c>
      <c r="G154" s="28" t="str">
        <f>IF(OR(COUNTA('Physical Safety'!$H$20)=0,'Physical Safety'!$H$20="N/A"),"",VALUE('Physical Safety'!$H$20))</f>
        <v/>
      </c>
      <c r="H154" s="7" t="str">
        <f t="shared" si="21"/>
        <v/>
      </c>
      <c r="I154" s="7" t="str">
        <f>IF($G154="","",IFERROR(IF('Physical Safety'!$L$20="",IF($G154&lt;=1,"Critical",IF($G154=2,"High",IF($G154=3,"Medium",IF($G154=4,"Low","Optimized")))),'Physical Safety'!$L$20),IF($G154&lt;=1,"Critical",IF($G154=2,"High",IF($G154=3,"Medium",IF($G154=4,"Low","Optimized"))))))</f>
        <v/>
      </c>
      <c r="J154" s="7" t="str">
        <f>IF($G154="","",IFERROR(INDEX('Recommendation Matrix'!$E$5:$J$411,MATCH($E154,'Recommendation Matrix'!$A$5:$A$411,0),$G154+1),""))</f>
        <v/>
      </c>
      <c r="K154" s="7" t="str">
        <f>IF($G154="","",IFERROR(VLOOKUP($E154,'Recommendation Matrix'!$A$5:$K$411,11,FALSE),""))</f>
        <v/>
      </c>
      <c r="L154" s="28" t="str">
        <f t="shared" si="22"/>
        <v/>
      </c>
      <c r="M154" s="28" t="str">
        <f>IF($G154="","",IFERROR(INDEX('Recommendation Matrix'!$L$5:$Q$411,MATCH($E154,'Recommendation Matrix'!$A$5:$A$411,0),$G154+1),""))</f>
        <v/>
      </c>
      <c r="N154" s="28" t="str">
        <f t="shared" si="23"/>
        <v/>
      </c>
      <c r="O154" s="28" t="str">
        <f t="shared" si="24"/>
        <v/>
      </c>
      <c r="P154" s="28" t="str">
        <f t="shared" si="25"/>
        <v/>
      </c>
      <c r="Q154" s="28" t="str">
        <f t="shared" si="26"/>
        <v/>
      </c>
      <c r="R154" s="8" t="str">
        <f t="shared" si="27"/>
        <v/>
      </c>
      <c r="S154" s="28">
        <f>IFERROR('Physical Safety'!$G$20,"")</f>
        <v>5</v>
      </c>
      <c r="T154" s="28">
        <f>IFERROR('Physical Safety'!$W$20,"")</f>
        <v>4</v>
      </c>
      <c r="U154" s="28">
        <f>IFERROR('Physical Safety'!$X$20,"")</f>
        <v>5</v>
      </c>
      <c r="V154" s="28">
        <f>IFERROR('Physical Safety'!$Y$20,"")</f>
        <v>5</v>
      </c>
      <c r="W154" s="7" t="s">
        <v>3207</v>
      </c>
      <c r="X154" s="7" t="s">
        <v>3208</v>
      </c>
      <c r="Y154" s="7" t="s">
        <v>3352</v>
      </c>
      <c r="Z154" s="7">
        <f>IFERROR('Physical Safety'!$U$20,"")</f>
        <v>0</v>
      </c>
      <c r="AA154" s="7"/>
      <c r="AB154" s="29"/>
      <c r="AC154" s="7"/>
      <c r="AD154" s="48" t="str">
        <f>IF($B154="Yes",IFERROR(SUMIFS(_TECH_Crisis_Model!$D$5:$D$191,_TECH_Crisis_Model!$A$5:$A$191,'Crisis Simulator'!$B$4,_TECH_Crisis_Model!$B$5:$B$191,$C154),1),"")</f>
        <v/>
      </c>
      <c r="AE154" s="48" t="str">
        <f t="shared" si="28"/>
        <v/>
      </c>
      <c r="AF154" s="48" t="str">
        <f>IFERROR(INDEX(_TECH_Crisis_Model!$E$5:$E$191,MATCH('Crisis Simulator'!$B$4&amp;"|"&amp;$C154,_TECH_Crisis_Model!$I$5:$I$191,0)),"")</f>
        <v>Employee safety, access control, evacuation and facilities resilience are direct crisis constraints.</v>
      </c>
      <c r="AG154" s="48" t="str">
        <f>IFERROR(INDEX(_TECH_Crisis_Model!$G$5:$G$191,MATCH('Crisis Simulator'!$B$4&amp;"|"&amp;$C154,_TECH_Crisis_Model!$I$5:$I$191,0)),"")</f>
        <v>Implement evacuation, access control, emergency response, site security and travel-risk procedures.</v>
      </c>
      <c r="AH154" s="48" t="str">
        <f>IFERROR(INDEX(_TECH_Initiative_Library!$A$5:$A$76,MATCH(1,INDEX((_TECH_Initiative_Library!$B$5:$B$76=$C154)*(_TECH_Initiative_Library!$C$5:$C$76=$D154),0),0)),"")</f>
        <v>INI-025</v>
      </c>
      <c r="AI154" s="48" t="str">
        <f>IFERROR(INDEX(_TECH_Initiative_Library!$F$5:$F$76,MATCH(1,INDEX((_TECH_Initiative_Library!$B$5:$B$76=$C154)*(_TECH_Initiative_Library!$C$5:$C$76=$D154),0),0)),"")</f>
        <v>Build emergency response, evacuation and shelter procedures</v>
      </c>
      <c r="AJ154" s="48" t="str">
        <f ca="1">IFERROR(INDEX(_TECH_Initiative_Library!$AC$5:$AC$76,MATCH(1,INDEX((_TECH_Initiative_Library!$B$5:$B$76=$C154)*(_TECH_Initiative_Library!$C$5:$C$76=$D154),0),0)),"")</f>
        <v/>
      </c>
      <c r="AK154" s="48" t="str">
        <f ca="1">IFERROR(INDEX(_TECH_Initiative_Library!$AE$5:$AE$76,MATCH(1,INDEX((_TECH_Initiative_Library!$B$5:$B$76=$C154)*(_TECH_Initiative_Library!$C$5:$C$76=$D154),0),0)),"")</f>
        <v/>
      </c>
      <c r="AL154" s="48" t="str">
        <f>IF($B154="Yes",IFERROR(SUMIFS(_TECH_Industry_Templates!$E:$E,_TECH_Industry_Templates!$A:$A,'Company Profile'!$B$9,_TECH_Industry_Templates!$B:$B,$C154),1),"")</f>
        <v/>
      </c>
      <c r="AM154" s="48" t="str">
        <f t="shared" si="29"/>
        <v/>
      </c>
      <c r="AN154" s="48" t="str">
        <f>IF($AM154="","",RANK.EQ($AM154,$AM$8:$AM$414,0)+COUNTIF($AM$8:$AM154,$AM154)-1)</f>
        <v/>
      </c>
    </row>
    <row r="155" spans="1:40" ht="71.25">
      <c r="A155" s="28" t="str">
        <f>IF($AM155="","",RANK.EQ($AM155,$AM$8:$AM$414,0)+COUNTIF($AM$8:$AM155,$AM155)-1)</f>
        <v/>
      </c>
      <c r="B155" s="7" t="str">
        <f t="shared" si="20"/>
        <v/>
      </c>
      <c r="C155" s="7" t="s">
        <v>72</v>
      </c>
      <c r="D155" s="7" t="s">
        <v>1234</v>
      </c>
      <c r="E155" s="7" t="s">
        <v>3360</v>
      </c>
      <c r="F155" s="7" t="s">
        <v>3361</v>
      </c>
      <c r="G155" s="28" t="str">
        <f>IF(OR(COUNTA('Physical Safety'!$H$21)=0,'Physical Safety'!$H$21="N/A"),"",VALUE('Physical Safety'!$H$21))</f>
        <v/>
      </c>
      <c r="H155" s="7" t="str">
        <f t="shared" si="21"/>
        <v/>
      </c>
      <c r="I155" s="7" t="str">
        <f>IF($G155="","",IFERROR(IF('Physical Safety'!$L$21="",IF($G155&lt;=1,"Critical",IF($G155=2,"High",IF($G155=3,"Medium",IF($G155=4,"Low","Optimized")))),'Physical Safety'!$L$21),IF($G155&lt;=1,"Critical",IF($G155=2,"High",IF($G155=3,"Medium",IF($G155=4,"Low","Optimized"))))))</f>
        <v/>
      </c>
      <c r="J155" s="7" t="str">
        <f>IF($G155="","",IFERROR(INDEX('Recommendation Matrix'!$E$5:$J$411,MATCH($E155,'Recommendation Matrix'!$A$5:$A$411,0),$G155+1),""))</f>
        <v/>
      </c>
      <c r="K155" s="7" t="str">
        <f>IF($G155="","",IFERROR(VLOOKUP($E155,'Recommendation Matrix'!$A$5:$K$411,11,FALSE),""))</f>
        <v/>
      </c>
      <c r="L155" s="28" t="str">
        <f t="shared" si="22"/>
        <v/>
      </c>
      <c r="M155" s="28" t="str">
        <f>IF($G155="","",IFERROR(INDEX('Recommendation Matrix'!$L$5:$Q$411,MATCH($E155,'Recommendation Matrix'!$A$5:$A$411,0),$G155+1),""))</f>
        <v/>
      </c>
      <c r="N155" s="28" t="str">
        <f t="shared" si="23"/>
        <v/>
      </c>
      <c r="O155" s="28" t="str">
        <f t="shared" si="24"/>
        <v/>
      </c>
      <c r="P155" s="28" t="str">
        <f t="shared" si="25"/>
        <v/>
      </c>
      <c r="Q155" s="28" t="str">
        <f t="shared" si="26"/>
        <v/>
      </c>
      <c r="R155" s="8" t="str">
        <f t="shared" si="27"/>
        <v/>
      </c>
      <c r="S155" s="28">
        <f>IFERROR('Physical Safety'!$G$21,"")</f>
        <v>3</v>
      </c>
      <c r="T155" s="28">
        <f>IFERROR('Physical Safety'!$W$21,"")</f>
        <v>4</v>
      </c>
      <c r="U155" s="28">
        <f>IFERROR('Physical Safety'!$X$21,"")</f>
        <v>5</v>
      </c>
      <c r="V155" s="28">
        <f>IFERROR('Physical Safety'!$Y$21,"")</f>
        <v>5</v>
      </c>
      <c r="W155" s="7" t="s">
        <v>3207</v>
      </c>
      <c r="X155" s="7" t="s">
        <v>3208</v>
      </c>
      <c r="Y155" s="7" t="s">
        <v>3362</v>
      </c>
      <c r="Z155" s="7">
        <f>IFERROR('Physical Safety'!$U$21,"")</f>
        <v>0</v>
      </c>
      <c r="AA155" s="7"/>
      <c r="AB155" s="29"/>
      <c r="AC155" s="7"/>
      <c r="AD155" s="48" t="str">
        <f>IF($B155="Yes",IFERROR(SUMIFS(_TECH_Crisis_Model!$D$5:$D$191,_TECH_Crisis_Model!$A$5:$A$191,'Crisis Simulator'!$B$4,_TECH_Crisis_Model!$B$5:$B$191,$C155),1),"")</f>
        <v/>
      </c>
      <c r="AE155" s="48" t="str">
        <f t="shared" si="28"/>
        <v/>
      </c>
      <c r="AF155" s="48" t="str">
        <f>IFERROR(INDEX(_TECH_Crisis_Model!$E$5:$E$191,MATCH('Crisis Simulator'!$B$4&amp;"|"&amp;$C155,_TECH_Crisis_Model!$I$5:$I$191,0)),"")</f>
        <v>Employee safety, access control, evacuation and facilities resilience are direct crisis constraints.</v>
      </c>
      <c r="AG155" s="48" t="str">
        <f>IFERROR(INDEX(_TECH_Crisis_Model!$G$5:$G$191,MATCH('Crisis Simulator'!$B$4&amp;"|"&amp;$C155,_TECH_Crisis_Model!$I$5:$I$191,0)),"")</f>
        <v>Implement evacuation, access control, emergency response, site security and travel-risk procedures.</v>
      </c>
      <c r="AH155" s="48" t="str">
        <f>IFERROR(INDEX(_TECH_Initiative_Library!$A$5:$A$76,MATCH(1,INDEX((_TECH_Initiative_Library!$B$5:$B$76=$C155)*(_TECH_Initiative_Library!$C$5:$C$76=$D155),0),0)),"")</f>
        <v>INI-025</v>
      </c>
      <c r="AI155" s="48" t="str">
        <f>IFERROR(INDEX(_TECH_Initiative_Library!$F$5:$F$76,MATCH(1,INDEX((_TECH_Initiative_Library!$B$5:$B$76=$C155)*(_TECH_Initiative_Library!$C$5:$C$76=$D155),0),0)),"")</f>
        <v>Build emergency response, evacuation and shelter procedures</v>
      </c>
      <c r="AJ155" s="48" t="str">
        <f ca="1">IFERROR(INDEX(_TECH_Initiative_Library!$AC$5:$AC$76,MATCH(1,INDEX((_TECH_Initiative_Library!$B$5:$B$76=$C155)*(_TECH_Initiative_Library!$C$5:$C$76=$D155),0),0)),"")</f>
        <v/>
      </c>
      <c r="AK155" s="48" t="str">
        <f ca="1">IFERROR(INDEX(_TECH_Initiative_Library!$AE$5:$AE$76,MATCH(1,INDEX((_TECH_Initiative_Library!$B$5:$B$76=$C155)*(_TECH_Initiative_Library!$C$5:$C$76=$D155),0),0)),"")</f>
        <v/>
      </c>
      <c r="AL155" s="48" t="str">
        <f>IF($B155="Yes",IFERROR(SUMIFS(_TECH_Industry_Templates!$E:$E,_TECH_Industry_Templates!$A:$A,'Company Profile'!$B$9,_TECH_Industry_Templates!$B:$B,$C155),1),"")</f>
        <v/>
      </c>
      <c r="AM155" s="48" t="str">
        <f t="shared" si="29"/>
        <v/>
      </c>
      <c r="AN155" s="48" t="str">
        <f>IF($AM155="","",RANK.EQ($AM155,$AM$8:$AM$414,0)+COUNTIF($AM$8:$AM155,$AM155)-1)</f>
        <v/>
      </c>
    </row>
    <row r="156" spans="1:40" ht="71.25">
      <c r="A156" s="28" t="str">
        <f>IF($AM156="","",RANK.EQ($AM156,$AM$8:$AM$414,0)+COUNTIF($AM$8:$AM156,$AM156)-1)</f>
        <v/>
      </c>
      <c r="B156" s="7" t="str">
        <f t="shared" si="20"/>
        <v/>
      </c>
      <c r="C156" s="7" t="s">
        <v>72</v>
      </c>
      <c r="D156" s="7" t="s">
        <v>1234</v>
      </c>
      <c r="E156" s="7" t="s">
        <v>3370</v>
      </c>
      <c r="F156" s="7" t="s">
        <v>3371</v>
      </c>
      <c r="G156" s="28" t="str">
        <f>IF(OR(COUNTA('Physical Safety'!$H$22)=0,'Physical Safety'!$H$22="N/A"),"",VALUE('Physical Safety'!$H$22))</f>
        <v/>
      </c>
      <c r="H156" s="7" t="str">
        <f t="shared" si="21"/>
        <v/>
      </c>
      <c r="I156" s="7" t="str">
        <f>IF($G156="","",IFERROR(IF('Physical Safety'!$L$22="",IF($G156&lt;=1,"Critical",IF($G156=2,"High",IF($G156=3,"Medium",IF($G156=4,"Low","Optimized")))),'Physical Safety'!$L$22),IF($G156&lt;=1,"Critical",IF($G156=2,"High",IF($G156=3,"Medium",IF($G156=4,"Low","Optimized"))))))</f>
        <v/>
      </c>
      <c r="J156" s="7" t="str">
        <f>IF($G156="","",IFERROR(INDEX('Recommendation Matrix'!$E$5:$J$411,MATCH($E156,'Recommendation Matrix'!$A$5:$A$411,0),$G156+1),""))</f>
        <v/>
      </c>
      <c r="K156" s="7" t="str">
        <f>IF($G156="","",IFERROR(VLOOKUP($E156,'Recommendation Matrix'!$A$5:$K$411,11,FALSE),""))</f>
        <v/>
      </c>
      <c r="L156" s="28" t="str">
        <f t="shared" si="22"/>
        <v/>
      </c>
      <c r="M156" s="28" t="str">
        <f>IF($G156="","",IFERROR(INDEX('Recommendation Matrix'!$L$5:$Q$411,MATCH($E156,'Recommendation Matrix'!$A$5:$A$411,0),$G156+1),""))</f>
        <v/>
      </c>
      <c r="N156" s="28" t="str">
        <f t="shared" si="23"/>
        <v/>
      </c>
      <c r="O156" s="28" t="str">
        <f t="shared" si="24"/>
        <v/>
      </c>
      <c r="P156" s="28" t="str">
        <f t="shared" si="25"/>
        <v/>
      </c>
      <c r="Q156" s="28" t="str">
        <f t="shared" si="26"/>
        <v/>
      </c>
      <c r="R156" s="8" t="str">
        <f t="shared" si="27"/>
        <v/>
      </c>
      <c r="S156" s="28">
        <f>IFERROR('Physical Safety'!$G$22,"")</f>
        <v>3</v>
      </c>
      <c r="T156" s="28">
        <f>IFERROR('Physical Safety'!$W$22,"")</f>
        <v>4</v>
      </c>
      <c r="U156" s="28">
        <f>IFERROR('Physical Safety'!$X$22,"")</f>
        <v>5</v>
      </c>
      <c r="V156" s="28">
        <f>IFERROR('Physical Safety'!$Y$22,"")</f>
        <v>5</v>
      </c>
      <c r="W156" s="7" t="s">
        <v>3207</v>
      </c>
      <c r="X156" s="7" t="s">
        <v>3208</v>
      </c>
      <c r="Y156" s="7" t="s">
        <v>3372</v>
      </c>
      <c r="Z156" s="7">
        <f>IFERROR('Physical Safety'!$U$22,"")</f>
        <v>0</v>
      </c>
      <c r="AA156" s="7"/>
      <c r="AB156" s="29"/>
      <c r="AC156" s="7"/>
      <c r="AD156" s="48" t="str">
        <f>IF($B156="Yes",IFERROR(SUMIFS(_TECH_Crisis_Model!$D$5:$D$191,_TECH_Crisis_Model!$A$5:$A$191,'Crisis Simulator'!$B$4,_TECH_Crisis_Model!$B$5:$B$191,$C156),1),"")</f>
        <v/>
      </c>
      <c r="AE156" s="48" t="str">
        <f t="shared" si="28"/>
        <v/>
      </c>
      <c r="AF156" s="48" t="str">
        <f>IFERROR(INDEX(_TECH_Crisis_Model!$E$5:$E$191,MATCH('Crisis Simulator'!$B$4&amp;"|"&amp;$C156,_TECH_Crisis_Model!$I$5:$I$191,0)),"")</f>
        <v>Employee safety, access control, evacuation and facilities resilience are direct crisis constraints.</v>
      </c>
      <c r="AG156" s="48" t="str">
        <f>IFERROR(INDEX(_TECH_Crisis_Model!$G$5:$G$191,MATCH('Crisis Simulator'!$B$4&amp;"|"&amp;$C156,_TECH_Crisis_Model!$I$5:$I$191,0)),"")</f>
        <v>Implement evacuation, access control, emergency response, site security and travel-risk procedures.</v>
      </c>
      <c r="AH156" s="48" t="str">
        <f>IFERROR(INDEX(_TECH_Initiative_Library!$A$5:$A$76,MATCH(1,INDEX((_TECH_Initiative_Library!$B$5:$B$76=$C156)*(_TECH_Initiative_Library!$C$5:$C$76=$D156),0),0)),"")</f>
        <v>INI-025</v>
      </c>
      <c r="AI156" s="48" t="str">
        <f>IFERROR(INDEX(_TECH_Initiative_Library!$F$5:$F$76,MATCH(1,INDEX((_TECH_Initiative_Library!$B$5:$B$76=$C156)*(_TECH_Initiative_Library!$C$5:$C$76=$D156),0),0)),"")</f>
        <v>Build emergency response, evacuation and shelter procedures</v>
      </c>
      <c r="AJ156" s="48" t="str">
        <f ca="1">IFERROR(INDEX(_TECH_Initiative_Library!$AC$5:$AC$76,MATCH(1,INDEX((_TECH_Initiative_Library!$B$5:$B$76=$C156)*(_TECH_Initiative_Library!$C$5:$C$76=$D156),0),0)),"")</f>
        <v/>
      </c>
      <c r="AK156" s="48" t="str">
        <f ca="1">IFERROR(INDEX(_TECH_Initiative_Library!$AE$5:$AE$76,MATCH(1,INDEX((_TECH_Initiative_Library!$B$5:$B$76=$C156)*(_TECH_Initiative_Library!$C$5:$C$76=$D156),0),0)),"")</f>
        <v/>
      </c>
      <c r="AL156" s="48" t="str">
        <f>IF($B156="Yes",IFERROR(SUMIFS(_TECH_Industry_Templates!$E:$E,_TECH_Industry_Templates!$A:$A,'Company Profile'!$B$9,_TECH_Industry_Templates!$B:$B,$C156),1),"")</f>
        <v/>
      </c>
      <c r="AM156" s="48" t="str">
        <f t="shared" si="29"/>
        <v/>
      </c>
      <c r="AN156" s="48" t="str">
        <f>IF($AM156="","",RANK.EQ($AM156,$AM$8:$AM$414,0)+COUNTIF($AM$8:$AM156,$AM156)-1)</f>
        <v/>
      </c>
    </row>
    <row r="157" spans="1:40" ht="85.5">
      <c r="A157" s="28" t="str">
        <f>IF($AM157="","",RANK.EQ($AM157,$AM$8:$AM$414,0)+COUNTIF($AM$8:$AM157,$AM157)-1)</f>
        <v/>
      </c>
      <c r="B157" s="7" t="str">
        <f t="shared" si="20"/>
        <v/>
      </c>
      <c r="C157" s="7" t="s">
        <v>72</v>
      </c>
      <c r="D157" s="7" t="s">
        <v>1242</v>
      </c>
      <c r="E157" s="7" t="s">
        <v>3380</v>
      </c>
      <c r="F157" s="7" t="s">
        <v>3381</v>
      </c>
      <c r="G157" s="28" t="str">
        <f>IF(OR(COUNTA('Physical Safety'!$H$23)=0,'Physical Safety'!$H$23="N/A"),"",VALUE('Physical Safety'!$H$23))</f>
        <v/>
      </c>
      <c r="H157" s="7" t="str">
        <f t="shared" si="21"/>
        <v/>
      </c>
      <c r="I157" s="7" t="str">
        <f>IF($G157="","",IFERROR(IF('Physical Safety'!$L$23="",IF($G157&lt;=1,"Critical",IF($G157=2,"High",IF($G157=3,"Medium",IF($G157=4,"Low","Optimized")))),'Physical Safety'!$L$23),IF($G157&lt;=1,"Critical",IF($G157=2,"High",IF($G157=3,"Medium",IF($G157=4,"Low","Optimized"))))))</f>
        <v/>
      </c>
      <c r="J157" s="7" t="str">
        <f>IF($G157="","",IFERROR(INDEX('Recommendation Matrix'!$E$5:$J$411,MATCH($E157,'Recommendation Matrix'!$A$5:$A$411,0),$G157+1),""))</f>
        <v/>
      </c>
      <c r="K157" s="7" t="str">
        <f>IF($G157="","",IFERROR(VLOOKUP($E157,'Recommendation Matrix'!$A$5:$K$411,11,FALSE),""))</f>
        <v/>
      </c>
      <c r="L157" s="28" t="str">
        <f t="shared" si="22"/>
        <v/>
      </c>
      <c r="M157" s="28" t="str">
        <f>IF($G157="","",IFERROR(INDEX('Recommendation Matrix'!$L$5:$Q$411,MATCH($E157,'Recommendation Matrix'!$A$5:$A$411,0),$G157+1),""))</f>
        <v/>
      </c>
      <c r="N157" s="28" t="str">
        <f t="shared" si="23"/>
        <v/>
      </c>
      <c r="O157" s="28" t="str">
        <f t="shared" si="24"/>
        <v/>
      </c>
      <c r="P157" s="28" t="str">
        <f t="shared" si="25"/>
        <v/>
      </c>
      <c r="Q157" s="28" t="str">
        <f t="shared" si="26"/>
        <v/>
      </c>
      <c r="R157" s="8" t="str">
        <f t="shared" si="27"/>
        <v/>
      </c>
      <c r="S157" s="28">
        <f>IFERROR('Physical Safety'!$G$23,"")</f>
        <v>4</v>
      </c>
      <c r="T157" s="28">
        <f>IFERROR('Physical Safety'!$W$23,"")</f>
        <v>4</v>
      </c>
      <c r="U157" s="28">
        <f>IFERROR('Physical Safety'!$X$23,"")</f>
        <v>5</v>
      </c>
      <c r="V157" s="28">
        <f>IFERROR('Physical Safety'!$Y$23,"")</f>
        <v>5</v>
      </c>
      <c r="W157" s="7" t="s">
        <v>3207</v>
      </c>
      <c r="X157" s="7" t="s">
        <v>3208</v>
      </c>
      <c r="Y157" s="7" t="s">
        <v>3382</v>
      </c>
      <c r="Z157" s="7">
        <f>IFERROR('Physical Safety'!$U$23,"")</f>
        <v>0</v>
      </c>
      <c r="AA157" s="7"/>
      <c r="AB157" s="29"/>
      <c r="AC157" s="7"/>
      <c r="AD157" s="48" t="str">
        <f>IF($B157="Yes",IFERROR(SUMIFS(_TECH_Crisis_Model!$D$5:$D$191,_TECH_Crisis_Model!$A$5:$A$191,'Crisis Simulator'!$B$4,_TECH_Crisis_Model!$B$5:$B$191,$C157),1),"")</f>
        <v/>
      </c>
      <c r="AE157" s="48" t="str">
        <f t="shared" si="28"/>
        <v/>
      </c>
      <c r="AF157" s="48" t="str">
        <f>IFERROR(INDEX(_TECH_Crisis_Model!$E$5:$E$191,MATCH('Crisis Simulator'!$B$4&amp;"|"&amp;$C157,_TECH_Crisis_Model!$I$5:$I$191,0)),"")</f>
        <v>Employee safety, access control, evacuation and facilities resilience are direct crisis constraints.</v>
      </c>
      <c r="AG157" s="48" t="str">
        <f>IFERROR(INDEX(_TECH_Crisis_Model!$G$5:$G$191,MATCH('Crisis Simulator'!$B$4&amp;"|"&amp;$C157,_TECH_Crisis_Model!$I$5:$I$191,0)),"")</f>
        <v>Implement evacuation, access control, emergency response, site security and travel-risk procedures.</v>
      </c>
      <c r="AH157" s="48" t="str">
        <f>IFERROR(INDEX(_TECH_Initiative_Library!$A$5:$A$76,MATCH(1,INDEX((_TECH_Initiative_Library!$B$5:$B$76=$C157)*(_TECH_Initiative_Library!$C$5:$C$76=$D157),0),0)),"")</f>
        <v>INI-026</v>
      </c>
      <c r="AI157" s="48" t="str">
        <f>IFERROR(INDEX(_TECH_Initiative_Library!$F$5:$F$76,MATCH(1,INDEX((_TECH_Initiative_Library!$B$5:$B$76=$C157)*(_TECH_Initiative_Library!$C$5:$C$76=$D157),0),0)),"")</f>
        <v>Implement physical security and travel risk management</v>
      </c>
      <c r="AJ157" s="48" t="str">
        <f ca="1">IFERROR(INDEX(_TECH_Initiative_Library!$AC$5:$AC$76,MATCH(1,INDEX((_TECH_Initiative_Library!$B$5:$B$76=$C157)*(_TECH_Initiative_Library!$C$5:$C$76=$D157),0),0)),"")</f>
        <v/>
      </c>
      <c r="AK157" s="48" t="str">
        <f ca="1">IFERROR(INDEX(_TECH_Initiative_Library!$AE$5:$AE$76,MATCH(1,INDEX((_TECH_Initiative_Library!$B$5:$B$76=$C157)*(_TECH_Initiative_Library!$C$5:$C$76=$D157),0),0)),"")</f>
        <v/>
      </c>
      <c r="AL157" s="48" t="str">
        <f>IF($B157="Yes",IFERROR(SUMIFS(_TECH_Industry_Templates!$E:$E,_TECH_Industry_Templates!$A:$A,'Company Profile'!$B$9,_TECH_Industry_Templates!$B:$B,$C157),1),"")</f>
        <v/>
      </c>
      <c r="AM157" s="48" t="str">
        <f t="shared" si="29"/>
        <v/>
      </c>
      <c r="AN157" s="48" t="str">
        <f>IF($AM157="","",RANK.EQ($AM157,$AM$8:$AM$414,0)+COUNTIF($AM$8:$AM157,$AM157)-1)</f>
        <v/>
      </c>
    </row>
    <row r="158" spans="1:40" ht="71.25">
      <c r="A158" s="28" t="str">
        <f>IF($AM158="","",RANK.EQ($AM158,$AM$8:$AM$414,0)+COUNTIF($AM$8:$AM158,$AM158)-1)</f>
        <v/>
      </c>
      <c r="B158" s="7" t="str">
        <f t="shared" si="20"/>
        <v/>
      </c>
      <c r="C158" s="7" t="s">
        <v>72</v>
      </c>
      <c r="D158" s="7" t="s">
        <v>1242</v>
      </c>
      <c r="E158" s="7" t="s">
        <v>3390</v>
      </c>
      <c r="F158" s="7" t="s">
        <v>3391</v>
      </c>
      <c r="G158" s="28" t="str">
        <f>IF(OR(COUNTA('Physical Safety'!$H$24)=0,'Physical Safety'!$H$24="N/A"),"",VALUE('Physical Safety'!$H$24))</f>
        <v/>
      </c>
      <c r="H158" s="7" t="str">
        <f t="shared" si="21"/>
        <v/>
      </c>
      <c r="I158" s="7" t="str">
        <f>IF($G158="","",IFERROR(IF('Physical Safety'!$L$24="",IF($G158&lt;=1,"Critical",IF($G158=2,"High",IF($G158=3,"Medium",IF($G158=4,"Low","Optimized")))),'Physical Safety'!$L$24),IF($G158&lt;=1,"Critical",IF($G158=2,"High",IF($G158=3,"Medium",IF($G158=4,"Low","Optimized"))))))</f>
        <v/>
      </c>
      <c r="J158" s="7" t="str">
        <f>IF($G158="","",IFERROR(INDEX('Recommendation Matrix'!$E$5:$J$411,MATCH($E158,'Recommendation Matrix'!$A$5:$A$411,0),$G158+1),""))</f>
        <v/>
      </c>
      <c r="K158" s="7" t="str">
        <f>IF($G158="","",IFERROR(VLOOKUP($E158,'Recommendation Matrix'!$A$5:$K$411,11,FALSE),""))</f>
        <v/>
      </c>
      <c r="L158" s="28" t="str">
        <f t="shared" si="22"/>
        <v/>
      </c>
      <c r="M158" s="28" t="str">
        <f>IF($G158="","",IFERROR(INDEX('Recommendation Matrix'!$L$5:$Q$411,MATCH($E158,'Recommendation Matrix'!$A$5:$A$411,0),$G158+1),""))</f>
        <v/>
      </c>
      <c r="N158" s="28" t="str">
        <f t="shared" si="23"/>
        <v/>
      </c>
      <c r="O158" s="28" t="str">
        <f t="shared" si="24"/>
        <v/>
      </c>
      <c r="P158" s="28" t="str">
        <f t="shared" si="25"/>
        <v/>
      </c>
      <c r="Q158" s="28" t="str">
        <f t="shared" si="26"/>
        <v/>
      </c>
      <c r="R158" s="8" t="str">
        <f t="shared" si="27"/>
        <v/>
      </c>
      <c r="S158" s="28">
        <f>IFERROR('Physical Safety'!$G$24,"")</f>
        <v>5</v>
      </c>
      <c r="T158" s="28">
        <f>IFERROR('Physical Safety'!$W$24,"")</f>
        <v>4</v>
      </c>
      <c r="U158" s="28">
        <f>IFERROR('Physical Safety'!$X$24,"")</f>
        <v>5</v>
      </c>
      <c r="V158" s="28">
        <f>IFERROR('Physical Safety'!$Y$24,"")</f>
        <v>5</v>
      </c>
      <c r="W158" s="7" t="s">
        <v>3207</v>
      </c>
      <c r="X158" s="7" t="s">
        <v>3208</v>
      </c>
      <c r="Y158" s="7" t="s">
        <v>3392</v>
      </c>
      <c r="Z158" s="7">
        <f>IFERROR('Physical Safety'!$U$24,"")</f>
        <v>0</v>
      </c>
      <c r="AA158" s="7"/>
      <c r="AB158" s="29"/>
      <c r="AC158" s="7"/>
      <c r="AD158" s="48" t="str">
        <f>IF($B158="Yes",IFERROR(SUMIFS(_TECH_Crisis_Model!$D$5:$D$191,_TECH_Crisis_Model!$A$5:$A$191,'Crisis Simulator'!$B$4,_TECH_Crisis_Model!$B$5:$B$191,$C158),1),"")</f>
        <v/>
      </c>
      <c r="AE158" s="48" t="str">
        <f t="shared" si="28"/>
        <v/>
      </c>
      <c r="AF158" s="48" t="str">
        <f>IFERROR(INDEX(_TECH_Crisis_Model!$E$5:$E$191,MATCH('Crisis Simulator'!$B$4&amp;"|"&amp;$C158,_TECH_Crisis_Model!$I$5:$I$191,0)),"")</f>
        <v>Employee safety, access control, evacuation and facilities resilience are direct crisis constraints.</v>
      </c>
      <c r="AG158" s="48" t="str">
        <f>IFERROR(INDEX(_TECH_Crisis_Model!$G$5:$G$191,MATCH('Crisis Simulator'!$B$4&amp;"|"&amp;$C158,_TECH_Crisis_Model!$I$5:$I$191,0)),"")</f>
        <v>Implement evacuation, access control, emergency response, site security and travel-risk procedures.</v>
      </c>
      <c r="AH158" s="48" t="str">
        <f>IFERROR(INDEX(_TECH_Initiative_Library!$A$5:$A$76,MATCH(1,INDEX((_TECH_Initiative_Library!$B$5:$B$76=$C158)*(_TECH_Initiative_Library!$C$5:$C$76=$D158),0),0)),"")</f>
        <v>INI-026</v>
      </c>
      <c r="AI158" s="48" t="str">
        <f>IFERROR(INDEX(_TECH_Initiative_Library!$F$5:$F$76,MATCH(1,INDEX((_TECH_Initiative_Library!$B$5:$B$76=$C158)*(_TECH_Initiative_Library!$C$5:$C$76=$D158),0),0)),"")</f>
        <v>Implement physical security and travel risk management</v>
      </c>
      <c r="AJ158" s="48" t="str">
        <f ca="1">IFERROR(INDEX(_TECH_Initiative_Library!$AC$5:$AC$76,MATCH(1,INDEX((_TECH_Initiative_Library!$B$5:$B$76=$C158)*(_TECH_Initiative_Library!$C$5:$C$76=$D158),0),0)),"")</f>
        <v/>
      </c>
      <c r="AK158" s="48" t="str">
        <f ca="1">IFERROR(INDEX(_TECH_Initiative_Library!$AE$5:$AE$76,MATCH(1,INDEX((_TECH_Initiative_Library!$B$5:$B$76=$C158)*(_TECH_Initiative_Library!$C$5:$C$76=$D158),0),0)),"")</f>
        <v/>
      </c>
      <c r="AL158" s="48" t="str">
        <f>IF($B158="Yes",IFERROR(SUMIFS(_TECH_Industry_Templates!$E:$E,_TECH_Industry_Templates!$A:$A,'Company Profile'!$B$9,_TECH_Industry_Templates!$B:$B,$C158),1),"")</f>
        <v/>
      </c>
      <c r="AM158" s="48" t="str">
        <f t="shared" si="29"/>
        <v/>
      </c>
      <c r="AN158" s="48" t="str">
        <f>IF($AM158="","",RANK.EQ($AM158,$AM$8:$AM$414,0)+COUNTIF($AM$8:$AM158,$AM158)-1)</f>
        <v/>
      </c>
    </row>
    <row r="159" spans="1:40" ht="71.25">
      <c r="A159" s="28" t="str">
        <f>IF($AM159="","",RANK.EQ($AM159,$AM$8:$AM$414,0)+COUNTIF($AM$8:$AM159,$AM159)-1)</f>
        <v/>
      </c>
      <c r="B159" s="7" t="str">
        <f t="shared" si="20"/>
        <v/>
      </c>
      <c r="C159" s="7" t="s">
        <v>72</v>
      </c>
      <c r="D159" s="7" t="s">
        <v>1242</v>
      </c>
      <c r="E159" s="7" t="s">
        <v>3400</v>
      </c>
      <c r="F159" s="7" t="s">
        <v>3401</v>
      </c>
      <c r="G159" s="28" t="str">
        <f>IF(OR(COUNTA('Physical Safety'!$H$25)=0,'Physical Safety'!$H$25="N/A"),"",VALUE('Physical Safety'!$H$25))</f>
        <v/>
      </c>
      <c r="H159" s="7" t="str">
        <f t="shared" si="21"/>
        <v/>
      </c>
      <c r="I159" s="7" t="str">
        <f>IF($G159="","",IFERROR(IF('Physical Safety'!$L$25="",IF($G159&lt;=1,"Critical",IF($G159=2,"High",IF($G159=3,"Medium",IF($G159=4,"Low","Optimized")))),'Physical Safety'!$L$25),IF($G159&lt;=1,"Critical",IF($G159=2,"High",IF($G159=3,"Medium",IF($G159=4,"Low","Optimized"))))))</f>
        <v/>
      </c>
      <c r="J159" s="7" t="str">
        <f>IF($G159="","",IFERROR(INDEX('Recommendation Matrix'!$E$5:$J$411,MATCH($E159,'Recommendation Matrix'!$A$5:$A$411,0),$G159+1),""))</f>
        <v/>
      </c>
      <c r="K159" s="7" t="str">
        <f>IF($G159="","",IFERROR(VLOOKUP($E159,'Recommendation Matrix'!$A$5:$K$411,11,FALSE),""))</f>
        <v/>
      </c>
      <c r="L159" s="28" t="str">
        <f t="shared" si="22"/>
        <v/>
      </c>
      <c r="M159" s="28" t="str">
        <f>IF($G159="","",IFERROR(INDEX('Recommendation Matrix'!$L$5:$Q$411,MATCH($E159,'Recommendation Matrix'!$A$5:$A$411,0),$G159+1),""))</f>
        <v/>
      </c>
      <c r="N159" s="28" t="str">
        <f t="shared" si="23"/>
        <v/>
      </c>
      <c r="O159" s="28" t="str">
        <f t="shared" si="24"/>
        <v/>
      </c>
      <c r="P159" s="28" t="str">
        <f t="shared" si="25"/>
        <v/>
      </c>
      <c r="Q159" s="28" t="str">
        <f t="shared" si="26"/>
        <v/>
      </c>
      <c r="R159" s="8" t="str">
        <f t="shared" si="27"/>
        <v/>
      </c>
      <c r="S159" s="28">
        <f>IFERROR('Physical Safety'!$G$25,"")</f>
        <v>5</v>
      </c>
      <c r="T159" s="28">
        <f>IFERROR('Physical Safety'!$W$25,"")</f>
        <v>4</v>
      </c>
      <c r="U159" s="28">
        <f>IFERROR('Physical Safety'!$X$25,"")</f>
        <v>5</v>
      </c>
      <c r="V159" s="28">
        <f>IFERROR('Physical Safety'!$Y$25,"")</f>
        <v>5</v>
      </c>
      <c r="W159" s="7" t="s">
        <v>3207</v>
      </c>
      <c r="X159" s="7" t="s">
        <v>3208</v>
      </c>
      <c r="Y159" s="7" t="s">
        <v>3402</v>
      </c>
      <c r="Z159" s="7">
        <f>IFERROR('Physical Safety'!$U$25,"")</f>
        <v>0</v>
      </c>
      <c r="AA159" s="7"/>
      <c r="AB159" s="29"/>
      <c r="AC159" s="7"/>
      <c r="AD159" s="48" t="str">
        <f>IF($B159="Yes",IFERROR(SUMIFS(_TECH_Crisis_Model!$D$5:$D$191,_TECH_Crisis_Model!$A$5:$A$191,'Crisis Simulator'!$B$4,_TECH_Crisis_Model!$B$5:$B$191,$C159),1),"")</f>
        <v/>
      </c>
      <c r="AE159" s="48" t="str">
        <f t="shared" si="28"/>
        <v/>
      </c>
      <c r="AF159" s="48" t="str">
        <f>IFERROR(INDEX(_TECH_Crisis_Model!$E$5:$E$191,MATCH('Crisis Simulator'!$B$4&amp;"|"&amp;$C159,_TECH_Crisis_Model!$I$5:$I$191,0)),"")</f>
        <v>Employee safety, access control, evacuation and facilities resilience are direct crisis constraints.</v>
      </c>
      <c r="AG159" s="48" t="str">
        <f>IFERROR(INDEX(_TECH_Crisis_Model!$G$5:$G$191,MATCH('Crisis Simulator'!$B$4&amp;"|"&amp;$C159,_TECH_Crisis_Model!$I$5:$I$191,0)),"")</f>
        <v>Implement evacuation, access control, emergency response, site security and travel-risk procedures.</v>
      </c>
      <c r="AH159" s="48" t="str">
        <f>IFERROR(INDEX(_TECH_Initiative_Library!$A$5:$A$76,MATCH(1,INDEX((_TECH_Initiative_Library!$B$5:$B$76=$C159)*(_TECH_Initiative_Library!$C$5:$C$76=$D159),0),0)),"")</f>
        <v>INI-026</v>
      </c>
      <c r="AI159" s="48" t="str">
        <f>IFERROR(INDEX(_TECH_Initiative_Library!$F$5:$F$76,MATCH(1,INDEX((_TECH_Initiative_Library!$B$5:$B$76=$C159)*(_TECH_Initiative_Library!$C$5:$C$76=$D159),0),0)),"")</f>
        <v>Implement physical security and travel risk management</v>
      </c>
      <c r="AJ159" s="48" t="str">
        <f ca="1">IFERROR(INDEX(_TECH_Initiative_Library!$AC$5:$AC$76,MATCH(1,INDEX((_TECH_Initiative_Library!$B$5:$B$76=$C159)*(_TECH_Initiative_Library!$C$5:$C$76=$D159),0),0)),"")</f>
        <v/>
      </c>
      <c r="AK159" s="48" t="str">
        <f ca="1">IFERROR(INDEX(_TECH_Initiative_Library!$AE$5:$AE$76,MATCH(1,INDEX((_TECH_Initiative_Library!$B$5:$B$76=$C159)*(_TECH_Initiative_Library!$C$5:$C$76=$D159),0),0)),"")</f>
        <v/>
      </c>
      <c r="AL159" s="48" t="str">
        <f>IF($B159="Yes",IFERROR(SUMIFS(_TECH_Industry_Templates!$E:$E,_TECH_Industry_Templates!$A:$A,'Company Profile'!$B$9,_TECH_Industry_Templates!$B:$B,$C159),1),"")</f>
        <v/>
      </c>
      <c r="AM159" s="48" t="str">
        <f t="shared" si="29"/>
        <v/>
      </c>
      <c r="AN159" s="48" t="str">
        <f>IF($AM159="","",RANK.EQ($AM159,$AM$8:$AM$414,0)+COUNTIF($AM$8:$AM159,$AM159)-1)</f>
        <v/>
      </c>
    </row>
    <row r="160" spans="1:40" ht="71.25">
      <c r="A160" s="28" t="str">
        <f>IF($AM160="","",RANK.EQ($AM160,$AM$8:$AM$414,0)+COUNTIF($AM$8:$AM160,$AM160)-1)</f>
        <v/>
      </c>
      <c r="B160" s="7" t="str">
        <f t="shared" si="20"/>
        <v/>
      </c>
      <c r="C160" s="7" t="s">
        <v>72</v>
      </c>
      <c r="D160" s="7" t="s">
        <v>1242</v>
      </c>
      <c r="E160" s="7" t="s">
        <v>3410</v>
      </c>
      <c r="F160" s="7" t="s">
        <v>3411</v>
      </c>
      <c r="G160" s="28" t="str">
        <f>IF(OR(COUNTA('Physical Safety'!$H$26)=0,'Physical Safety'!$H$26="N/A"),"",VALUE('Physical Safety'!$H$26))</f>
        <v/>
      </c>
      <c r="H160" s="7" t="str">
        <f t="shared" si="21"/>
        <v/>
      </c>
      <c r="I160" s="7" t="str">
        <f>IF($G160="","",IFERROR(IF('Physical Safety'!$L$26="",IF($G160&lt;=1,"Critical",IF($G160=2,"High",IF($G160=3,"Medium",IF($G160=4,"Low","Optimized")))),'Physical Safety'!$L$26),IF($G160&lt;=1,"Critical",IF($G160=2,"High",IF($G160=3,"Medium",IF($G160=4,"Low","Optimized"))))))</f>
        <v/>
      </c>
      <c r="J160" s="7" t="str">
        <f>IF($G160="","",IFERROR(INDEX('Recommendation Matrix'!$E$5:$J$411,MATCH($E160,'Recommendation Matrix'!$A$5:$A$411,0),$G160+1),""))</f>
        <v/>
      </c>
      <c r="K160" s="7" t="str">
        <f>IF($G160="","",IFERROR(VLOOKUP($E160,'Recommendation Matrix'!$A$5:$K$411,11,FALSE),""))</f>
        <v/>
      </c>
      <c r="L160" s="28" t="str">
        <f t="shared" si="22"/>
        <v/>
      </c>
      <c r="M160" s="28" t="str">
        <f>IF($G160="","",IFERROR(INDEX('Recommendation Matrix'!$L$5:$Q$411,MATCH($E160,'Recommendation Matrix'!$A$5:$A$411,0),$G160+1),""))</f>
        <v/>
      </c>
      <c r="N160" s="28" t="str">
        <f t="shared" si="23"/>
        <v/>
      </c>
      <c r="O160" s="28" t="str">
        <f t="shared" si="24"/>
        <v/>
      </c>
      <c r="P160" s="28" t="str">
        <f t="shared" si="25"/>
        <v/>
      </c>
      <c r="Q160" s="28" t="str">
        <f t="shared" si="26"/>
        <v/>
      </c>
      <c r="R160" s="8" t="str">
        <f t="shared" si="27"/>
        <v/>
      </c>
      <c r="S160" s="28">
        <f>IFERROR('Physical Safety'!$G$26,"")</f>
        <v>5</v>
      </c>
      <c r="T160" s="28">
        <f>IFERROR('Physical Safety'!$W$26,"")</f>
        <v>4</v>
      </c>
      <c r="U160" s="28">
        <f>IFERROR('Physical Safety'!$X$26,"")</f>
        <v>5</v>
      </c>
      <c r="V160" s="28">
        <f>IFERROR('Physical Safety'!$Y$26,"")</f>
        <v>5</v>
      </c>
      <c r="W160" s="7" t="s">
        <v>3207</v>
      </c>
      <c r="X160" s="7" t="s">
        <v>3208</v>
      </c>
      <c r="Y160" s="7" t="s">
        <v>3412</v>
      </c>
      <c r="Z160" s="7">
        <f>IFERROR('Physical Safety'!$U$26,"")</f>
        <v>0</v>
      </c>
      <c r="AA160" s="7"/>
      <c r="AB160" s="29"/>
      <c r="AC160" s="7"/>
      <c r="AD160" s="48" t="str">
        <f>IF($B160="Yes",IFERROR(SUMIFS(_TECH_Crisis_Model!$D$5:$D$191,_TECH_Crisis_Model!$A$5:$A$191,'Crisis Simulator'!$B$4,_TECH_Crisis_Model!$B$5:$B$191,$C160),1),"")</f>
        <v/>
      </c>
      <c r="AE160" s="48" t="str">
        <f t="shared" si="28"/>
        <v/>
      </c>
      <c r="AF160" s="48" t="str">
        <f>IFERROR(INDEX(_TECH_Crisis_Model!$E$5:$E$191,MATCH('Crisis Simulator'!$B$4&amp;"|"&amp;$C160,_TECH_Crisis_Model!$I$5:$I$191,0)),"")</f>
        <v>Employee safety, access control, evacuation and facilities resilience are direct crisis constraints.</v>
      </c>
      <c r="AG160" s="48" t="str">
        <f>IFERROR(INDEX(_TECH_Crisis_Model!$G$5:$G$191,MATCH('Crisis Simulator'!$B$4&amp;"|"&amp;$C160,_TECH_Crisis_Model!$I$5:$I$191,0)),"")</f>
        <v>Implement evacuation, access control, emergency response, site security and travel-risk procedures.</v>
      </c>
      <c r="AH160" s="48" t="str">
        <f>IFERROR(INDEX(_TECH_Initiative_Library!$A$5:$A$76,MATCH(1,INDEX((_TECH_Initiative_Library!$B$5:$B$76=$C160)*(_TECH_Initiative_Library!$C$5:$C$76=$D160),0),0)),"")</f>
        <v>INI-026</v>
      </c>
      <c r="AI160" s="48" t="str">
        <f>IFERROR(INDEX(_TECH_Initiative_Library!$F$5:$F$76,MATCH(1,INDEX((_TECH_Initiative_Library!$B$5:$B$76=$C160)*(_TECH_Initiative_Library!$C$5:$C$76=$D160),0),0)),"")</f>
        <v>Implement physical security and travel risk management</v>
      </c>
      <c r="AJ160" s="48" t="str">
        <f ca="1">IFERROR(INDEX(_TECH_Initiative_Library!$AC$5:$AC$76,MATCH(1,INDEX((_TECH_Initiative_Library!$B$5:$B$76=$C160)*(_TECH_Initiative_Library!$C$5:$C$76=$D160),0),0)),"")</f>
        <v/>
      </c>
      <c r="AK160" s="48" t="str">
        <f ca="1">IFERROR(INDEX(_TECH_Initiative_Library!$AE$5:$AE$76,MATCH(1,INDEX((_TECH_Initiative_Library!$B$5:$B$76=$C160)*(_TECH_Initiative_Library!$C$5:$C$76=$D160),0),0)),"")</f>
        <v/>
      </c>
      <c r="AL160" s="48" t="str">
        <f>IF($B160="Yes",IFERROR(SUMIFS(_TECH_Industry_Templates!$E:$E,_TECH_Industry_Templates!$A:$A,'Company Profile'!$B$9,_TECH_Industry_Templates!$B:$B,$C160),1),"")</f>
        <v/>
      </c>
      <c r="AM160" s="48" t="str">
        <f t="shared" si="29"/>
        <v/>
      </c>
      <c r="AN160" s="48" t="str">
        <f>IF($AM160="","",RANK.EQ($AM160,$AM$8:$AM$414,0)+COUNTIF($AM$8:$AM160,$AM160)-1)</f>
        <v/>
      </c>
    </row>
    <row r="161" spans="1:40" ht="71.25">
      <c r="A161" s="28" t="str">
        <f>IF($AM161="","",RANK.EQ($AM161,$AM$8:$AM$414,0)+COUNTIF($AM$8:$AM161,$AM161)-1)</f>
        <v/>
      </c>
      <c r="B161" s="7" t="str">
        <f t="shared" si="20"/>
        <v/>
      </c>
      <c r="C161" s="7" t="s">
        <v>72</v>
      </c>
      <c r="D161" s="7" t="s">
        <v>1242</v>
      </c>
      <c r="E161" s="7" t="s">
        <v>3420</v>
      </c>
      <c r="F161" s="7" t="s">
        <v>3421</v>
      </c>
      <c r="G161" s="28" t="str">
        <f>IF(OR(COUNTA('Physical Safety'!$H$27)=0,'Physical Safety'!$H$27="N/A"),"",VALUE('Physical Safety'!$H$27))</f>
        <v/>
      </c>
      <c r="H161" s="7" t="str">
        <f t="shared" si="21"/>
        <v/>
      </c>
      <c r="I161" s="7" t="str">
        <f>IF($G161="","",IFERROR(IF('Physical Safety'!$L$27="",IF($G161&lt;=1,"Critical",IF($G161=2,"High",IF($G161=3,"Medium",IF($G161=4,"Low","Optimized")))),'Physical Safety'!$L$27),IF($G161&lt;=1,"Critical",IF($G161=2,"High",IF($G161=3,"Medium",IF($G161=4,"Low","Optimized"))))))</f>
        <v/>
      </c>
      <c r="J161" s="7" t="str">
        <f>IF($G161="","",IFERROR(INDEX('Recommendation Matrix'!$E$5:$J$411,MATCH($E161,'Recommendation Matrix'!$A$5:$A$411,0),$G161+1),""))</f>
        <v/>
      </c>
      <c r="K161" s="7" t="str">
        <f>IF($G161="","",IFERROR(VLOOKUP($E161,'Recommendation Matrix'!$A$5:$K$411,11,FALSE),""))</f>
        <v/>
      </c>
      <c r="L161" s="28" t="str">
        <f t="shared" si="22"/>
        <v/>
      </c>
      <c r="M161" s="28" t="str">
        <f>IF($G161="","",IFERROR(INDEX('Recommendation Matrix'!$L$5:$Q$411,MATCH($E161,'Recommendation Matrix'!$A$5:$A$411,0),$G161+1),""))</f>
        <v/>
      </c>
      <c r="N161" s="28" t="str">
        <f t="shared" si="23"/>
        <v/>
      </c>
      <c r="O161" s="28" t="str">
        <f t="shared" si="24"/>
        <v/>
      </c>
      <c r="P161" s="28" t="str">
        <f t="shared" si="25"/>
        <v/>
      </c>
      <c r="Q161" s="28" t="str">
        <f t="shared" si="26"/>
        <v/>
      </c>
      <c r="R161" s="8" t="str">
        <f t="shared" si="27"/>
        <v/>
      </c>
      <c r="S161" s="28">
        <f>IFERROR('Physical Safety'!$G$27,"")</f>
        <v>3</v>
      </c>
      <c r="T161" s="28">
        <f>IFERROR('Physical Safety'!$W$27,"")</f>
        <v>4</v>
      </c>
      <c r="U161" s="28">
        <f>IFERROR('Physical Safety'!$X$27,"")</f>
        <v>5</v>
      </c>
      <c r="V161" s="28">
        <f>IFERROR('Physical Safety'!$Y$27,"")</f>
        <v>5</v>
      </c>
      <c r="W161" s="7" t="s">
        <v>3207</v>
      </c>
      <c r="X161" s="7" t="s">
        <v>3208</v>
      </c>
      <c r="Y161" s="7" t="s">
        <v>3422</v>
      </c>
      <c r="Z161" s="7">
        <f>IFERROR('Physical Safety'!$U$27,"")</f>
        <v>0</v>
      </c>
      <c r="AA161" s="7"/>
      <c r="AB161" s="29"/>
      <c r="AC161" s="7"/>
      <c r="AD161" s="48" t="str">
        <f>IF($B161="Yes",IFERROR(SUMIFS(_TECH_Crisis_Model!$D$5:$D$191,_TECH_Crisis_Model!$A$5:$A$191,'Crisis Simulator'!$B$4,_TECH_Crisis_Model!$B$5:$B$191,$C161),1),"")</f>
        <v/>
      </c>
      <c r="AE161" s="48" t="str">
        <f t="shared" si="28"/>
        <v/>
      </c>
      <c r="AF161" s="48" t="str">
        <f>IFERROR(INDEX(_TECH_Crisis_Model!$E$5:$E$191,MATCH('Crisis Simulator'!$B$4&amp;"|"&amp;$C161,_TECH_Crisis_Model!$I$5:$I$191,0)),"")</f>
        <v>Employee safety, access control, evacuation and facilities resilience are direct crisis constraints.</v>
      </c>
      <c r="AG161" s="48" t="str">
        <f>IFERROR(INDEX(_TECH_Crisis_Model!$G$5:$G$191,MATCH('Crisis Simulator'!$B$4&amp;"|"&amp;$C161,_TECH_Crisis_Model!$I$5:$I$191,0)),"")</f>
        <v>Implement evacuation, access control, emergency response, site security and travel-risk procedures.</v>
      </c>
      <c r="AH161" s="48" t="str">
        <f>IFERROR(INDEX(_TECH_Initiative_Library!$A$5:$A$76,MATCH(1,INDEX((_TECH_Initiative_Library!$B$5:$B$76=$C161)*(_TECH_Initiative_Library!$C$5:$C$76=$D161),0),0)),"")</f>
        <v>INI-026</v>
      </c>
      <c r="AI161" s="48" t="str">
        <f>IFERROR(INDEX(_TECH_Initiative_Library!$F$5:$F$76,MATCH(1,INDEX((_TECH_Initiative_Library!$B$5:$B$76=$C161)*(_TECH_Initiative_Library!$C$5:$C$76=$D161),0),0)),"")</f>
        <v>Implement physical security and travel risk management</v>
      </c>
      <c r="AJ161" s="48" t="str">
        <f ca="1">IFERROR(INDEX(_TECH_Initiative_Library!$AC$5:$AC$76,MATCH(1,INDEX((_TECH_Initiative_Library!$B$5:$B$76=$C161)*(_TECH_Initiative_Library!$C$5:$C$76=$D161),0),0)),"")</f>
        <v/>
      </c>
      <c r="AK161" s="48" t="str">
        <f ca="1">IFERROR(INDEX(_TECH_Initiative_Library!$AE$5:$AE$76,MATCH(1,INDEX((_TECH_Initiative_Library!$B$5:$B$76=$C161)*(_TECH_Initiative_Library!$C$5:$C$76=$D161),0),0)),"")</f>
        <v/>
      </c>
      <c r="AL161" s="48" t="str">
        <f>IF($B161="Yes",IFERROR(SUMIFS(_TECH_Industry_Templates!$E:$E,_TECH_Industry_Templates!$A:$A,'Company Profile'!$B$9,_TECH_Industry_Templates!$B:$B,$C161),1),"")</f>
        <v/>
      </c>
      <c r="AM161" s="48" t="str">
        <f t="shared" si="29"/>
        <v/>
      </c>
      <c r="AN161" s="48" t="str">
        <f>IF($AM161="","",RANK.EQ($AM161,$AM$8:$AM$414,0)+COUNTIF($AM$8:$AM161,$AM161)-1)</f>
        <v/>
      </c>
    </row>
    <row r="162" spans="1:40" ht="71.25">
      <c r="A162" s="28" t="str">
        <f>IF($AM162="","",RANK.EQ($AM162,$AM$8:$AM$414,0)+COUNTIF($AM$8:$AM162,$AM162)-1)</f>
        <v/>
      </c>
      <c r="B162" s="7" t="str">
        <f t="shared" si="20"/>
        <v/>
      </c>
      <c r="C162" s="7" t="s">
        <v>72</v>
      </c>
      <c r="D162" s="7" t="s">
        <v>1250</v>
      </c>
      <c r="E162" s="7" t="s">
        <v>3430</v>
      </c>
      <c r="F162" s="7" t="s">
        <v>3431</v>
      </c>
      <c r="G162" s="28" t="str">
        <f>IF(OR(COUNTA('Physical Safety'!$H$28)=0,'Physical Safety'!$H$28="N/A"),"",VALUE('Physical Safety'!$H$28))</f>
        <v/>
      </c>
      <c r="H162" s="7" t="str">
        <f t="shared" si="21"/>
        <v/>
      </c>
      <c r="I162" s="7" t="str">
        <f>IF($G162="","",IFERROR(IF('Physical Safety'!$L$28="",IF($G162&lt;=1,"Critical",IF($G162=2,"High",IF($G162=3,"Medium",IF($G162=4,"Low","Optimized")))),'Physical Safety'!$L$28),IF($G162&lt;=1,"Critical",IF($G162=2,"High",IF($G162=3,"Medium",IF($G162=4,"Low","Optimized"))))))</f>
        <v/>
      </c>
      <c r="J162" s="7" t="str">
        <f>IF($G162="","",IFERROR(INDEX('Recommendation Matrix'!$E$5:$J$411,MATCH($E162,'Recommendation Matrix'!$A$5:$A$411,0),$G162+1),""))</f>
        <v/>
      </c>
      <c r="K162" s="7" t="str">
        <f>IF($G162="","",IFERROR(VLOOKUP($E162,'Recommendation Matrix'!$A$5:$K$411,11,FALSE),""))</f>
        <v/>
      </c>
      <c r="L162" s="28" t="str">
        <f t="shared" si="22"/>
        <v/>
      </c>
      <c r="M162" s="28" t="str">
        <f>IF($G162="","",IFERROR(INDEX('Recommendation Matrix'!$L$5:$Q$411,MATCH($E162,'Recommendation Matrix'!$A$5:$A$411,0),$G162+1),""))</f>
        <v/>
      </c>
      <c r="N162" s="28" t="str">
        <f t="shared" si="23"/>
        <v/>
      </c>
      <c r="O162" s="28" t="str">
        <f t="shared" si="24"/>
        <v/>
      </c>
      <c r="P162" s="28" t="str">
        <f t="shared" si="25"/>
        <v/>
      </c>
      <c r="Q162" s="28" t="str">
        <f t="shared" si="26"/>
        <v/>
      </c>
      <c r="R162" s="8" t="str">
        <f t="shared" si="27"/>
        <v/>
      </c>
      <c r="S162" s="28">
        <f>IFERROR('Physical Safety'!$G$28,"")</f>
        <v>5</v>
      </c>
      <c r="T162" s="28">
        <f>IFERROR('Physical Safety'!$W$28,"")</f>
        <v>5</v>
      </c>
      <c r="U162" s="28">
        <f>IFERROR('Physical Safety'!$X$28,"")</f>
        <v>5</v>
      </c>
      <c r="V162" s="28">
        <f>IFERROR('Physical Safety'!$Y$28,"")</f>
        <v>5</v>
      </c>
      <c r="W162" s="7" t="s">
        <v>3207</v>
      </c>
      <c r="X162" s="7" t="s">
        <v>3208</v>
      </c>
      <c r="Y162" s="7" t="s">
        <v>3432</v>
      </c>
      <c r="Z162" s="7">
        <f>IFERROR('Physical Safety'!$U$28,"")</f>
        <v>0</v>
      </c>
      <c r="AA162" s="7"/>
      <c r="AB162" s="29"/>
      <c r="AC162" s="7"/>
      <c r="AD162" s="48" t="str">
        <f>IF($B162="Yes",IFERROR(SUMIFS(_TECH_Crisis_Model!$D$5:$D$191,_TECH_Crisis_Model!$A$5:$A$191,'Crisis Simulator'!$B$4,_TECH_Crisis_Model!$B$5:$B$191,$C162),1),"")</f>
        <v/>
      </c>
      <c r="AE162" s="48" t="str">
        <f t="shared" si="28"/>
        <v/>
      </c>
      <c r="AF162" s="48" t="str">
        <f>IFERROR(INDEX(_TECH_Crisis_Model!$E$5:$E$191,MATCH('Crisis Simulator'!$B$4&amp;"|"&amp;$C162,_TECH_Crisis_Model!$I$5:$I$191,0)),"")</f>
        <v>Employee safety, access control, evacuation and facilities resilience are direct crisis constraints.</v>
      </c>
      <c r="AG162" s="48" t="str">
        <f>IFERROR(INDEX(_TECH_Crisis_Model!$G$5:$G$191,MATCH('Crisis Simulator'!$B$4&amp;"|"&amp;$C162,_TECH_Crisis_Model!$I$5:$I$191,0)),"")</f>
        <v>Implement evacuation, access control, emergency response, site security and travel-risk procedures.</v>
      </c>
      <c r="AH162" s="48" t="str">
        <f>IFERROR(INDEX(_TECH_Initiative_Library!$A$5:$A$76,MATCH(1,INDEX((_TECH_Initiative_Library!$B$5:$B$76=$C162)*(_TECH_Initiative_Library!$C$5:$C$76=$D162),0),0)),"")</f>
        <v>INI-027</v>
      </c>
      <c r="AI162" s="48" t="str">
        <f>IFERROR(INDEX(_TECH_Initiative_Library!$F$5:$F$76,MATCH(1,INDEX((_TECH_Initiative_Library!$B$5:$B$76=$C162)*(_TECH_Initiative_Library!$C$5:$C$76=$D162),0),0)),"")</f>
        <v>Build utilities backup and facility resilience plan</v>
      </c>
      <c r="AJ162" s="48" t="str">
        <f ca="1">IFERROR(INDEX(_TECH_Initiative_Library!$AC$5:$AC$76,MATCH(1,INDEX((_TECH_Initiative_Library!$B$5:$B$76=$C162)*(_TECH_Initiative_Library!$C$5:$C$76=$D162),0),0)),"")</f>
        <v/>
      </c>
      <c r="AK162" s="48" t="str">
        <f ca="1">IFERROR(INDEX(_TECH_Initiative_Library!$AE$5:$AE$76,MATCH(1,INDEX((_TECH_Initiative_Library!$B$5:$B$76=$C162)*(_TECH_Initiative_Library!$C$5:$C$76=$D162),0),0)),"")</f>
        <v/>
      </c>
      <c r="AL162" s="48" t="str">
        <f>IF($B162="Yes",IFERROR(SUMIFS(_TECH_Industry_Templates!$E:$E,_TECH_Industry_Templates!$A:$A,'Company Profile'!$B$9,_TECH_Industry_Templates!$B:$B,$C162),1),"")</f>
        <v/>
      </c>
      <c r="AM162" s="48" t="str">
        <f t="shared" si="29"/>
        <v/>
      </c>
      <c r="AN162" s="48" t="str">
        <f>IF($AM162="","",RANK.EQ($AM162,$AM$8:$AM$414,0)+COUNTIF($AM$8:$AM162,$AM162)-1)</f>
        <v/>
      </c>
    </row>
    <row r="163" spans="1:40" ht="71.25">
      <c r="A163" s="28" t="str">
        <f>IF($AM163="","",RANK.EQ($AM163,$AM$8:$AM$414,0)+COUNTIF($AM$8:$AM163,$AM163)-1)</f>
        <v/>
      </c>
      <c r="B163" s="7" t="str">
        <f t="shared" si="20"/>
        <v/>
      </c>
      <c r="C163" s="7" t="s">
        <v>72</v>
      </c>
      <c r="D163" s="7" t="s">
        <v>1250</v>
      </c>
      <c r="E163" s="7" t="s">
        <v>3440</v>
      </c>
      <c r="F163" s="7" t="s">
        <v>3441</v>
      </c>
      <c r="G163" s="28" t="str">
        <f>IF(OR(COUNTA('Physical Safety'!$H$29)=0,'Physical Safety'!$H$29="N/A"),"",VALUE('Physical Safety'!$H$29))</f>
        <v/>
      </c>
      <c r="H163" s="7" t="str">
        <f t="shared" si="21"/>
        <v/>
      </c>
      <c r="I163" s="7" t="str">
        <f>IF($G163="","",IFERROR(IF('Physical Safety'!$L$29="",IF($G163&lt;=1,"Critical",IF($G163=2,"High",IF($G163=3,"Medium",IF($G163=4,"Low","Optimized")))),'Physical Safety'!$L$29),IF($G163&lt;=1,"Critical",IF($G163=2,"High",IF($G163=3,"Medium",IF($G163=4,"Low","Optimized"))))))</f>
        <v/>
      </c>
      <c r="J163" s="7" t="str">
        <f>IF($G163="","",IFERROR(INDEX('Recommendation Matrix'!$E$5:$J$411,MATCH($E163,'Recommendation Matrix'!$A$5:$A$411,0),$G163+1),""))</f>
        <v/>
      </c>
      <c r="K163" s="7" t="str">
        <f>IF($G163="","",IFERROR(VLOOKUP($E163,'Recommendation Matrix'!$A$5:$K$411,11,FALSE),""))</f>
        <v/>
      </c>
      <c r="L163" s="28" t="str">
        <f t="shared" si="22"/>
        <v/>
      </c>
      <c r="M163" s="28" t="str">
        <f>IF($G163="","",IFERROR(INDEX('Recommendation Matrix'!$L$5:$Q$411,MATCH($E163,'Recommendation Matrix'!$A$5:$A$411,0),$G163+1),""))</f>
        <v/>
      </c>
      <c r="N163" s="28" t="str">
        <f t="shared" si="23"/>
        <v/>
      </c>
      <c r="O163" s="28" t="str">
        <f t="shared" si="24"/>
        <v/>
      </c>
      <c r="P163" s="28" t="str">
        <f t="shared" si="25"/>
        <v/>
      </c>
      <c r="Q163" s="28" t="str">
        <f t="shared" si="26"/>
        <v/>
      </c>
      <c r="R163" s="8" t="str">
        <f t="shared" si="27"/>
        <v/>
      </c>
      <c r="S163" s="28">
        <f>IFERROR('Physical Safety'!$G$29,"")</f>
        <v>5</v>
      </c>
      <c r="T163" s="28">
        <f>IFERROR('Physical Safety'!$W$29,"")</f>
        <v>4</v>
      </c>
      <c r="U163" s="28">
        <f>IFERROR('Physical Safety'!$X$29,"")</f>
        <v>5</v>
      </c>
      <c r="V163" s="28">
        <f>IFERROR('Physical Safety'!$Y$29,"")</f>
        <v>5</v>
      </c>
      <c r="W163" s="7" t="s">
        <v>3207</v>
      </c>
      <c r="X163" s="7" t="s">
        <v>3208</v>
      </c>
      <c r="Y163" s="7" t="s">
        <v>3442</v>
      </c>
      <c r="Z163" s="7">
        <f>IFERROR('Physical Safety'!$U$29,"")</f>
        <v>0</v>
      </c>
      <c r="AA163" s="7"/>
      <c r="AB163" s="29"/>
      <c r="AC163" s="7"/>
      <c r="AD163" s="48" t="str">
        <f>IF($B163="Yes",IFERROR(SUMIFS(_TECH_Crisis_Model!$D$5:$D$191,_TECH_Crisis_Model!$A$5:$A$191,'Crisis Simulator'!$B$4,_TECH_Crisis_Model!$B$5:$B$191,$C163),1),"")</f>
        <v/>
      </c>
      <c r="AE163" s="48" t="str">
        <f t="shared" si="28"/>
        <v/>
      </c>
      <c r="AF163" s="48" t="str">
        <f>IFERROR(INDEX(_TECH_Crisis_Model!$E$5:$E$191,MATCH('Crisis Simulator'!$B$4&amp;"|"&amp;$C163,_TECH_Crisis_Model!$I$5:$I$191,0)),"")</f>
        <v>Employee safety, access control, evacuation and facilities resilience are direct crisis constraints.</v>
      </c>
      <c r="AG163" s="48" t="str">
        <f>IFERROR(INDEX(_TECH_Crisis_Model!$G$5:$G$191,MATCH('Crisis Simulator'!$B$4&amp;"|"&amp;$C163,_TECH_Crisis_Model!$I$5:$I$191,0)),"")</f>
        <v>Implement evacuation, access control, emergency response, site security and travel-risk procedures.</v>
      </c>
      <c r="AH163" s="48" t="str">
        <f>IFERROR(INDEX(_TECH_Initiative_Library!$A$5:$A$76,MATCH(1,INDEX((_TECH_Initiative_Library!$B$5:$B$76=$C163)*(_TECH_Initiative_Library!$C$5:$C$76=$D163),0),0)),"")</f>
        <v>INI-027</v>
      </c>
      <c r="AI163" s="48" t="str">
        <f>IFERROR(INDEX(_TECH_Initiative_Library!$F$5:$F$76,MATCH(1,INDEX((_TECH_Initiative_Library!$B$5:$B$76=$C163)*(_TECH_Initiative_Library!$C$5:$C$76=$D163),0),0)),"")</f>
        <v>Build utilities backup and facility resilience plan</v>
      </c>
      <c r="AJ163" s="48" t="str">
        <f ca="1">IFERROR(INDEX(_TECH_Initiative_Library!$AC$5:$AC$76,MATCH(1,INDEX((_TECH_Initiative_Library!$B$5:$B$76=$C163)*(_TECH_Initiative_Library!$C$5:$C$76=$D163),0),0)),"")</f>
        <v/>
      </c>
      <c r="AK163" s="48" t="str">
        <f ca="1">IFERROR(INDEX(_TECH_Initiative_Library!$AE$5:$AE$76,MATCH(1,INDEX((_TECH_Initiative_Library!$B$5:$B$76=$C163)*(_TECH_Initiative_Library!$C$5:$C$76=$D163),0),0)),"")</f>
        <v/>
      </c>
      <c r="AL163" s="48" t="str">
        <f>IF($B163="Yes",IFERROR(SUMIFS(_TECH_Industry_Templates!$E:$E,_TECH_Industry_Templates!$A:$A,'Company Profile'!$B$9,_TECH_Industry_Templates!$B:$B,$C163),1),"")</f>
        <v/>
      </c>
      <c r="AM163" s="48" t="str">
        <f t="shared" si="29"/>
        <v/>
      </c>
      <c r="AN163" s="48" t="str">
        <f>IF($AM163="","",RANK.EQ($AM163,$AM$8:$AM$414,0)+COUNTIF($AM$8:$AM163,$AM163)-1)</f>
        <v/>
      </c>
    </row>
    <row r="164" spans="1:40" ht="71.25">
      <c r="A164" s="28" t="str">
        <f>IF($AM164="","",RANK.EQ($AM164,$AM$8:$AM$414,0)+COUNTIF($AM$8:$AM164,$AM164)-1)</f>
        <v/>
      </c>
      <c r="B164" s="7" t="str">
        <f t="shared" si="20"/>
        <v/>
      </c>
      <c r="C164" s="7" t="s">
        <v>72</v>
      </c>
      <c r="D164" s="7" t="s">
        <v>1250</v>
      </c>
      <c r="E164" s="7" t="s">
        <v>3450</v>
      </c>
      <c r="F164" s="7" t="s">
        <v>3451</v>
      </c>
      <c r="G164" s="28" t="str">
        <f>IF(OR(COUNTA('Physical Safety'!$H$30)=0,'Physical Safety'!$H$30="N/A"),"",VALUE('Physical Safety'!$H$30))</f>
        <v/>
      </c>
      <c r="H164" s="7" t="str">
        <f t="shared" si="21"/>
        <v/>
      </c>
      <c r="I164" s="7" t="str">
        <f>IF($G164="","",IFERROR(IF('Physical Safety'!$L$30="",IF($G164&lt;=1,"Critical",IF($G164=2,"High",IF($G164=3,"Medium",IF($G164=4,"Low","Optimized")))),'Physical Safety'!$L$30),IF($G164&lt;=1,"Critical",IF($G164=2,"High",IF($G164=3,"Medium",IF($G164=4,"Low","Optimized"))))))</f>
        <v/>
      </c>
      <c r="J164" s="7" t="str">
        <f>IF($G164="","",IFERROR(INDEX('Recommendation Matrix'!$E$5:$J$411,MATCH($E164,'Recommendation Matrix'!$A$5:$A$411,0),$G164+1),""))</f>
        <v/>
      </c>
      <c r="K164" s="7" t="str">
        <f>IF($G164="","",IFERROR(VLOOKUP($E164,'Recommendation Matrix'!$A$5:$K$411,11,FALSE),""))</f>
        <v/>
      </c>
      <c r="L164" s="28" t="str">
        <f t="shared" si="22"/>
        <v/>
      </c>
      <c r="M164" s="28" t="str">
        <f>IF($G164="","",IFERROR(INDEX('Recommendation Matrix'!$L$5:$Q$411,MATCH($E164,'Recommendation Matrix'!$A$5:$A$411,0),$G164+1),""))</f>
        <v/>
      </c>
      <c r="N164" s="28" t="str">
        <f t="shared" si="23"/>
        <v/>
      </c>
      <c r="O164" s="28" t="str">
        <f t="shared" si="24"/>
        <v/>
      </c>
      <c r="P164" s="28" t="str">
        <f t="shared" si="25"/>
        <v/>
      </c>
      <c r="Q164" s="28" t="str">
        <f t="shared" si="26"/>
        <v/>
      </c>
      <c r="R164" s="8" t="str">
        <f t="shared" si="27"/>
        <v/>
      </c>
      <c r="S164" s="28">
        <f>IFERROR('Physical Safety'!$G$30,"")</f>
        <v>5</v>
      </c>
      <c r="T164" s="28">
        <f>IFERROR('Physical Safety'!$W$30,"")</f>
        <v>5</v>
      </c>
      <c r="U164" s="28">
        <f>IFERROR('Physical Safety'!$X$30,"")</f>
        <v>5</v>
      </c>
      <c r="V164" s="28">
        <f>IFERROR('Physical Safety'!$Y$30,"")</f>
        <v>5</v>
      </c>
      <c r="W164" s="7" t="s">
        <v>3207</v>
      </c>
      <c r="X164" s="7" t="s">
        <v>3208</v>
      </c>
      <c r="Y164" s="7" t="s">
        <v>3452</v>
      </c>
      <c r="Z164" s="7">
        <f>IFERROR('Physical Safety'!$U$30,"")</f>
        <v>0</v>
      </c>
      <c r="AA164" s="7"/>
      <c r="AB164" s="29"/>
      <c r="AC164" s="7"/>
      <c r="AD164" s="48" t="str">
        <f>IF($B164="Yes",IFERROR(SUMIFS(_TECH_Crisis_Model!$D$5:$D$191,_TECH_Crisis_Model!$A$5:$A$191,'Crisis Simulator'!$B$4,_TECH_Crisis_Model!$B$5:$B$191,$C164),1),"")</f>
        <v/>
      </c>
      <c r="AE164" s="48" t="str">
        <f t="shared" si="28"/>
        <v/>
      </c>
      <c r="AF164" s="48" t="str">
        <f>IFERROR(INDEX(_TECH_Crisis_Model!$E$5:$E$191,MATCH('Crisis Simulator'!$B$4&amp;"|"&amp;$C164,_TECH_Crisis_Model!$I$5:$I$191,0)),"")</f>
        <v>Employee safety, access control, evacuation and facilities resilience are direct crisis constraints.</v>
      </c>
      <c r="AG164" s="48" t="str">
        <f>IFERROR(INDEX(_TECH_Crisis_Model!$G$5:$G$191,MATCH('Crisis Simulator'!$B$4&amp;"|"&amp;$C164,_TECH_Crisis_Model!$I$5:$I$191,0)),"")</f>
        <v>Implement evacuation, access control, emergency response, site security and travel-risk procedures.</v>
      </c>
      <c r="AH164" s="48" t="str">
        <f>IFERROR(INDEX(_TECH_Initiative_Library!$A$5:$A$76,MATCH(1,INDEX((_TECH_Initiative_Library!$B$5:$B$76=$C164)*(_TECH_Initiative_Library!$C$5:$C$76=$D164),0),0)),"")</f>
        <v>INI-027</v>
      </c>
      <c r="AI164" s="48" t="str">
        <f>IFERROR(INDEX(_TECH_Initiative_Library!$F$5:$F$76,MATCH(1,INDEX((_TECH_Initiative_Library!$B$5:$B$76=$C164)*(_TECH_Initiative_Library!$C$5:$C$76=$D164),0),0)),"")</f>
        <v>Build utilities backup and facility resilience plan</v>
      </c>
      <c r="AJ164" s="48" t="str">
        <f ca="1">IFERROR(INDEX(_TECH_Initiative_Library!$AC$5:$AC$76,MATCH(1,INDEX((_TECH_Initiative_Library!$B$5:$B$76=$C164)*(_TECH_Initiative_Library!$C$5:$C$76=$D164),0),0)),"")</f>
        <v/>
      </c>
      <c r="AK164" s="48" t="str">
        <f ca="1">IFERROR(INDEX(_TECH_Initiative_Library!$AE$5:$AE$76,MATCH(1,INDEX((_TECH_Initiative_Library!$B$5:$B$76=$C164)*(_TECH_Initiative_Library!$C$5:$C$76=$D164),0),0)),"")</f>
        <v/>
      </c>
      <c r="AL164" s="48" t="str">
        <f>IF($B164="Yes",IFERROR(SUMIFS(_TECH_Industry_Templates!$E:$E,_TECH_Industry_Templates!$A:$A,'Company Profile'!$B$9,_TECH_Industry_Templates!$B:$B,$C164),1),"")</f>
        <v/>
      </c>
      <c r="AM164" s="48" t="str">
        <f t="shared" si="29"/>
        <v/>
      </c>
      <c r="AN164" s="48" t="str">
        <f>IF($AM164="","",RANK.EQ($AM164,$AM$8:$AM$414,0)+COUNTIF($AM$8:$AM164,$AM164)-1)</f>
        <v/>
      </c>
    </row>
    <row r="165" spans="1:40" ht="57">
      <c r="A165" s="28" t="str">
        <f>IF($AM165="","",RANK.EQ($AM165,$AM$8:$AM$414,0)+COUNTIF($AM$8:$AM165,$AM165)-1)</f>
        <v/>
      </c>
      <c r="B165" s="7" t="str">
        <f t="shared" si="20"/>
        <v/>
      </c>
      <c r="C165" s="7" t="s">
        <v>72</v>
      </c>
      <c r="D165" s="7" t="s">
        <v>1250</v>
      </c>
      <c r="E165" s="7" t="s">
        <v>3460</v>
      </c>
      <c r="F165" s="7" t="s">
        <v>3461</v>
      </c>
      <c r="G165" s="28" t="str">
        <f>IF(OR(COUNTA('Physical Safety'!$H$31)=0,'Physical Safety'!$H$31="N/A"),"",VALUE('Physical Safety'!$H$31))</f>
        <v/>
      </c>
      <c r="H165" s="7" t="str">
        <f t="shared" si="21"/>
        <v/>
      </c>
      <c r="I165" s="7" t="str">
        <f>IF($G165="","",IFERROR(IF('Physical Safety'!$L$31="",IF($G165&lt;=1,"Critical",IF($G165=2,"High",IF($G165=3,"Medium",IF($G165=4,"Low","Optimized")))),'Physical Safety'!$L$31),IF($G165&lt;=1,"Critical",IF($G165=2,"High",IF($G165=3,"Medium",IF($G165=4,"Low","Optimized"))))))</f>
        <v/>
      </c>
      <c r="J165" s="7" t="str">
        <f>IF($G165="","",IFERROR(INDEX('Recommendation Matrix'!$E$5:$J$411,MATCH($E165,'Recommendation Matrix'!$A$5:$A$411,0),$G165+1),""))</f>
        <v/>
      </c>
      <c r="K165" s="7" t="str">
        <f>IF($G165="","",IFERROR(VLOOKUP($E165,'Recommendation Matrix'!$A$5:$K$411,11,FALSE),""))</f>
        <v/>
      </c>
      <c r="L165" s="28" t="str">
        <f t="shared" si="22"/>
        <v/>
      </c>
      <c r="M165" s="28" t="str">
        <f>IF($G165="","",IFERROR(INDEX('Recommendation Matrix'!$L$5:$Q$411,MATCH($E165,'Recommendation Matrix'!$A$5:$A$411,0),$G165+1),""))</f>
        <v/>
      </c>
      <c r="N165" s="28" t="str">
        <f t="shared" si="23"/>
        <v/>
      </c>
      <c r="O165" s="28" t="str">
        <f t="shared" si="24"/>
        <v/>
      </c>
      <c r="P165" s="28" t="str">
        <f t="shared" si="25"/>
        <v/>
      </c>
      <c r="Q165" s="28" t="str">
        <f t="shared" si="26"/>
        <v/>
      </c>
      <c r="R165" s="8" t="str">
        <f t="shared" si="27"/>
        <v/>
      </c>
      <c r="S165" s="28">
        <f>IFERROR('Physical Safety'!$G$31,"")</f>
        <v>5</v>
      </c>
      <c r="T165" s="28">
        <f>IFERROR('Physical Safety'!$W$31,"")</f>
        <v>4</v>
      </c>
      <c r="U165" s="28">
        <f>IFERROR('Physical Safety'!$X$31,"")</f>
        <v>5</v>
      </c>
      <c r="V165" s="28">
        <f>IFERROR('Physical Safety'!$Y$31,"")</f>
        <v>5</v>
      </c>
      <c r="W165" s="7" t="s">
        <v>3207</v>
      </c>
      <c r="X165" s="7" t="s">
        <v>3208</v>
      </c>
      <c r="Y165" s="7" t="s">
        <v>3462</v>
      </c>
      <c r="Z165" s="7">
        <f>IFERROR('Physical Safety'!$U$31,"")</f>
        <v>0</v>
      </c>
      <c r="AA165" s="7"/>
      <c r="AB165" s="29"/>
      <c r="AC165" s="7"/>
      <c r="AD165" s="48" t="str">
        <f>IF($B165="Yes",IFERROR(SUMIFS(_TECH_Crisis_Model!$D$5:$D$191,_TECH_Crisis_Model!$A$5:$A$191,'Crisis Simulator'!$B$4,_TECH_Crisis_Model!$B$5:$B$191,$C165),1),"")</f>
        <v/>
      </c>
      <c r="AE165" s="48" t="str">
        <f t="shared" si="28"/>
        <v/>
      </c>
      <c r="AF165" s="48" t="str">
        <f>IFERROR(INDEX(_TECH_Crisis_Model!$E$5:$E$191,MATCH('Crisis Simulator'!$B$4&amp;"|"&amp;$C165,_TECH_Crisis_Model!$I$5:$I$191,0)),"")</f>
        <v>Employee safety, access control, evacuation and facilities resilience are direct crisis constraints.</v>
      </c>
      <c r="AG165" s="48" t="str">
        <f>IFERROR(INDEX(_TECH_Crisis_Model!$G$5:$G$191,MATCH('Crisis Simulator'!$B$4&amp;"|"&amp;$C165,_TECH_Crisis_Model!$I$5:$I$191,0)),"")</f>
        <v>Implement evacuation, access control, emergency response, site security and travel-risk procedures.</v>
      </c>
      <c r="AH165" s="48" t="str">
        <f>IFERROR(INDEX(_TECH_Initiative_Library!$A$5:$A$76,MATCH(1,INDEX((_TECH_Initiative_Library!$B$5:$B$76=$C165)*(_TECH_Initiative_Library!$C$5:$C$76=$D165),0),0)),"")</f>
        <v>INI-027</v>
      </c>
      <c r="AI165" s="48" t="str">
        <f>IFERROR(INDEX(_TECH_Initiative_Library!$F$5:$F$76,MATCH(1,INDEX((_TECH_Initiative_Library!$B$5:$B$76=$C165)*(_TECH_Initiative_Library!$C$5:$C$76=$D165),0),0)),"")</f>
        <v>Build utilities backup and facility resilience plan</v>
      </c>
      <c r="AJ165" s="48" t="str">
        <f ca="1">IFERROR(INDEX(_TECH_Initiative_Library!$AC$5:$AC$76,MATCH(1,INDEX((_TECH_Initiative_Library!$B$5:$B$76=$C165)*(_TECH_Initiative_Library!$C$5:$C$76=$D165),0),0)),"")</f>
        <v/>
      </c>
      <c r="AK165" s="48" t="str">
        <f ca="1">IFERROR(INDEX(_TECH_Initiative_Library!$AE$5:$AE$76,MATCH(1,INDEX((_TECH_Initiative_Library!$B$5:$B$76=$C165)*(_TECH_Initiative_Library!$C$5:$C$76=$D165),0),0)),"")</f>
        <v/>
      </c>
      <c r="AL165" s="48" t="str">
        <f>IF($B165="Yes",IFERROR(SUMIFS(_TECH_Industry_Templates!$E:$E,_TECH_Industry_Templates!$A:$A,'Company Profile'!$B$9,_TECH_Industry_Templates!$B:$B,$C165),1),"")</f>
        <v/>
      </c>
      <c r="AM165" s="48" t="str">
        <f t="shared" si="29"/>
        <v/>
      </c>
      <c r="AN165" s="48" t="str">
        <f>IF($AM165="","",RANK.EQ($AM165,$AM$8:$AM$414,0)+COUNTIF($AM$8:$AM165,$AM165)-1)</f>
        <v/>
      </c>
    </row>
    <row r="166" spans="1:40" ht="71.25">
      <c r="A166" s="28" t="str">
        <f>IF($AM166="","",RANK.EQ($AM166,$AM$8:$AM$414,0)+COUNTIF($AM$8:$AM166,$AM166)-1)</f>
        <v/>
      </c>
      <c r="B166" s="7" t="str">
        <f t="shared" si="20"/>
        <v/>
      </c>
      <c r="C166" s="7" t="s">
        <v>72</v>
      </c>
      <c r="D166" s="7" t="s">
        <v>1250</v>
      </c>
      <c r="E166" s="7" t="s">
        <v>3470</v>
      </c>
      <c r="F166" s="7" t="s">
        <v>3471</v>
      </c>
      <c r="G166" s="28" t="str">
        <f>IF(OR(COUNTA('Physical Safety'!$H$32)=0,'Physical Safety'!$H$32="N/A"),"",VALUE('Physical Safety'!$H$32))</f>
        <v/>
      </c>
      <c r="H166" s="7" t="str">
        <f t="shared" si="21"/>
        <v/>
      </c>
      <c r="I166" s="7" t="str">
        <f>IF($G166="","",IFERROR(IF('Physical Safety'!$L$32="",IF($G166&lt;=1,"Critical",IF($G166=2,"High",IF($G166=3,"Medium",IF($G166=4,"Low","Optimized")))),'Physical Safety'!$L$32),IF($G166&lt;=1,"Critical",IF($G166=2,"High",IF($G166=3,"Medium",IF($G166=4,"Low","Optimized"))))))</f>
        <v/>
      </c>
      <c r="J166" s="7" t="str">
        <f>IF($G166="","",IFERROR(INDEX('Recommendation Matrix'!$E$5:$J$411,MATCH($E166,'Recommendation Matrix'!$A$5:$A$411,0),$G166+1),""))</f>
        <v/>
      </c>
      <c r="K166" s="7" t="str">
        <f>IF($G166="","",IFERROR(VLOOKUP($E166,'Recommendation Matrix'!$A$5:$K$411,11,FALSE),""))</f>
        <v/>
      </c>
      <c r="L166" s="28" t="str">
        <f t="shared" si="22"/>
        <v/>
      </c>
      <c r="M166" s="28" t="str">
        <f>IF($G166="","",IFERROR(INDEX('Recommendation Matrix'!$L$5:$Q$411,MATCH($E166,'Recommendation Matrix'!$A$5:$A$411,0),$G166+1),""))</f>
        <v/>
      </c>
      <c r="N166" s="28" t="str">
        <f t="shared" si="23"/>
        <v/>
      </c>
      <c r="O166" s="28" t="str">
        <f t="shared" si="24"/>
        <v/>
      </c>
      <c r="P166" s="28" t="str">
        <f t="shared" si="25"/>
        <v/>
      </c>
      <c r="Q166" s="28" t="str">
        <f t="shared" si="26"/>
        <v/>
      </c>
      <c r="R166" s="8" t="str">
        <f t="shared" si="27"/>
        <v/>
      </c>
      <c r="S166" s="28">
        <f>IFERROR('Physical Safety'!$G$32,"")</f>
        <v>5</v>
      </c>
      <c r="T166" s="28">
        <f>IFERROR('Physical Safety'!$W$32,"")</f>
        <v>4</v>
      </c>
      <c r="U166" s="28">
        <f>IFERROR('Physical Safety'!$X$32,"")</f>
        <v>5</v>
      </c>
      <c r="V166" s="28">
        <f>IFERROR('Physical Safety'!$Y$32,"")</f>
        <v>5</v>
      </c>
      <c r="W166" s="7" t="s">
        <v>3207</v>
      </c>
      <c r="X166" s="7" t="s">
        <v>3208</v>
      </c>
      <c r="Y166" s="7" t="s">
        <v>3472</v>
      </c>
      <c r="Z166" s="7">
        <f>IFERROR('Physical Safety'!$U$32,"")</f>
        <v>0</v>
      </c>
      <c r="AA166" s="7"/>
      <c r="AB166" s="29"/>
      <c r="AC166" s="7"/>
      <c r="AD166" s="48" t="str">
        <f>IF($B166="Yes",IFERROR(SUMIFS(_TECH_Crisis_Model!$D$5:$D$191,_TECH_Crisis_Model!$A$5:$A$191,'Crisis Simulator'!$B$4,_TECH_Crisis_Model!$B$5:$B$191,$C166),1),"")</f>
        <v/>
      </c>
      <c r="AE166" s="48" t="str">
        <f t="shared" si="28"/>
        <v/>
      </c>
      <c r="AF166" s="48" t="str">
        <f>IFERROR(INDEX(_TECH_Crisis_Model!$E$5:$E$191,MATCH('Crisis Simulator'!$B$4&amp;"|"&amp;$C166,_TECH_Crisis_Model!$I$5:$I$191,0)),"")</f>
        <v>Employee safety, access control, evacuation and facilities resilience are direct crisis constraints.</v>
      </c>
      <c r="AG166" s="48" t="str">
        <f>IFERROR(INDEX(_TECH_Crisis_Model!$G$5:$G$191,MATCH('Crisis Simulator'!$B$4&amp;"|"&amp;$C166,_TECH_Crisis_Model!$I$5:$I$191,0)),"")</f>
        <v>Implement evacuation, access control, emergency response, site security and travel-risk procedures.</v>
      </c>
      <c r="AH166" s="48" t="str">
        <f>IFERROR(INDEX(_TECH_Initiative_Library!$A$5:$A$76,MATCH(1,INDEX((_TECH_Initiative_Library!$B$5:$B$76=$C166)*(_TECH_Initiative_Library!$C$5:$C$76=$D166),0),0)),"")</f>
        <v>INI-027</v>
      </c>
      <c r="AI166" s="48" t="str">
        <f>IFERROR(INDEX(_TECH_Initiative_Library!$F$5:$F$76,MATCH(1,INDEX((_TECH_Initiative_Library!$B$5:$B$76=$C166)*(_TECH_Initiative_Library!$C$5:$C$76=$D166),0),0)),"")</f>
        <v>Build utilities backup and facility resilience plan</v>
      </c>
      <c r="AJ166" s="48" t="str">
        <f ca="1">IFERROR(INDEX(_TECH_Initiative_Library!$AC$5:$AC$76,MATCH(1,INDEX((_TECH_Initiative_Library!$B$5:$B$76=$C166)*(_TECH_Initiative_Library!$C$5:$C$76=$D166),0),0)),"")</f>
        <v/>
      </c>
      <c r="AK166" s="48" t="str">
        <f ca="1">IFERROR(INDEX(_TECH_Initiative_Library!$AE$5:$AE$76,MATCH(1,INDEX((_TECH_Initiative_Library!$B$5:$B$76=$C166)*(_TECH_Initiative_Library!$C$5:$C$76=$D166),0),0)),"")</f>
        <v/>
      </c>
      <c r="AL166" s="48" t="str">
        <f>IF($B166="Yes",IFERROR(SUMIFS(_TECH_Industry_Templates!$E:$E,_TECH_Industry_Templates!$A:$A,'Company Profile'!$B$9,_TECH_Industry_Templates!$B:$B,$C166),1),"")</f>
        <v/>
      </c>
      <c r="AM166" s="48" t="str">
        <f t="shared" si="29"/>
        <v/>
      </c>
      <c r="AN166" s="48" t="str">
        <f>IF($AM166="","",RANK.EQ($AM166,$AM$8:$AM$414,0)+COUNTIF($AM$8:$AM166,$AM166)-1)</f>
        <v/>
      </c>
    </row>
    <row r="167" spans="1:40" ht="85.5">
      <c r="A167" s="28" t="str">
        <f>IF($AM167="","",RANK.EQ($AM167,$AM$8:$AM$414,0)+COUNTIF($AM$8:$AM167,$AM167)-1)</f>
        <v/>
      </c>
      <c r="B167" s="7" t="str">
        <f t="shared" si="20"/>
        <v/>
      </c>
      <c r="C167" s="7" t="s">
        <v>75</v>
      </c>
      <c r="D167" s="7" t="s">
        <v>1258</v>
      </c>
      <c r="E167" s="7" t="s">
        <v>3482</v>
      </c>
      <c r="F167" s="7" t="s">
        <v>3483</v>
      </c>
      <c r="G167" s="28" t="str">
        <f>IF(OR(COUNTA('Delivery Ops'!$H$5)=0,'Delivery Ops'!$H$5="N/A"),"",VALUE('Delivery Ops'!$H$5))</f>
        <v/>
      </c>
      <c r="H167" s="7" t="str">
        <f t="shared" si="21"/>
        <v/>
      </c>
      <c r="I167" s="7" t="str">
        <f>IF($G167="","",IFERROR(IF('Delivery Ops'!$L$5="",IF($G167&lt;=1,"Critical",IF($G167=2,"High",IF($G167=3,"Medium",IF($G167=4,"Low","Optimized")))),'Delivery Ops'!$L$5),IF($G167&lt;=1,"Critical",IF($G167=2,"High",IF($G167=3,"Medium",IF($G167=4,"Low","Optimized"))))))</f>
        <v/>
      </c>
      <c r="J167" s="7" t="str">
        <f>IF($G167="","",IFERROR(INDEX('Recommendation Matrix'!$E$5:$J$411,MATCH($E167,'Recommendation Matrix'!$A$5:$A$411,0),$G167+1),""))</f>
        <v/>
      </c>
      <c r="K167" s="7" t="str">
        <f>IF($G167="","",IFERROR(VLOOKUP($E167,'Recommendation Matrix'!$A$5:$K$411,11,FALSE),""))</f>
        <v/>
      </c>
      <c r="L167" s="28" t="str">
        <f t="shared" si="22"/>
        <v/>
      </c>
      <c r="M167" s="28" t="str">
        <f>IF($G167="","",IFERROR(INDEX('Recommendation Matrix'!$L$5:$Q$411,MATCH($E167,'Recommendation Matrix'!$A$5:$A$411,0),$G167+1),""))</f>
        <v/>
      </c>
      <c r="N167" s="28" t="str">
        <f t="shared" si="23"/>
        <v/>
      </c>
      <c r="O167" s="28" t="str">
        <f t="shared" si="24"/>
        <v/>
      </c>
      <c r="P167" s="28" t="str">
        <f t="shared" si="25"/>
        <v/>
      </c>
      <c r="Q167" s="28" t="str">
        <f t="shared" si="26"/>
        <v/>
      </c>
      <c r="R167" s="8" t="str">
        <f t="shared" si="27"/>
        <v/>
      </c>
      <c r="S167" s="28">
        <f>IFERROR('Delivery Ops'!$G$5,"")</f>
        <v>5</v>
      </c>
      <c r="T167" s="28">
        <f>IFERROR('Delivery Ops'!$W$5,"")</f>
        <v>4</v>
      </c>
      <c r="U167" s="28">
        <f>IFERROR('Delivery Ops'!$X$5,"")</f>
        <v>5</v>
      </c>
      <c r="V167" s="28">
        <f>IFERROR('Delivery Ops'!$Y$5,"")</f>
        <v>5</v>
      </c>
      <c r="W167" s="7" t="s">
        <v>3493</v>
      </c>
      <c r="X167" s="7" t="s">
        <v>3494</v>
      </c>
      <c r="Y167" s="7" t="s">
        <v>3486</v>
      </c>
      <c r="Z167" s="7">
        <f>IFERROR('Delivery Ops'!$U$5,"")</f>
        <v>0</v>
      </c>
      <c r="AA167" s="7"/>
      <c r="AB167" s="29"/>
      <c r="AC167" s="7"/>
      <c r="AD167" s="48" t="str">
        <f>IF($B167="Yes",IFERROR(SUMIFS(_TECH_Crisis_Model!$D$5:$D$191,_TECH_Crisis_Model!$A$5:$A$191,'Crisis Simulator'!$B$4,_TECH_Crisis_Model!$B$5:$B$191,$C167),1),"")</f>
        <v/>
      </c>
      <c r="AE167" s="48" t="str">
        <f t="shared" si="28"/>
        <v/>
      </c>
      <c r="AF167" s="48" t="str">
        <f>IFERROR(INDEX(_TECH_Crisis_Model!$E$5:$E$191,MATCH('Crisis Simulator'!$B$4&amp;"|"&amp;$C167,_TECH_Crisis_Model!$I$5:$I$191,0)),"")</f>
        <v>Delivery capacity, SLA control and operational handover determine customer continuity.</v>
      </c>
      <c r="AG167" s="48" t="str">
        <f>IFERROR(INDEX(_TECH_Crisis_Model!$G$5:$G$191,MATCH('Crisis Simulator'!$B$4&amp;"|"&amp;$C167,_TECH_Crisis_Model!$I$5:$I$191,0)),"")</f>
        <v>Define alternative delivery models, capacity buffers, SLA triage and incident recovery procedures.</v>
      </c>
      <c r="AH167" s="48" t="str">
        <f>IFERROR(INDEX(_TECH_Initiative_Library!$A$5:$A$76,MATCH(1,INDEX((_TECH_Initiative_Library!$B$5:$B$76=$C167)*(_TECH_Initiative_Library!$C$5:$C$76=$D167),0),0)),"")</f>
        <v>INI-028</v>
      </c>
      <c r="AI167" s="48" t="str">
        <f>IFERROR(INDEX(_TECH_Initiative_Library!$F$5:$F$76,MATCH(1,INDEX((_TECH_Initiative_Library!$B$5:$B$76=$C167)*(_TECH_Initiative_Library!$C$5:$C$76=$D167),0),0)),"")</f>
        <v>Standardize delivery governance, ownership and escalation</v>
      </c>
      <c r="AJ167" s="48" t="str">
        <f ca="1">IFERROR(INDEX(_TECH_Initiative_Library!$AC$5:$AC$76,MATCH(1,INDEX((_TECH_Initiative_Library!$B$5:$B$76=$C167)*(_TECH_Initiative_Library!$C$5:$C$76=$D167),0),0)),"")</f>
        <v/>
      </c>
      <c r="AK167" s="48" t="str">
        <f ca="1">IFERROR(INDEX(_TECH_Initiative_Library!$AE$5:$AE$76,MATCH(1,INDEX((_TECH_Initiative_Library!$B$5:$B$76=$C167)*(_TECH_Initiative_Library!$C$5:$C$76=$D167),0),0)),"")</f>
        <v/>
      </c>
      <c r="AL167" s="48" t="str">
        <f>IF($B167="Yes",IFERROR(SUMIFS(_TECH_Industry_Templates!$E:$E,_TECH_Industry_Templates!$A:$A,'Company Profile'!$B$9,_TECH_Industry_Templates!$B:$B,$C167),1),"")</f>
        <v/>
      </c>
      <c r="AM167" s="48" t="str">
        <f t="shared" si="29"/>
        <v/>
      </c>
      <c r="AN167" s="48" t="str">
        <f>IF($AM167="","",RANK.EQ($AM167,$AM$8:$AM$414,0)+COUNTIF($AM$8:$AM167,$AM167)-1)</f>
        <v/>
      </c>
    </row>
    <row r="168" spans="1:40" ht="71.25">
      <c r="A168" s="28" t="str">
        <f>IF($AM168="","",RANK.EQ($AM168,$AM$8:$AM$414,0)+COUNTIF($AM$8:$AM168,$AM168)-1)</f>
        <v/>
      </c>
      <c r="B168" s="7" t="str">
        <f t="shared" si="20"/>
        <v/>
      </c>
      <c r="C168" s="7" t="s">
        <v>75</v>
      </c>
      <c r="D168" s="7" t="s">
        <v>1258</v>
      </c>
      <c r="E168" s="7" t="s">
        <v>3496</v>
      </c>
      <c r="F168" s="7" t="s">
        <v>3497</v>
      </c>
      <c r="G168" s="28" t="str">
        <f>IF(OR(COUNTA('Delivery Ops'!$H$6)=0,'Delivery Ops'!$H$6="N/A"),"",VALUE('Delivery Ops'!$H$6))</f>
        <v/>
      </c>
      <c r="H168" s="7" t="str">
        <f t="shared" si="21"/>
        <v/>
      </c>
      <c r="I168" s="7" t="str">
        <f>IF($G168="","",IFERROR(IF('Delivery Ops'!$L$6="",IF($G168&lt;=1,"Critical",IF($G168=2,"High",IF($G168=3,"Medium",IF($G168=4,"Low","Optimized")))),'Delivery Ops'!$L$6),IF($G168&lt;=1,"Critical",IF($G168=2,"High",IF($G168=3,"Medium",IF($G168=4,"Low","Optimized"))))))</f>
        <v/>
      </c>
      <c r="J168" s="7" t="str">
        <f>IF($G168="","",IFERROR(INDEX('Recommendation Matrix'!$E$5:$J$411,MATCH($E168,'Recommendation Matrix'!$A$5:$A$411,0),$G168+1),""))</f>
        <v/>
      </c>
      <c r="K168" s="7" t="str">
        <f>IF($G168="","",IFERROR(VLOOKUP($E168,'Recommendation Matrix'!$A$5:$K$411,11,FALSE),""))</f>
        <v/>
      </c>
      <c r="L168" s="28" t="str">
        <f t="shared" si="22"/>
        <v/>
      </c>
      <c r="M168" s="28" t="str">
        <f>IF($G168="","",IFERROR(INDEX('Recommendation Matrix'!$L$5:$Q$411,MATCH($E168,'Recommendation Matrix'!$A$5:$A$411,0),$G168+1),""))</f>
        <v/>
      </c>
      <c r="N168" s="28" t="str">
        <f t="shared" si="23"/>
        <v/>
      </c>
      <c r="O168" s="28" t="str">
        <f t="shared" si="24"/>
        <v/>
      </c>
      <c r="P168" s="28" t="str">
        <f t="shared" si="25"/>
        <v/>
      </c>
      <c r="Q168" s="28" t="str">
        <f t="shared" si="26"/>
        <v/>
      </c>
      <c r="R168" s="8" t="str">
        <f t="shared" si="27"/>
        <v/>
      </c>
      <c r="S168" s="28">
        <f>IFERROR('Delivery Ops'!$G$6,"")</f>
        <v>5</v>
      </c>
      <c r="T168" s="28">
        <f>IFERROR('Delivery Ops'!$W$6,"")</f>
        <v>4</v>
      </c>
      <c r="U168" s="28">
        <f>IFERROR('Delivery Ops'!$X$6,"")</f>
        <v>5</v>
      </c>
      <c r="V168" s="28">
        <f>IFERROR('Delivery Ops'!$Y$6,"")</f>
        <v>5</v>
      </c>
      <c r="W168" s="7" t="s">
        <v>3493</v>
      </c>
      <c r="X168" s="7" t="s">
        <v>3494</v>
      </c>
      <c r="Y168" s="7" t="s">
        <v>3498</v>
      </c>
      <c r="Z168" s="7">
        <f>IFERROR('Delivery Ops'!$U$6,"")</f>
        <v>0</v>
      </c>
      <c r="AA168" s="7"/>
      <c r="AB168" s="29"/>
      <c r="AC168" s="7"/>
      <c r="AD168" s="48" t="str">
        <f>IF($B168="Yes",IFERROR(SUMIFS(_TECH_Crisis_Model!$D$5:$D$191,_TECH_Crisis_Model!$A$5:$A$191,'Crisis Simulator'!$B$4,_TECH_Crisis_Model!$B$5:$B$191,$C168),1),"")</f>
        <v/>
      </c>
      <c r="AE168" s="48" t="str">
        <f t="shared" si="28"/>
        <v/>
      </c>
      <c r="AF168" s="48" t="str">
        <f>IFERROR(INDEX(_TECH_Crisis_Model!$E$5:$E$191,MATCH('Crisis Simulator'!$B$4&amp;"|"&amp;$C168,_TECH_Crisis_Model!$I$5:$I$191,0)),"")</f>
        <v>Delivery capacity, SLA control and operational handover determine customer continuity.</v>
      </c>
      <c r="AG168" s="48" t="str">
        <f>IFERROR(INDEX(_TECH_Crisis_Model!$G$5:$G$191,MATCH('Crisis Simulator'!$B$4&amp;"|"&amp;$C168,_TECH_Crisis_Model!$I$5:$I$191,0)),"")</f>
        <v>Define alternative delivery models, capacity buffers, SLA triage and incident recovery procedures.</v>
      </c>
      <c r="AH168" s="48" t="str">
        <f>IFERROR(INDEX(_TECH_Initiative_Library!$A$5:$A$76,MATCH(1,INDEX((_TECH_Initiative_Library!$B$5:$B$76=$C168)*(_TECH_Initiative_Library!$C$5:$C$76=$D168),0),0)),"")</f>
        <v>INI-028</v>
      </c>
      <c r="AI168" s="48" t="str">
        <f>IFERROR(INDEX(_TECH_Initiative_Library!$F$5:$F$76,MATCH(1,INDEX((_TECH_Initiative_Library!$B$5:$B$76=$C168)*(_TECH_Initiative_Library!$C$5:$C$76=$D168),0),0)),"")</f>
        <v>Standardize delivery governance, ownership and escalation</v>
      </c>
      <c r="AJ168" s="48" t="str">
        <f ca="1">IFERROR(INDEX(_TECH_Initiative_Library!$AC$5:$AC$76,MATCH(1,INDEX((_TECH_Initiative_Library!$B$5:$B$76=$C168)*(_TECH_Initiative_Library!$C$5:$C$76=$D168),0),0)),"")</f>
        <v/>
      </c>
      <c r="AK168" s="48" t="str">
        <f ca="1">IFERROR(INDEX(_TECH_Initiative_Library!$AE$5:$AE$76,MATCH(1,INDEX((_TECH_Initiative_Library!$B$5:$B$76=$C168)*(_TECH_Initiative_Library!$C$5:$C$76=$D168),0),0)),"")</f>
        <v/>
      </c>
      <c r="AL168" s="48" t="str">
        <f>IF($B168="Yes",IFERROR(SUMIFS(_TECH_Industry_Templates!$E:$E,_TECH_Industry_Templates!$A:$A,'Company Profile'!$B$9,_TECH_Industry_Templates!$B:$B,$C168),1),"")</f>
        <v/>
      </c>
      <c r="AM168" s="48" t="str">
        <f t="shared" si="29"/>
        <v/>
      </c>
      <c r="AN168" s="48" t="str">
        <f>IF($AM168="","",RANK.EQ($AM168,$AM$8:$AM$414,0)+COUNTIF($AM$8:$AM168,$AM168)-1)</f>
        <v/>
      </c>
    </row>
    <row r="169" spans="1:40" ht="71.25">
      <c r="A169" s="28" t="str">
        <f>IF($AM169="","",RANK.EQ($AM169,$AM$8:$AM$414,0)+COUNTIF($AM$8:$AM169,$AM169)-1)</f>
        <v/>
      </c>
      <c r="B169" s="7" t="str">
        <f t="shared" si="20"/>
        <v/>
      </c>
      <c r="C169" s="7" t="s">
        <v>75</v>
      </c>
      <c r="D169" s="7" t="s">
        <v>1258</v>
      </c>
      <c r="E169" s="7" t="s">
        <v>3506</v>
      </c>
      <c r="F169" s="7" t="s">
        <v>3507</v>
      </c>
      <c r="G169" s="28" t="str">
        <f>IF(OR(COUNTA('Delivery Ops'!$H$7)=0,'Delivery Ops'!$H$7="N/A"),"",VALUE('Delivery Ops'!$H$7))</f>
        <v/>
      </c>
      <c r="H169" s="7" t="str">
        <f t="shared" si="21"/>
        <v/>
      </c>
      <c r="I169" s="7" t="str">
        <f>IF($G169="","",IFERROR(IF('Delivery Ops'!$L$7="",IF($G169&lt;=1,"Critical",IF($G169=2,"High",IF($G169=3,"Medium",IF($G169=4,"Low","Optimized")))),'Delivery Ops'!$L$7),IF($G169&lt;=1,"Critical",IF($G169=2,"High",IF($G169=3,"Medium",IF($G169=4,"Low","Optimized"))))))</f>
        <v/>
      </c>
      <c r="J169" s="7" t="str">
        <f>IF($G169="","",IFERROR(INDEX('Recommendation Matrix'!$E$5:$J$411,MATCH($E169,'Recommendation Matrix'!$A$5:$A$411,0),$G169+1),""))</f>
        <v/>
      </c>
      <c r="K169" s="7" t="str">
        <f>IF($G169="","",IFERROR(VLOOKUP($E169,'Recommendation Matrix'!$A$5:$K$411,11,FALSE),""))</f>
        <v/>
      </c>
      <c r="L169" s="28" t="str">
        <f t="shared" si="22"/>
        <v/>
      </c>
      <c r="M169" s="28" t="str">
        <f>IF($G169="","",IFERROR(INDEX('Recommendation Matrix'!$L$5:$Q$411,MATCH($E169,'Recommendation Matrix'!$A$5:$A$411,0),$G169+1),""))</f>
        <v/>
      </c>
      <c r="N169" s="28" t="str">
        <f t="shared" si="23"/>
        <v/>
      </c>
      <c r="O169" s="28" t="str">
        <f t="shared" si="24"/>
        <v/>
      </c>
      <c r="P169" s="28" t="str">
        <f t="shared" si="25"/>
        <v/>
      </c>
      <c r="Q169" s="28" t="str">
        <f t="shared" si="26"/>
        <v/>
      </c>
      <c r="R169" s="8" t="str">
        <f t="shared" si="27"/>
        <v/>
      </c>
      <c r="S169" s="28">
        <f>IFERROR('Delivery Ops'!$G$7,"")</f>
        <v>4</v>
      </c>
      <c r="T169" s="28">
        <f>IFERROR('Delivery Ops'!$W$7,"")</f>
        <v>4</v>
      </c>
      <c r="U169" s="28">
        <f>IFERROR('Delivery Ops'!$X$7,"")</f>
        <v>5</v>
      </c>
      <c r="V169" s="28">
        <f>IFERROR('Delivery Ops'!$Y$7,"")</f>
        <v>5</v>
      </c>
      <c r="W169" s="7" t="s">
        <v>3493</v>
      </c>
      <c r="X169" s="7" t="s">
        <v>3494</v>
      </c>
      <c r="Y169" s="7" t="s">
        <v>3508</v>
      </c>
      <c r="Z169" s="7">
        <f>IFERROR('Delivery Ops'!$U$7,"")</f>
        <v>0</v>
      </c>
      <c r="AA169" s="7"/>
      <c r="AB169" s="29"/>
      <c r="AC169" s="7"/>
      <c r="AD169" s="48" t="str">
        <f>IF($B169="Yes",IFERROR(SUMIFS(_TECH_Crisis_Model!$D$5:$D$191,_TECH_Crisis_Model!$A$5:$A$191,'Crisis Simulator'!$B$4,_TECH_Crisis_Model!$B$5:$B$191,$C169),1),"")</f>
        <v/>
      </c>
      <c r="AE169" s="48" t="str">
        <f t="shared" si="28"/>
        <v/>
      </c>
      <c r="AF169" s="48" t="str">
        <f>IFERROR(INDEX(_TECH_Crisis_Model!$E$5:$E$191,MATCH('Crisis Simulator'!$B$4&amp;"|"&amp;$C169,_TECH_Crisis_Model!$I$5:$I$191,0)),"")</f>
        <v>Delivery capacity, SLA control and operational handover determine customer continuity.</v>
      </c>
      <c r="AG169" s="48" t="str">
        <f>IFERROR(INDEX(_TECH_Crisis_Model!$G$5:$G$191,MATCH('Crisis Simulator'!$B$4&amp;"|"&amp;$C169,_TECH_Crisis_Model!$I$5:$I$191,0)),"")</f>
        <v>Define alternative delivery models, capacity buffers, SLA triage and incident recovery procedures.</v>
      </c>
      <c r="AH169" s="48" t="str">
        <f>IFERROR(INDEX(_TECH_Initiative_Library!$A$5:$A$76,MATCH(1,INDEX((_TECH_Initiative_Library!$B$5:$B$76=$C169)*(_TECH_Initiative_Library!$C$5:$C$76=$D169),0),0)),"")</f>
        <v>INI-028</v>
      </c>
      <c r="AI169" s="48" t="str">
        <f>IFERROR(INDEX(_TECH_Initiative_Library!$F$5:$F$76,MATCH(1,INDEX((_TECH_Initiative_Library!$B$5:$B$76=$C169)*(_TECH_Initiative_Library!$C$5:$C$76=$D169),0),0)),"")</f>
        <v>Standardize delivery governance, ownership and escalation</v>
      </c>
      <c r="AJ169" s="48" t="str">
        <f ca="1">IFERROR(INDEX(_TECH_Initiative_Library!$AC$5:$AC$76,MATCH(1,INDEX((_TECH_Initiative_Library!$B$5:$B$76=$C169)*(_TECH_Initiative_Library!$C$5:$C$76=$D169),0),0)),"")</f>
        <v/>
      </c>
      <c r="AK169" s="48" t="str">
        <f ca="1">IFERROR(INDEX(_TECH_Initiative_Library!$AE$5:$AE$76,MATCH(1,INDEX((_TECH_Initiative_Library!$B$5:$B$76=$C169)*(_TECH_Initiative_Library!$C$5:$C$76=$D169),0),0)),"")</f>
        <v/>
      </c>
      <c r="AL169" s="48" t="str">
        <f>IF($B169="Yes",IFERROR(SUMIFS(_TECH_Industry_Templates!$E:$E,_TECH_Industry_Templates!$A:$A,'Company Profile'!$B$9,_TECH_Industry_Templates!$B:$B,$C169),1),"")</f>
        <v/>
      </c>
      <c r="AM169" s="48" t="str">
        <f t="shared" si="29"/>
        <v/>
      </c>
      <c r="AN169" s="48" t="str">
        <f>IF($AM169="","",RANK.EQ($AM169,$AM$8:$AM$414,0)+COUNTIF($AM$8:$AM169,$AM169)-1)</f>
        <v/>
      </c>
    </row>
    <row r="170" spans="1:40" ht="85.5">
      <c r="A170" s="28" t="str">
        <f>IF($AM170="","",RANK.EQ($AM170,$AM$8:$AM$414,0)+COUNTIF($AM$8:$AM170,$AM170)-1)</f>
        <v/>
      </c>
      <c r="B170" s="7" t="str">
        <f t="shared" si="20"/>
        <v/>
      </c>
      <c r="C170" s="7" t="s">
        <v>75</v>
      </c>
      <c r="D170" s="7" t="s">
        <v>1258</v>
      </c>
      <c r="E170" s="7" t="s">
        <v>3516</v>
      </c>
      <c r="F170" s="7" t="s">
        <v>3517</v>
      </c>
      <c r="G170" s="28" t="str">
        <f>IF(OR(COUNTA('Delivery Ops'!$H$8)=0,'Delivery Ops'!$H$8="N/A"),"",VALUE('Delivery Ops'!$H$8))</f>
        <v/>
      </c>
      <c r="H170" s="7" t="str">
        <f t="shared" si="21"/>
        <v/>
      </c>
      <c r="I170" s="7" t="str">
        <f>IF($G170="","",IFERROR(IF('Delivery Ops'!$L$8="",IF($G170&lt;=1,"Critical",IF($G170=2,"High",IF($G170=3,"Medium",IF($G170=4,"Low","Optimized")))),'Delivery Ops'!$L$8),IF($G170&lt;=1,"Critical",IF($G170=2,"High",IF($G170=3,"Medium",IF($G170=4,"Low","Optimized"))))))</f>
        <v/>
      </c>
      <c r="J170" s="7" t="str">
        <f>IF($G170="","",IFERROR(INDEX('Recommendation Matrix'!$E$5:$J$411,MATCH($E170,'Recommendation Matrix'!$A$5:$A$411,0),$G170+1),""))</f>
        <v/>
      </c>
      <c r="K170" s="7" t="str">
        <f>IF($G170="","",IFERROR(VLOOKUP($E170,'Recommendation Matrix'!$A$5:$K$411,11,FALSE),""))</f>
        <v/>
      </c>
      <c r="L170" s="28" t="str">
        <f t="shared" si="22"/>
        <v/>
      </c>
      <c r="M170" s="28" t="str">
        <f>IF($G170="","",IFERROR(INDEX('Recommendation Matrix'!$L$5:$Q$411,MATCH($E170,'Recommendation Matrix'!$A$5:$A$411,0),$G170+1),""))</f>
        <v/>
      </c>
      <c r="N170" s="28" t="str">
        <f t="shared" si="23"/>
        <v/>
      </c>
      <c r="O170" s="28" t="str">
        <f t="shared" si="24"/>
        <v/>
      </c>
      <c r="P170" s="28" t="str">
        <f t="shared" si="25"/>
        <v/>
      </c>
      <c r="Q170" s="28" t="str">
        <f t="shared" si="26"/>
        <v/>
      </c>
      <c r="R170" s="8" t="str">
        <f t="shared" si="27"/>
        <v/>
      </c>
      <c r="S170" s="28">
        <f>IFERROR('Delivery Ops'!$G$8,"")</f>
        <v>5</v>
      </c>
      <c r="T170" s="28">
        <f>IFERROR('Delivery Ops'!$W$8,"")</f>
        <v>4</v>
      </c>
      <c r="U170" s="28">
        <f>IFERROR('Delivery Ops'!$X$8,"")</f>
        <v>5</v>
      </c>
      <c r="V170" s="28">
        <f>IFERROR('Delivery Ops'!$Y$8,"")</f>
        <v>5</v>
      </c>
      <c r="W170" s="7" t="s">
        <v>3493</v>
      </c>
      <c r="X170" s="7" t="s">
        <v>3494</v>
      </c>
      <c r="Y170" s="7" t="s">
        <v>3518</v>
      </c>
      <c r="Z170" s="7">
        <f>IFERROR('Delivery Ops'!$U$8,"")</f>
        <v>0</v>
      </c>
      <c r="AA170" s="7"/>
      <c r="AB170" s="29"/>
      <c r="AC170" s="7"/>
      <c r="AD170" s="48" t="str">
        <f>IF($B170="Yes",IFERROR(SUMIFS(_TECH_Crisis_Model!$D$5:$D$191,_TECH_Crisis_Model!$A$5:$A$191,'Crisis Simulator'!$B$4,_TECH_Crisis_Model!$B$5:$B$191,$C170),1),"")</f>
        <v/>
      </c>
      <c r="AE170" s="48" t="str">
        <f t="shared" si="28"/>
        <v/>
      </c>
      <c r="AF170" s="48" t="str">
        <f>IFERROR(INDEX(_TECH_Crisis_Model!$E$5:$E$191,MATCH('Crisis Simulator'!$B$4&amp;"|"&amp;$C170,_TECH_Crisis_Model!$I$5:$I$191,0)),"")</f>
        <v>Delivery capacity, SLA control and operational handover determine customer continuity.</v>
      </c>
      <c r="AG170" s="48" t="str">
        <f>IFERROR(INDEX(_TECH_Crisis_Model!$G$5:$G$191,MATCH('Crisis Simulator'!$B$4&amp;"|"&amp;$C170,_TECH_Crisis_Model!$I$5:$I$191,0)),"")</f>
        <v>Define alternative delivery models, capacity buffers, SLA triage and incident recovery procedures.</v>
      </c>
      <c r="AH170" s="48" t="str">
        <f>IFERROR(INDEX(_TECH_Initiative_Library!$A$5:$A$76,MATCH(1,INDEX((_TECH_Initiative_Library!$B$5:$B$76=$C170)*(_TECH_Initiative_Library!$C$5:$C$76=$D170),0),0)),"")</f>
        <v>INI-028</v>
      </c>
      <c r="AI170" s="48" t="str">
        <f>IFERROR(INDEX(_TECH_Initiative_Library!$F$5:$F$76,MATCH(1,INDEX((_TECH_Initiative_Library!$B$5:$B$76=$C170)*(_TECH_Initiative_Library!$C$5:$C$76=$D170),0),0)),"")</f>
        <v>Standardize delivery governance, ownership and escalation</v>
      </c>
      <c r="AJ170" s="48" t="str">
        <f ca="1">IFERROR(INDEX(_TECH_Initiative_Library!$AC$5:$AC$76,MATCH(1,INDEX((_TECH_Initiative_Library!$B$5:$B$76=$C170)*(_TECH_Initiative_Library!$C$5:$C$76=$D170),0),0)),"")</f>
        <v/>
      </c>
      <c r="AK170" s="48" t="str">
        <f ca="1">IFERROR(INDEX(_TECH_Initiative_Library!$AE$5:$AE$76,MATCH(1,INDEX((_TECH_Initiative_Library!$B$5:$B$76=$C170)*(_TECH_Initiative_Library!$C$5:$C$76=$D170),0),0)),"")</f>
        <v/>
      </c>
      <c r="AL170" s="48" t="str">
        <f>IF($B170="Yes",IFERROR(SUMIFS(_TECH_Industry_Templates!$E:$E,_TECH_Industry_Templates!$A:$A,'Company Profile'!$B$9,_TECH_Industry_Templates!$B:$B,$C170),1),"")</f>
        <v/>
      </c>
      <c r="AM170" s="48" t="str">
        <f t="shared" si="29"/>
        <v/>
      </c>
      <c r="AN170" s="48" t="str">
        <f>IF($AM170="","",RANK.EQ($AM170,$AM$8:$AM$414,0)+COUNTIF($AM$8:$AM170,$AM170)-1)</f>
        <v/>
      </c>
    </row>
    <row r="171" spans="1:40" ht="57">
      <c r="A171" s="28" t="str">
        <f>IF($AM171="","",RANK.EQ($AM171,$AM$8:$AM$414,0)+COUNTIF($AM$8:$AM171,$AM171)-1)</f>
        <v/>
      </c>
      <c r="B171" s="7" t="str">
        <f t="shared" si="20"/>
        <v/>
      </c>
      <c r="C171" s="7" t="s">
        <v>75</v>
      </c>
      <c r="D171" s="7" t="s">
        <v>1258</v>
      </c>
      <c r="E171" s="7" t="s">
        <v>3526</v>
      </c>
      <c r="F171" s="7" t="s">
        <v>3527</v>
      </c>
      <c r="G171" s="28" t="str">
        <f>IF(OR(COUNTA('Delivery Ops'!$H$9)=0,'Delivery Ops'!$H$9="N/A"),"",VALUE('Delivery Ops'!$H$9))</f>
        <v/>
      </c>
      <c r="H171" s="7" t="str">
        <f t="shared" si="21"/>
        <v/>
      </c>
      <c r="I171" s="7" t="str">
        <f>IF($G171="","",IFERROR(IF('Delivery Ops'!$L$9="",IF($G171&lt;=1,"Critical",IF($G171=2,"High",IF($G171=3,"Medium",IF($G171=4,"Low","Optimized")))),'Delivery Ops'!$L$9),IF($G171&lt;=1,"Critical",IF($G171=2,"High",IF($G171=3,"Medium",IF($G171=4,"Low","Optimized"))))))</f>
        <v/>
      </c>
      <c r="J171" s="7" t="str">
        <f>IF($G171="","",IFERROR(INDEX('Recommendation Matrix'!$E$5:$J$411,MATCH($E171,'Recommendation Matrix'!$A$5:$A$411,0),$G171+1),""))</f>
        <v/>
      </c>
      <c r="K171" s="7" t="str">
        <f>IF($G171="","",IFERROR(VLOOKUP($E171,'Recommendation Matrix'!$A$5:$K$411,11,FALSE),""))</f>
        <v/>
      </c>
      <c r="L171" s="28" t="str">
        <f t="shared" si="22"/>
        <v/>
      </c>
      <c r="M171" s="28" t="str">
        <f>IF($G171="","",IFERROR(INDEX('Recommendation Matrix'!$L$5:$Q$411,MATCH($E171,'Recommendation Matrix'!$A$5:$A$411,0),$G171+1),""))</f>
        <v/>
      </c>
      <c r="N171" s="28" t="str">
        <f t="shared" si="23"/>
        <v/>
      </c>
      <c r="O171" s="28" t="str">
        <f t="shared" si="24"/>
        <v/>
      </c>
      <c r="P171" s="28" t="str">
        <f t="shared" si="25"/>
        <v/>
      </c>
      <c r="Q171" s="28" t="str">
        <f t="shared" si="26"/>
        <v/>
      </c>
      <c r="R171" s="8" t="str">
        <f t="shared" si="27"/>
        <v/>
      </c>
      <c r="S171" s="28">
        <f>IFERROR('Delivery Ops'!$G$9,"")</f>
        <v>4</v>
      </c>
      <c r="T171" s="28">
        <f>IFERROR('Delivery Ops'!$W$9,"")</f>
        <v>4</v>
      </c>
      <c r="U171" s="28">
        <f>IFERROR('Delivery Ops'!$X$9,"")</f>
        <v>5</v>
      </c>
      <c r="V171" s="28">
        <f>IFERROR('Delivery Ops'!$Y$9,"")</f>
        <v>5</v>
      </c>
      <c r="W171" s="7" t="s">
        <v>3493</v>
      </c>
      <c r="X171" s="7" t="s">
        <v>3494</v>
      </c>
      <c r="Y171" s="7" t="s">
        <v>3528</v>
      </c>
      <c r="Z171" s="7">
        <f>IFERROR('Delivery Ops'!$U$9,"")</f>
        <v>0</v>
      </c>
      <c r="AA171" s="7"/>
      <c r="AB171" s="29"/>
      <c r="AC171" s="7"/>
      <c r="AD171" s="48" t="str">
        <f>IF($B171="Yes",IFERROR(SUMIFS(_TECH_Crisis_Model!$D$5:$D$191,_TECH_Crisis_Model!$A$5:$A$191,'Crisis Simulator'!$B$4,_TECH_Crisis_Model!$B$5:$B$191,$C171),1),"")</f>
        <v/>
      </c>
      <c r="AE171" s="48" t="str">
        <f t="shared" si="28"/>
        <v/>
      </c>
      <c r="AF171" s="48" t="str">
        <f>IFERROR(INDEX(_TECH_Crisis_Model!$E$5:$E$191,MATCH('Crisis Simulator'!$B$4&amp;"|"&amp;$C171,_TECH_Crisis_Model!$I$5:$I$191,0)),"")</f>
        <v>Delivery capacity, SLA control and operational handover determine customer continuity.</v>
      </c>
      <c r="AG171" s="48" t="str">
        <f>IFERROR(INDEX(_TECH_Crisis_Model!$G$5:$G$191,MATCH('Crisis Simulator'!$B$4&amp;"|"&amp;$C171,_TECH_Crisis_Model!$I$5:$I$191,0)),"")</f>
        <v>Define alternative delivery models, capacity buffers, SLA triage and incident recovery procedures.</v>
      </c>
      <c r="AH171" s="48" t="str">
        <f>IFERROR(INDEX(_TECH_Initiative_Library!$A$5:$A$76,MATCH(1,INDEX((_TECH_Initiative_Library!$B$5:$B$76=$C171)*(_TECH_Initiative_Library!$C$5:$C$76=$D171),0),0)),"")</f>
        <v>INI-028</v>
      </c>
      <c r="AI171" s="48" t="str">
        <f>IFERROR(INDEX(_TECH_Initiative_Library!$F$5:$F$76,MATCH(1,INDEX((_TECH_Initiative_Library!$B$5:$B$76=$C171)*(_TECH_Initiative_Library!$C$5:$C$76=$D171),0),0)),"")</f>
        <v>Standardize delivery governance, ownership and escalation</v>
      </c>
      <c r="AJ171" s="48" t="str">
        <f ca="1">IFERROR(INDEX(_TECH_Initiative_Library!$AC$5:$AC$76,MATCH(1,INDEX((_TECH_Initiative_Library!$B$5:$B$76=$C171)*(_TECH_Initiative_Library!$C$5:$C$76=$D171),0),0)),"")</f>
        <v/>
      </c>
      <c r="AK171" s="48" t="str">
        <f ca="1">IFERROR(INDEX(_TECH_Initiative_Library!$AE$5:$AE$76,MATCH(1,INDEX((_TECH_Initiative_Library!$B$5:$B$76=$C171)*(_TECH_Initiative_Library!$C$5:$C$76=$D171),0),0)),"")</f>
        <v/>
      </c>
      <c r="AL171" s="48" t="str">
        <f>IF($B171="Yes",IFERROR(SUMIFS(_TECH_Industry_Templates!$E:$E,_TECH_Industry_Templates!$A:$A,'Company Profile'!$B$9,_TECH_Industry_Templates!$B:$B,$C171),1),"")</f>
        <v/>
      </c>
      <c r="AM171" s="48" t="str">
        <f t="shared" si="29"/>
        <v/>
      </c>
      <c r="AN171" s="48" t="str">
        <f>IF($AM171="","",RANK.EQ($AM171,$AM$8:$AM$414,0)+COUNTIF($AM$8:$AM171,$AM171)-1)</f>
        <v/>
      </c>
    </row>
    <row r="172" spans="1:40" ht="71.25">
      <c r="A172" s="28" t="str">
        <f>IF($AM172="","",RANK.EQ($AM172,$AM$8:$AM$414,0)+COUNTIF($AM$8:$AM172,$AM172)-1)</f>
        <v/>
      </c>
      <c r="B172" s="7" t="str">
        <f t="shared" si="20"/>
        <v/>
      </c>
      <c r="C172" s="7" t="s">
        <v>75</v>
      </c>
      <c r="D172" s="7" t="s">
        <v>1258</v>
      </c>
      <c r="E172" s="7" t="s">
        <v>3536</v>
      </c>
      <c r="F172" s="7" t="s">
        <v>3537</v>
      </c>
      <c r="G172" s="28" t="str">
        <f>IF(OR(COUNTA('Delivery Ops'!$H$10)=0,'Delivery Ops'!$H$10="N/A"),"",VALUE('Delivery Ops'!$H$10))</f>
        <v/>
      </c>
      <c r="H172" s="7" t="str">
        <f t="shared" si="21"/>
        <v/>
      </c>
      <c r="I172" s="7" t="str">
        <f>IF($G172="","",IFERROR(IF('Delivery Ops'!$L$10="",IF($G172&lt;=1,"Critical",IF($G172=2,"High",IF($G172=3,"Medium",IF($G172=4,"Low","Optimized")))),'Delivery Ops'!$L$10),IF($G172&lt;=1,"Critical",IF($G172=2,"High",IF($G172=3,"Medium",IF($G172=4,"Low","Optimized"))))))</f>
        <v/>
      </c>
      <c r="J172" s="7" t="str">
        <f>IF($G172="","",IFERROR(INDEX('Recommendation Matrix'!$E$5:$J$411,MATCH($E172,'Recommendation Matrix'!$A$5:$A$411,0),$G172+1),""))</f>
        <v/>
      </c>
      <c r="K172" s="7" t="str">
        <f>IF($G172="","",IFERROR(VLOOKUP($E172,'Recommendation Matrix'!$A$5:$K$411,11,FALSE),""))</f>
        <v/>
      </c>
      <c r="L172" s="28" t="str">
        <f t="shared" si="22"/>
        <v/>
      </c>
      <c r="M172" s="28" t="str">
        <f>IF($G172="","",IFERROR(INDEX('Recommendation Matrix'!$L$5:$Q$411,MATCH($E172,'Recommendation Matrix'!$A$5:$A$411,0),$G172+1),""))</f>
        <v/>
      </c>
      <c r="N172" s="28" t="str">
        <f t="shared" si="23"/>
        <v/>
      </c>
      <c r="O172" s="28" t="str">
        <f t="shared" si="24"/>
        <v/>
      </c>
      <c r="P172" s="28" t="str">
        <f t="shared" si="25"/>
        <v/>
      </c>
      <c r="Q172" s="28" t="str">
        <f t="shared" si="26"/>
        <v/>
      </c>
      <c r="R172" s="8" t="str">
        <f t="shared" si="27"/>
        <v/>
      </c>
      <c r="S172" s="28">
        <f>IFERROR('Delivery Ops'!$G$10,"")</f>
        <v>5</v>
      </c>
      <c r="T172" s="28">
        <f>IFERROR('Delivery Ops'!$W$10,"")</f>
        <v>4</v>
      </c>
      <c r="U172" s="28">
        <f>IFERROR('Delivery Ops'!$X$10,"")</f>
        <v>5</v>
      </c>
      <c r="V172" s="28">
        <f>IFERROR('Delivery Ops'!$Y$10,"")</f>
        <v>5</v>
      </c>
      <c r="W172" s="7" t="s">
        <v>3493</v>
      </c>
      <c r="X172" s="7" t="s">
        <v>3494</v>
      </c>
      <c r="Y172" s="7" t="s">
        <v>3538</v>
      </c>
      <c r="Z172" s="7">
        <f>IFERROR('Delivery Ops'!$U$10,"")</f>
        <v>0</v>
      </c>
      <c r="AA172" s="7"/>
      <c r="AB172" s="29"/>
      <c r="AC172" s="7"/>
      <c r="AD172" s="48" t="str">
        <f>IF($B172="Yes",IFERROR(SUMIFS(_TECH_Crisis_Model!$D$5:$D$191,_TECH_Crisis_Model!$A$5:$A$191,'Crisis Simulator'!$B$4,_TECH_Crisis_Model!$B$5:$B$191,$C172),1),"")</f>
        <v/>
      </c>
      <c r="AE172" s="48" t="str">
        <f t="shared" si="28"/>
        <v/>
      </c>
      <c r="AF172" s="48" t="str">
        <f>IFERROR(INDEX(_TECH_Crisis_Model!$E$5:$E$191,MATCH('Crisis Simulator'!$B$4&amp;"|"&amp;$C172,_TECH_Crisis_Model!$I$5:$I$191,0)),"")</f>
        <v>Delivery capacity, SLA control and operational handover determine customer continuity.</v>
      </c>
      <c r="AG172" s="48" t="str">
        <f>IFERROR(INDEX(_TECH_Crisis_Model!$G$5:$G$191,MATCH('Crisis Simulator'!$B$4&amp;"|"&amp;$C172,_TECH_Crisis_Model!$I$5:$I$191,0)),"")</f>
        <v>Define alternative delivery models, capacity buffers, SLA triage and incident recovery procedures.</v>
      </c>
      <c r="AH172" s="48" t="str">
        <f>IFERROR(INDEX(_TECH_Initiative_Library!$A$5:$A$76,MATCH(1,INDEX((_TECH_Initiative_Library!$B$5:$B$76=$C172)*(_TECH_Initiative_Library!$C$5:$C$76=$D172),0),0)),"")</f>
        <v>INI-028</v>
      </c>
      <c r="AI172" s="48" t="str">
        <f>IFERROR(INDEX(_TECH_Initiative_Library!$F$5:$F$76,MATCH(1,INDEX((_TECH_Initiative_Library!$B$5:$B$76=$C172)*(_TECH_Initiative_Library!$C$5:$C$76=$D172),0),0)),"")</f>
        <v>Standardize delivery governance, ownership and escalation</v>
      </c>
      <c r="AJ172" s="48" t="str">
        <f ca="1">IFERROR(INDEX(_TECH_Initiative_Library!$AC$5:$AC$76,MATCH(1,INDEX((_TECH_Initiative_Library!$B$5:$B$76=$C172)*(_TECH_Initiative_Library!$C$5:$C$76=$D172),0),0)),"")</f>
        <v/>
      </c>
      <c r="AK172" s="48" t="str">
        <f ca="1">IFERROR(INDEX(_TECH_Initiative_Library!$AE$5:$AE$76,MATCH(1,INDEX((_TECH_Initiative_Library!$B$5:$B$76=$C172)*(_TECH_Initiative_Library!$C$5:$C$76=$D172),0),0)),"")</f>
        <v/>
      </c>
      <c r="AL172" s="48" t="str">
        <f>IF($B172="Yes",IFERROR(SUMIFS(_TECH_Industry_Templates!$E:$E,_TECH_Industry_Templates!$A:$A,'Company Profile'!$B$9,_TECH_Industry_Templates!$B:$B,$C172),1),"")</f>
        <v/>
      </c>
      <c r="AM172" s="48" t="str">
        <f t="shared" si="29"/>
        <v/>
      </c>
      <c r="AN172" s="48" t="str">
        <f>IF($AM172="","",RANK.EQ($AM172,$AM$8:$AM$414,0)+COUNTIF($AM$8:$AM172,$AM172)-1)</f>
        <v/>
      </c>
    </row>
    <row r="173" spans="1:40" ht="85.5">
      <c r="A173" s="28" t="str">
        <f>IF($AM173="","",RANK.EQ($AM173,$AM$8:$AM$414,0)+COUNTIF($AM$8:$AM173,$AM173)-1)</f>
        <v/>
      </c>
      <c r="B173" s="7" t="str">
        <f t="shared" si="20"/>
        <v/>
      </c>
      <c r="C173" s="7" t="s">
        <v>75</v>
      </c>
      <c r="D173" s="7" t="s">
        <v>1272</v>
      </c>
      <c r="E173" s="7" t="s">
        <v>3546</v>
      </c>
      <c r="F173" s="7" t="s">
        <v>3547</v>
      </c>
      <c r="G173" s="28" t="str">
        <f>IF(OR(COUNTA('Delivery Ops'!$H$11)=0,'Delivery Ops'!$H$11="N/A"),"",VALUE('Delivery Ops'!$H$11))</f>
        <v/>
      </c>
      <c r="H173" s="7" t="str">
        <f t="shared" si="21"/>
        <v/>
      </c>
      <c r="I173" s="7" t="str">
        <f>IF($G173="","",IFERROR(IF('Delivery Ops'!$L$11="",IF($G173&lt;=1,"Critical",IF($G173=2,"High",IF($G173=3,"Medium",IF($G173=4,"Low","Optimized")))),'Delivery Ops'!$L$11),IF($G173&lt;=1,"Critical",IF($G173=2,"High",IF($G173=3,"Medium",IF($G173=4,"Low","Optimized"))))))</f>
        <v/>
      </c>
      <c r="J173" s="7" t="str">
        <f>IF($G173="","",IFERROR(INDEX('Recommendation Matrix'!$E$5:$J$411,MATCH($E173,'Recommendation Matrix'!$A$5:$A$411,0),$G173+1),""))</f>
        <v/>
      </c>
      <c r="K173" s="7" t="str">
        <f>IF($G173="","",IFERROR(VLOOKUP($E173,'Recommendation Matrix'!$A$5:$K$411,11,FALSE),""))</f>
        <v/>
      </c>
      <c r="L173" s="28" t="str">
        <f t="shared" si="22"/>
        <v/>
      </c>
      <c r="M173" s="28" t="str">
        <f>IF($G173="","",IFERROR(INDEX('Recommendation Matrix'!$L$5:$Q$411,MATCH($E173,'Recommendation Matrix'!$A$5:$A$411,0),$G173+1),""))</f>
        <v/>
      </c>
      <c r="N173" s="28" t="str">
        <f t="shared" si="23"/>
        <v/>
      </c>
      <c r="O173" s="28" t="str">
        <f t="shared" si="24"/>
        <v/>
      </c>
      <c r="P173" s="28" t="str">
        <f t="shared" si="25"/>
        <v/>
      </c>
      <c r="Q173" s="28" t="str">
        <f t="shared" si="26"/>
        <v/>
      </c>
      <c r="R173" s="8" t="str">
        <f t="shared" si="27"/>
        <v/>
      </c>
      <c r="S173" s="28">
        <f>IFERROR('Delivery Ops'!$G$11,"")</f>
        <v>5</v>
      </c>
      <c r="T173" s="28">
        <f>IFERROR('Delivery Ops'!$W$11,"")</f>
        <v>5</v>
      </c>
      <c r="U173" s="28">
        <f>IFERROR('Delivery Ops'!$X$11,"")</f>
        <v>5</v>
      </c>
      <c r="V173" s="28">
        <f>IFERROR('Delivery Ops'!$Y$11,"")</f>
        <v>5</v>
      </c>
      <c r="W173" s="7" t="s">
        <v>3493</v>
      </c>
      <c r="X173" s="7" t="s">
        <v>3494</v>
      </c>
      <c r="Y173" s="7" t="s">
        <v>3548</v>
      </c>
      <c r="Z173" s="7">
        <f>IFERROR('Delivery Ops'!$U$11,"")</f>
        <v>0</v>
      </c>
      <c r="AA173" s="7"/>
      <c r="AB173" s="29"/>
      <c r="AC173" s="7"/>
      <c r="AD173" s="48" t="str">
        <f>IF($B173="Yes",IFERROR(SUMIFS(_TECH_Crisis_Model!$D$5:$D$191,_TECH_Crisis_Model!$A$5:$A$191,'Crisis Simulator'!$B$4,_TECH_Crisis_Model!$B$5:$B$191,$C173),1),"")</f>
        <v/>
      </c>
      <c r="AE173" s="48" t="str">
        <f t="shared" si="28"/>
        <v/>
      </c>
      <c r="AF173" s="48" t="str">
        <f>IFERROR(INDEX(_TECH_Crisis_Model!$E$5:$E$191,MATCH('Crisis Simulator'!$B$4&amp;"|"&amp;$C173,_TECH_Crisis_Model!$I$5:$I$191,0)),"")</f>
        <v>Delivery capacity, SLA control and operational handover determine customer continuity.</v>
      </c>
      <c r="AG173" s="48" t="str">
        <f>IFERROR(INDEX(_TECH_Crisis_Model!$G$5:$G$191,MATCH('Crisis Simulator'!$B$4&amp;"|"&amp;$C173,_TECH_Crisis_Model!$I$5:$I$191,0)),"")</f>
        <v>Define alternative delivery models, capacity buffers, SLA triage and incident recovery procedures.</v>
      </c>
      <c r="AH173" s="48" t="str">
        <f>IFERROR(INDEX(_TECH_Initiative_Library!$A$5:$A$76,MATCH(1,INDEX((_TECH_Initiative_Library!$B$5:$B$76=$C173)*(_TECH_Initiative_Library!$C$5:$C$76=$D173),0),0)),"")</f>
        <v>INI-029</v>
      </c>
      <c r="AI173" s="48" t="str">
        <f>IFERROR(INDEX(_TECH_Initiative_Library!$F$5:$F$76,MATCH(1,INDEX((_TECH_Initiative_Library!$B$5:$B$76=$C173)*(_TECH_Initiative_Library!$C$5:$C$76=$D173),0),0)),"")</f>
        <v>Build capacity resilience and delivery continuity model</v>
      </c>
      <c r="AJ173" s="48" t="str">
        <f ca="1">IFERROR(INDEX(_TECH_Initiative_Library!$AC$5:$AC$76,MATCH(1,INDEX((_TECH_Initiative_Library!$B$5:$B$76=$C173)*(_TECH_Initiative_Library!$C$5:$C$76=$D173),0),0)),"")</f>
        <v/>
      </c>
      <c r="AK173" s="48" t="str">
        <f ca="1">IFERROR(INDEX(_TECH_Initiative_Library!$AE$5:$AE$76,MATCH(1,INDEX((_TECH_Initiative_Library!$B$5:$B$76=$C173)*(_TECH_Initiative_Library!$C$5:$C$76=$D173),0),0)),"")</f>
        <v/>
      </c>
      <c r="AL173" s="48" t="str">
        <f>IF($B173="Yes",IFERROR(SUMIFS(_TECH_Industry_Templates!$E:$E,_TECH_Industry_Templates!$A:$A,'Company Profile'!$B$9,_TECH_Industry_Templates!$B:$B,$C173),1),"")</f>
        <v/>
      </c>
      <c r="AM173" s="48" t="str">
        <f t="shared" si="29"/>
        <v/>
      </c>
      <c r="AN173" s="48" t="str">
        <f>IF($AM173="","",RANK.EQ($AM173,$AM$8:$AM$414,0)+COUNTIF($AM$8:$AM173,$AM173)-1)</f>
        <v/>
      </c>
    </row>
    <row r="174" spans="1:40" ht="71.25">
      <c r="A174" s="28" t="str">
        <f>IF($AM174="","",RANK.EQ($AM174,$AM$8:$AM$414,0)+COUNTIF($AM$8:$AM174,$AM174)-1)</f>
        <v/>
      </c>
      <c r="B174" s="7" t="str">
        <f t="shared" si="20"/>
        <v/>
      </c>
      <c r="C174" s="7" t="s">
        <v>75</v>
      </c>
      <c r="D174" s="7" t="s">
        <v>1272</v>
      </c>
      <c r="E174" s="7" t="s">
        <v>3556</v>
      </c>
      <c r="F174" s="7" t="s">
        <v>3557</v>
      </c>
      <c r="G174" s="28" t="str">
        <f>IF(OR(COUNTA('Delivery Ops'!$H$12)=0,'Delivery Ops'!$H$12="N/A"),"",VALUE('Delivery Ops'!$H$12))</f>
        <v/>
      </c>
      <c r="H174" s="7" t="str">
        <f t="shared" si="21"/>
        <v/>
      </c>
      <c r="I174" s="7" t="str">
        <f>IF($G174="","",IFERROR(IF('Delivery Ops'!$L$12="",IF($G174&lt;=1,"Critical",IF($G174=2,"High",IF($G174=3,"Medium",IF($G174=4,"Low","Optimized")))),'Delivery Ops'!$L$12),IF($G174&lt;=1,"Critical",IF($G174=2,"High",IF($G174=3,"Medium",IF($G174=4,"Low","Optimized"))))))</f>
        <v/>
      </c>
      <c r="J174" s="7" t="str">
        <f>IF($G174="","",IFERROR(INDEX('Recommendation Matrix'!$E$5:$J$411,MATCH($E174,'Recommendation Matrix'!$A$5:$A$411,0),$G174+1),""))</f>
        <v/>
      </c>
      <c r="K174" s="7" t="str">
        <f>IF($G174="","",IFERROR(VLOOKUP($E174,'Recommendation Matrix'!$A$5:$K$411,11,FALSE),""))</f>
        <v/>
      </c>
      <c r="L174" s="28" t="str">
        <f t="shared" si="22"/>
        <v/>
      </c>
      <c r="M174" s="28" t="str">
        <f>IF($G174="","",IFERROR(INDEX('Recommendation Matrix'!$L$5:$Q$411,MATCH($E174,'Recommendation Matrix'!$A$5:$A$411,0),$G174+1),""))</f>
        <v/>
      </c>
      <c r="N174" s="28" t="str">
        <f t="shared" si="23"/>
        <v/>
      </c>
      <c r="O174" s="28" t="str">
        <f t="shared" si="24"/>
        <v/>
      </c>
      <c r="P174" s="28" t="str">
        <f t="shared" si="25"/>
        <v/>
      </c>
      <c r="Q174" s="28" t="str">
        <f t="shared" si="26"/>
        <v/>
      </c>
      <c r="R174" s="8" t="str">
        <f t="shared" si="27"/>
        <v/>
      </c>
      <c r="S174" s="28">
        <f>IFERROR('Delivery Ops'!$G$12,"")</f>
        <v>5</v>
      </c>
      <c r="T174" s="28">
        <f>IFERROR('Delivery Ops'!$W$12,"")</f>
        <v>4</v>
      </c>
      <c r="U174" s="28">
        <f>IFERROR('Delivery Ops'!$X$12,"")</f>
        <v>5</v>
      </c>
      <c r="V174" s="28">
        <f>IFERROR('Delivery Ops'!$Y$12,"")</f>
        <v>5</v>
      </c>
      <c r="W174" s="7" t="s">
        <v>3493</v>
      </c>
      <c r="X174" s="7" t="s">
        <v>3494</v>
      </c>
      <c r="Y174" s="7" t="s">
        <v>3558</v>
      </c>
      <c r="Z174" s="7">
        <f>IFERROR('Delivery Ops'!$U$12,"")</f>
        <v>0</v>
      </c>
      <c r="AA174" s="7"/>
      <c r="AB174" s="29"/>
      <c r="AC174" s="7"/>
      <c r="AD174" s="48" t="str">
        <f>IF($B174="Yes",IFERROR(SUMIFS(_TECH_Crisis_Model!$D$5:$D$191,_TECH_Crisis_Model!$A$5:$A$191,'Crisis Simulator'!$B$4,_TECH_Crisis_Model!$B$5:$B$191,$C174),1),"")</f>
        <v/>
      </c>
      <c r="AE174" s="48" t="str">
        <f t="shared" si="28"/>
        <v/>
      </c>
      <c r="AF174" s="48" t="str">
        <f>IFERROR(INDEX(_TECH_Crisis_Model!$E$5:$E$191,MATCH('Crisis Simulator'!$B$4&amp;"|"&amp;$C174,_TECH_Crisis_Model!$I$5:$I$191,0)),"")</f>
        <v>Delivery capacity, SLA control and operational handover determine customer continuity.</v>
      </c>
      <c r="AG174" s="48" t="str">
        <f>IFERROR(INDEX(_TECH_Crisis_Model!$G$5:$G$191,MATCH('Crisis Simulator'!$B$4&amp;"|"&amp;$C174,_TECH_Crisis_Model!$I$5:$I$191,0)),"")</f>
        <v>Define alternative delivery models, capacity buffers, SLA triage and incident recovery procedures.</v>
      </c>
      <c r="AH174" s="48" t="str">
        <f>IFERROR(INDEX(_TECH_Initiative_Library!$A$5:$A$76,MATCH(1,INDEX((_TECH_Initiative_Library!$B$5:$B$76=$C174)*(_TECH_Initiative_Library!$C$5:$C$76=$D174),0),0)),"")</f>
        <v>INI-029</v>
      </c>
      <c r="AI174" s="48" t="str">
        <f>IFERROR(INDEX(_TECH_Initiative_Library!$F$5:$F$76,MATCH(1,INDEX((_TECH_Initiative_Library!$B$5:$B$76=$C174)*(_TECH_Initiative_Library!$C$5:$C$76=$D174),0),0)),"")</f>
        <v>Build capacity resilience and delivery continuity model</v>
      </c>
      <c r="AJ174" s="48" t="str">
        <f ca="1">IFERROR(INDEX(_TECH_Initiative_Library!$AC$5:$AC$76,MATCH(1,INDEX((_TECH_Initiative_Library!$B$5:$B$76=$C174)*(_TECH_Initiative_Library!$C$5:$C$76=$D174),0),0)),"")</f>
        <v/>
      </c>
      <c r="AK174" s="48" t="str">
        <f ca="1">IFERROR(INDEX(_TECH_Initiative_Library!$AE$5:$AE$76,MATCH(1,INDEX((_TECH_Initiative_Library!$B$5:$B$76=$C174)*(_TECH_Initiative_Library!$C$5:$C$76=$D174),0),0)),"")</f>
        <v/>
      </c>
      <c r="AL174" s="48" t="str">
        <f>IF($B174="Yes",IFERROR(SUMIFS(_TECH_Industry_Templates!$E:$E,_TECH_Industry_Templates!$A:$A,'Company Profile'!$B$9,_TECH_Industry_Templates!$B:$B,$C174),1),"")</f>
        <v/>
      </c>
      <c r="AM174" s="48" t="str">
        <f t="shared" si="29"/>
        <v/>
      </c>
      <c r="AN174" s="48" t="str">
        <f>IF($AM174="","",RANK.EQ($AM174,$AM$8:$AM$414,0)+COUNTIF($AM$8:$AM174,$AM174)-1)</f>
        <v/>
      </c>
    </row>
    <row r="175" spans="1:40" ht="57">
      <c r="A175" s="28" t="str">
        <f>IF($AM175="","",RANK.EQ($AM175,$AM$8:$AM$414,0)+COUNTIF($AM$8:$AM175,$AM175)-1)</f>
        <v/>
      </c>
      <c r="B175" s="7" t="str">
        <f t="shared" si="20"/>
        <v/>
      </c>
      <c r="C175" s="7" t="s">
        <v>75</v>
      </c>
      <c r="D175" s="7" t="s">
        <v>1272</v>
      </c>
      <c r="E175" s="7" t="s">
        <v>3566</v>
      </c>
      <c r="F175" s="7" t="s">
        <v>3567</v>
      </c>
      <c r="G175" s="28" t="str">
        <f>IF(OR(COUNTA('Delivery Ops'!$H$13)=0,'Delivery Ops'!$H$13="N/A"),"",VALUE('Delivery Ops'!$H$13))</f>
        <v/>
      </c>
      <c r="H175" s="7" t="str">
        <f t="shared" si="21"/>
        <v/>
      </c>
      <c r="I175" s="7" t="str">
        <f>IF($G175="","",IFERROR(IF('Delivery Ops'!$L$13="",IF($G175&lt;=1,"Critical",IF($G175=2,"High",IF($G175=3,"Medium",IF($G175=4,"Low","Optimized")))),'Delivery Ops'!$L$13),IF($G175&lt;=1,"Critical",IF($G175=2,"High",IF($G175=3,"Medium",IF($G175=4,"Low","Optimized"))))))</f>
        <v/>
      </c>
      <c r="J175" s="7" t="str">
        <f>IF($G175="","",IFERROR(INDEX('Recommendation Matrix'!$E$5:$J$411,MATCH($E175,'Recommendation Matrix'!$A$5:$A$411,0),$G175+1),""))</f>
        <v/>
      </c>
      <c r="K175" s="7" t="str">
        <f>IF($G175="","",IFERROR(VLOOKUP($E175,'Recommendation Matrix'!$A$5:$K$411,11,FALSE),""))</f>
        <v/>
      </c>
      <c r="L175" s="28" t="str">
        <f t="shared" si="22"/>
        <v/>
      </c>
      <c r="M175" s="28" t="str">
        <f>IF($G175="","",IFERROR(INDEX('Recommendation Matrix'!$L$5:$Q$411,MATCH($E175,'Recommendation Matrix'!$A$5:$A$411,0),$G175+1),""))</f>
        <v/>
      </c>
      <c r="N175" s="28" t="str">
        <f t="shared" si="23"/>
        <v/>
      </c>
      <c r="O175" s="28" t="str">
        <f t="shared" si="24"/>
        <v/>
      </c>
      <c r="P175" s="28" t="str">
        <f t="shared" si="25"/>
        <v/>
      </c>
      <c r="Q175" s="28" t="str">
        <f t="shared" si="26"/>
        <v/>
      </c>
      <c r="R175" s="8" t="str">
        <f t="shared" si="27"/>
        <v/>
      </c>
      <c r="S175" s="28">
        <f>IFERROR('Delivery Ops'!$G$13,"")</f>
        <v>3</v>
      </c>
      <c r="T175" s="28">
        <f>IFERROR('Delivery Ops'!$W$13,"")</f>
        <v>4</v>
      </c>
      <c r="U175" s="28">
        <f>IFERROR('Delivery Ops'!$X$13,"")</f>
        <v>5</v>
      </c>
      <c r="V175" s="28">
        <f>IFERROR('Delivery Ops'!$Y$13,"")</f>
        <v>5</v>
      </c>
      <c r="W175" s="7" t="s">
        <v>3493</v>
      </c>
      <c r="X175" s="7" t="s">
        <v>3494</v>
      </c>
      <c r="Y175" s="7" t="s">
        <v>3568</v>
      </c>
      <c r="Z175" s="7">
        <f>IFERROR('Delivery Ops'!$U$13,"")</f>
        <v>0</v>
      </c>
      <c r="AA175" s="7"/>
      <c r="AB175" s="29"/>
      <c r="AC175" s="7"/>
      <c r="AD175" s="48" t="str">
        <f>IF($B175="Yes",IFERROR(SUMIFS(_TECH_Crisis_Model!$D$5:$D$191,_TECH_Crisis_Model!$A$5:$A$191,'Crisis Simulator'!$B$4,_TECH_Crisis_Model!$B$5:$B$191,$C175),1),"")</f>
        <v/>
      </c>
      <c r="AE175" s="48" t="str">
        <f t="shared" si="28"/>
        <v/>
      </c>
      <c r="AF175" s="48" t="str">
        <f>IFERROR(INDEX(_TECH_Crisis_Model!$E$5:$E$191,MATCH('Crisis Simulator'!$B$4&amp;"|"&amp;$C175,_TECH_Crisis_Model!$I$5:$I$191,0)),"")</f>
        <v>Delivery capacity, SLA control and operational handover determine customer continuity.</v>
      </c>
      <c r="AG175" s="48" t="str">
        <f>IFERROR(INDEX(_TECH_Crisis_Model!$G$5:$G$191,MATCH('Crisis Simulator'!$B$4&amp;"|"&amp;$C175,_TECH_Crisis_Model!$I$5:$I$191,0)),"")</f>
        <v>Define alternative delivery models, capacity buffers, SLA triage and incident recovery procedures.</v>
      </c>
      <c r="AH175" s="48" t="str">
        <f>IFERROR(INDEX(_TECH_Initiative_Library!$A$5:$A$76,MATCH(1,INDEX((_TECH_Initiative_Library!$B$5:$B$76=$C175)*(_TECH_Initiative_Library!$C$5:$C$76=$D175),0),0)),"")</f>
        <v>INI-029</v>
      </c>
      <c r="AI175" s="48" t="str">
        <f>IFERROR(INDEX(_TECH_Initiative_Library!$F$5:$F$76,MATCH(1,INDEX((_TECH_Initiative_Library!$B$5:$B$76=$C175)*(_TECH_Initiative_Library!$C$5:$C$76=$D175),0),0)),"")</f>
        <v>Build capacity resilience and delivery continuity model</v>
      </c>
      <c r="AJ175" s="48" t="str">
        <f ca="1">IFERROR(INDEX(_TECH_Initiative_Library!$AC$5:$AC$76,MATCH(1,INDEX((_TECH_Initiative_Library!$B$5:$B$76=$C175)*(_TECH_Initiative_Library!$C$5:$C$76=$D175),0),0)),"")</f>
        <v/>
      </c>
      <c r="AK175" s="48" t="str">
        <f ca="1">IFERROR(INDEX(_TECH_Initiative_Library!$AE$5:$AE$76,MATCH(1,INDEX((_TECH_Initiative_Library!$B$5:$B$76=$C175)*(_TECH_Initiative_Library!$C$5:$C$76=$D175),0),0)),"")</f>
        <v/>
      </c>
      <c r="AL175" s="48" t="str">
        <f>IF($B175="Yes",IFERROR(SUMIFS(_TECH_Industry_Templates!$E:$E,_TECH_Industry_Templates!$A:$A,'Company Profile'!$B$9,_TECH_Industry_Templates!$B:$B,$C175),1),"")</f>
        <v/>
      </c>
      <c r="AM175" s="48" t="str">
        <f t="shared" si="29"/>
        <v/>
      </c>
      <c r="AN175" s="48" t="str">
        <f>IF($AM175="","",RANK.EQ($AM175,$AM$8:$AM$414,0)+COUNTIF($AM$8:$AM175,$AM175)-1)</f>
        <v/>
      </c>
    </row>
    <row r="176" spans="1:40" ht="71.25">
      <c r="A176" s="28" t="str">
        <f>IF($AM176="","",RANK.EQ($AM176,$AM$8:$AM$414,0)+COUNTIF($AM$8:$AM176,$AM176)-1)</f>
        <v/>
      </c>
      <c r="B176" s="7" t="str">
        <f t="shared" si="20"/>
        <v/>
      </c>
      <c r="C176" s="7" t="s">
        <v>75</v>
      </c>
      <c r="D176" s="7" t="s">
        <v>1272</v>
      </c>
      <c r="E176" s="7" t="s">
        <v>3576</v>
      </c>
      <c r="F176" s="7" t="s">
        <v>3577</v>
      </c>
      <c r="G176" s="28" t="str">
        <f>IF(OR(COUNTA('Delivery Ops'!$H$14)=0,'Delivery Ops'!$H$14="N/A"),"",VALUE('Delivery Ops'!$H$14))</f>
        <v/>
      </c>
      <c r="H176" s="7" t="str">
        <f t="shared" si="21"/>
        <v/>
      </c>
      <c r="I176" s="7" t="str">
        <f>IF($G176="","",IFERROR(IF('Delivery Ops'!$L$14="",IF($G176&lt;=1,"Critical",IF($G176=2,"High",IF($G176=3,"Medium",IF($G176=4,"Low","Optimized")))),'Delivery Ops'!$L$14),IF($G176&lt;=1,"Critical",IF($G176=2,"High",IF($G176=3,"Medium",IF($G176=4,"Low","Optimized"))))))</f>
        <v/>
      </c>
      <c r="J176" s="7" t="str">
        <f>IF($G176="","",IFERROR(INDEX('Recommendation Matrix'!$E$5:$J$411,MATCH($E176,'Recommendation Matrix'!$A$5:$A$411,0),$G176+1),""))</f>
        <v/>
      </c>
      <c r="K176" s="7" t="str">
        <f>IF($G176="","",IFERROR(VLOOKUP($E176,'Recommendation Matrix'!$A$5:$K$411,11,FALSE),""))</f>
        <v/>
      </c>
      <c r="L176" s="28" t="str">
        <f t="shared" si="22"/>
        <v/>
      </c>
      <c r="M176" s="28" t="str">
        <f>IF($G176="","",IFERROR(INDEX('Recommendation Matrix'!$L$5:$Q$411,MATCH($E176,'Recommendation Matrix'!$A$5:$A$411,0),$G176+1),""))</f>
        <v/>
      </c>
      <c r="N176" s="28" t="str">
        <f t="shared" si="23"/>
        <v/>
      </c>
      <c r="O176" s="28" t="str">
        <f t="shared" si="24"/>
        <v/>
      </c>
      <c r="P176" s="28" t="str">
        <f t="shared" si="25"/>
        <v/>
      </c>
      <c r="Q176" s="28" t="str">
        <f t="shared" si="26"/>
        <v/>
      </c>
      <c r="R176" s="8" t="str">
        <f t="shared" si="27"/>
        <v/>
      </c>
      <c r="S176" s="28">
        <f>IFERROR('Delivery Ops'!$G$14,"")</f>
        <v>5</v>
      </c>
      <c r="T176" s="28">
        <f>IFERROR('Delivery Ops'!$W$14,"")</f>
        <v>4</v>
      </c>
      <c r="U176" s="28">
        <f>IFERROR('Delivery Ops'!$X$14,"")</f>
        <v>5</v>
      </c>
      <c r="V176" s="28">
        <f>IFERROR('Delivery Ops'!$Y$14,"")</f>
        <v>5</v>
      </c>
      <c r="W176" s="7" t="s">
        <v>3493</v>
      </c>
      <c r="X176" s="7" t="s">
        <v>3494</v>
      </c>
      <c r="Y176" s="7" t="s">
        <v>3578</v>
      </c>
      <c r="Z176" s="7">
        <f>IFERROR('Delivery Ops'!$U$14,"")</f>
        <v>0</v>
      </c>
      <c r="AA176" s="7"/>
      <c r="AB176" s="29"/>
      <c r="AC176" s="7"/>
      <c r="AD176" s="48" t="str">
        <f>IF($B176="Yes",IFERROR(SUMIFS(_TECH_Crisis_Model!$D$5:$D$191,_TECH_Crisis_Model!$A$5:$A$191,'Crisis Simulator'!$B$4,_TECH_Crisis_Model!$B$5:$B$191,$C176),1),"")</f>
        <v/>
      </c>
      <c r="AE176" s="48" t="str">
        <f t="shared" si="28"/>
        <v/>
      </c>
      <c r="AF176" s="48" t="str">
        <f>IFERROR(INDEX(_TECH_Crisis_Model!$E$5:$E$191,MATCH('Crisis Simulator'!$B$4&amp;"|"&amp;$C176,_TECH_Crisis_Model!$I$5:$I$191,0)),"")</f>
        <v>Delivery capacity, SLA control and operational handover determine customer continuity.</v>
      </c>
      <c r="AG176" s="48" t="str">
        <f>IFERROR(INDEX(_TECH_Crisis_Model!$G$5:$G$191,MATCH('Crisis Simulator'!$B$4&amp;"|"&amp;$C176,_TECH_Crisis_Model!$I$5:$I$191,0)),"")</f>
        <v>Define alternative delivery models, capacity buffers, SLA triage and incident recovery procedures.</v>
      </c>
      <c r="AH176" s="48" t="str">
        <f>IFERROR(INDEX(_TECH_Initiative_Library!$A$5:$A$76,MATCH(1,INDEX((_TECH_Initiative_Library!$B$5:$B$76=$C176)*(_TECH_Initiative_Library!$C$5:$C$76=$D176),0),0)),"")</f>
        <v>INI-029</v>
      </c>
      <c r="AI176" s="48" t="str">
        <f>IFERROR(INDEX(_TECH_Initiative_Library!$F$5:$F$76,MATCH(1,INDEX((_TECH_Initiative_Library!$B$5:$B$76=$C176)*(_TECH_Initiative_Library!$C$5:$C$76=$D176),0),0)),"")</f>
        <v>Build capacity resilience and delivery continuity model</v>
      </c>
      <c r="AJ176" s="48" t="str">
        <f ca="1">IFERROR(INDEX(_TECH_Initiative_Library!$AC$5:$AC$76,MATCH(1,INDEX((_TECH_Initiative_Library!$B$5:$B$76=$C176)*(_TECH_Initiative_Library!$C$5:$C$76=$D176),0),0)),"")</f>
        <v/>
      </c>
      <c r="AK176" s="48" t="str">
        <f ca="1">IFERROR(INDEX(_TECH_Initiative_Library!$AE$5:$AE$76,MATCH(1,INDEX((_TECH_Initiative_Library!$B$5:$B$76=$C176)*(_TECH_Initiative_Library!$C$5:$C$76=$D176),0),0)),"")</f>
        <v/>
      </c>
      <c r="AL176" s="48" t="str">
        <f>IF($B176="Yes",IFERROR(SUMIFS(_TECH_Industry_Templates!$E:$E,_TECH_Industry_Templates!$A:$A,'Company Profile'!$B$9,_TECH_Industry_Templates!$B:$B,$C176),1),"")</f>
        <v/>
      </c>
      <c r="AM176" s="48" t="str">
        <f t="shared" si="29"/>
        <v/>
      </c>
      <c r="AN176" s="48" t="str">
        <f>IF($AM176="","",RANK.EQ($AM176,$AM$8:$AM$414,0)+COUNTIF($AM$8:$AM176,$AM176)-1)</f>
        <v/>
      </c>
    </row>
    <row r="177" spans="1:40" ht="71.25">
      <c r="A177" s="28" t="str">
        <f>IF($AM177="","",RANK.EQ($AM177,$AM$8:$AM$414,0)+COUNTIF($AM$8:$AM177,$AM177)-1)</f>
        <v/>
      </c>
      <c r="B177" s="7" t="str">
        <f t="shared" si="20"/>
        <v/>
      </c>
      <c r="C177" s="7" t="s">
        <v>75</v>
      </c>
      <c r="D177" s="7" t="s">
        <v>1272</v>
      </c>
      <c r="E177" s="7" t="s">
        <v>3586</v>
      </c>
      <c r="F177" s="7" t="s">
        <v>3587</v>
      </c>
      <c r="G177" s="28" t="str">
        <f>IF(OR(COUNTA('Delivery Ops'!$H$15)=0,'Delivery Ops'!$H$15="N/A"),"",VALUE('Delivery Ops'!$H$15))</f>
        <v/>
      </c>
      <c r="H177" s="7" t="str">
        <f t="shared" si="21"/>
        <v/>
      </c>
      <c r="I177" s="7" t="str">
        <f>IF($G177="","",IFERROR(IF('Delivery Ops'!$L$15="",IF($G177&lt;=1,"Critical",IF($G177=2,"High",IF($G177=3,"Medium",IF($G177=4,"Low","Optimized")))),'Delivery Ops'!$L$15),IF($G177&lt;=1,"Critical",IF($G177=2,"High",IF($G177=3,"Medium",IF($G177=4,"Low","Optimized"))))))</f>
        <v/>
      </c>
      <c r="J177" s="7" t="str">
        <f>IF($G177="","",IFERROR(INDEX('Recommendation Matrix'!$E$5:$J$411,MATCH($E177,'Recommendation Matrix'!$A$5:$A$411,0),$G177+1),""))</f>
        <v/>
      </c>
      <c r="K177" s="7" t="str">
        <f>IF($G177="","",IFERROR(VLOOKUP($E177,'Recommendation Matrix'!$A$5:$K$411,11,FALSE),""))</f>
        <v/>
      </c>
      <c r="L177" s="28" t="str">
        <f t="shared" si="22"/>
        <v/>
      </c>
      <c r="M177" s="28" t="str">
        <f>IF($G177="","",IFERROR(INDEX('Recommendation Matrix'!$L$5:$Q$411,MATCH($E177,'Recommendation Matrix'!$A$5:$A$411,0),$G177+1),""))</f>
        <v/>
      </c>
      <c r="N177" s="28" t="str">
        <f t="shared" si="23"/>
        <v/>
      </c>
      <c r="O177" s="28" t="str">
        <f t="shared" si="24"/>
        <v/>
      </c>
      <c r="P177" s="28" t="str">
        <f t="shared" si="25"/>
        <v/>
      </c>
      <c r="Q177" s="28" t="str">
        <f t="shared" si="26"/>
        <v/>
      </c>
      <c r="R177" s="8" t="str">
        <f t="shared" si="27"/>
        <v/>
      </c>
      <c r="S177" s="28">
        <f>IFERROR('Delivery Ops'!$G$15,"")</f>
        <v>5</v>
      </c>
      <c r="T177" s="28">
        <f>IFERROR('Delivery Ops'!$W$15,"")</f>
        <v>4</v>
      </c>
      <c r="U177" s="28">
        <f>IFERROR('Delivery Ops'!$X$15,"")</f>
        <v>5</v>
      </c>
      <c r="V177" s="28">
        <f>IFERROR('Delivery Ops'!$Y$15,"")</f>
        <v>5</v>
      </c>
      <c r="W177" s="7" t="s">
        <v>3493</v>
      </c>
      <c r="X177" s="7" t="s">
        <v>3494</v>
      </c>
      <c r="Y177" s="7" t="s">
        <v>3588</v>
      </c>
      <c r="Z177" s="7">
        <f>IFERROR('Delivery Ops'!$U$15,"")</f>
        <v>0</v>
      </c>
      <c r="AA177" s="7"/>
      <c r="AB177" s="29"/>
      <c r="AC177" s="7"/>
      <c r="AD177" s="48" t="str">
        <f>IF($B177="Yes",IFERROR(SUMIFS(_TECH_Crisis_Model!$D$5:$D$191,_TECH_Crisis_Model!$A$5:$A$191,'Crisis Simulator'!$B$4,_TECH_Crisis_Model!$B$5:$B$191,$C177),1),"")</f>
        <v/>
      </c>
      <c r="AE177" s="48" t="str">
        <f t="shared" si="28"/>
        <v/>
      </c>
      <c r="AF177" s="48" t="str">
        <f>IFERROR(INDEX(_TECH_Crisis_Model!$E$5:$E$191,MATCH('Crisis Simulator'!$B$4&amp;"|"&amp;$C177,_TECH_Crisis_Model!$I$5:$I$191,0)),"")</f>
        <v>Delivery capacity, SLA control and operational handover determine customer continuity.</v>
      </c>
      <c r="AG177" s="48" t="str">
        <f>IFERROR(INDEX(_TECH_Crisis_Model!$G$5:$G$191,MATCH('Crisis Simulator'!$B$4&amp;"|"&amp;$C177,_TECH_Crisis_Model!$I$5:$I$191,0)),"")</f>
        <v>Define alternative delivery models, capacity buffers, SLA triage and incident recovery procedures.</v>
      </c>
      <c r="AH177" s="48" t="str">
        <f>IFERROR(INDEX(_TECH_Initiative_Library!$A$5:$A$76,MATCH(1,INDEX((_TECH_Initiative_Library!$B$5:$B$76=$C177)*(_TECH_Initiative_Library!$C$5:$C$76=$D177),0),0)),"")</f>
        <v>INI-029</v>
      </c>
      <c r="AI177" s="48" t="str">
        <f>IFERROR(INDEX(_TECH_Initiative_Library!$F$5:$F$76,MATCH(1,INDEX((_TECH_Initiative_Library!$B$5:$B$76=$C177)*(_TECH_Initiative_Library!$C$5:$C$76=$D177),0),0)),"")</f>
        <v>Build capacity resilience and delivery continuity model</v>
      </c>
      <c r="AJ177" s="48" t="str">
        <f ca="1">IFERROR(INDEX(_TECH_Initiative_Library!$AC$5:$AC$76,MATCH(1,INDEX((_TECH_Initiative_Library!$B$5:$B$76=$C177)*(_TECH_Initiative_Library!$C$5:$C$76=$D177),0),0)),"")</f>
        <v/>
      </c>
      <c r="AK177" s="48" t="str">
        <f ca="1">IFERROR(INDEX(_TECH_Initiative_Library!$AE$5:$AE$76,MATCH(1,INDEX((_TECH_Initiative_Library!$B$5:$B$76=$C177)*(_TECH_Initiative_Library!$C$5:$C$76=$D177),0),0)),"")</f>
        <v/>
      </c>
      <c r="AL177" s="48" t="str">
        <f>IF($B177="Yes",IFERROR(SUMIFS(_TECH_Industry_Templates!$E:$E,_TECH_Industry_Templates!$A:$A,'Company Profile'!$B$9,_TECH_Industry_Templates!$B:$B,$C177),1),"")</f>
        <v/>
      </c>
      <c r="AM177" s="48" t="str">
        <f t="shared" si="29"/>
        <v/>
      </c>
      <c r="AN177" s="48" t="str">
        <f>IF($AM177="","",RANK.EQ($AM177,$AM$8:$AM$414,0)+COUNTIF($AM$8:$AM177,$AM177)-1)</f>
        <v/>
      </c>
    </row>
    <row r="178" spans="1:40" ht="71.25">
      <c r="A178" s="28" t="str">
        <f>IF($AM178="","",RANK.EQ($AM178,$AM$8:$AM$414,0)+COUNTIF($AM$8:$AM178,$AM178)-1)</f>
        <v/>
      </c>
      <c r="B178" s="7" t="str">
        <f t="shared" si="20"/>
        <v/>
      </c>
      <c r="C178" s="7" t="s">
        <v>75</v>
      </c>
      <c r="D178" s="7" t="s">
        <v>1272</v>
      </c>
      <c r="E178" s="7" t="s">
        <v>3596</v>
      </c>
      <c r="F178" s="7" t="s">
        <v>3597</v>
      </c>
      <c r="G178" s="28" t="str">
        <f>IF(OR(COUNTA('Delivery Ops'!$H$16)=0,'Delivery Ops'!$H$16="N/A"),"",VALUE('Delivery Ops'!$H$16))</f>
        <v/>
      </c>
      <c r="H178" s="7" t="str">
        <f t="shared" si="21"/>
        <v/>
      </c>
      <c r="I178" s="7" t="str">
        <f>IF($G178="","",IFERROR(IF('Delivery Ops'!$L$16="",IF($G178&lt;=1,"Critical",IF($G178=2,"High",IF($G178=3,"Medium",IF($G178=4,"Low","Optimized")))),'Delivery Ops'!$L$16),IF($G178&lt;=1,"Critical",IF($G178=2,"High",IF($G178=3,"Medium",IF($G178=4,"Low","Optimized"))))))</f>
        <v/>
      </c>
      <c r="J178" s="7" t="str">
        <f>IF($G178="","",IFERROR(INDEX('Recommendation Matrix'!$E$5:$J$411,MATCH($E178,'Recommendation Matrix'!$A$5:$A$411,0),$G178+1),""))</f>
        <v/>
      </c>
      <c r="K178" s="7" t="str">
        <f>IF($G178="","",IFERROR(VLOOKUP($E178,'Recommendation Matrix'!$A$5:$K$411,11,FALSE),""))</f>
        <v/>
      </c>
      <c r="L178" s="28" t="str">
        <f t="shared" si="22"/>
        <v/>
      </c>
      <c r="M178" s="28" t="str">
        <f>IF($G178="","",IFERROR(INDEX('Recommendation Matrix'!$L$5:$Q$411,MATCH($E178,'Recommendation Matrix'!$A$5:$A$411,0),$G178+1),""))</f>
        <v/>
      </c>
      <c r="N178" s="28" t="str">
        <f t="shared" si="23"/>
        <v/>
      </c>
      <c r="O178" s="28" t="str">
        <f t="shared" si="24"/>
        <v/>
      </c>
      <c r="P178" s="28" t="str">
        <f t="shared" si="25"/>
        <v/>
      </c>
      <c r="Q178" s="28" t="str">
        <f t="shared" si="26"/>
        <v/>
      </c>
      <c r="R178" s="8" t="str">
        <f t="shared" si="27"/>
        <v/>
      </c>
      <c r="S178" s="28">
        <f>IFERROR('Delivery Ops'!$G$16,"")</f>
        <v>5</v>
      </c>
      <c r="T178" s="28">
        <f>IFERROR('Delivery Ops'!$W$16,"")</f>
        <v>4</v>
      </c>
      <c r="U178" s="28">
        <f>IFERROR('Delivery Ops'!$X$16,"")</f>
        <v>5</v>
      </c>
      <c r="V178" s="28">
        <f>IFERROR('Delivery Ops'!$Y$16,"")</f>
        <v>5</v>
      </c>
      <c r="W178" s="7" t="s">
        <v>3493</v>
      </c>
      <c r="X178" s="7" t="s">
        <v>3494</v>
      </c>
      <c r="Y178" s="7" t="s">
        <v>3598</v>
      </c>
      <c r="Z178" s="7">
        <f>IFERROR('Delivery Ops'!$U$16,"")</f>
        <v>0</v>
      </c>
      <c r="AA178" s="7"/>
      <c r="AB178" s="29"/>
      <c r="AC178" s="7"/>
      <c r="AD178" s="48" t="str">
        <f>IF($B178="Yes",IFERROR(SUMIFS(_TECH_Crisis_Model!$D$5:$D$191,_TECH_Crisis_Model!$A$5:$A$191,'Crisis Simulator'!$B$4,_TECH_Crisis_Model!$B$5:$B$191,$C178),1),"")</f>
        <v/>
      </c>
      <c r="AE178" s="48" t="str">
        <f t="shared" si="28"/>
        <v/>
      </c>
      <c r="AF178" s="48" t="str">
        <f>IFERROR(INDEX(_TECH_Crisis_Model!$E$5:$E$191,MATCH('Crisis Simulator'!$B$4&amp;"|"&amp;$C178,_TECH_Crisis_Model!$I$5:$I$191,0)),"")</f>
        <v>Delivery capacity, SLA control and operational handover determine customer continuity.</v>
      </c>
      <c r="AG178" s="48" t="str">
        <f>IFERROR(INDEX(_TECH_Crisis_Model!$G$5:$G$191,MATCH('Crisis Simulator'!$B$4&amp;"|"&amp;$C178,_TECH_Crisis_Model!$I$5:$I$191,0)),"")</f>
        <v>Define alternative delivery models, capacity buffers, SLA triage and incident recovery procedures.</v>
      </c>
      <c r="AH178" s="48" t="str">
        <f>IFERROR(INDEX(_TECH_Initiative_Library!$A$5:$A$76,MATCH(1,INDEX((_TECH_Initiative_Library!$B$5:$B$76=$C178)*(_TECH_Initiative_Library!$C$5:$C$76=$D178),0),0)),"")</f>
        <v>INI-029</v>
      </c>
      <c r="AI178" s="48" t="str">
        <f>IFERROR(INDEX(_TECH_Initiative_Library!$F$5:$F$76,MATCH(1,INDEX((_TECH_Initiative_Library!$B$5:$B$76=$C178)*(_TECH_Initiative_Library!$C$5:$C$76=$D178),0),0)),"")</f>
        <v>Build capacity resilience and delivery continuity model</v>
      </c>
      <c r="AJ178" s="48" t="str">
        <f ca="1">IFERROR(INDEX(_TECH_Initiative_Library!$AC$5:$AC$76,MATCH(1,INDEX((_TECH_Initiative_Library!$B$5:$B$76=$C178)*(_TECH_Initiative_Library!$C$5:$C$76=$D178),0),0)),"")</f>
        <v/>
      </c>
      <c r="AK178" s="48" t="str">
        <f ca="1">IFERROR(INDEX(_TECH_Initiative_Library!$AE$5:$AE$76,MATCH(1,INDEX((_TECH_Initiative_Library!$B$5:$B$76=$C178)*(_TECH_Initiative_Library!$C$5:$C$76=$D178),0),0)),"")</f>
        <v/>
      </c>
      <c r="AL178" s="48" t="str">
        <f>IF($B178="Yes",IFERROR(SUMIFS(_TECH_Industry_Templates!$E:$E,_TECH_Industry_Templates!$A:$A,'Company Profile'!$B$9,_TECH_Industry_Templates!$B:$B,$C178),1),"")</f>
        <v/>
      </c>
      <c r="AM178" s="48" t="str">
        <f t="shared" si="29"/>
        <v/>
      </c>
      <c r="AN178" s="48" t="str">
        <f>IF($AM178="","",RANK.EQ($AM178,$AM$8:$AM$414,0)+COUNTIF($AM$8:$AM178,$AM178)-1)</f>
        <v/>
      </c>
    </row>
    <row r="179" spans="1:40" ht="57">
      <c r="A179" s="28" t="str">
        <f>IF($AM179="","",RANK.EQ($AM179,$AM$8:$AM$414,0)+COUNTIF($AM$8:$AM179,$AM179)-1)</f>
        <v/>
      </c>
      <c r="B179" s="7" t="str">
        <f t="shared" si="20"/>
        <v/>
      </c>
      <c r="C179" s="7" t="s">
        <v>75</v>
      </c>
      <c r="D179" s="7" t="s">
        <v>1280</v>
      </c>
      <c r="E179" s="7" t="s">
        <v>3606</v>
      </c>
      <c r="F179" s="7" t="s">
        <v>3607</v>
      </c>
      <c r="G179" s="28" t="str">
        <f>IF(OR(COUNTA('Delivery Ops'!$H$17)=0,'Delivery Ops'!$H$17="N/A"),"",VALUE('Delivery Ops'!$H$17))</f>
        <v/>
      </c>
      <c r="H179" s="7" t="str">
        <f t="shared" si="21"/>
        <v/>
      </c>
      <c r="I179" s="7" t="str">
        <f>IF($G179="","",IFERROR(IF('Delivery Ops'!$L$17="",IF($G179&lt;=1,"Critical",IF($G179=2,"High",IF($G179=3,"Medium",IF($G179=4,"Low","Optimized")))),'Delivery Ops'!$L$17),IF($G179&lt;=1,"Critical",IF($G179=2,"High",IF($G179=3,"Medium",IF($G179=4,"Low","Optimized"))))))</f>
        <v/>
      </c>
      <c r="J179" s="7" t="str">
        <f>IF($G179="","",IFERROR(INDEX('Recommendation Matrix'!$E$5:$J$411,MATCH($E179,'Recommendation Matrix'!$A$5:$A$411,0),$G179+1),""))</f>
        <v/>
      </c>
      <c r="K179" s="7" t="str">
        <f>IF($G179="","",IFERROR(VLOOKUP($E179,'Recommendation Matrix'!$A$5:$K$411,11,FALSE),""))</f>
        <v/>
      </c>
      <c r="L179" s="28" t="str">
        <f t="shared" si="22"/>
        <v/>
      </c>
      <c r="M179" s="28" t="str">
        <f>IF($G179="","",IFERROR(INDEX('Recommendation Matrix'!$L$5:$Q$411,MATCH($E179,'Recommendation Matrix'!$A$5:$A$411,0),$G179+1),""))</f>
        <v/>
      </c>
      <c r="N179" s="28" t="str">
        <f t="shared" si="23"/>
        <v/>
      </c>
      <c r="O179" s="28" t="str">
        <f t="shared" si="24"/>
        <v/>
      </c>
      <c r="P179" s="28" t="str">
        <f t="shared" si="25"/>
        <v/>
      </c>
      <c r="Q179" s="28" t="str">
        <f t="shared" si="26"/>
        <v/>
      </c>
      <c r="R179" s="8" t="str">
        <f t="shared" si="27"/>
        <v/>
      </c>
      <c r="S179" s="28">
        <f>IFERROR('Delivery Ops'!$G$17,"")</f>
        <v>5</v>
      </c>
      <c r="T179" s="28">
        <f>IFERROR('Delivery Ops'!$W$17,"")</f>
        <v>4</v>
      </c>
      <c r="U179" s="28">
        <f>IFERROR('Delivery Ops'!$X$17,"")</f>
        <v>5</v>
      </c>
      <c r="V179" s="28">
        <f>IFERROR('Delivery Ops'!$Y$17,"")</f>
        <v>5</v>
      </c>
      <c r="W179" s="7" t="s">
        <v>3493</v>
      </c>
      <c r="X179" s="7" t="s">
        <v>3494</v>
      </c>
      <c r="Y179" s="7" t="s">
        <v>3608</v>
      </c>
      <c r="Z179" s="7">
        <f>IFERROR('Delivery Ops'!$U$17,"")</f>
        <v>0</v>
      </c>
      <c r="AA179" s="7"/>
      <c r="AB179" s="29"/>
      <c r="AC179" s="7"/>
      <c r="AD179" s="48" t="str">
        <f>IF($B179="Yes",IFERROR(SUMIFS(_TECH_Crisis_Model!$D$5:$D$191,_TECH_Crisis_Model!$A$5:$A$191,'Crisis Simulator'!$B$4,_TECH_Crisis_Model!$B$5:$B$191,$C179),1),"")</f>
        <v/>
      </c>
      <c r="AE179" s="48" t="str">
        <f t="shared" si="28"/>
        <v/>
      </c>
      <c r="AF179" s="48" t="str">
        <f>IFERROR(INDEX(_TECH_Crisis_Model!$E$5:$E$191,MATCH('Crisis Simulator'!$B$4&amp;"|"&amp;$C179,_TECH_Crisis_Model!$I$5:$I$191,0)),"")</f>
        <v>Delivery capacity, SLA control and operational handover determine customer continuity.</v>
      </c>
      <c r="AG179" s="48" t="str">
        <f>IFERROR(INDEX(_TECH_Crisis_Model!$G$5:$G$191,MATCH('Crisis Simulator'!$B$4&amp;"|"&amp;$C179,_TECH_Crisis_Model!$I$5:$I$191,0)),"")</f>
        <v>Define alternative delivery models, capacity buffers, SLA triage and incident recovery procedures.</v>
      </c>
      <c r="AH179" s="48" t="str">
        <f>IFERROR(INDEX(_TECH_Initiative_Library!$A$5:$A$76,MATCH(1,INDEX((_TECH_Initiative_Library!$B$5:$B$76=$C179)*(_TECH_Initiative_Library!$C$5:$C$76=$D179),0),0)),"")</f>
        <v>INI-030</v>
      </c>
      <c r="AI179" s="48" t="str">
        <f>IFERROR(INDEX(_TECH_Initiative_Library!$F$5:$F$76,MATCH(1,INDEX((_TECH_Initiative_Library!$B$5:$B$76=$C179)*(_TECH_Initiative_Library!$C$5:$C$76=$D179),0),0)),"")</f>
        <v>Strengthen process control, SOPs and operational quality gates</v>
      </c>
      <c r="AJ179" s="48" t="str">
        <f ca="1">IFERROR(INDEX(_TECH_Initiative_Library!$AC$5:$AC$76,MATCH(1,INDEX((_TECH_Initiative_Library!$B$5:$B$76=$C179)*(_TECH_Initiative_Library!$C$5:$C$76=$D179),0),0)),"")</f>
        <v/>
      </c>
      <c r="AK179" s="48" t="str">
        <f ca="1">IFERROR(INDEX(_TECH_Initiative_Library!$AE$5:$AE$76,MATCH(1,INDEX((_TECH_Initiative_Library!$B$5:$B$76=$C179)*(_TECH_Initiative_Library!$C$5:$C$76=$D179),0),0)),"")</f>
        <v/>
      </c>
      <c r="AL179" s="48" t="str">
        <f>IF($B179="Yes",IFERROR(SUMIFS(_TECH_Industry_Templates!$E:$E,_TECH_Industry_Templates!$A:$A,'Company Profile'!$B$9,_TECH_Industry_Templates!$B:$B,$C179),1),"")</f>
        <v/>
      </c>
      <c r="AM179" s="48" t="str">
        <f t="shared" si="29"/>
        <v/>
      </c>
      <c r="AN179" s="48" t="str">
        <f>IF($AM179="","",RANK.EQ($AM179,$AM$8:$AM$414,0)+COUNTIF($AM$8:$AM179,$AM179)-1)</f>
        <v/>
      </c>
    </row>
    <row r="180" spans="1:40" ht="71.25">
      <c r="A180" s="28" t="str">
        <f>IF($AM180="","",RANK.EQ($AM180,$AM$8:$AM$414,0)+COUNTIF($AM$8:$AM180,$AM180)-1)</f>
        <v/>
      </c>
      <c r="B180" s="7" t="str">
        <f t="shared" si="20"/>
        <v/>
      </c>
      <c r="C180" s="7" t="s">
        <v>75</v>
      </c>
      <c r="D180" s="7" t="s">
        <v>1280</v>
      </c>
      <c r="E180" s="7" t="s">
        <v>3616</v>
      </c>
      <c r="F180" s="7" t="s">
        <v>3617</v>
      </c>
      <c r="G180" s="28" t="str">
        <f>IF(OR(COUNTA('Delivery Ops'!$H$18)=0,'Delivery Ops'!$H$18="N/A"),"",VALUE('Delivery Ops'!$H$18))</f>
        <v/>
      </c>
      <c r="H180" s="7" t="str">
        <f t="shared" si="21"/>
        <v/>
      </c>
      <c r="I180" s="7" t="str">
        <f>IF($G180="","",IFERROR(IF('Delivery Ops'!$L$18="",IF($G180&lt;=1,"Critical",IF($G180=2,"High",IF($G180=3,"Medium",IF($G180=4,"Low","Optimized")))),'Delivery Ops'!$L$18),IF($G180&lt;=1,"Critical",IF($G180=2,"High",IF($G180=3,"Medium",IF($G180=4,"Low","Optimized"))))))</f>
        <v/>
      </c>
      <c r="J180" s="7" t="str">
        <f>IF($G180="","",IFERROR(INDEX('Recommendation Matrix'!$E$5:$J$411,MATCH($E180,'Recommendation Matrix'!$A$5:$A$411,0),$G180+1),""))</f>
        <v/>
      </c>
      <c r="K180" s="7" t="str">
        <f>IF($G180="","",IFERROR(VLOOKUP($E180,'Recommendation Matrix'!$A$5:$K$411,11,FALSE),""))</f>
        <v/>
      </c>
      <c r="L180" s="28" t="str">
        <f t="shared" si="22"/>
        <v/>
      </c>
      <c r="M180" s="28" t="str">
        <f>IF($G180="","",IFERROR(INDEX('Recommendation Matrix'!$L$5:$Q$411,MATCH($E180,'Recommendation Matrix'!$A$5:$A$411,0),$G180+1),""))</f>
        <v/>
      </c>
      <c r="N180" s="28" t="str">
        <f t="shared" si="23"/>
        <v/>
      </c>
      <c r="O180" s="28" t="str">
        <f t="shared" si="24"/>
        <v/>
      </c>
      <c r="P180" s="28" t="str">
        <f t="shared" si="25"/>
        <v/>
      </c>
      <c r="Q180" s="28" t="str">
        <f t="shared" si="26"/>
        <v/>
      </c>
      <c r="R180" s="8" t="str">
        <f t="shared" si="27"/>
        <v/>
      </c>
      <c r="S180" s="28">
        <f>IFERROR('Delivery Ops'!$G$18,"")</f>
        <v>4</v>
      </c>
      <c r="T180" s="28">
        <f>IFERROR('Delivery Ops'!$W$18,"")</f>
        <v>4</v>
      </c>
      <c r="U180" s="28">
        <f>IFERROR('Delivery Ops'!$X$18,"")</f>
        <v>5</v>
      </c>
      <c r="V180" s="28">
        <f>IFERROR('Delivery Ops'!$Y$18,"")</f>
        <v>5</v>
      </c>
      <c r="W180" s="7" t="s">
        <v>3493</v>
      </c>
      <c r="X180" s="7" t="s">
        <v>3494</v>
      </c>
      <c r="Y180" s="7" t="s">
        <v>3618</v>
      </c>
      <c r="Z180" s="7">
        <f>IFERROR('Delivery Ops'!$U$18,"")</f>
        <v>0</v>
      </c>
      <c r="AA180" s="7"/>
      <c r="AB180" s="29"/>
      <c r="AC180" s="7"/>
      <c r="AD180" s="48" t="str">
        <f>IF($B180="Yes",IFERROR(SUMIFS(_TECH_Crisis_Model!$D$5:$D$191,_TECH_Crisis_Model!$A$5:$A$191,'Crisis Simulator'!$B$4,_TECH_Crisis_Model!$B$5:$B$191,$C180),1),"")</f>
        <v/>
      </c>
      <c r="AE180" s="48" t="str">
        <f t="shared" si="28"/>
        <v/>
      </c>
      <c r="AF180" s="48" t="str">
        <f>IFERROR(INDEX(_TECH_Crisis_Model!$E$5:$E$191,MATCH('Crisis Simulator'!$B$4&amp;"|"&amp;$C180,_TECH_Crisis_Model!$I$5:$I$191,0)),"")</f>
        <v>Delivery capacity, SLA control and operational handover determine customer continuity.</v>
      </c>
      <c r="AG180" s="48" t="str">
        <f>IFERROR(INDEX(_TECH_Crisis_Model!$G$5:$G$191,MATCH('Crisis Simulator'!$B$4&amp;"|"&amp;$C180,_TECH_Crisis_Model!$I$5:$I$191,0)),"")</f>
        <v>Define alternative delivery models, capacity buffers, SLA triage and incident recovery procedures.</v>
      </c>
      <c r="AH180" s="48" t="str">
        <f>IFERROR(INDEX(_TECH_Initiative_Library!$A$5:$A$76,MATCH(1,INDEX((_TECH_Initiative_Library!$B$5:$B$76=$C180)*(_TECH_Initiative_Library!$C$5:$C$76=$D180),0),0)),"")</f>
        <v>INI-030</v>
      </c>
      <c r="AI180" s="48" t="str">
        <f>IFERROR(INDEX(_TECH_Initiative_Library!$F$5:$F$76,MATCH(1,INDEX((_TECH_Initiative_Library!$B$5:$B$76=$C180)*(_TECH_Initiative_Library!$C$5:$C$76=$D180),0),0)),"")</f>
        <v>Strengthen process control, SOPs and operational quality gates</v>
      </c>
      <c r="AJ180" s="48" t="str">
        <f ca="1">IFERROR(INDEX(_TECH_Initiative_Library!$AC$5:$AC$76,MATCH(1,INDEX((_TECH_Initiative_Library!$B$5:$B$76=$C180)*(_TECH_Initiative_Library!$C$5:$C$76=$D180),0),0)),"")</f>
        <v/>
      </c>
      <c r="AK180" s="48" t="str">
        <f ca="1">IFERROR(INDEX(_TECH_Initiative_Library!$AE$5:$AE$76,MATCH(1,INDEX((_TECH_Initiative_Library!$B$5:$B$76=$C180)*(_TECH_Initiative_Library!$C$5:$C$76=$D180),0),0)),"")</f>
        <v/>
      </c>
      <c r="AL180" s="48" t="str">
        <f>IF($B180="Yes",IFERROR(SUMIFS(_TECH_Industry_Templates!$E:$E,_TECH_Industry_Templates!$A:$A,'Company Profile'!$B$9,_TECH_Industry_Templates!$B:$B,$C180),1),"")</f>
        <v/>
      </c>
      <c r="AM180" s="48" t="str">
        <f t="shared" si="29"/>
        <v/>
      </c>
      <c r="AN180" s="48" t="str">
        <f>IF($AM180="","",RANK.EQ($AM180,$AM$8:$AM$414,0)+COUNTIF($AM$8:$AM180,$AM180)-1)</f>
        <v/>
      </c>
    </row>
    <row r="181" spans="1:40" ht="71.25">
      <c r="A181" s="28" t="str">
        <f>IF($AM181="","",RANK.EQ($AM181,$AM$8:$AM$414,0)+COUNTIF($AM$8:$AM181,$AM181)-1)</f>
        <v/>
      </c>
      <c r="B181" s="7" t="str">
        <f t="shared" si="20"/>
        <v/>
      </c>
      <c r="C181" s="7" t="s">
        <v>75</v>
      </c>
      <c r="D181" s="7" t="s">
        <v>1280</v>
      </c>
      <c r="E181" s="7" t="s">
        <v>3626</v>
      </c>
      <c r="F181" s="7" t="s">
        <v>3627</v>
      </c>
      <c r="G181" s="28" t="str">
        <f>IF(OR(COUNTA('Delivery Ops'!$H$19)=0,'Delivery Ops'!$H$19="N/A"),"",VALUE('Delivery Ops'!$H$19))</f>
        <v/>
      </c>
      <c r="H181" s="7" t="str">
        <f t="shared" si="21"/>
        <v/>
      </c>
      <c r="I181" s="7" t="str">
        <f>IF($G181="","",IFERROR(IF('Delivery Ops'!$L$19="",IF($G181&lt;=1,"Critical",IF($G181=2,"High",IF($G181=3,"Medium",IF($G181=4,"Low","Optimized")))),'Delivery Ops'!$L$19),IF($G181&lt;=1,"Critical",IF($G181=2,"High",IF($G181=3,"Medium",IF($G181=4,"Low","Optimized"))))))</f>
        <v/>
      </c>
      <c r="J181" s="7" t="str">
        <f>IF($G181="","",IFERROR(INDEX('Recommendation Matrix'!$E$5:$J$411,MATCH($E181,'Recommendation Matrix'!$A$5:$A$411,0),$G181+1),""))</f>
        <v/>
      </c>
      <c r="K181" s="7" t="str">
        <f>IF($G181="","",IFERROR(VLOOKUP($E181,'Recommendation Matrix'!$A$5:$K$411,11,FALSE),""))</f>
        <v/>
      </c>
      <c r="L181" s="28" t="str">
        <f t="shared" si="22"/>
        <v/>
      </c>
      <c r="M181" s="28" t="str">
        <f>IF($G181="","",IFERROR(INDEX('Recommendation Matrix'!$L$5:$Q$411,MATCH($E181,'Recommendation Matrix'!$A$5:$A$411,0),$G181+1),""))</f>
        <v/>
      </c>
      <c r="N181" s="28" t="str">
        <f t="shared" si="23"/>
        <v/>
      </c>
      <c r="O181" s="28" t="str">
        <f t="shared" si="24"/>
        <v/>
      </c>
      <c r="P181" s="28" t="str">
        <f t="shared" si="25"/>
        <v/>
      </c>
      <c r="Q181" s="28" t="str">
        <f t="shared" si="26"/>
        <v/>
      </c>
      <c r="R181" s="8" t="str">
        <f t="shared" si="27"/>
        <v/>
      </c>
      <c r="S181" s="28">
        <f>IFERROR('Delivery Ops'!$G$19,"")</f>
        <v>5</v>
      </c>
      <c r="T181" s="28">
        <f>IFERROR('Delivery Ops'!$W$19,"")</f>
        <v>4</v>
      </c>
      <c r="U181" s="28">
        <f>IFERROR('Delivery Ops'!$X$19,"")</f>
        <v>5</v>
      </c>
      <c r="V181" s="28">
        <f>IFERROR('Delivery Ops'!$Y$19,"")</f>
        <v>5</v>
      </c>
      <c r="W181" s="7" t="s">
        <v>3493</v>
      </c>
      <c r="X181" s="7" t="s">
        <v>3494</v>
      </c>
      <c r="Y181" s="7" t="s">
        <v>3628</v>
      </c>
      <c r="Z181" s="7">
        <f>IFERROR('Delivery Ops'!$U$19,"")</f>
        <v>0</v>
      </c>
      <c r="AA181" s="7"/>
      <c r="AB181" s="29"/>
      <c r="AC181" s="7"/>
      <c r="AD181" s="48" t="str">
        <f>IF($B181="Yes",IFERROR(SUMIFS(_TECH_Crisis_Model!$D$5:$D$191,_TECH_Crisis_Model!$A$5:$A$191,'Crisis Simulator'!$B$4,_TECH_Crisis_Model!$B$5:$B$191,$C181),1),"")</f>
        <v/>
      </c>
      <c r="AE181" s="48" t="str">
        <f t="shared" si="28"/>
        <v/>
      </c>
      <c r="AF181" s="48" t="str">
        <f>IFERROR(INDEX(_TECH_Crisis_Model!$E$5:$E$191,MATCH('Crisis Simulator'!$B$4&amp;"|"&amp;$C181,_TECH_Crisis_Model!$I$5:$I$191,0)),"")</f>
        <v>Delivery capacity, SLA control and operational handover determine customer continuity.</v>
      </c>
      <c r="AG181" s="48" t="str">
        <f>IFERROR(INDEX(_TECH_Crisis_Model!$G$5:$G$191,MATCH('Crisis Simulator'!$B$4&amp;"|"&amp;$C181,_TECH_Crisis_Model!$I$5:$I$191,0)),"")</f>
        <v>Define alternative delivery models, capacity buffers, SLA triage and incident recovery procedures.</v>
      </c>
      <c r="AH181" s="48" t="str">
        <f>IFERROR(INDEX(_TECH_Initiative_Library!$A$5:$A$76,MATCH(1,INDEX((_TECH_Initiative_Library!$B$5:$B$76=$C181)*(_TECH_Initiative_Library!$C$5:$C$76=$D181),0),0)),"")</f>
        <v>INI-030</v>
      </c>
      <c r="AI181" s="48" t="str">
        <f>IFERROR(INDEX(_TECH_Initiative_Library!$F$5:$F$76,MATCH(1,INDEX((_TECH_Initiative_Library!$B$5:$B$76=$C181)*(_TECH_Initiative_Library!$C$5:$C$76=$D181),0),0)),"")</f>
        <v>Strengthen process control, SOPs and operational quality gates</v>
      </c>
      <c r="AJ181" s="48" t="str">
        <f ca="1">IFERROR(INDEX(_TECH_Initiative_Library!$AC$5:$AC$76,MATCH(1,INDEX((_TECH_Initiative_Library!$B$5:$B$76=$C181)*(_TECH_Initiative_Library!$C$5:$C$76=$D181),0),0)),"")</f>
        <v/>
      </c>
      <c r="AK181" s="48" t="str">
        <f ca="1">IFERROR(INDEX(_TECH_Initiative_Library!$AE$5:$AE$76,MATCH(1,INDEX((_TECH_Initiative_Library!$B$5:$B$76=$C181)*(_TECH_Initiative_Library!$C$5:$C$76=$D181),0),0)),"")</f>
        <v/>
      </c>
      <c r="AL181" s="48" t="str">
        <f>IF($B181="Yes",IFERROR(SUMIFS(_TECH_Industry_Templates!$E:$E,_TECH_Industry_Templates!$A:$A,'Company Profile'!$B$9,_TECH_Industry_Templates!$B:$B,$C181),1),"")</f>
        <v/>
      </c>
      <c r="AM181" s="48" t="str">
        <f t="shared" si="29"/>
        <v/>
      </c>
      <c r="AN181" s="48" t="str">
        <f>IF($AM181="","",RANK.EQ($AM181,$AM$8:$AM$414,0)+COUNTIF($AM$8:$AM181,$AM181)-1)</f>
        <v/>
      </c>
    </row>
    <row r="182" spans="1:40" ht="71.25">
      <c r="A182" s="28" t="str">
        <f>IF($AM182="","",RANK.EQ($AM182,$AM$8:$AM$414,0)+COUNTIF($AM$8:$AM182,$AM182)-1)</f>
        <v/>
      </c>
      <c r="B182" s="7" t="str">
        <f t="shared" si="20"/>
        <v/>
      </c>
      <c r="C182" s="7" t="s">
        <v>75</v>
      </c>
      <c r="D182" s="7" t="s">
        <v>1280</v>
      </c>
      <c r="E182" s="7" t="s">
        <v>3636</v>
      </c>
      <c r="F182" s="7" t="s">
        <v>3637</v>
      </c>
      <c r="G182" s="28" t="str">
        <f>IF(OR(COUNTA('Delivery Ops'!$H$20)=0,'Delivery Ops'!$H$20="N/A"),"",VALUE('Delivery Ops'!$H$20))</f>
        <v/>
      </c>
      <c r="H182" s="7" t="str">
        <f t="shared" si="21"/>
        <v/>
      </c>
      <c r="I182" s="7" t="str">
        <f>IF($G182="","",IFERROR(IF('Delivery Ops'!$L$20="",IF($G182&lt;=1,"Critical",IF($G182=2,"High",IF($G182=3,"Medium",IF($G182=4,"Low","Optimized")))),'Delivery Ops'!$L$20),IF($G182&lt;=1,"Critical",IF($G182=2,"High",IF($G182=3,"Medium",IF($G182=4,"Low","Optimized"))))))</f>
        <v/>
      </c>
      <c r="J182" s="7" t="str">
        <f>IF($G182="","",IFERROR(INDEX('Recommendation Matrix'!$E$5:$J$411,MATCH($E182,'Recommendation Matrix'!$A$5:$A$411,0),$G182+1),""))</f>
        <v/>
      </c>
      <c r="K182" s="7" t="str">
        <f>IF($G182="","",IFERROR(VLOOKUP($E182,'Recommendation Matrix'!$A$5:$K$411,11,FALSE),""))</f>
        <v/>
      </c>
      <c r="L182" s="28" t="str">
        <f t="shared" si="22"/>
        <v/>
      </c>
      <c r="M182" s="28" t="str">
        <f>IF($G182="","",IFERROR(INDEX('Recommendation Matrix'!$L$5:$Q$411,MATCH($E182,'Recommendation Matrix'!$A$5:$A$411,0),$G182+1),""))</f>
        <v/>
      </c>
      <c r="N182" s="28" t="str">
        <f t="shared" si="23"/>
        <v/>
      </c>
      <c r="O182" s="28" t="str">
        <f t="shared" si="24"/>
        <v/>
      </c>
      <c r="P182" s="28" t="str">
        <f t="shared" si="25"/>
        <v/>
      </c>
      <c r="Q182" s="28" t="str">
        <f t="shared" si="26"/>
        <v/>
      </c>
      <c r="R182" s="8" t="str">
        <f t="shared" si="27"/>
        <v/>
      </c>
      <c r="S182" s="28">
        <f>IFERROR('Delivery Ops'!$G$20,"")</f>
        <v>4</v>
      </c>
      <c r="T182" s="28">
        <f>IFERROR('Delivery Ops'!$W$20,"")</f>
        <v>4</v>
      </c>
      <c r="U182" s="28">
        <f>IFERROR('Delivery Ops'!$X$20,"")</f>
        <v>5</v>
      </c>
      <c r="V182" s="28">
        <f>IFERROR('Delivery Ops'!$Y$20,"")</f>
        <v>5</v>
      </c>
      <c r="W182" s="7" t="s">
        <v>3493</v>
      </c>
      <c r="X182" s="7" t="s">
        <v>3494</v>
      </c>
      <c r="Y182" s="7" t="s">
        <v>3638</v>
      </c>
      <c r="Z182" s="7">
        <f>IFERROR('Delivery Ops'!$U$20,"")</f>
        <v>0</v>
      </c>
      <c r="AA182" s="7"/>
      <c r="AB182" s="29"/>
      <c r="AC182" s="7"/>
      <c r="AD182" s="48" t="str">
        <f>IF($B182="Yes",IFERROR(SUMIFS(_TECH_Crisis_Model!$D$5:$D$191,_TECH_Crisis_Model!$A$5:$A$191,'Crisis Simulator'!$B$4,_TECH_Crisis_Model!$B$5:$B$191,$C182),1),"")</f>
        <v/>
      </c>
      <c r="AE182" s="48" t="str">
        <f t="shared" si="28"/>
        <v/>
      </c>
      <c r="AF182" s="48" t="str">
        <f>IFERROR(INDEX(_TECH_Crisis_Model!$E$5:$E$191,MATCH('Crisis Simulator'!$B$4&amp;"|"&amp;$C182,_TECH_Crisis_Model!$I$5:$I$191,0)),"")</f>
        <v>Delivery capacity, SLA control and operational handover determine customer continuity.</v>
      </c>
      <c r="AG182" s="48" t="str">
        <f>IFERROR(INDEX(_TECH_Crisis_Model!$G$5:$G$191,MATCH('Crisis Simulator'!$B$4&amp;"|"&amp;$C182,_TECH_Crisis_Model!$I$5:$I$191,0)),"")</f>
        <v>Define alternative delivery models, capacity buffers, SLA triage and incident recovery procedures.</v>
      </c>
      <c r="AH182" s="48" t="str">
        <f>IFERROR(INDEX(_TECH_Initiative_Library!$A$5:$A$76,MATCH(1,INDEX((_TECH_Initiative_Library!$B$5:$B$76=$C182)*(_TECH_Initiative_Library!$C$5:$C$76=$D182),0),0)),"")</f>
        <v>INI-030</v>
      </c>
      <c r="AI182" s="48" t="str">
        <f>IFERROR(INDEX(_TECH_Initiative_Library!$F$5:$F$76,MATCH(1,INDEX((_TECH_Initiative_Library!$B$5:$B$76=$C182)*(_TECH_Initiative_Library!$C$5:$C$76=$D182),0),0)),"")</f>
        <v>Strengthen process control, SOPs and operational quality gates</v>
      </c>
      <c r="AJ182" s="48" t="str">
        <f ca="1">IFERROR(INDEX(_TECH_Initiative_Library!$AC$5:$AC$76,MATCH(1,INDEX((_TECH_Initiative_Library!$B$5:$B$76=$C182)*(_TECH_Initiative_Library!$C$5:$C$76=$D182),0),0)),"")</f>
        <v/>
      </c>
      <c r="AK182" s="48" t="str">
        <f ca="1">IFERROR(INDEX(_TECH_Initiative_Library!$AE$5:$AE$76,MATCH(1,INDEX((_TECH_Initiative_Library!$B$5:$B$76=$C182)*(_TECH_Initiative_Library!$C$5:$C$76=$D182),0),0)),"")</f>
        <v/>
      </c>
      <c r="AL182" s="48" t="str">
        <f>IF($B182="Yes",IFERROR(SUMIFS(_TECH_Industry_Templates!$E:$E,_TECH_Industry_Templates!$A:$A,'Company Profile'!$B$9,_TECH_Industry_Templates!$B:$B,$C182),1),"")</f>
        <v/>
      </c>
      <c r="AM182" s="48" t="str">
        <f t="shared" si="29"/>
        <v/>
      </c>
      <c r="AN182" s="48" t="str">
        <f>IF($AM182="","",RANK.EQ($AM182,$AM$8:$AM$414,0)+COUNTIF($AM$8:$AM182,$AM182)-1)</f>
        <v/>
      </c>
    </row>
    <row r="183" spans="1:40" ht="71.25">
      <c r="A183" s="28" t="str">
        <f>IF($AM183="","",RANK.EQ($AM183,$AM$8:$AM$414,0)+COUNTIF($AM$8:$AM183,$AM183)-1)</f>
        <v/>
      </c>
      <c r="B183" s="7" t="str">
        <f t="shared" si="20"/>
        <v/>
      </c>
      <c r="C183" s="7" t="s">
        <v>75</v>
      </c>
      <c r="D183" s="7" t="s">
        <v>1280</v>
      </c>
      <c r="E183" s="7" t="s">
        <v>3646</v>
      </c>
      <c r="F183" s="7" t="s">
        <v>3647</v>
      </c>
      <c r="G183" s="28" t="str">
        <f>IF(OR(COUNTA('Delivery Ops'!$H$21)=0,'Delivery Ops'!$H$21="N/A"),"",VALUE('Delivery Ops'!$H$21))</f>
        <v/>
      </c>
      <c r="H183" s="7" t="str">
        <f t="shared" si="21"/>
        <v/>
      </c>
      <c r="I183" s="7" t="str">
        <f>IF($G183="","",IFERROR(IF('Delivery Ops'!$L$21="",IF($G183&lt;=1,"Critical",IF($G183=2,"High",IF($G183=3,"Medium",IF($G183=4,"Low","Optimized")))),'Delivery Ops'!$L$21),IF($G183&lt;=1,"Critical",IF($G183=2,"High",IF($G183=3,"Medium",IF($G183=4,"Low","Optimized"))))))</f>
        <v/>
      </c>
      <c r="J183" s="7" t="str">
        <f>IF($G183="","",IFERROR(INDEX('Recommendation Matrix'!$E$5:$J$411,MATCH($E183,'Recommendation Matrix'!$A$5:$A$411,0),$G183+1),""))</f>
        <v/>
      </c>
      <c r="K183" s="7" t="str">
        <f>IF($G183="","",IFERROR(VLOOKUP($E183,'Recommendation Matrix'!$A$5:$K$411,11,FALSE),""))</f>
        <v/>
      </c>
      <c r="L183" s="28" t="str">
        <f t="shared" si="22"/>
        <v/>
      </c>
      <c r="M183" s="28" t="str">
        <f>IF($G183="","",IFERROR(INDEX('Recommendation Matrix'!$L$5:$Q$411,MATCH($E183,'Recommendation Matrix'!$A$5:$A$411,0),$G183+1),""))</f>
        <v/>
      </c>
      <c r="N183" s="28" t="str">
        <f t="shared" si="23"/>
        <v/>
      </c>
      <c r="O183" s="28" t="str">
        <f t="shared" si="24"/>
        <v/>
      </c>
      <c r="P183" s="28" t="str">
        <f t="shared" si="25"/>
        <v/>
      </c>
      <c r="Q183" s="28" t="str">
        <f t="shared" si="26"/>
        <v/>
      </c>
      <c r="R183" s="8" t="str">
        <f t="shared" si="27"/>
        <v/>
      </c>
      <c r="S183" s="28">
        <f>IFERROR('Delivery Ops'!$G$21,"")</f>
        <v>3</v>
      </c>
      <c r="T183" s="28">
        <f>IFERROR('Delivery Ops'!$W$21,"")</f>
        <v>4</v>
      </c>
      <c r="U183" s="28">
        <f>IFERROR('Delivery Ops'!$X$21,"")</f>
        <v>5</v>
      </c>
      <c r="V183" s="28">
        <f>IFERROR('Delivery Ops'!$Y$21,"")</f>
        <v>5</v>
      </c>
      <c r="W183" s="7" t="s">
        <v>3493</v>
      </c>
      <c r="X183" s="7" t="s">
        <v>3494</v>
      </c>
      <c r="Y183" s="7" t="s">
        <v>3648</v>
      </c>
      <c r="Z183" s="7">
        <f>IFERROR('Delivery Ops'!$U$21,"")</f>
        <v>0</v>
      </c>
      <c r="AA183" s="7"/>
      <c r="AB183" s="29"/>
      <c r="AC183" s="7"/>
      <c r="AD183" s="48" t="str">
        <f>IF($B183="Yes",IFERROR(SUMIFS(_TECH_Crisis_Model!$D$5:$D$191,_TECH_Crisis_Model!$A$5:$A$191,'Crisis Simulator'!$B$4,_TECH_Crisis_Model!$B$5:$B$191,$C183),1),"")</f>
        <v/>
      </c>
      <c r="AE183" s="48" t="str">
        <f t="shared" si="28"/>
        <v/>
      </c>
      <c r="AF183" s="48" t="str">
        <f>IFERROR(INDEX(_TECH_Crisis_Model!$E$5:$E$191,MATCH('Crisis Simulator'!$B$4&amp;"|"&amp;$C183,_TECH_Crisis_Model!$I$5:$I$191,0)),"")</f>
        <v>Delivery capacity, SLA control and operational handover determine customer continuity.</v>
      </c>
      <c r="AG183" s="48" t="str">
        <f>IFERROR(INDEX(_TECH_Crisis_Model!$G$5:$G$191,MATCH('Crisis Simulator'!$B$4&amp;"|"&amp;$C183,_TECH_Crisis_Model!$I$5:$I$191,0)),"")</f>
        <v>Define alternative delivery models, capacity buffers, SLA triage and incident recovery procedures.</v>
      </c>
      <c r="AH183" s="48" t="str">
        <f>IFERROR(INDEX(_TECH_Initiative_Library!$A$5:$A$76,MATCH(1,INDEX((_TECH_Initiative_Library!$B$5:$B$76=$C183)*(_TECH_Initiative_Library!$C$5:$C$76=$D183),0),0)),"")</f>
        <v>INI-030</v>
      </c>
      <c r="AI183" s="48" t="str">
        <f>IFERROR(INDEX(_TECH_Initiative_Library!$F$5:$F$76,MATCH(1,INDEX((_TECH_Initiative_Library!$B$5:$B$76=$C183)*(_TECH_Initiative_Library!$C$5:$C$76=$D183),0),0)),"")</f>
        <v>Strengthen process control, SOPs and operational quality gates</v>
      </c>
      <c r="AJ183" s="48" t="str">
        <f ca="1">IFERROR(INDEX(_TECH_Initiative_Library!$AC$5:$AC$76,MATCH(1,INDEX((_TECH_Initiative_Library!$B$5:$B$76=$C183)*(_TECH_Initiative_Library!$C$5:$C$76=$D183),0),0)),"")</f>
        <v/>
      </c>
      <c r="AK183" s="48" t="str">
        <f ca="1">IFERROR(INDEX(_TECH_Initiative_Library!$AE$5:$AE$76,MATCH(1,INDEX((_TECH_Initiative_Library!$B$5:$B$76=$C183)*(_TECH_Initiative_Library!$C$5:$C$76=$D183),0),0)),"")</f>
        <v/>
      </c>
      <c r="AL183" s="48" t="str">
        <f>IF($B183="Yes",IFERROR(SUMIFS(_TECH_Industry_Templates!$E:$E,_TECH_Industry_Templates!$A:$A,'Company Profile'!$B$9,_TECH_Industry_Templates!$B:$B,$C183),1),"")</f>
        <v/>
      </c>
      <c r="AM183" s="48" t="str">
        <f t="shared" si="29"/>
        <v/>
      </c>
      <c r="AN183" s="48" t="str">
        <f>IF($AM183="","",RANK.EQ($AM183,$AM$8:$AM$414,0)+COUNTIF($AM$8:$AM183,$AM183)-1)</f>
        <v/>
      </c>
    </row>
    <row r="184" spans="1:40" ht="57">
      <c r="A184" s="28" t="str">
        <f>IF($AM184="","",RANK.EQ($AM184,$AM$8:$AM$414,0)+COUNTIF($AM$8:$AM184,$AM184)-1)</f>
        <v/>
      </c>
      <c r="B184" s="7" t="str">
        <f t="shared" si="20"/>
        <v/>
      </c>
      <c r="C184" s="7" t="s">
        <v>75</v>
      </c>
      <c r="D184" s="7" t="s">
        <v>1280</v>
      </c>
      <c r="E184" s="7" t="s">
        <v>3656</v>
      </c>
      <c r="F184" s="7" t="s">
        <v>3657</v>
      </c>
      <c r="G184" s="28" t="str">
        <f>IF(OR(COUNTA('Delivery Ops'!$H$22)=0,'Delivery Ops'!$H$22="N/A"),"",VALUE('Delivery Ops'!$H$22))</f>
        <v/>
      </c>
      <c r="H184" s="7" t="str">
        <f t="shared" si="21"/>
        <v/>
      </c>
      <c r="I184" s="7" t="str">
        <f>IF($G184="","",IFERROR(IF('Delivery Ops'!$L$22="",IF($G184&lt;=1,"Critical",IF($G184=2,"High",IF($G184=3,"Medium",IF($G184=4,"Low","Optimized")))),'Delivery Ops'!$L$22),IF($G184&lt;=1,"Critical",IF($G184=2,"High",IF($G184=3,"Medium",IF($G184=4,"Low","Optimized"))))))</f>
        <v/>
      </c>
      <c r="J184" s="7" t="str">
        <f>IF($G184="","",IFERROR(INDEX('Recommendation Matrix'!$E$5:$J$411,MATCH($E184,'Recommendation Matrix'!$A$5:$A$411,0),$G184+1),""))</f>
        <v/>
      </c>
      <c r="K184" s="7" t="str">
        <f>IF($G184="","",IFERROR(VLOOKUP($E184,'Recommendation Matrix'!$A$5:$K$411,11,FALSE),""))</f>
        <v/>
      </c>
      <c r="L184" s="28" t="str">
        <f t="shared" si="22"/>
        <v/>
      </c>
      <c r="M184" s="28" t="str">
        <f>IF($G184="","",IFERROR(INDEX('Recommendation Matrix'!$L$5:$Q$411,MATCH($E184,'Recommendation Matrix'!$A$5:$A$411,0),$G184+1),""))</f>
        <v/>
      </c>
      <c r="N184" s="28" t="str">
        <f t="shared" si="23"/>
        <v/>
      </c>
      <c r="O184" s="28" t="str">
        <f t="shared" si="24"/>
        <v/>
      </c>
      <c r="P184" s="28" t="str">
        <f t="shared" si="25"/>
        <v/>
      </c>
      <c r="Q184" s="28" t="str">
        <f t="shared" si="26"/>
        <v/>
      </c>
      <c r="R184" s="8" t="str">
        <f t="shared" si="27"/>
        <v/>
      </c>
      <c r="S184" s="28">
        <f>IFERROR('Delivery Ops'!$G$22,"")</f>
        <v>3</v>
      </c>
      <c r="T184" s="28">
        <f>IFERROR('Delivery Ops'!$W$22,"")</f>
        <v>4</v>
      </c>
      <c r="U184" s="28">
        <f>IFERROR('Delivery Ops'!$X$22,"")</f>
        <v>5</v>
      </c>
      <c r="V184" s="28">
        <f>IFERROR('Delivery Ops'!$Y$22,"")</f>
        <v>5</v>
      </c>
      <c r="W184" s="7" t="s">
        <v>3493</v>
      </c>
      <c r="X184" s="7" t="s">
        <v>3494</v>
      </c>
      <c r="Y184" s="7" t="s">
        <v>3658</v>
      </c>
      <c r="Z184" s="7">
        <f>IFERROR('Delivery Ops'!$U$22,"")</f>
        <v>0</v>
      </c>
      <c r="AA184" s="7"/>
      <c r="AB184" s="29"/>
      <c r="AC184" s="7"/>
      <c r="AD184" s="48" t="str">
        <f>IF($B184="Yes",IFERROR(SUMIFS(_TECH_Crisis_Model!$D$5:$D$191,_TECH_Crisis_Model!$A$5:$A$191,'Crisis Simulator'!$B$4,_TECH_Crisis_Model!$B$5:$B$191,$C184),1),"")</f>
        <v/>
      </c>
      <c r="AE184" s="48" t="str">
        <f t="shared" si="28"/>
        <v/>
      </c>
      <c r="AF184" s="48" t="str">
        <f>IFERROR(INDEX(_TECH_Crisis_Model!$E$5:$E$191,MATCH('Crisis Simulator'!$B$4&amp;"|"&amp;$C184,_TECH_Crisis_Model!$I$5:$I$191,0)),"")</f>
        <v>Delivery capacity, SLA control and operational handover determine customer continuity.</v>
      </c>
      <c r="AG184" s="48" t="str">
        <f>IFERROR(INDEX(_TECH_Crisis_Model!$G$5:$G$191,MATCH('Crisis Simulator'!$B$4&amp;"|"&amp;$C184,_TECH_Crisis_Model!$I$5:$I$191,0)),"")</f>
        <v>Define alternative delivery models, capacity buffers, SLA triage and incident recovery procedures.</v>
      </c>
      <c r="AH184" s="48" t="str">
        <f>IFERROR(INDEX(_TECH_Initiative_Library!$A$5:$A$76,MATCH(1,INDEX((_TECH_Initiative_Library!$B$5:$B$76=$C184)*(_TECH_Initiative_Library!$C$5:$C$76=$D184),0),0)),"")</f>
        <v>INI-030</v>
      </c>
      <c r="AI184" s="48" t="str">
        <f>IFERROR(INDEX(_TECH_Initiative_Library!$F$5:$F$76,MATCH(1,INDEX((_TECH_Initiative_Library!$B$5:$B$76=$C184)*(_TECH_Initiative_Library!$C$5:$C$76=$D184),0),0)),"")</f>
        <v>Strengthen process control, SOPs and operational quality gates</v>
      </c>
      <c r="AJ184" s="48" t="str">
        <f ca="1">IFERROR(INDEX(_TECH_Initiative_Library!$AC$5:$AC$76,MATCH(1,INDEX((_TECH_Initiative_Library!$B$5:$B$76=$C184)*(_TECH_Initiative_Library!$C$5:$C$76=$D184),0),0)),"")</f>
        <v/>
      </c>
      <c r="AK184" s="48" t="str">
        <f ca="1">IFERROR(INDEX(_TECH_Initiative_Library!$AE$5:$AE$76,MATCH(1,INDEX((_TECH_Initiative_Library!$B$5:$B$76=$C184)*(_TECH_Initiative_Library!$C$5:$C$76=$D184),0),0)),"")</f>
        <v/>
      </c>
      <c r="AL184" s="48" t="str">
        <f>IF($B184="Yes",IFERROR(SUMIFS(_TECH_Industry_Templates!$E:$E,_TECH_Industry_Templates!$A:$A,'Company Profile'!$B$9,_TECH_Industry_Templates!$B:$B,$C184),1),"")</f>
        <v/>
      </c>
      <c r="AM184" s="48" t="str">
        <f t="shared" si="29"/>
        <v/>
      </c>
      <c r="AN184" s="48" t="str">
        <f>IF($AM184="","",RANK.EQ($AM184,$AM$8:$AM$414,0)+COUNTIF($AM$8:$AM184,$AM184)-1)</f>
        <v/>
      </c>
    </row>
    <row r="185" spans="1:40" ht="71.25">
      <c r="A185" s="28" t="str">
        <f>IF($AM185="","",RANK.EQ($AM185,$AM$8:$AM$414,0)+COUNTIF($AM$8:$AM185,$AM185)-1)</f>
        <v/>
      </c>
      <c r="B185" s="7" t="str">
        <f t="shared" si="20"/>
        <v/>
      </c>
      <c r="C185" s="7" t="s">
        <v>75</v>
      </c>
      <c r="D185" s="7" t="s">
        <v>1288</v>
      </c>
      <c r="E185" s="7" t="s">
        <v>3666</v>
      </c>
      <c r="F185" s="7" t="s">
        <v>3667</v>
      </c>
      <c r="G185" s="28" t="str">
        <f>IF(OR(COUNTA('Delivery Ops'!$H$23)=0,'Delivery Ops'!$H$23="N/A"),"",VALUE('Delivery Ops'!$H$23))</f>
        <v/>
      </c>
      <c r="H185" s="7" t="str">
        <f t="shared" si="21"/>
        <v/>
      </c>
      <c r="I185" s="7" t="str">
        <f>IF($G185="","",IFERROR(IF('Delivery Ops'!$L$23="",IF($G185&lt;=1,"Critical",IF($G185=2,"High",IF($G185=3,"Medium",IF($G185=4,"Low","Optimized")))),'Delivery Ops'!$L$23),IF($G185&lt;=1,"Critical",IF($G185=2,"High",IF($G185=3,"Medium",IF($G185=4,"Low","Optimized"))))))</f>
        <v/>
      </c>
      <c r="J185" s="7" t="str">
        <f>IF($G185="","",IFERROR(INDEX('Recommendation Matrix'!$E$5:$J$411,MATCH($E185,'Recommendation Matrix'!$A$5:$A$411,0),$G185+1),""))</f>
        <v/>
      </c>
      <c r="K185" s="7" t="str">
        <f>IF($G185="","",IFERROR(VLOOKUP($E185,'Recommendation Matrix'!$A$5:$K$411,11,FALSE),""))</f>
        <v/>
      </c>
      <c r="L185" s="28" t="str">
        <f t="shared" si="22"/>
        <v/>
      </c>
      <c r="M185" s="28" t="str">
        <f>IF($G185="","",IFERROR(INDEX('Recommendation Matrix'!$L$5:$Q$411,MATCH($E185,'Recommendation Matrix'!$A$5:$A$411,0),$G185+1),""))</f>
        <v/>
      </c>
      <c r="N185" s="28" t="str">
        <f t="shared" si="23"/>
        <v/>
      </c>
      <c r="O185" s="28" t="str">
        <f t="shared" si="24"/>
        <v/>
      </c>
      <c r="P185" s="28" t="str">
        <f t="shared" si="25"/>
        <v/>
      </c>
      <c r="Q185" s="28" t="str">
        <f t="shared" si="26"/>
        <v/>
      </c>
      <c r="R185" s="8" t="str">
        <f t="shared" si="27"/>
        <v/>
      </c>
      <c r="S185" s="28">
        <f>IFERROR('Delivery Ops'!$G$23,"")</f>
        <v>5</v>
      </c>
      <c r="T185" s="28">
        <f>IFERROR('Delivery Ops'!$W$23,"")</f>
        <v>4</v>
      </c>
      <c r="U185" s="28">
        <f>IFERROR('Delivery Ops'!$X$23,"")</f>
        <v>5</v>
      </c>
      <c r="V185" s="28">
        <f>IFERROR('Delivery Ops'!$Y$23,"")</f>
        <v>5</v>
      </c>
      <c r="W185" s="7" t="s">
        <v>3493</v>
      </c>
      <c r="X185" s="7" t="s">
        <v>3494</v>
      </c>
      <c r="Y185" s="7" t="s">
        <v>3668</v>
      </c>
      <c r="Z185" s="7">
        <f>IFERROR('Delivery Ops'!$U$23,"")</f>
        <v>0</v>
      </c>
      <c r="AA185" s="7"/>
      <c r="AB185" s="29"/>
      <c r="AC185" s="7"/>
      <c r="AD185" s="48" t="str">
        <f>IF($B185="Yes",IFERROR(SUMIFS(_TECH_Crisis_Model!$D$5:$D$191,_TECH_Crisis_Model!$A$5:$A$191,'Crisis Simulator'!$B$4,_TECH_Crisis_Model!$B$5:$B$191,$C185),1),"")</f>
        <v/>
      </c>
      <c r="AE185" s="48" t="str">
        <f t="shared" si="28"/>
        <v/>
      </c>
      <c r="AF185" s="48" t="str">
        <f>IFERROR(INDEX(_TECH_Crisis_Model!$E$5:$E$191,MATCH('Crisis Simulator'!$B$4&amp;"|"&amp;$C185,_TECH_Crisis_Model!$I$5:$I$191,0)),"")</f>
        <v>Delivery capacity, SLA control and operational handover determine customer continuity.</v>
      </c>
      <c r="AG185" s="48" t="str">
        <f>IFERROR(INDEX(_TECH_Crisis_Model!$G$5:$G$191,MATCH('Crisis Simulator'!$B$4&amp;"|"&amp;$C185,_TECH_Crisis_Model!$I$5:$I$191,0)),"")</f>
        <v>Define alternative delivery models, capacity buffers, SLA triage and incident recovery procedures.</v>
      </c>
      <c r="AH185" s="48" t="str">
        <f>IFERROR(INDEX(_TECH_Initiative_Library!$A$5:$A$76,MATCH(1,INDEX((_TECH_Initiative_Library!$B$5:$B$76=$C185)*(_TECH_Initiative_Library!$C$5:$C$76=$D185),0),0)),"")</f>
        <v>INI-031</v>
      </c>
      <c r="AI185" s="48" t="str">
        <f>IFERROR(INDEX(_TECH_Initiative_Library!$F$5:$F$76,MATCH(1,INDEX((_TECH_Initiative_Library!$B$5:$B$76=$C185)*(_TECH_Initiative_Library!$C$5:$C$76=$D185),0),0)),"")</f>
        <v>Implement operational visibility dashboards and early warning</v>
      </c>
      <c r="AJ185" s="48" t="str">
        <f ca="1">IFERROR(INDEX(_TECH_Initiative_Library!$AC$5:$AC$76,MATCH(1,INDEX((_TECH_Initiative_Library!$B$5:$B$76=$C185)*(_TECH_Initiative_Library!$C$5:$C$76=$D185),0),0)),"")</f>
        <v/>
      </c>
      <c r="AK185" s="48" t="str">
        <f ca="1">IFERROR(INDEX(_TECH_Initiative_Library!$AE$5:$AE$76,MATCH(1,INDEX((_TECH_Initiative_Library!$B$5:$B$76=$C185)*(_TECH_Initiative_Library!$C$5:$C$76=$D185),0),0)),"")</f>
        <v/>
      </c>
      <c r="AL185" s="48" t="str">
        <f>IF($B185="Yes",IFERROR(SUMIFS(_TECH_Industry_Templates!$E:$E,_TECH_Industry_Templates!$A:$A,'Company Profile'!$B$9,_TECH_Industry_Templates!$B:$B,$C185),1),"")</f>
        <v/>
      </c>
      <c r="AM185" s="48" t="str">
        <f t="shared" si="29"/>
        <v/>
      </c>
      <c r="AN185" s="48" t="str">
        <f>IF($AM185="","",RANK.EQ($AM185,$AM$8:$AM$414,0)+COUNTIF($AM$8:$AM185,$AM185)-1)</f>
        <v/>
      </c>
    </row>
    <row r="186" spans="1:40" ht="85.5">
      <c r="A186" s="28" t="str">
        <f>IF($AM186="","",RANK.EQ($AM186,$AM$8:$AM$414,0)+COUNTIF($AM$8:$AM186,$AM186)-1)</f>
        <v/>
      </c>
      <c r="B186" s="7" t="str">
        <f t="shared" si="20"/>
        <v/>
      </c>
      <c r="C186" s="7" t="s">
        <v>75</v>
      </c>
      <c r="D186" s="7" t="s">
        <v>1288</v>
      </c>
      <c r="E186" s="7" t="s">
        <v>3676</v>
      </c>
      <c r="F186" s="7" t="s">
        <v>3677</v>
      </c>
      <c r="G186" s="28" t="str">
        <f>IF(OR(COUNTA('Delivery Ops'!$H$24)=0,'Delivery Ops'!$H$24="N/A"),"",VALUE('Delivery Ops'!$H$24))</f>
        <v/>
      </c>
      <c r="H186" s="7" t="str">
        <f t="shared" si="21"/>
        <v/>
      </c>
      <c r="I186" s="7" t="str">
        <f>IF($G186="","",IFERROR(IF('Delivery Ops'!$L$24="",IF($G186&lt;=1,"Critical",IF($G186=2,"High",IF($G186=3,"Medium",IF($G186=4,"Low","Optimized")))),'Delivery Ops'!$L$24),IF($G186&lt;=1,"Critical",IF($G186=2,"High",IF($G186=3,"Medium",IF($G186=4,"Low","Optimized"))))))</f>
        <v/>
      </c>
      <c r="J186" s="7" t="str">
        <f>IF($G186="","",IFERROR(INDEX('Recommendation Matrix'!$E$5:$J$411,MATCH($E186,'Recommendation Matrix'!$A$5:$A$411,0),$G186+1),""))</f>
        <v/>
      </c>
      <c r="K186" s="7" t="str">
        <f>IF($G186="","",IFERROR(VLOOKUP($E186,'Recommendation Matrix'!$A$5:$K$411,11,FALSE),""))</f>
        <v/>
      </c>
      <c r="L186" s="28" t="str">
        <f t="shared" si="22"/>
        <v/>
      </c>
      <c r="M186" s="28" t="str">
        <f>IF($G186="","",IFERROR(INDEX('Recommendation Matrix'!$L$5:$Q$411,MATCH($E186,'Recommendation Matrix'!$A$5:$A$411,0),$G186+1),""))</f>
        <v/>
      </c>
      <c r="N186" s="28" t="str">
        <f t="shared" si="23"/>
        <v/>
      </c>
      <c r="O186" s="28" t="str">
        <f t="shared" si="24"/>
        <v/>
      </c>
      <c r="P186" s="28" t="str">
        <f t="shared" si="25"/>
        <v/>
      </c>
      <c r="Q186" s="28" t="str">
        <f t="shared" si="26"/>
        <v/>
      </c>
      <c r="R186" s="8" t="str">
        <f t="shared" si="27"/>
        <v/>
      </c>
      <c r="S186" s="28">
        <f>IFERROR('Delivery Ops'!$G$24,"")</f>
        <v>5</v>
      </c>
      <c r="T186" s="28">
        <f>IFERROR('Delivery Ops'!$W$24,"")</f>
        <v>4</v>
      </c>
      <c r="U186" s="28">
        <f>IFERROR('Delivery Ops'!$X$24,"")</f>
        <v>5</v>
      </c>
      <c r="V186" s="28">
        <f>IFERROR('Delivery Ops'!$Y$24,"")</f>
        <v>5</v>
      </c>
      <c r="W186" s="7" t="s">
        <v>3493</v>
      </c>
      <c r="X186" s="7" t="s">
        <v>3494</v>
      </c>
      <c r="Y186" s="7" t="s">
        <v>3678</v>
      </c>
      <c r="Z186" s="7">
        <f>IFERROR('Delivery Ops'!$U$24,"")</f>
        <v>0</v>
      </c>
      <c r="AA186" s="7"/>
      <c r="AB186" s="29"/>
      <c r="AC186" s="7"/>
      <c r="AD186" s="48" t="str">
        <f>IF($B186="Yes",IFERROR(SUMIFS(_TECH_Crisis_Model!$D$5:$D$191,_TECH_Crisis_Model!$A$5:$A$191,'Crisis Simulator'!$B$4,_TECH_Crisis_Model!$B$5:$B$191,$C186),1),"")</f>
        <v/>
      </c>
      <c r="AE186" s="48" t="str">
        <f t="shared" si="28"/>
        <v/>
      </c>
      <c r="AF186" s="48" t="str">
        <f>IFERROR(INDEX(_TECH_Crisis_Model!$E$5:$E$191,MATCH('Crisis Simulator'!$B$4&amp;"|"&amp;$C186,_TECH_Crisis_Model!$I$5:$I$191,0)),"")</f>
        <v>Delivery capacity, SLA control and operational handover determine customer continuity.</v>
      </c>
      <c r="AG186" s="48" t="str">
        <f>IFERROR(INDEX(_TECH_Crisis_Model!$G$5:$G$191,MATCH('Crisis Simulator'!$B$4&amp;"|"&amp;$C186,_TECH_Crisis_Model!$I$5:$I$191,0)),"")</f>
        <v>Define alternative delivery models, capacity buffers, SLA triage and incident recovery procedures.</v>
      </c>
      <c r="AH186" s="48" t="str">
        <f>IFERROR(INDEX(_TECH_Initiative_Library!$A$5:$A$76,MATCH(1,INDEX((_TECH_Initiative_Library!$B$5:$B$76=$C186)*(_TECH_Initiative_Library!$C$5:$C$76=$D186),0),0)),"")</f>
        <v>INI-031</v>
      </c>
      <c r="AI186" s="48" t="str">
        <f>IFERROR(INDEX(_TECH_Initiative_Library!$F$5:$F$76,MATCH(1,INDEX((_TECH_Initiative_Library!$B$5:$B$76=$C186)*(_TECH_Initiative_Library!$C$5:$C$76=$D186),0),0)),"")</f>
        <v>Implement operational visibility dashboards and early warning</v>
      </c>
      <c r="AJ186" s="48" t="str">
        <f ca="1">IFERROR(INDEX(_TECH_Initiative_Library!$AC$5:$AC$76,MATCH(1,INDEX((_TECH_Initiative_Library!$B$5:$B$76=$C186)*(_TECH_Initiative_Library!$C$5:$C$76=$D186),0),0)),"")</f>
        <v/>
      </c>
      <c r="AK186" s="48" t="str">
        <f ca="1">IFERROR(INDEX(_TECH_Initiative_Library!$AE$5:$AE$76,MATCH(1,INDEX((_TECH_Initiative_Library!$B$5:$B$76=$C186)*(_TECH_Initiative_Library!$C$5:$C$76=$D186),0),0)),"")</f>
        <v/>
      </c>
      <c r="AL186" s="48" t="str">
        <f>IF($B186="Yes",IFERROR(SUMIFS(_TECH_Industry_Templates!$E:$E,_TECH_Industry_Templates!$A:$A,'Company Profile'!$B$9,_TECH_Industry_Templates!$B:$B,$C186),1),"")</f>
        <v/>
      </c>
      <c r="AM186" s="48" t="str">
        <f t="shared" si="29"/>
        <v/>
      </c>
      <c r="AN186" s="48" t="str">
        <f>IF($AM186="","",RANK.EQ($AM186,$AM$8:$AM$414,0)+COUNTIF($AM$8:$AM186,$AM186)-1)</f>
        <v/>
      </c>
    </row>
    <row r="187" spans="1:40" ht="71.25">
      <c r="A187" s="28" t="str">
        <f>IF($AM187="","",RANK.EQ($AM187,$AM$8:$AM$414,0)+COUNTIF($AM$8:$AM187,$AM187)-1)</f>
        <v/>
      </c>
      <c r="B187" s="7" t="str">
        <f t="shared" si="20"/>
        <v/>
      </c>
      <c r="C187" s="7" t="s">
        <v>75</v>
      </c>
      <c r="D187" s="7" t="s">
        <v>1288</v>
      </c>
      <c r="E187" s="7" t="s">
        <v>3686</v>
      </c>
      <c r="F187" s="7" t="s">
        <v>3687</v>
      </c>
      <c r="G187" s="28" t="str">
        <f>IF(OR(COUNTA('Delivery Ops'!$H$25)=0,'Delivery Ops'!$H$25="N/A"),"",VALUE('Delivery Ops'!$H$25))</f>
        <v/>
      </c>
      <c r="H187" s="7" t="str">
        <f t="shared" si="21"/>
        <v/>
      </c>
      <c r="I187" s="7" t="str">
        <f>IF($G187="","",IFERROR(IF('Delivery Ops'!$L$25="",IF($G187&lt;=1,"Critical",IF($G187=2,"High",IF($G187=3,"Medium",IF($G187=4,"Low","Optimized")))),'Delivery Ops'!$L$25),IF($G187&lt;=1,"Critical",IF($G187=2,"High",IF($G187=3,"Medium",IF($G187=4,"Low","Optimized"))))))</f>
        <v/>
      </c>
      <c r="J187" s="7" t="str">
        <f>IF($G187="","",IFERROR(INDEX('Recommendation Matrix'!$E$5:$J$411,MATCH($E187,'Recommendation Matrix'!$A$5:$A$411,0),$G187+1),""))</f>
        <v/>
      </c>
      <c r="K187" s="7" t="str">
        <f>IF($G187="","",IFERROR(VLOOKUP($E187,'Recommendation Matrix'!$A$5:$K$411,11,FALSE),""))</f>
        <v/>
      </c>
      <c r="L187" s="28" t="str">
        <f t="shared" si="22"/>
        <v/>
      </c>
      <c r="M187" s="28" t="str">
        <f>IF($G187="","",IFERROR(INDEX('Recommendation Matrix'!$L$5:$Q$411,MATCH($E187,'Recommendation Matrix'!$A$5:$A$411,0),$G187+1),""))</f>
        <v/>
      </c>
      <c r="N187" s="28" t="str">
        <f t="shared" si="23"/>
        <v/>
      </c>
      <c r="O187" s="28" t="str">
        <f t="shared" si="24"/>
        <v/>
      </c>
      <c r="P187" s="28" t="str">
        <f t="shared" si="25"/>
        <v/>
      </c>
      <c r="Q187" s="28" t="str">
        <f t="shared" si="26"/>
        <v/>
      </c>
      <c r="R187" s="8" t="str">
        <f t="shared" si="27"/>
        <v/>
      </c>
      <c r="S187" s="28">
        <f>IFERROR('Delivery Ops'!$G$25,"")</f>
        <v>4</v>
      </c>
      <c r="T187" s="28">
        <f>IFERROR('Delivery Ops'!$W$25,"")</f>
        <v>4</v>
      </c>
      <c r="U187" s="28">
        <f>IFERROR('Delivery Ops'!$X$25,"")</f>
        <v>5</v>
      </c>
      <c r="V187" s="28">
        <f>IFERROR('Delivery Ops'!$Y$25,"")</f>
        <v>5</v>
      </c>
      <c r="W187" s="7" t="s">
        <v>3493</v>
      </c>
      <c r="X187" s="7" t="s">
        <v>3494</v>
      </c>
      <c r="Y187" s="7" t="s">
        <v>3688</v>
      </c>
      <c r="Z187" s="7">
        <f>IFERROR('Delivery Ops'!$U$25,"")</f>
        <v>0</v>
      </c>
      <c r="AA187" s="7"/>
      <c r="AB187" s="29"/>
      <c r="AC187" s="7"/>
      <c r="AD187" s="48" t="str">
        <f>IF($B187="Yes",IFERROR(SUMIFS(_TECH_Crisis_Model!$D$5:$D$191,_TECH_Crisis_Model!$A$5:$A$191,'Crisis Simulator'!$B$4,_TECH_Crisis_Model!$B$5:$B$191,$C187),1),"")</f>
        <v/>
      </c>
      <c r="AE187" s="48" t="str">
        <f t="shared" si="28"/>
        <v/>
      </c>
      <c r="AF187" s="48" t="str">
        <f>IFERROR(INDEX(_TECH_Crisis_Model!$E$5:$E$191,MATCH('Crisis Simulator'!$B$4&amp;"|"&amp;$C187,_TECH_Crisis_Model!$I$5:$I$191,0)),"")</f>
        <v>Delivery capacity, SLA control and operational handover determine customer continuity.</v>
      </c>
      <c r="AG187" s="48" t="str">
        <f>IFERROR(INDEX(_TECH_Crisis_Model!$G$5:$G$191,MATCH('Crisis Simulator'!$B$4&amp;"|"&amp;$C187,_TECH_Crisis_Model!$I$5:$I$191,0)),"")</f>
        <v>Define alternative delivery models, capacity buffers, SLA triage and incident recovery procedures.</v>
      </c>
      <c r="AH187" s="48" t="str">
        <f>IFERROR(INDEX(_TECH_Initiative_Library!$A$5:$A$76,MATCH(1,INDEX((_TECH_Initiative_Library!$B$5:$B$76=$C187)*(_TECH_Initiative_Library!$C$5:$C$76=$D187),0),0)),"")</f>
        <v>INI-031</v>
      </c>
      <c r="AI187" s="48" t="str">
        <f>IFERROR(INDEX(_TECH_Initiative_Library!$F$5:$F$76,MATCH(1,INDEX((_TECH_Initiative_Library!$B$5:$B$76=$C187)*(_TECH_Initiative_Library!$C$5:$C$76=$D187),0),0)),"")</f>
        <v>Implement operational visibility dashboards and early warning</v>
      </c>
      <c r="AJ187" s="48" t="str">
        <f ca="1">IFERROR(INDEX(_TECH_Initiative_Library!$AC$5:$AC$76,MATCH(1,INDEX((_TECH_Initiative_Library!$B$5:$B$76=$C187)*(_TECH_Initiative_Library!$C$5:$C$76=$D187),0),0)),"")</f>
        <v/>
      </c>
      <c r="AK187" s="48" t="str">
        <f ca="1">IFERROR(INDEX(_TECH_Initiative_Library!$AE$5:$AE$76,MATCH(1,INDEX((_TECH_Initiative_Library!$B$5:$B$76=$C187)*(_TECH_Initiative_Library!$C$5:$C$76=$D187),0),0)),"")</f>
        <v/>
      </c>
      <c r="AL187" s="48" t="str">
        <f>IF($B187="Yes",IFERROR(SUMIFS(_TECH_Industry_Templates!$E:$E,_TECH_Industry_Templates!$A:$A,'Company Profile'!$B$9,_TECH_Industry_Templates!$B:$B,$C187),1),"")</f>
        <v/>
      </c>
      <c r="AM187" s="48" t="str">
        <f t="shared" si="29"/>
        <v/>
      </c>
      <c r="AN187" s="48" t="str">
        <f>IF($AM187="","",RANK.EQ($AM187,$AM$8:$AM$414,0)+COUNTIF($AM$8:$AM187,$AM187)-1)</f>
        <v/>
      </c>
    </row>
    <row r="188" spans="1:40" ht="57">
      <c r="A188" s="28" t="str">
        <f>IF($AM188="","",RANK.EQ($AM188,$AM$8:$AM$414,0)+COUNTIF($AM$8:$AM188,$AM188)-1)</f>
        <v/>
      </c>
      <c r="B188" s="7" t="str">
        <f t="shared" si="20"/>
        <v/>
      </c>
      <c r="C188" s="7" t="s">
        <v>75</v>
      </c>
      <c r="D188" s="7" t="s">
        <v>1288</v>
      </c>
      <c r="E188" s="7" t="s">
        <v>3696</v>
      </c>
      <c r="F188" s="7" t="s">
        <v>3697</v>
      </c>
      <c r="G188" s="28" t="str">
        <f>IF(OR(COUNTA('Delivery Ops'!$H$26)=0,'Delivery Ops'!$H$26="N/A"),"",VALUE('Delivery Ops'!$H$26))</f>
        <v/>
      </c>
      <c r="H188" s="7" t="str">
        <f t="shared" si="21"/>
        <v/>
      </c>
      <c r="I188" s="7" t="str">
        <f>IF($G188="","",IFERROR(IF('Delivery Ops'!$L$26="",IF($G188&lt;=1,"Critical",IF($G188=2,"High",IF($G188=3,"Medium",IF($G188=4,"Low","Optimized")))),'Delivery Ops'!$L$26),IF($G188&lt;=1,"Critical",IF($G188=2,"High",IF($G188=3,"Medium",IF($G188=4,"Low","Optimized"))))))</f>
        <v/>
      </c>
      <c r="J188" s="7" t="str">
        <f>IF($G188="","",IFERROR(INDEX('Recommendation Matrix'!$E$5:$J$411,MATCH($E188,'Recommendation Matrix'!$A$5:$A$411,0),$G188+1),""))</f>
        <v/>
      </c>
      <c r="K188" s="7" t="str">
        <f>IF($G188="","",IFERROR(VLOOKUP($E188,'Recommendation Matrix'!$A$5:$K$411,11,FALSE),""))</f>
        <v/>
      </c>
      <c r="L188" s="28" t="str">
        <f t="shared" si="22"/>
        <v/>
      </c>
      <c r="M188" s="28" t="str">
        <f>IF($G188="","",IFERROR(INDEX('Recommendation Matrix'!$L$5:$Q$411,MATCH($E188,'Recommendation Matrix'!$A$5:$A$411,0),$G188+1),""))</f>
        <v/>
      </c>
      <c r="N188" s="28" t="str">
        <f t="shared" si="23"/>
        <v/>
      </c>
      <c r="O188" s="28" t="str">
        <f t="shared" si="24"/>
        <v/>
      </c>
      <c r="P188" s="28" t="str">
        <f t="shared" si="25"/>
        <v/>
      </c>
      <c r="Q188" s="28" t="str">
        <f t="shared" si="26"/>
        <v/>
      </c>
      <c r="R188" s="8" t="str">
        <f t="shared" si="27"/>
        <v/>
      </c>
      <c r="S188" s="28">
        <f>IFERROR('Delivery Ops'!$G$26,"")</f>
        <v>5</v>
      </c>
      <c r="T188" s="28">
        <f>IFERROR('Delivery Ops'!$W$26,"")</f>
        <v>4</v>
      </c>
      <c r="U188" s="28">
        <f>IFERROR('Delivery Ops'!$X$26,"")</f>
        <v>5</v>
      </c>
      <c r="V188" s="28">
        <f>IFERROR('Delivery Ops'!$Y$26,"")</f>
        <v>5</v>
      </c>
      <c r="W188" s="7" t="s">
        <v>3493</v>
      </c>
      <c r="X188" s="7" t="s">
        <v>3494</v>
      </c>
      <c r="Y188" s="7" t="s">
        <v>3698</v>
      </c>
      <c r="Z188" s="7">
        <f>IFERROR('Delivery Ops'!$U$26,"")</f>
        <v>0</v>
      </c>
      <c r="AA188" s="7"/>
      <c r="AB188" s="29"/>
      <c r="AC188" s="7"/>
      <c r="AD188" s="48" t="str">
        <f>IF($B188="Yes",IFERROR(SUMIFS(_TECH_Crisis_Model!$D$5:$D$191,_TECH_Crisis_Model!$A$5:$A$191,'Crisis Simulator'!$B$4,_TECH_Crisis_Model!$B$5:$B$191,$C188),1),"")</f>
        <v/>
      </c>
      <c r="AE188" s="48" t="str">
        <f t="shared" si="28"/>
        <v/>
      </c>
      <c r="AF188" s="48" t="str">
        <f>IFERROR(INDEX(_TECH_Crisis_Model!$E$5:$E$191,MATCH('Crisis Simulator'!$B$4&amp;"|"&amp;$C188,_TECH_Crisis_Model!$I$5:$I$191,0)),"")</f>
        <v>Delivery capacity, SLA control and operational handover determine customer continuity.</v>
      </c>
      <c r="AG188" s="48" t="str">
        <f>IFERROR(INDEX(_TECH_Crisis_Model!$G$5:$G$191,MATCH('Crisis Simulator'!$B$4&amp;"|"&amp;$C188,_TECH_Crisis_Model!$I$5:$I$191,0)),"")</f>
        <v>Define alternative delivery models, capacity buffers, SLA triage and incident recovery procedures.</v>
      </c>
      <c r="AH188" s="48" t="str">
        <f>IFERROR(INDEX(_TECH_Initiative_Library!$A$5:$A$76,MATCH(1,INDEX((_TECH_Initiative_Library!$B$5:$B$76=$C188)*(_TECH_Initiative_Library!$C$5:$C$76=$D188),0),0)),"")</f>
        <v>INI-031</v>
      </c>
      <c r="AI188" s="48" t="str">
        <f>IFERROR(INDEX(_TECH_Initiative_Library!$F$5:$F$76,MATCH(1,INDEX((_TECH_Initiative_Library!$B$5:$B$76=$C188)*(_TECH_Initiative_Library!$C$5:$C$76=$D188),0),0)),"")</f>
        <v>Implement operational visibility dashboards and early warning</v>
      </c>
      <c r="AJ188" s="48" t="str">
        <f ca="1">IFERROR(INDEX(_TECH_Initiative_Library!$AC$5:$AC$76,MATCH(1,INDEX((_TECH_Initiative_Library!$B$5:$B$76=$C188)*(_TECH_Initiative_Library!$C$5:$C$76=$D188),0),0)),"")</f>
        <v/>
      </c>
      <c r="AK188" s="48" t="str">
        <f ca="1">IFERROR(INDEX(_TECH_Initiative_Library!$AE$5:$AE$76,MATCH(1,INDEX((_TECH_Initiative_Library!$B$5:$B$76=$C188)*(_TECH_Initiative_Library!$C$5:$C$76=$D188),0),0)),"")</f>
        <v/>
      </c>
      <c r="AL188" s="48" t="str">
        <f>IF($B188="Yes",IFERROR(SUMIFS(_TECH_Industry_Templates!$E:$E,_TECH_Industry_Templates!$A:$A,'Company Profile'!$B$9,_TECH_Industry_Templates!$B:$B,$C188),1),"")</f>
        <v/>
      </c>
      <c r="AM188" s="48" t="str">
        <f t="shared" si="29"/>
        <v/>
      </c>
      <c r="AN188" s="48" t="str">
        <f>IF($AM188="","",RANK.EQ($AM188,$AM$8:$AM$414,0)+COUNTIF($AM$8:$AM188,$AM188)-1)</f>
        <v/>
      </c>
    </row>
    <row r="189" spans="1:40" ht="71.25">
      <c r="A189" s="28" t="str">
        <f>IF($AM189="","",RANK.EQ($AM189,$AM$8:$AM$414,0)+COUNTIF($AM$8:$AM189,$AM189)-1)</f>
        <v/>
      </c>
      <c r="B189" s="7" t="str">
        <f t="shared" si="20"/>
        <v/>
      </c>
      <c r="C189" s="7" t="s">
        <v>75</v>
      </c>
      <c r="D189" s="7" t="s">
        <v>1288</v>
      </c>
      <c r="E189" s="7" t="s">
        <v>3706</v>
      </c>
      <c r="F189" s="7" t="s">
        <v>3707</v>
      </c>
      <c r="G189" s="28" t="str">
        <f>IF(OR(COUNTA('Delivery Ops'!$H$27)=0,'Delivery Ops'!$H$27="N/A"),"",VALUE('Delivery Ops'!$H$27))</f>
        <v/>
      </c>
      <c r="H189" s="7" t="str">
        <f t="shared" si="21"/>
        <v/>
      </c>
      <c r="I189" s="7" t="str">
        <f>IF($G189="","",IFERROR(IF('Delivery Ops'!$L$27="",IF($G189&lt;=1,"Critical",IF($G189=2,"High",IF($G189=3,"Medium",IF($G189=4,"Low","Optimized")))),'Delivery Ops'!$L$27),IF($G189&lt;=1,"Critical",IF($G189=2,"High",IF($G189=3,"Medium",IF($G189=4,"Low","Optimized"))))))</f>
        <v/>
      </c>
      <c r="J189" s="7" t="str">
        <f>IF($G189="","",IFERROR(INDEX('Recommendation Matrix'!$E$5:$J$411,MATCH($E189,'Recommendation Matrix'!$A$5:$A$411,0),$G189+1),""))</f>
        <v/>
      </c>
      <c r="K189" s="7" t="str">
        <f>IF($G189="","",IFERROR(VLOOKUP($E189,'Recommendation Matrix'!$A$5:$K$411,11,FALSE),""))</f>
        <v/>
      </c>
      <c r="L189" s="28" t="str">
        <f t="shared" si="22"/>
        <v/>
      </c>
      <c r="M189" s="28" t="str">
        <f>IF($G189="","",IFERROR(INDEX('Recommendation Matrix'!$L$5:$Q$411,MATCH($E189,'Recommendation Matrix'!$A$5:$A$411,0),$G189+1),""))</f>
        <v/>
      </c>
      <c r="N189" s="28" t="str">
        <f t="shared" si="23"/>
        <v/>
      </c>
      <c r="O189" s="28" t="str">
        <f t="shared" si="24"/>
        <v/>
      </c>
      <c r="P189" s="28" t="str">
        <f t="shared" si="25"/>
        <v/>
      </c>
      <c r="Q189" s="28" t="str">
        <f t="shared" si="26"/>
        <v/>
      </c>
      <c r="R189" s="8" t="str">
        <f t="shared" si="27"/>
        <v/>
      </c>
      <c r="S189" s="28">
        <f>IFERROR('Delivery Ops'!$G$27,"")</f>
        <v>5</v>
      </c>
      <c r="T189" s="28">
        <f>IFERROR('Delivery Ops'!$W$27,"")</f>
        <v>4</v>
      </c>
      <c r="U189" s="28">
        <f>IFERROR('Delivery Ops'!$X$27,"")</f>
        <v>5</v>
      </c>
      <c r="V189" s="28">
        <f>IFERROR('Delivery Ops'!$Y$27,"")</f>
        <v>5</v>
      </c>
      <c r="W189" s="7" t="s">
        <v>3493</v>
      </c>
      <c r="X189" s="7" t="s">
        <v>3494</v>
      </c>
      <c r="Y189" s="7" t="s">
        <v>3708</v>
      </c>
      <c r="Z189" s="7">
        <f>IFERROR('Delivery Ops'!$U$27,"")</f>
        <v>0</v>
      </c>
      <c r="AA189" s="7"/>
      <c r="AB189" s="29"/>
      <c r="AC189" s="7"/>
      <c r="AD189" s="48" t="str">
        <f>IF($B189="Yes",IFERROR(SUMIFS(_TECH_Crisis_Model!$D$5:$D$191,_TECH_Crisis_Model!$A$5:$A$191,'Crisis Simulator'!$B$4,_TECH_Crisis_Model!$B$5:$B$191,$C189),1),"")</f>
        <v/>
      </c>
      <c r="AE189" s="48" t="str">
        <f t="shared" si="28"/>
        <v/>
      </c>
      <c r="AF189" s="48" t="str">
        <f>IFERROR(INDEX(_TECH_Crisis_Model!$E$5:$E$191,MATCH('Crisis Simulator'!$B$4&amp;"|"&amp;$C189,_TECH_Crisis_Model!$I$5:$I$191,0)),"")</f>
        <v>Delivery capacity, SLA control and operational handover determine customer continuity.</v>
      </c>
      <c r="AG189" s="48" t="str">
        <f>IFERROR(INDEX(_TECH_Crisis_Model!$G$5:$G$191,MATCH('Crisis Simulator'!$B$4&amp;"|"&amp;$C189,_TECH_Crisis_Model!$I$5:$I$191,0)),"")</f>
        <v>Define alternative delivery models, capacity buffers, SLA triage and incident recovery procedures.</v>
      </c>
      <c r="AH189" s="48" t="str">
        <f>IFERROR(INDEX(_TECH_Initiative_Library!$A$5:$A$76,MATCH(1,INDEX((_TECH_Initiative_Library!$B$5:$B$76=$C189)*(_TECH_Initiative_Library!$C$5:$C$76=$D189),0),0)),"")</f>
        <v>INI-031</v>
      </c>
      <c r="AI189" s="48" t="str">
        <f>IFERROR(INDEX(_TECH_Initiative_Library!$F$5:$F$76,MATCH(1,INDEX((_TECH_Initiative_Library!$B$5:$B$76=$C189)*(_TECH_Initiative_Library!$C$5:$C$76=$D189),0),0)),"")</f>
        <v>Implement operational visibility dashboards and early warning</v>
      </c>
      <c r="AJ189" s="48" t="str">
        <f ca="1">IFERROR(INDEX(_TECH_Initiative_Library!$AC$5:$AC$76,MATCH(1,INDEX((_TECH_Initiative_Library!$B$5:$B$76=$C189)*(_TECH_Initiative_Library!$C$5:$C$76=$D189),0),0)),"")</f>
        <v/>
      </c>
      <c r="AK189" s="48" t="str">
        <f ca="1">IFERROR(INDEX(_TECH_Initiative_Library!$AE$5:$AE$76,MATCH(1,INDEX((_TECH_Initiative_Library!$B$5:$B$76=$C189)*(_TECH_Initiative_Library!$C$5:$C$76=$D189),0),0)),"")</f>
        <v/>
      </c>
      <c r="AL189" s="48" t="str">
        <f>IF($B189="Yes",IFERROR(SUMIFS(_TECH_Industry_Templates!$E:$E,_TECH_Industry_Templates!$A:$A,'Company Profile'!$B$9,_TECH_Industry_Templates!$B:$B,$C189),1),"")</f>
        <v/>
      </c>
      <c r="AM189" s="48" t="str">
        <f t="shared" si="29"/>
        <v/>
      </c>
      <c r="AN189" s="48" t="str">
        <f>IF($AM189="","",RANK.EQ($AM189,$AM$8:$AM$414,0)+COUNTIF($AM$8:$AM189,$AM189)-1)</f>
        <v/>
      </c>
    </row>
    <row r="190" spans="1:40" ht="71.25">
      <c r="A190" s="28" t="str">
        <f>IF($AM190="","",RANK.EQ($AM190,$AM$8:$AM$414,0)+COUNTIF($AM$8:$AM190,$AM190)-1)</f>
        <v/>
      </c>
      <c r="B190" s="7" t="str">
        <f t="shared" si="20"/>
        <v/>
      </c>
      <c r="C190" s="7" t="s">
        <v>75</v>
      </c>
      <c r="D190" s="7" t="s">
        <v>1288</v>
      </c>
      <c r="E190" s="7" t="s">
        <v>3716</v>
      </c>
      <c r="F190" s="7" t="s">
        <v>3717</v>
      </c>
      <c r="G190" s="28" t="str">
        <f>IF(OR(COUNTA('Delivery Ops'!$H$28)=0,'Delivery Ops'!$H$28="N/A"),"",VALUE('Delivery Ops'!$H$28))</f>
        <v/>
      </c>
      <c r="H190" s="7" t="str">
        <f t="shared" si="21"/>
        <v/>
      </c>
      <c r="I190" s="7" t="str">
        <f>IF($G190="","",IFERROR(IF('Delivery Ops'!$L$28="",IF($G190&lt;=1,"Critical",IF($G190=2,"High",IF($G190=3,"Medium",IF($G190=4,"Low","Optimized")))),'Delivery Ops'!$L$28),IF($G190&lt;=1,"Critical",IF($G190=2,"High",IF($G190=3,"Medium",IF($G190=4,"Low","Optimized"))))))</f>
        <v/>
      </c>
      <c r="J190" s="7" t="str">
        <f>IF($G190="","",IFERROR(INDEX('Recommendation Matrix'!$E$5:$J$411,MATCH($E190,'Recommendation Matrix'!$A$5:$A$411,0),$G190+1),""))</f>
        <v/>
      </c>
      <c r="K190" s="7" t="str">
        <f>IF($G190="","",IFERROR(VLOOKUP($E190,'Recommendation Matrix'!$A$5:$K$411,11,FALSE),""))</f>
        <v/>
      </c>
      <c r="L190" s="28" t="str">
        <f t="shared" si="22"/>
        <v/>
      </c>
      <c r="M190" s="28" t="str">
        <f>IF($G190="","",IFERROR(INDEX('Recommendation Matrix'!$L$5:$Q$411,MATCH($E190,'Recommendation Matrix'!$A$5:$A$411,0),$G190+1),""))</f>
        <v/>
      </c>
      <c r="N190" s="28" t="str">
        <f t="shared" si="23"/>
        <v/>
      </c>
      <c r="O190" s="28" t="str">
        <f t="shared" si="24"/>
        <v/>
      </c>
      <c r="P190" s="28" t="str">
        <f t="shared" si="25"/>
        <v/>
      </c>
      <c r="Q190" s="28" t="str">
        <f t="shared" si="26"/>
        <v/>
      </c>
      <c r="R190" s="8" t="str">
        <f t="shared" si="27"/>
        <v/>
      </c>
      <c r="S190" s="28">
        <f>IFERROR('Delivery Ops'!$G$28,"")</f>
        <v>5</v>
      </c>
      <c r="T190" s="28">
        <f>IFERROR('Delivery Ops'!$W$28,"")</f>
        <v>4</v>
      </c>
      <c r="U190" s="28">
        <f>IFERROR('Delivery Ops'!$X$28,"")</f>
        <v>5</v>
      </c>
      <c r="V190" s="28">
        <f>IFERROR('Delivery Ops'!$Y$28,"")</f>
        <v>5</v>
      </c>
      <c r="W190" s="7" t="s">
        <v>3493</v>
      </c>
      <c r="X190" s="7" t="s">
        <v>3494</v>
      </c>
      <c r="Y190" s="7" t="s">
        <v>3718</v>
      </c>
      <c r="Z190" s="7">
        <f>IFERROR('Delivery Ops'!$U$28,"")</f>
        <v>0</v>
      </c>
      <c r="AA190" s="7"/>
      <c r="AB190" s="29"/>
      <c r="AC190" s="7"/>
      <c r="AD190" s="48" t="str">
        <f>IF($B190="Yes",IFERROR(SUMIFS(_TECH_Crisis_Model!$D$5:$D$191,_TECH_Crisis_Model!$A$5:$A$191,'Crisis Simulator'!$B$4,_TECH_Crisis_Model!$B$5:$B$191,$C190),1),"")</f>
        <v/>
      </c>
      <c r="AE190" s="48" t="str">
        <f t="shared" si="28"/>
        <v/>
      </c>
      <c r="AF190" s="48" t="str">
        <f>IFERROR(INDEX(_TECH_Crisis_Model!$E$5:$E$191,MATCH('Crisis Simulator'!$B$4&amp;"|"&amp;$C190,_TECH_Crisis_Model!$I$5:$I$191,0)),"")</f>
        <v>Delivery capacity, SLA control and operational handover determine customer continuity.</v>
      </c>
      <c r="AG190" s="48" t="str">
        <f>IFERROR(INDEX(_TECH_Crisis_Model!$G$5:$G$191,MATCH('Crisis Simulator'!$B$4&amp;"|"&amp;$C190,_TECH_Crisis_Model!$I$5:$I$191,0)),"")</f>
        <v>Define alternative delivery models, capacity buffers, SLA triage and incident recovery procedures.</v>
      </c>
      <c r="AH190" s="48" t="str">
        <f>IFERROR(INDEX(_TECH_Initiative_Library!$A$5:$A$76,MATCH(1,INDEX((_TECH_Initiative_Library!$B$5:$B$76=$C190)*(_TECH_Initiative_Library!$C$5:$C$76=$D190),0),0)),"")</f>
        <v>INI-031</v>
      </c>
      <c r="AI190" s="48" t="str">
        <f>IFERROR(INDEX(_TECH_Initiative_Library!$F$5:$F$76,MATCH(1,INDEX((_TECH_Initiative_Library!$B$5:$B$76=$C190)*(_TECH_Initiative_Library!$C$5:$C$76=$D190),0),0)),"")</f>
        <v>Implement operational visibility dashboards and early warning</v>
      </c>
      <c r="AJ190" s="48" t="str">
        <f ca="1">IFERROR(INDEX(_TECH_Initiative_Library!$AC$5:$AC$76,MATCH(1,INDEX((_TECH_Initiative_Library!$B$5:$B$76=$C190)*(_TECH_Initiative_Library!$C$5:$C$76=$D190),0),0)),"")</f>
        <v/>
      </c>
      <c r="AK190" s="48" t="str">
        <f ca="1">IFERROR(INDEX(_TECH_Initiative_Library!$AE$5:$AE$76,MATCH(1,INDEX((_TECH_Initiative_Library!$B$5:$B$76=$C190)*(_TECH_Initiative_Library!$C$5:$C$76=$D190),0),0)),"")</f>
        <v/>
      </c>
      <c r="AL190" s="48" t="str">
        <f>IF($B190="Yes",IFERROR(SUMIFS(_TECH_Industry_Templates!$E:$E,_TECH_Industry_Templates!$A:$A,'Company Profile'!$B$9,_TECH_Industry_Templates!$B:$B,$C190),1),"")</f>
        <v/>
      </c>
      <c r="AM190" s="48" t="str">
        <f t="shared" si="29"/>
        <v/>
      </c>
      <c r="AN190" s="48" t="str">
        <f>IF($AM190="","",RANK.EQ($AM190,$AM$8:$AM$414,0)+COUNTIF($AM$8:$AM190,$AM190)-1)</f>
        <v/>
      </c>
    </row>
    <row r="191" spans="1:40" ht="85.5">
      <c r="A191" s="28" t="str">
        <f>IF($AM191="","",RANK.EQ($AM191,$AM$8:$AM$414,0)+COUNTIF($AM$8:$AM191,$AM191)-1)</f>
        <v/>
      </c>
      <c r="B191" s="7" t="str">
        <f t="shared" si="20"/>
        <v/>
      </c>
      <c r="C191" s="7" t="s">
        <v>78</v>
      </c>
      <c r="D191" s="7" t="s">
        <v>1296</v>
      </c>
      <c r="E191" s="7" t="s">
        <v>3728</v>
      </c>
      <c r="F191" s="7" t="s">
        <v>3729</v>
      </c>
      <c r="G191" s="28" t="str">
        <f>IF(OR(COUNTA('Supply Chain'!$H$5)=0,'Supply Chain'!$H$5="N/A"),"",VALUE('Supply Chain'!$H$5))</f>
        <v/>
      </c>
      <c r="H191" s="7" t="str">
        <f t="shared" si="21"/>
        <v/>
      </c>
      <c r="I191" s="7" t="str">
        <f>IF($G191="","",IFERROR(IF('Supply Chain'!$L$5="",IF($G191&lt;=1,"Critical",IF($G191=2,"High",IF($G191=3,"Medium",IF($G191=4,"Low","Optimized")))),'Supply Chain'!$L$5),IF($G191&lt;=1,"Critical",IF($G191=2,"High",IF($G191=3,"Medium",IF($G191=4,"Low","Optimized"))))))</f>
        <v/>
      </c>
      <c r="J191" s="7" t="str">
        <f>IF($G191="","",IFERROR(INDEX('Recommendation Matrix'!$E$5:$J$411,MATCH($E191,'Recommendation Matrix'!$A$5:$A$411,0),$G191+1),""))</f>
        <v/>
      </c>
      <c r="K191" s="7" t="str">
        <f>IF($G191="","",IFERROR(VLOOKUP($E191,'Recommendation Matrix'!$A$5:$K$411,11,FALSE),""))</f>
        <v/>
      </c>
      <c r="L191" s="28" t="str">
        <f t="shared" si="22"/>
        <v/>
      </c>
      <c r="M191" s="28" t="str">
        <f>IF($G191="","",IFERROR(INDEX('Recommendation Matrix'!$L$5:$Q$411,MATCH($E191,'Recommendation Matrix'!$A$5:$A$411,0),$G191+1),""))</f>
        <v/>
      </c>
      <c r="N191" s="28" t="str">
        <f t="shared" si="23"/>
        <v/>
      </c>
      <c r="O191" s="28" t="str">
        <f t="shared" si="24"/>
        <v/>
      </c>
      <c r="P191" s="28" t="str">
        <f t="shared" si="25"/>
        <v/>
      </c>
      <c r="Q191" s="28" t="str">
        <f t="shared" si="26"/>
        <v/>
      </c>
      <c r="R191" s="8" t="str">
        <f t="shared" si="27"/>
        <v/>
      </c>
      <c r="S191" s="28">
        <f>IFERROR('Supply Chain'!$G$5,"")</f>
        <v>5</v>
      </c>
      <c r="T191" s="28">
        <f>IFERROR('Supply Chain'!$W$5,"")</f>
        <v>4</v>
      </c>
      <c r="U191" s="28">
        <f>IFERROR('Supply Chain'!$X$5,"")</f>
        <v>5</v>
      </c>
      <c r="V191" s="28">
        <f>IFERROR('Supply Chain'!$Y$5,"")</f>
        <v>5</v>
      </c>
      <c r="W191" s="7" t="s">
        <v>3739</v>
      </c>
      <c r="X191" s="7" t="s">
        <v>3740</v>
      </c>
      <c r="Y191" s="7" t="s">
        <v>3732</v>
      </c>
      <c r="Z191" s="7">
        <f>IFERROR('Supply Chain'!$U$5,"")</f>
        <v>0</v>
      </c>
      <c r="AA191" s="7"/>
      <c r="AB191" s="29"/>
      <c r="AC191" s="7"/>
      <c r="AD191" s="48" t="str">
        <f>IF($B191="Yes",IFERROR(SUMIFS(_TECH_Crisis_Model!$D$5:$D$191,_TECH_Crisis_Model!$A$5:$A$191,'Crisis Simulator'!$B$4,_TECH_Crisis_Model!$B$5:$B$191,$C191),1),"")</f>
        <v/>
      </c>
      <c r="AE191" s="48" t="str">
        <f t="shared" si="28"/>
        <v/>
      </c>
      <c r="AF191" s="48" t="str">
        <f>IFERROR(INDEX(_TECH_Crisis_Model!$E$5:$E$191,MATCH('Crisis Simulator'!$B$4&amp;"|"&amp;$C191,_TECH_Crisis_Model!$I$5:$I$191,0)),"")</f>
        <v>Supplier concentration, logistics and inventory visibility determine production and delivery continuity.</v>
      </c>
      <c r="AG191" s="48" t="str">
        <f>IFERROR(INDEX(_TECH_Crisis_Model!$G$5:$G$191,MATCH('Crisis Simulator'!$B$4&amp;"|"&amp;$C191,_TECH_Crisis_Model!$I$5:$I$191,0)),"")</f>
        <v>Diversify suppliers, define safety stock, alternate routes, supplier monitoring and substitution rules.</v>
      </c>
      <c r="AH191" s="48" t="str">
        <f>IFERROR(INDEX(_TECH_Initiative_Library!$A$5:$A$76,MATCH(1,INDEX((_TECH_Initiative_Library!$B$5:$B$76=$C191)*(_TECH_Initiative_Library!$C$5:$C$76=$D191),0),0)),"")</f>
        <v>INI-032</v>
      </c>
      <c r="AI191" s="48" t="str">
        <f>IFERROR(INDEX(_TECH_Initiative_Library!$F$5:$F$76,MATCH(1,INDEX((_TECH_Initiative_Library!$B$5:$B$76=$C191)*(_TECH_Initiative_Library!$C$5:$C$76=$D191),0),0)),"")</f>
        <v>Redesign supply chain for resilience and alternative sourcing</v>
      </c>
      <c r="AJ191" s="48" t="str">
        <f ca="1">IFERROR(INDEX(_TECH_Initiative_Library!$AC$5:$AC$76,MATCH(1,INDEX((_TECH_Initiative_Library!$B$5:$B$76=$C191)*(_TECH_Initiative_Library!$C$5:$C$76=$D191),0),0)),"")</f>
        <v/>
      </c>
      <c r="AK191" s="48" t="str">
        <f ca="1">IFERROR(INDEX(_TECH_Initiative_Library!$AE$5:$AE$76,MATCH(1,INDEX((_TECH_Initiative_Library!$B$5:$B$76=$C191)*(_TECH_Initiative_Library!$C$5:$C$76=$D191),0),0)),"")</f>
        <v/>
      </c>
      <c r="AL191" s="48" t="str">
        <f>IF($B191="Yes",IFERROR(SUMIFS(_TECH_Industry_Templates!$E:$E,_TECH_Industry_Templates!$A:$A,'Company Profile'!$B$9,_TECH_Industry_Templates!$B:$B,$C191),1),"")</f>
        <v/>
      </c>
      <c r="AM191" s="48" t="str">
        <f t="shared" si="29"/>
        <v/>
      </c>
      <c r="AN191" s="48" t="str">
        <f>IF($AM191="","",RANK.EQ($AM191,$AM$8:$AM$414,0)+COUNTIF($AM$8:$AM191,$AM191)-1)</f>
        <v/>
      </c>
    </row>
    <row r="192" spans="1:40" ht="71.25">
      <c r="A192" s="28" t="str">
        <f>IF($AM192="","",RANK.EQ($AM192,$AM$8:$AM$414,0)+COUNTIF($AM$8:$AM192,$AM192)-1)</f>
        <v/>
      </c>
      <c r="B192" s="7" t="str">
        <f t="shared" si="20"/>
        <v/>
      </c>
      <c r="C192" s="7" t="s">
        <v>78</v>
      </c>
      <c r="D192" s="7" t="s">
        <v>1296</v>
      </c>
      <c r="E192" s="7" t="s">
        <v>3742</v>
      </c>
      <c r="F192" s="7" t="s">
        <v>3743</v>
      </c>
      <c r="G192" s="28" t="str">
        <f>IF(OR(COUNTA('Supply Chain'!$H$6)=0,'Supply Chain'!$H$6="N/A"),"",VALUE('Supply Chain'!$H$6))</f>
        <v/>
      </c>
      <c r="H192" s="7" t="str">
        <f t="shared" si="21"/>
        <v/>
      </c>
      <c r="I192" s="7" t="str">
        <f>IF($G192="","",IFERROR(IF('Supply Chain'!$L$6="",IF($G192&lt;=1,"Critical",IF($G192=2,"High",IF($G192=3,"Medium",IF($G192=4,"Low","Optimized")))),'Supply Chain'!$L$6),IF($G192&lt;=1,"Critical",IF($G192=2,"High",IF($G192=3,"Medium",IF($G192=4,"Low","Optimized"))))))</f>
        <v/>
      </c>
      <c r="J192" s="7" t="str">
        <f>IF($G192="","",IFERROR(INDEX('Recommendation Matrix'!$E$5:$J$411,MATCH($E192,'Recommendation Matrix'!$A$5:$A$411,0),$G192+1),""))</f>
        <v/>
      </c>
      <c r="K192" s="7" t="str">
        <f>IF($G192="","",IFERROR(VLOOKUP($E192,'Recommendation Matrix'!$A$5:$K$411,11,FALSE),""))</f>
        <v/>
      </c>
      <c r="L192" s="28" t="str">
        <f t="shared" si="22"/>
        <v/>
      </c>
      <c r="M192" s="28" t="str">
        <f>IF($G192="","",IFERROR(INDEX('Recommendation Matrix'!$L$5:$Q$411,MATCH($E192,'Recommendation Matrix'!$A$5:$A$411,0),$G192+1),""))</f>
        <v/>
      </c>
      <c r="N192" s="28" t="str">
        <f t="shared" si="23"/>
        <v/>
      </c>
      <c r="O192" s="28" t="str">
        <f t="shared" si="24"/>
        <v/>
      </c>
      <c r="P192" s="28" t="str">
        <f t="shared" si="25"/>
        <v/>
      </c>
      <c r="Q192" s="28" t="str">
        <f t="shared" si="26"/>
        <v/>
      </c>
      <c r="R192" s="8" t="str">
        <f t="shared" si="27"/>
        <v/>
      </c>
      <c r="S192" s="28">
        <f>IFERROR('Supply Chain'!$G$6,"")</f>
        <v>5</v>
      </c>
      <c r="T192" s="28">
        <f>IFERROR('Supply Chain'!$W$6,"")</f>
        <v>4</v>
      </c>
      <c r="U192" s="28">
        <f>IFERROR('Supply Chain'!$X$6,"")</f>
        <v>5</v>
      </c>
      <c r="V192" s="28">
        <f>IFERROR('Supply Chain'!$Y$6,"")</f>
        <v>5</v>
      </c>
      <c r="W192" s="7" t="s">
        <v>3739</v>
      </c>
      <c r="X192" s="7" t="s">
        <v>3740</v>
      </c>
      <c r="Y192" s="7" t="s">
        <v>3744</v>
      </c>
      <c r="Z192" s="7">
        <f>IFERROR('Supply Chain'!$U$6,"")</f>
        <v>0</v>
      </c>
      <c r="AA192" s="7"/>
      <c r="AB192" s="29"/>
      <c r="AC192" s="7"/>
      <c r="AD192" s="48" t="str">
        <f>IF($B192="Yes",IFERROR(SUMIFS(_TECH_Crisis_Model!$D$5:$D$191,_TECH_Crisis_Model!$A$5:$A$191,'Crisis Simulator'!$B$4,_TECH_Crisis_Model!$B$5:$B$191,$C192),1),"")</f>
        <v/>
      </c>
      <c r="AE192" s="48" t="str">
        <f t="shared" si="28"/>
        <v/>
      </c>
      <c r="AF192" s="48" t="str">
        <f>IFERROR(INDEX(_TECH_Crisis_Model!$E$5:$E$191,MATCH('Crisis Simulator'!$B$4&amp;"|"&amp;$C192,_TECH_Crisis_Model!$I$5:$I$191,0)),"")</f>
        <v>Supplier concentration, logistics and inventory visibility determine production and delivery continuity.</v>
      </c>
      <c r="AG192" s="48" t="str">
        <f>IFERROR(INDEX(_TECH_Crisis_Model!$G$5:$G$191,MATCH('Crisis Simulator'!$B$4&amp;"|"&amp;$C192,_TECH_Crisis_Model!$I$5:$I$191,0)),"")</f>
        <v>Diversify suppliers, define safety stock, alternate routes, supplier monitoring and substitution rules.</v>
      </c>
      <c r="AH192" s="48" t="str">
        <f>IFERROR(INDEX(_TECH_Initiative_Library!$A$5:$A$76,MATCH(1,INDEX((_TECH_Initiative_Library!$B$5:$B$76=$C192)*(_TECH_Initiative_Library!$C$5:$C$76=$D192),0),0)),"")</f>
        <v>INI-032</v>
      </c>
      <c r="AI192" s="48" t="str">
        <f>IFERROR(INDEX(_TECH_Initiative_Library!$F$5:$F$76,MATCH(1,INDEX((_TECH_Initiative_Library!$B$5:$B$76=$C192)*(_TECH_Initiative_Library!$C$5:$C$76=$D192),0),0)),"")</f>
        <v>Redesign supply chain for resilience and alternative sourcing</v>
      </c>
      <c r="AJ192" s="48" t="str">
        <f ca="1">IFERROR(INDEX(_TECH_Initiative_Library!$AC$5:$AC$76,MATCH(1,INDEX((_TECH_Initiative_Library!$B$5:$B$76=$C192)*(_TECH_Initiative_Library!$C$5:$C$76=$D192),0),0)),"")</f>
        <v/>
      </c>
      <c r="AK192" s="48" t="str">
        <f ca="1">IFERROR(INDEX(_TECH_Initiative_Library!$AE$5:$AE$76,MATCH(1,INDEX((_TECH_Initiative_Library!$B$5:$B$76=$C192)*(_TECH_Initiative_Library!$C$5:$C$76=$D192),0),0)),"")</f>
        <v/>
      </c>
      <c r="AL192" s="48" t="str">
        <f>IF($B192="Yes",IFERROR(SUMIFS(_TECH_Industry_Templates!$E:$E,_TECH_Industry_Templates!$A:$A,'Company Profile'!$B$9,_TECH_Industry_Templates!$B:$B,$C192),1),"")</f>
        <v/>
      </c>
      <c r="AM192" s="48" t="str">
        <f t="shared" si="29"/>
        <v/>
      </c>
      <c r="AN192" s="48" t="str">
        <f>IF($AM192="","",RANK.EQ($AM192,$AM$8:$AM$414,0)+COUNTIF($AM$8:$AM192,$AM192)-1)</f>
        <v/>
      </c>
    </row>
    <row r="193" spans="1:40" ht="85.5">
      <c r="A193" s="28" t="str">
        <f>IF($AM193="","",RANK.EQ($AM193,$AM$8:$AM$414,0)+COUNTIF($AM$8:$AM193,$AM193)-1)</f>
        <v/>
      </c>
      <c r="B193" s="7" t="str">
        <f t="shared" si="20"/>
        <v/>
      </c>
      <c r="C193" s="7" t="s">
        <v>78</v>
      </c>
      <c r="D193" s="7" t="s">
        <v>1296</v>
      </c>
      <c r="E193" s="7" t="s">
        <v>3752</v>
      </c>
      <c r="F193" s="7" t="s">
        <v>3753</v>
      </c>
      <c r="G193" s="28" t="str">
        <f>IF(OR(COUNTA('Supply Chain'!$H$7)=0,'Supply Chain'!$H$7="N/A"),"",VALUE('Supply Chain'!$H$7))</f>
        <v/>
      </c>
      <c r="H193" s="7" t="str">
        <f t="shared" si="21"/>
        <v/>
      </c>
      <c r="I193" s="7" t="str">
        <f>IF($G193="","",IFERROR(IF('Supply Chain'!$L$7="",IF($G193&lt;=1,"Critical",IF($G193=2,"High",IF($G193=3,"Medium",IF($G193=4,"Low","Optimized")))),'Supply Chain'!$L$7),IF($G193&lt;=1,"Critical",IF($G193=2,"High",IF($G193=3,"Medium",IF($G193=4,"Low","Optimized"))))))</f>
        <v/>
      </c>
      <c r="J193" s="7" t="str">
        <f>IF($G193="","",IFERROR(INDEX('Recommendation Matrix'!$E$5:$J$411,MATCH($E193,'Recommendation Matrix'!$A$5:$A$411,0),$G193+1),""))</f>
        <v/>
      </c>
      <c r="K193" s="7" t="str">
        <f>IF($G193="","",IFERROR(VLOOKUP($E193,'Recommendation Matrix'!$A$5:$K$411,11,FALSE),""))</f>
        <v/>
      </c>
      <c r="L193" s="28" t="str">
        <f t="shared" si="22"/>
        <v/>
      </c>
      <c r="M193" s="28" t="str">
        <f>IF($G193="","",IFERROR(INDEX('Recommendation Matrix'!$L$5:$Q$411,MATCH($E193,'Recommendation Matrix'!$A$5:$A$411,0),$G193+1),""))</f>
        <v/>
      </c>
      <c r="N193" s="28" t="str">
        <f t="shared" si="23"/>
        <v/>
      </c>
      <c r="O193" s="28" t="str">
        <f t="shared" si="24"/>
        <v/>
      </c>
      <c r="P193" s="28" t="str">
        <f t="shared" si="25"/>
        <v/>
      </c>
      <c r="Q193" s="28" t="str">
        <f t="shared" si="26"/>
        <v/>
      </c>
      <c r="R193" s="8" t="str">
        <f t="shared" si="27"/>
        <v/>
      </c>
      <c r="S193" s="28">
        <f>IFERROR('Supply Chain'!$G$7,"")</f>
        <v>5</v>
      </c>
      <c r="T193" s="28">
        <f>IFERROR('Supply Chain'!$W$7,"")</f>
        <v>4</v>
      </c>
      <c r="U193" s="28">
        <f>IFERROR('Supply Chain'!$X$7,"")</f>
        <v>5</v>
      </c>
      <c r="V193" s="28">
        <f>IFERROR('Supply Chain'!$Y$7,"")</f>
        <v>5</v>
      </c>
      <c r="W193" s="7" t="s">
        <v>3739</v>
      </c>
      <c r="X193" s="7" t="s">
        <v>3740</v>
      </c>
      <c r="Y193" s="7" t="s">
        <v>3754</v>
      </c>
      <c r="Z193" s="7">
        <f>IFERROR('Supply Chain'!$U$7,"")</f>
        <v>0</v>
      </c>
      <c r="AA193" s="7"/>
      <c r="AB193" s="29"/>
      <c r="AC193" s="7"/>
      <c r="AD193" s="48" t="str">
        <f>IF($B193="Yes",IFERROR(SUMIFS(_TECH_Crisis_Model!$D$5:$D$191,_TECH_Crisis_Model!$A$5:$A$191,'Crisis Simulator'!$B$4,_TECH_Crisis_Model!$B$5:$B$191,$C193),1),"")</f>
        <v/>
      </c>
      <c r="AE193" s="48" t="str">
        <f t="shared" si="28"/>
        <v/>
      </c>
      <c r="AF193" s="48" t="str">
        <f>IFERROR(INDEX(_TECH_Crisis_Model!$E$5:$E$191,MATCH('Crisis Simulator'!$B$4&amp;"|"&amp;$C193,_TECH_Crisis_Model!$I$5:$I$191,0)),"")</f>
        <v>Supplier concentration, logistics and inventory visibility determine production and delivery continuity.</v>
      </c>
      <c r="AG193" s="48" t="str">
        <f>IFERROR(INDEX(_TECH_Crisis_Model!$G$5:$G$191,MATCH('Crisis Simulator'!$B$4&amp;"|"&amp;$C193,_TECH_Crisis_Model!$I$5:$I$191,0)),"")</f>
        <v>Diversify suppliers, define safety stock, alternate routes, supplier monitoring and substitution rules.</v>
      </c>
      <c r="AH193" s="48" t="str">
        <f>IFERROR(INDEX(_TECH_Initiative_Library!$A$5:$A$76,MATCH(1,INDEX((_TECH_Initiative_Library!$B$5:$B$76=$C193)*(_TECH_Initiative_Library!$C$5:$C$76=$D193),0),0)),"")</f>
        <v>INI-032</v>
      </c>
      <c r="AI193" s="48" t="str">
        <f>IFERROR(INDEX(_TECH_Initiative_Library!$F$5:$F$76,MATCH(1,INDEX((_TECH_Initiative_Library!$B$5:$B$76=$C193)*(_TECH_Initiative_Library!$C$5:$C$76=$D193),0),0)),"")</f>
        <v>Redesign supply chain for resilience and alternative sourcing</v>
      </c>
      <c r="AJ193" s="48" t="str">
        <f ca="1">IFERROR(INDEX(_TECH_Initiative_Library!$AC$5:$AC$76,MATCH(1,INDEX((_TECH_Initiative_Library!$B$5:$B$76=$C193)*(_TECH_Initiative_Library!$C$5:$C$76=$D193),0),0)),"")</f>
        <v/>
      </c>
      <c r="AK193" s="48" t="str">
        <f ca="1">IFERROR(INDEX(_TECH_Initiative_Library!$AE$5:$AE$76,MATCH(1,INDEX((_TECH_Initiative_Library!$B$5:$B$76=$C193)*(_TECH_Initiative_Library!$C$5:$C$76=$D193),0),0)),"")</f>
        <v/>
      </c>
      <c r="AL193" s="48" t="str">
        <f>IF($B193="Yes",IFERROR(SUMIFS(_TECH_Industry_Templates!$E:$E,_TECH_Industry_Templates!$A:$A,'Company Profile'!$B$9,_TECH_Industry_Templates!$B:$B,$C193),1),"")</f>
        <v/>
      </c>
      <c r="AM193" s="48" t="str">
        <f t="shared" si="29"/>
        <v/>
      </c>
      <c r="AN193" s="48" t="str">
        <f>IF($AM193="","",RANK.EQ($AM193,$AM$8:$AM$414,0)+COUNTIF($AM$8:$AM193,$AM193)-1)</f>
        <v/>
      </c>
    </row>
    <row r="194" spans="1:40" ht="71.25">
      <c r="A194" s="28" t="str">
        <f>IF($AM194="","",RANK.EQ($AM194,$AM$8:$AM$414,0)+COUNTIF($AM$8:$AM194,$AM194)-1)</f>
        <v/>
      </c>
      <c r="B194" s="7" t="str">
        <f t="shared" si="20"/>
        <v/>
      </c>
      <c r="C194" s="7" t="s">
        <v>78</v>
      </c>
      <c r="D194" s="7" t="s">
        <v>1296</v>
      </c>
      <c r="E194" s="7" t="s">
        <v>3762</v>
      </c>
      <c r="F194" s="7" t="s">
        <v>3763</v>
      </c>
      <c r="G194" s="28" t="str">
        <f>IF(OR(COUNTA('Supply Chain'!$H$8)=0,'Supply Chain'!$H$8="N/A"),"",VALUE('Supply Chain'!$H$8))</f>
        <v/>
      </c>
      <c r="H194" s="7" t="str">
        <f t="shared" si="21"/>
        <v/>
      </c>
      <c r="I194" s="7" t="str">
        <f>IF($G194="","",IFERROR(IF('Supply Chain'!$L$8="",IF($G194&lt;=1,"Critical",IF($G194=2,"High",IF($G194=3,"Medium",IF($G194=4,"Low","Optimized")))),'Supply Chain'!$L$8),IF($G194&lt;=1,"Critical",IF($G194=2,"High",IF($G194=3,"Medium",IF($G194=4,"Low","Optimized"))))))</f>
        <v/>
      </c>
      <c r="J194" s="7" t="str">
        <f>IF($G194="","",IFERROR(INDEX('Recommendation Matrix'!$E$5:$J$411,MATCH($E194,'Recommendation Matrix'!$A$5:$A$411,0),$G194+1),""))</f>
        <v/>
      </c>
      <c r="K194" s="7" t="str">
        <f>IF($G194="","",IFERROR(VLOOKUP($E194,'Recommendation Matrix'!$A$5:$K$411,11,FALSE),""))</f>
        <v/>
      </c>
      <c r="L194" s="28" t="str">
        <f t="shared" si="22"/>
        <v/>
      </c>
      <c r="M194" s="28" t="str">
        <f>IF($G194="","",IFERROR(INDEX('Recommendation Matrix'!$L$5:$Q$411,MATCH($E194,'Recommendation Matrix'!$A$5:$A$411,0),$G194+1),""))</f>
        <v/>
      </c>
      <c r="N194" s="28" t="str">
        <f t="shared" si="23"/>
        <v/>
      </c>
      <c r="O194" s="28" t="str">
        <f t="shared" si="24"/>
        <v/>
      </c>
      <c r="P194" s="28" t="str">
        <f t="shared" si="25"/>
        <v/>
      </c>
      <c r="Q194" s="28" t="str">
        <f t="shared" si="26"/>
        <v/>
      </c>
      <c r="R194" s="8" t="str">
        <f t="shared" si="27"/>
        <v/>
      </c>
      <c r="S194" s="28">
        <f>IFERROR('Supply Chain'!$G$8,"")</f>
        <v>5</v>
      </c>
      <c r="T194" s="28">
        <f>IFERROR('Supply Chain'!$W$8,"")</f>
        <v>4</v>
      </c>
      <c r="U194" s="28">
        <f>IFERROR('Supply Chain'!$X$8,"")</f>
        <v>5</v>
      </c>
      <c r="V194" s="28">
        <f>IFERROR('Supply Chain'!$Y$8,"")</f>
        <v>5</v>
      </c>
      <c r="W194" s="7" t="s">
        <v>3739</v>
      </c>
      <c r="X194" s="7" t="s">
        <v>3740</v>
      </c>
      <c r="Y194" s="7" t="s">
        <v>3764</v>
      </c>
      <c r="Z194" s="7">
        <f>IFERROR('Supply Chain'!$U$8,"")</f>
        <v>0</v>
      </c>
      <c r="AA194" s="7"/>
      <c r="AB194" s="29"/>
      <c r="AC194" s="7"/>
      <c r="AD194" s="48" t="str">
        <f>IF($B194="Yes",IFERROR(SUMIFS(_TECH_Crisis_Model!$D$5:$D$191,_TECH_Crisis_Model!$A$5:$A$191,'Crisis Simulator'!$B$4,_TECH_Crisis_Model!$B$5:$B$191,$C194),1),"")</f>
        <v/>
      </c>
      <c r="AE194" s="48" t="str">
        <f t="shared" si="28"/>
        <v/>
      </c>
      <c r="AF194" s="48" t="str">
        <f>IFERROR(INDEX(_TECH_Crisis_Model!$E$5:$E$191,MATCH('Crisis Simulator'!$B$4&amp;"|"&amp;$C194,_TECH_Crisis_Model!$I$5:$I$191,0)),"")</f>
        <v>Supplier concentration, logistics and inventory visibility determine production and delivery continuity.</v>
      </c>
      <c r="AG194" s="48" t="str">
        <f>IFERROR(INDEX(_TECH_Crisis_Model!$G$5:$G$191,MATCH('Crisis Simulator'!$B$4&amp;"|"&amp;$C194,_TECH_Crisis_Model!$I$5:$I$191,0)),"")</f>
        <v>Diversify suppliers, define safety stock, alternate routes, supplier monitoring and substitution rules.</v>
      </c>
      <c r="AH194" s="48" t="str">
        <f>IFERROR(INDEX(_TECH_Initiative_Library!$A$5:$A$76,MATCH(1,INDEX((_TECH_Initiative_Library!$B$5:$B$76=$C194)*(_TECH_Initiative_Library!$C$5:$C$76=$D194),0),0)),"")</f>
        <v>INI-032</v>
      </c>
      <c r="AI194" s="48" t="str">
        <f>IFERROR(INDEX(_TECH_Initiative_Library!$F$5:$F$76,MATCH(1,INDEX((_TECH_Initiative_Library!$B$5:$B$76=$C194)*(_TECH_Initiative_Library!$C$5:$C$76=$D194),0),0)),"")</f>
        <v>Redesign supply chain for resilience and alternative sourcing</v>
      </c>
      <c r="AJ194" s="48" t="str">
        <f ca="1">IFERROR(INDEX(_TECH_Initiative_Library!$AC$5:$AC$76,MATCH(1,INDEX((_TECH_Initiative_Library!$B$5:$B$76=$C194)*(_TECH_Initiative_Library!$C$5:$C$76=$D194),0),0)),"")</f>
        <v/>
      </c>
      <c r="AK194" s="48" t="str">
        <f ca="1">IFERROR(INDEX(_TECH_Initiative_Library!$AE$5:$AE$76,MATCH(1,INDEX((_TECH_Initiative_Library!$B$5:$B$76=$C194)*(_TECH_Initiative_Library!$C$5:$C$76=$D194),0),0)),"")</f>
        <v/>
      </c>
      <c r="AL194" s="48" t="str">
        <f>IF($B194="Yes",IFERROR(SUMIFS(_TECH_Industry_Templates!$E:$E,_TECH_Industry_Templates!$A:$A,'Company Profile'!$B$9,_TECH_Industry_Templates!$B:$B,$C194),1),"")</f>
        <v/>
      </c>
      <c r="AM194" s="48" t="str">
        <f t="shared" si="29"/>
        <v/>
      </c>
      <c r="AN194" s="48" t="str">
        <f>IF($AM194="","",RANK.EQ($AM194,$AM$8:$AM$414,0)+COUNTIF($AM$8:$AM194,$AM194)-1)</f>
        <v/>
      </c>
    </row>
    <row r="195" spans="1:40" ht="71.25">
      <c r="A195" s="28" t="str">
        <f>IF($AM195="","",RANK.EQ($AM195,$AM$8:$AM$414,0)+COUNTIF($AM$8:$AM195,$AM195)-1)</f>
        <v/>
      </c>
      <c r="B195" s="7" t="str">
        <f t="shared" si="20"/>
        <v/>
      </c>
      <c r="C195" s="7" t="s">
        <v>78</v>
      </c>
      <c r="D195" s="7" t="s">
        <v>1296</v>
      </c>
      <c r="E195" s="7" t="s">
        <v>3772</v>
      </c>
      <c r="F195" s="7" t="s">
        <v>3773</v>
      </c>
      <c r="G195" s="28" t="str">
        <f>IF(OR(COUNTA('Supply Chain'!$H$9)=0,'Supply Chain'!$H$9="N/A"),"",VALUE('Supply Chain'!$H$9))</f>
        <v/>
      </c>
      <c r="H195" s="7" t="str">
        <f t="shared" si="21"/>
        <v/>
      </c>
      <c r="I195" s="7" t="str">
        <f>IF($G195="","",IFERROR(IF('Supply Chain'!$L$9="",IF($G195&lt;=1,"Critical",IF($G195=2,"High",IF($G195=3,"Medium",IF($G195=4,"Low","Optimized")))),'Supply Chain'!$L$9),IF($G195&lt;=1,"Critical",IF($G195=2,"High",IF($G195=3,"Medium",IF($G195=4,"Low","Optimized"))))))</f>
        <v/>
      </c>
      <c r="J195" s="7" t="str">
        <f>IF($G195="","",IFERROR(INDEX('Recommendation Matrix'!$E$5:$J$411,MATCH($E195,'Recommendation Matrix'!$A$5:$A$411,0),$G195+1),""))</f>
        <v/>
      </c>
      <c r="K195" s="7" t="str">
        <f>IF($G195="","",IFERROR(VLOOKUP($E195,'Recommendation Matrix'!$A$5:$K$411,11,FALSE),""))</f>
        <v/>
      </c>
      <c r="L195" s="28" t="str">
        <f t="shared" si="22"/>
        <v/>
      </c>
      <c r="M195" s="28" t="str">
        <f>IF($G195="","",IFERROR(INDEX('Recommendation Matrix'!$L$5:$Q$411,MATCH($E195,'Recommendation Matrix'!$A$5:$A$411,0),$G195+1),""))</f>
        <v/>
      </c>
      <c r="N195" s="28" t="str">
        <f t="shared" si="23"/>
        <v/>
      </c>
      <c r="O195" s="28" t="str">
        <f t="shared" si="24"/>
        <v/>
      </c>
      <c r="P195" s="28" t="str">
        <f t="shared" si="25"/>
        <v/>
      </c>
      <c r="Q195" s="28" t="str">
        <f t="shared" si="26"/>
        <v/>
      </c>
      <c r="R195" s="8" t="str">
        <f t="shared" si="27"/>
        <v/>
      </c>
      <c r="S195" s="28">
        <f>IFERROR('Supply Chain'!$G$9,"")</f>
        <v>5</v>
      </c>
      <c r="T195" s="28">
        <f>IFERROR('Supply Chain'!$W$9,"")</f>
        <v>4</v>
      </c>
      <c r="U195" s="28">
        <f>IFERROR('Supply Chain'!$X$9,"")</f>
        <v>5</v>
      </c>
      <c r="V195" s="28">
        <f>IFERROR('Supply Chain'!$Y$9,"")</f>
        <v>5</v>
      </c>
      <c r="W195" s="7" t="s">
        <v>3739</v>
      </c>
      <c r="X195" s="7" t="s">
        <v>3740</v>
      </c>
      <c r="Y195" s="7" t="s">
        <v>3774</v>
      </c>
      <c r="Z195" s="7">
        <f>IFERROR('Supply Chain'!$U$9,"")</f>
        <v>0</v>
      </c>
      <c r="AA195" s="7"/>
      <c r="AB195" s="29"/>
      <c r="AC195" s="7"/>
      <c r="AD195" s="48" t="str">
        <f>IF($B195="Yes",IFERROR(SUMIFS(_TECH_Crisis_Model!$D$5:$D$191,_TECH_Crisis_Model!$A$5:$A$191,'Crisis Simulator'!$B$4,_TECH_Crisis_Model!$B$5:$B$191,$C195),1),"")</f>
        <v/>
      </c>
      <c r="AE195" s="48" t="str">
        <f t="shared" si="28"/>
        <v/>
      </c>
      <c r="AF195" s="48" t="str">
        <f>IFERROR(INDEX(_TECH_Crisis_Model!$E$5:$E$191,MATCH('Crisis Simulator'!$B$4&amp;"|"&amp;$C195,_TECH_Crisis_Model!$I$5:$I$191,0)),"")</f>
        <v>Supplier concentration, logistics and inventory visibility determine production and delivery continuity.</v>
      </c>
      <c r="AG195" s="48" t="str">
        <f>IFERROR(INDEX(_TECH_Crisis_Model!$G$5:$G$191,MATCH('Crisis Simulator'!$B$4&amp;"|"&amp;$C195,_TECH_Crisis_Model!$I$5:$I$191,0)),"")</f>
        <v>Diversify suppliers, define safety stock, alternate routes, supplier monitoring and substitution rules.</v>
      </c>
      <c r="AH195" s="48" t="str">
        <f>IFERROR(INDEX(_TECH_Initiative_Library!$A$5:$A$76,MATCH(1,INDEX((_TECH_Initiative_Library!$B$5:$B$76=$C195)*(_TECH_Initiative_Library!$C$5:$C$76=$D195),0),0)),"")</f>
        <v>INI-032</v>
      </c>
      <c r="AI195" s="48" t="str">
        <f>IFERROR(INDEX(_TECH_Initiative_Library!$F$5:$F$76,MATCH(1,INDEX((_TECH_Initiative_Library!$B$5:$B$76=$C195)*(_TECH_Initiative_Library!$C$5:$C$76=$D195),0),0)),"")</f>
        <v>Redesign supply chain for resilience and alternative sourcing</v>
      </c>
      <c r="AJ195" s="48" t="str">
        <f ca="1">IFERROR(INDEX(_TECH_Initiative_Library!$AC$5:$AC$76,MATCH(1,INDEX((_TECH_Initiative_Library!$B$5:$B$76=$C195)*(_TECH_Initiative_Library!$C$5:$C$76=$D195),0),0)),"")</f>
        <v/>
      </c>
      <c r="AK195" s="48" t="str">
        <f ca="1">IFERROR(INDEX(_TECH_Initiative_Library!$AE$5:$AE$76,MATCH(1,INDEX((_TECH_Initiative_Library!$B$5:$B$76=$C195)*(_TECH_Initiative_Library!$C$5:$C$76=$D195),0),0)),"")</f>
        <v/>
      </c>
      <c r="AL195" s="48" t="str">
        <f>IF($B195="Yes",IFERROR(SUMIFS(_TECH_Industry_Templates!$E:$E,_TECH_Industry_Templates!$A:$A,'Company Profile'!$B$9,_TECH_Industry_Templates!$B:$B,$C195),1),"")</f>
        <v/>
      </c>
      <c r="AM195" s="48" t="str">
        <f t="shared" si="29"/>
        <v/>
      </c>
      <c r="AN195" s="48" t="str">
        <f>IF($AM195="","",RANK.EQ($AM195,$AM$8:$AM$414,0)+COUNTIF($AM$8:$AM195,$AM195)-1)</f>
        <v/>
      </c>
    </row>
    <row r="196" spans="1:40" ht="71.25">
      <c r="A196" s="28" t="str">
        <f>IF($AM196="","",RANK.EQ($AM196,$AM$8:$AM$414,0)+COUNTIF($AM$8:$AM196,$AM196)-1)</f>
        <v/>
      </c>
      <c r="B196" s="7" t="str">
        <f t="shared" si="20"/>
        <v/>
      </c>
      <c r="C196" s="7" t="s">
        <v>78</v>
      </c>
      <c r="D196" s="7" t="s">
        <v>1296</v>
      </c>
      <c r="E196" s="7" t="s">
        <v>3782</v>
      </c>
      <c r="F196" s="7" t="s">
        <v>3783</v>
      </c>
      <c r="G196" s="28" t="str">
        <f>IF(OR(COUNTA('Supply Chain'!$H$10)=0,'Supply Chain'!$H$10="N/A"),"",VALUE('Supply Chain'!$H$10))</f>
        <v/>
      </c>
      <c r="H196" s="7" t="str">
        <f t="shared" si="21"/>
        <v/>
      </c>
      <c r="I196" s="7" t="str">
        <f>IF($G196="","",IFERROR(IF('Supply Chain'!$L$10="",IF($G196&lt;=1,"Critical",IF($G196=2,"High",IF($G196=3,"Medium",IF($G196=4,"Low","Optimized")))),'Supply Chain'!$L$10),IF($G196&lt;=1,"Critical",IF($G196=2,"High",IF($G196=3,"Medium",IF($G196=4,"Low","Optimized"))))))</f>
        <v/>
      </c>
      <c r="J196" s="7" t="str">
        <f>IF($G196="","",IFERROR(INDEX('Recommendation Matrix'!$E$5:$J$411,MATCH($E196,'Recommendation Matrix'!$A$5:$A$411,0),$G196+1),""))</f>
        <v/>
      </c>
      <c r="K196" s="7" t="str">
        <f>IF($G196="","",IFERROR(VLOOKUP($E196,'Recommendation Matrix'!$A$5:$K$411,11,FALSE),""))</f>
        <v/>
      </c>
      <c r="L196" s="28" t="str">
        <f t="shared" si="22"/>
        <v/>
      </c>
      <c r="M196" s="28" t="str">
        <f>IF($G196="","",IFERROR(INDEX('Recommendation Matrix'!$L$5:$Q$411,MATCH($E196,'Recommendation Matrix'!$A$5:$A$411,0),$G196+1),""))</f>
        <v/>
      </c>
      <c r="N196" s="28" t="str">
        <f t="shared" si="23"/>
        <v/>
      </c>
      <c r="O196" s="28" t="str">
        <f t="shared" si="24"/>
        <v/>
      </c>
      <c r="P196" s="28" t="str">
        <f t="shared" si="25"/>
        <v/>
      </c>
      <c r="Q196" s="28" t="str">
        <f t="shared" si="26"/>
        <v/>
      </c>
      <c r="R196" s="8" t="str">
        <f t="shared" si="27"/>
        <v/>
      </c>
      <c r="S196" s="28">
        <f>IFERROR('Supply Chain'!$G$10,"")</f>
        <v>5</v>
      </c>
      <c r="T196" s="28">
        <f>IFERROR('Supply Chain'!$W$10,"")</f>
        <v>4</v>
      </c>
      <c r="U196" s="28">
        <f>IFERROR('Supply Chain'!$X$10,"")</f>
        <v>5</v>
      </c>
      <c r="V196" s="28">
        <f>IFERROR('Supply Chain'!$Y$10,"")</f>
        <v>5</v>
      </c>
      <c r="W196" s="7" t="s">
        <v>3739</v>
      </c>
      <c r="X196" s="7" t="s">
        <v>3740</v>
      </c>
      <c r="Y196" s="7" t="s">
        <v>3784</v>
      </c>
      <c r="Z196" s="7">
        <f>IFERROR('Supply Chain'!$U$10,"")</f>
        <v>0</v>
      </c>
      <c r="AA196" s="7"/>
      <c r="AB196" s="29"/>
      <c r="AC196" s="7"/>
      <c r="AD196" s="48" t="str">
        <f>IF($B196="Yes",IFERROR(SUMIFS(_TECH_Crisis_Model!$D$5:$D$191,_TECH_Crisis_Model!$A$5:$A$191,'Crisis Simulator'!$B$4,_TECH_Crisis_Model!$B$5:$B$191,$C196),1),"")</f>
        <v/>
      </c>
      <c r="AE196" s="48" t="str">
        <f t="shared" si="28"/>
        <v/>
      </c>
      <c r="AF196" s="48" t="str">
        <f>IFERROR(INDEX(_TECH_Crisis_Model!$E$5:$E$191,MATCH('Crisis Simulator'!$B$4&amp;"|"&amp;$C196,_TECH_Crisis_Model!$I$5:$I$191,0)),"")</f>
        <v>Supplier concentration, logistics and inventory visibility determine production and delivery continuity.</v>
      </c>
      <c r="AG196" s="48" t="str">
        <f>IFERROR(INDEX(_TECH_Crisis_Model!$G$5:$G$191,MATCH('Crisis Simulator'!$B$4&amp;"|"&amp;$C196,_TECH_Crisis_Model!$I$5:$I$191,0)),"")</f>
        <v>Diversify suppliers, define safety stock, alternate routes, supplier monitoring and substitution rules.</v>
      </c>
      <c r="AH196" s="48" t="str">
        <f>IFERROR(INDEX(_TECH_Initiative_Library!$A$5:$A$76,MATCH(1,INDEX((_TECH_Initiative_Library!$B$5:$B$76=$C196)*(_TECH_Initiative_Library!$C$5:$C$76=$D196),0),0)),"")</f>
        <v>INI-032</v>
      </c>
      <c r="AI196" s="48" t="str">
        <f>IFERROR(INDEX(_TECH_Initiative_Library!$F$5:$F$76,MATCH(1,INDEX((_TECH_Initiative_Library!$B$5:$B$76=$C196)*(_TECH_Initiative_Library!$C$5:$C$76=$D196),0),0)),"")</f>
        <v>Redesign supply chain for resilience and alternative sourcing</v>
      </c>
      <c r="AJ196" s="48" t="str">
        <f ca="1">IFERROR(INDEX(_TECH_Initiative_Library!$AC$5:$AC$76,MATCH(1,INDEX((_TECH_Initiative_Library!$B$5:$B$76=$C196)*(_TECH_Initiative_Library!$C$5:$C$76=$D196),0),0)),"")</f>
        <v/>
      </c>
      <c r="AK196" s="48" t="str">
        <f ca="1">IFERROR(INDEX(_TECH_Initiative_Library!$AE$5:$AE$76,MATCH(1,INDEX((_TECH_Initiative_Library!$B$5:$B$76=$C196)*(_TECH_Initiative_Library!$C$5:$C$76=$D196),0),0)),"")</f>
        <v/>
      </c>
      <c r="AL196" s="48" t="str">
        <f>IF($B196="Yes",IFERROR(SUMIFS(_TECH_Industry_Templates!$E:$E,_TECH_Industry_Templates!$A:$A,'Company Profile'!$B$9,_TECH_Industry_Templates!$B:$B,$C196),1),"")</f>
        <v/>
      </c>
      <c r="AM196" s="48" t="str">
        <f t="shared" si="29"/>
        <v/>
      </c>
      <c r="AN196" s="48" t="str">
        <f>IF($AM196="","",RANK.EQ($AM196,$AM$8:$AM$414,0)+COUNTIF($AM$8:$AM196,$AM196)-1)</f>
        <v/>
      </c>
    </row>
    <row r="197" spans="1:40" ht="71.25">
      <c r="A197" s="28" t="str">
        <f>IF($AM197="","",RANK.EQ($AM197,$AM$8:$AM$414,0)+COUNTIF($AM$8:$AM197,$AM197)-1)</f>
        <v/>
      </c>
      <c r="B197" s="7" t="str">
        <f t="shared" si="20"/>
        <v/>
      </c>
      <c r="C197" s="7" t="s">
        <v>78</v>
      </c>
      <c r="D197" s="7" t="s">
        <v>1307</v>
      </c>
      <c r="E197" s="7" t="s">
        <v>3792</v>
      </c>
      <c r="F197" s="7" t="s">
        <v>3793</v>
      </c>
      <c r="G197" s="28" t="str">
        <f>IF(OR(COUNTA('Supply Chain'!$H$11)=0,'Supply Chain'!$H$11="N/A"),"",VALUE('Supply Chain'!$H$11))</f>
        <v/>
      </c>
      <c r="H197" s="7" t="str">
        <f t="shared" si="21"/>
        <v/>
      </c>
      <c r="I197" s="7" t="str">
        <f>IF($G197="","",IFERROR(IF('Supply Chain'!$L$11="",IF($G197&lt;=1,"Critical",IF($G197=2,"High",IF($G197=3,"Medium",IF($G197=4,"Low","Optimized")))),'Supply Chain'!$L$11),IF($G197&lt;=1,"Critical",IF($G197=2,"High",IF($G197=3,"Medium",IF($G197=4,"Low","Optimized"))))))</f>
        <v/>
      </c>
      <c r="J197" s="7" t="str">
        <f>IF($G197="","",IFERROR(INDEX('Recommendation Matrix'!$E$5:$J$411,MATCH($E197,'Recommendation Matrix'!$A$5:$A$411,0),$G197+1),""))</f>
        <v/>
      </c>
      <c r="K197" s="7" t="str">
        <f>IF($G197="","",IFERROR(VLOOKUP($E197,'Recommendation Matrix'!$A$5:$K$411,11,FALSE),""))</f>
        <v/>
      </c>
      <c r="L197" s="28" t="str">
        <f t="shared" si="22"/>
        <v/>
      </c>
      <c r="M197" s="28" t="str">
        <f>IF($G197="","",IFERROR(INDEX('Recommendation Matrix'!$L$5:$Q$411,MATCH($E197,'Recommendation Matrix'!$A$5:$A$411,0),$G197+1),""))</f>
        <v/>
      </c>
      <c r="N197" s="28" t="str">
        <f t="shared" si="23"/>
        <v/>
      </c>
      <c r="O197" s="28" t="str">
        <f t="shared" si="24"/>
        <v/>
      </c>
      <c r="P197" s="28" t="str">
        <f t="shared" si="25"/>
        <v/>
      </c>
      <c r="Q197" s="28" t="str">
        <f t="shared" si="26"/>
        <v/>
      </c>
      <c r="R197" s="8" t="str">
        <f t="shared" si="27"/>
        <v/>
      </c>
      <c r="S197" s="28">
        <f>IFERROR('Supply Chain'!$G$11,"")</f>
        <v>5</v>
      </c>
      <c r="T197" s="28">
        <f>IFERROR('Supply Chain'!$W$11,"")</f>
        <v>4</v>
      </c>
      <c r="U197" s="28">
        <f>IFERROR('Supply Chain'!$X$11,"")</f>
        <v>5</v>
      </c>
      <c r="V197" s="28">
        <f>IFERROR('Supply Chain'!$Y$11,"")</f>
        <v>5</v>
      </c>
      <c r="W197" s="7" t="s">
        <v>3739</v>
      </c>
      <c r="X197" s="7" t="s">
        <v>3740</v>
      </c>
      <c r="Y197" s="7" t="s">
        <v>3794</v>
      </c>
      <c r="Z197" s="7">
        <f>IFERROR('Supply Chain'!$U$11,"")</f>
        <v>0</v>
      </c>
      <c r="AA197" s="7"/>
      <c r="AB197" s="29"/>
      <c r="AC197" s="7"/>
      <c r="AD197" s="48" t="str">
        <f>IF($B197="Yes",IFERROR(SUMIFS(_TECH_Crisis_Model!$D$5:$D$191,_TECH_Crisis_Model!$A$5:$A$191,'Crisis Simulator'!$B$4,_TECH_Crisis_Model!$B$5:$B$191,$C197),1),"")</f>
        <v/>
      </c>
      <c r="AE197" s="48" t="str">
        <f t="shared" si="28"/>
        <v/>
      </c>
      <c r="AF197" s="48" t="str">
        <f>IFERROR(INDEX(_TECH_Crisis_Model!$E$5:$E$191,MATCH('Crisis Simulator'!$B$4&amp;"|"&amp;$C197,_TECH_Crisis_Model!$I$5:$I$191,0)),"")</f>
        <v>Supplier concentration, logistics and inventory visibility determine production and delivery continuity.</v>
      </c>
      <c r="AG197" s="48" t="str">
        <f>IFERROR(INDEX(_TECH_Crisis_Model!$G$5:$G$191,MATCH('Crisis Simulator'!$B$4&amp;"|"&amp;$C197,_TECH_Crisis_Model!$I$5:$I$191,0)),"")</f>
        <v>Diversify suppliers, define safety stock, alternate routes, supplier monitoring and substitution rules.</v>
      </c>
      <c r="AH197" s="48" t="str">
        <f>IFERROR(INDEX(_TECH_Initiative_Library!$A$5:$A$76,MATCH(1,INDEX((_TECH_Initiative_Library!$B$5:$B$76=$C197)*(_TECH_Initiative_Library!$C$5:$C$76=$D197),0),0)),"")</f>
        <v>INI-033</v>
      </c>
      <c r="AI197" s="48" t="str">
        <f>IFERROR(INDEX(_TECH_Initiative_Library!$F$5:$F$76,MATCH(1,INDEX((_TECH_Initiative_Library!$B$5:$B$76=$C197)*(_TECH_Initiative_Library!$C$5:$C$76=$D197),0),0)),"")</f>
        <v>Build logistics continuity and transport fallback options</v>
      </c>
      <c r="AJ197" s="48" t="str">
        <f ca="1">IFERROR(INDEX(_TECH_Initiative_Library!$AC$5:$AC$76,MATCH(1,INDEX((_TECH_Initiative_Library!$B$5:$B$76=$C197)*(_TECH_Initiative_Library!$C$5:$C$76=$D197),0),0)),"")</f>
        <v/>
      </c>
      <c r="AK197" s="48" t="str">
        <f ca="1">IFERROR(INDEX(_TECH_Initiative_Library!$AE$5:$AE$76,MATCH(1,INDEX((_TECH_Initiative_Library!$B$5:$B$76=$C197)*(_TECH_Initiative_Library!$C$5:$C$76=$D197),0),0)),"")</f>
        <v/>
      </c>
      <c r="AL197" s="48" t="str">
        <f>IF($B197="Yes",IFERROR(SUMIFS(_TECH_Industry_Templates!$E:$E,_TECH_Industry_Templates!$A:$A,'Company Profile'!$B$9,_TECH_Industry_Templates!$B:$B,$C197),1),"")</f>
        <v/>
      </c>
      <c r="AM197" s="48" t="str">
        <f t="shared" si="29"/>
        <v/>
      </c>
      <c r="AN197" s="48" t="str">
        <f>IF($AM197="","",RANK.EQ($AM197,$AM$8:$AM$414,0)+COUNTIF($AM$8:$AM197,$AM197)-1)</f>
        <v/>
      </c>
    </row>
    <row r="198" spans="1:40" ht="71.25">
      <c r="A198" s="28" t="str">
        <f>IF($AM198="","",RANK.EQ($AM198,$AM$8:$AM$414,0)+COUNTIF($AM$8:$AM198,$AM198)-1)</f>
        <v/>
      </c>
      <c r="B198" s="7" t="str">
        <f t="shared" si="20"/>
        <v/>
      </c>
      <c r="C198" s="7" t="s">
        <v>78</v>
      </c>
      <c r="D198" s="7" t="s">
        <v>1307</v>
      </c>
      <c r="E198" s="7" t="s">
        <v>3802</v>
      </c>
      <c r="F198" s="7" t="s">
        <v>3803</v>
      </c>
      <c r="G198" s="28" t="str">
        <f>IF(OR(COUNTA('Supply Chain'!$H$12)=0,'Supply Chain'!$H$12="N/A"),"",VALUE('Supply Chain'!$H$12))</f>
        <v/>
      </c>
      <c r="H198" s="7" t="str">
        <f t="shared" si="21"/>
        <v/>
      </c>
      <c r="I198" s="7" t="str">
        <f>IF($G198="","",IFERROR(IF('Supply Chain'!$L$12="",IF($G198&lt;=1,"Critical",IF($G198=2,"High",IF($G198=3,"Medium",IF($G198=4,"Low","Optimized")))),'Supply Chain'!$L$12),IF($G198&lt;=1,"Critical",IF($G198=2,"High",IF($G198=3,"Medium",IF($G198=4,"Low","Optimized"))))))</f>
        <v/>
      </c>
      <c r="J198" s="7" t="str">
        <f>IF($G198="","",IFERROR(INDEX('Recommendation Matrix'!$E$5:$J$411,MATCH($E198,'Recommendation Matrix'!$A$5:$A$411,0),$G198+1),""))</f>
        <v/>
      </c>
      <c r="K198" s="7" t="str">
        <f>IF($G198="","",IFERROR(VLOOKUP($E198,'Recommendation Matrix'!$A$5:$K$411,11,FALSE),""))</f>
        <v/>
      </c>
      <c r="L198" s="28" t="str">
        <f t="shared" si="22"/>
        <v/>
      </c>
      <c r="M198" s="28" t="str">
        <f>IF($G198="","",IFERROR(INDEX('Recommendation Matrix'!$L$5:$Q$411,MATCH($E198,'Recommendation Matrix'!$A$5:$A$411,0),$G198+1),""))</f>
        <v/>
      </c>
      <c r="N198" s="28" t="str">
        <f t="shared" si="23"/>
        <v/>
      </c>
      <c r="O198" s="28" t="str">
        <f t="shared" si="24"/>
        <v/>
      </c>
      <c r="P198" s="28" t="str">
        <f t="shared" si="25"/>
        <v/>
      </c>
      <c r="Q198" s="28" t="str">
        <f t="shared" si="26"/>
        <v/>
      </c>
      <c r="R198" s="8" t="str">
        <f t="shared" si="27"/>
        <v/>
      </c>
      <c r="S198" s="28">
        <f>IFERROR('Supply Chain'!$G$12,"")</f>
        <v>3</v>
      </c>
      <c r="T198" s="28">
        <f>IFERROR('Supply Chain'!$W$12,"")</f>
        <v>4</v>
      </c>
      <c r="U198" s="28">
        <f>IFERROR('Supply Chain'!$X$12,"")</f>
        <v>5</v>
      </c>
      <c r="V198" s="28">
        <f>IFERROR('Supply Chain'!$Y$12,"")</f>
        <v>5</v>
      </c>
      <c r="W198" s="7" t="s">
        <v>3739</v>
      </c>
      <c r="X198" s="7" t="s">
        <v>3740</v>
      </c>
      <c r="Y198" s="7" t="s">
        <v>3804</v>
      </c>
      <c r="Z198" s="7">
        <f>IFERROR('Supply Chain'!$U$12,"")</f>
        <v>0</v>
      </c>
      <c r="AA198" s="7"/>
      <c r="AB198" s="29"/>
      <c r="AC198" s="7"/>
      <c r="AD198" s="48" t="str">
        <f>IF($B198="Yes",IFERROR(SUMIFS(_TECH_Crisis_Model!$D$5:$D$191,_TECH_Crisis_Model!$A$5:$A$191,'Crisis Simulator'!$B$4,_TECH_Crisis_Model!$B$5:$B$191,$C198),1),"")</f>
        <v/>
      </c>
      <c r="AE198" s="48" t="str">
        <f t="shared" si="28"/>
        <v/>
      </c>
      <c r="AF198" s="48" t="str">
        <f>IFERROR(INDEX(_TECH_Crisis_Model!$E$5:$E$191,MATCH('Crisis Simulator'!$B$4&amp;"|"&amp;$C198,_TECH_Crisis_Model!$I$5:$I$191,0)),"")</f>
        <v>Supplier concentration, logistics and inventory visibility determine production and delivery continuity.</v>
      </c>
      <c r="AG198" s="48" t="str">
        <f>IFERROR(INDEX(_TECH_Crisis_Model!$G$5:$G$191,MATCH('Crisis Simulator'!$B$4&amp;"|"&amp;$C198,_TECH_Crisis_Model!$I$5:$I$191,0)),"")</f>
        <v>Diversify suppliers, define safety stock, alternate routes, supplier monitoring and substitution rules.</v>
      </c>
      <c r="AH198" s="48" t="str">
        <f>IFERROR(INDEX(_TECH_Initiative_Library!$A$5:$A$76,MATCH(1,INDEX((_TECH_Initiative_Library!$B$5:$B$76=$C198)*(_TECH_Initiative_Library!$C$5:$C$76=$D198),0),0)),"")</f>
        <v>INI-033</v>
      </c>
      <c r="AI198" s="48" t="str">
        <f>IFERROR(INDEX(_TECH_Initiative_Library!$F$5:$F$76,MATCH(1,INDEX((_TECH_Initiative_Library!$B$5:$B$76=$C198)*(_TECH_Initiative_Library!$C$5:$C$76=$D198),0),0)),"")</f>
        <v>Build logistics continuity and transport fallback options</v>
      </c>
      <c r="AJ198" s="48" t="str">
        <f ca="1">IFERROR(INDEX(_TECH_Initiative_Library!$AC$5:$AC$76,MATCH(1,INDEX((_TECH_Initiative_Library!$B$5:$B$76=$C198)*(_TECH_Initiative_Library!$C$5:$C$76=$D198),0),0)),"")</f>
        <v/>
      </c>
      <c r="AK198" s="48" t="str">
        <f ca="1">IFERROR(INDEX(_TECH_Initiative_Library!$AE$5:$AE$76,MATCH(1,INDEX((_TECH_Initiative_Library!$B$5:$B$76=$C198)*(_TECH_Initiative_Library!$C$5:$C$76=$D198),0),0)),"")</f>
        <v/>
      </c>
      <c r="AL198" s="48" t="str">
        <f>IF($B198="Yes",IFERROR(SUMIFS(_TECH_Industry_Templates!$E:$E,_TECH_Industry_Templates!$A:$A,'Company Profile'!$B$9,_TECH_Industry_Templates!$B:$B,$C198),1),"")</f>
        <v/>
      </c>
      <c r="AM198" s="48" t="str">
        <f t="shared" si="29"/>
        <v/>
      </c>
      <c r="AN198" s="48" t="str">
        <f>IF($AM198="","",RANK.EQ($AM198,$AM$8:$AM$414,0)+COUNTIF($AM$8:$AM198,$AM198)-1)</f>
        <v/>
      </c>
    </row>
    <row r="199" spans="1:40" ht="71.25">
      <c r="A199" s="28" t="str">
        <f>IF($AM199="","",RANK.EQ($AM199,$AM$8:$AM$414,0)+COUNTIF($AM$8:$AM199,$AM199)-1)</f>
        <v/>
      </c>
      <c r="B199" s="7" t="str">
        <f t="shared" si="20"/>
        <v/>
      </c>
      <c r="C199" s="7" t="s">
        <v>78</v>
      </c>
      <c r="D199" s="7" t="s">
        <v>1307</v>
      </c>
      <c r="E199" s="7" t="s">
        <v>3812</v>
      </c>
      <c r="F199" s="7" t="s">
        <v>3813</v>
      </c>
      <c r="G199" s="28" t="str">
        <f>IF(OR(COUNTA('Supply Chain'!$H$13)=0,'Supply Chain'!$H$13="N/A"),"",VALUE('Supply Chain'!$H$13))</f>
        <v/>
      </c>
      <c r="H199" s="7" t="str">
        <f t="shared" si="21"/>
        <v/>
      </c>
      <c r="I199" s="7" t="str">
        <f>IF($G199="","",IFERROR(IF('Supply Chain'!$L$13="",IF($G199&lt;=1,"Critical",IF($G199=2,"High",IF($G199=3,"Medium",IF($G199=4,"Low","Optimized")))),'Supply Chain'!$L$13),IF($G199&lt;=1,"Critical",IF($G199=2,"High",IF($G199=3,"Medium",IF($G199=4,"Low","Optimized"))))))</f>
        <v/>
      </c>
      <c r="J199" s="7" t="str">
        <f>IF($G199="","",IFERROR(INDEX('Recommendation Matrix'!$E$5:$J$411,MATCH($E199,'Recommendation Matrix'!$A$5:$A$411,0),$G199+1),""))</f>
        <v/>
      </c>
      <c r="K199" s="7" t="str">
        <f>IF($G199="","",IFERROR(VLOOKUP($E199,'Recommendation Matrix'!$A$5:$K$411,11,FALSE),""))</f>
        <v/>
      </c>
      <c r="L199" s="28" t="str">
        <f t="shared" si="22"/>
        <v/>
      </c>
      <c r="M199" s="28" t="str">
        <f>IF($G199="","",IFERROR(INDEX('Recommendation Matrix'!$L$5:$Q$411,MATCH($E199,'Recommendation Matrix'!$A$5:$A$411,0),$G199+1),""))</f>
        <v/>
      </c>
      <c r="N199" s="28" t="str">
        <f t="shared" si="23"/>
        <v/>
      </c>
      <c r="O199" s="28" t="str">
        <f t="shared" si="24"/>
        <v/>
      </c>
      <c r="P199" s="28" t="str">
        <f t="shared" si="25"/>
        <v/>
      </c>
      <c r="Q199" s="28" t="str">
        <f t="shared" si="26"/>
        <v/>
      </c>
      <c r="R199" s="8" t="str">
        <f t="shared" si="27"/>
        <v/>
      </c>
      <c r="S199" s="28">
        <f>IFERROR('Supply Chain'!$G$13,"")</f>
        <v>3</v>
      </c>
      <c r="T199" s="28">
        <f>IFERROR('Supply Chain'!$W$13,"")</f>
        <v>4</v>
      </c>
      <c r="U199" s="28">
        <f>IFERROR('Supply Chain'!$X$13,"")</f>
        <v>5</v>
      </c>
      <c r="V199" s="28">
        <f>IFERROR('Supply Chain'!$Y$13,"")</f>
        <v>5</v>
      </c>
      <c r="W199" s="7" t="s">
        <v>3739</v>
      </c>
      <c r="X199" s="7" t="s">
        <v>3740</v>
      </c>
      <c r="Y199" s="7" t="s">
        <v>3814</v>
      </c>
      <c r="Z199" s="7">
        <f>IFERROR('Supply Chain'!$U$13,"")</f>
        <v>0</v>
      </c>
      <c r="AA199" s="7"/>
      <c r="AB199" s="29"/>
      <c r="AC199" s="7"/>
      <c r="AD199" s="48" t="str">
        <f>IF($B199="Yes",IFERROR(SUMIFS(_TECH_Crisis_Model!$D$5:$D$191,_TECH_Crisis_Model!$A$5:$A$191,'Crisis Simulator'!$B$4,_TECH_Crisis_Model!$B$5:$B$191,$C199),1),"")</f>
        <v/>
      </c>
      <c r="AE199" s="48" t="str">
        <f t="shared" si="28"/>
        <v/>
      </c>
      <c r="AF199" s="48" t="str">
        <f>IFERROR(INDEX(_TECH_Crisis_Model!$E$5:$E$191,MATCH('Crisis Simulator'!$B$4&amp;"|"&amp;$C199,_TECH_Crisis_Model!$I$5:$I$191,0)),"")</f>
        <v>Supplier concentration, logistics and inventory visibility determine production and delivery continuity.</v>
      </c>
      <c r="AG199" s="48" t="str">
        <f>IFERROR(INDEX(_TECH_Crisis_Model!$G$5:$G$191,MATCH('Crisis Simulator'!$B$4&amp;"|"&amp;$C199,_TECH_Crisis_Model!$I$5:$I$191,0)),"")</f>
        <v>Diversify suppliers, define safety stock, alternate routes, supplier monitoring and substitution rules.</v>
      </c>
      <c r="AH199" s="48" t="str">
        <f>IFERROR(INDEX(_TECH_Initiative_Library!$A$5:$A$76,MATCH(1,INDEX((_TECH_Initiative_Library!$B$5:$B$76=$C199)*(_TECH_Initiative_Library!$C$5:$C$76=$D199),0),0)),"")</f>
        <v>INI-033</v>
      </c>
      <c r="AI199" s="48" t="str">
        <f>IFERROR(INDEX(_TECH_Initiative_Library!$F$5:$F$76,MATCH(1,INDEX((_TECH_Initiative_Library!$B$5:$B$76=$C199)*(_TECH_Initiative_Library!$C$5:$C$76=$D199),0),0)),"")</f>
        <v>Build logistics continuity and transport fallback options</v>
      </c>
      <c r="AJ199" s="48" t="str">
        <f ca="1">IFERROR(INDEX(_TECH_Initiative_Library!$AC$5:$AC$76,MATCH(1,INDEX((_TECH_Initiative_Library!$B$5:$B$76=$C199)*(_TECH_Initiative_Library!$C$5:$C$76=$D199),0),0)),"")</f>
        <v/>
      </c>
      <c r="AK199" s="48" t="str">
        <f ca="1">IFERROR(INDEX(_TECH_Initiative_Library!$AE$5:$AE$76,MATCH(1,INDEX((_TECH_Initiative_Library!$B$5:$B$76=$C199)*(_TECH_Initiative_Library!$C$5:$C$76=$D199),0),0)),"")</f>
        <v/>
      </c>
      <c r="AL199" s="48" t="str">
        <f>IF($B199="Yes",IFERROR(SUMIFS(_TECH_Industry_Templates!$E:$E,_TECH_Industry_Templates!$A:$A,'Company Profile'!$B$9,_TECH_Industry_Templates!$B:$B,$C199),1),"")</f>
        <v/>
      </c>
      <c r="AM199" s="48" t="str">
        <f t="shared" si="29"/>
        <v/>
      </c>
      <c r="AN199" s="48" t="str">
        <f>IF($AM199="","",RANK.EQ($AM199,$AM$8:$AM$414,0)+COUNTIF($AM$8:$AM199,$AM199)-1)</f>
        <v/>
      </c>
    </row>
    <row r="200" spans="1:40" ht="71.25">
      <c r="A200" s="28" t="str">
        <f>IF($AM200="","",RANK.EQ($AM200,$AM$8:$AM$414,0)+COUNTIF($AM$8:$AM200,$AM200)-1)</f>
        <v/>
      </c>
      <c r="B200" s="7" t="str">
        <f t="shared" ref="B200:B263" si="30">IF($G200="","",IF($G200&lt;5,"Yes","Maintain"))</f>
        <v/>
      </c>
      <c r="C200" s="7" t="s">
        <v>78</v>
      </c>
      <c r="D200" s="7" t="s">
        <v>1307</v>
      </c>
      <c r="E200" s="7" t="s">
        <v>3822</v>
      </c>
      <c r="F200" s="7" t="s">
        <v>3823</v>
      </c>
      <c r="G200" s="28" t="str">
        <f>IF(OR(COUNTA('Supply Chain'!$H$14)=0,'Supply Chain'!$H$14="N/A"),"",VALUE('Supply Chain'!$H$14))</f>
        <v/>
      </c>
      <c r="H200" s="7" t="str">
        <f t="shared" ref="H200:H263" si="31">IF($G200="","",IF($G200&gt;=5,"Sustain",$G200+1))</f>
        <v/>
      </c>
      <c r="I200" s="7" t="str">
        <f>IF($G200="","",IFERROR(IF('Supply Chain'!$L$14="",IF($G200&lt;=1,"Critical",IF($G200=2,"High",IF($G200=3,"Medium",IF($G200=4,"Low","Optimized")))),'Supply Chain'!$L$14),IF($G200&lt;=1,"Critical",IF($G200=2,"High",IF($G200=3,"Medium",IF($G200=4,"Low","Optimized"))))))</f>
        <v/>
      </c>
      <c r="J200" s="7" t="str">
        <f>IF($G200="","",IFERROR(INDEX('Recommendation Matrix'!$E$5:$J$411,MATCH($E200,'Recommendation Matrix'!$A$5:$A$411,0),$G200+1),""))</f>
        <v/>
      </c>
      <c r="K200" s="7" t="str">
        <f>IF($G200="","",IFERROR(VLOOKUP($E200,'Recommendation Matrix'!$A$5:$K$411,11,FALSE),""))</f>
        <v/>
      </c>
      <c r="L200" s="28" t="str">
        <f t="shared" ref="L200:L263" si="32">IF($G200="","",MAX(1,MIN(5,ROUNDUP(((5-$G200)*0.55)+($S200*0.25)+($U200*0.2),0))))</f>
        <v/>
      </c>
      <c r="M200" s="28" t="str">
        <f>IF($G200="","",IFERROR(INDEX('Recommendation Matrix'!$L$5:$Q$411,MATCH($E200,'Recommendation Matrix'!$A$5:$A$411,0),$G200+1),""))</f>
        <v/>
      </c>
      <c r="N200" s="28" t="str">
        <f t="shared" ref="N200:N263" si="33">IF($G200="","",MAX(1,MIN(5,ROUND(($S200+$T200+$V200)/3,0))))</f>
        <v/>
      </c>
      <c r="O200" s="28" t="str">
        <f t="shared" ref="O200:O263" si="34">IF($G200="","",IF($I200="Critical",5,IF($I200="High",4,IF($I200="Medium",3,IF($I200="Low",2,1)))))</f>
        <v/>
      </c>
      <c r="P200" s="28" t="str">
        <f t="shared" ref="P200:P263" si="35">IF($G200="","",MAX(1,MIN(5,ROUNDUP(((5-$G200)*0.6)+($U200*0.4),0))))</f>
        <v/>
      </c>
      <c r="Q200" s="28" t="str">
        <f t="shared" ref="Q200:Q263" si="36">IF($G200="","",MAX(1,MIN(5,ROUND(($T200+$V200)/2,0))))</f>
        <v/>
      </c>
      <c r="R200" s="8" t="str">
        <f t="shared" ref="R200:R263" si="37">IF($G200="","",ROUND(($N200+$O200+$P200+$Q200)/$M200,2))</f>
        <v/>
      </c>
      <c r="S200" s="28">
        <f>IFERROR('Supply Chain'!$G$14,"")</f>
        <v>5</v>
      </c>
      <c r="T200" s="28">
        <f>IFERROR('Supply Chain'!$W$14,"")</f>
        <v>4</v>
      </c>
      <c r="U200" s="28">
        <f>IFERROR('Supply Chain'!$X$14,"")</f>
        <v>5</v>
      </c>
      <c r="V200" s="28">
        <f>IFERROR('Supply Chain'!$Y$14,"")</f>
        <v>5</v>
      </c>
      <c r="W200" s="7" t="s">
        <v>3739</v>
      </c>
      <c r="X200" s="7" t="s">
        <v>3740</v>
      </c>
      <c r="Y200" s="7" t="s">
        <v>3824</v>
      </c>
      <c r="Z200" s="7">
        <f>IFERROR('Supply Chain'!$U$14,"")</f>
        <v>0</v>
      </c>
      <c r="AA200" s="7"/>
      <c r="AB200" s="29"/>
      <c r="AC200" s="7"/>
      <c r="AD200" s="48" t="str">
        <f>IF($B200="Yes",IFERROR(SUMIFS(_TECH_Crisis_Model!$D$5:$D$191,_TECH_Crisis_Model!$A$5:$A$191,'Crisis Simulator'!$B$4,_TECH_Crisis_Model!$B$5:$B$191,$C200),1),"")</f>
        <v/>
      </c>
      <c r="AE200" s="48" t="str">
        <f t="shared" ref="AE200:AE263" si="38">IF(AD200="","",ROUND($R200*(0.7+0.3*AD200),2))</f>
        <v/>
      </c>
      <c r="AF200" s="48" t="str">
        <f>IFERROR(INDEX(_TECH_Crisis_Model!$E$5:$E$191,MATCH('Crisis Simulator'!$B$4&amp;"|"&amp;$C200,_TECH_Crisis_Model!$I$5:$I$191,0)),"")</f>
        <v>Supplier concentration, logistics and inventory visibility determine production and delivery continuity.</v>
      </c>
      <c r="AG200" s="48" t="str">
        <f>IFERROR(INDEX(_TECH_Crisis_Model!$G$5:$G$191,MATCH('Crisis Simulator'!$B$4&amp;"|"&amp;$C200,_TECH_Crisis_Model!$I$5:$I$191,0)),"")</f>
        <v>Diversify suppliers, define safety stock, alternate routes, supplier monitoring and substitution rules.</v>
      </c>
      <c r="AH200" s="48" t="str">
        <f>IFERROR(INDEX(_TECH_Initiative_Library!$A$5:$A$76,MATCH(1,INDEX((_TECH_Initiative_Library!$B$5:$B$76=$C200)*(_TECH_Initiative_Library!$C$5:$C$76=$D200),0),0)),"")</f>
        <v>INI-033</v>
      </c>
      <c r="AI200" s="48" t="str">
        <f>IFERROR(INDEX(_TECH_Initiative_Library!$F$5:$F$76,MATCH(1,INDEX((_TECH_Initiative_Library!$B$5:$B$76=$C200)*(_TECH_Initiative_Library!$C$5:$C$76=$D200),0),0)),"")</f>
        <v>Build logistics continuity and transport fallback options</v>
      </c>
      <c r="AJ200" s="48" t="str">
        <f ca="1">IFERROR(INDEX(_TECH_Initiative_Library!$AC$5:$AC$76,MATCH(1,INDEX((_TECH_Initiative_Library!$B$5:$B$76=$C200)*(_TECH_Initiative_Library!$C$5:$C$76=$D200),0),0)),"")</f>
        <v/>
      </c>
      <c r="AK200" s="48" t="str">
        <f ca="1">IFERROR(INDEX(_TECH_Initiative_Library!$AE$5:$AE$76,MATCH(1,INDEX((_TECH_Initiative_Library!$B$5:$B$76=$C200)*(_TECH_Initiative_Library!$C$5:$C$76=$D200),0),0)),"")</f>
        <v/>
      </c>
      <c r="AL200" s="48" t="str">
        <f>IF($B200="Yes",IFERROR(SUMIFS(_TECH_Industry_Templates!$E:$E,_TECH_Industry_Templates!$A:$A,'Company Profile'!$B$9,_TECH_Industry_Templates!$B:$B,$C200),1),"")</f>
        <v/>
      </c>
      <c r="AM200" s="48" t="str">
        <f t="shared" ref="AM200:AM263" si="39">IF($R200="","",ROUND(IF($AE200="",$R200,$AE200)*$AL200,2))</f>
        <v/>
      </c>
      <c r="AN200" s="48" t="str">
        <f>IF($AM200="","",RANK.EQ($AM200,$AM$8:$AM$414,0)+COUNTIF($AM$8:$AM200,$AM200)-1)</f>
        <v/>
      </c>
    </row>
    <row r="201" spans="1:40" ht="71.25">
      <c r="A201" s="28" t="str">
        <f>IF($AM201="","",RANK.EQ($AM201,$AM$8:$AM$414,0)+COUNTIF($AM$8:$AM201,$AM201)-1)</f>
        <v/>
      </c>
      <c r="B201" s="7" t="str">
        <f t="shared" si="30"/>
        <v/>
      </c>
      <c r="C201" s="7" t="s">
        <v>78</v>
      </c>
      <c r="D201" s="7" t="s">
        <v>1307</v>
      </c>
      <c r="E201" s="7" t="s">
        <v>3832</v>
      </c>
      <c r="F201" s="7" t="s">
        <v>3833</v>
      </c>
      <c r="G201" s="28" t="str">
        <f>IF(OR(COUNTA('Supply Chain'!$H$15)=0,'Supply Chain'!$H$15="N/A"),"",VALUE('Supply Chain'!$H$15))</f>
        <v/>
      </c>
      <c r="H201" s="7" t="str">
        <f t="shared" si="31"/>
        <v/>
      </c>
      <c r="I201" s="7" t="str">
        <f>IF($G201="","",IFERROR(IF('Supply Chain'!$L$15="",IF($G201&lt;=1,"Critical",IF($G201=2,"High",IF($G201=3,"Medium",IF($G201=4,"Low","Optimized")))),'Supply Chain'!$L$15),IF($G201&lt;=1,"Critical",IF($G201=2,"High",IF($G201=3,"Medium",IF($G201=4,"Low","Optimized"))))))</f>
        <v/>
      </c>
      <c r="J201" s="7" t="str">
        <f>IF($G201="","",IFERROR(INDEX('Recommendation Matrix'!$E$5:$J$411,MATCH($E201,'Recommendation Matrix'!$A$5:$A$411,0),$G201+1),""))</f>
        <v/>
      </c>
      <c r="K201" s="7" t="str">
        <f>IF($G201="","",IFERROR(VLOOKUP($E201,'Recommendation Matrix'!$A$5:$K$411,11,FALSE),""))</f>
        <v/>
      </c>
      <c r="L201" s="28" t="str">
        <f t="shared" si="32"/>
        <v/>
      </c>
      <c r="M201" s="28" t="str">
        <f>IF($G201="","",IFERROR(INDEX('Recommendation Matrix'!$L$5:$Q$411,MATCH($E201,'Recommendation Matrix'!$A$5:$A$411,0),$G201+1),""))</f>
        <v/>
      </c>
      <c r="N201" s="28" t="str">
        <f t="shared" si="33"/>
        <v/>
      </c>
      <c r="O201" s="28" t="str">
        <f t="shared" si="34"/>
        <v/>
      </c>
      <c r="P201" s="28" t="str">
        <f t="shared" si="35"/>
        <v/>
      </c>
      <c r="Q201" s="28" t="str">
        <f t="shared" si="36"/>
        <v/>
      </c>
      <c r="R201" s="8" t="str">
        <f t="shared" si="37"/>
        <v/>
      </c>
      <c r="S201" s="28">
        <f>IFERROR('Supply Chain'!$G$15,"")</f>
        <v>3</v>
      </c>
      <c r="T201" s="28">
        <f>IFERROR('Supply Chain'!$W$15,"")</f>
        <v>4</v>
      </c>
      <c r="U201" s="28">
        <f>IFERROR('Supply Chain'!$X$15,"")</f>
        <v>5</v>
      </c>
      <c r="V201" s="28">
        <f>IFERROR('Supply Chain'!$Y$15,"")</f>
        <v>5</v>
      </c>
      <c r="W201" s="7" t="s">
        <v>3739</v>
      </c>
      <c r="X201" s="7" t="s">
        <v>3740</v>
      </c>
      <c r="Y201" s="7" t="s">
        <v>3834</v>
      </c>
      <c r="Z201" s="7">
        <f>IFERROR('Supply Chain'!$U$15,"")</f>
        <v>0</v>
      </c>
      <c r="AA201" s="7"/>
      <c r="AB201" s="29"/>
      <c r="AC201" s="7"/>
      <c r="AD201" s="48" t="str">
        <f>IF($B201="Yes",IFERROR(SUMIFS(_TECH_Crisis_Model!$D$5:$D$191,_TECH_Crisis_Model!$A$5:$A$191,'Crisis Simulator'!$B$4,_TECH_Crisis_Model!$B$5:$B$191,$C201),1),"")</f>
        <v/>
      </c>
      <c r="AE201" s="48" t="str">
        <f t="shared" si="38"/>
        <v/>
      </c>
      <c r="AF201" s="48" t="str">
        <f>IFERROR(INDEX(_TECH_Crisis_Model!$E$5:$E$191,MATCH('Crisis Simulator'!$B$4&amp;"|"&amp;$C201,_TECH_Crisis_Model!$I$5:$I$191,0)),"")</f>
        <v>Supplier concentration, logistics and inventory visibility determine production and delivery continuity.</v>
      </c>
      <c r="AG201" s="48" t="str">
        <f>IFERROR(INDEX(_TECH_Crisis_Model!$G$5:$G$191,MATCH('Crisis Simulator'!$B$4&amp;"|"&amp;$C201,_TECH_Crisis_Model!$I$5:$I$191,0)),"")</f>
        <v>Diversify suppliers, define safety stock, alternate routes, supplier monitoring and substitution rules.</v>
      </c>
      <c r="AH201" s="48" t="str">
        <f>IFERROR(INDEX(_TECH_Initiative_Library!$A$5:$A$76,MATCH(1,INDEX((_TECH_Initiative_Library!$B$5:$B$76=$C201)*(_TECH_Initiative_Library!$C$5:$C$76=$D201),0),0)),"")</f>
        <v>INI-033</v>
      </c>
      <c r="AI201" s="48" t="str">
        <f>IFERROR(INDEX(_TECH_Initiative_Library!$F$5:$F$76,MATCH(1,INDEX((_TECH_Initiative_Library!$B$5:$B$76=$C201)*(_TECH_Initiative_Library!$C$5:$C$76=$D201),0),0)),"")</f>
        <v>Build logistics continuity and transport fallback options</v>
      </c>
      <c r="AJ201" s="48" t="str">
        <f ca="1">IFERROR(INDEX(_TECH_Initiative_Library!$AC$5:$AC$76,MATCH(1,INDEX((_TECH_Initiative_Library!$B$5:$B$76=$C201)*(_TECH_Initiative_Library!$C$5:$C$76=$D201),0),0)),"")</f>
        <v/>
      </c>
      <c r="AK201" s="48" t="str">
        <f ca="1">IFERROR(INDEX(_TECH_Initiative_Library!$AE$5:$AE$76,MATCH(1,INDEX((_TECH_Initiative_Library!$B$5:$B$76=$C201)*(_TECH_Initiative_Library!$C$5:$C$76=$D201),0),0)),"")</f>
        <v/>
      </c>
      <c r="AL201" s="48" t="str">
        <f>IF($B201="Yes",IFERROR(SUMIFS(_TECH_Industry_Templates!$E:$E,_TECH_Industry_Templates!$A:$A,'Company Profile'!$B$9,_TECH_Industry_Templates!$B:$B,$C201),1),"")</f>
        <v/>
      </c>
      <c r="AM201" s="48" t="str">
        <f t="shared" si="39"/>
        <v/>
      </c>
      <c r="AN201" s="48" t="str">
        <f>IF($AM201="","",RANK.EQ($AM201,$AM$8:$AM$414,0)+COUNTIF($AM$8:$AM201,$AM201)-1)</f>
        <v/>
      </c>
    </row>
    <row r="202" spans="1:40" ht="71.25">
      <c r="A202" s="28" t="str">
        <f>IF($AM202="","",RANK.EQ($AM202,$AM$8:$AM$414,0)+COUNTIF($AM$8:$AM202,$AM202)-1)</f>
        <v/>
      </c>
      <c r="B202" s="7" t="str">
        <f t="shared" si="30"/>
        <v/>
      </c>
      <c r="C202" s="7" t="s">
        <v>78</v>
      </c>
      <c r="D202" s="7" t="s">
        <v>1307</v>
      </c>
      <c r="E202" s="7" t="s">
        <v>3842</v>
      </c>
      <c r="F202" s="7" t="s">
        <v>3843</v>
      </c>
      <c r="G202" s="28" t="str">
        <f>IF(OR(COUNTA('Supply Chain'!$H$16)=0,'Supply Chain'!$H$16="N/A"),"",VALUE('Supply Chain'!$H$16))</f>
        <v/>
      </c>
      <c r="H202" s="7" t="str">
        <f t="shared" si="31"/>
        <v/>
      </c>
      <c r="I202" s="7" t="str">
        <f>IF($G202="","",IFERROR(IF('Supply Chain'!$L$16="",IF($G202&lt;=1,"Critical",IF($G202=2,"High",IF($G202=3,"Medium",IF($G202=4,"Low","Optimized")))),'Supply Chain'!$L$16),IF($G202&lt;=1,"Critical",IF($G202=2,"High",IF($G202=3,"Medium",IF($G202=4,"Low","Optimized"))))))</f>
        <v/>
      </c>
      <c r="J202" s="7" t="str">
        <f>IF($G202="","",IFERROR(INDEX('Recommendation Matrix'!$E$5:$J$411,MATCH($E202,'Recommendation Matrix'!$A$5:$A$411,0),$G202+1),""))</f>
        <v/>
      </c>
      <c r="K202" s="7" t="str">
        <f>IF($G202="","",IFERROR(VLOOKUP($E202,'Recommendation Matrix'!$A$5:$K$411,11,FALSE),""))</f>
        <v/>
      </c>
      <c r="L202" s="28" t="str">
        <f t="shared" si="32"/>
        <v/>
      </c>
      <c r="M202" s="28" t="str">
        <f>IF($G202="","",IFERROR(INDEX('Recommendation Matrix'!$L$5:$Q$411,MATCH($E202,'Recommendation Matrix'!$A$5:$A$411,0),$G202+1),""))</f>
        <v/>
      </c>
      <c r="N202" s="28" t="str">
        <f t="shared" si="33"/>
        <v/>
      </c>
      <c r="O202" s="28" t="str">
        <f t="shared" si="34"/>
        <v/>
      </c>
      <c r="P202" s="28" t="str">
        <f t="shared" si="35"/>
        <v/>
      </c>
      <c r="Q202" s="28" t="str">
        <f t="shared" si="36"/>
        <v/>
      </c>
      <c r="R202" s="8" t="str">
        <f t="shared" si="37"/>
        <v/>
      </c>
      <c r="S202" s="28">
        <f>IFERROR('Supply Chain'!$G$16,"")</f>
        <v>5</v>
      </c>
      <c r="T202" s="28">
        <f>IFERROR('Supply Chain'!$W$16,"")</f>
        <v>4</v>
      </c>
      <c r="U202" s="28">
        <f>IFERROR('Supply Chain'!$X$16,"")</f>
        <v>5</v>
      </c>
      <c r="V202" s="28">
        <f>IFERROR('Supply Chain'!$Y$16,"")</f>
        <v>5</v>
      </c>
      <c r="W202" s="7" t="s">
        <v>3739</v>
      </c>
      <c r="X202" s="7" t="s">
        <v>3740</v>
      </c>
      <c r="Y202" s="7" t="s">
        <v>3844</v>
      </c>
      <c r="Z202" s="7">
        <f>IFERROR('Supply Chain'!$U$16,"")</f>
        <v>0</v>
      </c>
      <c r="AA202" s="7"/>
      <c r="AB202" s="29"/>
      <c r="AC202" s="7"/>
      <c r="AD202" s="48" t="str">
        <f>IF($B202="Yes",IFERROR(SUMIFS(_TECH_Crisis_Model!$D$5:$D$191,_TECH_Crisis_Model!$A$5:$A$191,'Crisis Simulator'!$B$4,_TECH_Crisis_Model!$B$5:$B$191,$C202),1),"")</f>
        <v/>
      </c>
      <c r="AE202" s="48" t="str">
        <f t="shared" si="38"/>
        <v/>
      </c>
      <c r="AF202" s="48" t="str">
        <f>IFERROR(INDEX(_TECH_Crisis_Model!$E$5:$E$191,MATCH('Crisis Simulator'!$B$4&amp;"|"&amp;$C202,_TECH_Crisis_Model!$I$5:$I$191,0)),"")</f>
        <v>Supplier concentration, logistics and inventory visibility determine production and delivery continuity.</v>
      </c>
      <c r="AG202" s="48" t="str">
        <f>IFERROR(INDEX(_TECH_Crisis_Model!$G$5:$G$191,MATCH('Crisis Simulator'!$B$4&amp;"|"&amp;$C202,_TECH_Crisis_Model!$I$5:$I$191,0)),"")</f>
        <v>Diversify suppliers, define safety stock, alternate routes, supplier monitoring and substitution rules.</v>
      </c>
      <c r="AH202" s="48" t="str">
        <f>IFERROR(INDEX(_TECH_Initiative_Library!$A$5:$A$76,MATCH(1,INDEX((_TECH_Initiative_Library!$B$5:$B$76=$C202)*(_TECH_Initiative_Library!$C$5:$C$76=$D202),0),0)),"")</f>
        <v>INI-033</v>
      </c>
      <c r="AI202" s="48" t="str">
        <f>IFERROR(INDEX(_TECH_Initiative_Library!$F$5:$F$76,MATCH(1,INDEX((_TECH_Initiative_Library!$B$5:$B$76=$C202)*(_TECH_Initiative_Library!$C$5:$C$76=$D202),0),0)),"")</f>
        <v>Build logistics continuity and transport fallback options</v>
      </c>
      <c r="AJ202" s="48" t="str">
        <f ca="1">IFERROR(INDEX(_TECH_Initiative_Library!$AC$5:$AC$76,MATCH(1,INDEX((_TECH_Initiative_Library!$B$5:$B$76=$C202)*(_TECH_Initiative_Library!$C$5:$C$76=$D202),0),0)),"")</f>
        <v/>
      </c>
      <c r="AK202" s="48" t="str">
        <f ca="1">IFERROR(INDEX(_TECH_Initiative_Library!$AE$5:$AE$76,MATCH(1,INDEX((_TECH_Initiative_Library!$B$5:$B$76=$C202)*(_TECH_Initiative_Library!$C$5:$C$76=$D202),0),0)),"")</f>
        <v/>
      </c>
      <c r="AL202" s="48" t="str">
        <f>IF($B202="Yes",IFERROR(SUMIFS(_TECH_Industry_Templates!$E:$E,_TECH_Industry_Templates!$A:$A,'Company Profile'!$B$9,_TECH_Industry_Templates!$B:$B,$C202),1),"")</f>
        <v/>
      </c>
      <c r="AM202" s="48" t="str">
        <f t="shared" si="39"/>
        <v/>
      </c>
      <c r="AN202" s="48" t="str">
        <f>IF($AM202="","",RANK.EQ($AM202,$AM$8:$AM$414,0)+COUNTIF($AM$8:$AM202,$AM202)-1)</f>
        <v/>
      </c>
    </row>
    <row r="203" spans="1:40" ht="71.25">
      <c r="A203" s="28" t="str">
        <f>IF($AM203="","",RANK.EQ($AM203,$AM$8:$AM$414,0)+COUNTIF($AM$8:$AM203,$AM203)-1)</f>
        <v/>
      </c>
      <c r="B203" s="7" t="str">
        <f t="shared" si="30"/>
        <v/>
      </c>
      <c r="C203" s="7" t="s">
        <v>78</v>
      </c>
      <c r="D203" s="7" t="s">
        <v>1315</v>
      </c>
      <c r="E203" s="7" t="s">
        <v>3852</v>
      </c>
      <c r="F203" s="7" t="s">
        <v>3853</v>
      </c>
      <c r="G203" s="28" t="str">
        <f>IF(OR(COUNTA('Supply Chain'!$H$17)=0,'Supply Chain'!$H$17="N/A"),"",VALUE('Supply Chain'!$H$17))</f>
        <v/>
      </c>
      <c r="H203" s="7" t="str">
        <f t="shared" si="31"/>
        <v/>
      </c>
      <c r="I203" s="7" t="str">
        <f>IF($G203="","",IFERROR(IF('Supply Chain'!$L$17="",IF($G203&lt;=1,"Critical",IF($G203=2,"High",IF($G203=3,"Medium",IF($G203=4,"Low","Optimized")))),'Supply Chain'!$L$17),IF($G203&lt;=1,"Critical",IF($G203=2,"High",IF($G203=3,"Medium",IF($G203=4,"Low","Optimized"))))))</f>
        <v/>
      </c>
      <c r="J203" s="7" t="str">
        <f>IF($G203="","",IFERROR(INDEX('Recommendation Matrix'!$E$5:$J$411,MATCH($E203,'Recommendation Matrix'!$A$5:$A$411,0),$G203+1),""))</f>
        <v/>
      </c>
      <c r="K203" s="7" t="str">
        <f>IF($G203="","",IFERROR(VLOOKUP($E203,'Recommendation Matrix'!$A$5:$K$411,11,FALSE),""))</f>
        <v/>
      </c>
      <c r="L203" s="28" t="str">
        <f t="shared" si="32"/>
        <v/>
      </c>
      <c r="M203" s="28" t="str">
        <f>IF($G203="","",IFERROR(INDEX('Recommendation Matrix'!$L$5:$Q$411,MATCH($E203,'Recommendation Matrix'!$A$5:$A$411,0),$G203+1),""))</f>
        <v/>
      </c>
      <c r="N203" s="28" t="str">
        <f t="shared" si="33"/>
        <v/>
      </c>
      <c r="O203" s="28" t="str">
        <f t="shared" si="34"/>
        <v/>
      </c>
      <c r="P203" s="28" t="str">
        <f t="shared" si="35"/>
        <v/>
      </c>
      <c r="Q203" s="28" t="str">
        <f t="shared" si="36"/>
        <v/>
      </c>
      <c r="R203" s="8" t="str">
        <f t="shared" si="37"/>
        <v/>
      </c>
      <c r="S203" s="28">
        <f>IFERROR('Supply Chain'!$G$17,"")</f>
        <v>5</v>
      </c>
      <c r="T203" s="28">
        <f>IFERROR('Supply Chain'!$W$17,"")</f>
        <v>4</v>
      </c>
      <c r="U203" s="28">
        <f>IFERROR('Supply Chain'!$X$17,"")</f>
        <v>5</v>
      </c>
      <c r="V203" s="28">
        <f>IFERROR('Supply Chain'!$Y$17,"")</f>
        <v>5</v>
      </c>
      <c r="W203" s="7" t="s">
        <v>3739</v>
      </c>
      <c r="X203" s="7" t="s">
        <v>3740</v>
      </c>
      <c r="Y203" s="7" t="s">
        <v>3854</v>
      </c>
      <c r="Z203" s="7">
        <f>IFERROR('Supply Chain'!$U$17,"")</f>
        <v>0</v>
      </c>
      <c r="AA203" s="7"/>
      <c r="AB203" s="29"/>
      <c r="AC203" s="7"/>
      <c r="AD203" s="48" t="str">
        <f>IF($B203="Yes",IFERROR(SUMIFS(_TECH_Crisis_Model!$D$5:$D$191,_TECH_Crisis_Model!$A$5:$A$191,'Crisis Simulator'!$B$4,_TECH_Crisis_Model!$B$5:$B$191,$C203),1),"")</f>
        <v/>
      </c>
      <c r="AE203" s="48" t="str">
        <f t="shared" si="38"/>
        <v/>
      </c>
      <c r="AF203" s="48" t="str">
        <f>IFERROR(INDEX(_TECH_Crisis_Model!$E$5:$E$191,MATCH('Crisis Simulator'!$B$4&amp;"|"&amp;$C203,_TECH_Crisis_Model!$I$5:$I$191,0)),"")</f>
        <v>Supplier concentration, logistics and inventory visibility determine production and delivery continuity.</v>
      </c>
      <c r="AG203" s="48" t="str">
        <f>IFERROR(INDEX(_TECH_Crisis_Model!$G$5:$G$191,MATCH('Crisis Simulator'!$B$4&amp;"|"&amp;$C203,_TECH_Crisis_Model!$I$5:$I$191,0)),"")</f>
        <v>Diversify suppliers, define safety stock, alternate routes, supplier monitoring and substitution rules.</v>
      </c>
      <c r="AH203" s="48" t="str">
        <f>IFERROR(INDEX(_TECH_Initiative_Library!$A$5:$A$76,MATCH(1,INDEX((_TECH_Initiative_Library!$B$5:$B$76=$C203)*(_TECH_Initiative_Library!$C$5:$C$76=$D203),0),0)),"")</f>
        <v>INI-034</v>
      </c>
      <c r="AI203" s="48" t="str">
        <f>IFERROR(INDEX(_TECH_Initiative_Library!$F$5:$F$76,MATCH(1,INDEX((_TECH_Initiative_Library!$B$5:$B$76=$C203)*(_TECH_Initiative_Library!$C$5:$C$76=$D203),0),0)),"")</f>
        <v>Implement inventory visibility and demand/supply planning</v>
      </c>
      <c r="AJ203" s="48" t="str">
        <f ca="1">IFERROR(INDEX(_TECH_Initiative_Library!$AC$5:$AC$76,MATCH(1,INDEX((_TECH_Initiative_Library!$B$5:$B$76=$C203)*(_TECH_Initiative_Library!$C$5:$C$76=$D203),0),0)),"")</f>
        <v/>
      </c>
      <c r="AK203" s="48" t="str">
        <f ca="1">IFERROR(INDEX(_TECH_Initiative_Library!$AE$5:$AE$76,MATCH(1,INDEX((_TECH_Initiative_Library!$B$5:$B$76=$C203)*(_TECH_Initiative_Library!$C$5:$C$76=$D203),0),0)),"")</f>
        <v/>
      </c>
      <c r="AL203" s="48" t="str">
        <f>IF($B203="Yes",IFERROR(SUMIFS(_TECH_Industry_Templates!$E:$E,_TECH_Industry_Templates!$A:$A,'Company Profile'!$B$9,_TECH_Industry_Templates!$B:$B,$C203),1),"")</f>
        <v/>
      </c>
      <c r="AM203" s="48" t="str">
        <f t="shared" si="39"/>
        <v/>
      </c>
      <c r="AN203" s="48" t="str">
        <f>IF($AM203="","",RANK.EQ($AM203,$AM$8:$AM$414,0)+COUNTIF($AM$8:$AM203,$AM203)-1)</f>
        <v/>
      </c>
    </row>
    <row r="204" spans="1:40" ht="71.25">
      <c r="A204" s="28" t="str">
        <f>IF($AM204="","",RANK.EQ($AM204,$AM$8:$AM$414,0)+COUNTIF($AM$8:$AM204,$AM204)-1)</f>
        <v/>
      </c>
      <c r="B204" s="7" t="str">
        <f t="shared" si="30"/>
        <v/>
      </c>
      <c r="C204" s="7" t="s">
        <v>78</v>
      </c>
      <c r="D204" s="7" t="s">
        <v>1315</v>
      </c>
      <c r="E204" s="7" t="s">
        <v>3862</v>
      </c>
      <c r="F204" s="7" t="s">
        <v>3863</v>
      </c>
      <c r="G204" s="28" t="str">
        <f>IF(OR(COUNTA('Supply Chain'!$H$18)=0,'Supply Chain'!$H$18="N/A"),"",VALUE('Supply Chain'!$H$18))</f>
        <v/>
      </c>
      <c r="H204" s="7" t="str">
        <f t="shared" si="31"/>
        <v/>
      </c>
      <c r="I204" s="7" t="str">
        <f>IF($G204="","",IFERROR(IF('Supply Chain'!$L$18="",IF($G204&lt;=1,"Critical",IF($G204=2,"High",IF($G204=3,"Medium",IF($G204=4,"Low","Optimized")))),'Supply Chain'!$L$18),IF($G204&lt;=1,"Critical",IF($G204=2,"High",IF($G204=3,"Medium",IF($G204=4,"Low","Optimized"))))))</f>
        <v/>
      </c>
      <c r="J204" s="7" t="str">
        <f>IF($G204="","",IFERROR(INDEX('Recommendation Matrix'!$E$5:$J$411,MATCH($E204,'Recommendation Matrix'!$A$5:$A$411,0),$G204+1),""))</f>
        <v/>
      </c>
      <c r="K204" s="7" t="str">
        <f>IF($G204="","",IFERROR(VLOOKUP($E204,'Recommendation Matrix'!$A$5:$K$411,11,FALSE),""))</f>
        <v/>
      </c>
      <c r="L204" s="28" t="str">
        <f t="shared" si="32"/>
        <v/>
      </c>
      <c r="M204" s="28" t="str">
        <f>IF($G204="","",IFERROR(INDEX('Recommendation Matrix'!$L$5:$Q$411,MATCH($E204,'Recommendation Matrix'!$A$5:$A$411,0),$G204+1),""))</f>
        <v/>
      </c>
      <c r="N204" s="28" t="str">
        <f t="shared" si="33"/>
        <v/>
      </c>
      <c r="O204" s="28" t="str">
        <f t="shared" si="34"/>
        <v/>
      </c>
      <c r="P204" s="28" t="str">
        <f t="shared" si="35"/>
        <v/>
      </c>
      <c r="Q204" s="28" t="str">
        <f t="shared" si="36"/>
        <v/>
      </c>
      <c r="R204" s="8" t="str">
        <f t="shared" si="37"/>
        <v/>
      </c>
      <c r="S204" s="28">
        <f>IFERROR('Supply Chain'!$G$18,"")</f>
        <v>4</v>
      </c>
      <c r="T204" s="28">
        <f>IFERROR('Supply Chain'!$W$18,"")</f>
        <v>4</v>
      </c>
      <c r="U204" s="28">
        <f>IFERROR('Supply Chain'!$X$18,"")</f>
        <v>5</v>
      </c>
      <c r="V204" s="28">
        <f>IFERROR('Supply Chain'!$Y$18,"")</f>
        <v>5</v>
      </c>
      <c r="W204" s="7" t="s">
        <v>3739</v>
      </c>
      <c r="X204" s="7" t="s">
        <v>3740</v>
      </c>
      <c r="Y204" s="7" t="s">
        <v>3864</v>
      </c>
      <c r="Z204" s="7">
        <f>IFERROR('Supply Chain'!$U$18,"")</f>
        <v>0</v>
      </c>
      <c r="AA204" s="7"/>
      <c r="AB204" s="29"/>
      <c r="AC204" s="7"/>
      <c r="AD204" s="48" t="str">
        <f>IF($B204="Yes",IFERROR(SUMIFS(_TECH_Crisis_Model!$D$5:$D$191,_TECH_Crisis_Model!$A$5:$A$191,'Crisis Simulator'!$B$4,_TECH_Crisis_Model!$B$5:$B$191,$C204),1),"")</f>
        <v/>
      </c>
      <c r="AE204" s="48" t="str">
        <f t="shared" si="38"/>
        <v/>
      </c>
      <c r="AF204" s="48" t="str">
        <f>IFERROR(INDEX(_TECH_Crisis_Model!$E$5:$E$191,MATCH('Crisis Simulator'!$B$4&amp;"|"&amp;$C204,_TECH_Crisis_Model!$I$5:$I$191,0)),"")</f>
        <v>Supplier concentration, logistics and inventory visibility determine production and delivery continuity.</v>
      </c>
      <c r="AG204" s="48" t="str">
        <f>IFERROR(INDEX(_TECH_Crisis_Model!$G$5:$G$191,MATCH('Crisis Simulator'!$B$4&amp;"|"&amp;$C204,_TECH_Crisis_Model!$I$5:$I$191,0)),"")</f>
        <v>Diversify suppliers, define safety stock, alternate routes, supplier monitoring and substitution rules.</v>
      </c>
      <c r="AH204" s="48" t="str">
        <f>IFERROR(INDEX(_TECH_Initiative_Library!$A$5:$A$76,MATCH(1,INDEX((_TECH_Initiative_Library!$B$5:$B$76=$C204)*(_TECH_Initiative_Library!$C$5:$C$76=$D204),0),0)),"")</f>
        <v>INI-034</v>
      </c>
      <c r="AI204" s="48" t="str">
        <f>IFERROR(INDEX(_TECH_Initiative_Library!$F$5:$F$76,MATCH(1,INDEX((_TECH_Initiative_Library!$B$5:$B$76=$C204)*(_TECH_Initiative_Library!$C$5:$C$76=$D204),0),0)),"")</f>
        <v>Implement inventory visibility and demand/supply planning</v>
      </c>
      <c r="AJ204" s="48" t="str">
        <f ca="1">IFERROR(INDEX(_TECH_Initiative_Library!$AC$5:$AC$76,MATCH(1,INDEX((_TECH_Initiative_Library!$B$5:$B$76=$C204)*(_TECH_Initiative_Library!$C$5:$C$76=$D204),0),0)),"")</f>
        <v/>
      </c>
      <c r="AK204" s="48" t="str">
        <f ca="1">IFERROR(INDEX(_TECH_Initiative_Library!$AE$5:$AE$76,MATCH(1,INDEX((_TECH_Initiative_Library!$B$5:$B$76=$C204)*(_TECH_Initiative_Library!$C$5:$C$76=$D204),0),0)),"")</f>
        <v/>
      </c>
      <c r="AL204" s="48" t="str">
        <f>IF($B204="Yes",IFERROR(SUMIFS(_TECH_Industry_Templates!$E:$E,_TECH_Industry_Templates!$A:$A,'Company Profile'!$B$9,_TECH_Industry_Templates!$B:$B,$C204),1),"")</f>
        <v/>
      </c>
      <c r="AM204" s="48" t="str">
        <f t="shared" si="39"/>
        <v/>
      </c>
      <c r="AN204" s="48" t="str">
        <f>IF($AM204="","",RANK.EQ($AM204,$AM$8:$AM$414,0)+COUNTIF($AM$8:$AM204,$AM204)-1)</f>
        <v/>
      </c>
    </row>
    <row r="205" spans="1:40" ht="71.25">
      <c r="A205" s="28" t="str">
        <f>IF($AM205="","",RANK.EQ($AM205,$AM$8:$AM$414,0)+COUNTIF($AM$8:$AM205,$AM205)-1)</f>
        <v/>
      </c>
      <c r="B205" s="7" t="str">
        <f t="shared" si="30"/>
        <v/>
      </c>
      <c r="C205" s="7" t="s">
        <v>78</v>
      </c>
      <c r="D205" s="7" t="s">
        <v>1315</v>
      </c>
      <c r="E205" s="7" t="s">
        <v>3872</v>
      </c>
      <c r="F205" s="7" t="s">
        <v>3873</v>
      </c>
      <c r="G205" s="28" t="str">
        <f>IF(OR(COUNTA('Supply Chain'!$H$19)=0,'Supply Chain'!$H$19="N/A"),"",VALUE('Supply Chain'!$H$19))</f>
        <v/>
      </c>
      <c r="H205" s="7" t="str">
        <f t="shared" si="31"/>
        <v/>
      </c>
      <c r="I205" s="7" t="str">
        <f>IF($G205="","",IFERROR(IF('Supply Chain'!$L$19="",IF($G205&lt;=1,"Critical",IF($G205=2,"High",IF($G205=3,"Medium",IF($G205=4,"Low","Optimized")))),'Supply Chain'!$L$19),IF($G205&lt;=1,"Critical",IF($G205=2,"High",IF($G205=3,"Medium",IF($G205=4,"Low","Optimized"))))))</f>
        <v/>
      </c>
      <c r="J205" s="7" t="str">
        <f>IF($G205="","",IFERROR(INDEX('Recommendation Matrix'!$E$5:$J$411,MATCH($E205,'Recommendation Matrix'!$A$5:$A$411,0),$G205+1),""))</f>
        <v/>
      </c>
      <c r="K205" s="7" t="str">
        <f>IF($G205="","",IFERROR(VLOOKUP($E205,'Recommendation Matrix'!$A$5:$K$411,11,FALSE),""))</f>
        <v/>
      </c>
      <c r="L205" s="28" t="str">
        <f t="shared" si="32"/>
        <v/>
      </c>
      <c r="M205" s="28" t="str">
        <f>IF($G205="","",IFERROR(INDEX('Recommendation Matrix'!$L$5:$Q$411,MATCH($E205,'Recommendation Matrix'!$A$5:$A$411,0),$G205+1),""))</f>
        <v/>
      </c>
      <c r="N205" s="28" t="str">
        <f t="shared" si="33"/>
        <v/>
      </c>
      <c r="O205" s="28" t="str">
        <f t="shared" si="34"/>
        <v/>
      </c>
      <c r="P205" s="28" t="str">
        <f t="shared" si="35"/>
        <v/>
      </c>
      <c r="Q205" s="28" t="str">
        <f t="shared" si="36"/>
        <v/>
      </c>
      <c r="R205" s="8" t="str">
        <f t="shared" si="37"/>
        <v/>
      </c>
      <c r="S205" s="28">
        <f>IFERROR('Supply Chain'!$G$19,"")</f>
        <v>4</v>
      </c>
      <c r="T205" s="28">
        <f>IFERROR('Supply Chain'!$W$19,"")</f>
        <v>4</v>
      </c>
      <c r="U205" s="28">
        <f>IFERROR('Supply Chain'!$X$19,"")</f>
        <v>5</v>
      </c>
      <c r="V205" s="28">
        <f>IFERROR('Supply Chain'!$Y$19,"")</f>
        <v>5</v>
      </c>
      <c r="W205" s="7" t="s">
        <v>3739</v>
      </c>
      <c r="X205" s="7" t="s">
        <v>3740</v>
      </c>
      <c r="Y205" s="7" t="s">
        <v>3874</v>
      </c>
      <c r="Z205" s="7">
        <f>IFERROR('Supply Chain'!$U$19,"")</f>
        <v>0</v>
      </c>
      <c r="AA205" s="7"/>
      <c r="AB205" s="29"/>
      <c r="AC205" s="7"/>
      <c r="AD205" s="48" t="str">
        <f>IF($B205="Yes",IFERROR(SUMIFS(_TECH_Crisis_Model!$D$5:$D$191,_TECH_Crisis_Model!$A$5:$A$191,'Crisis Simulator'!$B$4,_TECH_Crisis_Model!$B$5:$B$191,$C205),1),"")</f>
        <v/>
      </c>
      <c r="AE205" s="48" t="str">
        <f t="shared" si="38"/>
        <v/>
      </c>
      <c r="AF205" s="48" t="str">
        <f>IFERROR(INDEX(_TECH_Crisis_Model!$E$5:$E$191,MATCH('Crisis Simulator'!$B$4&amp;"|"&amp;$C205,_TECH_Crisis_Model!$I$5:$I$191,0)),"")</f>
        <v>Supplier concentration, logistics and inventory visibility determine production and delivery continuity.</v>
      </c>
      <c r="AG205" s="48" t="str">
        <f>IFERROR(INDEX(_TECH_Crisis_Model!$G$5:$G$191,MATCH('Crisis Simulator'!$B$4&amp;"|"&amp;$C205,_TECH_Crisis_Model!$I$5:$I$191,0)),"")</f>
        <v>Diversify suppliers, define safety stock, alternate routes, supplier monitoring and substitution rules.</v>
      </c>
      <c r="AH205" s="48" t="str">
        <f>IFERROR(INDEX(_TECH_Initiative_Library!$A$5:$A$76,MATCH(1,INDEX((_TECH_Initiative_Library!$B$5:$B$76=$C205)*(_TECH_Initiative_Library!$C$5:$C$76=$D205),0),0)),"")</f>
        <v>INI-034</v>
      </c>
      <c r="AI205" s="48" t="str">
        <f>IFERROR(INDEX(_TECH_Initiative_Library!$F$5:$F$76,MATCH(1,INDEX((_TECH_Initiative_Library!$B$5:$B$76=$C205)*(_TECH_Initiative_Library!$C$5:$C$76=$D205),0),0)),"")</f>
        <v>Implement inventory visibility and demand/supply planning</v>
      </c>
      <c r="AJ205" s="48" t="str">
        <f ca="1">IFERROR(INDEX(_TECH_Initiative_Library!$AC$5:$AC$76,MATCH(1,INDEX((_TECH_Initiative_Library!$B$5:$B$76=$C205)*(_TECH_Initiative_Library!$C$5:$C$76=$D205),0),0)),"")</f>
        <v/>
      </c>
      <c r="AK205" s="48" t="str">
        <f ca="1">IFERROR(INDEX(_TECH_Initiative_Library!$AE$5:$AE$76,MATCH(1,INDEX((_TECH_Initiative_Library!$B$5:$B$76=$C205)*(_TECH_Initiative_Library!$C$5:$C$76=$D205),0),0)),"")</f>
        <v/>
      </c>
      <c r="AL205" s="48" t="str">
        <f>IF($B205="Yes",IFERROR(SUMIFS(_TECH_Industry_Templates!$E:$E,_TECH_Industry_Templates!$A:$A,'Company Profile'!$B$9,_TECH_Industry_Templates!$B:$B,$C205),1),"")</f>
        <v/>
      </c>
      <c r="AM205" s="48" t="str">
        <f t="shared" si="39"/>
        <v/>
      </c>
      <c r="AN205" s="48" t="str">
        <f>IF($AM205="","",RANK.EQ($AM205,$AM$8:$AM$414,0)+COUNTIF($AM$8:$AM205,$AM205)-1)</f>
        <v/>
      </c>
    </row>
    <row r="206" spans="1:40" ht="71.25">
      <c r="A206" s="28" t="str">
        <f>IF($AM206="","",RANK.EQ($AM206,$AM$8:$AM$414,0)+COUNTIF($AM$8:$AM206,$AM206)-1)</f>
        <v/>
      </c>
      <c r="B206" s="7" t="str">
        <f t="shared" si="30"/>
        <v/>
      </c>
      <c r="C206" s="7" t="s">
        <v>78</v>
      </c>
      <c r="D206" s="7" t="s">
        <v>1315</v>
      </c>
      <c r="E206" s="7" t="s">
        <v>3882</v>
      </c>
      <c r="F206" s="7" t="s">
        <v>3883</v>
      </c>
      <c r="G206" s="28" t="str">
        <f>IF(OR(COUNTA('Supply Chain'!$H$20)=0,'Supply Chain'!$H$20="N/A"),"",VALUE('Supply Chain'!$H$20))</f>
        <v/>
      </c>
      <c r="H206" s="7" t="str">
        <f t="shared" si="31"/>
        <v/>
      </c>
      <c r="I206" s="7" t="str">
        <f>IF($G206="","",IFERROR(IF('Supply Chain'!$L$20="",IF($G206&lt;=1,"Critical",IF($G206=2,"High",IF($G206=3,"Medium",IF($G206=4,"Low","Optimized")))),'Supply Chain'!$L$20),IF($G206&lt;=1,"Critical",IF($G206=2,"High",IF($G206=3,"Medium",IF($G206=4,"Low","Optimized"))))))</f>
        <v/>
      </c>
      <c r="J206" s="7" t="str">
        <f>IF($G206="","",IFERROR(INDEX('Recommendation Matrix'!$E$5:$J$411,MATCH($E206,'Recommendation Matrix'!$A$5:$A$411,0),$G206+1),""))</f>
        <v/>
      </c>
      <c r="K206" s="7" t="str">
        <f>IF($G206="","",IFERROR(VLOOKUP($E206,'Recommendation Matrix'!$A$5:$K$411,11,FALSE),""))</f>
        <v/>
      </c>
      <c r="L206" s="28" t="str">
        <f t="shared" si="32"/>
        <v/>
      </c>
      <c r="M206" s="28" t="str">
        <f>IF($G206="","",IFERROR(INDEX('Recommendation Matrix'!$L$5:$Q$411,MATCH($E206,'Recommendation Matrix'!$A$5:$A$411,0),$G206+1),""))</f>
        <v/>
      </c>
      <c r="N206" s="28" t="str">
        <f t="shared" si="33"/>
        <v/>
      </c>
      <c r="O206" s="28" t="str">
        <f t="shared" si="34"/>
        <v/>
      </c>
      <c r="P206" s="28" t="str">
        <f t="shared" si="35"/>
        <v/>
      </c>
      <c r="Q206" s="28" t="str">
        <f t="shared" si="36"/>
        <v/>
      </c>
      <c r="R206" s="8" t="str">
        <f t="shared" si="37"/>
        <v/>
      </c>
      <c r="S206" s="28">
        <f>IFERROR('Supply Chain'!$G$20,"")</f>
        <v>5</v>
      </c>
      <c r="T206" s="28">
        <f>IFERROR('Supply Chain'!$W$20,"")</f>
        <v>4</v>
      </c>
      <c r="U206" s="28">
        <f>IFERROR('Supply Chain'!$X$20,"")</f>
        <v>5</v>
      </c>
      <c r="V206" s="28">
        <f>IFERROR('Supply Chain'!$Y$20,"")</f>
        <v>5</v>
      </c>
      <c r="W206" s="7" t="s">
        <v>3739</v>
      </c>
      <c r="X206" s="7" t="s">
        <v>3740</v>
      </c>
      <c r="Y206" s="7" t="s">
        <v>3884</v>
      </c>
      <c r="Z206" s="7">
        <f>IFERROR('Supply Chain'!$U$20,"")</f>
        <v>0</v>
      </c>
      <c r="AA206" s="7"/>
      <c r="AB206" s="29"/>
      <c r="AC206" s="7"/>
      <c r="AD206" s="48" t="str">
        <f>IF($B206="Yes",IFERROR(SUMIFS(_TECH_Crisis_Model!$D$5:$D$191,_TECH_Crisis_Model!$A$5:$A$191,'Crisis Simulator'!$B$4,_TECH_Crisis_Model!$B$5:$B$191,$C206),1),"")</f>
        <v/>
      </c>
      <c r="AE206" s="48" t="str">
        <f t="shared" si="38"/>
        <v/>
      </c>
      <c r="AF206" s="48" t="str">
        <f>IFERROR(INDEX(_TECH_Crisis_Model!$E$5:$E$191,MATCH('Crisis Simulator'!$B$4&amp;"|"&amp;$C206,_TECH_Crisis_Model!$I$5:$I$191,0)),"")</f>
        <v>Supplier concentration, logistics and inventory visibility determine production and delivery continuity.</v>
      </c>
      <c r="AG206" s="48" t="str">
        <f>IFERROR(INDEX(_TECH_Crisis_Model!$G$5:$G$191,MATCH('Crisis Simulator'!$B$4&amp;"|"&amp;$C206,_TECH_Crisis_Model!$I$5:$I$191,0)),"")</f>
        <v>Diversify suppliers, define safety stock, alternate routes, supplier monitoring and substitution rules.</v>
      </c>
      <c r="AH206" s="48" t="str">
        <f>IFERROR(INDEX(_TECH_Initiative_Library!$A$5:$A$76,MATCH(1,INDEX((_TECH_Initiative_Library!$B$5:$B$76=$C206)*(_TECH_Initiative_Library!$C$5:$C$76=$D206),0),0)),"")</f>
        <v>INI-034</v>
      </c>
      <c r="AI206" s="48" t="str">
        <f>IFERROR(INDEX(_TECH_Initiative_Library!$F$5:$F$76,MATCH(1,INDEX((_TECH_Initiative_Library!$B$5:$B$76=$C206)*(_TECH_Initiative_Library!$C$5:$C$76=$D206),0),0)),"")</f>
        <v>Implement inventory visibility and demand/supply planning</v>
      </c>
      <c r="AJ206" s="48" t="str">
        <f ca="1">IFERROR(INDEX(_TECH_Initiative_Library!$AC$5:$AC$76,MATCH(1,INDEX((_TECH_Initiative_Library!$B$5:$B$76=$C206)*(_TECH_Initiative_Library!$C$5:$C$76=$D206),0),0)),"")</f>
        <v/>
      </c>
      <c r="AK206" s="48" t="str">
        <f ca="1">IFERROR(INDEX(_TECH_Initiative_Library!$AE$5:$AE$76,MATCH(1,INDEX((_TECH_Initiative_Library!$B$5:$B$76=$C206)*(_TECH_Initiative_Library!$C$5:$C$76=$D206),0),0)),"")</f>
        <v/>
      </c>
      <c r="AL206" s="48" t="str">
        <f>IF($B206="Yes",IFERROR(SUMIFS(_TECH_Industry_Templates!$E:$E,_TECH_Industry_Templates!$A:$A,'Company Profile'!$B$9,_TECH_Industry_Templates!$B:$B,$C206),1),"")</f>
        <v/>
      </c>
      <c r="AM206" s="48" t="str">
        <f t="shared" si="39"/>
        <v/>
      </c>
      <c r="AN206" s="48" t="str">
        <f>IF($AM206="","",RANK.EQ($AM206,$AM$8:$AM$414,0)+COUNTIF($AM$8:$AM206,$AM206)-1)</f>
        <v/>
      </c>
    </row>
    <row r="207" spans="1:40" ht="71.25">
      <c r="A207" s="28" t="str">
        <f>IF($AM207="","",RANK.EQ($AM207,$AM$8:$AM$414,0)+COUNTIF($AM$8:$AM207,$AM207)-1)</f>
        <v/>
      </c>
      <c r="B207" s="7" t="str">
        <f t="shared" si="30"/>
        <v/>
      </c>
      <c r="C207" s="7" t="s">
        <v>78</v>
      </c>
      <c r="D207" s="7" t="s">
        <v>1315</v>
      </c>
      <c r="E207" s="7" t="s">
        <v>3892</v>
      </c>
      <c r="F207" s="7" t="s">
        <v>3893</v>
      </c>
      <c r="G207" s="28" t="str">
        <f>IF(OR(COUNTA('Supply Chain'!$H$21)=0,'Supply Chain'!$H$21="N/A"),"",VALUE('Supply Chain'!$H$21))</f>
        <v/>
      </c>
      <c r="H207" s="7" t="str">
        <f t="shared" si="31"/>
        <v/>
      </c>
      <c r="I207" s="7" t="str">
        <f>IF($G207="","",IFERROR(IF('Supply Chain'!$L$21="",IF($G207&lt;=1,"Critical",IF($G207=2,"High",IF($G207=3,"Medium",IF($G207=4,"Low","Optimized")))),'Supply Chain'!$L$21),IF($G207&lt;=1,"Critical",IF($G207=2,"High",IF($G207=3,"Medium",IF($G207=4,"Low","Optimized"))))))</f>
        <v/>
      </c>
      <c r="J207" s="7" t="str">
        <f>IF($G207="","",IFERROR(INDEX('Recommendation Matrix'!$E$5:$J$411,MATCH($E207,'Recommendation Matrix'!$A$5:$A$411,0),$G207+1),""))</f>
        <v/>
      </c>
      <c r="K207" s="7" t="str">
        <f>IF($G207="","",IFERROR(VLOOKUP($E207,'Recommendation Matrix'!$A$5:$K$411,11,FALSE),""))</f>
        <v/>
      </c>
      <c r="L207" s="28" t="str">
        <f t="shared" si="32"/>
        <v/>
      </c>
      <c r="M207" s="28" t="str">
        <f>IF($G207="","",IFERROR(INDEX('Recommendation Matrix'!$L$5:$Q$411,MATCH($E207,'Recommendation Matrix'!$A$5:$A$411,0),$G207+1),""))</f>
        <v/>
      </c>
      <c r="N207" s="28" t="str">
        <f t="shared" si="33"/>
        <v/>
      </c>
      <c r="O207" s="28" t="str">
        <f t="shared" si="34"/>
        <v/>
      </c>
      <c r="P207" s="28" t="str">
        <f t="shared" si="35"/>
        <v/>
      </c>
      <c r="Q207" s="28" t="str">
        <f t="shared" si="36"/>
        <v/>
      </c>
      <c r="R207" s="8" t="str">
        <f t="shared" si="37"/>
        <v/>
      </c>
      <c r="S207" s="28">
        <f>IFERROR('Supply Chain'!$G$21,"")</f>
        <v>5</v>
      </c>
      <c r="T207" s="28">
        <f>IFERROR('Supply Chain'!$W$21,"")</f>
        <v>4</v>
      </c>
      <c r="U207" s="28">
        <f>IFERROR('Supply Chain'!$X$21,"")</f>
        <v>5</v>
      </c>
      <c r="V207" s="28">
        <f>IFERROR('Supply Chain'!$Y$21,"")</f>
        <v>5</v>
      </c>
      <c r="W207" s="7" t="s">
        <v>3739</v>
      </c>
      <c r="X207" s="7" t="s">
        <v>3740</v>
      </c>
      <c r="Y207" s="7" t="s">
        <v>3894</v>
      </c>
      <c r="Z207" s="7">
        <f>IFERROR('Supply Chain'!$U$21,"")</f>
        <v>0</v>
      </c>
      <c r="AA207" s="7"/>
      <c r="AB207" s="29"/>
      <c r="AC207" s="7"/>
      <c r="AD207" s="48" t="str">
        <f>IF($B207="Yes",IFERROR(SUMIFS(_TECH_Crisis_Model!$D$5:$D$191,_TECH_Crisis_Model!$A$5:$A$191,'Crisis Simulator'!$B$4,_TECH_Crisis_Model!$B$5:$B$191,$C207),1),"")</f>
        <v/>
      </c>
      <c r="AE207" s="48" t="str">
        <f t="shared" si="38"/>
        <v/>
      </c>
      <c r="AF207" s="48" t="str">
        <f>IFERROR(INDEX(_TECH_Crisis_Model!$E$5:$E$191,MATCH('Crisis Simulator'!$B$4&amp;"|"&amp;$C207,_TECH_Crisis_Model!$I$5:$I$191,0)),"")</f>
        <v>Supplier concentration, logistics and inventory visibility determine production and delivery continuity.</v>
      </c>
      <c r="AG207" s="48" t="str">
        <f>IFERROR(INDEX(_TECH_Crisis_Model!$G$5:$G$191,MATCH('Crisis Simulator'!$B$4&amp;"|"&amp;$C207,_TECH_Crisis_Model!$I$5:$I$191,0)),"")</f>
        <v>Diversify suppliers, define safety stock, alternate routes, supplier monitoring and substitution rules.</v>
      </c>
      <c r="AH207" s="48" t="str">
        <f>IFERROR(INDEX(_TECH_Initiative_Library!$A$5:$A$76,MATCH(1,INDEX((_TECH_Initiative_Library!$B$5:$B$76=$C207)*(_TECH_Initiative_Library!$C$5:$C$76=$D207),0),0)),"")</f>
        <v>INI-034</v>
      </c>
      <c r="AI207" s="48" t="str">
        <f>IFERROR(INDEX(_TECH_Initiative_Library!$F$5:$F$76,MATCH(1,INDEX((_TECH_Initiative_Library!$B$5:$B$76=$C207)*(_TECH_Initiative_Library!$C$5:$C$76=$D207),0),0)),"")</f>
        <v>Implement inventory visibility and demand/supply planning</v>
      </c>
      <c r="AJ207" s="48" t="str">
        <f ca="1">IFERROR(INDEX(_TECH_Initiative_Library!$AC$5:$AC$76,MATCH(1,INDEX((_TECH_Initiative_Library!$B$5:$B$76=$C207)*(_TECH_Initiative_Library!$C$5:$C$76=$D207),0),0)),"")</f>
        <v/>
      </c>
      <c r="AK207" s="48" t="str">
        <f ca="1">IFERROR(INDEX(_TECH_Initiative_Library!$AE$5:$AE$76,MATCH(1,INDEX((_TECH_Initiative_Library!$B$5:$B$76=$C207)*(_TECH_Initiative_Library!$C$5:$C$76=$D207),0),0)),"")</f>
        <v/>
      </c>
      <c r="AL207" s="48" t="str">
        <f>IF($B207="Yes",IFERROR(SUMIFS(_TECH_Industry_Templates!$E:$E,_TECH_Industry_Templates!$A:$A,'Company Profile'!$B$9,_TECH_Industry_Templates!$B:$B,$C207),1),"")</f>
        <v/>
      </c>
      <c r="AM207" s="48" t="str">
        <f t="shared" si="39"/>
        <v/>
      </c>
      <c r="AN207" s="48" t="str">
        <f>IF($AM207="","",RANK.EQ($AM207,$AM$8:$AM$414,0)+COUNTIF($AM$8:$AM207,$AM207)-1)</f>
        <v/>
      </c>
    </row>
    <row r="208" spans="1:40" ht="71.25">
      <c r="A208" s="28" t="str">
        <f>IF($AM208="","",RANK.EQ($AM208,$AM$8:$AM$414,0)+COUNTIF($AM$8:$AM208,$AM208)-1)</f>
        <v/>
      </c>
      <c r="B208" s="7" t="str">
        <f t="shared" si="30"/>
        <v/>
      </c>
      <c r="C208" s="7" t="s">
        <v>78</v>
      </c>
      <c r="D208" s="7" t="s">
        <v>1315</v>
      </c>
      <c r="E208" s="7" t="s">
        <v>3902</v>
      </c>
      <c r="F208" s="7" t="s">
        <v>3903</v>
      </c>
      <c r="G208" s="28" t="str">
        <f>IF(OR(COUNTA('Supply Chain'!$H$22)=0,'Supply Chain'!$H$22="N/A"),"",VALUE('Supply Chain'!$H$22))</f>
        <v/>
      </c>
      <c r="H208" s="7" t="str">
        <f t="shared" si="31"/>
        <v/>
      </c>
      <c r="I208" s="7" t="str">
        <f>IF($G208="","",IFERROR(IF('Supply Chain'!$L$22="",IF($G208&lt;=1,"Critical",IF($G208=2,"High",IF($G208=3,"Medium",IF($G208=4,"Low","Optimized")))),'Supply Chain'!$L$22),IF($G208&lt;=1,"Critical",IF($G208=2,"High",IF($G208=3,"Medium",IF($G208=4,"Low","Optimized"))))))</f>
        <v/>
      </c>
      <c r="J208" s="7" t="str">
        <f>IF($G208="","",IFERROR(INDEX('Recommendation Matrix'!$E$5:$J$411,MATCH($E208,'Recommendation Matrix'!$A$5:$A$411,0),$G208+1),""))</f>
        <v/>
      </c>
      <c r="K208" s="7" t="str">
        <f>IF($G208="","",IFERROR(VLOOKUP($E208,'Recommendation Matrix'!$A$5:$K$411,11,FALSE),""))</f>
        <v/>
      </c>
      <c r="L208" s="28" t="str">
        <f t="shared" si="32"/>
        <v/>
      </c>
      <c r="M208" s="28" t="str">
        <f>IF($G208="","",IFERROR(INDEX('Recommendation Matrix'!$L$5:$Q$411,MATCH($E208,'Recommendation Matrix'!$A$5:$A$411,0),$G208+1),""))</f>
        <v/>
      </c>
      <c r="N208" s="28" t="str">
        <f t="shared" si="33"/>
        <v/>
      </c>
      <c r="O208" s="28" t="str">
        <f t="shared" si="34"/>
        <v/>
      </c>
      <c r="P208" s="28" t="str">
        <f t="shared" si="35"/>
        <v/>
      </c>
      <c r="Q208" s="28" t="str">
        <f t="shared" si="36"/>
        <v/>
      </c>
      <c r="R208" s="8" t="str">
        <f t="shared" si="37"/>
        <v/>
      </c>
      <c r="S208" s="28">
        <f>IFERROR('Supply Chain'!$G$22,"")</f>
        <v>5</v>
      </c>
      <c r="T208" s="28">
        <f>IFERROR('Supply Chain'!$W$22,"")</f>
        <v>4</v>
      </c>
      <c r="U208" s="28">
        <f>IFERROR('Supply Chain'!$X$22,"")</f>
        <v>5</v>
      </c>
      <c r="V208" s="28">
        <f>IFERROR('Supply Chain'!$Y$22,"")</f>
        <v>5</v>
      </c>
      <c r="W208" s="7" t="s">
        <v>3739</v>
      </c>
      <c r="X208" s="7" t="s">
        <v>3740</v>
      </c>
      <c r="Y208" s="7" t="s">
        <v>3904</v>
      </c>
      <c r="Z208" s="7">
        <f>IFERROR('Supply Chain'!$U$22,"")</f>
        <v>0</v>
      </c>
      <c r="AA208" s="7"/>
      <c r="AB208" s="29"/>
      <c r="AC208" s="7"/>
      <c r="AD208" s="48" t="str">
        <f>IF($B208="Yes",IFERROR(SUMIFS(_TECH_Crisis_Model!$D$5:$D$191,_TECH_Crisis_Model!$A$5:$A$191,'Crisis Simulator'!$B$4,_TECH_Crisis_Model!$B$5:$B$191,$C208),1),"")</f>
        <v/>
      </c>
      <c r="AE208" s="48" t="str">
        <f t="shared" si="38"/>
        <v/>
      </c>
      <c r="AF208" s="48" t="str">
        <f>IFERROR(INDEX(_TECH_Crisis_Model!$E$5:$E$191,MATCH('Crisis Simulator'!$B$4&amp;"|"&amp;$C208,_TECH_Crisis_Model!$I$5:$I$191,0)),"")</f>
        <v>Supplier concentration, logistics and inventory visibility determine production and delivery continuity.</v>
      </c>
      <c r="AG208" s="48" t="str">
        <f>IFERROR(INDEX(_TECH_Crisis_Model!$G$5:$G$191,MATCH('Crisis Simulator'!$B$4&amp;"|"&amp;$C208,_TECH_Crisis_Model!$I$5:$I$191,0)),"")</f>
        <v>Diversify suppliers, define safety stock, alternate routes, supplier monitoring and substitution rules.</v>
      </c>
      <c r="AH208" s="48" t="str">
        <f>IFERROR(INDEX(_TECH_Initiative_Library!$A$5:$A$76,MATCH(1,INDEX((_TECH_Initiative_Library!$B$5:$B$76=$C208)*(_TECH_Initiative_Library!$C$5:$C$76=$D208),0),0)),"")</f>
        <v>INI-034</v>
      </c>
      <c r="AI208" s="48" t="str">
        <f>IFERROR(INDEX(_TECH_Initiative_Library!$F$5:$F$76,MATCH(1,INDEX((_TECH_Initiative_Library!$B$5:$B$76=$C208)*(_TECH_Initiative_Library!$C$5:$C$76=$D208),0),0)),"")</f>
        <v>Implement inventory visibility and demand/supply planning</v>
      </c>
      <c r="AJ208" s="48" t="str">
        <f ca="1">IFERROR(INDEX(_TECH_Initiative_Library!$AC$5:$AC$76,MATCH(1,INDEX((_TECH_Initiative_Library!$B$5:$B$76=$C208)*(_TECH_Initiative_Library!$C$5:$C$76=$D208),0),0)),"")</f>
        <v/>
      </c>
      <c r="AK208" s="48" t="str">
        <f ca="1">IFERROR(INDEX(_TECH_Initiative_Library!$AE$5:$AE$76,MATCH(1,INDEX((_TECH_Initiative_Library!$B$5:$B$76=$C208)*(_TECH_Initiative_Library!$C$5:$C$76=$D208),0),0)),"")</f>
        <v/>
      </c>
      <c r="AL208" s="48" t="str">
        <f>IF($B208="Yes",IFERROR(SUMIFS(_TECH_Industry_Templates!$E:$E,_TECH_Industry_Templates!$A:$A,'Company Profile'!$B$9,_TECH_Industry_Templates!$B:$B,$C208),1),"")</f>
        <v/>
      </c>
      <c r="AM208" s="48" t="str">
        <f t="shared" si="39"/>
        <v/>
      </c>
      <c r="AN208" s="48" t="str">
        <f>IF($AM208="","",RANK.EQ($AM208,$AM$8:$AM$414,0)+COUNTIF($AM$8:$AM208,$AM208)-1)</f>
        <v/>
      </c>
    </row>
    <row r="209" spans="1:40" ht="71.25">
      <c r="A209" s="28" t="str">
        <f>IF($AM209="","",RANK.EQ($AM209,$AM$8:$AM$414,0)+COUNTIF($AM$8:$AM209,$AM209)-1)</f>
        <v/>
      </c>
      <c r="B209" s="7" t="str">
        <f t="shared" si="30"/>
        <v/>
      </c>
      <c r="C209" s="7" t="s">
        <v>78</v>
      </c>
      <c r="D209" s="7" t="s">
        <v>1315</v>
      </c>
      <c r="E209" s="7" t="s">
        <v>3912</v>
      </c>
      <c r="F209" s="7" t="s">
        <v>3913</v>
      </c>
      <c r="G209" s="28" t="str">
        <f>IF(OR(COUNTA('Supply Chain'!$H$23)=0,'Supply Chain'!$H$23="N/A"),"",VALUE('Supply Chain'!$H$23))</f>
        <v/>
      </c>
      <c r="H209" s="7" t="str">
        <f t="shared" si="31"/>
        <v/>
      </c>
      <c r="I209" s="7" t="str">
        <f>IF($G209="","",IFERROR(IF('Supply Chain'!$L$23="",IF($G209&lt;=1,"Critical",IF($G209=2,"High",IF($G209=3,"Medium",IF($G209=4,"Low","Optimized")))),'Supply Chain'!$L$23),IF($G209&lt;=1,"Critical",IF($G209=2,"High",IF($G209=3,"Medium",IF($G209=4,"Low","Optimized"))))))</f>
        <v/>
      </c>
      <c r="J209" s="7" t="str">
        <f>IF($G209="","",IFERROR(INDEX('Recommendation Matrix'!$E$5:$J$411,MATCH($E209,'Recommendation Matrix'!$A$5:$A$411,0),$G209+1),""))</f>
        <v/>
      </c>
      <c r="K209" s="7" t="str">
        <f>IF($G209="","",IFERROR(VLOOKUP($E209,'Recommendation Matrix'!$A$5:$K$411,11,FALSE),""))</f>
        <v/>
      </c>
      <c r="L209" s="28" t="str">
        <f t="shared" si="32"/>
        <v/>
      </c>
      <c r="M209" s="28" t="str">
        <f>IF($G209="","",IFERROR(INDEX('Recommendation Matrix'!$L$5:$Q$411,MATCH($E209,'Recommendation Matrix'!$A$5:$A$411,0),$G209+1),""))</f>
        <v/>
      </c>
      <c r="N209" s="28" t="str">
        <f t="shared" si="33"/>
        <v/>
      </c>
      <c r="O209" s="28" t="str">
        <f t="shared" si="34"/>
        <v/>
      </c>
      <c r="P209" s="28" t="str">
        <f t="shared" si="35"/>
        <v/>
      </c>
      <c r="Q209" s="28" t="str">
        <f t="shared" si="36"/>
        <v/>
      </c>
      <c r="R209" s="8" t="str">
        <f t="shared" si="37"/>
        <v/>
      </c>
      <c r="S209" s="28">
        <f>IFERROR('Supply Chain'!$G$23,"")</f>
        <v>5</v>
      </c>
      <c r="T209" s="28">
        <f>IFERROR('Supply Chain'!$W$23,"")</f>
        <v>5</v>
      </c>
      <c r="U209" s="28">
        <f>IFERROR('Supply Chain'!$X$23,"")</f>
        <v>5</v>
      </c>
      <c r="V209" s="28">
        <f>IFERROR('Supply Chain'!$Y$23,"")</f>
        <v>5</v>
      </c>
      <c r="W209" s="7" t="s">
        <v>3739</v>
      </c>
      <c r="X209" s="7" t="s">
        <v>3740</v>
      </c>
      <c r="Y209" s="7" t="s">
        <v>3914</v>
      </c>
      <c r="Z209" s="7">
        <f>IFERROR('Supply Chain'!$U$23,"")</f>
        <v>0</v>
      </c>
      <c r="AA209" s="7"/>
      <c r="AB209" s="29"/>
      <c r="AC209" s="7"/>
      <c r="AD209" s="48" t="str">
        <f>IF($B209="Yes",IFERROR(SUMIFS(_TECH_Crisis_Model!$D$5:$D$191,_TECH_Crisis_Model!$A$5:$A$191,'Crisis Simulator'!$B$4,_TECH_Crisis_Model!$B$5:$B$191,$C209),1),"")</f>
        <v/>
      </c>
      <c r="AE209" s="48" t="str">
        <f t="shared" si="38"/>
        <v/>
      </c>
      <c r="AF209" s="48" t="str">
        <f>IFERROR(INDEX(_TECH_Crisis_Model!$E$5:$E$191,MATCH('Crisis Simulator'!$B$4&amp;"|"&amp;$C209,_TECH_Crisis_Model!$I$5:$I$191,0)),"")</f>
        <v>Supplier concentration, logistics and inventory visibility determine production and delivery continuity.</v>
      </c>
      <c r="AG209" s="48" t="str">
        <f>IFERROR(INDEX(_TECH_Crisis_Model!$G$5:$G$191,MATCH('Crisis Simulator'!$B$4&amp;"|"&amp;$C209,_TECH_Crisis_Model!$I$5:$I$191,0)),"")</f>
        <v>Diversify suppliers, define safety stock, alternate routes, supplier monitoring and substitution rules.</v>
      </c>
      <c r="AH209" s="48" t="str">
        <f>IFERROR(INDEX(_TECH_Initiative_Library!$A$5:$A$76,MATCH(1,INDEX((_TECH_Initiative_Library!$B$5:$B$76=$C209)*(_TECH_Initiative_Library!$C$5:$C$76=$D209),0),0)),"")</f>
        <v>INI-034</v>
      </c>
      <c r="AI209" s="48" t="str">
        <f>IFERROR(INDEX(_TECH_Initiative_Library!$F$5:$F$76,MATCH(1,INDEX((_TECH_Initiative_Library!$B$5:$B$76=$C209)*(_TECH_Initiative_Library!$C$5:$C$76=$D209),0),0)),"")</f>
        <v>Implement inventory visibility and demand/supply planning</v>
      </c>
      <c r="AJ209" s="48" t="str">
        <f ca="1">IFERROR(INDEX(_TECH_Initiative_Library!$AC$5:$AC$76,MATCH(1,INDEX((_TECH_Initiative_Library!$B$5:$B$76=$C209)*(_TECH_Initiative_Library!$C$5:$C$76=$D209),0),0)),"")</f>
        <v/>
      </c>
      <c r="AK209" s="48" t="str">
        <f ca="1">IFERROR(INDEX(_TECH_Initiative_Library!$AE$5:$AE$76,MATCH(1,INDEX((_TECH_Initiative_Library!$B$5:$B$76=$C209)*(_TECH_Initiative_Library!$C$5:$C$76=$D209),0),0)),"")</f>
        <v/>
      </c>
      <c r="AL209" s="48" t="str">
        <f>IF($B209="Yes",IFERROR(SUMIFS(_TECH_Industry_Templates!$E:$E,_TECH_Industry_Templates!$A:$A,'Company Profile'!$B$9,_TECH_Industry_Templates!$B:$B,$C209),1),"")</f>
        <v/>
      </c>
      <c r="AM209" s="48" t="str">
        <f t="shared" si="39"/>
        <v/>
      </c>
      <c r="AN209" s="48" t="str">
        <f>IF($AM209="","",RANK.EQ($AM209,$AM$8:$AM$414,0)+COUNTIF($AM$8:$AM209,$AM209)-1)</f>
        <v/>
      </c>
    </row>
    <row r="210" spans="1:40" ht="71.25">
      <c r="A210" s="28" t="str">
        <f>IF($AM210="","",RANK.EQ($AM210,$AM$8:$AM$414,0)+COUNTIF($AM$8:$AM210,$AM210)-1)</f>
        <v/>
      </c>
      <c r="B210" s="7" t="str">
        <f t="shared" si="30"/>
        <v/>
      </c>
      <c r="C210" s="7" t="s">
        <v>78</v>
      </c>
      <c r="D210" s="7" t="s">
        <v>1323</v>
      </c>
      <c r="E210" s="7" t="s">
        <v>3922</v>
      </c>
      <c r="F210" s="7" t="s">
        <v>3923</v>
      </c>
      <c r="G210" s="28" t="str">
        <f>IF(OR(COUNTA('Supply Chain'!$H$24)=0,'Supply Chain'!$H$24="N/A"),"",VALUE('Supply Chain'!$H$24))</f>
        <v/>
      </c>
      <c r="H210" s="7" t="str">
        <f t="shared" si="31"/>
        <v/>
      </c>
      <c r="I210" s="7" t="str">
        <f>IF($G210="","",IFERROR(IF('Supply Chain'!$L$24="",IF($G210&lt;=1,"Critical",IF($G210=2,"High",IF($G210=3,"Medium",IF($G210=4,"Low","Optimized")))),'Supply Chain'!$L$24),IF($G210&lt;=1,"Critical",IF($G210=2,"High",IF($G210=3,"Medium",IF($G210=4,"Low","Optimized"))))))</f>
        <v/>
      </c>
      <c r="J210" s="7" t="str">
        <f>IF($G210="","",IFERROR(INDEX('Recommendation Matrix'!$E$5:$J$411,MATCH($E210,'Recommendation Matrix'!$A$5:$A$411,0),$G210+1),""))</f>
        <v/>
      </c>
      <c r="K210" s="7" t="str">
        <f>IF($G210="","",IFERROR(VLOOKUP($E210,'Recommendation Matrix'!$A$5:$K$411,11,FALSE),""))</f>
        <v/>
      </c>
      <c r="L210" s="28" t="str">
        <f t="shared" si="32"/>
        <v/>
      </c>
      <c r="M210" s="28" t="str">
        <f>IF($G210="","",IFERROR(INDEX('Recommendation Matrix'!$L$5:$Q$411,MATCH($E210,'Recommendation Matrix'!$A$5:$A$411,0),$G210+1),""))</f>
        <v/>
      </c>
      <c r="N210" s="28" t="str">
        <f t="shared" si="33"/>
        <v/>
      </c>
      <c r="O210" s="28" t="str">
        <f t="shared" si="34"/>
        <v/>
      </c>
      <c r="P210" s="28" t="str">
        <f t="shared" si="35"/>
        <v/>
      </c>
      <c r="Q210" s="28" t="str">
        <f t="shared" si="36"/>
        <v/>
      </c>
      <c r="R210" s="8" t="str">
        <f t="shared" si="37"/>
        <v/>
      </c>
      <c r="S210" s="28">
        <f>IFERROR('Supply Chain'!$G$24,"")</f>
        <v>5</v>
      </c>
      <c r="T210" s="28">
        <f>IFERROR('Supply Chain'!$W$24,"")</f>
        <v>5</v>
      </c>
      <c r="U210" s="28">
        <f>IFERROR('Supply Chain'!$X$24,"")</f>
        <v>5</v>
      </c>
      <c r="V210" s="28">
        <f>IFERROR('Supply Chain'!$Y$24,"")</f>
        <v>5</v>
      </c>
      <c r="W210" s="7" t="s">
        <v>3739</v>
      </c>
      <c r="X210" s="7" t="s">
        <v>3740</v>
      </c>
      <c r="Y210" s="7" t="s">
        <v>3924</v>
      </c>
      <c r="Z210" s="7">
        <f>IFERROR('Supply Chain'!$U$24,"")</f>
        <v>0</v>
      </c>
      <c r="AA210" s="7"/>
      <c r="AB210" s="29"/>
      <c r="AC210" s="7"/>
      <c r="AD210" s="48" t="str">
        <f>IF($B210="Yes",IFERROR(SUMIFS(_TECH_Crisis_Model!$D$5:$D$191,_TECH_Crisis_Model!$A$5:$A$191,'Crisis Simulator'!$B$4,_TECH_Crisis_Model!$B$5:$B$191,$C210),1),"")</f>
        <v/>
      </c>
      <c r="AE210" s="48" t="str">
        <f t="shared" si="38"/>
        <v/>
      </c>
      <c r="AF210" s="48" t="str">
        <f>IFERROR(INDEX(_TECH_Crisis_Model!$E$5:$E$191,MATCH('Crisis Simulator'!$B$4&amp;"|"&amp;$C210,_TECH_Crisis_Model!$I$5:$I$191,0)),"")</f>
        <v>Supplier concentration, logistics and inventory visibility determine production and delivery continuity.</v>
      </c>
      <c r="AG210" s="48" t="str">
        <f>IFERROR(INDEX(_TECH_Crisis_Model!$G$5:$G$191,MATCH('Crisis Simulator'!$B$4&amp;"|"&amp;$C210,_TECH_Crisis_Model!$I$5:$I$191,0)),"")</f>
        <v>Diversify suppliers, define safety stock, alternate routes, supplier monitoring and substitution rules.</v>
      </c>
      <c r="AH210" s="48" t="str">
        <f>IFERROR(INDEX(_TECH_Initiative_Library!$A$5:$A$76,MATCH(1,INDEX((_TECH_Initiative_Library!$B$5:$B$76=$C210)*(_TECH_Initiative_Library!$C$5:$C$76=$D210),0),0)),"")</f>
        <v>INI-035</v>
      </c>
      <c r="AI210" s="48" t="str">
        <f>IFERROR(INDEX(_TECH_Initiative_Library!$F$5:$F$76,MATCH(1,INDEX((_TECH_Initiative_Library!$B$5:$B$76=$C210)*(_TECH_Initiative_Library!$C$5:$C$76=$D210),0),0)),"")</f>
        <v>Implement supply-chain technology, risk monitoring and supplier data</v>
      </c>
      <c r="AJ210" s="48" t="str">
        <f ca="1">IFERROR(INDEX(_TECH_Initiative_Library!$AC$5:$AC$76,MATCH(1,INDEX((_TECH_Initiative_Library!$B$5:$B$76=$C210)*(_TECH_Initiative_Library!$C$5:$C$76=$D210),0),0)),"")</f>
        <v/>
      </c>
      <c r="AK210" s="48" t="str">
        <f ca="1">IFERROR(INDEX(_TECH_Initiative_Library!$AE$5:$AE$76,MATCH(1,INDEX((_TECH_Initiative_Library!$B$5:$B$76=$C210)*(_TECH_Initiative_Library!$C$5:$C$76=$D210),0),0)),"")</f>
        <v/>
      </c>
      <c r="AL210" s="48" t="str">
        <f>IF($B210="Yes",IFERROR(SUMIFS(_TECH_Industry_Templates!$E:$E,_TECH_Industry_Templates!$A:$A,'Company Profile'!$B$9,_TECH_Industry_Templates!$B:$B,$C210),1),"")</f>
        <v/>
      </c>
      <c r="AM210" s="48" t="str">
        <f t="shared" si="39"/>
        <v/>
      </c>
      <c r="AN210" s="48" t="str">
        <f>IF($AM210="","",RANK.EQ($AM210,$AM$8:$AM$414,0)+COUNTIF($AM$8:$AM210,$AM210)-1)</f>
        <v/>
      </c>
    </row>
    <row r="211" spans="1:40" ht="85.5">
      <c r="A211" s="28" t="str">
        <f>IF($AM211="","",RANK.EQ($AM211,$AM$8:$AM$414,0)+COUNTIF($AM$8:$AM211,$AM211)-1)</f>
        <v/>
      </c>
      <c r="B211" s="7" t="str">
        <f t="shared" si="30"/>
        <v/>
      </c>
      <c r="C211" s="7" t="s">
        <v>78</v>
      </c>
      <c r="D211" s="7" t="s">
        <v>1323</v>
      </c>
      <c r="E211" s="7" t="s">
        <v>3932</v>
      </c>
      <c r="F211" s="7" t="s">
        <v>3933</v>
      </c>
      <c r="G211" s="28" t="str">
        <f>IF(OR(COUNTA('Supply Chain'!$H$25)=0,'Supply Chain'!$H$25="N/A"),"",VALUE('Supply Chain'!$H$25))</f>
        <v/>
      </c>
      <c r="H211" s="7" t="str">
        <f t="shared" si="31"/>
        <v/>
      </c>
      <c r="I211" s="7" t="str">
        <f>IF($G211="","",IFERROR(IF('Supply Chain'!$L$25="",IF($G211&lt;=1,"Critical",IF($G211=2,"High",IF($G211=3,"Medium",IF($G211=4,"Low","Optimized")))),'Supply Chain'!$L$25),IF($G211&lt;=1,"Critical",IF($G211=2,"High",IF($G211=3,"Medium",IF($G211=4,"Low","Optimized"))))))</f>
        <v/>
      </c>
      <c r="J211" s="7" t="str">
        <f>IF($G211="","",IFERROR(INDEX('Recommendation Matrix'!$E$5:$J$411,MATCH($E211,'Recommendation Matrix'!$A$5:$A$411,0),$G211+1),""))</f>
        <v/>
      </c>
      <c r="K211" s="7" t="str">
        <f>IF($G211="","",IFERROR(VLOOKUP($E211,'Recommendation Matrix'!$A$5:$K$411,11,FALSE),""))</f>
        <v/>
      </c>
      <c r="L211" s="28" t="str">
        <f t="shared" si="32"/>
        <v/>
      </c>
      <c r="M211" s="28" t="str">
        <f>IF($G211="","",IFERROR(INDEX('Recommendation Matrix'!$L$5:$Q$411,MATCH($E211,'Recommendation Matrix'!$A$5:$A$411,0),$G211+1),""))</f>
        <v/>
      </c>
      <c r="N211" s="28" t="str">
        <f t="shared" si="33"/>
        <v/>
      </c>
      <c r="O211" s="28" t="str">
        <f t="shared" si="34"/>
        <v/>
      </c>
      <c r="P211" s="28" t="str">
        <f t="shared" si="35"/>
        <v/>
      </c>
      <c r="Q211" s="28" t="str">
        <f t="shared" si="36"/>
        <v/>
      </c>
      <c r="R211" s="8" t="str">
        <f t="shared" si="37"/>
        <v/>
      </c>
      <c r="S211" s="28">
        <f>IFERROR('Supply Chain'!$G$25,"")</f>
        <v>5</v>
      </c>
      <c r="T211" s="28">
        <f>IFERROR('Supply Chain'!$W$25,"")</f>
        <v>4</v>
      </c>
      <c r="U211" s="28">
        <f>IFERROR('Supply Chain'!$X$25,"")</f>
        <v>5</v>
      </c>
      <c r="V211" s="28">
        <f>IFERROR('Supply Chain'!$Y$25,"")</f>
        <v>5</v>
      </c>
      <c r="W211" s="7" t="s">
        <v>3739</v>
      </c>
      <c r="X211" s="7" t="s">
        <v>3740</v>
      </c>
      <c r="Y211" s="7" t="s">
        <v>3934</v>
      </c>
      <c r="Z211" s="7">
        <f>IFERROR('Supply Chain'!$U$25,"")</f>
        <v>0</v>
      </c>
      <c r="AA211" s="7"/>
      <c r="AB211" s="29"/>
      <c r="AC211" s="7"/>
      <c r="AD211" s="48" t="str">
        <f>IF($B211="Yes",IFERROR(SUMIFS(_TECH_Crisis_Model!$D$5:$D$191,_TECH_Crisis_Model!$A$5:$A$191,'Crisis Simulator'!$B$4,_TECH_Crisis_Model!$B$5:$B$191,$C211),1),"")</f>
        <v/>
      </c>
      <c r="AE211" s="48" t="str">
        <f t="shared" si="38"/>
        <v/>
      </c>
      <c r="AF211" s="48" t="str">
        <f>IFERROR(INDEX(_TECH_Crisis_Model!$E$5:$E$191,MATCH('Crisis Simulator'!$B$4&amp;"|"&amp;$C211,_TECH_Crisis_Model!$I$5:$I$191,0)),"")</f>
        <v>Supplier concentration, logistics and inventory visibility determine production and delivery continuity.</v>
      </c>
      <c r="AG211" s="48" t="str">
        <f>IFERROR(INDEX(_TECH_Crisis_Model!$G$5:$G$191,MATCH('Crisis Simulator'!$B$4&amp;"|"&amp;$C211,_TECH_Crisis_Model!$I$5:$I$191,0)),"")</f>
        <v>Diversify suppliers, define safety stock, alternate routes, supplier monitoring and substitution rules.</v>
      </c>
      <c r="AH211" s="48" t="str">
        <f>IFERROR(INDEX(_TECH_Initiative_Library!$A$5:$A$76,MATCH(1,INDEX((_TECH_Initiative_Library!$B$5:$B$76=$C211)*(_TECH_Initiative_Library!$C$5:$C$76=$D211),0),0)),"")</f>
        <v>INI-035</v>
      </c>
      <c r="AI211" s="48" t="str">
        <f>IFERROR(INDEX(_TECH_Initiative_Library!$F$5:$F$76,MATCH(1,INDEX((_TECH_Initiative_Library!$B$5:$B$76=$C211)*(_TECH_Initiative_Library!$C$5:$C$76=$D211),0),0)),"")</f>
        <v>Implement supply-chain technology, risk monitoring and supplier data</v>
      </c>
      <c r="AJ211" s="48" t="str">
        <f ca="1">IFERROR(INDEX(_TECH_Initiative_Library!$AC$5:$AC$76,MATCH(1,INDEX((_TECH_Initiative_Library!$B$5:$B$76=$C211)*(_TECH_Initiative_Library!$C$5:$C$76=$D211),0),0)),"")</f>
        <v/>
      </c>
      <c r="AK211" s="48" t="str">
        <f ca="1">IFERROR(INDEX(_TECH_Initiative_Library!$AE$5:$AE$76,MATCH(1,INDEX((_TECH_Initiative_Library!$B$5:$B$76=$C211)*(_TECH_Initiative_Library!$C$5:$C$76=$D211),0),0)),"")</f>
        <v/>
      </c>
      <c r="AL211" s="48" t="str">
        <f>IF($B211="Yes",IFERROR(SUMIFS(_TECH_Industry_Templates!$E:$E,_TECH_Industry_Templates!$A:$A,'Company Profile'!$B$9,_TECH_Industry_Templates!$B:$B,$C211),1),"")</f>
        <v/>
      </c>
      <c r="AM211" s="48" t="str">
        <f t="shared" si="39"/>
        <v/>
      </c>
      <c r="AN211" s="48" t="str">
        <f>IF($AM211="","",RANK.EQ($AM211,$AM$8:$AM$414,0)+COUNTIF($AM$8:$AM211,$AM211)-1)</f>
        <v/>
      </c>
    </row>
    <row r="212" spans="1:40" ht="71.25">
      <c r="A212" s="28" t="str">
        <f>IF($AM212="","",RANK.EQ($AM212,$AM$8:$AM$414,0)+COUNTIF($AM$8:$AM212,$AM212)-1)</f>
        <v/>
      </c>
      <c r="B212" s="7" t="str">
        <f t="shared" si="30"/>
        <v/>
      </c>
      <c r="C212" s="7" t="s">
        <v>78</v>
      </c>
      <c r="D212" s="7" t="s">
        <v>1323</v>
      </c>
      <c r="E212" s="7" t="s">
        <v>3942</v>
      </c>
      <c r="F212" s="7" t="s">
        <v>3943</v>
      </c>
      <c r="G212" s="28" t="str">
        <f>IF(OR(COUNTA('Supply Chain'!$H$26)=0,'Supply Chain'!$H$26="N/A"),"",VALUE('Supply Chain'!$H$26))</f>
        <v/>
      </c>
      <c r="H212" s="7" t="str">
        <f t="shared" si="31"/>
        <v/>
      </c>
      <c r="I212" s="7" t="str">
        <f>IF($G212="","",IFERROR(IF('Supply Chain'!$L$26="",IF($G212&lt;=1,"Critical",IF($G212=2,"High",IF($G212=3,"Medium",IF($G212=4,"Low","Optimized")))),'Supply Chain'!$L$26),IF($G212&lt;=1,"Critical",IF($G212=2,"High",IF($G212=3,"Medium",IF($G212=4,"Low","Optimized"))))))</f>
        <v/>
      </c>
      <c r="J212" s="7" t="str">
        <f>IF($G212="","",IFERROR(INDEX('Recommendation Matrix'!$E$5:$J$411,MATCH($E212,'Recommendation Matrix'!$A$5:$A$411,0),$G212+1),""))</f>
        <v/>
      </c>
      <c r="K212" s="7" t="str">
        <f>IF($G212="","",IFERROR(VLOOKUP($E212,'Recommendation Matrix'!$A$5:$K$411,11,FALSE),""))</f>
        <v/>
      </c>
      <c r="L212" s="28" t="str">
        <f t="shared" si="32"/>
        <v/>
      </c>
      <c r="M212" s="28" t="str">
        <f>IF($G212="","",IFERROR(INDEX('Recommendation Matrix'!$L$5:$Q$411,MATCH($E212,'Recommendation Matrix'!$A$5:$A$411,0),$G212+1),""))</f>
        <v/>
      </c>
      <c r="N212" s="28" t="str">
        <f t="shared" si="33"/>
        <v/>
      </c>
      <c r="O212" s="28" t="str">
        <f t="shared" si="34"/>
        <v/>
      </c>
      <c r="P212" s="28" t="str">
        <f t="shared" si="35"/>
        <v/>
      </c>
      <c r="Q212" s="28" t="str">
        <f t="shared" si="36"/>
        <v/>
      </c>
      <c r="R212" s="8" t="str">
        <f t="shared" si="37"/>
        <v/>
      </c>
      <c r="S212" s="28">
        <f>IFERROR('Supply Chain'!$G$26,"")</f>
        <v>3</v>
      </c>
      <c r="T212" s="28">
        <f>IFERROR('Supply Chain'!$W$26,"")</f>
        <v>4</v>
      </c>
      <c r="U212" s="28">
        <f>IFERROR('Supply Chain'!$X$26,"")</f>
        <v>5</v>
      </c>
      <c r="V212" s="28">
        <f>IFERROR('Supply Chain'!$Y$26,"")</f>
        <v>5</v>
      </c>
      <c r="W212" s="7" t="s">
        <v>3739</v>
      </c>
      <c r="X212" s="7" t="s">
        <v>3740</v>
      </c>
      <c r="Y212" s="7" t="s">
        <v>3944</v>
      </c>
      <c r="Z212" s="7">
        <f>IFERROR('Supply Chain'!$U$26,"")</f>
        <v>0</v>
      </c>
      <c r="AA212" s="7"/>
      <c r="AB212" s="29"/>
      <c r="AC212" s="7"/>
      <c r="AD212" s="48" t="str">
        <f>IF($B212="Yes",IFERROR(SUMIFS(_TECH_Crisis_Model!$D$5:$D$191,_TECH_Crisis_Model!$A$5:$A$191,'Crisis Simulator'!$B$4,_TECH_Crisis_Model!$B$5:$B$191,$C212),1),"")</f>
        <v/>
      </c>
      <c r="AE212" s="48" t="str">
        <f t="shared" si="38"/>
        <v/>
      </c>
      <c r="AF212" s="48" t="str">
        <f>IFERROR(INDEX(_TECH_Crisis_Model!$E$5:$E$191,MATCH('Crisis Simulator'!$B$4&amp;"|"&amp;$C212,_TECH_Crisis_Model!$I$5:$I$191,0)),"")</f>
        <v>Supplier concentration, logistics and inventory visibility determine production and delivery continuity.</v>
      </c>
      <c r="AG212" s="48" t="str">
        <f>IFERROR(INDEX(_TECH_Crisis_Model!$G$5:$G$191,MATCH('Crisis Simulator'!$B$4&amp;"|"&amp;$C212,_TECH_Crisis_Model!$I$5:$I$191,0)),"")</f>
        <v>Diversify suppliers, define safety stock, alternate routes, supplier monitoring and substitution rules.</v>
      </c>
      <c r="AH212" s="48" t="str">
        <f>IFERROR(INDEX(_TECH_Initiative_Library!$A$5:$A$76,MATCH(1,INDEX((_TECH_Initiative_Library!$B$5:$B$76=$C212)*(_TECH_Initiative_Library!$C$5:$C$76=$D212),0),0)),"")</f>
        <v>INI-035</v>
      </c>
      <c r="AI212" s="48" t="str">
        <f>IFERROR(INDEX(_TECH_Initiative_Library!$F$5:$F$76,MATCH(1,INDEX((_TECH_Initiative_Library!$B$5:$B$76=$C212)*(_TECH_Initiative_Library!$C$5:$C$76=$D212),0),0)),"")</f>
        <v>Implement supply-chain technology, risk monitoring and supplier data</v>
      </c>
      <c r="AJ212" s="48" t="str">
        <f ca="1">IFERROR(INDEX(_TECH_Initiative_Library!$AC$5:$AC$76,MATCH(1,INDEX((_TECH_Initiative_Library!$B$5:$B$76=$C212)*(_TECH_Initiative_Library!$C$5:$C$76=$D212),0),0)),"")</f>
        <v/>
      </c>
      <c r="AK212" s="48" t="str">
        <f ca="1">IFERROR(INDEX(_TECH_Initiative_Library!$AE$5:$AE$76,MATCH(1,INDEX((_TECH_Initiative_Library!$B$5:$B$76=$C212)*(_TECH_Initiative_Library!$C$5:$C$76=$D212),0),0)),"")</f>
        <v/>
      </c>
      <c r="AL212" s="48" t="str">
        <f>IF($B212="Yes",IFERROR(SUMIFS(_TECH_Industry_Templates!$E:$E,_TECH_Industry_Templates!$A:$A,'Company Profile'!$B$9,_TECH_Industry_Templates!$B:$B,$C212),1),"")</f>
        <v/>
      </c>
      <c r="AM212" s="48" t="str">
        <f t="shared" si="39"/>
        <v/>
      </c>
      <c r="AN212" s="48" t="str">
        <f>IF($AM212="","",RANK.EQ($AM212,$AM$8:$AM$414,0)+COUNTIF($AM$8:$AM212,$AM212)-1)</f>
        <v/>
      </c>
    </row>
    <row r="213" spans="1:40" ht="71.25">
      <c r="A213" s="28" t="str">
        <f>IF($AM213="","",RANK.EQ($AM213,$AM$8:$AM$414,0)+COUNTIF($AM$8:$AM213,$AM213)-1)</f>
        <v/>
      </c>
      <c r="B213" s="7" t="str">
        <f t="shared" si="30"/>
        <v/>
      </c>
      <c r="C213" s="7" t="s">
        <v>78</v>
      </c>
      <c r="D213" s="7" t="s">
        <v>1323</v>
      </c>
      <c r="E213" s="7" t="s">
        <v>3952</v>
      </c>
      <c r="F213" s="7" t="s">
        <v>3953</v>
      </c>
      <c r="G213" s="28" t="str">
        <f>IF(OR(COUNTA('Supply Chain'!$H$27)=0,'Supply Chain'!$H$27="N/A"),"",VALUE('Supply Chain'!$H$27))</f>
        <v/>
      </c>
      <c r="H213" s="7" t="str">
        <f t="shared" si="31"/>
        <v/>
      </c>
      <c r="I213" s="7" t="str">
        <f>IF($G213="","",IFERROR(IF('Supply Chain'!$L$27="",IF($G213&lt;=1,"Critical",IF($G213=2,"High",IF($G213=3,"Medium",IF($G213=4,"Low","Optimized")))),'Supply Chain'!$L$27),IF($G213&lt;=1,"Critical",IF($G213=2,"High",IF($G213=3,"Medium",IF($G213=4,"Low","Optimized"))))))</f>
        <v/>
      </c>
      <c r="J213" s="7" t="str">
        <f>IF($G213="","",IFERROR(INDEX('Recommendation Matrix'!$E$5:$J$411,MATCH($E213,'Recommendation Matrix'!$A$5:$A$411,0),$G213+1),""))</f>
        <v/>
      </c>
      <c r="K213" s="7" t="str">
        <f>IF($G213="","",IFERROR(VLOOKUP($E213,'Recommendation Matrix'!$A$5:$K$411,11,FALSE),""))</f>
        <v/>
      </c>
      <c r="L213" s="28" t="str">
        <f t="shared" si="32"/>
        <v/>
      </c>
      <c r="M213" s="28" t="str">
        <f>IF($G213="","",IFERROR(INDEX('Recommendation Matrix'!$L$5:$Q$411,MATCH($E213,'Recommendation Matrix'!$A$5:$A$411,0),$G213+1),""))</f>
        <v/>
      </c>
      <c r="N213" s="28" t="str">
        <f t="shared" si="33"/>
        <v/>
      </c>
      <c r="O213" s="28" t="str">
        <f t="shared" si="34"/>
        <v/>
      </c>
      <c r="P213" s="28" t="str">
        <f t="shared" si="35"/>
        <v/>
      </c>
      <c r="Q213" s="28" t="str">
        <f t="shared" si="36"/>
        <v/>
      </c>
      <c r="R213" s="8" t="str">
        <f t="shared" si="37"/>
        <v/>
      </c>
      <c r="S213" s="28">
        <f>IFERROR('Supply Chain'!$G$27,"")</f>
        <v>4</v>
      </c>
      <c r="T213" s="28">
        <f>IFERROR('Supply Chain'!$W$27,"")</f>
        <v>4</v>
      </c>
      <c r="U213" s="28">
        <f>IFERROR('Supply Chain'!$X$27,"")</f>
        <v>5</v>
      </c>
      <c r="V213" s="28">
        <f>IFERROR('Supply Chain'!$Y$27,"")</f>
        <v>5</v>
      </c>
      <c r="W213" s="7" t="s">
        <v>3739</v>
      </c>
      <c r="X213" s="7" t="s">
        <v>3740</v>
      </c>
      <c r="Y213" s="7" t="s">
        <v>3954</v>
      </c>
      <c r="Z213" s="7">
        <f>IFERROR('Supply Chain'!$U$27,"")</f>
        <v>0</v>
      </c>
      <c r="AA213" s="7"/>
      <c r="AB213" s="29"/>
      <c r="AC213" s="7"/>
      <c r="AD213" s="48" t="str">
        <f>IF($B213="Yes",IFERROR(SUMIFS(_TECH_Crisis_Model!$D$5:$D$191,_TECH_Crisis_Model!$A$5:$A$191,'Crisis Simulator'!$B$4,_TECH_Crisis_Model!$B$5:$B$191,$C213),1),"")</f>
        <v/>
      </c>
      <c r="AE213" s="48" t="str">
        <f t="shared" si="38"/>
        <v/>
      </c>
      <c r="AF213" s="48" t="str">
        <f>IFERROR(INDEX(_TECH_Crisis_Model!$E$5:$E$191,MATCH('Crisis Simulator'!$B$4&amp;"|"&amp;$C213,_TECH_Crisis_Model!$I$5:$I$191,0)),"")</f>
        <v>Supplier concentration, logistics and inventory visibility determine production and delivery continuity.</v>
      </c>
      <c r="AG213" s="48" t="str">
        <f>IFERROR(INDEX(_TECH_Crisis_Model!$G$5:$G$191,MATCH('Crisis Simulator'!$B$4&amp;"|"&amp;$C213,_TECH_Crisis_Model!$I$5:$I$191,0)),"")</f>
        <v>Diversify suppliers, define safety stock, alternate routes, supplier monitoring and substitution rules.</v>
      </c>
      <c r="AH213" s="48" t="str">
        <f>IFERROR(INDEX(_TECH_Initiative_Library!$A$5:$A$76,MATCH(1,INDEX((_TECH_Initiative_Library!$B$5:$B$76=$C213)*(_TECH_Initiative_Library!$C$5:$C$76=$D213),0),0)),"")</f>
        <v>INI-035</v>
      </c>
      <c r="AI213" s="48" t="str">
        <f>IFERROR(INDEX(_TECH_Initiative_Library!$F$5:$F$76,MATCH(1,INDEX((_TECH_Initiative_Library!$B$5:$B$76=$C213)*(_TECH_Initiative_Library!$C$5:$C$76=$D213),0),0)),"")</f>
        <v>Implement supply-chain technology, risk monitoring and supplier data</v>
      </c>
      <c r="AJ213" s="48" t="str">
        <f ca="1">IFERROR(INDEX(_TECH_Initiative_Library!$AC$5:$AC$76,MATCH(1,INDEX((_TECH_Initiative_Library!$B$5:$B$76=$C213)*(_TECH_Initiative_Library!$C$5:$C$76=$D213),0),0)),"")</f>
        <v/>
      </c>
      <c r="AK213" s="48" t="str">
        <f ca="1">IFERROR(INDEX(_TECH_Initiative_Library!$AE$5:$AE$76,MATCH(1,INDEX((_TECH_Initiative_Library!$B$5:$B$76=$C213)*(_TECH_Initiative_Library!$C$5:$C$76=$D213),0),0)),"")</f>
        <v/>
      </c>
      <c r="AL213" s="48" t="str">
        <f>IF($B213="Yes",IFERROR(SUMIFS(_TECH_Industry_Templates!$E:$E,_TECH_Industry_Templates!$A:$A,'Company Profile'!$B$9,_TECH_Industry_Templates!$B:$B,$C213),1),"")</f>
        <v/>
      </c>
      <c r="AM213" s="48" t="str">
        <f t="shared" si="39"/>
        <v/>
      </c>
      <c r="AN213" s="48" t="str">
        <f>IF($AM213="","",RANK.EQ($AM213,$AM$8:$AM$414,0)+COUNTIF($AM$8:$AM213,$AM213)-1)</f>
        <v/>
      </c>
    </row>
    <row r="214" spans="1:40" ht="71.25">
      <c r="A214" s="28" t="str">
        <f>IF($AM214="","",RANK.EQ($AM214,$AM$8:$AM$414,0)+COUNTIF($AM$8:$AM214,$AM214)-1)</f>
        <v/>
      </c>
      <c r="B214" s="7" t="str">
        <f t="shared" si="30"/>
        <v/>
      </c>
      <c r="C214" s="7" t="s">
        <v>78</v>
      </c>
      <c r="D214" s="7" t="s">
        <v>1323</v>
      </c>
      <c r="E214" s="7" t="s">
        <v>3962</v>
      </c>
      <c r="F214" s="7" t="s">
        <v>3963</v>
      </c>
      <c r="G214" s="28" t="str">
        <f>IF(OR(COUNTA('Supply Chain'!$H$28)=0,'Supply Chain'!$H$28="N/A"),"",VALUE('Supply Chain'!$H$28))</f>
        <v/>
      </c>
      <c r="H214" s="7" t="str">
        <f t="shared" si="31"/>
        <v/>
      </c>
      <c r="I214" s="7" t="str">
        <f>IF($G214="","",IFERROR(IF('Supply Chain'!$L$28="",IF($G214&lt;=1,"Critical",IF($G214=2,"High",IF($G214=3,"Medium",IF($G214=4,"Low","Optimized")))),'Supply Chain'!$L$28),IF($G214&lt;=1,"Critical",IF($G214=2,"High",IF($G214=3,"Medium",IF($G214=4,"Low","Optimized"))))))</f>
        <v/>
      </c>
      <c r="J214" s="7" t="str">
        <f>IF($G214="","",IFERROR(INDEX('Recommendation Matrix'!$E$5:$J$411,MATCH($E214,'Recommendation Matrix'!$A$5:$A$411,0),$G214+1),""))</f>
        <v/>
      </c>
      <c r="K214" s="7" t="str">
        <f>IF($G214="","",IFERROR(VLOOKUP($E214,'Recommendation Matrix'!$A$5:$K$411,11,FALSE),""))</f>
        <v/>
      </c>
      <c r="L214" s="28" t="str">
        <f t="shared" si="32"/>
        <v/>
      </c>
      <c r="M214" s="28" t="str">
        <f>IF($G214="","",IFERROR(INDEX('Recommendation Matrix'!$L$5:$Q$411,MATCH($E214,'Recommendation Matrix'!$A$5:$A$411,0),$G214+1),""))</f>
        <v/>
      </c>
      <c r="N214" s="28" t="str">
        <f t="shared" si="33"/>
        <v/>
      </c>
      <c r="O214" s="28" t="str">
        <f t="shared" si="34"/>
        <v/>
      </c>
      <c r="P214" s="28" t="str">
        <f t="shared" si="35"/>
        <v/>
      </c>
      <c r="Q214" s="28" t="str">
        <f t="shared" si="36"/>
        <v/>
      </c>
      <c r="R214" s="8" t="str">
        <f t="shared" si="37"/>
        <v/>
      </c>
      <c r="S214" s="28">
        <f>IFERROR('Supply Chain'!$G$28,"")</f>
        <v>5</v>
      </c>
      <c r="T214" s="28">
        <f>IFERROR('Supply Chain'!$W$28,"")</f>
        <v>5</v>
      </c>
      <c r="U214" s="28">
        <f>IFERROR('Supply Chain'!$X$28,"")</f>
        <v>5</v>
      </c>
      <c r="V214" s="28">
        <f>IFERROR('Supply Chain'!$Y$28,"")</f>
        <v>5</v>
      </c>
      <c r="W214" s="7" t="s">
        <v>3739</v>
      </c>
      <c r="X214" s="7" t="s">
        <v>3740</v>
      </c>
      <c r="Y214" s="7" t="s">
        <v>3964</v>
      </c>
      <c r="Z214" s="7">
        <f>IFERROR('Supply Chain'!$U$28,"")</f>
        <v>0</v>
      </c>
      <c r="AA214" s="7"/>
      <c r="AB214" s="29"/>
      <c r="AC214" s="7"/>
      <c r="AD214" s="48" t="str">
        <f>IF($B214="Yes",IFERROR(SUMIFS(_TECH_Crisis_Model!$D$5:$D$191,_TECH_Crisis_Model!$A$5:$A$191,'Crisis Simulator'!$B$4,_TECH_Crisis_Model!$B$5:$B$191,$C214),1),"")</f>
        <v/>
      </c>
      <c r="AE214" s="48" t="str">
        <f t="shared" si="38"/>
        <v/>
      </c>
      <c r="AF214" s="48" t="str">
        <f>IFERROR(INDEX(_TECH_Crisis_Model!$E$5:$E$191,MATCH('Crisis Simulator'!$B$4&amp;"|"&amp;$C214,_TECH_Crisis_Model!$I$5:$I$191,0)),"")</f>
        <v>Supplier concentration, logistics and inventory visibility determine production and delivery continuity.</v>
      </c>
      <c r="AG214" s="48" t="str">
        <f>IFERROR(INDEX(_TECH_Crisis_Model!$G$5:$G$191,MATCH('Crisis Simulator'!$B$4&amp;"|"&amp;$C214,_TECH_Crisis_Model!$I$5:$I$191,0)),"")</f>
        <v>Diversify suppliers, define safety stock, alternate routes, supplier monitoring and substitution rules.</v>
      </c>
      <c r="AH214" s="48" t="str">
        <f>IFERROR(INDEX(_TECH_Initiative_Library!$A$5:$A$76,MATCH(1,INDEX((_TECH_Initiative_Library!$B$5:$B$76=$C214)*(_TECH_Initiative_Library!$C$5:$C$76=$D214),0),0)),"")</f>
        <v>INI-035</v>
      </c>
      <c r="AI214" s="48" t="str">
        <f>IFERROR(INDEX(_TECH_Initiative_Library!$F$5:$F$76,MATCH(1,INDEX((_TECH_Initiative_Library!$B$5:$B$76=$C214)*(_TECH_Initiative_Library!$C$5:$C$76=$D214),0),0)),"")</f>
        <v>Implement supply-chain technology, risk monitoring and supplier data</v>
      </c>
      <c r="AJ214" s="48" t="str">
        <f ca="1">IFERROR(INDEX(_TECH_Initiative_Library!$AC$5:$AC$76,MATCH(1,INDEX((_TECH_Initiative_Library!$B$5:$B$76=$C214)*(_TECH_Initiative_Library!$C$5:$C$76=$D214),0),0)),"")</f>
        <v/>
      </c>
      <c r="AK214" s="48" t="str">
        <f ca="1">IFERROR(INDEX(_TECH_Initiative_Library!$AE$5:$AE$76,MATCH(1,INDEX((_TECH_Initiative_Library!$B$5:$B$76=$C214)*(_TECH_Initiative_Library!$C$5:$C$76=$D214),0),0)),"")</f>
        <v/>
      </c>
      <c r="AL214" s="48" t="str">
        <f>IF($B214="Yes",IFERROR(SUMIFS(_TECH_Industry_Templates!$E:$E,_TECH_Industry_Templates!$A:$A,'Company Profile'!$B$9,_TECH_Industry_Templates!$B:$B,$C214),1),"")</f>
        <v/>
      </c>
      <c r="AM214" s="48" t="str">
        <f t="shared" si="39"/>
        <v/>
      </c>
      <c r="AN214" s="48" t="str">
        <f>IF($AM214="","",RANK.EQ($AM214,$AM$8:$AM$414,0)+COUNTIF($AM$8:$AM214,$AM214)-1)</f>
        <v/>
      </c>
    </row>
    <row r="215" spans="1:40" ht="71.25">
      <c r="A215" s="28" t="str">
        <f>IF($AM215="","",RANK.EQ($AM215,$AM$8:$AM$414,0)+COUNTIF($AM$8:$AM215,$AM215)-1)</f>
        <v/>
      </c>
      <c r="B215" s="7" t="str">
        <f t="shared" si="30"/>
        <v/>
      </c>
      <c r="C215" s="7" t="s">
        <v>78</v>
      </c>
      <c r="D215" s="7" t="s">
        <v>1323</v>
      </c>
      <c r="E215" s="7" t="s">
        <v>3972</v>
      </c>
      <c r="F215" s="7" t="s">
        <v>3973</v>
      </c>
      <c r="G215" s="28" t="str">
        <f>IF(OR(COUNTA('Supply Chain'!$H$29)=0,'Supply Chain'!$H$29="N/A"),"",VALUE('Supply Chain'!$H$29))</f>
        <v/>
      </c>
      <c r="H215" s="7" t="str">
        <f t="shared" si="31"/>
        <v/>
      </c>
      <c r="I215" s="7" t="str">
        <f>IF($G215="","",IFERROR(IF('Supply Chain'!$L$29="",IF($G215&lt;=1,"Critical",IF($G215=2,"High",IF($G215=3,"Medium",IF($G215=4,"Low","Optimized")))),'Supply Chain'!$L$29),IF($G215&lt;=1,"Critical",IF($G215=2,"High",IF($G215=3,"Medium",IF($G215=4,"Low","Optimized"))))))</f>
        <v/>
      </c>
      <c r="J215" s="7" t="str">
        <f>IF($G215="","",IFERROR(INDEX('Recommendation Matrix'!$E$5:$J$411,MATCH($E215,'Recommendation Matrix'!$A$5:$A$411,0),$G215+1),""))</f>
        <v/>
      </c>
      <c r="K215" s="7" t="str">
        <f>IF($G215="","",IFERROR(VLOOKUP($E215,'Recommendation Matrix'!$A$5:$K$411,11,FALSE),""))</f>
        <v/>
      </c>
      <c r="L215" s="28" t="str">
        <f t="shared" si="32"/>
        <v/>
      </c>
      <c r="M215" s="28" t="str">
        <f>IF($G215="","",IFERROR(INDEX('Recommendation Matrix'!$L$5:$Q$411,MATCH($E215,'Recommendation Matrix'!$A$5:$A$411,0),$G215+1),""))</f>
        <v/>
      </c>
      <c r="N215" s="28" t="str">
        <f t="shared" si="33"/>
        <v/>
      </c>
      <c r="O215" s="28" t="str">
        <f t="shared" si="34"/>
        <v/>
      </c>
      <c r="P215" s="28" t="str">
        <f t="shared" si="35"/>
        <v/>
      </c>
      <c r="Q215" s="28" t="str">
        <f t="shared" si="36"/>
        <v/>
      </c>
      <c r="R215" s="8" t="str">
        <f t="shared" si="37"/>
        <v/>
      </c>
      <c r="S215" s="28">
        <f>IFERROR('Supply Chain'!$G$29,"")</f>
        <v>5</v>
      </c>
      <c r="T215" s="28">
        <f>IFERROR('Supply Chain'!$W$29,"")</f>
        <v>4</v>
      </c>
      <c r="U215" s="28">
        <f>IFERROR('Supply Chain'!$X$29,"")</f>
        <v>5</v>
      </c>
      <c r="V215" s="28">
        <f>IFERROR('Supply Chain'!$Y$29,"")</f>
        <v>5</v>
      </c>
      <c r="W215" s="7" t="s">
        <v>3739</v>
      </c>
      <c r="X215" s="7" t="s">
        <v>3740</v>
      </c>
      <c r="Y215" s="7" t="s">
        <v>3974</v>
      </c>
      <c r="Z215" s="7">
        <f>IFERROR('Supply Chain'!$U$29,"")</f>
        <v>0</v>
      </c>
      <c r="AA215" s="7"/>
      <c r="AB215" s="29"/>
      <c r="AC215" s="7"/>
      <c r="AD215" s="48" t="str">
        <f>IF($B215="Yes",IFERROR(SUMIFS(_TECH_Crisis_Model!$D$5:$D$191,_TECH_Crisis_Model!$A$5:$A$191,'Crisis Simulator'!$B$4,_TECH_Crisis_Model!$B$5:$B$191,$C215),1),"")</f>
        <v/>
      </c>
      <c r="AE215" s="48" t="str">
        <f t="shared" si="38"/>
        <v/>
      </c>
      <c r="AF215" s="48" t="str">
        <f>IFERROR(INDEX(_TECH_Crisis_Model!$E$5:$E$191,MATCH('Crisis Simulator'!$B$4&amp;"|"&amp;$C215,_TECH_Crisis_Model!$I$5:$I$191,0)),"")</f>
        <v>Supplier concentration, logistics and inventory visibility determine production and delivery continuity.</v>
      </c>
      <c r="AG215" s="48" t="str">
        <f>IFERROR(INDEX(_TECH_Crisis_Model!$G$5:$G$191,MATCH('Crisis Simulator'!$B$4&amp;"|"&amp;$C215,_TECH_Crisis_Model!$I$5:$I$191,0)),"")</f>
        <v>Diversify suppliers, define safety stock, alternate routes, supplier monitoring and substitution rules.</v>
      </c>
      <c r="AH215" s="48" t="str">
        <f>IFERROR(INDEX(_TECH_Initiative_Library!$A$5:$A$76,MATCH(1,INDEX((_TECH_Initiative_Library!$B$5:$B$76=$C215)*(_TECH_Initiative_Library!$C$5:$C$76=$D215),0),0)),"")</f>
        <v>INI-035</v>
      </c>
      <c r="AI215" s="48" t="str">
        <f>IFERROR(INDEX(_TECH_Initiative_Library!$F$5:$F$76,MATCH(1,INDEX((_TECH_Initiative_Library!$B$5:$B$76=$C215)*(_TECH_Initiative_Library!$C$5:$C$76=$D215),0),0)),"")</f>
        <v>Implement supply-chain technology, risk monitoring and supplier data</v>
      </c>
      <c r="AJ215" s="48" t="str">
        <f ca="1">IFERROR(INDEX(_TECH_Initiative_Library!$AC$5:$AC$76,MATCH(1,INDEX((_TECH_Initiative_Library!$B$5:$B$76=$C215)*(_TECH_Initiative_Library!$C$5:$C$76=$D215),0),0)),"")</f>
        <v/>
      </c>
      <c r="AK215" s="48" t="str">
        <f ca="1">IFERROR(INDEX(_TECH_Initiative_Library!$AE$5:$AE$76,MATCH(1,INDEX((_TECH_Initiative_Library!$B$5:$B$76=$C215)*(_TECH_Initiative_Library!$C$5:$C$76=$D215),0),0)),"")</f>
        <v/>
      </c>
      <c r="AL215" s="48" t="str">
        <f>IF($B215="Yes",IFERROR(SUMIFS(_TECH_Industry_Templates!$E:$E,_TECH_Industry_Templates!$A:$A,'Company Profile'!$B$9,_TECH_Industry_Templates!$B:$B,$C215),1),"")</f>
        <v/>
      </c>
      <c r="AM215" s="48" t="str">
        <f t="shared" si="39"/>
        <v/>
      </c>
      <c r="AN215" s="48" t="str">
        <f>IF($AM215="","",RANK.EQ($AM215,$AM$8:$AM$414,0)+COUNTIF($AM$8:$AM215,$AM215)-1)</f>
        <v/>
      </c>
    </row>
    <row r="216" spans="1:40" ht="71.25">
      <c r="A216" s="28" t="str">
        <f>IF($AM216="","",RANK.EQ($AM216,$AM$8:$AM$414,0)+COUNTIF($AM$8:$AM216,$AM216)-1)</f>
        <v/>
      </c>
      <c r="B216" s="7" t="str">
        <f t="shared" si="30"/>
        <v/>
      </c>
      <c r="C216" s="7" t="s">
        <v>81</v>
      </c>
      <c r="D216" s="7" t="s">
        <v>1331</v>
      </c>
      <c r="E216" s="7" t="s">
        <v>3984</v>
      </c>
      <c r="F216" s="7" t="s">
        <v>3985</v>
      </c>
      <c r="G216" s="28" t="str">
        <f>IF(OR(COUNTA('Manufacturing MES'!$H$5)=0,'Manufacturing MES'!$H$5="N/A"),"",VALUE('Manufacturing MES'!$H$5))</f>
        <v/>
      </c>
      <c r="H216" s="7" t="str">
        <f t="shared" si="31"/>
        <v/>
      </c>
      <c r="I216" s="7" t="str">
        <f>IF($G216="","",IFERROR(IF('Manufacturing MES'!$L$5="",IF($G216&lt;=1,"Critical",IF($G216=2,"High",IF($G216=3,"Medium",IF($G216=4,"Low","Optimized")))),'Manufacturing MES'!$L$5),IF($G216&lt;=1,"Critical",IF($G216=2,"High",IF($G216=3,"Medium",IF($G216=4,"Low","Optimized"))))))</f>
        <v/>
      </c>
      <c r="J216" s="7" t="str">
        <f>IF($G216="","",IFERROR(INDEX('Recommendation Matrix'!$E$5:$J$411,MATCH($E216,'Recommendation Matrix'!$A$5:$A$411,0),$G216+1),""))</f>
        <v/>
      </c>
      <c r="K216" s="7" t="str">
        <f>IF($G216="","",IFERROR(VLOOKUP($E216,'Recommendation Matrix'!$A$5:$K$411,11,FALSE),""))</f>
        <v/>
      </c>
      <c r="L216" s="28" t="str">
        <f t="shared" si="32"/>
        <v/>
      </c>
      <c r="M216" s="28" t="str">
        <f>IF($G216="","",IFERROR(INDEX('Recommendation Matrix'!$L$5:$Q$411,MATCH($E216,'Recommendation Matrix'!$A$5:$A$411,0),$G216+1),""))</f>
        <v/>
      </c>
      <c r="N216" s="28" t="str">
        <f t="shared" si="33"/>
        <v/>
      </c>
      <c r="O216" s="28" t="str">
        <f t="shared" si="34"/>
        <v/>
      </c>
      <c r="P216" s="28" t="str">
        <f t="shared" si="35"/>
        <v/>
      </c>
      <c r="Q216" s="28" t="str">
        <f t="shared" si="36"/>
        <v/>
      </c>
      <c r="R216" s="8" t="str">
        <f t="shared" si="37"/>
        <v/>
      </c>
      <c r="S216" s="28">
        <f>IFERROR('Manufacturing MES'!$G$5,"")</f>
        <v>5</v>
      </c>
      <c r="T216" s="28">
        <f>IFERROR('Manufacturing MES'!$W$5,"")</f>
        <v>5</v>
      </c>
      <c r="U216" s="28">
        <f>IFERROR('Manufacturing MES'!$X$5,"")</f>
        <v>5</v>
      </c>
      <c r="V216" s="28">
        <f>IFERROR('Manufacturing MES'!$Y$5,"")</f>
        <v>5</v>
      </c>
      <c r="W216" s="7" t="s">
        <v>3995</v>
      </c>
      <c r="X216" s="7" t="s">
        <v>3996</v>
      </c>
      <c r="Y216" s="7" t="s">
        <v>3988</v>
      </c>
      <c r="Z216" s="7">
        <f>IFERROR('Manufacturing MES'!$U$5,"")</f>
        <v>0</v>
      </c>
      <c r="AA216" s="7"/>
      <c r="AB216" s="29"/>
      <c r="AC216" s="7"/>
      <c r="AD216" s="48" t="str">
        <f>IF($B216="Yes",IFERROR(SUMIFS(_TECH_Crisis_Model!$D$5:$D$191,_TECH_Crisis_Model!$A$5:$A$191,'Crisis Simulator'!$B$4,_TECH_Crisis_Model!$B$5:$B$191,$C216),1),"")</f>
        <v/>
      </c>
      <c r="AE216" s="48" t="str">
        <f t="shared" si="38"/>
        <v/>
      </c>
      <c r="AF216" s="48" t="str">
        <f>IFERROR(INDEX(_TECH_Crisis_Model!$E$5:$E$191,MATCH('Crisis Simulator'!$B$4&amp;"|"&amp;$C216,_TECH_Crisis_Model!$I$5:$I$191,0)),"")</f>
        <v>Production assets, MES, maintenance and utilities determine manufacturing recoverability.</v>
      </c>
      <c r="AG216" s="48" t="str">
        <f>IFERROR(INDEX(_TECH_Crisis_Model!$G$5:$G$191,MATCH('Crisis Simulator'!$B$4&amp;"|"&amp;$C216,_TECH_Crisis_Model!$I$5:$I$191,0)),"")</f>
        <v>Define production fallback, maintenance priorities, spare parts, MES continuity and utility backup.</v>
      </c>
      <c r="AH216" s="48" t="str">
        <f>IFERROR(INDEX(_TECH_Initiative_Library!$A$5:$A$76,MATCH(1,INDEX((_TECH_Initiative_Library!$B$5:$B$76=$C216)*(_TECH_Initiative_Library!$C$5:$C$76=$D216),0),0)),"")</f>
        <v>INI-036</v>
      </c>
      <c r="AI216" s="48" t="str">
        <f>IFERROR(INDEX(_TECH_Initiative_Library!$F$5:$F$76,MATCH(1,INDEX((_TECH_Initiative_Library!$B$5:$B$76=$C216)*(_TECH_Initiative_Library!$C$5:$C$76=$D216),0),0)),"")</f>
        <v>Assess production footprint and build alternate production options</v>
      </c>
      <c r="AJ216" s="48" t="str">
        <f ca="1">IFERROR(INDEX(_TECH_Initiative_Library!$AC$5:$AC$76,MATCH(1,INDEX((_TECH_Initiative_Library!$B$5:$B$76=$C216)*(_TECH_Initiative_Library!$C$5:$C$76=$D216),0),0)),"")</f>
        <v/>
      </c>
      <c r="AK216" s="48" t="str">
        <f ca="1">IFERROR(INDEX(_TECH_Initiative_Library!$AE$5:$AE$76,MATCH(1,INDEX((_TECH_Initiative_Library!$B$5:$B$76=$C216)*(_TECH_Initiative_Library!$C$5:$C$76=$D216),0),0)),"")</f>
        <v/>
      </c>
      <c r="AL216" s="48" t="str">
        <f>IF($B216="Yes",IFERROR(SUMIFS(_TECH_Industry_Templates!$E:$E,_TECH_Industry_Templates!$A:$A,'Company Profile'!$B$9,_TECH_Industry_Templates!$B:$B,$C216),1),"")</f>
        <v/>
      </c>
      <c r="AM216" s="48" t="str">
        <f t="shared" si="39"/>
        <v/>
      </c>
      <c r="AN216" s="48" t="str">
        <f>IF($AM216="","",RANK.EQ($AM216,$AM$8:$AM$414,0)+COUNTIF($AM$8:$AM216,$AM216)-1)</f>
        <v/>
      </c>
    </row>
    <row r="217" spans="1:40" ht="85.5">
      <c r="A217" s="28" t="str">
        <f>IF($AM217="","",RANK.EQ($AM217,$AM$8:$AM$414,0)+COUNTIF($AM$8:$AM217,$AM217)-1)</f>
        <v/>
      </c>
      <c r="B217" s="7" t="str">
        <f t="shared" si="30"/>
        <v/>
      </c>
      <c r="C217" s="7" t="s">
        <v>81</v>
      </c>
      <c r="D217" s="7" t="s">
        <v>1331</v>
      </c>
      <c r="E217" s="7" t="s">
        <v>3998</v>
      </c>
      <c r="F217" s="7" t="s">
        <v>3999</v>
      </c>
      <c r="G217" s="28" t="str">
        <f>IF(OR(COUNTA('Manufacturing MES'!$H$6)=0,'Manufacturing MES'!$H$6="N/A"),"",VALUE('Manufacturing MES'!$H$6))</f>
        <v/>
      </c>
      <c r="H217" s="7" t="str">
        <f t="shared" si="31"/>
        <v/>
      </c>
      <c r="I217" s="7" t="str">
        <f>IF($G217="","",IFERROR(IF('Manufacturing MES'!$L$6="",IF($G217&lt;=1,"Critical",IF($G217=2,"High",IF($G217=3,"Medium",IF($G217=4,"Low","Optimized")))),'Manufacturing MES'!$L$6),IF($G217&lt;=1,"Critical",IF($G217=2,"High",IF($G217=3,"Medium",IF($G217=4,"Low","Optimized"))))))</f>
        <v/>
      </c>
      <c r="J217" s="7" t="str">
        <f>IF($G217="","",IFERROR(INDEX('Recommendation Matrix'!$E$5:$J$411,MATCH($E217,'Recommendation Matrix'!$A$5:$A$411,0),$G217+1),""))</f>
        <v/>
      </c>
      <c r="K217" s="7" t="str">
        <f>IF($G217="","",IFERROR(VLOOKUP($E217,'Recommendation Matrix'!$A$5:$K$411,11,FALSE),""))</f>
        <v/>
      </c>
      <c r="L217" s="28" t="str">
        <f t="shared" si="32"/>
        <v/>
      </c>
      <c r="M217" s="28" t="str">
        <f>IF($G217="","",IFERROR(INDEX('Recommendation Matrix'!$L$5:$Q$411,MATCH($E217,'Recommendation Matrix'!$A$5:$A$411,0),$G217+1),""))</f>
        <v/>
      </c>
      <c r="N217" s="28" t="str">
        <f t="shared" si="33"/>
        <v/>
      </c>
      <c r="O217" s="28" t="str">
        <f t="shared" si="34"/>
        <v/>
      </c>
      <c r="P217" s="28" t="str">
        <f t="shared" si="35"/>
        <v/>
      </c>
      <c r="Q217" s="28" t="str">
        <f t="shared" si="36"/>
        <v/>
      </c>
      <c r="R217" s="8" t="str">
        <f t="shared" si="37"/>
        <v/>
      </c>
      <c r="S217" s="28">
        <f>IFERROR('Manufacturing MES'!$G$6,"")</f>
        <v>5</v>
      </c>
      <c r="T217" s="28">
        <f>IFERROR('Manufacturing MES'!$W$6,"")</f>
        <v>5</v>
      </c>
      <c r="U217" s="28">
        <f>IFERROR('Manufacturing MES'!$X$6,"")</f>
        <v>5</v>
      </c>
      <c r="V217" s="28">
        <f>IFERROR('Manufacturing MES'!$Y$6,"")</f>
        <v>5</v>
      </c>
      <c r="W217" s="7" t="s">
        <v>3995</v>
      </c>
      <c r="X217" s="7" t="s">
        <v>3996</v>
      </c>
      <c r="Y217" s="7" t="s">
        <v>4000</v>
      </c>
      <c r="Z217" s="7">
        <f>IFERROR('Manufacturing MES'!$U$6,"")</f>
        <v>0</v>
      </c>
      <c r="AA217" s="7"/>
      <c r="AB217" s="29"/>
      <c r="AC217" s="7"/>
      <c r="AD217" s="48" t="str">
        <f>IF($B217="Yes",IFERROR(SUMIFS(_TECH_Crisis_Model!$D$5:$D$191,_TECH_Crisis_Model!$A$5:$A$191,'Crisis Simulator'!$B$4,_TECH_Crisis_Model!$B$5:$B$191,$C217),1),"")</f>
        <v/>
      </c>
      <c r="AE217" s="48" t="str">
        <f t="shared" si="38"/>
        <v/>
      </c>
      <c r="AF217" s="48" t="str">
        <f>IFERROR(INDEX(_TECH_Crisis_Model!$E$5:$E$191,MATCH('Crisis Simulator'!$B$4&amp;"|"&amp;$C217,_TECH_Crisis_Model!$I$5:$I$191,0)),"")</f>
        <v>Production assets, MES, maintenance and utilities determine manufacturing recoverability.</v>
      </c>
      <c r="AG217" s="48" t="str">
        <f>IFERROR(INDEX(_TECH_Crisis_Model!$G$5:$G$191,MATCH('Crisis Simulator'!$B$4&amp;"|"&amp;$C217,_TECH_Crisis_Model!$I$5:$I$191,0)),"")</f>
        <v>Define production fallback, maintenance priorities, spare parts, MES continuity and utility backup.</v>
      </c>
      <c r="AH217" s="48" t="str">
        <f>IFERROR(INDEX(_TECH_Initiative_Library!$A$5:$A$76,MATCH(1,INDEX((_TECH_Initiative_Library!$B$5:$B$76=$C217)*(_TECH_Initiative_Library!$C$5:$C$76=$D217),0),0)),"")</f>
        <v>INI-036</v>
      </c>
      <c r="AI217" s="48" t="str">
        <f>IFERROR(INDEX(_TECH_Initiative_Library!$F$5:$F$76,MATCH(1,INDEX((_TECH_Initiative_Library!$B$5:$B$76=$C217)*(_TECH_Initiative_Library!$C$5:$C$76=$D217),0),0)),"")</f>
        <v>Assess production footprint and build alternate production options</v>
      </c>
      <c r="AJ217" s="48" t="str">
        <f ca="1">IFERROR(INDEX(_TECH_Initiative_Library!$AC$5:$AC$76,MATCH(1,INDEX((_TECH_Initiative_Library!$B$5:$B$76=$C217)*(_TECH_Initiative_Library!$C$5:$C$76=$D217),0),0)),"")</f>
        <v/>
      </c>
      <c r="AK217" s="48" t="str">
        <f ca="1">IFERROR(INDEX(_TECH_Initiative_Library!$AE$5:$AE$76,MATCH(1,INDEX((_TECH_Initiative_Library!$B$5:$B$76=$C217)*(_TECH_Initiative_Library!$C$5:$C$76=$D217),0),0)),"")</f>
        <v/>
      </c>
      <c r="AL217" s="48" t="str">
        <f>IF($B217="Yes",IFERROR(SUMIFS(_TECH_Industry_Templates!$E:$E,_TECH_Industry_Templates!$A:$A,'Company Profile'!$B$9,_TECH_Industry_Templates!$B:$B,$C217),1),"")</f>
        <v/>
      </c>
      <c r="AM217" s="48" t="str">
        <f t="shared" si="39"/>
        <v/>
      </c>
      <c r="AN217" s="48" t="str">
        <f>IF($AM217="","",RANK.EQ($AM217,$AM$8:$AM$414,0)+COUNTIF($AM$8:$AM217,$AM217)-1)</f>
        <v/>
      </c>
    </row>
    <row r="218" spans="1:40" ht="71.25">
      <c r="A218" s="28" t="str">
        <f>IF($AM218="","",RANK.EQ($AM218,$AM$8:$AM$414,0)+COUNTIF($AM$8:$AM218,$AM218)-1)</f>
        <v/>
      </c>
      <c r="B218" s="7" t="str">
        <f t="shared" si="30"/>
        <v/>
      </c>
      <c r="C218" s="7" t="s">
        <v>81</v>
      </c>
      <c r="D218" s="7" t="s">
        <v>1331</v>
      </c>
      <c r="E218" s="7" t="s">
        <v>4008</v>
      </c>
      <c r="F218" s="7" t="s">
        <v>4009</v>
      </c>
      <c r="G218" s="28" t="str">
        <f>IF(OR(COUNTA('Manufacturing MES'!$H$7)=0,'Manufacturing MES'!$H$7="N/A"),"",VALUE('Manufacturing MES'!$H$7))</f>
        <v/>
      </c>
      <c r="H218" s="7" t="str">
        <f t="shared" si="31"/>
        <v/>
      </c>
      <c r="I218" s="7" t="str">
        <f>IF($G218="","",IFERROR(IF('Manufacturing MES'!$L$7="",IF($G218&lt;=1,"Critical",IF($G218=2,"High",IF($G218=3,"Medium",IF($G218=4,"Low","Optimized")))),'Manufacturing MES'!$L$7),IF($G218&lt;=1,"Critical",IF($G218=2,"High",IF($G218=3,"Medium",IF($G218=4,"Low","Optimized"))))))</f>
        <v/>
      </c>
      <c r="J218" s="7" t="str">
        <f>IF($G218="","",IFERROR(INDEX('Recommendation Matrix'!$E$5:$J$411,MATCH($E218,'Recommendation Matrix'!$A$5:$A$411,0),$G218+1),""))</f>
        <v/>
      </c>
      <c r="K218" s="7" t="str">
        <f>IF($G218="","",IFERROR(VLOOKUP($E218,'Recommendation Matrix'!$A$5:$K$411,11,FALSE),""))</f>
        <v/>
      </c>
      <c r="L218" s="28" t="str">
        <f t="shared" si="32"/>
        <v/>
      </c>
      <c r="M218" s="28" t="str">
        <f>IF($G218="","",IFERROR(INDEX('Recommendation Matrix'!$L$5:$Q$411,MATCH($E218,'Recommendation Matrix'!$A$5:$A$411,0),$G218+1),""))</f>
        <v/>
      </c>
      <c r="N218" s="28" t="str">
        <f t="shared" si="33"/>
        <v/>
      </c>
      <c r="O218" s="28" t="str">
        <f t="shared" si="34"/>
        <v/>
      </c>
      <c r="P218" s="28" t="str">
        <f t="shared" si="35"/>
        <v/>
      </c>
      <c r="Q218" s="28" t="str">
        <f t="shared" si="36"/>
        <v/>
      </c>
      <c r="R218" s="8" t="str">
        <f t="shared" si="37"/>
        <v/>
      </c>
      <c r="S218" s="28">
        <f>IFERROR('Manufacturing MES'!$G$7,"")</f>
        <v>3</v>
      </c>
      <c r="T218" s="28">
        <f>IFERROR('Manufacturing MES'!$W$7,"")</f>
        <v>5</v>
      </c>
      <c r="U218" s="28">
        <f>IFERROR('Manufacturing MES'!$X$7,"")</f>
        <v>5</v>
      </c>
      <c r="V218" s="28">
        <f>IFERROR('Manufacturing MES'!$Y$7,"")</f>
        <v>5</v>
      </c>
      <c r="W218" s="7" t="s">
        <v>3995</v>
      </c>
      <c r="X218" s="7" t="s">
        <v>3996</v>
      </c>
      <c r="Y218" s="7" t="s">
        <v>4010</v>
      </c>
      <c r="Z218" s="7">
        <f>IFERROR('Manufacturing MES'!$U$7,"")</f>
        <v>0</v>
      </c>
      <c r="AA218" s="7"/>
      <c r="AB218" s="29"/>
      <c r="AC218" s="7"/>
      <c r="AD218" s="48" t="str">
        <f>IF($B218="Yes",IFERROR(SUMIFS(_TECH_Crisis_Model!$D$5:$D$191,_TECH_Crisis_Model!$A$5:$A$191,'Crisis Simulator'!$B$4,_TECH_Crisis_Model!$B$5:$B$191,$C218),1),"")</f>
        <v/>
      </c>
      <c r="AE218" s="48" t="str">
        <f t="shared" si="38"/>
        <v/>
      </c>
      <c r="AF218" s="48" t="str">
        <f>IFERROR(INDEX(_TECH_Crisis_Model!$E$5:$E$191,MATCH('Crisis Simulator'!$B$4&amp;"|"&amp;$C218,_TECH_Crisis_Model!$I$5:$I$191,0)),"")</f>
        <v>Production assets, MES, maintenance and utilities determine manufacturing recoverability.</v>
      </c>
      <c r="AG218" s="48" t="str">
        <f>IFERROR(INDEX(_TECH_Crisis_Model!$G$5:$G$191,MATCH('Crisis Simulator'!$B$4&amp;"|"&amp;$C218,_TECH_Crisis_Model!$I$5:$I$191,0)),"")</f>
        <v>Define production fallback, maintenance priorities, spare parts, MES continuity and utility backup.</v>
      </c>
      <c r="AH218" s="48" t="str">
        <f>IFERROR(INDEX(_TECH_Initiative_Library!$A$5:$A$76,MATCH(1,INDEX((_TECH_Initiative_Library!$B$5:$B$76=$C218)*(_TECH_Initiative_Library!$C$5:$C$76=$D218),0),0)),"")</f>
        <v>INI-036</v>
      </c>
      <c r="AI218" s="48" t="str">
        <f>IFERROR(INDEX(_TECH_Initiative_Library!$F$5:$F$76,MATCH(1,INDEX((_TECH_Initiative_Library!$B$5:$B$76=$C218)*(_TECH_Initiative_Library!$C$5:$C$76=$D218),0),0)),"")</f>
        <v>Assess production footprint and build alternate production options</v>
      </c>
      <c r="AJ218" s="48" t="str">
        <f ca="1">IFERROR(INDEX(_TECH_Initiative_Library!$AC$5:$AC$76,MATCH(1,INDEX((_TECH_Initiative_Library!$B$5:$B$76=$C218)*(_TECH_Initiative_Library!$C$5:$C$76=$D218),0),0)),"")</f>
        <v/>
      </c>
      <c r="AK218" s="48" t="str">
        <f ca="1">IFERROR(INDEX(_TECH_Initiative_Library!$AE$5:$AE$76,MATCH(1,INDEX((_TECH_Initiative_Library!$B$5:$B$76=$C218)*(_TECH_Initiative_Library!$C$5:$C$76=$D218),0),0)),"")</f>
        <v/>
      </c>
      <c r="AL218" s="48" t="str">
        <f>IF($B218="Yes",IFERROR(SUMIFS(_TECH_Industry_Templates!$E:$E,_TECH_Industry_Templates!$A:$A,'Company Profile'!$B$9,_TECH_Industry_Templates!$B:$B,$C218),1),"")</f>
        <v/>
      </c>
      <c r="AM218" s="48" t="str">
        <f t="shared" si="39"/>
        <v/>
      </c>
      <c r="AN218" s="48" t="str">
        <f>IF($AM218="","",RANK.EQ($AM218,$AM$8:$AM$414,0)+COUNTIF($AM$8:$AM218,$AM218)-1)</f>
        <v/>
      </c>
    </row>
    <row r="219" spans="1:40" ht="71.25">
      <c r="A219" s="28" t="str">
        <f>IF($AM219="","",RANK.EQ($AM219,$AM$8:$AM$414,0)+COUNTIF($AM$8:$AM219,$AM219)-1)</f>
        <v/>
      </c>
      <c r="B219" s="7" t="str">
        <f t="shared" si="30"/>
        <v/>
      </c>
      <c r="C219" s="7" t="s">
        <v>81</v>
      </c>
      <c r="D219" s="7" t="s">
        <v>1331</v>
      </c>
      <c r="E219" s="7" t="s">
        <v>4018</v>
      </c>
      <c r="F219" s="7" t="s">
        <v>4019</v>
      </c>
      <c r="G219" s="28" t="str">
        <f>IF(OR(COUNTA('Manufacturing MES'!$H$8)=0,'Manufacturing MES'!$H$8="N/A"),"",VALUE('Manufacturing MES'!$H$8))</f>
        <v/>
      </c>
      <c r="H219" s="7" t="str">
        <f t="shared" si="31"/>
        <v/>
      </c>
      <c r="I219" s="7" t="str">
        <f>IF($G219="","",IFERROR(IF('Manufacturing MES'!$L$8="",IF($G219&lt;=1,"Critical",IF($G219=2,"High",IF($G219=3,"Medium",IF($G219=4,"Low","Optimized")))),'Manufacturing MES'!$L$8),IF($G219&lt;=1,"Critical",IF($G219=2,"High",IF($G219=3,"Medium",IF($G219=4,"Low","Optimized"))))))</f>
        <v/>
      </c>
      <c r="J219" s="7" t="str">
        <f>IF($G219="","",IFERROR(INDEX('Recommendation Matrix'!$E$5:$J$411,MATCH($E219,'Recommendation Matrix'!$A$5:$A$411,0),$G219+1),""))</f>
        <v/>
      </c>
      <c r="K219" s="7" t="str">
        <f>IF($G219="","",IFERROR(VLOOKUP($E219,'Recommendation Matrix'!$A$5:$K$411,11,FALSE),""))</f>
        <v/>
      </c>
      <c r="L219" s="28" t="str">
        <f t="shared" si="32"/>
        <v/>
      </c>
      <c r="M219" s="28" t="str">
        <f>IF($G219="","",IFERROR(INDEX('Recommendation Matrix'!$L$5:$Q$411,MATCH($E219,'Recommendation Matrix'!$A$5:$A$411,0),$G219+1),""))</f>
        <v/>
      </c>
      <c r="N219" s="28" t="str">
        <f t="shared" si="33"/>
        <v/>
      </c>
      <c r="O219" s="28" t="str">
        <f t="shared" si="34"/>
        <v/>
      </c>
      <c r="P219" s="28" t="str">
        <f t="shared" si="35"/>
        <v/>
      </c>
      <c r="Q219" s="28" t="str">
        <f t="shared" si="36"/>
        <v/>
      </c>
      <c r="R219" s="8" t="str">
        <f t="shared" si="37"/>
        <v/>
      </c>
      <c r="S219" s="28">
        <f>IFERROR('Manufacturing MES'!$G$8,"")</f>
        <v>5</v>
      </c>
      <c r="T219" s="28">
        <f>IFERROR('Manufacturing MES'!$W$8,"")</f>
        <v>5</v>
      </c>
      <c r="U219" s="28">
        <f>IFERROR('Manufacturing MES'!$X$8,"")</f>
        <v>5</v>
      </c>
      <c r="V219" s="28">
        <f>IFERROR('Manufacturing MES'!$Y$8,"")</f>
        <v>5</v>
      </c>
      <c r="W219" s="7" t="s">
        <v>3995</v>
      </c>
      <c r="X219" s="7" t="s">
        <v>3996</v>
      </c>
      <c r="Y219" s="7" t="s">
        <v>4020</v>
      </c>
      <c r="Z219" s="7">
        <f>IFERROR('Manufacturing MES'!$U$8,"")</f>
        <v>0</v>
      </c>
      <c r="AA219" s="7"/>
      <c r="AB219" s="29"/>
      <c r="AC219" s="7"/>
      <c r="AD219" s="48" t="str">
        <f>IF($B219="Yes",IFERROR(SUMIFS(_TECH_Crisis_Model!$D$5:$D$191,_TECH_Crisis_Model!$A$5:$A$191,'Crisis Simulator'!$B$4,_TECH_Crisis_Model!$B$5:$B$191,$C219),1),"")</f>
        <v/>
      </c>
      <c r="AE219" s="48" t="str">
        <f t="shared" si="38"/>
        <v/>
      </c>
      <c r="AF219" s="48" t="str">
        <f>IFERROR(INDEX(_TECH_Crisis_Model!$E$5:$E$191,MATCH('Crisis Simulator'!$B$4&amp;"|"&amp;$C219,_TECH_Crisis_Model!$I$5:$I$191,0)),"")</f>
        <v>Production assets, MES, maintenance and utilities determine manufacturing recoverability.</v>
      </c>
      <c r="AG219" s="48" t="str">
        <f>IFERROR(INDEX(_TECH_Crisis_Model!$G$5:$G$191,MATCH('Crisis Simulator'!$B$4&amp;"|"&amp;$C219,_TECH_Crisis_Model!$I$5:$I$191,0)),"")</f>
        <v>Define production fallback, maintenance priorities, spare parts, MES continuity and utility backup.</v>
      </c>
      <c r="AH219" s="48" t="str">
        <f>IFERROR(INDEX(_TECH_Initiative_Library!$A$5:$A$76,MATCH(1,INDEX((_TECH_Initiative_Library!$B$5:$B$76=$C219)*(_TECH_Initiative_Library!$C$5:$C$76=$D219),0),0)),"")</f>
        <v>INI-036</v>
      </c>
      <c r="AI219" s="48" t="str">
        <f>IFERROR(INDEX(_TECH_Initiative_Library!$F$5:$F$76,MATCH(1,INDEX((_TECH_Initiative_Library!$B$5:$B$76=$C219)*(_TECH_Initiative_Library!$C$5:$C$76=$D219),0),0)),"")</f>
        <v>Assess production footprint and build alternate production options</v>
      </c>
      <c r="AJ219" s="48" t="str">
        <f ca="1">IFERROR(INDEX(_TECH_Initiative_Library!$AC$5:$AC$76,MATCH(1,INDEX((_TECH_Initiative_Library!$B$5:$B$76=$C219)*(_TECH_Initiative_Library!$C$5:$C$76=$D219),0),0)),"")</f>
        <v/>
      </c>
      <c r="AK219" s="48" t="str">
        <f ca="1">IFERROR(INDEX(_TECH_Initiative_Library!$AE$5:$AE$76,MATCH(1,INDEX((_TECH_Initiative_Library!$B$5:$B$76=$C219)*(_TECH_Initiative_Library!$C$5:$C$76=$D219),0),0)),"")</f>
        <v/>
      </c>
      <c r="AL219" s="48" t="str">
        <f>IF($B219="Yes",IFERROR(SUMIFS(_TECH_Industry_Templates!$E:$E,_TECH_Industry_Templates!$A:$A,'Company Profile'!$B$9,_TECH_Industry_Templates!$B:$B,$C219),1),"")</f>
        <v/>
      </c>
      <c r="AM219" s="48" t="str">
        <f t="shared" si="39"/>
        <v/>
      </c>
      <c r="AN219" s="48" t="str">
        <f>IF($AM219="","",RANK.EQ($AM219,$AM$8:$AM$414,0)+COUNTIF($AM$8:$AM219,$AM219)-1)</f>
        <v/>
      </c>
    </row>
    <row r="220" spans="1:40" ht="57">
      <c r="A220" s="28" t="str">
        <f>IF($AM220="","",RANK.EQ($AM220,$AM$8:$AM$414,0)+COUNTIF($AM$8:$AM220,$AM220)-1)</f>
        <v/>
      </c>
      <c r="B220" s="7" t="str">
        <f t="shared" si="30"/>
        <v/>
      </c>
      <c r="C220" s="7" t="s">
        <v>81</v>
      </c>
      <c r="D220" s="7" t="s">
        <v>1331</v>
      </c>
      <c r="E220" s="7" t="s">
        <v>4028</v>
      </c>
      <c r="F220" s="7" t="s">
        <v>4029</v>
      </c>
      <c r="G220" s="28" t="str">
        <f>IF(OR(COUNTA('Manufacturing MES'!$H$9)=0,'Manufacturing MES'!$H$9="N/A"),"",VALUE('Manufacturing MES'!$H$9))</f>
        <v/>
      </c>
      <c r="H220" s="7" t="str">
        <f t="shared" si="31"/>
        <v/>
      </c>
      <c r="I220" s="7" t="str">
        <f>IF($G220="","",IFERROR(IF('Manufacturing MES'!$L$9="",IF($G220&lt;=1,"Critical",IF($G220=2,"High",IF($G220=3,"Medium",IF($G220=4,"Low","Optimized")))),'Manufacturing MES'!$L$9),IF($G220&lt;=1,"Critical",IF($G220=2,"High",IF($G220=3,"Medium",IF($G220=4,"Low","Optimized"))))))</f>
        <v/>
      </c>
      <c r="J220" s="7" t="str">
        <f>IF($G220="","",IFERROR(INDEX('Recommendation Matrix'!$E$5:$J$411,MATCH($E220,'Recommendation Matrix'!$A$5:$A$411,0),$G220+1),""))</f>
        <v/>
      </c>
      <c r="K220" s="7" t="str">
        <f>IF($G220="","",IFERROR(VLOOKUP($E220,'Recommendation Matrix'!$A$5:$K$411,11,FALSE),""))</f>
        <v/>
      </c>
      <c r="L220" s="28" t="str">
        <f t="shared" si="32"/>
        <v/>
      </c>
      <c r="M220" s="28" t="str">
        <f>IF($G220="","",IFERROR(INDEX('Recommendation Matrix'!$L$5:$Q$411,MATCH($E220,'Recommendation Matrix'!$A$5:$A$411,0),$G220+1),""))</f>
        <v/>
      </c>
      <c r="N220" s="28" t="str">
        <f t="shared" si="33"/>
        <v/>
      </c>
      <c r="O220" s="28" t="str">
        <f t="shared" si="34"/>
        <v/>
      </c>
      <c r="P220" s="28" t="str">
        <f t="shared" si="35"/>
        <v/>
      </c>
      <c r="Q220" s="28" t="str">
        <f t="shared" si="36"/>
        <v/>
      </c>
      <c r="R220" s="8" t="str">
        <f t="shared" si="37"/>
        <v/>
      </c>
      <c r="S220" s="28">
        <f>IFERROR('Manufacturing MES'!$G$9,"")</f>
        <v>5</v>
      </c>
      <c r="T220" s="28">
        <f>IFERROR('Manufacturing MES'!$W$9,"")</f>
        <v>5</v>
      </c>
      <c r="U220" s="28">
        <f>IFERROR('Manufacturing MES'!$X$9,"")</f>
        <v>5</v>
      </c>
      <c r="V220" s="28">
        <f>IFERROR('Manufacturing MES'!$Y$9,"")</f>
        <v>5</v>
      </c>
      <c r="W220" s="7" t="s">
        <v>3995</v>
      </c>
      <c r="X220" s="7" t="s">
        <v>3996</v>
      </c>
      <c r="Y220" s="7" t="s">
        <v>4030</v>
      </c>
      <c r="Z220" s="7">
        <f>IFERROR('Manufacturing MES'!$U$9,"")</f>
        <v>0</v>
      </c>
      <c r="AA220" s="7"/>
      <c r="AB220" s="29"/>
      <c r="AC220" s="7"/>
      <c r="AD220" s="48" t="str">
        <f>IF($B220="Yes",IFERROR(SUMIFS(_TECH_Crisis_Model!$D$5:$D$191,_TECH_Crisis_Model!$A$5:$A$191,'Crisis Simulator'!$B$4,_TECH_Crisis_Model!$B$5:$B$191,$C220),1),"")</f>
        <v/>
      </c>
      <c r="AE220" s="48" t="str">
        <f t="shared" si="38"/>
        <v/>
      </c>
      <c r="AF220" s="48" t="str">
        <f>IFERROR(INDEX(_TECH_Crisis_Model!$E$5:$E$191,MATCH('Crisis Simulator'!$B$4&amp;"|"&amp;$C220,_TECH_Crisis_Model!$I$5:$I$191,0)),"")</f>
        <v>Production assets, MES, maintenance and utilities determine manufacturing recoverability.</v>
      </c>
      <c r="AG220" s="48" t="str">
        <f>IFERROR(INDEX(_TECH_Crisis_Model!$G$5:$G$191,MATCH('Crisis Simulator'!$B$4&amp;"|"&amp;$C220,_TECH_Crisis_Model!$I$5:$I$191,0)),"")</f>
        <v>Define production fallback, maintenance priorities, spare parts, MES continuity and utility backup.</v>
      </c>
      <c r="AH220" s="48" t="str">
        <f>IFERROR(INDEX(_TECH_Initiative_Library!$A$5:$A$76,MATCH(1,INDEX((_TECH_Initiative_Library!$B$5:$B$76=$C220)*(_TECH_Initiative_Library!$C$5:$C$76=$D220),0),0)),"")</f>
        <v>INI-036</v>
      </c>
      <c r="AI220" s="48" t="str">
        <f>IFERROR(INDEX(_TECH_Initiative_Library!$F$5:$F$76,MATCH(1,INDEX((_TECH_Initiative_Library!$B$5:$B$76=$C220)*(_TECH_Initiative_Library!$C$5:$C$76=$D220),0),0)),"")</f>
        <v>Assess production footprint and build alternate production options</v>
      </c>
      <c r="AJ220" s="48" t="str">
        <f ca="1">IFERROR(INDEX(_TECH_Initiative_Library!$AC$5:$AC$76,MATCH(1,INDEX((_TECH_Initiative_Library!$B$5:$B$76=$C220)*(_TECH_Initiative_Library!$C$5:$C$76=$D220),0),0)),"")</f>
        <v/>
      </c>
      <c r="AK220" s="48" t="str">
        <f ca="1">IFERROR(INDEX(_TECH_Initiative_Library!$AE$5:$AE$76,MATCH(1,INDEX((_TECH_Initiative_Library!$B$5:$B$76=$C220)*(_TECH_Initiative_Library!$C$5:$C$76=$D220),0),0)),"")</f>
        <v/>
      </c>
      <c r="AL220" s="48" t="str">
        <f>IF($B220="Yes",IFERROR(SUMIFS(_TECH_Industry_Templates!$E:$E,_TECH_Industry_Templates!$A:$A,'Company Profile'!$B$9,_TECH_Industry_Templates!$B:$B,$C220),1),"")</f>
        <v/>
      </c>
      <c r="AM220" s="48" t="str">
        <f t="shared" si="39"/>
        <v/>
      </c>
      <c r="AN220" s="48" t="str">
        <f>IF($AM220="","",RANK.EQ($AM220,$AM$8:$AM$414,0)+COUNTIF($AM$8:$AM220,$AM220)-1)</f>
        <v/>
      </c>
    </row>
    <row r="221" spans="1:40" ht="71.25">
      <c r="A221" s="28" t="str">
        <f>IF($AM221="","",RANK.EQ($AM221,$AM$8:$AM$414,0)+COUNTIF($AM$8:$AM221,$AM221)-1)</f>
        <v/>
      </c>
      <c r="B221" s="7" t="str">
        <f t="shared" si="30"/>
        <v/>
      </c>
      <c r="C221" s="7" t="s">
        <v>81</v>
      </c>
      <c r="D221" s="7" t="s">
        <v>1331</v>
      </c>
      <c r="E221" s="7" t="s">
        <v>4038</v>
      </c>
      <c r="F221" s="7" t="s">
        <v>4039</v>
      </c>
      <c r="G221" s="28" t="str">
        <f>IF(OR(COUNTA('Manufacturing MES'!$H$10)=0,'Manufacturing MES'!$H$10="N/A"),"",VALUE('Manufacturing MES'!$H$10))</f>
        <v/>
      </c>
      <c r="H221" s="7" t="str">
        <f t="shared" si="31"/>
        <v/>
      </c>
      <c r="I221" s="7" t="str">
        <f>IF($G221="","",IFERROR(IF('Manufacturing MES'!$L$10="",IF($G221&lt;=1,"Critical",IF($G221=2,"High",IF($G221=3,"Medium",IF($G221=4,"Low","Optimized")))),'Manufacturing MES'!$L$10),IF($G221&lt;=1,"Critical",IF($G221=2,"High",IF($G221=3,"Medium",IF($G221=4,"Low","Optimized"))))))</f>
        <v/>
      </c>
      <c r="J221" s="7" t="str">
        <f>IF($G221="","",IFERROR(INDEX('Recommendation Matrix'!$E$5:$J$411,MATCH($E221,'Recommendation Matrix'!$A$5:$A$411,0),$G221+1),""))</f>
        <v/>
      </c>
      <c r="K221" s="7" t="str">
        <f>IF($G221="","",IFERROR(VLOOKUP($E221,'Recommendation Matrix'!$A$5:$K$411,11,FALSE),""))</f>
        <v/>
      </c>
      <c r="L221" s="28" t="str">
        <f t="shared" si="32"/>
        <v/>
      </c>
      <c r="M221" s="28" t="str">
        <f>IF($G221="","",IFERROR(INDEX('Recommendation Matrix'!$L$5:$Q$411,MATCH($E221,'Recommendation Matrix'!$A$5:$A$411,0),$G221+1),""))</f>
        <v/>
      </c>
      <c r="N221" s="28" t="str">
        <f t="shared" si="33"/>
        <v/>
      </c>
      <c r="O221" s="28" t="str">
        <f t="shared" si="34"/>
        <v/>
      </c>
      <c r="P221" s="28" t="str">
        <f t="shared" si="35"/>
        <v/>
      </c>
      <c r="Q221" s="28" t="str">
        <f t="shared" si="36"/>
        <v/>
      </c>
      <c r="R221" s="8" t="str">
        <f t="shared" si="37"/>
        <v/>
      </c>
      <c r="S221" s="28">
        <f>IFERROR('Manufacturing MES'!$G$10,"")</f>
        <v>5</v>
      </c>
      <c r="T221" s="28">
        <f>IFERROR('Manufacturing MES'!$W$10,"")</f>
        <v>5</v>
      </c>
      <c r="U221" s="28">
        <f>IFERROR('Manufacturing MES'!$X$10,"")</f>
        <v>5</v>
      </c>
      <c r="V221" s="28">
        <f>IFERROR('Manufacturing MES'!$Y$10,"")</f>
        <v>5</v>
      </c>
      <c r="W221" s="7" t="s">
        <v>3995</v>
      </c>
      <c r="X221" s="7" t="s">
        <v>3996</v>
      </c>
      <c r="Y221" s="7" t="s">
        <v>4040</v>
      </c>
      <c r="Z221" s="7">
        <f>IFERROR('Manufacturing MES'!$U$10,"")</f>
        <v>0</v>
      </c>
      <c r="AA221" s="7"/>
      <c r="AB221" s="29"/>
      <c r="AC221" s="7"/>
      <c r="AD221" s="48" t="str">
        <f>IF($B221="Yes",IFERROR(SUMIFS(_TECH_Crisis_Model!$D$5:$D$191,_TECH_Crisis_Model!$A$5:$A$191,'Crisis Simulator'!$B$4,_TECH_Crisis_Model!$B$5:$B$191,$C221),1),"")</f>
        <v/>
      </c>
      <c r="AE221" s="48" t="str">
        <f t="shared" si="38"/>
        <v/>
      </c>
      <c r="AF221" s="48" t="str">
        <f>IFERROR(INDEX(_TECH_Crisis_Model!$E$5:$E$191,MATCH('Crisis Simulator'!$B$4&amp;"|"&amp;$C221,_TECH_Crisis_Model!$I$5:$I$191,0)),"")</f>
        <v>Production assets, MES, maintenance and utilities determine manufacturing recoverability.</v>
      </c>
      <c r="AG221" s="48" t="str">
        <f>IFERROR(INDEX(_TECH_Crisis_Model!$G$5:$G$191,MATCH('Crisis Simulator'!$B$4&amp;"|"&amp;$C221,_TECH_Crisis_Model!$I$5:$I$191,0)),"")</f>
        <v>Define production fallback, maintenance priorities, spare parts, MES continuity and utility backup.</v>
      </c>
      <c r="AH221" s="48" t="str">
        <f>IFERROR(INDEX(_TECH_Initiative_Library!$A$5:$A$76,MATCH(1,INDEX((_TECH_Initiative_Library!$B$5:$B$76=$C221)*(_TECH_Initiative_Library!$C$5:$C$76=$D221),0),0)),"")</f>
        <v>INI-036</v>
      </c>
      <c r="AI221" s="48" t="str">
        <f>IFERROR(INDEX(_TECH_Initiative_Library!$F$5:$F$76,MATCH(1,INDEX((_TECH_Initiative_Library!$B$5:$B$76=$C221)*(_TECH_Initiative_Library!$C$5:$C$76=$D221),0),0)),"")</f>
        <v>Assess production footprint and build alternate production options</v>
      </c>
      <c r="AJ221" s="48" t="str">
        <f ca="1">IFERROR(INDEX(_TECH_Initiative_Library!$AC$5:$AC$76,MATCH(1,INDEX((_TECH_Initiative_Library!$B$5:$B$76=$C221)*(_TECH_Initiative_Library!$C$5:$C$76=$D221),0),0)),"")</f>
        <v/>
      </c>
      <c r="AK221" s="48" t="str">
        <f ca="1">IFERROR(INDEX(_TECH_Initiative_Library!$AE$5:$AE$76,MATCH(1,INDEX((_TECH_Initiative_Library!$B$5:$B$76=$C221)*(_TECH_Initiative_Library!$C$5:$C$76=$D221),0),0)),"")</f>
        <v/>
      </c>
      <c r="AL221" s="48" t="str">
        <f>IF($B221="Yes",IFERROR(SUMIFS(_TECH_Industry_Templates!$E:$E,_TECH_Industry_Templates!$A:$A,'Company Profile'!$B$9,_TECH_Industry_Templates!$B:$B,$C221),1),"")</f>
        <v/>
      </c>
      <c r="AM221" s="48" t="str">
        <f t="shared" si="39"/>
        <v/>
      </c>
      <c r="AN221" s="48" t="str">
        <f>IF($AM221="","",RANK.EQ($AM221,$AM$8:$AM$414,0)+COUNTIF($AM$8:$AM221,$AM221)-1)</f>
        <v/>
      </c>
    </row>
    <row r="222" spans="1:40" ht="71.25">
      <c r="A222" s="28" t="str">
        <f>IF($AM222="","",RANK.EQ($AM222,$AM$8:$AM$414,0)+COUNTIF($AM$8:$AM222,$AM222)-1)</f>
        <v/>
      </c>
      <c r="B222" s="7" t="str">
        <f t="shared" si="30"/>
        <v/>
      </c>
      <c r="C222" s="7" t="s">
        <v>81</v>
      </c>
      <c r="D222" s="7" t="s">
        <v>1346</v>
      </c>
      <c r="E222" s="7" t="s">
        <v>4048</v>
      </c>
      <c r="F222" s="7" t="s">
        <v>4049</v>
      </c>
      <c r="G222" s="28" t="str">
        <f>IF(OR(COUNTA('Manufacturing MES'!$H$11)=0,'Manufacturing MES'!$H$11="N/A"),"",VALUE('Manufacturing MES'!$H$11))</f>
        <v/>
      </c>
      <c r="H222" s="7" t="str">
        <f t="shared" si="31"/>
        <v/>
      </c>
      <c r="I222" s="7" t="str">
        <f>IF($G222="","",IFERROR(IF('Manufacturing MES'!$L$11="",IF($G222&lt;=1,"Critical",IF($G222=2,"High",IF($G222=3,"Medium",IF($G222=4,"Low","Optimized")))),'Manufacturing MES'!$L$11),IF($G222&lt;=1,"Critical",IF($G222=2,"High",IF($G222=3,"Medium",IF($G222=4,"Low","Optimized"))))))</f>
        <v/>
      </c>
      <c r="J222" s="7" t="str">
        <f>IF($G222="","",IFERROR(INDEX('Recommendation Matrix'!$E$5:$J$411,MATCH($E222,'Recommendation Matrix'!$A$5:$A$411,0),$G222+1),""))</f>
        <v/>
      </c>
      <c r="K222" s="7" t="str">
        <f>IF($G222="","",IFERROR(VLOOKUP($E222,'Recommendation Matrix'!$A$5:$K$411,11,FALSE),""))</f>
        <v/>
      </c>
      <c r="L222" s="28" t="str">
        <f t="shared" si="32"/>
        <v/>
      </c>
      <c r="M222" s="28" t="str">
        <f>IF($G222="","",IFERROR(INDEX('Recommendation Matrix'!$L$5:$Q$411,MATCH($E222,'Recommendation Matrix'!$A$5:$A$411,0),$G222+1),""))</f>
        <v/>
      </c>
      <c r="N222" s="28" t="str">
        <f t="shared" si="33"/>
        <v/>
      </c>
      <c r="O222" s="28" t="str">
        <f t="shared" si="34"/>
        <v/>
      </c>
      <c r="P222" s="28" t="str">
        <f t="shared" si="35"/>
        <v/>
      </c>
      <c r="Q222" s="28" t="str">
        <f t="shared" si="36"/>
        <v/>
      </c>
      <c r="R222" s="8" t="str">
        <f t="shared" si="37"/>
        <v/>
      </c>
      <c r="S222" s="28">
        <f>IFERROR('Manufacturing MES'!$G$11,"")</f>
        <v>5</v>
      </c>
      <c r="T222" s="28">
        <f>IFERROR('Manufacturing MES'!$W$11,"")</f>
        <v>5</v>
      </c>
      <c r="U222" s="28">
        <f>IFERROR('Manufacturing MES'!$X$11,"")</f>
        <v>5</v>
      </c>
      <c r="V222" s="28">
        <f>IFERROR('Manufacturing MES'!$Y$11,"")</f>
        <v>5</v>
      </c>
      <c r="W222" s="7" t="s">
        <v>3995</v>
      </c>
      <c r="X222" s="7" t="s">
        <v>3996</v>
      </c>
      <c r="Y222" s="7" t="s">
        <v>4050</v>
      </c>
      <c r="Z222" s="7">
        <f>IFERROR('Manufacturing MES'!$U$11,"")</f>
        <v>0</v>
      </c>
      <c r="AA222" s="7"/>
      <c r="AB222" s="29"/>
      <c r="AC222" s="7"/>
      <c r="AD222" s="48" t="str">
        <f>IF($B222="Yes",IFERROR(SUMIFS(_TECH_Crisis_Model!$D$5:$D$191,_TECH_Crisis_Model!$A$5:$A$191,'Crisis Simulator'!$B$4,_TECH_Crisis_Model!$B$5:$B$191,$C222),1),"")</f>
        <v/>
      </c>
      <c r="AE222" s="48" t="str">
        <f t="shared" si="38"/>
        <v/>
      </c>
      <c r="AF222" s="48" t="str">
        <f>IFERROR(INDEX(_TECH_Crisis_Model!$E$5:$E$191,MATCH('Crisis Simulator'!$B$4&amp;"|"&amp;$C222,_TECH_Crisis_Model!$I$5:$I$191,0)),"")</f>
        <v>Production assets, MES, maintenance and utilities determine manufacturing recoverability.</v>
      </c>
      <c r="AG222" s="48" t="str">
        <f>IFERROR(INDEX(_TECH_Crisis_Model!$G$5:$G$191,MATCH('Crisis Simulator'!$B$4&amp;"|"&amp;$C222,_TECH_Crisis_Model!$I$5:$I$191,0)),"")</f>
        <v>Define production fallback, maintenance priorities, spare parts, MES continuity and utility backup.</v>
      </c>
      <c r="AH222" s="48" t="str">
        <f>IFERROR(INDEX(_TECH_Initiative_Library!$A$5:$A$76,MATCH(1,INDEX((_TECH_Initiative_Library!$B$5:$B$76=$C222)*(_TECH_Initiative_Library!$C$5:$C$76=$D222),0),0)),"")</f>
        <v>INI-037</v>
      </c>
      <c r="AI222" s="48" t="str">
        <f>IFERROR(INDEX(_TECH_Initiative_Library!$F$5:$F$76,MATCH(1,INDEX((_TECH_Initiative_Library!$B$5:$B$76=$C222)*(_TECH_Initiative_Library!$C$5:$C$76=$D222),0),0)),"")</f>
        <v>Implement MES and shop-floor digital control foundation</v>
      </c>
      <c r="AJ222" s="48" t="str">
        <f ca="1">IFERROR(INDEX(_TECH_Initiative_Library!$AC$5:$AC$76,MATCH(1,INDEX((_TECH_Initiative_Library!$B$5:$B$76=$C222)*(_TECH_Initiative_Library!$C$5:$C$76=$D222),0),0)),"")</f>
        <v/>
      </c>
      <c r="AK222" s="48" t="str">
        <f ca="1">IFERROR(INDEX(_TECH_Initiative_Library!$AE$5:$AE$76,MATCH(1,INDEX((_TECH_Initiative_Library!$B$5:$B$76=$C222)*(_TECH_Initiative_Library!$C$5:$C$76=$D222),0),0)),"")</f>
        <v/>
      </c>
      <c r="AL222" s="48" t="str">
        <f>IF($B222="Yes",IFERROR(SUMIFS(_TECH_Industry_Templates!$E:$E,_TECH_Industry_Templates!$A:$A,'Company Profile'!$B$9,_TECH_Industry_Templates!$B:$B,$C222),1),"")</f>
        <v/>
      </c>
      <c r="AM222" s="48" t="str">
        <f t="shared" si="39"/>
        <v/>
      </c>
      <c r="AN222" s="48" t="str">
        <f>IF($AM222="","",RANK.EQ($AM222,$AM$8:$AM$414,0)+COUNTIF($AM$8:$AM222,$AM222)-1)</f>
        <v/>
      </c>
    </row>
    <row r="223" spans="1:40" ht="57">
      <c r="A223" s="28" t="str">
        <f>IF($AM223="","",RANK.EQ($AM223,$AM$8:$AM$414,0)+COUNTIF($AM$8:$AM223,$AM223)-1)</f>
        <v/>
      </c>
      <c r="B223" s="7" t="str">
        <f t="shared" si="30"/>
        <v/>
      </c>
      <c r="C223" s="7" t="s">
        <v>81</v>
      </c>
      <c r="D223" s="7" t="s">
        <v>1346</v>
      </c>
      <c r="E223" s="7" t="s">
        <v>4058</v>
      </c>
      <c r="F223" s="7" t="s">
        <v>4059</v>
      </c>
      <c r="G223" s="28" t="str">
        <f>IF(OR(COUNTA('Manufacturing MES'!$H$12)=0,'Manufacturing MES'!$H$12="N/A"),"",VALUE('Manufacturing MES'!$H$12))</f>
        <v/>
      </c>
      <c r="H223" s="7" t="str">
        <f t="shared" si="31"/>
        <v/>
      </c>
      <c r="I223" s="7" t="str">
        <f>IF($G223="","",IFERROR(IF('Manufacturing MES'!$L$12="",IF($G223&lt;=1,"Critical",IF($G223=2,"High",IF($G223=3,"Medium",IF($G223=4,"Low","Optimized")))),'Manufacturing MES'!$L$12),IF($G223&lt;=1,"Critical",IF($G223=2,"High",IF($G223=3,"Medium",IF($G223=4,"Low","Optimized"))))))</f>
        <v/>
      </c>
      <c r="J223" s="7" t="str">
        <f>IF($G223="","",IFERROR(INDEX('Recommendation Matrix'!$E$5:$J$411,MATCH($E223,'Recommendation Matrix'!$A$5:$A$411,0),$G223+1),""))</f>
        <v/>
      </c>
      <c r="K223" s="7" t="str">
        <f>IF($G223="","",IFERROR(VLOOKUP($E223,'Recommendation Matrix'!$A$5:$K$411,11,FALSE),""))</f>
        <v/>
      </c>
      <c r="L223" s="28" t="str">
        <f t="shared" si="32"/>
        <v/>
      </c>
      <c r="M223" s="28" t="str">
        <f>IF($G223="","",IFERROR(INDEX('Recommendation Matrix'!$L$5:$Q$411,MATCH($E223,'Recommendation Matrix'!$A$5:$A$411,0),$G223+1),""))</f>
        <v/>
      </c>
      <c r="N223" s="28" t="str">
        <f t="shared" si="33"/>
        <v/>
      </c>
      <c r="O223" s="28" t="str">
        <f t="shared" si="34"/>
        <v/>
      </c>
      <c r="P223" s="28" t="str">
        <f t="shared" si="35"/>
        <v/>
      </c>
      <c r="Q223" s="28" t="str">
        <f t="shared" si="36"/>
        <v/>
      </c>
      <c r="R223" s="8" t="str">
        <f t="shared" si="37"/>
        <v/>
      </c>
      <c r="S223" s="28">
        <f>IFERROR('Manufacturing MES'!$G$12,"")</f>
        <v>5</v>
      </c>
      <c r="T223" s="28">
        <f>IFERROR('Manufacturing MES'!$W$12,"")</f>
        <v>5</v>
      </c>
      <c r="U223" s="28">
        <f>IFERROR('Manufacturing MES'!$X$12,"")</f>
        <v>5</v>
      </c>
      <c r="V223" s="28">
        <f>IFERROR('Manufacturing MES'!$Y$12,"")</f>
        <v>5</v>
      </c>
      <c r="W223" s="7" t="s">
        <v>3995</v>
      </c>
      <c r="X223" s="7" t="s">
        <v>3996</v>
      </c>
      <c r="Y223" s="7" t="s">
        <v>4060</v>
      </c>
      <c r="Z223" s="7">
        <f>IFERROR('Manufacturing MES'!$U$12,"")</f>
        <v>0</v>
      </c>
      <c r="AA223" s="7"/>
      <c r="AB223" s="29"/>
      <c r="AC223" s="7"/>
      <c r="AD223" s="48" t="str">
        <f>IF($B223="Yes",IFERROR(SUMIFS(_TECH_Crisis_Model!$D$5:$D$191,_TECH_Crisis_Model!$A$5:$A$191,'Crisis Simulator'!$B$4,_TECH_Crisis_Model!$B$5:$B$191,$C223),1),"")</f>
        <v/>
      </c>
      <c r="AE223" s="48" t="str">
        <f t="shared" si="38"/>
        <v/>
      </c>
      <c r="AF223" s="48" t="str">
        <f>IFERROR(INDEX(_TECH_Crisis_Model!$E$5:$E$191,MATCH('Crisis Simulator'!$B$4&amp;"|"&amp;$C223,_TECH_Crisis_Model!$I$5:$I$191,0)),"")</f>
        <v>Production assets, MES, maintenance and utilities determine manufacturing recoverability.</v>
      </c>
      <c r="AG223" s="48" t="str">
        <f>IFERROR(INDEX(_TECH_Crisis_Model!$G$5:$G$191,MATCH('Crisis Simulator'!$B$4&amp;"|"&amp;$C223,_TECH_Crisis_Model!$I$5:$I$191,0)),"")</f>
        <v>Define production fallback, maintenance priorities, spare parts, MES continuity and utility backup.</v>
      </c>
      <c r="AH223" s="48" t="str">
        <f>IFERROR(INDEX(_TECH_Initiative_Library!$A$5:$A$76,MATCH(1,INDEX((_TECH_Initiative_Library!$B$5:$B$76=$C223)*(_TECH_Initiative_Library!$C$5:$C$76=$D223),0),0)),"")</f>
        <v>INI-037</v>
      </c>
      <c r="AI223" s="48" t="str">
        <f>IFERROR(INDEX(_TECH_Initiative_Library!$F$5:$F$76,MATCH(1,INDEX((_TECH_Initiative_Library!$B$5:$B$76=$C223)*(_TECH_Initiative_Library!$C$5:$C$76=$D223),0),0)),"")</f>
        <v>Implement MES and shop-floor digital control foundation</v>
      </c>
      <c r="AJ223" s="48" t="str">
        <f ca="1">IFERROR(INDEX(_TECH_Initiative_Library!$AC$5:$AC$76,MATCH(1,INDEX((_TECH_Initiative_Library!$B$5:$B$76=$C223)*(_TECH_Initiative_Library!$C$5:$C$76=$D223),0),0)),"")</f>
        <v/>
      </c>
      <c r="AK223" s="48" t="str">
        <f ca="1">IFERROR(INDEX(_TECH_Initiative_Library!$AE$5:$AE$76,MATCH(1,INDEX((_TECH_Initiative_Library!$B$5:$B$76=$C223)*(_TECH_Initiative_Library!$C$5:$C$76=$D223),0),0)),"")</f>
        <v/>
      </c>
      <c r="AL223" s="48" t="str">
        <f>IF($B223="Yes",IFERROR(SUMIFS(_TECH_Industry_Templates!$E:$E,_TECH_Industry_Templates!$A:$A,'Company Profile'!$B$9,_TECH_Industry_Templates!$B:$B,$C223),1),"")</f>
        <v/>
      </c>
      <c r="AM223" s="48" t="str">
        <f t="shared" si="39"/>
        <v/>
      </c>
      <c r="AN223" s="48" t="str">
        <f>IF($AM223="","",RANK.EQ($AM223,$AM$8:$AM$414,0)+COUNTIF($AM$8:$AM223,$AM223)-1)</f>
        <v/>
      </c>
    </row>
    <row r="224" spans="1:40" ht="71.25">
      <c r="A224" s="28" t="str">
        <f>IF($AM224="","",RANK.EQ($AM224,$AM$8:$AM$414,0)+COUNTIF($AM$8:$AM224,$AM224)-1)</f>
        <v/>
      </c>
      <c r="B224" s="7" t="str">
        <f t="shared" si="30"/>
        <v/>
      </c>
      <c r="C224" s="7" t="s">
        <v>81</v>
      </c>
      <c r="D224" s="7" t="s">
        <v>1346</v>
      </c>
      <c r="E224" s="7" t="s">
        <v>4068</v>
      </c>
      <c r="F224" s="7" t="s">
        <v>4069</v>
      </c>
      <c r="G224" s="28" t="str">
        <f>IF(OR(COUNTA('Manufacturing MES'!$H$13)=0,'Manufacturing MES'!$H$13="N/A"),"",VALUE('Manufacturing MES'!$H$13))</f>
        <v/>
      </c>
      <c r="H224" s="7" t="str">
        <f t="shared" si="31"/>
        <v/>
      </c>
      <c r="I224" s="7" t="str">
        <f>IF($G224="","",IFERROR(IF('Manufacturing MES'!$L$13="",IF($G224&lt;=1,"Critical",IF($G224=2,"High",IF($G224=3,"Medium",IF($G224=4,"Low","Optimized")))),'Manufacturing MES'!$L$13),IF($G224&lt;=1,"Critical",IF($G224=2,"High",IF($G224=3,"Medium",IF($G224=4,"Low","Optimized"))))))</f>
        <v/>
      </c>
      <c r="J224" s="7" t="str">
        <f>IF($G224="","",IFERROR(INDEX('Recommendation Matrix'!$E$5:$J$411,MATCH($E224,'Recommendation Matrix'!$A$5:$A$411,0),$G224+1),""))</f>
        <v/>
      </c>
      <c r="K224" s="7" t="str">
        <f>IF($G224="","",IFERROR(VLOOKUP($E224,'Recommendation Matrix'!$A$5:$K$411,11,FALSE),""))</f>
        <v/>
      </c>
      <c r="L224" s="28" t="str">
        <f t="shared" si="32"/>
        <v/>
      </c>
      <c r="M224" s="28" t="str">
        <f>IF($G224="","",IFERROR(INDEX('Recommendation Matrix'!$L$5:$Q$411,MATCH($E224,'Recommendation Matrix'!$A$5:$A$411,0),$G224+1),""))</f>
        <v/>
      </c>
      <c r="N224" s="28" t="str">
        <f t="shared" si="33"/>
        <v/>
      </c>
      <c r="O224" s="28" t="str">
        <f t="shared" si="34"/>
        <v/>
      </c>
      <c r="P224" s="28" t="str">
        <f t="shared" si="35"/>
        <v/>
      </c>
      <c r="Q224" s="28" t="str">
        <f t="shared" si="36"/>
        <v/>
      </c>
      <c r="R224" s="8" t="str">
        <f t="shared" si="37"/>
        <v/>
      </c>
      <c r="S224" s="28">
        <f>IFERROR('Manufacturing MES'!$G$13,"")</f>
        <v>5</v>
      </c>
      <c r="T224" s="28">
        <f>IFERROR('Manufacturing MES'!$W$13,"")</f>
        <v>5</v>
      </c>
      <c r="U224" s="28">
        <f>IFERROR('Manufacturing MES'!$X$13,"")</f>
        <v>5</v>
      </c>
      <c r="V224" s="28">
        <f>IFERROR('Manufacturing MES'!$Y$13,"")</f>
        <v>5</v>
      </c>
      <c r="W224" s="7" t="s">
        <v>3995</v>
      </c>
      <c r="X224" s="7" t="s">
        <v>3996</v>
      </c>
      <c r="Y224" s="7" t="s">
        <v>4070</v>
      </c>
      <c r="Z224" s="7">
        <f>IFERROR('Manufacturing MES'!$U$13,"")</f>
        <v>0</v>
      </c>
      <c r="AA224" s="7"/>
      <c r="AB224" s="29"/>
      <c r="AC224" s="7"/>
      <c r="AD224" s="48" t="str">
        <f>IF($B224="Yes",IFERROR(SUMIFS(_TECH_Crisis_Model!$D$5:$D$191,_TECH_Crisis_Model!$A$5:$A$191,'Crisis Simulator'!$B$4,_TECH_Crisis_Model!$B$5:$B$191,$C224),1),"")</f>
        <v/>
      </c>
      <c r="AE224" s="48" t="str">
        <f t="shared" si="38"/>
        <v/>
      </c>
      <c r="AF224" s="48" t="str">
        <f>IFERROR(INDEX(_TECH_Crisis_Model!$E$5:$E$191,MATCH('Crisis Simulator'!$B$4&amp;"|"&amp;$C224,_TECH_Crisis_Model!$I$5:$I$191,0)),"")</f>
        <v>Production assets, MES, maintenance and utilities determine manufacturing recoverability.</v>
      </c>
      <c r="AG224" s="48" t="str">
        <f>IFERROR(INDEX(_TECH_Crisis_Model!$G$5:$G$191,MATCH('Crisis Simulator'!$B$4&amp;"|"&amp;$C224,_TECH_Crisis_Model!$I$5:$I$191,0)),"")</f>
        <v>Define production fallback, maintenance priorities, spare parts, MES continuity and utility backup.</v>
      </c>
      <c r="AH224" s="48" t="str">
        <f>IFERROR(INDEX(_TECH_Initiative_Library!$A$5:$A$76,MATCH(1,INDEX((_TECH_Initiative_Library!$B$5:$B$76=$C224)*(_TECH_Initiative_Library!$C$5:$C$76=$D224),0),0)),"")</f>
        <v>INI-037</v>
      </c>
      <c r="AI224" s="48" t="str">
        <f>IFERROR(INDEX(_TECH_Initiative_Library!$F$5:$F$76,MATCH(1,INDEX((_TECH_Initiative_Library!$B$5:$B$76=$C224)*(_TECH_Initiative_Library!$C$5:$C$76=$D224),0),0)),"")</f>
        <v>Implement MES and shop-floor digital control foundation</v>
      </c>
      <c r="AJ224" s="48" t="str">
        <f ca="1">IFERROR(INDEX(_TECH_Initiative_Library!$AC$5:$AC$76,MATCH(1,INDEX((_TECH_Initiative_Library!$B$5:$B$76=$C224)*(_TECH_Initiative_Library!$C$5:$C$76=$D224),0),0)),"")</f>
        <v/>
      </c>
      <c r="AK224" s="48" t="str">
        <f ca="1">IFERROR(INDEX(_TECH_Initiative_Library!$AE$5:$AE$76,MATCH(1,INDEX((_TECH_Initiative_Library!$B$5:$B$76=$C224)*(_TECH_Initiative_Library!$C$5:$C$76=$D224),0),0)),"")</f>
        <v/>
      </c>
      <c r="AL224" s="48" t="str">
        <f>IF($B224="Yes",IFERROR(SUMIFS(_TECH_Industry_Templates!$E:$E,_TECH_Industry_Templates!$A:$A,'Company Profile'!$B$9,_TECH_Industry_Templates!$B:$B,$C224),1),"")</f>
        <v/>
      </c>
      <c r="AM224" s="48" t="str">
        <f t="shared" si="39"/>
        <v/>
      </c>
      <c r="AN224" s="48" t="str">
        <f>IF($AM224="","",RANK.EQ($AM224,$AM$8:$AM$414,0)+COUNTIF($AM$8:$AM224,$AM224)-1)</f>
        <v/>
      </c>
    </row>
    <row r="225" spans="1:40" ht="71.25">
      <c r="A225" s="28" t="str">
        <f>IF($AM225="","",RANK.EQ($AM225,$AM$8:$AM$414,0)+COUNTIF($AM$8:$AM225,$AM225)-1)</f>
        <v/>
      </c>
      <c r="B225" s="7" t="str">
        <f t="shared" si="30"/>
        <v/>
      </c>
      <c r="C225" s="7" t="s">
        <v>81</v>
      </c>
      <c r="D225" s="7" t="s">
        <v>1346</v>
      </c>
      <c r="E225" s="7" t="s">
        <v>4078</v>
      </c>
      <c r="F225" s="7" t="s">
        <v>4079</v>
      </c>
      <c r="G225" s="28" t="str">
        <f>IF(OR(COUNTA('Manufacturing MES'!$H$14)=0,'Manufacturing MES'!$H$14="N/A"),"",VALUE('Manufacturing MES'!$H$14))</f>
        <v/>
      </c>
      <c r="H225" s="7" t="str">
        <f t="shared" si="31"/>
        <v/>
      </c>
      <c r="I225" s="7" t="str">
        <f>IF($G225="","",IFERROR(IF('Manufacturing MES'!$L$14="",IF($G225&lt;=1,"Critical",IF($G225=2,"High",IF($G225=3,"Medium",IF($G225=4,"Low","Optimized")))),'Manufacturing MES'!$L$14),IF($G225&lt;=1,"Critical",IF($G225=2,"High",IF($G225=3,"Medium",IF($G225=4,"Low","Optimized"))))))</f>
        <v/>
      </c>
      <c r="J225" s="7" t="str">
        <f>IF($G225="","",IFERROR(INDEX('Recommendation Matrix'!$E$5:$J$411,MATCH($E225,'Recommendation Matrix'!$A$5:$A$411,0),$G225+1),""))</f>
        <v/>
      </c>
      <c r="K225" s="7" t="str">
        <f>IF($G225="","",IFERROR(VLOOKUP($E225,'Recommendation Matrix'!$A$5:$K$411,11,FALSE),""))</f>
        <v/>
      </c>
      <c r="L225" s="28" t="str">
        <f t="shared" si="32"/>
        <v/>
      </c>
      <c r="M225" s="28" t="str">
        <f>IF($G225="","",IFERROR(INDEX('Recommendation Matrix'!$L$5:$Q$411,MATCH($E225,'Recommendation Matrix'!$A$5:$A$411,0),$G225+1),""))</f>
        <v/>
      </c>
      <c r="N225" s="28" t="str">
        <f t="shared" si="33"/>
        <v/>
      </c>
      <c r="O225" s="28" t="str">
        <f t="shared" si="34"/>
        <v/>
      </c>
      <c r="P225" s="28" t="str">
        <f t="shared" si="35"/>
        <v/>
      </c>
      <c r="Q225" s="28" t="str">
        <f t="shared" si="36"/>
        <v/>
      </c>
      <c r="R225" s="8" t="str">
        <f t="shared" si="37"/>
        <v/>
      </c>
      <c r="S225" s="28">
        <f>IFERROR('Manufacturing MES'!$G$14,"")</f>
        <v>4</v>
      </c>
      <c r="T225" s="28">
        <f>IFERROR('Manufacturing MES'!$W$14,"")</f>
        <v>5</v>
      </c>
      <c r="U225" s="28">
        <f>IFERROR('Manufacturing MES'!$X$14,"")</f>
        <v>5</v>
      </c>
      <c r="V225" s="28">
        <f>IFERROR('Manufacturing MES'!$Y$14,"")</f>
        <v>5</v>
      </c>
      <c r="W225" s="7" t="s">
        <v>3995</v>
      </c>
      <c r="X225" s="7" t="s">
        <v>3996</v>
      </c>
      <c r="Y225" s="7" t="s">
        <v>4080</v>
      </c>
      <c r="Z225" s="7">
        <f>IFERROR('Manufacturing MES'!$U$14,"")</f>
        <v>0</v>
      </c>
      <c r="AA225" s="7"/>
      <c r="AB225" s="29"/>
      <c r="AC225" s="7"/>
      <c r="AD225" s="48" t="str">
        <f>IF($B225="Yes",IFERROR(SUMIFS(_TECH_Crisis_Model!$D$5:$D$191,_TECH_Crisis_Model!$A$5:$A$191,'Crisis Simulator'!$B$4,_TECH_Crisis_Model!$B$5:$B$191,$C225),1),"")</f>
        <v/>
      </c>
      <c r="AE225" s="48" t="str">
        <f t="shared" si="38"/>
        <v/>
      </c>
      <c r="AF225" s="48" t="str">
        <f>IFERROR(INDEX(_TECH_Crisis_Model!$E$5:$E$191,MATCH('Crisis Simulator'!$B$4&amp;"|"&amp;$C225,_TECH_Crisis_Model!$I$5:$I$191,0)),"")</f>
        <v>Production assets, MES, maintenance and utilities determine manufacturing recoverability.</v>
      </c>
      <c r="AG225" s="48" t="str">
        <f>IFERROR(INDEX(_TECH_Crisis_Model!$G$5:$G$191,MATCH('Crisis Simulator'!$B$4&amp;"|"&amp;$C225,_TECH_Crisis_Model!$I$5:$I$191,0)),"")</f>
        <v>Define production fallback, maintenance priorities, spare parts, MES continuity and utility backup.</v>
      </c>
      <c r="AH225" s="48" t="str">
        <f>IFERROR(INDEX(_TECH_Initiative_Library!$A$5:$A$76,MATCH(1,INDEX((_TECH_Initiative_Library!$B$5:$B$76=$C225)*(_TECH_Initiative_Library!$C$5:$C$76=$D225),0),0)),"")</f>
        <v>INI-037</v>
      </c>
      <c r="AI225" s="48" t="str">
        <f>IFERROR(INDEX(_TECH_Initiative_Library!$F$5:$F$76,MATCH(1,INDEX((_TECH_Initiative_Library!$B$5:$B$76=$C225)*(_TECH_Initiative_Library!$C$5:$C$76=$D225),0),0)),"")</f>
        <v>Implement MES and shop-floor digital control foundation</v>
      </c>
      <c r="AJ225" s="48" t="str">
        <f ca="1">IFERROR(INDEX(_TECH_Initiative_Library!$AC$5:$AC$76,MATCH(1,INDEX((_TECH_Initiative_Library!$B$5:$B$76=$C225)*(_TECH_Initiative_Library!$C$5:$C$76=$D225),0),0)),"")</f>
        <v/>
      </c>
      <c r="AK225" s="48" t="str">
        <f ca="1">IFERROR(INDEX(_TECH_Initiative_Library!$AE$5:$AE$76,MATCH(1,INDEX((_TECH_Initiative_Library!$B$5:$B$76=$C225)*(_TECH_Initiative_Library!$C$5:$C$76=$D225),0),0)),"")</f>
        <v/>
      </c>
      <c r="AL225" s="48" t="str">
        <f>IF($B225="Yes",IFERROR(SUMIFS(_TECH_Industry_Templates!$E:$E,_TECH_Industry_Templates!$A:$A,'Company Profile'!$B$9,_TECH_Industry_Templates!$B:$B,$C225),1),"")</f>
        <v/>
      </c>
      <c r="AM225" s="48" t="str">
        <f t="shared" si="39"/>
        <v/>
      </c>
      <c r="AN225" s="48" t="str">
        <f>IF($AM225="","",RANK.EQ($AM225,$AM$8:$AM$414,0)+COUNTIF($AM$8:$AM225,$AM225)-1)</f>
        <v/>
      </c>
    </row>
    <row r="226" spans="1:40" ht="71.25">
      <c r="A226" s="28" t="str">
        <f>IF($AM226="","",RANK.EQ($AM226,$AM$8:$AM$414,0)+COUNTIF($AM$8:$AM226,$AM226)-1)</f>
        <v/>
      </c>
      <c r="B226" s="7" t="str">
        <f t="shared" si="30"/>
        <v/>
      </c>
      <c r="C226" s="7" t="s">
        <v>81</v>
      </c>
      <c r="D226" s="7" t="s">
        <v>1346</v>
      </c>
      <c r="E226" s="7" t="s">
        <v>4088</v>
      </c>
      <c r="F226" s="7" t="s">
        <v>4089</v>
      </c>
      <c r="G226" s="28" t="str">
        <f>IF(OR(COUNTA('Manufacturing MES'!$H$15)=0,'Manufacturing MES'!$H$15="N/A"),"",VALUE('Manufacturing MES'!$H$15))</f>
        <v/>
      </c>
      <c r="H226" s="7" t="str">
        <f t="shared" si="31"/>
        <v/>
      </c>
      <c r="I226" s="7" t="str">
        <f>IF($G226="","",IFERROR(IF('Manufacturing MES'!$L$15="",IF($G226&lt;=1,"Critical",IF($G226=2,"High",IF($G226=3,"Medium",IF($G226=4,"Low","Optimized")))),'Manufacturing MES'!$L$15),IF($G226&lt;=1,"Critical",IF($G226=2,"High",IF($G226=3,"Medium",IF($G226=4,"Low","Optimized"))))))</f>
        <v/>
      </c>
      <c r="J226" s="7" t="str">
        <f>IF($G226="","",IFERROR(INDEX('Recommendation Matrix'!$E$5:$J$411,MATCH($E226,'Recommendation Matrix'!$A$5:$A$411,0),$G226+1),""))</f>
        <v/>
      </c>
      <c r="K226" s="7" t="str">
        <f>IF($G226="","",IFERROR(VLOOKUP($E226,'Recommendation Matrix'!$A$5:$K$411,11,FALSE),""))</f>
        <v/>
      </c>
      <c r="L226" s="28" t="str">
        <f t="shared" si="32"/>
        <v/>
      </c>
      <c r="M226" s="28" t="str">
        <f>IF($G226="","",IFERROR(INDEX('Recommendation Matrix'!$L$5:$Q$411,MATCH($E226,'Recommendation Matrix'!$A$5:$A$411,0),$G226+1),""))</f>
        <v/>
      </c>
      <c r="N226" s="28" t="str">
        <f t="shared" si="33"/>
        <v/>
      </c>
      <c r="O226" s="28" t="str">
        <f t="shared" si="34"/>
        <v/>
      </c>
      <c r="P226" s="28" t="str">
        <f t="shared" si="35"/>
        <v/>
      </c>
      <c r="Q226" s="28" t="str">
        <f t="shared" si="36"/>
        <v/>
      </c>
      <c r="R226" s="8" t="str">
        <f t="shared" si="37"/>
        <v/>
      </c>
      <c r="S226" s="28">
        <f>IFERROR('Manufacturing MES'!$G$15,"")</f>
        <v>3</v>
      </c>
      <c r="T226" s="28">
        <f>IFERROR('Manufacturing MES'!$W$15,"")</f>
        <v>5</v>
      </c>
      <c r="U226" s="28">
        <f>IFERROR('Manufacturing MES'!$X$15,"")</f>
        <v>5</v>
      </c>
      <c r="V226" s="28">
        <f>IFERROR('Manufacturing MES'!$Y$15,"")</f>
        <v>5</v>
      </c>
      <c r="W226" s="7" t="s">
        <v>3995</v>
      </c>
      <c r="X226" s="7" t="s">
        <v>3996</v>
      </c>
      <c r="Y226" s="7" t="s">
        <v>4090</v>
      </c>
      <c r="Z226" s="7">
        <f>IFERROR('Manufacturing MES'!$U$15,"")</f>
        <v>0</v>
      </c>
      <c r="AA226" s="7"/>
      <c r="AB226" s="29"/>
      <c r="AC226" s="7"/>
      <c r="AD226" s="48" t="str">
        <f>IF($B226="Yes",IFERROR(SUMIFS(_TECH_Crisis_Model!$D$5:$D$191,_TECH_Crisis_Model!$A$5:$A$191,'Crisis Simulator'!$B$4,_TECH_Crisis_Model!$B$5:$B$191,$C226),1),"")</f>
        <v/>
      </c>
      <c r="AE226" s="48" t="str">
        <f t="shared" si="38"/>
        <v/>
      </c>
      <c r="AF226" s="48" t="str">
        <f>IFERROR(INDEX(_TECH_Crisis_Model!$E$5:$E$191,MATCH('Crisis Simulator'!$B$4&amp;"|"&amp;$C226,_TECH_Crisis_Model!$I$5:$I$191,0)),"")</f>
        <v>Production assets, MES, maintenance and utilities determine manufacturing recoverability.</v>
      </c>
      <c r="AG226" s="48" t="str">
        <f>IFERROR(INDEX(_TECH_Crisis_Model!$G$5:$G$191,MATCH('Crisis Simulator'!$B$4&amp;"|"&amp;$C226,_TECH_Crisis_Model!$I$5:$I$191,0)),"")</f>
        <v>Define production fallback, maintenance priorities, spare parts, MES continuity and utility backup.</v>
      </c>
      <c r="AH226" s="48" t="str">
        <f>IFERROR(INDEX(_TECH_Initiative_Library!$A$5:$A$76,MATCH(1,INDEX((_TECH_Initiative_Library!$B$5:$B$76=$C226)*(_TECH_Initiative_Library!$C$5:$C$76=$D226),0),0)),"")</f>
        <v>INI-037</v>
      </c>
      <c r="AI226" s="48" t="str">
        <f>IFERROR(INDEX(_TECH_Initiative_Library!$F$5:$F$76,MATCH(1,INDEX((_TECH_Initiative_Library!$B$5:$B$76=$C226)*(_TECH_Initiative_Library!$C$5:$C$76=$D226),0),0)),"")</f>
        <v>Implement MES and shop-floor digital control foundation</v>
      </c>
      <c r="AJ226" s="48" t="str">
        <f ca="1">IFERROR(INDEX(_TECH_Initiative_Library!$AC$5:$AC$76,MATCH(1,INDEX((_TECH_Initiative_Library!$B$5:$B$76=$C226)*(_TECH_Initiative_Library!$C$5:$C$76=$D226),0),0)),"")</f>
        <v/>
      </c>
      <c r="AK226" s="48" t="str">
        <f ca="1">IFERROR(INDEX(_TECH_Initiative_Library!$AE$5:$AE$76,MATCH(1,INDEX((_TECH_Initiative_Library!$B$5:$B$76=$C226)*(_TECH_Initiative_Library!$C$5:$C$76=$D226),0),0)),"")</f>
        <v/>
      </c>
      <c r="AL226" s="48" t="str">
        <f>IF($B226="Yes",IFERROR(SUMIFS(_TECH_Industry_Templates!$E:$E,_TECH_Industry_Templates!$A:$A,'Company Profile'!$B$9,_TECH_Industry_Templates!$B:$B,$C226),1),"")</f>
        <v/>
      </c>
      <c r="AM226" s="48" t="str">
        <f t="shared" si="39"/>
        <v/>
      </c>
      <c r="AN226" s="48" t="str">
        <f>IF($AM226="","",RANK.EQ($AM226,$AM$8:$AM$414,0)+COUNTIF($AM$8:$AM226,$AM226)-1)</f>
        <v/>
      </c>
    </row>
    <row r="227" spans="1:40" ht="71.25">
      <c r="A227" s="28" t="str">
        <f>IF($AM227="","",RANK.EQ($AM227,$AM$8:$AM$414,0)+COUNTIF($AM$8:$AM227,$AM227)-1)</f>
        <v/>
      </c>
      <c r="B227" s="7" t="str">
        <f t="shared" si="30"/>
        <v/>
      </c>
      <c r="C227" s="7" t="s">
        <v>81</v>
      </c>
      <c r="D227" s="7" t="s">
        <v>1346</v>
      </c>
      <c r="E227" s="7" t="s">
        <v>4098</v>
      </c>
      <c r="F227" s="7" t="s">
        <v>4099</v>
      </c>
      <c r="G227" s="28" t="str">
        <f>IF(OR(COUNTA('Manufacturing MES'!$H$16)=0,'Manufacturing MES'!$H$16="N/A"),"",VALUE('Manufacturing MES'!$H$16))</f>
        <v/>
      </c>
      <c r="H227" s="7" t="str">
        <f t="shared" si="31"/>
        <v/>
      </c>
      <c r="I227" s="7" t="str">
        <f>IF($G227="","",IFERROR(IF('Manufacturing MES'!$L$16="",IF($G227&lt;=1,"Critical",IF($G227=2,"High",IF($G227=3,"Medium",IF($G227=4,"Low","Optimized")))),'Manufacturing MES'!$L$16),IF($G227&lt;=1,"Critical",IF($G227=2,"High",IF($G227=3,"Medium",IF($G227=4,"Low","Optimized"))))))</f>
        <v/>
      </c>
      <c r="J227" s="7" t="str">
        <f>IF($G227="","",IFERROR(INDEX('Recommendation Matrix'!$E$5:$J$411,MATCH($E227,'Recommendation Matrix'!$A$5:$A$411,0),$G227+1),""))</f>
        <v/>
      </c>
      <c r="K227" s="7" t="str">
        <f>IF($G227="","",IFERROR(VLOOKUP($E227,'Recommendation Matrix'!$A$5:$K$411,11,FALSE),""))</f>
        <v/>
      </c>
      <c r="L227" s="28" t="str">
        <f t="shared" si="32"/>
        <v/>
      </c>
      <c r="M227" s="28" t="str">
        <f>IF($G227="","",IFERROR(INDEX('Recommendation Matrix'!$L$5:$Q$411,MATCH($E227,'Recommendation Matrix'!$A$5:$A$411,0),$G227+1),""))</f>
        <v/>
      </c>
      <c r="N227" s="28" t="str">
        <f t="shared" si="33"/>
        <v/>
      </c>
      <c r="O227" s="28" t="str">
        <f t="shared" si="34"/>
        <v/>
      </c>
      <c r="P227" s="28" t="str">
        <f t="shared" si="35"/>
        <v/>
      </c>
      <c r="Q227" s="28" t="str">
        <f t="shared" si="36"/>
        <v/>
      </c>
      <c r="R227" s="8" t="str">
        <f t="shared" si="37"/>
        <v/>
      </c>
      <c r="S227" s="28">
        <f>IFERROR('Manufacturing MES'!$G$16,"")</f>
        <v>5</v>
      </c>
      <c r="T227" s="28">
        <f>IFERROR('Manufacturing MES'!$W$16,"")</f>
        <v>5</v>
      </c>
      <c r="U227" s="28">
        <f>IFERROR('Manufacturing MES'!$X$16,"")</f>
        <v>5</v>
      </c>
      <c r="V227" s="28">
        <f>IFERROR('Manufacturing MES'!$Y$16,"")</f>
        <v>5</v>
      </c>
      <c r="W227" s="7" t="s">
        <v>3995</v>
      </c>
      <c r="X227" s="7" t="s">
        <v>3996</v>
      </c>
      <c r="Y227" s="7" t="s">
        <v>4100</v>
      </c>
      <c r="Z227" s="7">
        <f>IFERROR('Manufacturing MES'!$U$16,"")</f>
        <v>0</v>
      </c>
      <c r="AA227" s="7"/>
      <c r="AB227" s="29"/>
      <c r="AC227" s="7"/>
      <c r="AD227" s="48" t="str">
        <f>IF($B227="Yes",IFERROR(SUMIFS(_TECH_Crisis_Model!$D$5:$D$191,_TECH_Crisis_Model!$A$5:$A$191,'Crisis Simulator'!$B$4,_TECH_Crisis_Model!$B$5:$B$191,$C227),1),"")</f>
        <v/>
      </c>
      <c r="AE227" s="48" t="str">
        <f t="shared" si="38"/>
        <v/>
      </c>
      <c r="AF227" s="48" t="str">
        <f>IFERROR(INDEX(_TECH_Crisis_Model!$E$5:$E$191,MATCH('Crisis Simulator'!$B$4&amp;"|"&amp;$C227,_TECH_Crisis_Model!$I$5:$I$191,0)),"")</f>
        <v>Production assets, MES, maintenance and utilities determine manufacturing recoverability.</v>
      </c>
      <c r="AG227" s="48" t="str">
        <f>IFERROR(INDEX(_TECH_Crisis_Model!$G$5:$G$191,MATCH('Crisis Simulator'!$B$4&amp;"|"&amp;$C227,_TECH_Crisis_Model!$I$5:$I$191,0)),"")</f>
        <v>Define production fallback, maintenance priorities, spare parts, MES continuity and utility backup.</v>
      </c>
      <c r="AH227" s="48" t="str">
        <f>IFERROR(INDEX(_TECH_Initiative_Library!$A$5:$A$76,MATCH(1,INDEX((_TECH_Initiative_Library!$B$5:$B$76=$C227)*(_TECH_Initiative_Library!$C$5:$C$76=$D227),0),0)),"")</f>
        <v>INI-037</v>
      </c>
      <c r="AI227" s="48" t="str">
        <f>IFERROR(INDEX(_TECH_Initiative_Library!$F$5:$F$76,MATCH(1,INDEX((_TECH_Initiative_Library!$B$5:$B$76=$C227)*(_TECH_Initiative_Library!$C$5:$C$76=$D227),0),0)),"")</f>
        <v>Implement MES and shop-floor digital control foundation</v>
      </c>
      <c r="AJ227" s="48" t="str">
        <f ca="1">IFERROR(INDEX(_TECH_Initiative_Library!$AC$5:$AC$76,MATCH(1,INDEX((_TECH_Initiative_Library!$B$5:$B$76=$C227)*(_TECH_Initiative_Library!$C$5:$C$76=$D227),0),0)),"")</f>
        <v/>
      </c>
      <c r="AK227" s="48" t="str">
        <f ca="1">IFERROR(INDEX(_TECH_Initiative_Library!$AE$5:$AE$76,MATCH(1,INDEX((_TECH_Initiative_Library!$B$5:$B$76=$C227)*(_TECH_Initiative_Library!$C$5:$C$76=$D227),0),0)),"")</f>
        <v/>
      </c>
      <c r="AL227" s="48" t="str">
        <f>IF($B227="Yes",IFERROR(SUMIFS(_TECH_Industry_Templates!$E:$E,_TECH_Industry_Templates!$A:$A,'Company Profile'!$B$9,_TECH_Industry_Templates!$B:$B,$C227),1),"")</f>
        <v/>
      </c>
      <c r="AM227" s="48" t="str">
        <f t="shared" si="39"/>
        <v/>
      </c>
      <c r="AN227" s="48" t="str">
        <f>IF($AM227="","",RANK.EQ($AM227,$AM$8:$AM$414,0)+COUNTIF($AM$8:$AM227,$AM227)-1)</f>
        <v/>
      </c>
    </row>
    <row r="228" spans="1:40" ht="71.25">
      <c r="A228" s="28" t="str">
        <f>IF($AM228="","",RANK.EQ($AM228,$AM$8:$AM$414,0)+COUNTIF($AM$8:$AM228,$AM228)-1)</f>
        <v/>
      </c>
      <c r="B228" s="7" t="str">
        <f t="shared" si="30"/>
        <v/>
      </c>
      <c r="C228" s="7" t="s">
        <v>81</v>
      </c>
      <c r="D228" s="7" t="s">
        <v>1354</v>
      </c>
      <c r="E228" s="7" t="s">
        <v>4108</v>
      </c>
      <c r="F228" s="7" t="s">
        <v>4109</v>
      </c>
      <c r="G228" s="28" t="str">
        <f>IF(OR(COUNTA('Manufacturing MES'!$H$17)=0,'Manufacturing MES'!$H$17="N/A"),"",VALUE('Manufacturing MES'!$H$17))</f>
        <v/>
      </c>
      <c r="H228" s="7" t="str">
        <f t="shared" si="31"/>
        <v/>
      </c>
      <c r="I228" s="7" t="str">
        <f>IF($G228="","",IFERROR(IF('Manufacturing MES'!$L$17="",IF($G228&lt;=1,"Critical",IF($G228=2,"High",IF($G228=3,"Medium",IF($G228=4,"Low","Optimized")))),'Manufacturing MES'!$L$17),IF($G228&lt;=1,"Critical",IF($G228=2,"High",IF($G228=3,"Medium",IF($G228=4,"Low","Optimized"))))))</f>
        <v/>
      </c>
      <c r="J228" s="7" t="str">
        <f>IF($G228="","",IFERROR(INDEX('Recommendation Matrix'!$E$5:$J$411,MATCH($E228,'Recommendation Matrix'!$A$5:$A$411,0),$G228+1),""))</f>
        <v/>
      </c>
      <c r="K228" s="7" t="str">
        <f>IF($G228="","",IFERROR(VLOOKUP($E228,'Recommendation Matrix'!$A$5:$K$411,11,FALSE),""))</f>
        <v/>
      </c>
      <c r="L228" s="28" t="str">
        <f t="shared" si="32"/>
        <v/>
      </c>
      <c r="M228" s="28" t="str">
        <f>IF($G228="","",IFERROR(INDEX('Recommendation Matrix'!$L$5:$Q$411,MATCH($E228,'Recommendation Matrix'!$A$5:$A$411,0),$G228+1),""))</f>
        <v/>
      </c>
      <c r="N228" s="28" t="str">
        <f t="shared" si="33"/>
        <v/>
      </c>
      <c r="O228" s="28" t="str">
        <f t="shared" si="34"/>
        <v/>
      </c>
      <c r="P228" s="28" t="str">
        <f t="shared" si="35"/>
        <v/>
      </c>
      <c r="Q228" s="28" t="str">
        <f t="shared" si="36"/>
        <v/>
      </c>
      <c r="R228" s="8" t="str">
        <f t="shared" si="37"/>
        <v/>
      </c>
      <c r="S228" s="28">
        <f>IFERROR('Manufacturing MES'!$G$17,"")</f>
        <v>5</v>
      </c>
      <c r="T228" s="28">
        <f>IFERROR('Manufacturing MES'!$W$17,"")</f>
        <v>5</v>
      </c>
      <c r="U228" s="28">
        <f>IFERROR('Manufacturing MES'!$X$17,"")</f>
        <v>5</v>
      </c>
      <c r="V228" s="28">
        <f>IFERROR('Manufacturing MES'!$Y$17,"")</f>
        <v>5</v>
      </c>
      <c r="W228" s="7" t="s">
        <v>3995</v>
      </c>
      <c r="X228" s="7" t="s">
        <v>3996</v>
      </c>
      <c r="Y228" s="7" t="s">
        <v>4110</v>
      </c>
      <c r="Z228" s="7">
        <f>IFERROR('Manufacturing MES'!$U$17,"")</f>
        <v>0</v>
      </c>
      <c r="AA228" s="7"/>
      <c r="AB228" s="29"/>
      <c r="AC228" s="7"/>
      <c r="AD228" s="48" t="str">
        <f>IF($B228="Yes",IFERROR(SUMIFS(_TECH_Crisis_Model!$D$5:$D$191,_TECH_Crisis_Model!$A$5:$A$191,'Crisis Simulator'!$B$4,_TECH_Crisis_Model!$B$5:$B$191,$C228),1),"")</f>
        <v/>
      </c>
      <c r="AE228" s="48" t="str">
        <f t="shared" si="38"/>
        <v/>
      </c>
      <c r="AF228" s="48" t="str">
        <f>IFERROR(INDEX(_TECH_Crisis_Model!$E$5:$E$191,MATCH('Crisis Simulator'!$B$4&amp;"|"&amp;$C228,_TECH_Crisis_Model!$I$5:$I$191,0)),"")</f>
        <v>Production assets, MES, maintenance and utilities determine manufacturing recoverability.</v>
      </c>
      <c r="AG228" s="48" t="str">
        <f>IFERROR(INDEX(_TECH_Crisis_Model!$G$5:$G$191,MATCH('Crisis Simulator'!$B$4&amp;"|"&amp;$C228,_TECH_Crisis_Model!$I$5:$I$191,0)),"")</f>
        <v>Define production fallback, maintenance priorities, spare parts, MES continuity and utility backup.</v>
      </c>
      <c r="AH228" s="48" t="str">
        <f>IFERROR(INDEX(_TECH_Initiative_Library!$A$5:$A$76,MATCH(1,INDEX((_TECH_Initiative_Library!$B$5:$B$76=$C228)*(_TECH_Initiative_Library!$C$5:$C$76=$D228),0),0)),"")</f>
        <v>INI-038</v>
      </c>
      <c r="AI228" s="48" t="str">
        <f>IFERROR(INDEX(_TECH_Initiative_Library!$F$5:$F$76,MATCH(1,INDEX((_TECH_Initiative_Library!$B$5:$B$76=$C228)*(_TECH_Initiative_Library!$C$5:$C$76=$D228),0),0)),"")</f>
        <v>Build maintenance, spare-parts and asset resilience program</v>
      </c>
      <c r="AJ228" s="48" t="str">
        <f ca="1">IFERROR(INDEX(_TECH_Initiative_Library!$AC$5:$AC$76,MATCH(1,INDEX((_TECH_Initiative_Library!$B$5:$B$76=$C228)*(_TECH_Initiative_Library!$C$5:$C$76=$D228),0),0)),"")</f>
        <v/>
      </c>
      <c r="AK228" s="48" t="str">
        <f ca="1">IFERROR(INDEX(_TECH_Initiative_Library!$AE$5:$AE$76,MATCH(1,INDEX((_TECH_Initiative_Library!$B$5:$B$76=$C228)*(_TECH_Initiative_Library!$C$5:$C$76=$D228),0),0)),"")</f>
        <v/>
      </c>
      <c r="AL228" s="48" t="str">
        <f>IF($B228="Yes",IFERROR(SUMIFS(_TECH_Industry_Templates!$E:$E,_TECH_Industry_Templates!$A:$A,'Company Profile'!$B$9,_TECH_Industry_Templates!$B:$B,$C228),1),"")</f>
        <v/>
      </c>
      <c r="AM228" s="48" t="str">
        <f t="shared" si="39"/>
        <v/>
      </c>
      <c r="AN228" s="48" t="str">
        <f>IF($AM228="","",RANK.EQ($AM228,$AM$8:$AM$414,0)+COUNTIF($AM$8:$AM228,$AM228)-1)</f>
        <v/>
      </c>
    </row>
    <row r="229" spans="1:40" ht="71.25">
      <c r="A229" s="28" t="str">
        <f>IF($AM229="","",RANK.EQ($AM229,$AM$8:$AM$414,0)+COUNTIF($AM$8:$AM229,$AM229)-1)</f>
        <v/>
      </c>
      <c r="B229" s="7" t="str">
        <f t="shared" si="30"/>
        <v/>
      </c>
      <c r="C229" s="7" t="s">
        <v>81</v>
      </c>
      <c r="D229" s="7" t="s">
        <v>1354</v>
      </c>
      <c r="E229" s="7" t="s">
        <v>4118</v>
      </c>
      <c r="F229" s="7" t="s">
        <v>4119</v>
      </c>
      <c r="G229" s="28" t="str">
        <f>IF(OR(COUNTA('Manufacturing MES'!$H$18)=0,'Manufacturing MES'!$H$18="N/A"),"",VALUE('Manufacturing MES'!$H$18))</f>
        <v/>
      </c>
      <c r="H229" s="7" t="str">
        <f t="shared" si="31"/>
        <v/>
      </c>
      <c r="I229" s="7" t="str">
        <f>IF($G229="","",IFERROR(IF('Manufacturing MES'!$L$18="",IF($G229&lt;=1,"Critical",IF($G229=2,"High",IF($G229=3,"Medium",IF($G229=4,"Low","Optimized")))),'Manufacturing MES'!$L$18),IF($G229&lt;=1,"Critical",IF($G229=2,"High",IF($G229=3,"Medium",IF($G229=4,"Low","Optimized"))))))</f>
        <v/>
      </c>
      <c r="J229" s="7" t="str">
        <f>IF($G229="","",IFERROR(INDEX('Recommendation Matrix'!$E$5:$J$411,MATCH($E229,'Recommendation Matrix'!$A$5:$A$411,0),$G229+1),""))</f>
        <v/>
      </c>
      <c r="K229" s="7" t="str">
        <f>IF($G229="","",IFERROR(VLOOKUP($E229,'Recommendation Matrix'!$A$5:$K$411,11,FALSE),""))</f>
        <v/>
      </c>
      <c r="L229" s="28" t="str">
        <f t="shared" si="32"/>
        <v/>
      </c>
      <c r="M229" s="28" t="str">
        <f>IF($G229="","",IFERROR(INDEX('Recommendation Matrix'!$L$5:$Q$411,MATCH($E229,'Recommendation Matrix'!$A$5:$A$411,0),$G229+1),""))</f>
        <v/>
      </c>
      <c r="N229" s="28" t="str">
        <f t="shared" si="33"/>
        <v/>
      </c>
      <c r="O229" s="28" t="str">
        <f t="shared" si="34"/>
        <v/>
      </c>
      <c r="P229" s="28" t="str">
        <f t="shared" si="35"/>
        <v/>
      </c>
      <c r="Q229" s="28" t="str">
        <f t="shared" si="36"/>
        <v/>
      </c>
      <c r="R229" s="8" t="str">
        <f t="shared" si="37"/>
        <v/>
      </c>
      <c r="S229" s="28">
        <f>IFERROR('Manufacturing MES'!$G$18,"")</f>
        <v>5</v>
      </c>
      <c r="T229" s="28">
        <f>IFERROR('Manufacturing MES'!$W$18,"")</f>
        <v>5</v>
      </c>
      <c r="U229" s="28">
        <f>IFERROR('Manufacturing MES'!$X$18,"")</f>
        <v>5</v>
      </c>
      <c r="V229" s="28">
        <f>IFERROR('Manufacturing MES'!$Y$18,"")</f>
        <v>5</v>
      </c>
      <c r="W229" s="7" t="s">
        <v>3995</v>
      </c>
      <c r="X229" s="7" t="s">
        <v>3996</v>
      </c>
      <c r="Y229" s="7" t="s">
        <v>4120</v>
      </c>
      <c r="Z229" s="7">
        <f>IFERROR('Manufacturing MES'!$U$18,"")</f>
        <v>0</v>
      </c>
      <c r="AA229" s="7"/>
      <c r="AB229" s="29"/>
      <c r="AC229" s="7"/>
      <c r="AD229" s="48" t="str">
        <f>IF($B229="Yes",IFERROR(SUMIFS(_TECH_Crisis_Model!$D$5:$D$191,_TECH_Crisis_Model!$A$5:$A$191,'Crisis Simulator'!$B$4,_TECH_Crisis_Model!$B$5:$B$191,$C229),1),"")</f>
        <v/>
      </c>
      <c r="AE229" s="48" t="str">
        <f t="shared" si="38"/>
        <v/>
      </c>
      <c r="AF229" s="48" t="str">
        <f>IFERROR(INDEX(_TECH_Crisis_Model!$E$5:$E$191,MATCH('Crisis Simulator'!$B$4&amp;"|"&amp;$C229,_TECH_Crisis_Model!$I$5:$I$191,0)),"")</f>
        <v>Production assets, MES, maintenance and utilities determine manufacturing recoverability.</v>
      </c>
      <c r="AG229" s="48" t="str">
        <f>IFERROR(INDEX(_TECH_Crisis_Model!$G$5:$G$191,MATCH('Crisis Simulator'!$B$4&amp;"|"&amp;$C229,_TECH_Crisis_Model!$I$5:$I$191,0)),"")</f>
        <v>Define production fallback, maintenance priorities, spare parts, MES continuity and utility backup.</v>
      </c>
      <c r="AH229" s="48" t="str">
        <f>IFERROR(INDEX(_TECH_Initiative_Library!$A$5:$A$76,MATCH(1,INDEX((_TECH_Initiative_Library!$B$5:$B$76=$C229)*(_TECH_Initiative_Library!$C$5:$C$76=$D229),0),0)),"")</f>
        <v>INI-038</v>
      </c>
      <c r="AI229" s="48" t="str">
        <f>IFERROR(INDEX(_TECH_Initiative_Library!$F$5:$F$76,MATCH(1,INDEX((_TECH_Initiative_Library!$B$5:$B$76=$C229)*(_TECH_Initiative_Library!$C$5:$C$76=$D229),0),0)),"")</f>
        <v>Build maintenance, spare-parts and asset resilience program</v>
      </c>
      <c r="AJ229" s="48" t="str">
        <f ca="1">IFERROR(INDEX(_TECH_Initiative_Library!$AC$5:$AC$76,MATCH(1,INDEX((_TECH_Initiative_Library!$B$5:$B$76=$C229)*(_TECH_Initiative_Library!$C$5:$C$76=$D229),0),0)),"")</f>
        <v/>
      </c>
      <c r="AK229" s="48" t="str">
        <f ca="1">IFERROR(INDEX(_TECH_Initiative_Library!$AE$5:$AE$76,MATCH(1,INDEX((_TECH_Initiative_Library!$B$5:$B$76=$C229)*(_TECH_Initiative_Library!$C$5:$C$76=$D229),0),0)),"")</f>
        <v/>
      </c>
      <c r="AL229" s="48" t="str">
        <f>IF($B229="Yes",IFERROR(SUMIFS(_TECH_Industry_Templates!$E:$E,_TECH_Industry_Templates!$A:$A,'Company Profile'!$B$9,_TECH_Industry_Templates!$B:$B,$C229),1),"")</f>
        <v/>
      </c>
      <c r="AM229" s="48" t="str">
        <f t="shared" si="39"/>
        <v/>
      </c>
      <c r="AN229" s="48" t="str">
        <f>IF($AM229="","",RANK.EQ($AM229,$AM$8:$AM$414,0)+COUNTIF($AM$8:$AM229,$AM229)-1)</f>
        <v/>
      </c>
    </row>
    <row r="230" spans="1:40" ht="71.25">
      <c r="A230" s="28" t="str">
        <f>IF($AM230="","",RANK.EQ($AM230,$AM$8:$AM$414,0)+COUNTIF($AM$8:$AM230,$AM230)-1)</f>
        <v/>
      </c>
      <c r="B230" s="7" t="str">
        <f t="shared" si="30"/>
        <v/>
      </c>
      <c r="C230" s="7" t="s">
        <v>81</v>
      </c>
      <c r="D230" s="7" t="s">
        <v>1354</v>
      </c>
      <c r="E230" s="7" t="s">
        <v>4128</v>
      </c>
      <c r="F230" s="7" t="s">
        <v>4129</v>
      </c>
      <c r="G230" s="28" t="str">
        <f>IF(OR(COUNTA('Manufacturing MES'!$H$19)=0,'Manufacturing MES'!$H$19="N/A"),"",VALUE('Manufacturing MES'!$H$19))</f>
        <v/>
      </c>
      <c r="H230" s="7" t="str">
        <f t="shared" si="31"/>
        <v/>
      </c>
      <c r="I230" s="7" t="str">
        <f>IF($G230="","",IFERROR(IF('Manufacturing MES'!$L$19="",IF($G230&lt;=1,"Critical",IF($G230=2,"High",IF($G230=3,"Medium",IF($G230=4,"Low","Optimized")))),'Manufacturing MES'!$L$19),IF($G230&lt;=1,"Critical",IF($G230=2,"High",IF($G230=3,"Medium",IF($G230=4,"Low","Optimized"))))))</f>
        <v/>
      </c>
      <c r="J230" s="7" t="str">
        <f>IF($G230="","",IFERROR(INDEX('Recommendation Matrix'!$E$5:$J$411,MATCH($E230,'Recommendation Matrix'!$A$5:$A$411,0),$G230+1),""))</f>
        <v/>
      </c>
      <c r="K230" s="7" t="str">
        <f>IF($G230="","",IFERROR(VLOOKUP($E230,'Recommendation Matrix'!$A$5:$K$411,11,FALSE),""))</f>
        <v/>
      </c>
      <c r="L230" s="28" t="str">
        <f t="shared" si="32"/>
        <v/>
      </c>
      <c r="M230" s="28" t="str">
        <f>IF($G230="","",IFERROR(INDEX('Recommendation Matrix'!$L$5:$Q$411,MATCH($E230,'Recommendation Matrix'!$A$5:$A$411,0),$G230+1),""))</f>
        <v/>
      </c>
      <c r="N230" s="28" t="str">
        <f t="shared" si="33"/>
        <v/>
      </c>
      <c r="O230" s="28" t="str">
        <f t="shared" si="34"/>
        <v/>
      </c>
      <c r="P230" s="28" t="str">
        <f t="shared" si="35"/>
        <v/>
      </c>
      <c r="Q230" s="28" t="str">
        <f t="shared" si="36"/>
        <v/>
      </c>
      <c r="R230" s="8" t="str">
        <f t="shared" si="37"/>
        <v/>
      </c>
      <c r="S230" s="28">
        <f>IFERROR('Manufacturing MES'!$G$19,"")</f>
        <v>5</v>
      </c>
      <c r="T230" s="28">
        <f>IFERROR('Manufacturing MES'!$W$19,"")</f>
        <v>5</v>
      </c>
      <c r="U230" s="28">
        <f>IFERROR('Manufacturing MES'!$X$19,"")</f>
        <v>5</v>
      </c>
      <c r="V230" s="28">
        <f>IFERROR('Manufacturing MES'!$Y$19,"")</f>
        <v>5</v>
      </c>
      <c r="W230" s="7" t="s">
        <v>3995</v>
      </c>
      <c r="X230" s="7" t="s">
        <v>3996</v>
      </c>
      <c r="Y230" s="7" t="s">
        <v>4130</v>
      </c>
      <c r="Z230" s="7">
        <f>IFERROR('Manufacturing MES'!$U$19,"")</f>
        <v>0</v>
      </c>
      <c r="AA230" s="7"/>
      <c r="AB230" s="29"/>
      <c r="AC230" s="7"/>
      <c r="AD230" s="48" t="str">
        <f>IF($B230="Yes",IFERROR(SUMIFS(_TECH_Crisis_Model!$D$5:$D$191,_TECH_Crisis_Model!$A$5:$A$191,'Crisis Simulator'!$B$4,_TECH_Crisis_Model!$B$5:$B$191,$C230),1),"")</f>
        <v/>
      </c>
      <c r="AE230" s="48" t="str">
        <f t="shared" si="38"/>
        <v/>
      </c>
      <c r="AF230" s="48" t="str">
        <f>IFERROR(INDEX(_TECH_Crisis_Model!$E$5:$E$191,MATCH('Crisis Simulator'!$B$4&amp;"|"&amp;$C230,_TECH_Crisis_Model!$I$5:$I$191,0)),"")</f>
        <v>Production assets, MES, maintenance and utilities determine manufacturing recoverability.</v>
      </c>
      <c r="AG230" s="48" t="str">
        <f>IFERROR(INDEX(_TECH_Crisis_Model!$G$5:$G$191,MATCH('Crisis Simulator'!$B$4&amp;"|"&amp;$C230,_TECH_Crisis_Model!$I$5:$I$191,0)),"")</f>
        <v>Define production fallback, maintenance priorities, spare parts, MES continuity and utility backup.</v>
      </c>
      <c r="AH230" s="48" t="str">
        <f>IFERROR(INDEX(_TECH_Initiative_Library!$A$5:$A$76,MATCH(1,INDEX((_TECH_Initiative_Library!$B$5:$B$76=$C230)*(_TECH_Initiative_Library!$C$5:$C$76=$D230),0),0)),"")</f>
        <v>INI-038</v>
      </c>
      <c r="AI230" s="48" t="str">
        <f>IFERROR(INDEX(_TECH_Initiative_Library!$F$5:$F$76,MATCH(1,INDEX((_TECH_Initiative_Library!$B$5:$B$76=$C230)*(_TECH_Initiative_Library!$C$5:$C$76=$D230),0),0)),"")</f>
        <v>Build maintenance, spare-parts and asset resilience program</v>
      </c>
      <c r="AJ230" s="48" t="str">
        <f ca="1">IFERROR(INDEX(_TECH_Initiative_Library!$AC$5:$AC$76,MATCH(1,INDEX((_TECH_Initiative_Library!$B$5:$B$76=$C230)*(_TECH_Initiative_Library!$C$5:$C$76=$D230),0),0)),"")</f>
        <v/>
      </c>
      <c r="AK230" s="48" t="str">
        <f ca="1">IFERROR(INDEX(_TECH_Initiative_Library!$AE$5:$AE$76,MATCH(1,INDEX((_TECH_Initiative_Library!$B$5:$B$76=$C230)*(_TECH_Initiative_Library!$C$5:$C$76=$D230),0),0)),"")</f>
        <v/>
      </c>
      <c r="AL230" s="48" t="str">
        <f>IF($B230="Yes",IFERROR(SUMIFS(_TECH_Industry_Templates!$E:$E,_TECH_Industry_Templates!$A:$A,'Company Profile'!$B$9,_TECH_Industry_Templates!$B:$B,$C230),1),"")</f>
        <v/>
      </c>
      <c r="AM230" s="48" t="str">
        <f t="shared" si="39"/>
        <v/>
      </c>
      <c r="AN230" s="48" t="str">
        <f>IF($AM230="","",RANK.EQ($AM230,$AM$8:$AM$414,0)+COUNTIF($AM$8:$AM230,$AM230)-1)</f>
        <v/>
      </c>
    </row>
    <row r="231" spans="1:40" ht="71.25">
      <c r="A231" s="28" t="str">
        <f>IF($AM231="","",RANK.EQ($AM231,$AM$8:$AM$414,0)+COUNTIF($AM$8:$AM231,$AM231)-1)</f>
        <v/>
      </c>
      <c r="B231" s="7" t="str">
        <f t="shared" si="30"/>
        <v/>
      </c>
      <c r="C231" s="7" t="s">
        <v>81</v>
      </c>
      <c r="D231" s="7" t="s">
        <v>1354</v>
      </c>
      <c r="E231" s="7" t="s">
        <v>4138</v>
      </c>
      <c r="F231" s="7" t="s">
        <v>4139</v>
      </c>
      <c r="G231" s="28" t="str">
        <f>IF(OR(COUNTA('Manufacturing MES'!$H$20)=0,'Manufacturing MES'!$H$20="N/A"),"",VALUE('Manufacturing MES'!$H$20))</f>
        <v/>
      </c>
      <c r="H231" s="7" t="str">
        <f t="shared" si="31"/>
        <v/>
      </c>
      <c r="I231" s="7" t="str">
        <f>IF($G231="","",IFERROR(IF('Manufacturing MES'!$L$20="",IF($G231&lt;=1,"Critical",IF($G231=2,"High",IF($G231=3,"Medium",IF($G231=4,"Low","Optimized")))),'Manufacturing MES'!$L$20),IF($G231&lt;=1,"Critical",IF($G231=2,"High",IF($G231=3,"Medium",IF($G231=4,"Low","Optimized"))))))</f>
        <v/>
      </c>
      <c r="J231" s="7" t="str">
        <f>IF($G231="","",IFERROR(INDEX('Recommendation Matrix'!$E$5:$J$411,MATCH($E231,'Recommendation Matrix'!$A$5:$A$411,0),$G231+1),""))</f>
        <v/>
      </c>
      <c r="K231" s="7" t="str">
        <f>IF($G231="","",IFERROR(VLOOKUP($E231,'Recommendation Matrix'!$A$5:$K$411,11,FALSE),""))</f>
        <v/>
      </c>
      <c r="L231" s="28" t="str">
        <f t="shared" si="32"/>
        <v/>
      </c>
      <c r="M231" s="28" t="str">
        <f>IF($G231="","",IFERROR(INDEX('Recommendation Matrix'!$L$5:$Q$411,MATCH($E231,'Recommendation Matrix'!$A$5:$A$411,0),$G231+1),""))</f>
        <v/>
      </c>
      <c r="N231" s="28" t="str">
        <f t="shared" si="33"/>
        <v/>
      </c>
      <c r="O231" s="28" t="str">
        <f t="shared" si="34"/>
        <v/>
      </c>
      <c r="P231" s="28" t="str">
        <f t="shared" si="35"/>
        <v/>
      </c>
      <c r="Q231" s="28" t="str">
        <f t="shared" si="36"/>
        <v/>
      </c>
      <c r="R231" s="8" t="str">
        <f t="shared" si="37"/>
        <v/>
      </c>
      <c r="S231" s="28">
        <f>IFERROR('Manufacturing MES'!$G$20,"")</f>
        <v>3</v>
      </c>
      <c r="T231" s="28">
        <f>IFERROR('Manufacturing MES'!$W$20,"")</f>
        <v>5</v>
      </c>
      <c r="U231" s="28">
        <f>IFERROR('Manufacturing MES'!$X$20,"")</f>
        <v>5</v>
      </c>
      <c r="V231" s="28">
        <f>IFERROR('Manufacturing MES'!$Y$20,"")</f>
        <v>5</v>
      </c>
      <c r="W231" s="7" t="s">
        <v>3995</v>
      </c>
      <c r="X231" s="7" t="s">
        <v>3996</v>
      </c>
      <c r="Y231" s="7" t="s">
        <v>4140</v>
      </c>
      <c r="Z231" s="7">
        <f>IFERROR('Manufacturing MES'!$U$20,"")</f>
        <v>0</v>
      </c>
      <c r="AA231" s="7"/>
      <c r="AB231" s="29"/>
      <c r="AC231" s="7"/>
      <c r="AD231" s="48" t="str">
        <f>IF($B231="Yes",IFERROR(SUMIFS(_TECH_Crisis_Model!$D$5:$D$191,_TECH_Crisis_Model!$A$5:$A$191,'Crisis Simulator'!$B$4,_TECH_Crisis_Model!$B$5:$B$191,$C231),1),"")</f>
        <v/>
      </c>
      <c r="AE231" s="48" t="str">
        <f t="shared" si="38"/>
        <v/>
      </c>
      <c r="AF231" s="48" t="str">
        <f>IFERROR(INDEX(_TECH_Crisis_Model!$E$5:$E$191,MATCH('Crisis Simulator'!$B$4&amp;"|"&amp;$C231,_TECH_Crisis_Model!$I$5:$I$191,0)),"")</f>
        <v>Production assets, MES, maintenance and utilities determine manufacturing recoverability.</v>
      </c>
      <c r="AG231" s="48" t="str">
        <f>IFERROR(INDEX(_TECH_Crisis_Model!$G$5:$G$191,MATCH('Crisis Simulator'!$B$4&amp;"|"&amp;$C231,_TECH_Crisis_Model!$I$5:$I$191,0)),"")</f>
        <v>Define production fallback, maintenance priorities, spare parts, MES continuity and utility backup.</v>
      </c>
      <c r="AH231" s="48" t="str">
        <f>IFERROR(INDEX(_TECH_Initiative_Library!$A$5:$A$76,MATCH(1,INDEX((_TECH_Initiative_Library!$B$5:$B$76=$C231)*(_TECH_Initiative_Library!$C$5:$C$76=$D231),0),0)),"")</f>
        <v>INI-038</v>
      </c>
      <c r="AI231" s="48" t="str">
        <f>IFERROR(INDEX(_TECH_Initiative_Library!$F$5:$F$76,MATCH(1,INDEX((_TECH_Initiative_Library!$B$5:$B$76=$C231)*(_TECH_Initiative_Library!$C$5:$C$76=$D231),0),0)),"")</f>
        <v>Build maintenance, spare-parts and asset resilience program</v>
      </c>
      <c r="AJ231" s="48" t="str">
        <f ca="1">IFERROR(INDEX(_TECH_Initiative_Library!$AC$5:$AC$76,MATCH(1,INDEX((_TECH_Initiative_Library!$B$5:$B$76=$C231)*(_TECH_Initiative_Library!$C$5:$C$76=$D231),0),0)),"")</f>
        <v/>
      </c>
      <c r="AK231" s="48" t="str">
        <f ca="1">IFERROR(INDEX(_TECH_Initiative_Library!$AE$5:$AE$76,MATCH(1,INDEX((_TECH_Initiative_Library!$B$5:$B$76=$C231)*(_TECH_Initiative_Library!$C$5:$C$76=$D231),0),0)),"")</f>
        <v/>
      </c>
      <c r="AL231" s="48" t="str">
        <f>IF($B231="Yes",IFERROR(SUMIFS(_TECH_Industry_Templates!$E:$E,_TECH_Industry_Templates!$A:$A,'Company Profile'!$B$9,_TECH_Industry_Templates!$B:$B,$C231),1),"")</f>
        <v/>
      </c>
      <c r="AM231" s="48" t="str">
        <f t="shared" si="39"/>
        <v/>
      </c>
      <c r="AN231" s="48" t="str">
        <f>IF($AM231="","",RANK.EQ($AM231,$AM$8:$AM$414,0)+COUNTIF($AM$8:$AM231,$AM231)-1)</f>
        <v/>
      </c>
    </row>
    <row r="232" spans="1:40" ht="57">
      <c r="A232" s="28" t="str">
        <f>IF($AM232="","",RANK.EQ($AM232,$AM$8:$AM$414,0)+COUNTIF($AM$8:$AM232,$AM232)-1)</f>
        <v/>
      </c>
      <c r="B232" s="7" t="str">
        <f t="shared" si="30"/>
        <v/>
      </c>
      <c r="C232" s="7" t="s">
        <v>81</v>
      </c>
      <c r="D232" s="7" t="s">
        <v>1354</v>
      </c>
      <c r="E232" s="7" t="s">
        <v>4148</v>
      </c>
      <c r="F232" s="7" t="s">
        <v>4149</v>
      </c>
      <c r="G232" s="28" t="str">
        <f>IF(OR(COUNTA('Manufacturing MES'!$H$21)=0,'Manufacturing MES'!$H$21="N/A"),"",VALUE('Manufacturing MES'!$H$21))</f>
        <v/>
      </c>
      <c r="H232" s="7" t="str">
        <f t="shared" si="31"/>
        <v/>
      </c>
      <c r="I232" s="7" t="str">
        <f>IF($G232="","",IFERROR(IF('Manufacturing MES'!$L$21="",IF($G232&lt;=1,"Critical",IF($G232=2,"High",IF($G232=3,"Medium",IF($G232=4,"Low","Optimized")))),'Manufacturing MES'!$L$21),IF($G232&lt;=1,"Critical",IF($G232=2,"High",IF($G232=3,"Medium",IF($G232=4,"Low","Optimized"))))))</f>
        <v/>
      </c>
      <c r="J232" s="7" t="str">
        <f>IF($G232="","",IFERROR(INDEX('Recommendation Matrix'!$E$5:$J$411,MATCH($E232,'Recommendation Matrix'!$A$5:$A$411,0),$G232+1),""))</f>
        <v/>
      </c>
      <c r="K232" s="7" t="str">
        <f>IF($G232="","",IFERROR(VLOOKUP($E232,'Recommendation Matrix'!$A$5:$K$411,11,FALSE),""))</f>
        <v/>
      </c>
      <c r="L232" s="28" t="str">
        <f t="shared" si="32"/>
        <v/>
      </c>
      <c r="M232" s="28" t="str">
        <f>IF($G232="","",IFERROR(INDEX('Recommendation Matrix'!$L$5:$Q$411,MATCH($E232,'Recommendation Matrix'!$A$5:$A$411,0),$G232+1),""))</f>
        <v/>
      </c>
      <c r="N232" s="28" t="str">
        <f t="shared" si="33"/>
        <v/>
      </c>
      <c r="O232" s="28" t="str">
        <f t="shared" si="34"/>
        <v/>
      </c>
      <c r="P232" s="28" t="str">
        <f t="shared" si="35"/>
        <v/>
      </c>
      <c r="Q232" s="28" t="str">
        <f t="shared" si="36"/>
        <v/>
      </c>
      <c r="R232" s="8" t="str">
        <f t="shared" si="37"/>
        <v/>
      </c>
      <c r="S232" s="28">
        <f>IFERROR('Manufacturing MES'!$G$21,"")</f>
        <v>5</v>
      </c>
      <c r="T232" s="28">
        <f>IFERROR('Manufacturing MES'!$W$21,"")</f>
        <v>5</v>
      </c>
      <c r="U232" s="28">
        <f>IFERROR('Manufacturing MES'!$X$21,"")</f>
        <v>5</v>
      </c>
      <c r="V232" s="28">
        <f>IFERROR('Manufacturing MES'!$Y$21,"")</f>
        <v>5</v>
      </c>
      <c r="W232" s="7" t="s">
        <v>3995</v>
      </c>
      <c r="X232" s="7" t="s">
        <v>3996</v>
      </c>
      <c r="Y232" s="7" t="s">
        <v>4150</v>
      </c>
      <c r="Z232" s="7">
        <f>IFERROR('Manufacturing MES'!$U$21,"")</f>
        <v>0</v>
      </c>
      <c r="AA232" s="7"/>
      <c r="AB232" s="29"/>
      <c r="AC232" s="7"/>
      <c r="AD232" s="48" t="str">
        <f>IF($B232="Yes",IFERROR(SUMIFS(_TECH_Crisis_Model!$D$5:$D$191,_TECH_Crisis_Model!$A$5:$A$191,'Crisis Simulator'!$B$4,_TECH_Crisis_Model!$B$5:$B$191,$C232),1),"")</f>
        <v/>
      </c>
      <c r="AE232" s="48" t="str">
        <f t="shared" si="38"/>
        <v/>
      </c>
      <c r="AF232" s="48" t="str">
        <f>IFERROR(INDEX(_TECH_Crisis_Model!$E$5:$E$191,MATCH('Crisis Simulator'!$B$4&amp;"|"&amp;$C232,_TECH_Crisis_Model!$I$5:$I$191,0)),"")</f>
        <v>Production assets, MES, maintenance and utilities determine manufacturing recoverability.</v>
      </c>
      <c r="AG232" s="48" t="str">
        <f>IFERROR(INDEX(_TECH_Crisis_Model!$G$5:$G$191,MATCH('Crisis Simulator'!$B$4&amp;"|"&amp;$C232,_TECH_Crisis_Model!$I$5:$I$191,0)),"")</f>
        <v>Define production fallback, maintenance priorities, spare parts, MES continuity and utility backup.</v>
      </c>
      <c r="AH232" s="48" t="str">
        <f>IFERROR(INDEX(_TECH_Initiative_Library!$A$5:$A$76,MATCH(1,INDEX((_TECH_Initiative_Library!$B$5:$B$76=$C232)*(_TECH_Initiative_Library!$C$5:$C$76=$D232),0),0)),"")</f>
        <v>INI-038</v>
      </c>
      <c r="AI232" s="48" t="str">
        <f>IFERROR(INDEX(_TECH_Initiative_Library!$F$5:$F$76,MATCH(1,INDEX((_TECH_Initiative_Library!$B$5:$B$76=$C232)*(_TECH_Initiative_Library!$C$5:$C$76=$D232),0),0)),"")</f>
        <v>Build maintenance, spare-parts and asset resilience program</v>
      </c>
      <c r="AJ232" s="48" t="str">
        <f ca="1">IFERROR(INDEX(_TECH_Initiative_Library!$AC$5:$AC$76,MATCH(1,INDEX((_TECH_Initiative_Library!$B$5:$B$76=$C232)*(_TECH_Initiative_Library!$C$5:$C$76=$D232),0),0)),"")</f>
        <v/>
      </c>
      <c r="AK232" s="48" t="str">
        <f ca="1">IFERROR(INDEX(_TECH_Initiative_Library!$AE$5:$AE$76,MATCH(1,INDEX((_TECH_Initiative_Library!$B$5:$B$76=$C232)*(_TECH_Initiative_Library!$C$5:$C$76=$D232),0),0)),"")</f>
        <v/>
      </c>
      <c r="AL232" s="48" t="str">
        <f>IF($B232="Yes",IFERROR(SUMIFS(_TECH_Industry_Templates!$E:$E,_TECH_Industry_Templates!$A:$A,'Company Profile'!$B$9,_TECH_Industry_Templates!$B:$B,$C232),1),"")</f>
        <v/>
      </c>
      <c r="AM232" s="48" t="str">
        <f t="shared" si="39"/>
        <v/>
      </c>
      <c r="AN232" s="48" t="str">
        <f>IF($AM232="","",RANK.EQ($AM232,$AM$8:$AM$414,0)+COUNTIF($AM$8:$AM232,$AM232)-1)</f>
        <v/>
      </c>
    </row>
    <row r="233" spans="1:40" ht="71.25">
      <c r="A233" s="28" t="str">
        <f>IF($AM233="","",RANK.EQ($AM233,$AM$8:$AM$414,0)+COUNTIF($AM$8:$AM233,$AM233)-1)</f>
        <v/>
      </c>
      <c r="B233" s="7" t="str">
        <f t="shared" si="30"/>
        <v/>
      </c>
      <c r="C233" s="7" t="s">
        <v>81</v>
      </c>
      <c r="D233" s="7" t="s">
        <v>1354</v>
      </c>
      <c r="E233" s="7" t="s">
        <v>4158</v>
      </c>
      <c r="F233" s="7" t="s">
        <v>4159</v>
      </c>
      <c r="G233" s="28" t="str">
        <f>IF(OR(COUNTA('Manufacturing MES'!$H$22)=0,'Manufacturing MES'!$H$22="N/A"),"",VALUE('Manufacturing MES'!$H$22))</f>
        <v/>
      </c>
      <c r="H233" s="7" t="str">
        <f t="shared" si="31"/>
        <v/>
      </c>
      <c r="I233" s="7" t="str">
        <f>IF($G233="","",IFERROR(IF('Manufacturing MES'!$L$22="",IF($G233&lt;=1,"Critical",IF($G233=2,"High",IF($G233=3,"Medium",IF($G233=4,"Low","Optimized")))),'Manufacturing MES'!$L$22),IF($G233&lt;=1,"Critical",IF($G233=2,"High",IF($G233=3,"Medium",IF($G233=4,"Low","Optimized"))))))</f>
        <v/>
      </c>
      <c r="J233" s="7" t="str">
        <f>IF($G233="","",IFERROR(INDEX('Recommendation Matrix'!$E$5:$J$411,MATCH($E233,'Recommendation Matrix'!$A$5:$A$411,0),$G233+1),""))</f>
        <v/>
      </c>
      <c r="K233" s="7" t="str">
        <f>IF($G233="","",IFERROR(VLOOKUP($E233,'Recommendation Matrix'!$A$5:$K$411,11,FALSE),""))</f>
        <v/>
      </c>
      <c r="L233" s="28" t="str">
        <f t="shared" si="32"/>
        <v/>
      </c>
      <c r="M233" s="28" t="str">
        <f>IF($G233="","",IFERROR(INDEX('Recommendation Matrix'!$L$5:$Q$411,MATCH($E233,'Recommendation Matrix'!$A$5:$A$411,0),$G233+1),""))</f>
        <v/>
      </c>
      <c r="N233" s="28" t="str">
        <f t="shared" si="33"/>
        <v/>
      </c>
      <c r="O233" s="28" t="str">
        <f t="shared" si="34"/>
        <v/>
      </c>
      <c r="P233" s="28" t="str">
        <f t="shared" si="35"/>
        <v/>
      </c>
      <c r="Q233" s="28" t="str">
        <f t="shared" si="36"/>
        <v/>
      </c>
      <c r="R233" s="8" t="str">
        <f t="shared" si="37"/>
        <v/>
      </c>
      <c r="S233" s="28">
        <f>IFERROR('Manufacturing MES'!$G$22,"")</f>
        <v>5</v>
      </c>
      <c r="T233" s="28">
        <f>IFERROR('Manufacturing MES'!$W$22,"")</f>
        <v>5</v>
      </c>
      <c r="U233" s="28">
        <f>IFERROR('Manufacturing MES'!$X$22,"")</f>
        <v>5</v>
      </c>
      <c r="V233" s="28">
        <f>IFERROR('Manufacturing MES'!$Y$22,"")</f>
        <v>5</v>
      </c>
      <c r="W233" s="7" t="s">
        <v>3995</v>
      </c>
      <c r="X233" s="7" t="s">
        <v>3996</v>
      </c>
      <c r="Y233" s="7" t="s">
        <v>4160</v>
      </c>
      <c r="Z233" s="7">
        <f>IFERROR('Manufacturing MES'!$U$22,"")</f>
        <v>0</v>
      </c>
      <c r="AA233" s="7"/>
      <c r="AB233" s="29"/>
      <c r="AC233" s="7"/>
      <c r="AD233" s="48" t="str">
        <f>IF($B233="Yes",IFERROR(SUMIFS(_TECH_Crisis_Model!$D$5:$D$191,_TECH_Crisis_Model!$A$5:$A$191,'Crisis Simulator'!$B$4,_TECH_Crisis_Model!$B$5:$B$191,$C233),1),"")</f>
        <v/>
      </c>
      <c r="AE233" s="48" t="str">
        <f t="shared" si="38"/>
        <v/>
      </c>
      <c r="AF233" s="48" t="str">
        <f>IFERROR(INDEX(_TECH_Crisis_Model!$E$5:$E$191,MATCH('Crisis Simulator'!$B$4&amp;"|"&amp;$C233,_TECH_Crisis_Model!$I$5:$I$191,0)),"")</f>
        <v>Production assets, MES, maintenance and utilities determine manufacturing recoverability.</v>
      </c>
      <c r="AG233" s="48" t="str">
        <f>IFERROR(INDEX(_TECH_Crisis_Model!$G$5:$G$191,MATCH('Crisis Simulator'!$B$4&amp;"|"&amp;$C233,_TECH_Crisis_Model!$I$5:$I$191,0)),"")</f>
        <v>Define production fallback, maintenance priorities, spare parts, MES continuity and utility backup.</v>
      </c>
      <c r="AH233" s="48" t="str">
        <f>IFERROR(INDEX(_TECH_Initiative_Library!$A$5:$A$76,MATCH(1,INDEX((_TECH_Initiative_Library!$B$5:$B$76=$C233)*(_TECH_Initiative_Library!$C$5:$C$76=$D233),0),0)),"")</f>
        <v>INI-038</v>
      </c>
      <c r="AI233" s="48" t="str">
        <f>IFERROR(INDEX(_TECH_Initiative_Library!$F$5:$F$76,MATCH(1,INDEX((_TECH_Initiative_Library!$B$5:$B$76=$C233)*(_TECH_Initiative_Library!$C$5:$C$76=$D233),0),0)),"")</f>
        <v>Build maintenance, spare-parts and asset resilience program</v>
      </c>
      <c r="AJ233" s="48" t="str">
        <f ca="1">IFERROR(INDEX(_TECH_Initiative_Library!$AC$5:$AC$76,MATCH(1,INDEX((_TECH_Initiative_Library!$B$5:$B$76=$C233)*(_TECH_Initiative_Library!$C$5:$C$76=$D233),0),0)),"")</f>
        <v/>
      </c>
      <c r="AK233" s="48" t="str">
        <f ca="1">IFERROR(INDEX(_TECH_Initiative_Library!$AE$5:$AE$76,MATCH(1,INDEX((_TECH_Initiative_Library!$B$5:$B$76=$C233)*(_TECH_Initiative_Library!$C$5:$C$76=$D233),0),0)),"")</f>
        <v/>
      </c>
      <c r="AL233" s="48" t="str">
        <f>IF($B233="Yes",IFERROR(SUMIFS(_TECH_Industry_Templates!$E:$E,_TECH_Industry_Templates!$A:$A,'Company Profile'!$B$9,_TECH_Industry_Templates!$B:$B,$C233),1),"")</f>
        <v/>
      </c>
      <c r="AM233" s="48" t="str">
        <f t="shared" si="39"/>
        <v/>
      </c>
      <c r="AN233" s="48" t="str">
        <f>IF($AM233="","",RANK.EQ($AM233,$AM$8:$AM$414,0)+COUNTIF($AM$8:$AM233,$AM233)-1)</f>
        <v/>
      </c>
    </row>
    <row r="234" spans="1:40" ht="85.5">
      <c r="A234" s="28" t="str">
        <f>IF($AM234="","",RANK.EQ($AM234,$AM$8:$AM$414,0)+COUNTIF($AM$8:$AM234,$AM234)-1)</f>
        <v/>
      </c>
      <c r="B234" s="7" t="str">
        <f t="shared" si="30"/>
        <v/>
      </c>
      <c r="C234" s="7" t="s">
        <v>81</v>
      </c>
      <c r="D234" s="7" t="s">
        <v>1362</v>
      </c>
      <c r="E234" s="7" t="s">
        <v>4168</v>
      </c>
      <c r="F234" s="7" t="s">
        <v>4169</v>
      </c>
      <c r="G234" s="28" t="str">
        <f>IF(OR(COUNTA('Manufacturing MES'!$H$23)=0,'Manufacturing MES'!$H$23="N/A"),"",VALUE('Manufacturing MES'!$H$23))</f>
        <v/>
      </c>
      <c r="H234" s="7" t="str">
        <f t="shared" si="31"/>
        <v/>
      </c>
      <c r="I234" s="7" t="str">
        <f>IF($G234="","",IFERROR(IF('Manufacturing MES'!$L$23="",IF($G234&lt;=1,"Critical",IF($G234=2,"High",IF($G234=3,"Medium",IF($G234=4,"Low","Optimized")))),'Manufacturing MES'!$L$23),IF($G234&lt;=1,"Critical",IF($G234=2,"High",IF($G234=3,"Medium",IF($G234=4,"Low","Optimized"))))))</f>
        <v/>
      </c>
      <c r="J234" s="7" t="str">
        <f>IF($G234="","",IFERROR(INDEX('Recommendation Matrix'!$E$5:$J$411,MATCH($E234,'Recommendation Matrix'!$A$5:$A$411,0),$G234+1),""))</f>
        <v/>
      </c>
      <c r="K234" s="7" t="str">
        <f>IF($G234="","",IFERROR(VLOOKUP($E234,'Recommendation Matrix'!$A$5:$K$411,11,FALSE),""))</f>
        <v/>
      </c>
      <c r="L234" s="28" t="str">
        <f t="shared" si="32"/>
        <v/>
      </c>
      <c r="M234" s="28" t="str">
        <f>IF($G234="","",IFERROR(INDEX('Recommendation Matrix'!$L$5:$Q$411,MATCH($E234,'Recommendation Matrix'!$A$5:$A$411,0),$G234+1),""))</f>
        <v/>
      </c>
      <c r="N234" s="28" t="str">
        <f t="shared" si="33"/>
        <v/>
      </c>
      <c r="O234" s="28" t="str">
        <f t="shared" si="34"/>
        <v/>
      </c>
      <c r="P234" s="28" t="str">
        <f t="shared" si="35"/>
        <v/>
      </c>
      <c r="Q234" s="28" t="str">
        <f t="shared" si="36"/>
        <v/>
      </c>
      <c r="R234" s="8" t="str">
        <f t="shared" si="37"/>
        <v/>
      </c>
      <c r="S234" s="28">
        <f>IFERROR('Manufacturing MES'!$G$23,"")</f>
        <v>5</v>
      </c>
      <c r="T234" s="28">
        <f>IFERROR('Manufacturing MES'!$W$23,"")</f>
        <v>5</v>
      </c>
      <c r="U234" s="28">
        <f>IFERROR('Manufacturing MES'!$X$23,"")</f>
        <v>5</v>
      </c>
      <c r="V234" s="28">
        <f>IFERROR('Manufacturing MES'!$Y$23,"")</f>
        <v>5</v>
      </c>
      <c r="W234" s="7" t="s">
        <v>3995</v>
      </c>
      <c r="X234" s="7" t="s">
        <v>3996</v>
      </c>
      <c r="Y234" s="7" t="s">
        <v>4170</v>
      </c>
      <c r="Z234" s="7">
        <f>IFERROR('Manufacturing MES'!$U$23,"")</f>
        <v>0</v>
      </c>
      <c r="AA234" s="7"/>
      <c r="AB234" s="29"/>
      <c r="AC234" s="7"/>
      <c r="AD234" s="48" t="str">
        <f>IF($B234="Yes",IFERROR(SUMIFS(_TECH_Crisis_Model!$D$5:$D$191,_TECH_Crisis_Model!$A$5:$A$191,'Crisis Simulator'!$B$4,_TECH_Crisis_Model!$B$5:$B$191,$C234),1),"")</f>
        <v/>
      </c>
      <c r="AE234" s="48" t="str">
        <f t="shared" si="38"/>
        <v/>
      </c>
      <c r="AF234" s="48" t="str">
        <f>IFERROR(INDEX(_TECH_Crisis_Model!$E$5:$E$191,MATCH('Crisis Simulator'!$B$4&amp;"|"&amp;$C234,_TECH_Crisis_Model!$I$5:$I$191,0)),"")</f>
        <v>Production assets, MES, maintenance and utilities determine manufacturing recoverability.</v>
      </c>
      <c r="AG234" s="48" t="str">
        <f>IFERROR(INDEX(_TECH_Crisis_Model!$G$5:$G$191,MATCH('Crisis Simulator'!$B$4&amp;"|"&amp;$C234,_TECH_Crisis_Model!$I$5:$I$191,0)),"")</f>
        <v>Define production fallback, maintenance priorities, spare parts, MES continuity and utility backup.</v>
      </c>
      <c r="AH234" s="48" t="str">
        <f>IFERROR(INDEX(_TECH_Initiative_Library!$A$5:$A$76,MATCH(1,INDEX((_TECH_Initiative_Library!$B$5:$B$76=$C234)*(_TECH_Initiative_Library!$C$5:$C$76=$D234),0),0)),"")</f>
        <v>INI-039</v>
      </c>
      <c r="AI234" s="48" t="str">
        <f>IFERROR(INDEX(_TECH_Initiative_Library!$F$5:$F$76,MATCH(1,INDEX((_TECH_Initiative_Library!$B$5:$B$76=$C234)*(_TECH_Initiative_Library!$C$5:$C$76=$D234),0),0)),"")</f>
        <v>Strengthen manufacturing quality, safety and release controls</v>
      </c>
      <c r="AJ234" s="48" t="str">
        <f ca="1">IFERROR(INDEX(_TECH_Initiative_Library!$AC$5:$AC$76,MATCH(1,INDEX((_TECH_Initiative_Library!$B$5:$B$76=$C234)*(_TECH_Initiative_Library!$C$5:$C$76=$D234),0),0)),"")</f>
        <v/>
      </c>
      <c r="AK234" s="48" t="str">
        <f ca="1">IFERROR(INDEX(_TECH_Initiative_Library!$AE$5:$AE$76,MATCH(1,INDEX((_TECH_Initiative_Library!$B$5:$B$76=$C234)*(_TECH_Initiative_Library!$C$5:$C$76=$D234),0),0)),"")</f>
        <v/>
      </c>
      <c r="AL234" s="48" t="str">
        <f>IF($B234="Yes",IFERROR(SUMIFS(_TECH_Industry_Templates!$E:$E,_TECH_Industry_Templates!$A:$A,'Company Profile'!$B$9,_TECH_Industry_Templates!$B:$B,$C234),1),"")</f>
        <v/>
      </c>
      <c r="AM234" s="48" t="str">
        <f t="shared" si="39"/>
        <v/>
      </c>
      <c r="AN234" s="48" t="str">
        <f>IF($AM234="","",RANK.EQ($AM234,$AM$8:$AM$414,0)+COUNTIF($AM$8:$AM234,$AM234)-1)</f>
        <v/>
      </c>
    </row>
    <row r="235" spans="1:40" ht="71.25">
      <c r="A235" s="28" t="str">
        <f>IF($AM235="","",RANK.EQ($AM235,$AM$8:$AM$414,0)+COUNTIF($AM$8:$AM235,$AM235)-1)</f>
        <v/>
      </c>
      <c r="B235" s="7" t="str">
        <f t="shared" si="30"/>
        <v/>
      </c>
      <c r="C235" s="7" t="s">
        <v>81</v>
      </c>
      <c r="D235" s="7" t="s">
        <v>1362</v>
      </c>
      <c r="E235" s="7" t="s">
        <v>4178</v>
      </c>
      <c r="F235" s="7" t="s">
        <v>4179</v>
      </c>
      <c r="G235" s="28" t="str">
        <f>IF(OR(COUNTA('Manufacturing MES'!$H$24)=0,'Manufacturing MES'!$H$24="N/A"),"",VALUE('Manufacturing MES'!$H$24))</f>
        <v/>
      </c>
      <c r="H235" s="7" t="str">
        <f t="shared" si="31"/>
        <v/>
      </c>
      <c r="I235" s="7" t="str">
        <f>IF($G235="","",IFERROR(IF('Manufacturing MES'!$L$24="",IF($G235&lt;=1,"Critical",IF($G235=2,"High",IF($G235=3,"Medium",IF($G235=4,"Low","Optimized")))),'Manufacturing MES'!$L$24),IF($G235&lt;=1,"Critical",IF($G235=2,"High",IF($G235=3,"Medium",IF($G235=4,"Low","Optimized"))))))</f>
        <v/>
      </c>
      <c r="J235" s="7" t="str">
        <f>IF($G235="","",IFERROR(INDEX('Recommendation Matrix'!$E$5:$J$411,MATCH($E235,'Recommendation Matrix'!$A$5:$A$411,0),$G235+1),""))</f>
        <v/>
      </c>
      <c r="K235" s="7" t="str">
        <f>IF($G235="","",IFERROR(VLOOKUP($E235,'Recommendation Matrix'!$A$5:$K$411,11,FALSE),""))</f>
        <v/>
      </c>
      <c r="L235" s="28" t="str">
        <f t="shared" si="32"/>
        <v/>
      </c>
      <c r="M235" s="28" t="str">
        <f>IF($G235="","",IFERROR(INDEX('Recommendation Matrix'!$L$5:$Q$411,MATCH($E235,'Recommendation Matrix'!$A$5:$A$411,0),$G235+1),""))</f>
        <v/>
      </c>
      <c r="N235" s="28" t="str">
        <f t="shared" si="33"/>
        <v/>
      </c>
      <c r="O235" s="28" t="str">
        <f t="shared" si="34"/>
        <v/>
      </c>
      <c r="P235" s="28" t="str">
        <f t="shared" si="35"/>
        <v/>
      </c>
      <c r="Q235" s="28" t="str">
        <f t="shared" si="36"/>
        <v/>
      </c>
      <c r="R235" s="8" t="str">
        <f t="shared" si="37"/>
        <v/>
      </c>
      <c r="S235" s="28">
        <f>IFERROR('Manufacturing MES'!$G$24,"")</f>
        <v>3</v>
      </c>
      <c r="T235" s="28">
        <f>IFERROR('Manufacturing MES'!$W$24,"")</f>
        <v>5</v>
      </c>
      <c r="U235" s="28">
        <f>IFERROR('Manufacturing MES'!$X$24,"")</f>
        <v>5</v>
      </c>
      <c r="V235" s="28">
        <f>IFERROR('Manufacturing MES'!$Y$24,"")</f>
        <v>5</v>
      </c>
      <c r="W235" s="7" t="s">
        <v>3995</v>
      </c>
      <c r="X235" s="7" t="s">
        <v>3996</v>
      </c>
      <c r="Y235" s="7" t="s">
        <v>4180</v>
      </c>
      <c r="Z235" s="7">
        <f>IFERROR('Manufacturing MES'!$U$24,"")</f>
        <v>0</v>
      </c>
      <c r="AA235" s="7"/>
      <c r="AB235" s="29"/>
      <c r="AC235" s="7"/>
      <c r="AD235" s="48" t="str">
        <f>IF($B235="Yes",IFERROR(SUMIFS(_TECH_Crisis_Model!$D$5:$D$191,_TECH_Crisis_Model!$A$5:$A$191,'Crisis Simulator'!$B$4,_TECH_Crisis_Model!$B$5:$B$191,$C235),1),"")</f>
        <v/>
      </c>
      <c r="AE235" s="48" t="str">
        <f t="shared" si="38"/>
        <v/>
      </c>
      <c r="AF235" s="48" t="str">
        <f>IFERROR(INDEX(_TECH_Crisis_Model!$E$5:$E$191,MATCH('Crisis Simulator'!$B$4&amp;"|"&amp;$C235,_TECH_Crisis_Model!$I$5:$I$191,0)),"")</f>
        <v>Production assets, MES, maintenance and utilities determine manufacturing recoverability.</v>
      </c>
      <c r="AG235" s="48" t="str">
        <f>IFERROR(INDEX(_TECH_Crisis_Model!$G$5:$G$191,MATCH('Crisis Simulator'!$B$4&amp;"|"&amp;$C235,_TECH_Crisis_Model!$I$5:$I$191,0)),"")</f>
        <v>Define production fallback, maintenance priorities, spare parts, MES continuity and utility backup.</v>
      </c>
      <c r="AH235" s="48" t="str">
        <f>IFERROR(INDEX(_TECH_Initiative_Library!$A$5:$A$76,MATCH(1,INDEX((_TECH_Initiative_Library!$B$5:$B$76=$C235)*(_TECH_Initiative_Library!$C$5:$C$76=$D235),0),0)),"")</f>
        <v>INI-039</v>
      </c>
      <c r="AI235" s="48" t="str">
        <f>IFERROR(INDEX(_TECH_Initiative_Library!$F$5:$F$76,MATCH(1,INDEX((_TECH_Initiative_Library!$B$5:$B$76=$C235)*(_TECH_Initiative_Library!$C$5:$C$76=$D235),0),0)),"")</f>
        <v>Strengthen manufacturing quality, safety and release controls</v>
      </c>
      <c r="AJ235" s="48" t="str">
        <f ca="1">IFERROR(INDEX(_TECH_Initiative_Library!$AC$5:$AC$76,MATCH(1,INDEX((_TECH_Initiative_Library!$B$5:$B$76=$C235)*(_TECH_Initiative_Library!$C$5:$C$76=$D235),0),0)),"")</f>
        <v/>
      </c>
      <c r="AK235" s="48" t="str">
        <f ca="1">IFERROR(INDEX(_TECH_Initiative_Library!$AE$5:$AE$76,MATCH(1,INDEX((_TECH_Initiative_Library!$B$5:$B$76=$C235)*(_TECH_Initiative_Library!$C$5:$C$76=$D235),0),0)),"")</f>
        <v/>
      </c>
      <c r="AL235" s="48" t="str">
        <f>IF($B235="Yes",IFERROR(SUMIFS(_TECH_Industry_Templates!$E:$E,_TECH_Industry_Templates!$A:$A,'Company Profile'!$B$9,_TECH_Industry_Templates!$B:$B,$C235),1),"")</f>
        <v/>
      </c>
      <c r="AM235" s="48" t="str">
        <f t="shared" si="39"/>
        <v/>
      </c>
      <c r="AN235" s="48" t="str">
        <f>IF($AM235="","",RANK.EQ($AM235,$AM$8:$AM$414,0)+COUNTIF($AM$8:$AM235,$AM235)-1)</f>
        <v/>
      </c>
    </row>
    <row r="236" spans="1:40" ht="71.25">
      <c r="A236" s="28" t="str">
        <f>IF($AM236="","",RANK.EQ($AM236,$AM$8:$AM$414,0)+COUNTIF($AM$8:$AM236,$AM236)-1)</f>
        <v/>
      </c>
      <c r="B236" s="7" t="str">
        <f t="shared" si="30"/>
        <v/>
      </c>
      <c r="C236" s="7" t="s">
        <v>81</v>
      </c>
      <c r="D236" s="7" t="s">
        <v>1362</v>
      </c>
      <c r="E236" s="7" t="s">
        <v>4188</v>
      </c>
      <c r="F236" s="7" t="s">
        <v>4189</v>
      </c>
      <c r="G236" s="28" t="str">
        <f>IF(OR(COUNTA('Manufacturing MES'!$H$25)=0,'Manufacturing MES'!$H$25="N/A"),"",VALUE('Manufacturing MES'!$H$25))</f>
        <v/>
      </c>
      <c r="H236" s="7" t="str">
        <f t="shared" si="31"/>
        <v/>
      </c>
      <c r="I236" s="7" t="str">
        <f>IF($G236="","",IFERROR(IF('Manufacturing MES'!$L$25="",IF($G236&lt;=1,"Critical",IF($G236=2,"High",IF($G236=3,"Medium",IF($G236=4,"Low","Optimized")))),'Manufacturing MES'!$L$25),IF($G236&lt;=1,"Critical",IF($G236=2,"High",IF($G236=3,"Medium",IF($G236=4,"Low","Optimized"))))))</f>
        <v/>
      </c>
      <c r="J236" s="7" t="str">
        <f>IF($G236="","",IFERROR(INDEX('Recommendation Matrix'!$E$5:$J$411,MATCH($E236,'Recommendation Matrix'!$A$5:$A$411,0),$G236+1),""))</f>
        <v/>
      </c>
      <c r="K236" s="7" t="str">
        <f>IF($G236="","",IFERROR(VLOOKUP($E236,'Recommendation Matrix'!$A$5:$K$411,11,FALSE),""))</f>
        <v/>
      </c>
      <c r="L236" s="28" t="str">
        <f t="shared" si="32"/>
        <v/>
      </c>
      <c r="M236" s="28" t="str">
        <f>IF($G236="","",IFERROR(INDEX('Recommendation Matrix'!$L$5:$Q$411,MATCH($E236,'Recommendation Matrix'!$A$5:$A$411,0),$G236+1),""))</f>
        <v/>
      </c>
      <c r="N236" s="28" t="str">
        <f t="shared" si="33"/>
        <v/>
      </c>
      <c r="O236" s="28" t="str">
        <f t="shared" si="34"/>
        <v/>
      </c>
      <c r="P236" s="28" t="str">
        <f t="shared" si="35"/>
        <v/>
      </c>
      <c r="Q236" s="28" t="str">
        <f t="shared" si="36"/>
        <v/>
      </c>
      <c r="R236" s="8" t="str">
        <f t="shared" si="37"/>
        <v/>
      </c>
      <c r="S236" s="28">
        <f>IFERROR('Manufacturing MES'!$G$25,"")</f>
        <v>5</v>
      </c>
      <c r="T236" s="28">
        <f>IFERROR('Manufacturing MES'!$W$25,"")</f>
        <v>5</v>
      </c>
      <c r="U236" s="28">
        <f>IFERROR('Manufacturing MES'!$X$25,"")</f>
        <v>5</v>
      </c>
      <c r="V236" s="28">
        <f>IFERROR('Manufacturing MES'!$Y$25,"")</f>
        <v>5</v>
      </c>
      <c r="W236" s="7" t="s">
        <v>3995</v>
      </c>
      <c r="X236" s="7" t="s">
        <v>3996</v>
      </c>
      <c r="Y236" s="7" t="s">
        <v>4190</v>
      </c>
      <c r="Z236" s="7">
        <f>IFERROR('Manufacturing MES'!$U$25,"")</f>
        <v>0</v>
      </c>
      <c r="AA236" s="7"/>
      <c r="AB236" s="29"/>
      <c r="AC236" s="7"/>
      <c r="AD236" s="48" t="str">
        <f>IF($B236="Yes",IFERROR(SUMIFS(_TECH_Crisis_Model!$D$5:$D$191,_TECH_Crisis_Model!$A$5:$A$191,'Crisis Simulator'!$B$4,_TECH_Crisis_Model!$B$5:$B$191,$C236),1),"")</f>
        <v/>
      </c>
      <c r="AE236" s="48" t="str">
        <f t="shared" si="38"/>
        <v/>
      </c>
      <c r="AF236" s="48" t="str">
        <f>IFERROR(INDEX(_TECH_Crisis_Model!$E$5:$E$191,MATCH('Crisis Simulator'!$B$4&amp;"|"&amp;$C236,_TECH_Crisis_Model!$I$5:$I$191,0)),"")</f>
        <v>Production assets, MES, maintenance and utilities determine manufacturing recoverability.</v>
      </c>
      <c r="AG236" s="48" t="str">
        <f>IFERROR(INDEX(_TECH_Crisis_Model!$G$5:$G$191,MATCH('Crisis Simulator'!$B$4&amp;"|"&amp;$C236,_TECH_Crisis_Model!$I$5:$I$191,0)),"")</f>
        <v>Define production fallback, maintenance priorities, spare parts, MES continuity and utility backup.</v>
      </c>
      <c r="AH236" s="48" t="str">
        <f>IFERROR(INDEX(_TECH_Initiative_Library!$A$5:$A$76,MATCH(1,INDEX((_TECH_Initiative_Library!$B$5:$B$76=$C236)*(_TECH_Initiative_Library!$C$5:$C$76=$D236),0),0)),"")</f>
        <v>INI-039</v>
      </c>
      <c r="AI236" s="48" t="str">
        <f>IFERROR(INDEX(_TECH_Initiative_Library!$F$5:$F$76,MATCH(1,INDEX((_TECH_Initiative_Library!$B$5:$B$76=$C236)*(_TECH_Initiative_Library!$C$5:$C$76=$D236),0),0)),"")</f>
        <v>Strengthen manufacturing quality, safety and release controls</v>
      </c>
      <c r="AJ236" s="48" t="str">
        <f ca="1">IFERROR(INDEX(_TECH_Initiative_Library!$AC$5:$AC$76,MATCH(1,INDEX((_TECH_Initiative_Library!$B$5:$B$76=$C236)*(_TECH_Initiative_Library!$C$5:$C$76=$D236),0),0)),"")</f>
        <v/>
      </c>
      <c r="AK236" s="48" t="str">
        <f ca="1">IFERROR(INDEX(_TECH_Initiative_Library!$AE$5:$AE$76,MATCH(1,INDEX((_TECH_Initiative_Library!$B$5:$B$76=$C236)*(_TECH_Initiative_Library!$C$5:$C$76=$D236),0),0)),"")</f>
        <v/>
      </c>
      <c r="AL236" s="48" t="str">
        <f>IF($B236="Yes",IFERROR(SUMIFS(_TECH_Industry_Templates!$E:$E,_TECH_Industry_Templates!$A:$A,'Company Profile'!$B$9,_TECH_Industry_Templates!$B:$B,$C236),1),"")</f>
        <v/>
      </c>
      <c r="AM236" s="48" t="str">
        <f t="shared" si="39"/>
        <v/>
      </c>
      <c r="AN236" s="48" t="str">
        <f>IF($AM236="","",RANK.EQ($AM236,$AM$8:$AM$414,0)+COUNTIF($AM$8:$AM236,$AM236)-1)</f>
        <v/>
      </c>
    </row>
    <row r="237" spans="1:40" ht="71.25">
      <c r="A237" s="28" t="str">
        <f>IF($AM237="","",RANK.EQ($AM237,$AM$8:$AM$414,0)+COUNTIF($AM$8:$AM237,$AM237)-1)</f>
        <v/>
      </c>
      <c r="B237" s="7" t="str">
        <f t="shared" si="30"/>
        <v/>
      </c>
      <c r="C237" s="7" t="s">
        <v>81</v>
      </c>
      <c r="D237" s="7" t="s">
        <v>1362</v>
      </c>
      <c r="E237" s="7" t="s">
        <v>4198</v>
      </c>
      <c r="F237" s="7" t="s">
        <v>4199</v>
      </c>
      <c r="G237" s="28" t="str">
        <f>IF(OR(COUNTA('Manufacturing MES'!$H$26)=0,'Manufacturing MES'!$H$26="N/A"),"",VALUE('Manufacturing MES'!$H$26))</f>
        <v/>
      </c>
      <c r="H237" s="7" t="str">
        <f t="shared" si="31"/>
        <v/>
      </c>
      <c r="I237" s="7" t="str">
        <f>IF($G237="","",IFERROR(IF('Manufacturing MES'!$L$26="",IF($G237&lt;=1,"Critical",IF($G237=2,"High",IF($G237=3,"Medium",IF($G237=4,"Low","Optimized")))),'Manufacturing MES'!$L$26),IF($G237&lt;=1,"Critical",IF($G237=2,"High",IF($G237=3,"Medium",IF($G237=4,"Low","Optimized"))))))</f>
        <v/>
      </c>
      <c r="J237" s="7" t="str">
        <f>IF($G237="","",IFERROR(INDEX('Recommendation Matrix'!$E$5:$J$411,MATCH($E237,'Recommendation Matrix'!$A$5:$A$411,0),$G237+1),""))</f>
        <v/>
      </c>
      <c r="K237" s="7" t="str">
        <f>IF($G237="","",IFERROR(VLOOKUP($E237,'Recommendation Matrix'!$A$5:$K$411,11,FALSE),""))</f>
        <v/>
      </c>
      <c r="L237" s="28" t="str">
        <f t="shared" si="32"/>
        <v/>
      </c>
      <c r="M237" s="28" t="str">
        <f>IF($G237="","",IFERROR(INDEX('Recommendation Matrix'!$L$5:$Q$411,MATCH($E237,'Recommendation Matrix'!$A$5:$A$411,0),$G237+1),""))</f>
        <v/>
      </c>
      <c r="N237" s="28" t="str">
        <f t="shared" si="33"/>
        <v/>
      </c>
      <c r="O237" s="28" t="str">
        <f t="shared" si="34"/>
        <v/>
      </c>
      <c r="P237" s="28" t="str">
        <f t="shared" si="35"/>
        <v/>
      </c>
      <c r="Q237" s="28" t="str">
        <f t="shared" si="36"/>
        <v/>
      </c>
      <c r="R237" s="8" t="str">
        <f t="shared" si="37"/>
        <v/>
      </c>
      <c r="S237" s="28">
        <f>IFERROR('Manufacturing MES'!$G$26,"")</f>
        <v>5</v>
      </c>
      <c r="T237" s="28">
        <f>IFERROR('Manufacturing MES'!$W$26,"")</f>
        <v>5</v>
      </c>
      <c r="U237" s="28">
        <f>IFERROR('Manufacturing MES'!$X$26,"")</f>
        <v>5</v>
      </c>
      <c r="V237" s="28">
        <f>IFERROR('Manufacturing MES'!$Y$26,"")</f>
        <v>5</v>
      </c>
      <c r="W237" s="7" t="s">
        <v>3995</v>
      </c>
      <c r="X237" s="7" t="s">
        <v>3996</v>
      </c>
      <c r="Y237" s="7" t="s">
        <v>4200</v>
      </c>
      <c r="Z237" s="7">
        <f>IFERROR('Manufacturing MES'!$U$26,"")</f>
        <v>0</v>
      </c>
      <c r="AA237" s="7"/>
      <c r="AB237" s="29"/>
      <c r="AC237" s="7"/>
      <c r="AD237" s="48" t="str">
        <f>IF($B237="Yes",IFERROR(SUMIFS(_TECH_Crisis_Model!$D$5:$D$191,_TECH_Crisis_Model!$A$5:$A$191,'Crisis Simulator'!$B$4,_TECH_Crisis_Model!$B$5:$B$191,$C237),1),"")</f>
        <v/>
      </c>
      <c r="AE237" s="48" t="str">
        <f t="shared" si="38"/>
        <v/>
      </c>
      <c r="AF237" s="48" t="str">
        <f>IFERROR(INDEX(_TECH_Crisis_Model!$E$5:$E$191,MATCH('Crisis Simulator'!$B$4&amp;"|"&amp;$C237,_TECH_Crisis_Model!$I$5:$I$191,0)),"")</f>
        <v>Production assets, MES, maintenance and utilities determine manufacturing recoverability.</v>
      </c>
      <c r="AG237" s="48" t="str">
        <f>IFERROR(INDEX(_TECH_Crisis_Model!$G$5:$G$191,MATCH('Crisis Simulator'!$B$4&amp;"|"&amp;$C237,_TECH_Crisis_Model!$I$5:$I$191,0)),"")</f>
        <v>Define production fallback, maintenance priorities, spare parts, MES continuity and utility backup.</v>
      </c>
      <c r="AH237" s="48" t="str">
        <f>IFERROR(INDEX(_TECH_Initiative_Library!$A$5:$A$76,MATCH(1,INDEX((_TECH_Initiative_Library!$B$5:$B$76=$C237)*(_TECH_Initiative_Library!$C$5:$C$76=$D237),0),0)),"")</f>
        <v>INI-039</v>
      </c>
      <c r="AI237" s="48" t="str">
        <f>IFERROR(INDEX(_TECH_Initiative_Library!$F$5:$F$76,MATCH(1,INDEX((_TECH_Initiative_Library!$B$5:$B$76=$C237)*(_TECH_Initiative_Library!$C$5:$C$76=$D237),0),0)),"")</f>
        <v>Strengthen manufacturing quality, safety and release controls</v>
      </c>
      <c r="AJ237" s="48" t="str">
        <f ca="1">IFERROR(INDEX(_TECH_Initiative_Library!$AC$5:$AC$76,MATCH(1,INDEX((_TECH_Initiative_Library!$B$5:$B$76=$C237)*(_TECH_Initiative_Library!$C$5:$C$76=$D237),0),0)),"")</f>
        <v/>
      </c>
      <c r="AK237" s="48" t="str">
        <f ca="1">IFERROR(INDEX(_TECH_Initiative_Library!$AE$5:$AE$76,MATCH(1,INDEX((_TECH_Initiative_Library!$B$5:$B$76=$C237)*(_TECH_Initiative_Library!$C$5:$C$76=$D237),0),0)),"")</f>
        <v/>
      </c>
      <c r="AL237" s="48" t="str">
        <f>IF($B237="Yes",IFERROR(SUMIFS(_TECH_Industry_Templates!$E:$E,_TECH_Industry_Templates!$A:$A,'Company Profile'!$B$9,_TECH_Industry_Templates!$B:$B,$C237),1),"")</f>
        <v/>
      </c>
      <c r="AM237" s="48" t="str">
        <f t="shared" si="39"/>
        <v/>
      </c>
      <c r="AN237" s="48" t="str">
        <f>IF($AM237="","",RANK.EQ($AM237,$AM$8:$AM$414,0)+COUNTIF($AM$8:$AM237,$AM237)-1)</f>
        <v/>
      </c>
    </row>
    <row r="238" spans="1:40" ht="71.25">
      <c r="A238" s="28" t="str">
        <f>IF($AM238="","",RANK.EQ($AM238,$AM$8:$AM$414,0)+COUNTIF($AM$8:$AM238,$AM238)-1)</f>
        <v/>
      </c>
      <c r="B238" s="7" t="str">
        <f t="shared" si="30"/>
        <v/>
      </c>
      <c r="C238" s="7" t="s">
        <v>81</v>
      </c>
      <c r="D238" s="7" t="s">
        <v>1362</v>
      </c>
      <c r="E238" s="7" t="s">
        <v>4208</v>
      </c>
      <c r="F238" s="7" t="s">
        <v>4209</v>
      </c>
      <c r="G238" s="28" t="str">
        <f>IF(OR(COUNTA('Manufacturing MES'!$H$27)=0,'Manufacturing MES'!$H$27="N/A"),"",VALUE('Manufacturing MES'!$H$27))</f>
        <v/>
      </c>
      <c r="H238" s="7" t="str">
        <f t="shared" si="31"/>
        <v/>
      </c>
      <c r="I238" s="7" t="str">
        <f>IF($G238="","",IFERROR(IF('Manufacturing MES'!$L$27="",IF($G238&lt;=1,"Critical",IF($G238=2,"High",IF($G238=3,"Medium",IF($G238=4,"Low","Optimized")))),'Manufacturing MES'!$L$27),IF($G238&lt;=1,"Critical",IF($G238=2,"High",IF($G238=3,"Medium",IF($G238=4,"Low","Optimized"))))))</f>
        <v/>
      </c>
      <c r="J238" s="7" t="str">
        <f>IF($G238="","",IFERROR(INDEX('Recommendation Matrix'!$E$5:$J$411,MATCH($E238,'Recommendation Matrix'!$A$5:$A$411,0),$G238+1),""))</f>
        <v/>
      </c>
      <c r="K238" s="7" t="str">
        <f>IF($G238="","",IFERROR(VLOOKUP($E238,'Recommendation Matrix'!$A$5:$K$411,11,FALSE),""))</f>
        <v/>
      </c>
      <c r="L238" s="28" t="str">
        <f t="shared" si="32"/>
        <v/>
      </c>
      <c r="M238" s="28" t="str">
        <f>IF($G238="","",IFERROR(INDEX('Recommendation Matrix'!$L$5:$Q$411,MATCH($E238,'Recommendation Matrix'!$A$5:$A$411,0),$G238+1),""))</f>
        <v/>
      </c>
      <c r="N238" s="28" t="str">
        <f t="shared" si="33"/>
        <v/>
      </c>
      <c r="O238" s="28" t="str">
        <f t="shared" si="34"/>
        <v/>
      </c>
      <c r="P238" s="28" t="str">
        <f t="shared" si="35"/>
        <v/>
      </c>
      <c r="Q238" s="28" t="str">
        <f t="shared" si="36"/>
        <v/>
      </c>
      <c r="R238" s="8" t="str">
        <f t="shared" si="37"/>
        <v/>
      </c>
      <c r="S238" s="28">
        <f>IFERROR('Manufacturing MES'!$G$27,"")</f>
        <v>5</v>
      </c>
      <c r="T238" s="28">
        <f>IFERROR('Manufacturing MES'!$W$27,"")</f>
        <v>5</v>
      </c>
      <c r="U238" s="28">
        <f>IFERROR('Manufacturing MES'!$X$27,"")</f>
        <v>5</v>
      </c>
      <c r="V238" s="28">
        <f>IFERROR('Manufacturing MES'!$Y$27,"")</f>
        <v>5</v>
      </c>
      <c r="W238" s="7" t="s">
        <v>3995</v>
      </c>
      <c r="X238" s="7" t="s">
        <v>3996</v>
      </c>
      <c r="Y238" s="7" t="s">
        <v>4210</v>
      </c>
      <c r="Z238" s="7">
        <f>IFERROR('Manufacturing MES'!$U$27,"")</f>
        <v>0</v>
      </c>
      <c r="AA238" s="7"/>
      <c r="AB238" s="29"/>
      <c r="AC238" s="7"/>
      <c r="AD238" s="48" t="str">
        <f>IF($B238="Yes",IFERROR(SUMIFS(_TECH_Crisis_Model!$D$5:$D$191,_TECH_Crisis_Model!$A$5:$A$191,'Crisis Simulator'!$B$4,_TECH_Crisis_Model!$B$5:$B$191,$C238),1),"")</f>
        <v/>
      </c>
      <c r="AE238" s="48" t="str">
        <f t="shared" si="38"/>
        <v/>
      </c>
      <c r="AF238" s="48" t="str">
        <f>IFERROR(INDEX(_TECH_Crisis_Model!$E$5:$E$191,MATCH('Crisis Simulator'!$B$4&amp;"|"&amp;$C238,_TECH_Crisis_Model!$I$5:$I$191,0)),"")</f>
        <v>Production assets, MES, maintenance and utilities determine manufacturing recoverability.</v>
      </c>
      <c r="AG238" s="48" t="str">
        <f>IFERROR(INDEX(_TECH_Crisis_Model!$G$5:$G$191,MATCH('Crisis Simulator'!$B$4&amp;"|"&amp;$C238,_TECH_Crisis_Model!$I$5:$I$191,0)),"")</f>
        <v>Define production fallback, maintenance priorities, spare parts, MES continuity and utility backup.</v>
      </c>
      <c r="AH238" s="48" t="str">
        <f>IFERROR(INDEX(_TECH_Initiative_Library!$A$5:$A$76,MATCH(1,INDEX((_TECH_Initiative_Library!$B$5:$B$76=$C238)*(_TECH_Initiative_Library!$C$5:$C$76=$D238),0),0)),"")</f>
        <v>INI-039</v>
      </c>
      <c r="AI238" s="48" t="str">
        <f>IFERROR(INDEX(_TECH_Initiative_Library!$F$5:$F$76,MATCH(1,INDEX((_TECH_Initiative_Library!$B$5:$B$76=$C238)*(_TECH_Initiative_Library!$C$5:$C$76=$D238),0),0)),"")</f>
        <v>Strengthen manufacturing quality, safety and release controls</v>
      </c>
      <c r="AJ238" s="48" t="str">
        <f ca="1">IFERROR(INDEX(_TECH_Initiative_Library!$AC$5:$AC$76,MATCH(1,INDEX((_TECH_Initiative_Library!$B$5:$B$76=$C238)*(_TECH_Initiative_Library!$C$5:$C$76=$D238),0),0)),"")</f>
        <v/>
      </c>
      <c r="AK238" s="48" t="str">
        <f ca="1">IFERROR(INDEX(_TECH_Initiative_Library!$AE$5:$AE$76,MATCH(1,INDEX((_TECH_Initiative_Library!$B$5:$B$76=$C238)*(_TECH_Initiative_Library!$C$5:$C$76=$D238),0),0)),"")</f>
        <v/>
      </c>
      <c r="AL238" s="48" t="str">
        <f>IF($B238="Yes",IFERROR(SUMIFS(_TECH_Industry_Templates!$E:$E,_TECH_Industry_Templates!$A:$A,'Company Profile'!$B$9,_TECH_Industry_Templates!$B:$B,$C238),1),"")</f>
        <v/>
      </c>
      <c r="AM238" s="48" t="str">
        <f t="shared" si="39"/>
        <v/>
      </c>
      <c r="AN238" s="48" t="str">
        <f>IF($AM238="","",RANK.EQ($AM238,$AM$8:$AM$414,0)+COUNTIF($AM$8:$AM238,$AM238)-1)</f>
        <v/>
      </c>
    </row>
    <row r="239" spans="1:40" ht="57">
      <c r="A239" s="28" t="str">
        <f>IF($AM239="","",RANK.EQ($AM239,$AM$8:$AM$414,0)+COUNTIF($AM$8:$AM239,$AM239)-1)</f>
        <v/>
      </c>
      <c r="B239" s="7" t="str">
        <f t="shared" si="30"/>
        <v/>
      </c>
      <c r="C239" s="7" t="s">
        <v>81</v>
      </c>
      <c r="D239" s="7" t="s">
        <v>1362</v>
      </c>
      <c r="E239" s="7" t="s">
        <v>4218</v>
      </c>
      <c r="F239" s="7" t="s">
        <v>4219</v>
      </c>
      <c r="G239" s="28" t="str">
        <f>IF(OR(COUNTA('Manufacturing MES'!$H$28)=0,'Manufacturing MES'!$H$28="N/A"),"",VALUE('Manufacturing MES'!$H$28))</f>
        <v/>
      </c>
      <c r="H239" s="7" t="str">
        <f t="shared" si="31"/>
        <v/>
      </c>
      <c r="I239" s="7" t="str">
        <f>IF($G239="","",IFERROR(IF('Manufacturing MES'!$L$28="",IF($G239&lt;=1,"Critical",IF($G239=2,"High",IF($G239=3,"Medium",IF($G239=4,"Low","Optimized")))),'Manufacturing MES'!$L$28),IF($G239&lt;=1,"Critical",IF($G239=2,"High",IF($G239=3,"Medium",IF($G239=4,"Low","Optimized"))))))</f>
        <v/>
      </c>
      <c r="J239" s="7" t="str">
        <f>IF($G239="","",IFERROR(INDEX('Recommendation Matrix'!$E$5:$J$411,MATCH($E239,'Recommendation Matrix'!$A$5:$A$411,0),$G239+1),""))</f>
        <v/>
      </c>
      <c r="K239" s="7" t="str">
        <f>IF($G239="","",IFERROR(VLOOKUP($E239,'Recommendation Matrix'!$A$5:$K$411,11,FALSE),""))</f>
        <v/>
      </c>
      <c r="L239" s="28" t="str">
        <f t="shared" si="32"/>
        <v/>
      </c>
      <c r="M239" s="28" t="str">
        <f>IF($G239="","",IFERROR(INDEX('Recommendation Matrix'!$L$5:$Q$411,MATCH($E239,'Recommendation Matrix'!$A$5:$A$411,0),$G239+1),""))</f>
        <v/>
      </c>
      <c r="N239" s="28" t="str">
        <f t="shared" si="33"/>
        <v/>
      </c>
      <c r="O239" s="28" t="str">
        <f t="shared" si="34"/>
        <v/>
      </c>
      <c r="P239" s="28" t="str">
        <f t="shared" si="35"/>
        <v/>
      </c>
      <c r="Q239" s="28" t="str">
        <f t="shared" si="36"/>
        <v/>
      </c>
      <c r="R239" s="8" t="str">
        <f t="shared" si="37"/>
        <v/>
      </c>
      <c r="S239" s="28">
        <f>IFERROR('Manufacturing MES'!$G$28,"")</f>
        <v>3</v>
      </c>
      <c r="T239" s="28">
        <f>IFERROR('Manufacturing MES'!$W$28,"")</f>
        <v>5</v>
      </c>
      <c r="U239" s="28">
        <f>IFERROR('Manufacturing MES'!$X$28,"")</f>
        <v>5</v>
      </c>
      <c r="V239" s="28">
        <f>IFERROR('Manufacturing MES'!$Y$28,"")</f>
        <v>5</v>
      </c>
      <c r="W239" s="7" t="s">
        <v>3995</v>
      </c>
      <c r="X239" s="7" t="s">
        <v>3996</v>
      </c>
      <c r="Y239" s="7" t="s">
        <v>4220</v>
      </c>
      <c r="Z239" s="7">
        <f>IFERROR('Manufacturing MES'!$U$28,"")</f>
        <v>0</v>
      </c>
      <c r="AA239" s="7"/>
      <c r="AB239" s="29"/>
      <c r="AC239" s="7"/>
      <c r="AD239" s="48" t="str">
        <f>IF($B239="Yes",IFERROR(SUMIFS(_TECH_Crisis_Model!$D$5:$D$191,_TECH_Crisis_Model!$A$5:$A$191,'Crisis Simulator'!$B$4,_TECH_Crisis_Model!$B$5:$B$191,$C239),1),"")</f>
        <v/>
      </c>
      <c r="AE239" s="48" t="str">
        <f t="shared" si="38"/>
        <v/>
      </c>
      <c r="AF239" s="48" t="str">
        <f>IFERROR(INDEX(_TECH_Crisis_Model!$E$5:$E$191,MATCH('Crisis Simulator'!$B$4&amp;"|"&amp;$C239,_TECH_Crisis_Model!$I$5:$I$191,0)),"")</f>
        <v>Production assets, MES, maintenance and utilities determine manufacturing recoverability.</v>
      </c>
      <c r="AG239" s="48" t="str">
        <f>IFERROR(INDEX(_TECH_Crisis_Model!$G$5:$G$191,MATCH('Crisis Simulator'!$B$4&amp;"|"&amp;$C239,_TECH_Crisis_Model!$I$5:$I$191,0)),"")</f>
        <v>Define production fallback, maintenance priorities, spare parts, MES continuity and utility backup.</v>
      </c>
      <c r="AH239" s="48" t="str">
        <f>IFERROR(INDEX(_TECH_Initiative_Library!$A$5:$A$76,MATCH(1,INDEX((_TECH_Initiative_Library!$B$5:$B$76=$C239)*(_TECH_Initiative_Library!$C$5:$C$76=$D239),0),0)),"")</f>
        <v>INI-039</v>
      </c>
      <c r="AI239" s="48" t="str">
        <f>IFERROR(INDEX(_TECH_Initiative_Library!$F$5:$F$76,MATCH(1,INDEX((_TECH_Initiative_Library!$B$5:$B$76=$C239)*(_TECH_Initiative_Library!$C$5:$C$76=$D239),0),0)),"")</f>
        <v>Strengthen manufacturing quality, safety and release controls</v>
      </c>
      <c r="AJ239" s="48" t="str">
        <f ca="1">IFERROR(INDEX(_TECH_Initiative_Library!$AC$5:$AC$76,MATCH(1,INDEX((_TECH_Initiative_Library!$B$5:$B$76=$C239)*(_TECH_Initiative_Library!$C$5:$C$76=$D239),0),0)),"")</f>
        <v/>
      </c>
      <c r="AK239" s="48" t="str">
        <f ca="1">IFERROR(INDEX(_TECH_Initiative_Library!$AE$5:$AE$76,MATCH(1,INDEX((_TECH_Initiative_Library!$B$5:$B$76=$C239)*(_TECH_Initiative_Library!$C$5:$C$76=$D239),0),0)),"")</f>
        <v/>
      </c>
      <c r="AL239" s="48" t="str">
        <f>IF($B239="Yes",IFERROR(SUMIFS(_TECH_Industry_Templates!$E:$E,_TECH_Industry_Templates!$A:$A,'Company Profile'!$B$9,_TECH_Industry_Templates!$B:$B,$C239),1),"")</f>
        <v/>
      </c>
      <c r="AM239" s="48" t="str">
        <f t="shared" si="39"/>
        <v/>
      </c>
      <c r="AN239" s="48" t="str">
        <f>IF($AM239="","",RANK.EQ($AM239,$AM$8:$AM$414,0)+COUNTIF($AM$8:$AM239,$AM239)-1)</f>
        <v/>
      </c>
    </row>
    <row r="240" spans="1:40" ht="71.25">
      <c r="A240" s="28" t="str">
        <f>IF($AM240="","",RANK.EQ($AM240,$AM$8:$AM$414,0)+COUNTIF($AM$8:$AM240,$AM240)-1)</f>
        <v/>
      </c>
      <c r="B240" s="7" t="str">
        <f t="shared" si="30"/>
        <v/>
      </c>
      <c r="C240" s="7" t="s">
        <v>81</v>
      </c>
      <c r="D240" s="7" t="s">
        <v>1370</v>
      </c>
      <c r="E240" s="7" t="s">
        <v>4228</v>
      </c>
      <c r="F240" s="7" t="s">
        <v>4229</v>
      </c>
      <c r="G240" s="28" t="str">
        <f>IF(OR(COUNTA('Manufacturing MES'!$H$29)=0,'Manufacturing MES'!$H$29="N/A"),"",VALUE('Manufacturing MES'!$H$29))</f>
        <v/>
      </c>
      <c r="H240" s="7" t="str">
        <f t="shared" si="31"/>
        <v/>
      </c>
      <c r="I240" s="7" t="str">
        <f>IF($G240="","",IFERROR(IF('Manufacturing MES'!$L$29="",IF($G240&lt;=1,"Critical",IF($G240=2,"High",IF($G240=3,"Medium",IF($G240=4,"Low","Optimized")))),'Manufacturing MES'!$L$29),IF($G240&lt;=1,"Critical",IF($G240=2,"High",IF($G240=3,"Medium",IF($G240=4,"Low","Optimized"))))))</f>
        <v/>
      </c>
      <c r="J240" s="7" t="str">
        <f>IF($G240="","",IFERROR(INDEX('Recommendation Matrix'!$E$5:$J$411,MATCH($E240,'Recommendation Matrix'!$A$5:$A$411,0),$G240+1),""))</f>
        <v/>
      </c>
      <c r="K240" s="7" t="str">
        <f>IF($G240="","",IFERROR(VLOOKUP($E240,'Recommendation Matrix'!$A$5:$K$411,11,FALSE),""))</f>
        <v/>
      </c>
      <c r="L240" s="28" t="str">
        <f t="shared" si="32"/>
        <v/>
      </c>
      <c r="M240" s="28" t="str">
        <f>IF($G240="","",IFERROR(INDEX('Recommendation Matrix'!$L$5:$Q$411,MATCH($E240,'Recommendation Matrix'!$A$5:$A$411,0),$G240+1),""))</f>
        <v/>
      </c>
      <c r="N240" s="28" t="str">
        <f t="shared" si="33"/>
        <v/>
      </c>
      <c r="O240" s="28" t="str">
        <f t="shared" si="34"/>
        <v/>
      </c>
      <c r="P240" s="28" t="str">
        <f t="shared" si="35"/>
        <v/>
      </c>
      <c r="Q240" s="28" t="str">
        <f t="shared" si="36"/>
        <v/>
      </c>
      <c r="R240" s="8" t="str">
        <f t="shared" si="37"/>
        <v/>
      </c>
      <c r="S240" s="28">
        <f>IFERROR('Manufacturing MES'!$G$29,"")</f>
        <v>4</v>
      </c>
      <c r="T240" s="28">
        <f>IFERROR('Manufacturing MES'!$W$29,"")</f>
        <v>5</v>
      </c>
      <c r="U240" s="28">
        <f>IFERROR('Manufacturing MES'!$X$29,"")</f>
        <v>5</v>
      </c>
      <c r="V240" s="28">
        <f>IFERROR('Manufacturing MES'!$Y$29,"")</f>
        <v>5</v>
      </c>
      <c r="W240" s="7" t="s">
        <v>3995</v>
      </c>
      <c r="X240" s="7" t="s">
        <v>3996</v>
      </c>
      <c r="Y240" s="7" t="s">
        <v>4230</v>
      </c>
      <c r="Z240" s="7">
        <f>IFERROR('Manufacturing MES'!$U$29,"")</f>
        <v>0</v>
      </c>
      <c r="AA240" s="7"/>
      <c r="AB240" s="29"/>
      <c r="AC240" s="7"/>
      <c r="AD240" s="48" t="str">
        <f>IF($B240="Yes",IFERROR(SUMIFS(_TECH_Crisis_Model!$D$5:$D$191,_TECH_Crisis_Model!$A$5:$A$191,'Crisis Simulator'!$B$4,_TECH_Crisis_Model!$B$5:$B$191,$C240),1),"")</f>
        <v/>
      </c>
      <c r="AE240" s="48" t="str">
        <f t="shared" si="38"/>
        <v/>
      </c>
      <c r="AF240" s="48" t="str">
        <f>IFERROR(INDEX(_TECH_Crisis_Model!$E$5:$E$191,MATCH('Crisis Simulator'!$B$4&amp;"|"&amp;$C240,_TECH_Crisis_Model!$I$5:$I$191,0)),"")</f>
        <v>Production assets, MES, maintenance and utilities determine manufacturing recoverability.</v>
      </c>
      <c r="AG240" s="48" t="str">
        <f>IFERROR(INDEX(_TECH_Crisis_Model!$G$5:$G$191,MATCH('Crisis Simulator'!$B$4&amp;"|"&amp;$C240,_TECH_Crisis_Model!$I$5:$I$191,0)),"")</f>
        <v>Define production fallback, maintenance priorities, spare parts, MES continuity and utility backup.</v>
      </c>
      <c r="AH240" s="48" t="str">
        <f>IFERROR(INDEX(_TECH_Initiative_Library!$A$5:$A$76,MATCH(1,INDEX((_TECH_Initiative_Library!$B$5:$B$76=$C240)*(_TECH_Initiative_Library!$C$5:$C$76=$D240),0),0)),"")</f>
        <v>INI-040</v>
      </c>
      <c r="AI240" s="48" t="str">
        <f>IFERROR(INDEX(_TECH_Initiative_Library!$F$5:$F$76,MATCH(1,INDEX((_TECH_Initiative_Library!$B$5:$B$76=$C240)*(_TECH_Initiative_Library!$C$5:$C$76=$D240),0),0)),"")</f>
        <v>Implement OT security and industrial network resilience controls</v>
      </c>
      <c r="AJ240" s="48" t="str">
        <f ca="1">IFERROR(INDEX(_TECH_Initiative_Library!$AC$5:$AC$76,MATCH(1,INDEX((_TECH_Initiative_Library!$B$5:$B$76=$C240)*(_TECH_Initiative_Library!$C$5:$C$76=$D240),0),0)),"")</f>
        <v/>
      </c>
      <c r="AK240" s="48" t="str">
        <f ca="1">IFERROR(INDEX(_TECH_Initiative_Library!$AE$5:$AE$76,MATCH(1,INDEX((_TECH_Initiative_Library!$B$5:$B$76=$C240)*(_TECH_Initiative_Library!$C$5:$C$76=$D240),0),0)),"")</f>
        <v/>
      </c>
      <c r="AL240" s="48" t="str">
        <f>IF($B240="Yes",IFERROR(SUMIFS(_TECH_Industry_Templates!$E:$E,_TECH_Industry_Templates!$A:$A,'Company Profile'!$B$9,_TECH_Industry_Templates!$B:$B,$C240),1),"")</f>
        <v/>
      </c>
      <c r="AM240" s="48" t="str">
        <f t="shared" si="39"/>
        <v/>
      </c>
      <c r="AN240" s="48" t="str">
        <f>IF($AM240="","",RANK.EQ($AM240,$AM$8:$AM$414,0)+COUNTIF($AM$8:$AM240,$AM240)-1)</f>
        <v/>
      </c>
    </row>
    <row r="241" spans="1:40" ht="71.25">
      <c r="A241" s="28" t="str">
        <f>IF($AM241="","",RANK.EQ($AM241,$AM$8:$AM$414,0)+COUNTIF($AM$8:$AM241,$AM241)-1)</f>
        <v/>
      </c>
      <c r="B241" s="7" t="str">
        <f t="shared" si="30"/>
        <v/>
      </c>
      <c r="C241" s="7" t="s">
        <v>81</v>
      </c>
      <c r="D241" s="7" t="s">
        <v>1370</v>
      </c>
      <c r="E241" s="7" t="s">
        <v>4238</v>
      </c>
      <c r="F241" s="7" t="s">
        <v>4239</v>
      </c>
      <c r="G241" s="28" t="str">
        <f>IF(OR(COUNTA('Manufacturing MES'!$H$30)=0,'Manufacturing MES'!$H$30="N/A"),"",VALUE('Manufacturing MES'!$H$30))</f>
        <v/>
      </c>
      <c r="H241" s="7" t="str">
        <f t="shared" si="31"/>
        <v/>
      </c>
      <c r="I241" s="7" t="str">
        <f>IF($G241="","",IFERROR(IF('Manufacturing MES'!$L$30="",IF($G241&lt;=1,"Critical",IF($G241=2,"High",IF($G241=3,"Medium",IF($G241=4,"Low","Optimized")))),'Manufacturing MES'!$L$30),IF($G241&lt;=1,"Critical",IF($G241=2,"High",IF($G241=3,"Medium",IF($G241=4,"Low","Optimized"))))))</f>
        <v/>
      </c>
      <c r="J241" s="7" t="str">
        <f>IF($G241="","",IFERROR(INDEX('Recommendation Matrix'!$E$5:$J$411,MATCH($E241,'Recommendation Matrix'!$A$5:$A$411,0),$G241+1),""))</f>
        <v/>
      </c>
      <c r="K241" s="7" t="str">
        <f>IF($G241="","",IFERROR(VLOOKUP($E241,'Recommendation Matrix'!$A$5:$K$411,11,FALSE),""))</f>
        <v/>
      </c>
      <c r="L241" s="28" t="str">
        <f t="shared" si="32"/>
        <v/>
      </c>
      <c r="M241" s="28" t="str">
        <f>IF($G241="","",IFERROR(INDEX('Recommendation Matrix'!$L$5:$Q$411,MATCH($E241,'Recommendation Matrix'!$A$5:$A$411,0),$G241+1),""))</f>
        <v/>
      </c>
      <c r="N241" s="28" t="str">
        <f t="shared" si="33"/>
        <v/>
      </c>
      <c r="O241" s="28" t="str">
        <f t="shared" si="34"/>
        <v/>
      </c>
      <c r="P241" s="28" t="str">
        <f t="shared" si="35"/>
        <v/>
      </c>
      <c r="Q241" s="28" t="str">
        <f t="shared" si="36"/>
        <v/>
      </c>
      <c r="R241" s="8" t="str">
        <f t="shared" si="37"/>
        <v/>
      </c>
      <c r="S241" s="28">
        <f>IFERROR('Manufacturing MES'!$G$30,"")</f>
        <v>4</v>
      </c>
      <c r="T241" s="28">
        <f>IFERROR('Manufacturing MES'!$W$30,"")</f>
        <v>5</v>
      </c>
      <c r="U241" s="28">
        <f>IFERROR('Manufacturing MES'!$X$30,"")</f>
        <v>5</v>
      </c>
      <c r="V241" s="28">
        <f>IFERROR('Manufacturing MES'!$Y$30,"")</f>
        <v>5</v>
      </c>
      <c r="W241" s="7" t="s">
        <v>3995</v>
      </c>
      <c r="X241" s="7" t="s">
        <v>3996</v>
      </c>
      <c r="Y241" s="7" t="s">
        <v>4240</v>
      </c>
      <c r="Z241" s="7">
        <f>IFERROR('Manufacturing MES'!$U$30,"")</f>
        <v>0</v>
      </c>
      <c r="AA241" s="7"/>
      <c r="AB241" s="29"/>
      <c r="AC241" s="7"/>
      <c r="AD241" s="48" t="str">
        <f>IF($B241="Yes",IFERROR(SUMIFS(_TECH_Crisis_Model!$D$5:$D$191,_TECH_Crisis_Model!$A$5:$A$191,'Crisis Simulator'!$B$4,_TECH_Crisis_Model!$B$5:$B$191,$C241),1),"")</f>
        <v/>
      </c>
      <c r="AE241" s="48" t="str">
        <f t="shared" si="38"/>
        <v/>
      </c>
      <c r="AF241" s="48" t="str">
        <f>IFERROR(INDEX(_TECH_Crisis_Model!$E$5:$E$191,MATCH('Crisis Simulator'!$B$4&amp;"|"&amp;$C241,_TECH_Crisis_Model!$I$5:$I$191,0)),"")</f>
        <v>Production assets, MES, maintenance and utilities determine manufacturing recoverability.</v>
      </c>
      <c r="AG241" s="48" t="str">
        <f>IFERROR(INDEX(_TECH_Crisis_Model!$G$5:$G$191,MATCH('Crisis Simulator'!$B$4&amp;"|"&amp;$C241,_TECH_Crisis_Model!$I$5:$I$191,0)),"")</f>
        <v>Define production fallback, maintenance priorities, spare parts, MES continuity and utility backup.</v>
      </c>
      <c r="AH241" s="48" t="str">
        <f>IFERROR(INDEX(_TECH_Initiative_Library!$A$5:$A$76,MATCH(1,INDEX((_TECH_Initiative_Library!$B$5:$B$76=$C241)*(_TECH_Initiative_Library!$C$5:$C$76=$D241),0),0)),"")</f>
        <v>INI-040</v>
      </c>
      <c r="AI241" s="48" t="str">
        <f>IFERROR(INDEX(_TECH_Initiative_Library!$F$5:$F$76,MATCH(1,INDEX((_TECH_Initiative_Library!$B$5:$B$76=$C241)*(_TECH_Initiative_Library!$C$5:$C$76=$D241),0),0)),"")</f>
        <v>Implement OT security and industrial network resilience controls</v>
      </c>
      <c r="AJ241" s="48" t="str">
        <f ca="1">IFERROR(INDEX(_TECH_Initiative_Library!$AC$5:$AC$76,MATCH(1,INDEX((_TECH_Initiative_Library!$B$5:$B$76=$C241)*(_TECH_Initiative_Library!$C$5:$C$76=$D241),0),0)),"")</f>
        <v/>
      </c>
      <c r="AK241" s="48" t="str">
        <f ca="1">IFERROR(INDEX(_TECH_Initiative_Library!$AE$5:$AE$76,MATCH(1,INDEX((_TECH_Initiative_Library!$B$5:$B$76=$C241)*(_TECH_Initiative_Library!$C$5:$C$76=$D241),0),0)),"")</f>
        <v/>
      </c>
      <c r="AL241" s="48" t="str">
        <f>IF($B241="Yes",IFERROR(SUMIFS(_TECH_Industry_Templates!$E:$E,_TECH_Industry_Templates!$A:$A,'Company Profile'!$B$9,_TECH_Industry_Templates!$B:$B,$C241),1),"")</f>
        <v/>
      </c>
      <c r="AM241" s="48" t="str">
        <f t="shared" si="39"/>
        <v/>
      </c>
      <c r="AN241" s="48" t="str">
        <f>IF($AM241="","",RANK.EQ($AM241,$AM$8:$AM$414,0)+COUNTIF($AM$8:$AM241,$AM241)-1)</f>
        <v/>
      </c>
    </row>
    <row r="242" spans="1:40" ht="71.25">
      <c r="A242" s="28" t="str">
        <f>IF($AM242="","",RANK.EQ($AM242,$AM$8:$AM$414,0)+COUNTIF($AM$8:$AM242,$AM242)-1)</f>
        <v/>
      </c>
      <c r="B242" s="7" t="str">
        <f t="shared" si="30"/>
        <v/>
      </c>
      <c r="C242" s="7" t="s">
        <v>81</v>
      </c>
      <c r="D242" s="7" t="s">
        <v>1370</v>
      </c>
      <c r="E242" s="7" t="s">
        <v>4248</v>
      </c>
      <c r="F242" s="7" t="s">
        <v>4249</v>
      </c>
      <c r="G242" s="28" t="str">
        <f>IF(OR(COUNTA('Manufacturing MES'!$H$31)=0,'Manufacturing MES'!$H$31="N/A"),"",VALUE('Manufacturing MES'!$H$31))</f>
        <v/>
      </c>
      <c r="H242" s="7" t="str">
        <f t="shared" si="31"/>
        <v/>
      </c>
      <c r="I242" s="7" t="str">
        <f>IF($G242="","",IFERROR(IF('Manufacturing MES'!$L$31="",IF($G242&lt;=1,"Critical",IF($G242=2,"High",IF($G242=3,"Medium",IF($G242=4,"Low","Optimized")))),'Manufacturing MES'!$L$31),IF($G242&lt;=1,"Critical",IF($G242=2,"High",IF($G242=3,"Medium",IF($G242=4,"Low","Optimized"))))))</f>
        <v/>
      </c>
      <c r="J242" s="7" t="str">
        <f>IF($G242="","",IFERROR(INDEX('Recommendation Matrix'!$E$5:$J$411,MATCH($E242,'Recommendation Matrix'!$A$5:$A$411,0),$G242+1),""))</f>
        <v/>
      </c>
      <c r="K242" s="7" t="str">
        <f>IF($G242="","",IFERROR(VLOOKUP($E242,'Recommendation Matrix'!$A$5:$K$411,11,FALSE),""))</f>
        <v/>
      </c>
      <c r="L242" s="28" t="str">
        <f t="shared" si="32"/>
        <v/>
      </c>
      <c r="M242" s="28" t="str">
        <f>IF($G242="","",IFERROR(INDEX('Recommendation Matrix'!$L$5:$Q$411,MATCH($E242,'Recommendation Matrix'!$A$5:$A$411,0),$G242+1),""))</f>
        <v/>
      </c>
      <c r="N242" s="28" t="str">
        <f t="shared" si="33"/>
        <v/>
      </c>
      <c r="O242" s="28" t="str">
        <f t="shared" si="34"/>
        <v/>
      </c>
      <c r="P242" s="28" t="str">
        <f t="shared" si="35"/>
        <v/>
      </c>
      <c r="Q242" s="28" t="str">
        <f t="shared" si="36"/>
        <v/>
      </c>
      <c r="R242" s="8" t="str">
        <f t="shared" si="37"/>
        <v/>
      </c>
      <c r="S242" s="28">
        <f>IFERROR('Manufacturing MES'!$G$31,"")</f>
        <v>5</v>
      </c>
      <c r="T242" s="28">
        <f>IFERROR('Manufacturing MES'!$W$31,"")</f>
        <v>5</v>
      </c>
      <c r="U242" s="28">
        <f>IFERROR('Manufacturing MES'!$X$31,"")</f>
        <v>5</v>
      </c>
      <c r="V242" s="28">
        <f>IFERROR('Manufacturing MES'!$Y$31,"")</f>
        <v>5</v>
      </c>
      <c r="W242" s="7" t="s">
        <v>3995</v>
      </c>
      <c r="X242" s="7" t="s">
        <v>3996</v>
      </c>
      <c r="Y242" s="7" t="s">
        <v>4250</v>
      </c>
      <c r="Z242" s="7">
        <f>IFERROR('Manufacturing MES'!$U$31,"")</f>
        <v>0</v>
      </c>
      <c r="AA242" s="7"/>
      <c r="AB242" s="29"/>
      <c r="AC242" s="7"/>
      <c r="AD242" s="48" t="str">
        <f>IF($B242="Yes",IFERROR(SUMIFS(_TECH_Crisis_Model!$D$5:$D$191,_TECH_Crisis_Model!$A$5:$A$191,'Crisis Simulator'!$B$4,_TECH_Crisis_Model!$B$5:$B$191,$C242),1),"")</f>
        <v/>
      </c>
      <c r="AE242" s="48" t="str">
        <f t="shared" si="38"/>
        <v/>
      </c>
      <c r="AF242" s="48" t="str">
        <f>IFERROR(INDEX(_TECH_Crisis_Model!$E$5:$E$191,MATCH('Crisis Simulator'!$B$4&amp;"|"&amp;$C242,_TECH_Crisis_Model!$I$5:$I$191,0)),"")</f>
        <v>Production assets, MES, maintenance and utilities determine manufacturing recoverability.</v>
      </c>
      <c r="AG242" s="48" t="str">
        <f>IFERROR(INDEX(_TECH_Crisis_Model!$G$5:$G$191,MATCH('Crisis Simulator'!$B$4&amp;"|"&amp;$C242,_TECH_Crisis_Model!$I$5:$I$191,0)),"")</f>
        <v>Define production fallback, maintenance priorities, spare parts, MES continuity and utility backup.</v>
      </c>
      <c r="AH242" s="48" t="str">
        <f>IFERROR(INDEX(_TECH_Initiative_Library!$A$5:$A$76,MATCH(1,INDEX((_TECH_Initiative_Library!$B$5:$B$76=$C242)*(_TECH_Initiative_Library!$C$5:$C$76=$D242),0),0)),"")</f>
        <v>INI-040</v>
      </c>
      <c r="AI242" s="48" t="str">
        <f>IFERROR(INDEX(_TECH_Initiative_Library!$F$5:$F$76,MATCH(1,INDEX((_TECH_Initiative_Library!$B$5:$B$76=$C242)*(_TECH_Initiative_Library!$C$5:$C$76=$D242),0),0)),"")</f>
        <v>Implement OT security and industrial network resilience controls</v>
      </c>
      <c r="AJ242" s="48" t="str">
        <f ca="1">IFERROR(INDEX(_TECH_Initiative_Library!$AC$5:$AC$76,MATCH(1,INDEX((_TECH_Initiative_Library!$B$5:$B$76=$C242)*(_TECH_Initiative_Library!$C$5:$C$76=$D242),0),0)),"")</f>
        <v/>
      </c>
      <c r="AK242" s="48" t="str">
        <f ca="1">IFERROR(INDEX(_TECH_Initiative_Library!$AE$5:$AE$76,MATCH(1,INDEX((_TECH_Initiative_Library!$B$5:$B$76=$C242)*(_TECH_Initiative_Library!$C$5:$C$76=$D242),0),0)),"")</f>
        <v/>
      </c>
      <c r="AL242" s="48" t="str">
        <f>IF($B242="Yes",IFERROR(SUMIFS(_TECH_Industry_Templates!$E:$E,_TECH_Industry_Templates!$A:$A,'Company Profile'!$B$9,_TECH_Industry_Templates!$B:$B,$C242),1),"")</f>
        <v/>
      </c>
      <c r="AM242" s="48" t="str">
        <f t="shared" si="39"/>
        <v/>
      </c>
      <c r="AN242" s="48" t="str">
        <f>IF($AM242="","",RANK.EQ($AM242,$AM$8:$AM$414,0)+COUNTIF($AM$8:$AM242,$AM242)-1)</f>
        <v/>
      </c>
    </row>
    <row r="243" spans="1:40" ht="71.25">
      <c r="A243" s="28" t="str">
        <f>IF($AM243="","",RANK.EQ($AM243,$AM$8:$AM$414,0)+COUNTIF($AM$8:$AM243,$AM243)-1)</f>
        <v/>
      </c>
      <c r="B243" s="7" t="str">
        <f t="shared" si="30"/>
        <v/>
      </c>
      <c r="C243" s="7" t="s">
        <v>81</v>
      </c>
      <c r="D243" s="7" t="s">
        <v>1370</v>
      </c>
      <c r="E243" s="7" t="s">
        <v>4258</v>
      </c>
      <c r="F243" s="7" t="s">
        <v>4259</v>
      </c>
      <c r="G243" s="28" t="str">
        <f>IF(OR(COUNTA('Manufacturing MES'!$H$32)=0,'Manufacturing MES'!$H$32="N/A"),"",VALUE('Manufacturing MES'!$H$32))</f>
        <v/>
      </c>
      <c r="H243" s="7" t="str">
        <f t="shared" si="31"/>
        <v/>
      </c>
      <c r="I243" s="7" t="str">
        <f>IF($G243="","",IFERROR(IF('Manufacturing MES'!$L$32="",IF($G243&lt;=1,"Critical",IF($G243=2,"High",IF($G243=3,"Medium",IF($G243=4,"Low","Optimized")))),'Manufacturing MES'!$L$32),IF($G243&lt;=1,"Critical",IF($G243=2,"High",IF($G243=3,"Medium",IF($G243=4,"Low","Optimized"))))))</f>
        <v/>
      </c>
      <c r="J243" s="7" t="str">
        <f>IF($G243="","",IFERROR(INDEX('Recommendation Matrix'!$E$5:$J$411,MATCH($E243,'Recommendation Matrix'!$A$5:$A$411,0),$G243+1),""))</f>
        <v/>
      </c>
      <c r="K243" s="7" t="str">
        <f>IF($G243="","",IFERROR(VLOOKUP($E243,'Recommendation Matrix'!$A$5:$K$411,11,FALSE),""))</f>
        <v/>
      </c>
      <c r="L243" s="28" t="str">
        <f t="shared" si="32"/>
        <v/>
      </c>
      <c r="M243" s="28" t="str">
        <f>IF($G243="","",IFERROR(INDEX('Recommendation Matrix'!$L$5:$Q$411,MATCH($E243,'Recommendation Matrix'!$A$5:$A$411,0),$G243+1),""))</f>
        <v/>
      </c>
      <c r="N243" s="28" t="str">
        <f t="shared" si="33"/>
        <v/>
      </c>
      <c r="O243" s="28" t="str">
        <f t="shared" si="34"/>
        <v/>
      </c>
      <c r="P243" s="28" t="str">
        <f t="shared" si="35"/>
        <v/>
      </c>
      <c r="Q243" s="28" t="str">
        <f t="shared" si="36"/>
        <v/>
      </c>
      <c r="R243" s="8" t="str">
        <f t="shared" si="37"/>
        <v/>
      </c>
      <c r="S243" s="28">
        <f>IFERROR('Manufacturing MES'!$G$32,"")</f>
        <v>5</v>
      </c>
      <c r="T243" s="28">
        <f>IFERROR('Manufacturing MES'!$W$32,"")</f>
        <v>5</v>
      </c>
      <c r="U243" s="28">
        <f>IFERROR('Manufacturing MES'!$X$32,"")</f>
        <v>5</v>
      </c>
      <c r="V243" s="28">
        <f>IFERROR('Manufacturing MES'!$Y$32,"")</f>
        <v>5</v>
      </c>
      <c r="W243" s="7" t="s">
        <v>3995</v>
      </c>
      <c r="X243" s="7" t="s">
        <v>3996</v>
      </c>
      <c r="Y243" s="7" t="s">
        <v>4260</v>
      </c>
      <c r="Z243" s="7">
        <f>IFERROR('Manufacturing MES'!$U$32,"")</f>
        <v>0</v>
      </c>
      <c r="AA243" s="7"/>
      <c r="AB243" s="29"/>
      <c r="AC243" s="7"/>
      <c r="AD243" s="48" t="str">
        <f>IF($B243="Yes",IFERROR(SUMIFS(_TECH_Crisis_Model!$D$5:$D$191,_TECH_Crisis_Model!$A$5:$A$191,'Crisis Simulator'!$B$4,_TECH_Crisis_Model!$B$5:$B$191,$C243),1),"")</f>
        <v/>
      </c>
      <c r="AE243" s="48" t="str">
        <f t="shared" si="38"/>
        <v/>
      </c>
      <c r="AF243" s="48" t="str">
        <f>IFERROR(INDEX(_TECH_Crisis_Model!$E$5:$E$191,MATCH('Crisis Simulator'!$B$4&amp;"|"&amp;$C243,_TECH_Crisis_Model!$I$5:$I$191,0)),"")</f>
        <v>Production assets, MES, maintenance and utilities determine manufacturing recoverability.</v>
      </c>
      <c r="AG243" s="48" t="str">
        <f>IFERROR(INDEX(_TECH_Crisis_Model!$G$5:$G$191,MATCH('Crisis Simulator'!$B$4&amp;"|"&amp;$C243,_TECH_Crisis_Model!$I$5:$I$191,0)),"")</f>
        <v>Define production fallback, maintenance priorities, spare parts, MES continuity and utility backup.</v>
      </c>
      <c r="AH243" s="48" t="str">
        <f>IFERROR(INDEX(_TECH_Initiative_Library!$A$5:$A$76,MATCH(1,INDEX((_TECH_Initiative_Library!$B$5:$B$76=$C243)*(_TECH_Initiative_Library!$C$5:$C$76=$D243),0),0)),"")</f>
        <v>INI-040</v>
      </c>
      <c r="AI243" s="48" t="str">
        <f>IFERROR(INDEX(_TECH_Initiative_Library!$F$5:$F$76,MATCH(1,INDEX((_TECH_Initiative_Library!$B$5:$B$76=$C243)*(_TECH_Initiative_Library!$C$5:$C$76=$D243),0),0)),"")</f>
        <v>Implement OT security and industrial network resilience controls</v>
      </c>
      <c r="AJ243" s="48" t="str">
        <f ca="1">IFERROR(INDEX(_TECH_Initiative_Library!$AC$5:$AC$76,MATCH(1,INDEX((_TECH_Initiative_Library!$B$5:$B$76=$C243)*(_TECH_Initiative_Library!$C$5:$C$76=$D243),0),0)),"")</f>
        <v/>
      </c>
      <c r="AK243" s="48" t="str">
        <f ca="1">IFERROR(INDEX(_TECH_Initiative_Library!$AE$5:$AE$76,MATCH(1,INDEX((_TECH_Initiative_Library!$B$5:$B$76=$C243)*(_TECH_Initiative_Library!$C$5:$C$76=$D243),0),0)),"")</f>
        <v/>
      </c>
      <c r="AL243" s="48" t="str">
        <f>IF($B243="Yes",IFERROR(SUMIFS(_TECH_Industry_Templates!$E:$E,_TECH_Industry_Templates!$A:$A,'Company Profile'!$B$9,_TECH_Industry_Templates!$B:$B,$C243),1),"")</f>
        <v/>
      </c>
      <c r="AM243" s="48" t="str">
        <f t="shared" si="39"/>
        <v/>
      </c>
      <c r="AN243" s="48" t="str">
        <f>IF($AM243="","",RANK.EQ($AM243,$AM$8:$AM$414,0)+COUNTIF($AM$8:$AM243,$AM243)-1)</f>
        <v/>
      </c>
    </row>
    <row r="244" spans="1:40" ht="71.25">
      <c r="A244" s="28" t="str">
        <f>IF($AM244="","",RANK.EQ($AM244,$AM$8:$AM$414,0)+COUNTIF($AM$8:$AM244,$AM244)-1)</f>
        <v/>
      </c>
      <c r="B244" s="7" t="str">
        <f t="shared" si="30"/>
        <v/>
      </c>
      <c r="C244" s="7" t="s">
        <v>84</v>
      </c>
      <c r="D244" s="7" t="s">
        <v>1378</v>
      </c>
      <c r="E244" s="7" t="s">
        <v>4270</v>
      </c>
      <c r="F244" s="7" t="s">
        <v>4271</v>
      </c>
      <c r="G244" s="28" t="str">
        <f>IF(OR(COUNTA('Sales CRM'!$H$5)=0,'Sales CRM'!$H$5="N/A"),"",VALUE('Sales CRM'!$H$5))</f>
        <v/>
      </c>
      <c r="H244" s="7" t="str">
        <f t="shared" si="31"/>
        <v/>
      </c>
      <c r="I244" s="7" t="str">
        <f>IF($G244="","",IFERROR(IF('Sales CRM'!$L$5="",IF($G244&lt;=1,"Critical",IF($G244=2,"High",IF($G244=3,"Medium",IF($G244=4,"Low","Optimized")))),'Sales CRM'!$L$5),IF($G244&lt;=1,"Critical",IF($G244=2,"High",IF($G244=3,"Medium",IF($G244=4,"Low","Optimized"))))))</f>
        <v/>
      </c>
      <c r="J244" s="7" t="str">
        <f>IF($G244="","",IFERROR(INDEX('Recommendation Matrix'!$E$5:$J$411,MATCH($E244,'Recommendation Matrix'!$A$5:$A$411,0),$G244+1),""))</f>
        <v/>
      </c>
      <c r="K244" s="7" t="str">
        <f>IF($G244="","",IFERROR(VLOOKUP($E244,'Recommendation Matrix'!$A$5:$K$411,11,FALSE),""))</f>
        <v/>
      </c>
      <c r="L244" s="28" t="str">
        <f t="shared" si="32"/>
        <v/>
      </c>
      <c r="M244" s="28" t="str">
        <f>IF($G244="","",IFERROR(INDEX('Recommendation Matrix'!$L$5:$Q$411,MATCH($E244,'Recommendation Matrix'!$A$5:$A$411,0),$G244+1),""))</f>
        <v/>
      </c>
      <c r="N244" s="28" t="str">
        <f t="shared" si="33"/>
        <v/>
      </c>
      <c r="O244" s="28" t="str">
        <f t="shared" si="34"/>
        <v/>
      </c>
      <c r="P244" s="28" t="str">
        <f t="shared" si="35"/>
        <v/>
      </c>
      <c r="Q244" s="28" t="str">
        <f t="shared" si="36"/>
        <v/>
      </c>
      <c r="R244" s="8" t="str">
        <f t="shared" si="37"/>
        <v/>
      </c>
      <c r="S244" s="28">
        <f>IFERROR('Sales CRM'!$G$5,"")</f>
        <v>4</v>
      </c>
      <c r="T244" s="28">
        <f>IFERROR('Sales CRM'!$W$5,"")</f>
        <v>5</v>
      </c>
      <c r="U244" s="28">
        <f>IFERROR('Sales CRM'!$X$5,"")</f>
        <v>5</v>
      </c>
      <c r="V244" s="28">
        <f>IFERROR('Sales CRM'!$Y$5,"")</f>
        <v>5</v>
      </c>
      <c r="W244" s="7" t="s">
        <v>4281</v>
      </c>
      <c r="X244" s="7" t="s">
        <v>4282</v>
      </c>
      <c r="Y244" s="7" t="s">
        <v>4274</v>
      </c>
      <c r="Z244" s="7">
        <f>IFERROR('Sales CRM'!$U$5,"")</f>
        <v>0</v>
      </c>
      <c r="AA244" s="7"/>
      <c r="AB244" s="29"/>
      <c r="AC244" s="7"/>
      <c r="AD244" s="48" t="str">
        <f>IF($B244="Yes",IFERROR(SUMIFS(_TECH_Crisis_Model!$D$5:$D$191,_TECH_Crisis_Model!$A$5:$A$191,'Crisis Simulator'!$B$4,_TECH_Crisis_Model!$B$5:$B$191,$C244),1),"")</f>
        <v/>
      </c>
      <c r="AE244" s="48" t="str">
        <f t="shared" si="38"/>
        <v/>
      </c>
      <c r="AF244" s="48" t="str">
        <f>IFERROR(INDEX(_TECH_Crisis_Model!$E$5:$E$191,MATCH('Crisis Simulator'!$B$4&amp;"|"&amp;$C244,_TECH_Crisis_Model!$I$5:$I$191,0)),"")</f>
        <v>CRM discipline, pipeline visibility and retention actions determine revenue protection.</v>
      </c>
      <c r="AG244" s="48" t="str">
        <f>IFERROR(INDEX(_TECH_Crisis_Model!$G$5:$G$191,MATCH('Crisis Simulator'!$B$4&amp;"|"&amp;$C244,_TECH_Crisis_Model!$I$5:$I$191,0)),"")</f>
        <v>Improve CRM hygiene, retention playbooks, pipeline scenarios and customer segmentation.</v>
      </c>
      <c r="AH244" s="48" t="str">
        <f>IFERROR(INDEX(_TECH_Initiative_Library!$A$5:$A$76,MATCH(1,INDEX((_TECH_Initiative_Library!$B$5:$B$76=$C244)*(_TECH_Initiative_Library!$C$5:$C$76=$D244),0),0)),"")</f>
        <v>INI-041</v>
      </c>
      <c r="AI244" s="48" t="str">
        <f>IFERROR(INDEX(_TECH_Initiative_Library!$F$5:$F$76,MATCH(1,INDEX((_TECH_Initiative_Library!$B$5:$B$76=$C244)*(_TECH_Initiative_Library!$C$5:$C$76=$D244),0),0)),"")</f>
        <v>Stabilize CRM data model, ownership and adoption</v>
      </c>
      <c r="AJ244" s="48" t="str">
        <f ca="1">IFERROR(INDEX(_TECH_Initiative_Library!$AC$5:$AC$76,MATCH(1,INDEX((_TECH_Initiative_Library!$B$5:$B$76=$C244)*(_TECH_Initiative_Library!$C$5:$C$76=$D244),0),0)),"")</f>
        <v/>
      </c>
      <c r="AK244" s="48" t="str">
        <f ca="1">IFERROR(INDEX(_TECH_Initiative_Library!$AE$5:$AE$76,MATCH(1,INDEX((_TECH_Initiative_Library!$B$5:$B$76=$C244)*(_TECH_Initiative_Library!$C$5:$C$76=$D244),0),0)),"")</f>
        <v/>
      </c>
      <c r="AL244" s="48" t="str">
        <f>IF($B244="Yes",IFERROR(SUMIFS(_TECH_Industry_Templates!$E:$E,_TECH_Industry_Templates!$A:$A,'Company Profile'!$B$9,_TECH_Industry_Templates!$B:$B,$C244),1),"")</f>
        <v/>
      </c>
      <c r="AM244" s="48" t="str">
        <f t="shared" si="39"/>
        <v/>
      </c>
      <c r="AN244" s="48" t="str">
        <f>IF($AM244="","",RANK.EQ($AM244,$AM$8:$AM$414,0)+COUNTIF($AM$8:$AM244,$AM244)-1)</f>
        <v/>
      </c>
    </row>
    <row r="245" spans="1:40" ht="85.5">
      <c r="A245" s="28" t="str">
        <f>IF($AM245="","",RANK.EQ($AM245,$AM$8:$AM$414,0)+COUNTIF($AM$8:$AM245,$AM245)-1)</f>
        <v/>
      </c>
      <c r="B245" s="7" t="str">
        <f t="shared" si="30"/>
        <v/>
      </c>
      <c r="C245" s="7" t="s">
        <v>84</v>
      </c>
      <c r="D245" s="7" t="s">
        <v>1378</v>
      </c>
      <c r="E245" s="7" t="s">
        <v>4284</v>
      </c>
      <c r="F245" s="7" t="s">
        <v>4285</v>
      </c>
      <c r="G245" s="28" t="str">
        <f>IF(OR(COUNTA('Sales CRM'!$H$6)=0,'Sales CRM'!$H$6="N/A"),"",VALUE('Sales CRM'!$H$6))</f>
        <v/>
      </c>
      <c r="H245" s="7" t="str">
        <f t="shared" si="31"/>
        <v/>
      </c>
      <c r="I245" s="7" t="str">
        <f>IF($G245="","",IFERROR(IF('Sales CRM'!$L$6="",IF($G245&lt;=1,"Critical",IF($G245=2,"High",IF($G245=3,"Medium",IF($G245=4,"Low","Optimized")))),'Sales CRM'!$L$6),IF($G245&lt;=1,"Critical",IF($G245=2,"High",IF($G245=3,"Medium",IF($G245=4,"Low","Optimized"))))))</f>
        <v/>
      </c>
      <c r="J245" s="7" t="str">
        <f>IF($G245="","",IFERROR(INDEX('Recommendation Matrix'!$E$5:$J$411,MATCH($E245,'Recommendation Matrix'!$A$5:$A$411,0),$G245+1),""))</f>
        <v/>
      </c>
      <c r="K245" s="7" t="str">
        <f>IF($G245="","",IFERROR(VLOOKUP($E245,'Recommendation Matrix'!$A$5:$K$411,11,FALSE),""))</f>
        <v/>
      </c>
      <c r="L245" s="28" t="str">
        <f t="shared" si="32"/>
        <v/>
      </c>
      <c r="M245" s="28" t="str">
        <f>IF($G245="","",IFERROR(INDEX('Recommendation Matrix'!$L$5:$Q$411,MATCH($E245,'Recommendation Matrix'!$A$5:$A$411,0),$G245+1),""))</f>
        <v/>
      </c>
      <c r="N245" s="28" t="str">
        <f t="shared" si="33"/>
        <v/>
      </c>
      <c r="O245" s="28" t="str">
        <f t="shared" si="34"/>
        <v/>
      </c>
      <c r="P245" s="28" t="str">
        <f t="shared" si="35"/>
        <v/>
      </c>
      <c r="Q245" s="28" t="str">
        <f t="shared" si="36"/>
        <v/>
      </c>
      <c r="R245" s="8" t="str">
        <f t="shared" si="37"/>
        <v/>
      </c>
      <c r="S245" s="28">
        <f>IFERROR('Sales CRM'!$G$6,"")</f>
        <v>4</v>
      </c>
      <c r="T245" s="28">
        <f>IFERROR('Sales CRM'!$W$6,"")</f>
        <v>5</v>
      </c>
      <c r="U245" s="28">
        <f>IFERROR('Sales CRM'!$X$6,"")</f>
        <v>5</v>
      </c>
      <c r="V245" s="28">
        <f>IFERROR('Sales CRM'!$Y$6,"")</f>
        <v>5</v>
      </c>
      <c r="W245" s="7" t="s">
        <v>4281</v>
      </c>
      <c r="X245" s="7" t="s">
        <v>4282</v>
      </c>
      <c r="Y245" s="7" t="s">
        <v>4286</v>
      </c>
      <c r="Z245" s="7">
        <f>IFERROR('Sales CRM'!$U$6,"")</f>
        <v>0</v>
      </c>
      <c r="AA245" s="7"/>
      <c r="AB245" s="29"/>
      <c r="AC245" s="7"/>
      <c r="AD245" s="48" t="str">
        <f>IF($B245="Yes",IFERROR(SUMIFS(_TECH_Crisis_Model!$D$5:$D$191,_TECH_Crisis_Model!$A$5:$A$191,'Crisis Simulator'!$B$4,_TECH_Crisis_Model!$B$5:$B$191,$C245),1),"")</f>
        <v/>
      </c>
      <c r="AE245" s="48" t="str">
        <f t="shared" si="38"/>
        <v/>
      </c>
      <c r="AF245" s="48" t="str">
        <f>IFERROR(INDEX(_TECH_Crisis_Model!$E$5:$E$191,MATCH('Crisis Simulator'!$B$4&amp;"|"&amp;$C245,_TECH_Crisis_Model!$I$5:$I$191,0)),"")</f>
        <v>CRM discipline, pipeline visibility and retention actions determine revenue protection.</v>
      </c>
      <c r="AG245" s="48" t="str">
        <f>IFERROR(INDEX(_TECH_Crisis_Model!$G$5:$G$191,MATCH('Crisis Simulator'!$B$4&amp;"|"&amp;$C245,_TECH_Crisis_Model!$I$5:$I$191,0)),"")</f>
        <v>Improve CRM hygiene, retention playbooks, pipeline scenarios and customer segmentation.</v>
      </c>
      <c r="AH245" s="48" t="str">
        <f>IFERROR(INDEX(_TECH_Initiative_Library!$A$5:$A$76,MATCH(1,INDEX((_TECH_Initiative_Library!$B$5:$B$76=$C245)*(_TECH_Initiative_Library!$C$5:$C$76=$D245),0),0)),"")</f>
        <v>INI-041</v>
      </c>
      <c r="AI245" s="48" t="str">
        <f>IFERROR(INDEX(_TECH_Initiative_Library!$F$5:$F$76,MATCH(1,INDEX((_TECH_Initiative_Library!$B$5:$B$76=$C245)*(_TECH_Initiative_Library!$C$5:$C$76=$D245),0),0)),"")</f>
        <v>Stabilize CRM data model, ownership and adoption</v>
      </c>
      <c r="AJ245" s="48" t="str">
        <f ca="1">IFERROR(INDEX(_TECH_Initiative_Library!$AC$5:$AC$76,MATCH(1,INDEX((_TECH_Initiative_Library!$B$5:$B$76=$C245)*(_TECH_Initiative_Library!$C$5:$C$76=$D245),0),0)),"")</f>
        <v/>
      </c>
      <c r="AK245" s="48" t="str">
        <f ca="1">IFERROR(INDEX(_TECH_Initiative_Library!$AE$5:$AE$76,MATCH(1,INDEX((_TECH_Initiative_Library!$B$5:$B$76=$C245)*(_TECH_Initiative_Library!$C$5:$C$76=$D245),0),0)),"")</f>
        <v/>
      </c>
      <c r="AL245" s="48" t="str">
        <f>IF($B245="Yes",IFERROR(SUMIFS(_TECH_Industry_Templates!$E:$E,_TECH_Industry_Templates!$A:$A,'Company Profile'!$B$9,_TECH_Industry_Templates!$B:$B,$C245),1),"")</f>
        <v/>
      </c>
      <c r="AM245" s="48" t="str">
        <f t="shared" si="39"/>
        <v/>
      </c>
      <c r="AN245" s="48" t="str">
        <f>IF($AM245="","",RANK.EQ($AM245,$AM$8:$AM$414,0)+COUNTIF($AM$8:$AM245,$AM245)-1)</f>
        <v/>
      </c>
    </row>
    <row r="246" spans="1:40" ht="71.25">
      <c r="A246" s="28" t="str">
        <f>IF($AM246="","",RANK.EQ($AM246,$AM$8:$AM$414,0)+COUNTIF($AM$8:$AM246,$AM246)-1)</f>
        <v/>
      </c>
      <c r="B246" s="7" t="str">
        <f t="shared" si="30"/>
        <v/>
      </c>
      <c r="C246" s="7" t="s">
        <v>84</v>
      </c>
      <c r="D246" s="7" t="s">
        <v>1378</v>
      </c>
      <c r="E246" s="7" t="s">
        <v>4294</v>
      </c>
      <c r="F246" s="7" t="s">
        <v>4295</v>
      </c>
      <c r="G246" s="28" t="str">
        <f>IF(OR(COUNTA('Sales CRM'!$H$7)=0,'Sales CRM'!$H$7="N/A"),"",VALUE('Sales CRM'!$H$7))</f>
        <v/>
      </c>
      <c r="H246" s="7" t="str">
        <f t="shared" si="31"/>
        <v/>
      </c>
      <c r="I246" s="7" t="str">
        <f>IF($G246="","",IFERROR(IF('Sales CRM'!$L$7="",IF($G246&lt;=1,"Critical",IF($G246=2,"High",IF($G246=3,"Medium",IF($G246=4,"Low","Optimized")))),'Sales CRM'!$L$7),IF($G246&lt;=1,"Critical",IF($G246=2,"High",IF($G246=3,"Medium",IF($G246=4,"Low","Optimized"))))))</f>
        <v/>
      </c>
      <c r="J246" s="7" t="str">
        <f>IF($G246="","",IFERROR(INDEX('Recommendation Matrix'!$E$5:$J$411,MATCH($E246,'Recommendation Matrix'!$A$5:$A$411,0),$G246+1),""))</f>
        <v/>
      </c>
      <c r="K246" s="7" t="str">
        <f>IF($G246="","",IFERROR(VLOOKUP($E246,'Recommendation Matrix'!$A$5:$K$411,11,FALSE),""))</f>
        <v/>
      </c>
      <c r="L246" s="28" t="str">
        <f t="shared" si="32"/>
        <v/>
      </c>
      <c r="M246" s="28" t="str">
        <f>IF($G246="","",IFERROR(INDEX('Recommendation Matrix'!$L$5:$Q$411,MATCH($E246,'Recommendation Matrix'!$A$5:$A$411,0),$G246+1),""))</f>
        <v/>
      </c>
      <c r="N246" s="28" t="str">
        <f t="shared" si="33"/>
        <v/>
      </c>
      <c r="O246" s="28" t="str">
        <f t="shared" si="34"/>
        <v/>
      </c>
      <c r="P246" s="28" t="str">
        <f t="shared" si="35"/>
        <v/>
      </c>
      <c r="Q246" s="28" t="str">
        <f t="shared" si="36"/>
        <v/>
      </c>
      <c r="R246" s="8" t="str">
        <f t="shared" si="37"/>
        <v/>
      </c>
      <c r="S246" s="28">
        <f>IFERROR('Sales CRM'!$G$7,"")</f>
        <v>5</v>
      </c>
      <c r="T246" s="28">
        <f>IFERROR('Sales CRM'!$W$7,"")</f>
        <v>5</v>
      </c>
      <c r="U246" s="28">
        <f>IFERROR('Sales CRM'!$X$7,"")</f>
        <v>5</v>
      </c>
      <c r="V246" s="28">
        <f>IFERROR('Sales CRM'!$Y$7,"")</f>
        <v>5</v>
      </c>
      <c r="W246" s="7" t="s">
        <v>4281</v>
      </c>
      <c r="X246" s="7" t="s">
        <v>4282</v>
      </c>
      <c r="Y246" s="7" t="s">
        <v>4296</v>
      </c>
      <c r="Z246" s="7">
        <f>IFERROR('Sales CRM'!$U$7,"")</f>
        <v>0</v>
      </c>
      <c r="AA246" s="7"/>
      <c r="AB246" s="29"/>
      <c r="AC246" s="7"/>
      <c r="AD246" s="48" t="str">
        <f>IF($B246="Yes",IFERROR(SUMIFS(_TECH_Crisis_Model!$D$5:$D$191,_TECH_Crisis_Model!$A$5:$A$191,'Crisis Simulator'!$B$4,_TECH_Crisis_Model!$B$5:$B$191,$C246),1),"")</f>
        <v/>
      </c>
      <c r="AE246" s="48" t="str">
        <f t="shared" si="38"/>
        <v/>
      </c>
      <c r="AF246" s="48" t="str">
        <f>IFERROR(INDEX(_TECH_Crisis_Model!$E$5:$E$191,MATCH('Crisis Simulator'!$B$4&amp;"|"&amp;$C246,_TECH_Crisis_Model!$I$5:$I$191,0)),"")</f>
        <v>CRM discipline, pipeline visibility and retention actions determine revenue protection.</v>
      </c>
      <c r="AG246" s="48" t="str">
        <f>IFERROR(INDEX(_TECH_Crisis_Model!$G$5:$G$191,MATCH('Crisis Simulator'!$B$4&amp;"|"&amp;$C246,_TECH_Crisis_Model!$I$5:$I$191,0)),"")</f>
        <v>Improve CRM hygiene, retention playbooks, pipeline scenarios and customer segmentation.</v>
      </c>
      <c r="AH246" s="48" t="str">
        <f>IFERROR(INDEX(_TECH_Initiative_Library!$A$5:$A$76,MATCH(1,INDEX((_TECH_Initiative_Library!$B$5:$B$76=$C246)*(_TECH_Initiative_Library!$C$5:$C$76=$D246),0),0)),"")</f>
        <v>INI-041</v>
      </c>
      <c r="AI246" s="48" t="str">
        <f>IFERROR(INDEX(_TECH_Initiative_Library!$F$5:$F$76,MATCH(1,INDEX((_TECH_Initiative_Library!$B$5:$B$76=$C246)*(_TECH_Initiative_Library!$C$5:$C$76=$D246),0),0)),"")</f>
        <v>Stabilize CRM data model, ownership and adoption</v>
      </c>
      <c r="AJ246" s="48" t="str">
        <f ca="1">IFERROR(INDEX(_TECH_Initiative_Library!$AC$5:$AC$76,MATCH(1,INDEX((_TECH_Initiative_Library!$B$5:$B$76=$C246)*(_TECH_Initiative_Library!$C$5:$C$76=$D246),0),0)),"")</f>
        <v/>
      </c>
      <c r="AK246" s="48" t="str">
        <f ca="1">IFERROR(INDEX(_TECH_Initiative_Library!$AE$5:$AE$76,MATCH(1,INDEX((_TECH_Initiative_Library!$B$5:$B$76=$C246)*(_TECH_Initiative_Library!$C$5:$C$76=$D246),0),0)),"")</f>
        <v/>
      </c>
      <c r="AL246" s="48" t="str">
        <f>IF($B246="Yes",IFERROR(SUMIFS(_TECH_Industry_Templates!$E:$E,_TECH_Industry_Templates!$A:$A,'Company Profile'!$B$9,_TECH_Industry_Templates!$B:$B,$C246),1),"")</f>
        <v/>
      </c>
      <c r="AM246" s="48" t="str">
        <f t="shared" si="39"/>
        <v/>
      </c>
      <c r="AN246" s="48" t="str">
        <f>IF($AM246="","",RANK.EQ($AM246,$AM$8:$AM$414,0)+COUNTIF($AM$8:$AM246,$AM246)-1)</f>
        <v/>
      </c>
    </row>
    <row r="247" spans="1:40" ht="71.25">
      <c r="A247" s="28" t="str">
        <f>IF($AM247="","",RANK.EQ($AM247,$AM$8:$AM$414,0)+COUNTIF($AM$8:$AM247,$AM247)-1)</f>
        <v/>
      </c>
      <c r="B247" s="7" t="str">
        <f t="shared" si="30"/>
        <v/>
      </c>
      <c r="C247" s="7" t="s">
        <v>84</v>
      </c>
      <c r="D247" s="7" t="s">
        <v>1378</v>
      </c>
      <c r="E247" s="7" t="s">
        <v>4304</v>
      </c>
      <c r="F247" s="7" t="s">
        <v>4305</v>
      </c>
      <c r="G247" s="28" t="str">
        <f>IF(OR(COUNTA('Sales CRM'!$H$8)=0,'Sales CRM'!$H$8="N/A"),"",VALUE('Sales CRM'!$H$8))</f>
        <v/>
      </c>
      <c r="H247" s="7" t="str">
        <f t="shared" si="31"/>
        <v/>
      </c>
      <c r="I247" s="7" t="str">
        <f>IF($G247="","",IFERROR(IF('Sales CRM'!$L$8="",IF($G247&lt;=1,"Critical",IF($G247=2,"High",IF($G247=3,"Medium",IF($G247=4,"Low","Optimized")))),'Sales CRM'!$L$8),IF($G247&lt;=1,"Critical",IF($G247=2,"High",IF($G247=3,"Medium",IF($G247=4,"Low","Optimized"))))))</f>
        <v/>
      </c>
      <c r="J247" s="7" t="str">
        <f>IF($G247="","",IFERROR(INDEX('Recommendation Matrix'!$E$5:$J$411,MATCH($E247,'Recommendation Matrix'!$A$5:$A$411,0),$G247+1),""))</f>
        <v/>
      </c>
      <c r="K247" s="7" t="str">
        <f>IF($G247="","",IFERROR(VLOOKUP($E247,'Recommendation Matrix'!$A$5:$K$411,11,FALSE),""))</f>
        <v/>
      </c>
      <c r="L247" s="28" t="str">
        <f t="shared" si="32"/>
        <v/>
      </c>
      <c r="M247" s="28" t="str">
        <f>IF($G247="","",IFERROR(INDEX('Recommendation Matrix'!$L$5:$Q$411,MATCH($E247,'Recommendation Matrix'!$A$5:$A$411,0),$G247+1),""))</f>
        <v/>
      </c>
      <c r="N247" s="28" t="str">
        <f t="shared" si="33"/>
        <v/>
      </c>
      <c r="O247" s="28" t="str">
        <f t="shared" si="34"/>
        <v/>
      </c>
      <c r="P247" s="28" t="str">
        <f t="shared" si="35"/>
        <v/>
      </c>
      <c r="Q247" s="28" t="str">
        <f t="shared" si="36"/>
        <v/>
      </c>
      <c r="R247" s="8" t="str">
        <f t="shared" si="37"/>
        <v/>
      </c>
      <c r="S247" s="28">
        <f>IFERROR('Sales CRM'!$G$8,"")</f>
        <v>4</v>
      </c>
      <c r="T247" s="28">
        <f>IFERROR('Sales CRM'!$W$8,"")</f>
        <v>5</v>
      </c>
      <c r="U247" s="28">
        <f>IFERROR('Sales CRM'!$X$8,"")</f>
        <v>5</v>
      </c>
      <c r="V247" s="28">
        <f>IFERROR('Sales CRM'!$Y$8,"")</f>
        <v>5</v>
      </c>
      <c r="W247" s="7" t="s">
        <v>4281</v>
      </c>
      <c r="X247" s="7" t="s">
        <v>4282</v>
      </c>
      <c r="Y247" s="7" t="s">
        <v>4306</v>
      </c>
      <c r="Z247" s="7">
        <f>IFERROR('Sales CRM'!$U$8,"")</f>
        <v>0</v>
      </c>
      <c r="AA247" s="7"/>
      <c r="AB247" s="29"/>
      <c r="AC247" s="7"/>
      <c r="AD247" s="48" t="str">
        <f>IF($B247="Yes",IFERROR(SUMIFS(_TECH_Crisis_Model!$D$5:$D$191,_TECH_Crisis_Model!$A$5:$A$191,'Crisis Simulator'!$B$4,_TECH_Crisis_Model!$B$5:$B$191,$C247),1),"")</f>
        <v/>
      </c>
      <c r="AE247" s="48" t="str">
        <f t="shared" si="38"/>
        <v/>
      </c>
      <c r="AF247" s="48" t="str">
        <f>IFERROR(INDEX(_TECH_Crisis_Model!$E$5:$E$191,MATCH('Crisis Simulator'!$B$4&amp;"|"&amp;$C247,_TECH_Crisis_Model!$I$5:$I$191,0)),"")</f>
        <v>CRM discipline, pipeline visibility and retention actions determine revenue protection.</v>
      </c>
      <c r="AG247" s="48" t="str">
        <f>IFERROR(INDEX(_TECH_Crisis_Model!$G$5:$G$191,MATCH('Crisis Simulator'!$B$4&amp;"|"&amp;$C247,_TECH_Crisis_Model!$I$5:$I$191,0)),"")</f>
        <v>Improve CRM hygiene, retention playbooks, pipeline scenarios and customer segmentation.</v>
      </c>
      <c r="AH247" s="48" t="str">
        <f>IFERROR(INDEX(_TECH_Initiative_Library!$A$5:$A$76,MATCH(1,INDEX((_TECH_Initiative_Library!$B$5:$B$76=$C247)*(_TECH_Initiative_Library!$C$5:$C$76=$D247),0),0)),"")</f>
        <v>INI-041</v>
      </c>
      <c r="AI247" s="48" t="str">
        <f>IFERROR(INDEX(_TECH_Initiative_Library!$F$5:$F$76,MATCH(1,INDEX((_TECH_Initiative_Library!$B$5:$B$76=$C247)*(_TECH_Initiative_Library!$C$5:$C$76=$D247),0),0)),"")</f>
        <v>Stabilize CRM data model, ownership and adoption</v>
      </c>
      <c r="AJ247" s="48" t="str">
        <f ca="1">IFERROR(INDEX(_TECH_Initiative_Library!$AC$5:$AC$76,MATCH(1,INDEX((_TECH_Initiative_Library!$B$5:$B$76=$C247)*(_TECH_Initiative_Library!$C$5:$C$76=$D247),0),0)),"")</f>
        <v/>
      </c>
      <c r="AK247" s="48" t="str">
        <f ca="1">IFERROR(INDEX(_TECH_Initiative_Library!$AE$5:$AE$76,MATCH(1,INDEX((_TECH_Initiative_Library!$B$5:$B$76=$C247)*(_TECH_Initiative_Library!$C$5:$C$76=$D247),0),0)),"")</f>
        <v/>
      </c>
      <c r="AL247" s="48" t="str">
        <f>IF($B247="Yes",IFERROR(SUMIFS(_TECH_Industry_Templates!$E:$E,_TECH_Industry_Templates!$A:$A,'Company Profile'!$B$9,_TECH_Industry_Templates!$B:$B,$C247),1),"")</f>
        <v/>
      </c>
      <c r="AM247" s="48" t="str">
        <f t="shared" si="39"/>
        <v/>
      </c>
      <c r="AN247" s="48" t="str">
        <f>IF($AM247="","",RANK.EQ($AM247,$AM$8:$AM$414,0)+COUNTIF($AM$8:$AM247,$AM247)-1)</f>
        <v/>
      </c>
    </row>
    <row r="248" spans="1:40" ht="71.25">
      <c r="A248" s="28" t="str">
        <f>IF($AM248="","",RANK.EQ($AM248,$AM$8:$AM$414,0)+COUNTIF($AM$8:$AM248,$AM248)-1)</f>
        <v/>
      </c>
      <c r="B248" s="7" t="str">
        <f t="shared" si="30"/>
        <v/>
      </c>
      <c r="C248" s="7" t="s">
        <v>84</v>
      </c>
      <c r="D248" s="7" t="s">
        <v>1378</v>
      </c>
      <c r="E248" s="7" t="s">
        <v>4314</v>
      </c>
      <c r="F248" s="7" t="s">
        <v>4315</v>
      </c>
      <c r="G248" s="28" t="str">
        <f>IF(OR(COUNTA('Sales CRM'!$H$9)=0,'Sales CRM'!$H$9="N/A"),"",VALUE('Sales CRM'!$H$9))</f>
        <v/>
      </c>
      <c r="H248" s="7" t="str">
        <f t="shared" si="31"/>
        <v/>
      </c>
      <c r="I248" s="7" t="str">
        <f>IF($G248="","",IFERROR(IF('Sales CRM'!$L$9="",IF($G248&lt;=1,"Critical",IF($G248=2,"High",IF($G248=3,"Medium",IF($G248=4,"Low","Optimized")))),'Sales CRM'!$L$9),IF($G248&lt;=1,"Critical",IF($G248=2,"High",IF($G248=3,"Medium",IF($G248=4,"Low","Optimized"))))))</f>
        <v/>
      </c>
      <c r="J248" s="7" t="str">
        <f>IF($G248="","",IFERROR(INDEX('Recommendation Matrix'!$E$5:$J$411,MATCH($E248,'Recommendation Matrix'!$A$5:$A$411,0),$G248+1),""))</f>
        <v/>
      </c>
      <c r="K248" s="7" t="str">
        <f>IF($G248="","",IFERROR(VLOOKUP($E248,'Recommendation Matrix'!$A$5:$K$411,11,FALSE),""))</f>
        <v/>
      </c>
      <c r="L248" s="28" t="str">
        <f t="shared" si="32"/>
        <v/>
      </c>
      <c r="M248" s="28" t="str">
        <f>IF($G248="","",IFERROR(INDEX('Recommendation Matrix'!$L$5:$Q$411,MATCH($E248,'Recommendation Matrix'!$A$5:$A$411,0),$G248+1),""))</f>
        <v/>
      </c>
      <c r="N248" s="28" t="str">
        <f t="shared" si="33"/>
        <v/>
      </c>
      <c r="O248" s="28" t="str">
        <f t="shared" si="34"/>
        <v/>
      </c>
      <c r="P248" s="28" t="str">
        <f t="shared" si="35"/>
        <v/>
      </c>
      <c r="Q248" s="28" t="str">
        <f t="shared" si="36"/>
        <v/>
      </c>
      <c r="R248" s="8" t="str">
        <f t="shared" si="37"/>
        <v/>
      </c>
      <c r="S248" s="28">
        <f>IFERROR('Sales CRM'!$G$9,"")</f>
        <v>4</v>
      </c>
      <c r="T248" s="28">
        <f>IFERROR('Sales CRM'!$W$9,"")</f>
        <v>5</v>
      </c>
      <c r="U248" s="28">
        <f>IFERROR('Sales CRM'!$X$9,"")</f>
        <v>5</v>
      </c>
      <c r="V248" s="28">
        <f>IFERROR('Sales CRM'!$Y$9,"")</f>
        <v>5</v>
      </c>
      <c r="W248" s="7" t="s">
        <v>4281</v>
      </c>
      <c r="X248" s="7" t="s">
        <v>4282</v>
      </c>
      <c r="Y248" s="7" t="s">
        <v>4316</v>
      </c>
      <c r="Z248" s="7">
        <f>IFERROR('Sales CRM'!$U$9,"")</f>
        <v>0</v>
      </c>
      <c r="AA248" s="7"/>
      <c r="AB248" s="29"/>
      <c r="AC248" s="7"/>
      <c r="AD248" s="48" t="str">
        <f>IF($B248="Yes",IFERROR(SUMIFS(_TECH_Crisis_Model!$D$5:$D$191,_TECH_Crisis_Model!$A$5:$A$191,'Crisis Simulator'!$B$4,_TECH_Crisis_Model!$B$5:$B$191,$C248),1),"")</f>
        <v/>
      </c>
      <c r="AE248" s="48" t="str">
        <f t="shared" si="38"/>
        <v/>
      </c>
      <c r="AF248" s="48" t="str">
        <f>IFERROR(INDEX(_TECH_Crisis_Model!$E$5:$E$191,MATCH('Crisis Simulator'!$B$4&amp;"|"&amp;$C248,_TECH_Crisis_Model!$I$5:$I$191,0)),"")</f>
        <v>CRM discipline, pipeline visibility and retention actions determine revenue protection.</v>
      </c>
      <c r="AG248" s="48" t="str">
        <f>IFERROR(INDEX(_TECH_Crisis_Model!$G$5:$G$191,MATCH('Crisis Simulator'!$B$4&amp;"|"&amp;$C248,_TECH_Crisis_Model!$I$5:$I$191,0)),"")</f>
        <v>Improve CRM hygiene, retention playbooks, pipeline scenarios and customer segmentation.</v>
      </c>
      <c r="AH248" s="48" t="str">
        <f>IFERROR(INDEX(_TECH_Initiative_Library!$A$5:$A$76,MATCH(1,INDEX((_TECH_Initiative_Library!$B$5:$B$76=$C248)*(_TECH_Initiative_Library!$C$5:$C$76=$D248),0),0)),"")</f>
        <v>INI-041</v>
      </c>
      <c r="AI248" s="48" t="str">
        <f>IFERROR(INDEX(_TECH_Initiative_Library!$F$5:$F$76,MATCH(1,INDEX((_TECH_Initiative_Library!$B$5:$B$76=$C248)*(_TECH_Initiative_Library!$C$5:$C$76=$D248),0),0)),"")</f>
        <v>Stabilize CRM data model, ownership and adoption</v>
      </c>
      <c r="AJ248" s="48" t="str">
        <f ca="1">IFERROR(INDEX(_TECH_Initiative_Library!$AC$5:$AC$76,MATCH(1,INDEX((_TECH_Initiative_Library!$B$5:$B$76=$C248)*(_TECH_Initiative_Library!$C$5:$C$76=$D248),0),0)),"")</f>
        <v/>
      </c>
      <c r="AK248" s="48" t="str">
        <f ca="1">IFERROR(INDEX(_TECH_Initiative_Library!$AE$5:$AE$76,MATCH(1,INDEX((_TECH_Initiative_Library!$B$5:$B$76=$C248)*(_TECH_Initiative_Library!$C$5:$C$76=$D248),0),0)),"")</f>
        <v/>
      </c>
      <c r="AL248" s="48" t="str">
        <f>IF($B248="Yes",IFERROR(SUMIFS(_TECH_Industry_Templates!$E:$E,_TECH_Industry_Templates!$A:$A,'Company Profile'!$B$9,_TECH_Industry_Templates!$B:$B,$C248),1),"")</f>
        <v/>
      </c>
      <c r="AM248" s="48" t="str">
        <f t="shared" si="39"/>
        <v/>
      </c>
      <c r="AN248" s="48" t="str">
        <f>IF($AM248="","",RANK.EQ($AM248,$AM$8:$AM$414,0)+COUNTIF($AM$8:$AM248,$AM248)-1)</f>
        <v/>
      </c>
    </row>
    <row r="249" spans="1:40" ht="57">
      <c r="A249" s="28" t="str">
        <f>IF($AM249="","",RANK.EQ($AM249,$AM$8:$AM$414,0)+COUNTIF($AM$8:$AM249,$AM249)-1)</f>
        <v/>
      </c>
      <c r="B249" s="7" t="str">
        <f t="shared" si="30"/>
        <v/>
      </c>
      <c r="C249" s="7" t="s">
        <v>84</v>
      </c>
      <c r="D249" s="7" t="s">
        <v>1391</v>
      </c>
      <c r="E249" s="7" t="s">
        <v>4324</v>
      </c>
      <c r="F249" s="7" t="s">
        <v>4325</v>
      </c>
      <c r="G249" s="28" t="str">
        <f>IF(OR(COUNTA('Sales CRM'!$H$10)=0,'Sales CRM'!$H$10="N/A"),"",VALUE('Sales CRM'!$H$10))</f>
        <v/>
      </c>
      <c r="H249" s="7" t="str">
        <f t="shared" si="31"/>
        <v/>
      </c>
      <c r="I249" s="7" t="str">
        <f>IF($G249="","",IFERROR(IF('Sales CRM'!$L$10="",IF($G249&lt;=1,"Critical",IF($G249=2,"High",IF($G249=3,"Medium",IF($G249=4,"Low","Optimized")))),'Sales CRM'!$L$10),IF($G249&lt;=1,"Critical",IF($G249=2,"High",IF($G249=3,"Medium",IF($G249=4,"Low","Optimized"))))))</f>
        <v/>
      </c>
      <c r="J249" s="7" t="str">
        <f>IF($G249="","",IFERROR(INDEX('Recommendation Matrix'!$E$5:$J$411,MATCH($E249,'Recommendation Matrix'!$A$5:$A$411,0),$G249+1),""))</f>
        <v/>
      </c>
      <c r="K249" s="7" t="str">
        <f>IF($G249="","",IFERROR(VLOOKUP($E249,'Recommendation Matrix'!$A$5:$K$411,11,FALSE),""))</f>
        <v/>
      </c>
      <c r="L249" s="28" t="str">
        <f t="shared" si="32"/>
        <v/>
      </c>
      <c r="M249" s="28" t="str">
        <f>IF($G249="","",IFERROR(INDEX('Recommendation Matrix'!$L$5:$Q$411,MATCH($E249,'Recommendation Matrix'!$A$5:$A$411,0),$G249+1),""))</f>
        <v/>
      </c>
      <c r="N249" s="28" t="str">
        <f t="shared" si="33"/>
        <v/>
      </c>
      <c r="O249" s="28" t="str">
        <f t="shared" si="34"/>
        <v/>
      </c>
      <c r="P249" s="28" t="str">
        <f t="shared" si="35"/>
        <v/>
      </c>
      <c r="Q249" s="28" t="str">
        <f t="shared" si="36"/>
        <v/>
      </c>
      <c r="R249" s="8" t="str">
        <f t="shared" si="37"/>
        <v/>
      </c>
      <c r="S249" s="28">
        <f>IFERROR('Sales CRM'!$G$10,"")</f>
        <v>4</v>
      </c>
      <c r="T249" s="28">
        <f>IFERROR('Sales CRM'!$W$10,"")</f>
        <v>4</v>
      </c>
      <c r="U249" s="28">
        <f>IFERROR('Sales CRM'!$X$10,"")</f>
        <v>5</v>
      </c>
      <c r="V249" s="28">
        <f>IFERROR('Sales CRM'!$Y$10,"")</f>
        <v>5</v>
      </c>
      <c r="W249" s="7" t="s">
        <v>4281</v>
      </c>
      <c r="X249" s="7" t="s">
        <v>4282</v>
      </c>
      <c r="Y249" s="7" t="s">
        <v>4326</v>
      </c>
      <c r="Z249" s="7">
        <f>IFERROR('Sales CRM'!$U$10,"")</f>
        <v>0</v>
      </c>
      <c r="AA249" s="7"/>
      <c r="AB249" s="29"/>
      <c r="AC249" s="7"/>
      <c r="AD249" s="48" t="str">
        <f>IF($B249="Yes",IFERROR(SUMIFS(_TECH_Crisis_Model!$D$5:$D$191,_TECH_Crisis_Model!$A$5:$A$191,'Crisis Simulator'!$B$4,_TECH_Crisis_Model!$B$5:$B$191,$C249),1),"")</f>
        <v/>
      </c>
      <c r="AE249" s="48" t="str">
        <f t="shared" si="38"/>
        <v/>
      </c>
      <c r="AF249" s="48" t="str">
        <f>IFERROR(INDEX(_TECH_Crisis_Model!$E$5:$E$191,MATCH('Crisis Simulator'!$B$4&amp;"|"&amp;$C249,_TECH_Crisis_Model!$I$5:$I$191,0)),"")</f>
        <v>CRM discipline, pipeline visibility and retention actions determine revenue protection.</v>
      </c>
      <c r="AG249" s="48" t="str">
        <f>IFERROR(INDEX(_TECH_Crisis_Model!$G$5:$G$191,MATCH('Crisis Simulator'!$B$4&amp;"|"&amp;$C249,_TECH_Crisis_Model!$I$5:$I$191,0)),"")</f>
        <v>Improve CRM hygiene, retention playbooks, pipeline scenarios and customer segmentation.</v>
      </c>
      <c r="AH249" s="48" t="str">
        <f>IFERROR(INDEX(_TECH_Initiative_Library!$A$5:$A$76,MATCH(1,INDEX((_TECH_Initiative_Library!$B$5:$B$76=$C249)*(_TECH_Initiative_Library!$C$5:$C$76=$D249),0),0)),"")</f>
        <v>INI-042</v>
      </c>
      <c r="AI249" s="48" t="str">
        <f>IFERROR(INDEX(_TECH_Initiative_Library!$F$5:$F$76,MATCH(1,INDEX((_TECH_Initiative_Library!$B$5:$B$76=$C249)*(_TECH_Initiative_Library!$C$5:$C$76=$D249),0),0)),"")</f>
        <v>Build pipeline visibility, forecast discipline and revenue scenarios</v>
      </c>
      <c r="AJ249" s="48" t="str">
        <f ca="1">IFERROR(INDEX(_TECH_Initiative_Library!$AC$5:$AC$76,MATCH(1,INDEX((_TECH_Initiative_Library!$B$5:$B$76=$C249)*(_TECH_Initiative_Library!$C$5:$C$76=$D249),0),0)),"")</f>
        <v/>
      </c>
      <c r="AK249" s="48" t="str">
        <f ca="1">IFERROR(INDEX(_TECH_Initiative_Library!$AE$5:$AE$76,MATCH(1,INDEX((_TECH_Initiative_Library!$B$5:$B$76=$C249)*(_TECH_Initiative_Library!$C$5:$C$76=$D249),0),0)),"")</f>
        <v/>
      </c>
      <c r="AL249" s="48" t="str">
        <f>IF($B249="Yes",IFERROR(SUMIFS(_TECH_Industry_Templates!$E:$E,_TECH_Industry_Templates!$A:$A,'Company Profile'!$B$9,_TECH_Industry_Templates!$B:$B,$C249),1),"")</f>
        <v/>
      </c>
      <c r="AM249" s="48" t="str">
        <f t="shared" si="39"/>
        <v/>
      </c>
      <c r="AN249" s="48" t="str">
        <f>IF($AM249="","",RANK.EQ($AM249,$AM$8:$AM$414,0)+COUNTIF($AM$8:$AM249,$AM249)-1)</f>
        <v/>
      </c>
    </row>
    <row r="250" spans="1:40" ht="71.25">
      <c r="A250" s="28" t="str">
        <f>IF($AM250="","",RANK.EQ($AM250,$AM$8:$AM$414,0)+COUNTIF($AM$8:$AM250,$AM250)-1)</f>
        <v/>
      </c>
      <c r="B250" s="7" t="str">
        <f t="shared" si="30"/>
        <v/>
      </c>
      <c r="C250" s="7" t="s">
        <v>84</v>
      </c>
      <c r="D250" s="7" t="s">
        <v>1391</v>
      </c>
      <c r="E250" s="7" t="s">
        <v>4334</v>
      </c>
      <c r="F250" s="7" t="s">
        <v>4335</v>
      </c>
      <c r="G250" s="28" t="str">
        <f>IF(OR(COUNTA('Sales CRM'!$H$11)=0,'Sales CRM'!$H$11="N/A"),"",VALUE('Sales CRM'!$H$11))</f>
        <v/>
      </c>
      <c r="H250" s="7" t="str">
        <f t="shared" si="31"/>
        <v/>
      </c>
      <c r="I250" s="7" t="str">
        <f>IF($G250="","",IFERROR(IF('Sales CRM'!$L$11="",IF($G250&lt;=1,"Critical",IF($G250=2,"High",IF($G250=3,"Medium",IF($G250=4,"Low","Optimized")))),'Sales CRM'!$L$11),IF($G250&lt;=1,"Critical",IF($G250=2,"High",IF($G250=3,"Medium",IF($G250=4,"Low","Optimized"))))))</f>
        <v/>
      </c>
      <c r="J250" s="7" t="str">
        <f>IF($G250="","",IFERROR(INDEX('Recommendation Matrix'!$E$5:$J$411,MATCH($E250,'Recommendation Matrix'!$A$5:$A$411,0),$G250+1),""))</f>
        <v/>
      </c>
      <c r="K250" s="7" t="str">
        <f>IF($G250="","",IFERROR(VLOOKUP($E250,'Recommendation Matrix'!$A$5:$K$411,11,FALSE),""))</f>
        <v/>
      </c>
      <c r="L250" s="28" t="str">
        <f t="shared" si="32"/>
        <v/>
      </c>
      <c r="M250" s="28" t="str">
        <f>IF($G250="","",IFERROR(INDEX('Recommendation Matrix'!$L$5:$Q$411,MATCH($E250,'Recommendation Matrix'!$A$5:$A$411,0),$G250+1),""))</f>
        <v/>
      </c>
      <c r="N250" s="28" t="str">
        <f t="shared" si="33"/>
        <v/>
      </c>
      <c r="O250" s="28" t="str">
        <f t="shared" si="34"/>
        <v/>
      </c>
      <c r="P250" s="28" t="str">
        <f t="shared" si="35"/>
        <v/>
      </c>
      <c r="Q250" s="28" t="str">
        <f t="shared" si="36"/>
        <v/>
      </c>
      <c r="R250" s="8" t="str">
        <f t="shared" si="37"/>
        <v/>
      </c>
      <c r="S250" s="28">
        <f>IFERROR('Sales CRM'!$G$11,"")</f>
        <v>5</v>
      </c>
      <c r="T250" s="28">
        <f>IFERROR('Sales CRM'!$W$11,"")</f>
        <v>4</v>
      </c>
      <c r="U250" s="28">
        <f>IFERROR('Sales CRM'!$X$11,"")</f>
        <v>5</v>
      </c>
      <c r="V250" s="28">
        <f>IFERROR('Sales CRM'!$Y$11,"")</f>
        <v>5</v>
      </c>
      <c r="W250" s="7" t="s">
        <v>4281</v>
      </c>
      <c r="X250" s="7" t="s">
        <v>4282</v>
      </c>
      <c r="Y250" s="7" t="s">
        <v>4336</v>
      </c>
      <c r="Z250" s="7">
        <f>IFERROR('Sales CRM'!$U$11,"")</f>
        <v>0</v>
      </c>
      <c r="AA250" s="7"/>
      <c r="AB250" s="29"/>
      <c r="AC250" s="7"/>
      <c r="AD250" s="48" t="str">
        <f>IF($B250="Yes",IFERROR(SUMIFS(_TECH_Crisis_Model!$D$5:$D$191,_TECH_Crisis_Model!$A$5:$A$191,'Crisis Simulator'!$B$4,_TECH_Crisis_Model!$B$5:$B$191,$C250),1),"")</f>
        <v/>
      </c>
      <c r="AE250" s="48" t="str">
        <f t="shared" si="38"/>
        <v/>
      </c>
      <c r="AF250" s="48" t="str">
        <f>IFERROR(INDEX(_TECH_Crisis_Model!$E$5:$E$191,MATCH('Crisis Simulator'!$B$4&amp;"|"&amp;$C250,_TECH_Crisis_Model!$I$5:$I$191,0)),"")</f>
        <v>CRM discipline, pipeline visibility and retention actions determine revenue protection.</v>
      </c>
      <c r="AG250" s="48" t="str">
        <f>IFERROR(INDEX(_TECH_Crisis_Model!$G$5:$G$191,MATCH('Crisis Simulator'!$B$4&amp;"|"&amp;$C250,_TECH_Crisis_Model!$I$5:$I$191,0)),"")</f>
        <v>Improve CRM hygiene, retention playbooks, pipeline scenarios and customer segmentation.</v>
      </c>
      <c r="AH250" s="48" t="str">
        <f>IFERROR(INDEX(_TECH_Initiative_Library!$A$5:$A$76,MATCH(1,INDEX((_TECH_Initiative_Library!$B$5:$B$76=$C250)*(_TECH_Initiative_Library!$C$5:$C$76=$D250),0),0)),"")</f>
        <v>INI-042</v>
      </c>
      <c r="AI250" s="48" t="str">
        <f>IFERROR(INDEX(_TECH_Initiative_Library!$F$5:$F$76,MATCH(1,INDEX((_TECH_Initiative_Library!$B$5:$B$76=$C250)*(_TECH_Initiative_Library!$C$5:$C$76=$D250),0),0)),"")</f>
        <v>Build pipeline visibility, forecast discipline and revenue scenarios</v>
      </c>
      <c r="AJ250" s="48" t="str">
        <f ca="1">IFERROR(INDEX(_TECH_Initiative_Library!$AC$5:$AC$76,MATCH(1,INDEX((_TECH_Initiative_Library!$B$5:$B$76=$C250)*(_TECH_Initiative_Library!$C$5:$C$76=$D250),0),0)),"")</f>
        <v/>
      </c>
      <c r="AK250" s="48" t="str">
        <f ca="1">IFERROR(INDEX(_TECH_Initiative_Library!$AE$5:$AE$76,MATCH(1,INDEX((_TECH_Initiative_Library!$B$5:$B$76=$C250)*(_TECH_Initiative_Library!$C$5:$C$76=$D250),0),0)),"")</f>
        <v/>
      </c>
      <c r="AL250" s="48" t="str">
        <f>IF($B250="Yes",IFERROR(SUMIFS(_TECH_Industry_Templates!$E:$E,_TECH_Industry_Templates!$A:$A,'Company Profile'!$B$9,_TECH_Industry_Templates!$B:$B,$C250),1),"")</f>
        <v/>
      </c>
      <c r="AM250" s="48" t="str">
        <f t="shared" si="39"/>
        <v/>
      </c>
      <c r="AN250" s="48" t="str">
        <f>IF($AM250="","",RANK.EQ($AM250,$AM$8:$AM$414,0)+COUNTIF($AM$8:$AM250,$AM250)-1)</f>
        <v/>
      </c>
    </row>
    <row r="251" spans="1:40" ht="71.25">
      <c r="A251" s="28" t="str">
        <f>IF($AM251="","",RANK.EQ($AM251,$AM$8:$AM$414,0)+COUNTIF($AM$8:$AM251,$AM251)-1)</f>
        <v/>
      </c>
      <c r="B251" s="7" t="str">
        <f t="shared" si="30"/>
        <v/>
      </c>
      <c r="C251" s="7" t="s">
        <v>84</v>
      </c>
      <c r="D251" s="7" t="s">
        <v>1391</v>
      </c>
      <c r="E251" s="7" t="s">
        <v>4344</v>
      </c>
      <c r="F251" s="7" t="s">
        <v>4345</v>
      </c>
      <c r="G251" s="28" t="str">
        <f>IF(OR(COUNTA('Sales CRM'!$H$12)=0,'Sales CRM'!$H$12="N/A"),"",VALUE('Sales CRM'!$H$12))</f>
        <v/>
      </c>
      <c r="H251" s="7" t="str">
        <f t="shared" si="31"/>
        <v/>
      </c>
      <c r="I251" s="7" t="str">
        <f>IF($G251="","",IFERROR(IF('Sales CRM'!$L$12="",IF($G251&lt;=1,"Critical",IF($G251=2,"High",IF($G251=3,"Medium",IF($G251=4,"Low","Optimized")))),'Sales CRM'!$L$12),IF($G251&lt;=1,"Critical",IF($G251=2,"High",IF($G251=3,"Medium",IF($G251=4,"Low","Optimized"))))))</f>
        <v/>
      </c>
      <c r="J251" s="7" t="str">
        <f>IF($G251="","",IFERROR(INDEX('Recommendation Matrix'!$E$5:$J$411,MATCH($E251,'Recommendation Matrix'!$A$5:$A$411,0),$G251+1),""))</f>
        <v/>
      </c>
      <c r="K251" s="7" t="str">
        <f>IF($G251="","",IFERROR(VLOOKUP($E251,'Recommendation Matrix'!$A$5:$K$411,11,FALSE),""))</f>
        <v/>
      </c>
      <c r="L251" s="28" t="str">
        <f t="shared" si="32"/>
        <v/>
      </c>
      <c r="M251" s="28" t="str">
        <f>IF($G251="","",IFERROR(INDEX('Recommendation Matrix'!$L$5:$Q$411,MATCH($E251,'Recommendation Matrix'!$A$5:$A$411,0),$G251+1),""))</f>
        <v/>
      </c>
      <c r="N251" s="28" t="str">
        <f t="shared" si="33"/>
        <v/>
      </c>
      <c r="O251" s="28" t="str">
        <f t="shared" si="34"/>
        <v/>
      </c>
      <c r="P251" s="28" t="str">
        <f t="shared" si="35"/>
        <v/>
      </c>
      <c r="Q251" s="28" t="str">
        <f t="shared" si="36"/>
        <v/>
      </c>
      <c r="R251" s="8" t="str">
        <f t="shared" si="37"/>
        <v/>
      </c>
      <c r="S251" s="28">
        <f>IFERROR('Sales CRM'!$G$12,"")</f>
        <v>4</v>
      </c>
      <c r="T251" s="28">
        <f>IFERROR('Sales CRM'!$W$12,"")</f>
        <v>4</v>
      </c>
      <c r="U251" s="28">
        <f>IFERROR('Sales CRM'!$X$12,"")</f>
        <v>5</v>
      </c>
      <c r="V251" s="28">
        <f>IFERROR('Sales CRM'!$Y$12,"")</f>
        <v>5</v>
      </c>
      <c r="W251" s="7" t="s">
        <v>4281</v>
      </c>
      <c r="X251" s="7" t="s">
        <v>4282</v>
      </c>
      <c r="Y251" s="7" t="s">
        <v>4346</v>
      </c>
      <c r="Z251" s="7">
        <f>IFERROR('Sales CRM'!$U$12,"")</f>
        <v>0</v>
      </c>
      <c r="AA251" s="7"/>
      <c r="AB251" s="29"/>
      <c r="AC251" s="7"/>
      <c r="AD251" s="48" t="str">
        <f>IF($B251="Yes",IFERROR(SUMIFS(_TECH_Crisis_Model!$D$5:$D$191,_TECH_Crisis_Model!$A$5:$A$191,'Crisis Simulator'!$B$4,_TECH_Crisis_Model!$B$5:$B$191,$C251),1),"")</f>
        <v/>
      </c>
      <c r="AE251" s="48" t="str">
        <f t="shared" si="38"/>
        <v/>
      </c>
      <c r="AF251" s="48" t="str">
        <f>IFERROR(INDEX(_TECH_Crisis_Model!$E$5:$E$191,MATCH('Crisis Simulator'!$B$4&amp;"|"&amp;$C251,_TECH_Crisis_Model!$I$5:$I$191,0)),"")</f>
        <v>CRM discipline, pipeline visibility and retention actions determine revenue protection.</v>
      </c>
      <c r="AG251" s="48" t="str">
        <f>IFERROR(INDEX(_TECH_Crisis_Model!$G$5:$G$191,MATCH('Crisis Simulator'!$B$4&amp;"|"&amp;$C251,_TECH_Crisis_Model!$I$5:$I$191,0)),"")</f>
        <v>Improve CRM hygiene, retention playbooks, pipeline scenarios and customer segmentation.</v>
      </c>
      <c r="AH251" s="48" t="str">
        <f>IFERROR(INDEX(_TECH_Initiative_Library!$A$5:$A$76,MATCH(1,INDEX((_TECH_Initiative_Library!$B$5:$B$76=$C251)*(_TECH_Initiative_Library!$C$5:$C$76=$D251),0),0)),"")</f>
        <v>INI-042</v>
      </c>
      <c r="AI251" s="48" t="str">
        <f>IFERROR(INDEX(_TECH_Initiative_Library!$F$5:$F$76,MATCH(1,INDEX((_TECH_Initiative_Library!$B$5:$B$76=$C251)*(_TECH_Initiative_Library!$C$5:$C$76=$D251),0),0)),"")</f>
        <v>Build pipeline visibility, forecast discipline and revenue scenarios</v>
      </c>
      <c r="AJ251" s="48" t="str">
        <f ca="1">IFERROR(INDEX(_TECH_Initiative_Library!$AC$5:$AC$76,MATCH(1,INDEX((_TECH_Initiative_Library!$B$5:$B$76=$C251)*(_TECH_Initiative_Library!$C$5:$C$76=$D251),0),0)),"")</f>
        <v/>
      </c>
      <c r="AK251" s="48" t="str">
        <f ca="1">IFERROR(INDEX(_TECH_Initiative_Library!$AE$5:$AE$76,MATCH(1,INDEX((_TECH_Initiative_Library!$B$5:$B$76=$C251)*(_TECH_Initiative_Library!$C$5:$C$76=$D251),0),0)),"")</f>
        <v/>
      </c>
      <c r="AL251" s="48" t="str">
        <f>IF($B251="Yes",IFERROR(SUMIFS(_TECH_Industry_Templates!$E:$E,_TECH_Industry_Templates!$A:$A,'Company Profile'!$B$9,_TECH_Industry_Templates!$B:$B,$C251),1),"")</f>
        <v/>
      </c>
      <c r="AM251" s="48" t="str">
        <f t="shared" si="39"/>
        <v/>
      </c>
      <c r="AN251" s="48" t="str">
        <f>IF($AM251="","",RANK.EQ($AM251,$AM$8:$AM$414,0)+COUNTIF($AM$8:$AM251,$AM251)-1)</f>
        <v/>
      </c>
    </row>
    <row r="252" spans="1:40" ht="71.25">
      <c r="A252" s="28" t="str">
        <f>IF($AM252="","",RANK.EQ($AM252,$AM$8:$AM$414,0)+COUNTIF($AM$8:$AM252,$AM252)-1)</f>
        <v/>
      </c>
      <c r="B252" s="7" t="str">
        <f t="shared" si="30"/>
        <v/>
      </c>
      <c r="C252" s="7" t="s">
        <v>84</v>
      </c>
      <c r="D252" s="7" t="s">
        <v>1391</v>
      </c>
      <c r="E252" s="7" t="s">
        <v>4354</v>
      </c>
      <c r="F252" s="7" t="s">
        <v>4355</v>
      </c>
      <c r="G252" s="28" t="str">
        <f>IF(OR(COUNTA('Sales CRM'!$H$13)=0,'Sales CRM'!$H$13="N/A"),"",VALUE('Sales CRM'!$H$13))</f>
        <v/>
      </c>
      <c r="H252" s="7" t="str">
        <f t="shared" si="31"/>
        <v/>
      </c>
      <c r="I252" s="7" t="str">
        <f>IF($G252="","",IFERROR(IF('Sales CRM'!$L$13="",IF($G252&lt;=1,"Critical",IF($G252=2,"High",IF($G252=3,"Medium",IF($G252=4,"Low","Optimized")))),'Sales CRM'!$L$13),IF($G252&lt;=1,"Critical",IF($G252=2,"High",IF($G252=3,"Medium",IF($G252=4,"Low","Optimized"))))))</f>
        <v/>
      </c>
      <c r="J252" s="7" t="str">
        <f>IF($G252="","",IFERROR(INDEX('Recommendation Matrix'!$E$5:$J$411,MATCH($E252,'Recommendation Matrix'!$A$5:$A$411,0),$G252+1),""))</f>
        <v/>
      </c>
      <c r="K252" s="7" t="str">
        <f>IF($G252="","",IFERROR(VLOOKUP($E252,'Recommendation Matrix'!$A$5:$K$411,11,FALSE),""))</f>
        <v/>
      </c>
      <c r="L252" s="28" t="str">
        <f t="shared" si="32"/>
        <v/>
      </c>
      <c r="M252" s="28" t="str">
        <f>IF($G252="","",IFERROR(INDEX('Recommendation Matrix'!$L$5:$Q$411,MATCH($E252,'Recommendation Matrix'!$A$5:$A$411,0),$G252+1),""))</f>
        <v/>
      </c>
      <c r="N252" s="28" t="str">
        <f t="shared" si="33"/>
        <v/>
      </c>
      <c r="O252" s="28" t="str">
        <f t="shared" si="34"/>
        <v/>
      </c>
      <c r="P252" s="28" t="str">
        <f t="shared" si="35"/>
        <v/>
      </c>
      <c r="Q252" s="28" t="str">
        <f t="shared" si="36"/>
        <v/>
      </c>
      <c r="R252" s="8" t="str">
        <f t="shared" si="37"/>
        <v/>
      </c>
      <c r="S252" s="28">
        <f>IFERROR('Sales CRM'!$G$13,"")</f>
        <v>4</v>
      </c>
      <c r="T252" s="28">
        <f>IFERROR('Sales CRM'!$W$13,"")</f>
        <v>4</v>
      </c>
      <c r="U252" s="28">
        <f>IFERROR('Sales CRM'!$X$13,"")</f>
        <v>5</v>
      </c>
      <c r="V252" s="28">
        <f>IFERROR('Sales CRM'!$Y$13,"")</f>
        <v>5</v>
      </c>
      <c r="W252" s="7" t="s">
        <v>4281</v>
      </c>
      <c r="X252" s="7" t="s">
        <v>4282</v>
      </c>
      <c r="Y252" s="7" t="s">
        <v>4356</v>
      </c>
      <c r="Z252" s="7">
        <f>IFERROR('Sales CRM'!$U$13,"")</f>
        <v>0</v>
      </c>
      <c r="AA252" s="7"/>
      <c r="AB252" s="29"/>
      <c r="AC252" s="7"/>
      <c r="AD252" s="48" t="str">
        <f>IF($B252="Yes",IFERROR(SUMIFS(_TECH_Crisis_Model!$D$5:$D$191,_TECH_Crisis_Model!$A$5:$A$191,'Crisis Simulator'!$B$4,_TECH_Crisis_Model!$B$5:$B$191,$C252),1),"")</f>
        <v/>
      </c>
      <c r="AE252" s="48" t="str">
        <f t="shared" si="38"/>
        <v/>
      </c>
      <c r="AF252" s="48" t="str">
        <f>IFERROR(INDEX(_TECH_Crisis_Model!$E$5:$E$191,MATCH('Crisis Simulator'!$B$4&amp;"|"&amp;$C252,_TECH_Crisis_Model!$I$5:$I$191,0)),"")</f>
        <v>CRM discipline, pipeline visibility and retention actions determine revenue protection.</v>
      </c>
      <c r="AG252" s="48" t="str">
        <f>IFERROR(INDEX(_TECH_Crisis_Model!$G$5:$G$191,MATCH('Crisis Simulator'!$B$4&amp;"|"&amp;$C252,_TECH_Crisis_Model!$I$5:$I$191,0)),"")</f>
        <v>Improve CRM hygiene, retention playbooks, pipeline scenarios and customer segmentation.</v>
      </c>
      <c r="AH252" s="48" t="str">
        <f>IFERROR(INDEX(_TECH_Initiative_Library!$A$5:$A$76,MATCH(1,INDEX((_TECH_Initiative_Library!$B$5:$B$76=$C252)*(_TECH_Initiative_Library!$C$5:$C$76=$D252),0),0)),"")</f>
        <v>INI-042</v>
      </c>
      <c r="AI252" s="48" t="str">
        <f>IFERROR(INDEX(_TECH_Initiative_Library!$F$5:$F$76,MATCH(1,INDEX((_TECH_Initiative_Library!$B$5:$B$76=$C252)*(_TECH_Initiative_Library!$C$5:$C$76=$D252),0),0)),"")</f>
        <v>Build pipeline visibility, forecast discipline and revenue scenarios</v>
      </c>
      <c r="AJ252" s="48" t="str">
        <f ca="1">IFERROR(INDEX(_TECH_Initiative_Library!$AC$5:$AC$76,MATCH(1,INDEX((_TECH_Initiative_Library!$B$5:$B$76=$C252)*(_TECH_Initiative_Library!$C$5:$C$76=$D252),0),0)),"")</f>
        <v/>
      </c>
      <c r="AK252" s="48" t="str">
        <f ca="1">IFERROR(INDEX(_TECH_Initiative_Library!$AE$5:$AE$76,MATCH(1,INDEX((_TECH_Initiative_Library!$B$5:$B$76=$C252)*(_TECH_Initiative_Library!$C$5:$C$76=$D252),0),0)),"")</f>
        <v/>
      </c>
      <c r="AL252" s="48" t="str">
        <f>IF($B252="Yes",IFERROR(SUMIFS(_TECH_Industry_Templates!$E:$E,_TECH_Industry_Templates!$A:$A,'Company Profile'!$B$9,_TECH_Industry_Templates!$B:$B,$C252),1),"")</f>
        <v/>
      </c>
      <c r="AM252" s="48" t="str">
        <f t="shared" si="39"/>
        <v/>
      </c>
      <c r="AN252" s="48" t="str">
        <f>IF($AM252="","",RANK.EQ($AM252,$AM$8:$AM$414,0)+COUNTIF($AM$8:$AM252,$AM252)-1)</f>
        <v/>
      </c>
    </row>
    <row r="253" spans="1:40" ht="71.25">
      <c r="A253" s="28" t="str">
        <f>IF($AM253="","",RANK.EQ($AM253,$AM$8:$AM$414,0)+COUNTIF($AM$8:$AM253,$AM253)-1)</f>
        <v/>
      </c>
      <c r="B253" s="7" t="str">
        <f t="shared" si="30"/>
        <v/>
      </c>
      <c r="C253" s="7" t="s">
        <v>84</v>
      </c>
      <c r="D253" s="7" t="s">
        <v>1391</v>
      </c>
      <c r="E253" s="7" t="s">
        <v>4364</v>
      </c>
      <c r="F253" s="7" t="s">
        <v>4365</v>
      </c>
      <c r="G253" s="28" t="str">
        <f>IF(OR(COUNTA('Sales CRM'!$H$14)=0,'Sales CRM'!$H$14="N/A"),"",VALUE('Sales CRM'!$H$14))</f>
        <v/>
      </c>
      <c r="H253" s="7" t="str">
        <f t="shared" si="31"/>
        <v/>
      </c>
      <c r="I253" s="7" t="str">
        <f>IF($G253="","",IFERROR(IF('Sales CRM'!$L$14="",IF($G253&lt;=1,"Critical",IF($G253=2,"High",IF($G253=3,"Medium",IF($G253=4,"Low","Optimized")))),'Sales CRM'!$L$14),IF($G253&lt;=1,"Critical",IF($G253=2,"High",IF($G253=3,"Medium",IF($G253=4,"Low","Optimized"))))))</f>
        <v/>
      </c>
      <c r="J253" s="7" t="str">
        <f>IF($G253="","",IFERROR(INDEX('Recommendation Matrix'!$E$5:$J$411,MATCH($E253,'Recommendation Matrix'!$A$5:$A$411,0),$G253+1),""))</f>
        <v/>
      </c>
      <c r="K253" s="7" t="str">
        <f>IF($G253="","",IFERROR(VLOOKUP($E253,'Recommendation Matrix'!$A$5:$K$411,11,FALSE),""))</f>
        <v/>
      </c>
      <c r="L253" s="28" t="str">
        <f t="shared" si="32"/>
        <v/>
      </c>
      <c r="M253" s="28" t="str">
        <f>IF($G253="","",IFERROR(INDEX('Recommendation Matrix'!$L$5:$Q$411,MATCH($E253,'Recommendation Matrix'!$A$5:$A$411,0),$G253+1),""))</f>
        <v/>
      </c>
      <c r="N253" s="28" t="str">
        <f t="shared" si="33"/>
        <v/>
      </c>
      <c r="O253" s="28" t="str">
        <f t="shared" si="34"/>
        <v/>
      </c>
      <c r="P253" s="28" t="str">
        <f t="shared" si="35"/>
        <v/>
      </c>
      <c r="Q253" s="28" t="str">
        <f t="shared" si="36"/>
        <v/>
      </c>
      <c r="R253" s="8" t="str">
        <f t="shared" si="37"/>
        <v/>
      </c>
      <c r="S253" s="28">
        <f>IFERROR('Sales CRM'!$G$14,"")</f>
        <v>3</v>
      </c>
      <c r="T253" s="28">
        <f>IFERROR('Sales CRM'!$W$14,"")</f>
        <v>5</v>
      </c>
      <c r="U253" s="28">
        <f>IFERROR('Sales CRM'!$X$14,"")</f>
        <v>5</v>
      </c>
      <c r="V253" s="28">
        <f>IFERROR('Sales CRM'!$Y$14,"")</f>
        <v>5</v>
      </c>
      <c r="W253" s="7" t="s">
        <v>4281</v>
      </c>
      <c r="X253" s="7" t="s">
        <v>4282</v>
      </c>
      <c r="Y253" s="7" t="s">
        <v>4366</v>
      </c>
      <c r="Z253" s="7">
        <f>IFERROR('Sales CRM'!$U$14,"")</f>
        <v>0</v>
      </c>
      <c r="AA253" s="7"/>
      <c r="AB253" s="29"/>
      <c r="AC253" s="7"/>
      <c r="AD253" s="48" t="str">
        <f>IF($B253="Yes",IFERROR(SUMIFS(_TECH_Crisis_Model!$D$5:$D$191,_TECH_Crisis_Model!$A$5:$A$191,'Crisis Simulator'!$B$4,_TECH_Crisis_Model!$B$5:$B$191,$C253),1),"")</f>
        <v/>
      </c>
      <c r="AE253" s="48" t="str">
        <f t="shared" si="38"/>
        <v/>
      </c>
      <c r="AF253" s="48" t="str">
        <f>IFERROR(INDEX(_TECH_Crisis_Model!$E$5:$E$191,MATCH('Crisis Simulator'!$B$4&amp;"|"&amp;$C253,_TECH_Crisis_Model!$I$5:$I$191,0)),"")</f>
        <v>CRM discipline, pipeline visibility and retention actions determine revenue protection.</v>
      </c>
      <c r="AG253" s="48" t="str">
        <f>IFERROR(INDEX(_TECH_Crisis_Model!$G$5:$G$191,MATCH('Crisis Simulator'!$B$4&amp;"|"&amp;$C253,_TECH_Crisis_Model!$I$5:$I$191,0)),"")</f>
        <v>Improve CRM hygiene, retention playbooks, pipeline scenarios and customer segmentation.</v>
      </c>
      <c r="AH253" s="48" t="str">
        <f>IFERROR(INDEX(_TECH_Initiative_Library!$A$5:$A$76,MATCH(1,INDEX((_TECH_Initiative_Library!$B$5:$B$76=$C253)*(_TECH_Initiative_Library!$C$5:$C$76=$D253),0),0)),"")</f>
        <v>INI-042</v>
      </c>
      <c r="AI253" s="48" t="str">
        <f>IFERROR(INDEX(_TECH_Initiative_Library!$F$5:$F$76,MATCH(1,INDEX((_TECH_Initiative_Library!$B$5:$B$76=$C253)*(_TECH_Initiative_Library!$C$5:$C$76=$D253),0),0)),"")</f>
        <v>Build pipeline visibility, forecast discipline and revenue scenarios</v>
      </c>
      <c r="AJ253" s="48" t="str">
        <f ca="1">IFERROR(INDEX(_TECH_Initiative_Library!$AC$5:$AC$76,MATCH(1,INDEX((_TECH_Initiative_Library!$B$5:$B$76=$C253)*(_TECH_Initiative_Library!$C$5:$C$76=$D253),0),0)),"")</f>
        <v/>
      </c>
      <c r="AK253" s="48" t="str">
        <f ca="1">IFERROR(INDEX(_TECH_Initiative_Library!$AE$5:$AE$76,MATCH(1,INDEX((_TECH_Initiative_Library!$B$5:$B$76=$C253)*(_TECH_Initiative_Library!$C$5:$C$76=$D253),0),0)),"")</f>
        <v/>
      </c>
      <c r="AL253" s="48" t="str">
        <f>IF($B253="Yes",IFERROR(SUMIFS(_TECH_Industry_Templates!$E:$E,_TECH_Industry_Templates!$A:$A,'Company Profile'!$B$9,_TECH_Industry_Templates!$B:$B,$C253),1),"")</f>
        <v/>
      </c>
      <c r="AM253" s="48" t="str">
        <f t="shared" si="39"/>
        <v/>
      </c>
      <c r="AN253" s="48" t="str">
        <f>IF($AM253="","",RANK.EQ($AM253,$AM$8:$AM$414,0)+COUNTIF($AM$8:$AM253,$AM253)-1)</f>
        <v/>
      </c>
    </row>
    <row r="254" spans="1:40" ht="85.5">
      <c r="A254" s="28" t="str">
        <f>IF($AM254="","",RANK.EQ($AM254,$AM$8:$AM$414,0)+COUNTIF($AM$8:$AM254,$AM254)-1)</f>
        <v/>
      </c>
      <c r="B254" s="7" t="str">
        <f t="shared" si="30"/>
        <v/>
      </c>
      <c r="C254" s="7" t="s">
        <v>84</v>
      </c>
      <c r="D254" s="7" t="s">
        <v>1399</v>
      </c>
      <c r="E254" s="7" t="s">
        <v>4374</v>
      </c>
      <c r="F254" s="7" t="s">
        <v>4375</v>
      </c>
      <c r="G254" s="28" t="str">
        <f>IF(OR(COUNTA('Sales CRM'!$H$15)=0,'Sales CRM'!$H$15="N/A"),"",VALUE('Sales CRM'!$H$15))</f>
        <v/>
      </c>
      <c r="H254" s="7" t="str">
        <f t="shared" si="31"/>
        <v/>
      </c>
      <c r="I254" s="7" t="str">
        <f>IF($G254="","",IFERROR(IF('Sales CRM'!$L$15="",IF($G254&lt;=1,"Critical",IF($G254=2,"High",IF($G254=3,"Medium",IF($G254=4,"Low","Optimized")))),'Sales CRM'!$L$15),IF($G254&lt;=1,"Critical",IF($G254=2,"High",IF($G254=3,"Medium",IF($G254=4,"Low","Optimized"))))))</f>
        <v/>
      </c>
      <c r="J254" s="7" t="str">
        <f>IF($G254="","",IFERROR(INDEX('Recommendation Matrix'!$E$5:$J$411,MATCH($E254,'Recommendation Matrix'!$A$5:$A$411,0),$G254+1),""))</f>
        <v/>
      </c>
      <c r="K254" s="7" t="str">
        <f>IF($G254="","",IFERROR(VLOOKUP($E254,'Recommendation Matrix'!$A$5:$K$411,11,FALSE),""))</f>
        <v/>
      </c>
      <c r="L254" s="28" t="str">
        <f t="shared" si="32"/>
        <v/>
      </c>
      <c r="M254" s="28" t="str">
        <f>IF($G254="","",IFERROR(INDEX('Recommendation Matrix'!$L$5:$Q$411,MATCH($E254,'Recommendation Matrix'!$A$5:$A$411,0),$G254+1),""))</f>
        <v/>
      </c>
      <c r="N254" s="28" t="str">
        <f t="shared" si="33"/>
        <v/>
      </c>
      <c r="O254" s="28" t="str">
        <f t="shared" si="34"/>
        <v/>
      </c>
      <c r="P254" s="28" t="str">
        <f t="shared" si="35"/>
        <v/>
      </c>
      <c r="Q254" s="28" t="str">
        <f t="shared" si="36"/>
        <v/>
      </c>
      <c r="R254" s="8" t="str">
        <f t="shared" si="37"/>
        <v/>
      </c>
      <c r="S254" s="28">
        <f>IFERROR('Sales CRM'!$G$15,"")</f>
        <v>4</v>
      </c>
      <c r="T254" s="28">
        <f>IFERROR('Sales CRM'!$W$15,"")</f>
        <v>4</v>
      </c>
      <c r="U254" s="28">
        <f>IFERROR('Sales CRM'!$X$15,"")</f>
        <v>5</v>
      </c>
      <c r="V254" s="28">
        <f>IFERROR('Sales CRM'!$Y$15,"")</f>
        <v>5</v>
      </c>
      <c r="W254" s="7" t="s">
        <v>4281</v>
      </c>
      <c r="X254" s="7" t="s">
        <v>4282</v>
      </c>
      <c r="Y254" s="7" t="s">
        <v>4376</v>
      </c>
      <c r="Z254" s="7">
        <f>IFERROR('Sales CRM'!$U$15,"")</f>
        <v>0</v>
      </c>
      <c r="AA254" s="7"/>
      <c r="AB254" s="29"/>
      <c r="AC254" s="7"/>
      <c r="AD254" s="48" t="str">
        <f>IF($B254="Yes",IFERROR(SUMIFS(_TECH_Crisis_Model!$D$5:$D$191,_TECH_Crisis_Model!$A$5:$A$191,'Crisis Simulator'!$B$4,_TECH_Crisis_Model!$B$5:$B$191,$C254),1),"")</f>
        <v/>
      </c>
      <c r="AE254" s="48" t="str">
        <f t="shared" si="38"/>
        <v/>
      </c>
      <c r="AF254" s="48" t="str">
        <f>IFERROR(INDEX(_TECH_Crisis_Model!$E$5:$E$191,MATCH('Crisis Simulator'!$B$4&amp;"|"&amp;$C254,_TECH_Crisis_Model!$I$5:$I$191,0)),"")</f>
        <v>CRM discipline, pipeline visibility and retention actions determine revenue protection.</v>
      </c>
      <c r="AG254" s="48" t="str">
        <f>IFERROR(INDEX(_TECH_Crisis_Model!$G$5:$G$191,MATCH('Crisis Simulator'!$B$4&amp;"|"&amp;$C254,_TECH_Crisis_Model!$I$5:$I$191,0)),"")</f>
        <v>Improve CRM hygiene, retention playbooks, pipeline scenarios and customer segmentation.</v>
      </c>
      <c r="AH254" s="48" t="str">
        <f>IFERROR(INDEX(_TECH_Initiative_Library!$A$5:$A$76,MATCH(1,INDEX((_TECH_Initiative_Library!$B$5:$B$76=$C254)*(_TECH_Initiative_Library!$C$5:$C$76=$D254),0),0)),"")</f>
        <v>INI-043</v>
      </c>
      <c r="AI254" s="48" t="str">
        <f>IFERROR(INDEX(_TECH_Initiative_Library!$F$5:$F$76,MATCH(1,INDEX((_TECH_Initiative_Library!$B$5:$B$76=$C254)*(_TECH_Initiative_Library!$C$5:$C$76=$D254),0),0)),"")</f>
        <v>Implement customer continuity and key-account protection program</v>
      </c>
      <c r="AJ254" s="48" t="str">
        <f ca="1">IFERROR(INDEX(_TECH_Initiative_Library!$AC$5:$AC$76,MATCH(1,INDEX((_TECH_Initiative_Library!$B$5:$B$76=$C254)*(_TECH_Initiative_Library!$C$5:$C$76=$D254),0),0)),"")</f>
        <v/>
      </c>
      <c r="AK254" s="48" t="str">
        <f ca="1">IFERROR(INDEX(_TECH_Initiative_Library!$AE$5:$AE$76,MATCH(1,INDEX((_TECH_Initiative_Library!$B$5:$B$76=$C254)*(_TECH_Initiative_Library!$C$5:$C$76=$D254),0),0)),"")</f>
        <v/>
      </c>
      <c r="AL254" s="48" t="str">
        <f>IF($B254="Yes",IFERROR(SUMIFS(_TECH_Industry_Templates!$E:$E,_TECH_Industry_Templates!$A:$A,'Company Profile'!$B$9,_TECH_Industry_Templates!$B:$B,$C254),1),"")</f>
        <v/>
      </c>
      <c r="AM254" s="48" t="str">
        <f t="shared" si="39"/>
        <v/>
      </c>
      <c r="AN254" s="48" t="str">
        <f>IF($AM254="","",RANK.EQ($AM254,$AM$8:$AM$414,0)+COUNTIF($AM$8:$AM254,$AM254)-1)</f>
        <v/>
      </c>
    </row>
    <row r="255" spans="1:40" ht="71.25">
      <c r="A255" s="28" t="str">
        <f>IF($AM255="","",RANK.EQ($AM255,$AM$8:$AM$414,0)+COUNTIF($AM$8:$AM255,$AM255)-1)</f>
        <v/>
      </c>
      <c r="B255" s="7" t="str">
        <f t="shared" si="30"/>
        <v/>
      </c>
      <c r="C255" s="7" t="s">
        <v>84</v>
      </c>
      <c r="D255" s="7" t="s">
        <v>1399</v>
      </c>
      <c r="E255" s="7" t="s">
        <v>4384</v>
      </c>
      <c r="F255" s="7" t="s">
        <v>4385</v>
      </c>
      <c r="G255" s="28" t="str">
        <f>IF(OR(COUNTA('Sales CRM'!$H$16)=0,'Sales CRM'!$H$16="N/A"),"",VALUE('Sales CRM'!$H$16))</f>
        <v/>
      </c>
      <c r="H255" s="7" t="str">
        <f t="shared" si="31"/>
        <v/>
      </c>
      <c r="I255" s="7" t="str">
        <f>IF($G255="","",IFERROR(IF('Sales CRM'!$L$16="",IF($G255&lt;=1,"Critical",IF($G255=2,"High",IF($G255=3,"Medium",IF($G255=4,"Low","Optimized")))),'Sales CRM'!$L$16),IF($G255&lt;=1,"Critical",IF($G255=2,"High",IF($G255=3,"Medium",IF($G255=4,"Low","Optimized"))))))</f>
        <v/>
      </c>
      <c r="J255" s="7" t="str">
        <f>IF($G255="","",IFERROR(INDEX('Recommendation Matrix'!$E$5:$J$411,MATCH($E255,'Recommendation Matrix'!$A$5:$A$411,0),$G255+1),""))</f>
        <v/>
      </c>
      <c r="K255" s="7" t="str">
        <f>IF($G255="","",IFERROR(VLOOKUP($E255,'Recommendation Matrix'!$A$5:$K$411,11,FALSE),""))</f>
        <v/>
      </c>
      <c r="L255" s="28" t="str">
        <f t="shared" si="32"/>
        <v/>
      </c>
      <c r="M255" s="28" t="str">
        <f>IF($G255="","",IFERROR(INDEX('Recommendation Matrix'!$L$5:$Q$411,MATCH($E255,'Recommendation Matrix'!$A$5:$A$411,0),$G255+1),""))</f>
        <v/>
      </c>
      <c r="N255" s="28" t="str">
        <f t="shared" si="33"/>
        <v/>
      </c>
      <c r="O255" s="28" t="str">
        <f t="shared" si="34"/>
        <v/>
      </c>
      <c r="P255" s="28" t="str">
        <f t="shared" si="35"/>
        <v/>
      </c>
      <c r="Q255" s="28" t="str">
        <f t="shared" si="36"/>
        <v/>
      </c>
      <c r="R255" s="8" t="str">
        <f t="shared" si="37"/>
        <v/>
      </c>
      <c r="S255" s="28">
        <f>IFERROR('Sales CRM'!$G$16,"")</f>
        <v>4</v>
      </c>
      <c r="T255" s="28">
        <f>IFERROR('Sales CRM'!$W$16,"")</f>
        <v>4</v>
      </c>
      <c r="U255" s="28">
        <f>IFERROR('Sales CRM'!$X$16,"")</f>
        <v>5</v>
      </c>
      <c r="V255" s="28">
        <f>IFERROR('Sales CRM'!$Y$16,"")</f>
        <v>5</v>
      </c>
      <c r="W255" s="7" t="s">
        <v>4281</v>
      </c>
      <c r="X255" s="7" t="s">
        <v>4282</v>
      </c>
      <c r="Y255" s="7" t="s">
        <v>4386</v>
      </c>
      <c r="Z255" s="7">
        <f>IFERROR('Sales CRM'!$U$16,"")</f>
        <v>0</v>
      </c>
      <c r="AA255" s="7"/>
      <c r="AB255" s="29"/>
      <c r="AC255" s="7"/>
      <c r="AD255" s="48" t="str">
        <f>IF($B255="Yes",IFERROR(SUMIFS(_TECH_Crisis_Model!$D$5:$D$191,_TECH_Crisis_Model!$A$5:$A$191,'Crisis Simulator'!$B$4,_TECH_Crisis_Model!$B$5:$B$191,$C255),1),"")</f>
        <v/>
      </c>
      <c r="AE255" s="48" t="str">
        <f t="shared" si="38"/>
        <v/>
      </c>
      <c r="AF255" s="48" t="str">
        <f>IFERROR(INDEX(_TECH_Crisis_Model!$E$5:$E$191,MATCH('Crisis Simulator'!$B$4&amp;"|"&amp;$C255,_TECH_Crisis_Model!$I$5:$I$191,0)),"")</f>
        <v>CRM discipline, pipeline visibility and retention actions determine revenue protection.</v>
      </c>
      <c r="AG255" s="48" t="str">
        <f>IFERROR(INDEX(_TECH_Crisis_Model!$G$5:$G$191,MATCH('Crisis Simulator'!$B$4&amp;"|"&amp;$C255,_TECH_Crisis_Model!$I$5:$I$191,0)),"")</f>
        <v>Improve CRM hygiene, retention playbooks, pipeline scenarios and customer segmentation.</v>
      </c>
      <c r="AH255" s="48" t="str">
        <f>IFERROR(INDEX(_TECH_Initiative_Library!$A$5:$A$76,MATCH(1,INDEX((_TECH_Initiative_Library!$B$5:$B$76=$C255)*(_TECH_Initiative_Library!$C$5:$C$76=$D255),0),0)),"")</f>
        <v>INI-043</v>
      </c>
      <c r="AI255" s="48" t="str">
        <f>IFERROR(INDEX(_TECH_Initiative_Library!$F$5:$F$76,MATCH(1,INDEX((_TECH_Initiative_Library!$B$5:$B$76=$C255)*(_TECH_Initiative_Library!$C$5:$C$76=$D255),0),0)),"")</f>
        <v>Implement customer continuity and key-account protection program</v>
      </c>
      <c r="AJ255" s="48" t="str">
        <f ca="1">IFERROR(INDEX(_TECH_Initiative_Library!$AC$5:$AC$76,MATCH(1,INDEX((_TECH_Initiative_Library!$B$5:$B$76=$C255)*(_TECH_Initiative_Library!$C$5:$C$76=$D255),0),0)),"")</f>
        <v/>
      </c>
      <c r="AK255" s="48" t="str">
        <f ca="1">IFERROR(INDEX(_TECH_Initiative_Library!$AE$5:$AE$76,MATCH(1,INDEX((_TECH_Initiative_Library!$B$5:$B$76=$C255)*(_TECH_Initiative_Library!$C$5:$C$76=$D255),0),0)),"")</f>
        <v/>
      </c>
      <c r="AL255" s="48" t="str">
        <f>IF($B255="Yes",IFERROR(SUMIFS(_TECH_Industry_Templates!$E:$E,_TECH_Industry_Templates!$A:$A,'Company Profile'!$B$9,_TECH_Industry_Templates!$B:$B,$C255),1),"")</f>
        <v/>
      </c>
      <c r="AM255" s="48" t="str">
        <f t="shared" si="39"/>
        <v/>
      </c>
      <c r="AN255" s="48" t="str">
        <f>IF($AM255="","",RANK.EQ($AM255,$AM$8:$AM$414,0)+COUNTIF($AM$8:$AM255,$AM255)-1)</f>
        <v/>
      </c>
    </row>
    <row r="256" spans="1:40" ht="57">
      <c r="A256" s="28" t="str">
        <f>IF($AM256="","",RANK.EQ($AM256,$AM$8:$AM$414,0)+COUNTIF($AM$8:$AM256,$AM256)-1)</f>
        <v/>
      </c>
      <c r="B256" s="7" t="str">
        <f t="shared" si="30"/>
        <v/>
      </c>
      <c r="C256" s="7" t="s">
        <v>84</v>
      </c>
      <c r="D256" s="7" t="s">
        <v>1399</v>
      </c>
      <c r="E256" s="7" t="s">
        <v>4394</v>
      </c>
      <c r="F256" s="7" t="s">
        <v>4395</v>
      </c>
      <c r="G256" s="28" t="str">
        <f>IF(OR(COUNTA('Sales CRM'!$H$17)=0,'Sales CRM'!$H$17="N/A"),"",VALUE('Sales CRM'!$H$17))</f>
        <v/>
      </c>
      <c r="H256" s="7" t="str">
        <f t="shared" si="31"/>
        <v/>
      </c>
      <c r="I256" s="7" t="str">
        <f>IF($G256="","",IFERROR(IF('Sales CRM'!$L$17="",IF($G256&lt;=1,"Critical",IF($G256=2,"High",IF($G256=3,"Medium",IF($G256=4,"Low","Optimized")))),'Sales CRM'!$L$17),IF($G256&lt;=1,"Critical",IF($G256=2,"High",IF($G256=3,"Medium",IF($G256=4,"Low","Optimized"))))))</f>
        <v/>
      </c>
      <c r="J256" s="7" t="str">
        <f>IF($G256="","",IFERROR(INDEX('Recommendation Matrix'!$E$5:$J$411,MATCH($E256,'Recommendation Matrix'!$A$5:$A$411,0),$G256+1),""))</f>
        <v/>
      </c>
      <c r="K256" s="7" t="str">
        <f>IF($G256="","",IFERROR(VLOOKUP($E256,'Recommendation Matrix'!$A$5:$K$411,11,FALSE),""))</f>
        <v/>
      </c>
      <c r="L256" s="28" t="str">
        <f t="shared" si="32"/>
        <v/>
      </c>
      <c r="M256" s="28" t="str">
        <f>IF($G256="","",IFERROR(INDEX('Recommendation Matrix'!$L$5:$Q$411,MATCH($E256,'Recommendation Matrix'!$A$5:$A$411,0),$G256+1),""))</f>
        <v/>
      </c>
      <c r="N256" s="28" t="str">
        <f t="shared" si="33"/>
        <v/>
      </c>
      <c r="O256" s="28" t="str">
        <f t="shared" si="34"/>
        <v/>
      </c>
      <c r="P256" s="28" t="str">
        <f t="shared" si="35"/>
        <v/>
      </c>
      <c r="Q256" s="28" t="str">
        <f t="shared" si="36"/>
        <v/>
      </c>
      <c r="R256" s="8" t="str">
        <f t="shared" si="37"/>
        <v/>
      </c>
      <c r="S256" s="28">
        <f>IFERROR('Sales CRM'!$G$17,"")</f>
        <v>3</v>
      </c>
      <c r="T256" s="28">
        <f>IFERROR('Sales CRM'!$W$17,"")</f>
        <v>4</v>
      </c>
      <c r="U256" s="28">
        <f>IFERROR('Sales CRM'!$X$17,"")</f>
        <v>5</v>
      </c>
      <c r="V256" s="28">
        <f>IFERROR('Sales CRM'!$Y$17,"")</f>
        <v>5</v>
      </c>
      <c r="W256" s="7" t="s">
        <v>4281</v>
      </c>
      <c r="X256" s="7" t="s">
        <v>4282</v>
      </c>
      <c r="Y256" s="7" t="s">
        <v>4396</v>
      </c>
      <c r="Z256" s="7">
        <f>IFERROR('Sales CRM'!$U$17,"")</f>
        <v>0</v>
      </c>
      <c r="AA256" s="7"/>
      <c r="AB256" s="29"/>
      <c r="AC256" s="7"/>
      <c r="AD256" s="48" t="str">
        <f>IF($B256="Yes",IFERROR(SUMIFS(_TECH_Crisis_Model!$D$5:$D$191,_TECH_Crisis_Model!$A$5:$A$191,'Crisis Simulator'!$B$4,_TECH_Crisis_Model!$B$5:$B$191,$C256),1),"")</f>
        <v/>
      </c>
      <c r="AE256" s="48" t="str">
        <f t="shared" si="38"/>
        <v/>
      </c>
      <c r="AF256" s="48" t="str">
        <f>IFERROR(INDEX(_TECH_Crisis_Model!$E$5:$E$191,MATCH('Crisis Simulator'!$B$4&amp;"|"&amp;$C256,_TECH_Crisis_Model!$I$5:$I$191,0)),"")</f>
        <v>CRM discipline, pipeline visibility and retention actions determine revenue protection.</v>
      </c>
      <c r="AG256" s="48" t="str">
        <f>IFERROR(INDEX(_TECH_Crisis_Model!$G$5:$G$191,MATCH('Crisis Simulator'!$B$4&amp;"|"&amp;$C256,_TECH_Crisis_Model!$I$5:$I$191,0)),"")</f>
        <v>Improve CRM hygiene, retention playbooks, pipeline scenarios and customer segmentation.</v>
      </c>
      <c r="AH256" s="48" t="str">
        <f>IFERROR(INDEX(_TECH_Initiative_Library!$A$5:$A$76,MATCH(1,INDEX((_TECH_Initiative_Library!$B$5:$B$76=$C256)*(_TECH_Initiative_Library!$C$5:$C$76=$D256),0),0)),"")</f>
        <v>INI-043</v>
      </c>
      <c r="AI256" s="48" t="str">
        <f>IFERROR(INDEX(_TECH_Initiative_Library!$F$5:$F$76,MATCH(1,INDEX((_TECH_Initiative_Library!$B$5:$B$76=$C256)*(_TECH_Initiative_Library!$C$5:$C$76=$D256),0),0)),"")</f>
        <v>Implement customer continuity and key-account protection program</v>
      </c>
      <c r="AJ256" s="48" t="str">
        <f ca="1">IFERROR(INDEX(_TECH_Initiative_Library!$AC$5:$AC$76,MATCH(1,INDEX((_TECH_Initiative_Library!$B$5:$B$76=$C256)*(_TECH_Initiative_Library!$C$5:$C$76=$D256),0),0)),"")</f>
        <v/>
      </c>
      <c r="AK256" s="48" t="str">
        <f ca="1">IFERROR(INDEX(_TECH_Initiative_Library!$AE$5:$AE$76,MATCH(1,INDEX((_TECH_Initiative_Library!$B$5:$B$76=$C256)*(_TECH_Initiative_Library!$C$5:$C$76=$D256),0),0)),"")</f>
        <v/>
      </c>
      <c r="AL256" s="48" t="str">
        <f>IF($B256="Yes",IFERROR(SUMIFS(_TECH_Industry_Templates!$E:$E,_TECH_Industry_Templates!$A:$A,'Company Profile'!$B$9,_TECH_Industry_Templates!$B:$B,$C256),1),"")</f>
        <v/>
      </c>
      <c r="AM256" s="48" t="str">
        <f t="shared" si="39"/>
        <v/>
      </c>
      <c r="AN256" s="48" t="str">
        <f>IF($AM256="","",RANK.EQ($AM256,$AM$8:$AM$414,0)+COUNTIF($AM$8:$AM256,$AM256)-1)</f>
        <v/>
      </c>
    </row>
    <row r="257" spans="1:40" ht="71.25">
      <c r="A257" s="28" t="str">
        <f>IF($AM257="","",RANK.EQ($AM257,$AM$8:$AM$414,0)+COUNTIF($AM$8:$AM257,$AM257)-1)</f>
        <v/>
      </c>
      <c r="B257" s="7" t="str">
        <f t="shared" si="30"/>
        <v/>
      </c>
      <c r="C257" s="7" t="s">
        <v>84</v>
      </c>
      <c r="D257" s="7" t="s">
        <v>1399</v>
      </c>
      <c r="E257" s="7" t="s">
        <v>4404</v>
      </c>
      <c r="F257" s="7" t="s">
        <v>4405</v>
      </c>
      <c r="G257" s="28" t="str">
        <f>IF(OR(COUNTA('Sales CRM'!$H$18)=0,'Sales CRM'!$H$18="N/A"),"",VALUE('Sales CRM'!$H$18))</f>
        <v/>
      </c>
      <c r="H257" s="7" t="str">
        <f t="shared" si="31"/>
        <v/>
      </c>
      <c r="I257" s="7" t="str">
        <f>IF($G257="","",IFERROR(IF('Sales CRM'!$L$18="",IF($G257&lt;=1,"Critical",IF($G257=2,"High",IF($G257=3,"Medium",IF($G257=4,"Low","Optimized")))),'Sales CRM'!$L$18),IF($G257&lt;=1,"Critical",IF($G257=2,"High",IF($G257=3,"Medium",IF($G257=4,"Low","Optimized"))))))</f>
        <v/>
      </c>
      <c r="J257" s="7" t="str">
        <f>IF($G257="","",IFERROR(INDEX('Recommendation Matrix'!$E$5:$J$411,MATCH($E257,'Recommendation Matrix'!$A$5:$A$411,0),$G257+1),""))</f>
        <v/>
      </c>
      <c r="K257" s="7" t="str">
        <f>IF($G257="","",IFERROR(VLOOKUP($E257,'Recommendation Matrix'!$A$5:$K$411,11,FALSE),""))</f>
        <v/>
      </c>
      <c r="L257" s="28" t="str">
        <f t="shared" si="32"/>
        <v/>
      </c>
      <c r="M257" s="28" t="str">
        <f>IF($G257="","",IFERROR(INDEX('Recommendation Matrix'!$L$5:$Q$411,MATCH($E257,'Recommendation Matrix'!$A$5:$A$411,0),$G257+1),""))</f>
        <v/>
      </c>
      <c r="N257" s="28" t="str">
        <f t="shared" si="33"/>
        <v/>
      </c>
      <c r="O257" s="28" t="str">
        <f t="shared" si="34"/>
        <v/>
      </c>
      <c r="P257" s="28" t="str">
        <f t="shared" si="35"/>
        <v/>
      </c>
      <c r="Q257" s="28" t="str">
        <f t="shared" si="36"/>
        <v/>
      </c>
      <c r="R257" s="8" t="str">
        <f t="shared" si="37"/>
        <v/>
      </c>
      <c r="S257" s="28">
        <f>IFERROR('Sales CRM'!$G$18,"")</f>
        <v>5</v>
      </c>
      <c r="T257" s="28">
        <f>IFERROR('Sales CRM'!$W$18,"")</f>
        <v>4</v>
      </c>
      <c r="U257" s="28">
        <f>IFERROR('Sales CRM'!$X$18,"")</f>
        <v>5</v>
      </c>
      <c r="V257" s="28">
        <f>IFERROR('Sales CRM'!$Y$18,"")</f>
        <v>5</v>
      </c>
      <c r="W257" s="7" t="s">
        <v>4281</v>
      </c>
      <c r="X257" s="7" t="s">
        <v>4282</v>
      </c>
      <c r="Y257" s="7" t="s">
        <v>4406</v>
      </c>
      <c r="Z257" s="7">
        <f>IFERROR('Sales CRM'!$U$18,"")</f>
        <v>0</v>
      </c>
      <c r="AA257" s="7"/>
      <c r="AB257" s="29"/>
      <c r="AC257" s="7"/>
      <c r="AD257" s="48" t="str">
        <f>IF($B257="Yes",IFERROR(SUMIFS(_TECH_Crisis_Model!$D$5:$D$191,_TECH_Crisis_Model!$A$5:$A$191,'Crisis Simulator'!$B$4,_TECH_Crisis_Model!$B$5:$B$191,$C257),1),"")</f>
        <v/>
      </c>
      <c r="AE257" s="48" t="str">
        <f t="shared" si="38"/>
        <v/>
      </c>
      <c r="AF257" s="48" t="str">
        <f>IFERROR(INDEX(_TECH_Crisis_Model!$E$5:$E$191,MATCH('Crisis Simulator'!$B$4&amp;"|"&amp;$C257,_TECH_Crisis_Model!$I$5:$I$191,0)),"")</f>
        <v>CRM discipline, pipeline visibility and retention actions determine revenue protection.</v>
      </c>
      <c r="AG257" s="48" t="str">
        <f>IFERROR(INDEX(_TECH_Crisis_Model!$G$5:$G$191,MATCH('Crisis Simulator'!$B$4&amp;"|"&amp;$C257,_TECH_Crisis_Model!$I$5:$I$191,0)),"")</f>
        <v>Improve CRM hygiene, retention playbooks, pipeline scenarios and customer segmentation.</v>
      </c>
      <c r="AH257" s="48" t="str">
        <f>IFERROR(INDEX(_TECH_Initiative_Library!$A$5:$A$76,MATCH(1,INDEX((_TECH_Initiative_Library!$B$5:$B$76=$C257)*(_TECH_Initiative_Library!$C$5:$C$76=$D257),0),0)),"")</f>
        <v>INI-043</v>
      </c>
      <c r="AI257" s="48" t="str">
        <f>IFERROR(INDEX(_TECH_Initiative_Library!$F$5:$F$76,MATCH(1,INDEX((_TECH_Initiative_Library!$B$5:$B$76=$C257)*(_TECH_Initiative_Library!$C$5:$C$76=$D257),0),0)),"")</f>
        <v>Implement customer continuity and key-account protection program</v>
      </c>
      <c r="AJ257" s="48" t="str">
        <f ca="1">IFERROR(INDEX(_TECH_Initiative_Library!$AC$5:$AC$76,MATCH(1,INDEX((_TECH_Initiative_Library!$B$5:$B$76=$C257)*(_TECH_Initiative_Library!$C$5:$C$76=$D257),0),0)),"")</f>
        <v/>
      </c>
      <c r="AK257" s="48" t="str">
        <f ca="1">IFERROR(INDEX(_TECH_Initiative_Library!$AE$5:$AE$76,MATCH(1,INDEX((_TECH_Initiative_Library!$B$5:$B$76=$C257)*(_TECH_Initiative_Library!$C$5:$C$76=$D257),0),0)),"")</f>
        <v/>
      </c>
      <c r="AL257" s="48" t="str">
        <f>IF($B257="Yes",IFERROR(SUMIFS(_TECH_Industry_Templates!$E:$E,_TECH_Industry_Templates!$A:$A,'Company Profile'!$B$9,_TECH_Industry_Templates!$B:$B,$C257),1),"")</f>
        <v/>
      </c>
      <c r="AM257" s="48" t="str">
        <f t="shared" si="39"/>
        <v/>
      </c>
      <c r="AN257" s="48" t="str">
        <f>IF($AM257="","",RANK.EQ($AM257,$AM$8:$AM$414,0)+COUNTIF($AM$8:$AM257,$AM257)-1)</f>
        <v/>
      </c>
    </row>
    <row r="258" spans="1:40" ht="71.25">
      <c r="A258" s="28" t="str">
        <f>IF($AM258="","",RANK.EQ($AM258,$AM$8:$AM$414,0)+COUNTIF($AM$8:$AM258,$AM258)-1)</f>
        <v/>
      </c>
      <c r="B258" s="7" t="str">
        <f t="shared" si="30"/>
        <v/>
      </c>
      <c r="C258" s="7" t="s">
        <v>84</v>
      </c>
      <c r="D258" s="7" t="s">
        <v>1399</v>
      </c>
      <c r="E258" s="7" t="s">
        <v>4414</v>
      </c>
      <c r="F258" s="7" t="s">
        <v>4415</v>
      </c>
      <c r="G258" s="28" t="str">
        <f>IF(OR(COUNTA('Sales CRM'!$H$19)=0,'Sales CRM'!$H$19="N/A"),"",VALUE('Sales CRM'!$H$19))</f>
        <v/>
      </c>
      <c r="H258" s="7" t="str">
        <f t="shared" si="31"/>
        <v/>
      </c>
      <c r="I258" s="7" t="str">
        <f>IF($G258="","",IFERROR(IF('Sales CRM'!$L$19="",IF($G258&lt;=1,"Critical",IF($G258=2,"High",IF($G258=3,"Medium",IF($G258=4,"Low","Optimized")))),'Sales CRM'!$L$19),IF($G258&lt;=1,"Critical",IF($G258=2,"High",IF($G258=3,"Medium",IF($G258=4,"Low","Optimized"))))))</f>
        <v/>
      </c>
      <c r="J258" s="7" t="str">
        <f>IF($G258="","",IFERROR(INDEX('Recommendation Matrix'!$E$5:$J$411,MATCH($E258,'Recommendation Matrix'!$A$5:$A$411,0),$G258+1),""))</f>
        <v/>
      </c>
      <c r="K258" s="7" t="str">
        <f>IF($G258="","",IFERROR(VLOOKUP($E258,'Recommendation Matrix'!$A$5:$K$411,11,FALSE),""))</f>
        <v/>
      </c>
      <c r="L258" s="28" t="str">
        <f t="shared" si="32"/>
        <v/>
      </c>
      <c r="M258" s="28" t="str">
        <f>IF($G258="","",IFERROR(INDEX('Recommendation Matrix'!$L$5:$Q$411,MATCH($E258,'Recommendation Matrix'!$A$5:$A$411,0),$G258+1),""))</f>
        <v/>
      </c>
      <c r="N258" s="28" t="str">
        <f t="shared" si="33"/>
        <v/>
      </c>
      <c r="O258" s="28" t="str">
        <f t="shared" si="34"/>
        <v/>
      </c>
      <c r="P258" s="28" t="str">
        <f t="shared" si="35"/>
        <v/>
      </c>
      <c r="Q258" s="28" t="str">
        <f t="shared" si="36"/>
        <v/>
      </c>
      <c r="R258" s="8" t="str">
        <f t="shared" si="37"/>
        <v/>
      </c>
      <c r="S258" s="28">
        <f>IFERROR('Sales CRM'!$G$19,"")</f>
        <v>5</v>
      </c>
      <c r="T258" s="28">
        <f>IFERROR('Sales CRM'!$W$19,"")</f>
        <v>5</v>
      </c>
      <c r="U258" s="28">
        <f>IFERROR('Sales CRM'!$X$19,"")</f>
        <v>5</v>
      </c>
      <c r="V258" s="28">
        <f>IFERROR('Sales CRM'!$Y$19,"")</f>
        <v>5</v>
      </c>
      <c r="W258" s="7" t="s">
        <v>4281</v>
      </c>
      <c r="X258" s="7" t="s">
        <v>4282</v>
      </c>
      <c r="Y258" s="7" t="s">
        <v>4416</v>
      </c>
      <c r="Z258" s="7">
        <f>IFERROR('Sales CRM'!$U$19,"")</f>
        <v>0</v>
      </c>
      <c r="AA258" s="7"/>
      <c r="AB258" s="29"/>
      <c r="AC258" s="7"/>
      <c r="AD258" s="48" t="str">
        <f>IF($B258="Yes",IFERROR(SUMIFS(_TECH_Crisis_Model!$D$5:$D$191,_TECH_Crisis_Model!$A$5:$A$191,'Crisis Simulator'!$B$4,_TECH_Crisis_Model!$B$5:$B$191,$C258),1),"")</f>
        <v/>
      </c>
      <c r="AE258" s="48" t="str">
        <f t="shared" si="38"/>
        <v/>
      </c>
      <c r="AF258" s="48" t="str">
        <f>IFERROR(INDEX(_TECH_Crisis_Model!$E$5:$E$191,MATCH('Crisis Simulator'!$B$4&amp;"|"&amp;$C258,_TECH_Crisis_Model!$I$5:$I$191,0)),"")</f>
        <v>CRM discipline, pipeline visibility and retention actions determine revenue protection.</v>
      </c>
      <c r="AG258" s="48" t="str">
        <f>IFERROR(INDEX(_TECH_Crisis_Model!$G$5:$G$191,MATCH('Crisis Simulator'!$B$4&amp;"|"&amp;$C258,_TECH_Crisis_Model!$I$5:$I$191,0)),"")</f>
        <v>Improve CRM hygiene, retention playbooks, pipeline scenarios and customer segmentation.</v>
      </c>
      <c r="AH258" s="48" t="str">
        <f>IFERROR(INDEX(_TECH_Initiative_Library!$A$5:$A$76,MATCH(1,INDEX((_TECH_Initiative_Library!$B$5:$B$76=$C258)*(_TECH_Initiative_Library!$C$5:$C$76=$D258),0),0)),"")</f>
        <v>INI-043</v>
      </c>
      <c r="AI258" s="48" t="str">
        <f>IFERROR(INDEX(_TECH_Initiative_Library!$F$5:$F$76,MATCH(1,INDEX((_TECH_Initiative_Library!$B$5:$B$76=$C258)*(_TECH_Initiative_Library!$C$5:$C$76=$D258),0),0)),"")</f>
        <v>Implement customer continuity and key-account protection program</v>
      </c>
      <c r="AJ258" s="48" t="str">
        <f ca="1">IFERROR(INDEX(_TECH_Initiative_Library!$AC$5:$AC$76,MATCH(1,INDEX((_TECH_Initiative_Library!$B$5:$B$76=$C258)*(_TECH_Initiative_Library!$C$5:$C$76=$D258),0),0)),"")</f>
        <v/>
      </c>
      <c r="AK258" s="48" t="str">
        <f ca="1">IFERROR(INDEX(_TECH_Initiative_Library!$AE$5:$AE$76,MATCH(1,INDEX((_TECH_Initiative_Library!$B$5:$B$76=$C258)*(_TECH_Initiative_Library!$C$5:$C$76=$D258),0),0)),"")</f>
        <v/>
      </c>
      <c r="AL258" s="48" t="str">
        <f>IF($B258="Yes",IFERROR(SUMIFS(_TECH_Industry_Templates!$E:$E,_TECH_Industry_Templates!$A:$A,'Company Profile'!$B$9,_TECH_Industry_Templates!$B:$B,$C258),1),"")</f>
        <v/>
      </c>
      <c r="AM258" s="48" t="str">
        <f t="shared" si="39"/>
        <v/>
      </c>
      <c r="AN258" s="48" t="str">
        <f>IF($AM258="","",RANK.EQ($AM258,$AM$8:$AM$414,0)+COUNTIF($AM$8:$AM258,$AM258)-1)</f>
        <v/>
      </c>
    </row>
    <row r="259" spans="1:40" ht="71.25">
      <c r="A259" s="28" t="str">
        <f>IF($AM259="","",RANK.EQ($AM259,$AM$8:$AM$414,0)+COUNTIF($AM$8:$AM259,$AM259)-1)</f>
        <v/>
      </c>
      <c r="B259" s="7" t="str">
        <f t="shared" si="30"/>
        <v/>
      </c>
      <c r="C259" s="7" t="s">
        <v>84</v>
      </c>
      <c r="D259" s="7" t="s">
        <v>1399</v>
      </c>
      <c r="E259" s="7" t="s">
        <v>4424</v>
      </c>
      <c r="F259" s="7" t="s">
        <v>4425</v>
      </c>
      <c r="G259" s="28" t="str">
        <f>IF(OR(COUNTA('Sales CRM'!$H$20)=0,'Sales CRM'!$H$20="N/A"),"",VALUE('Sales CRM'!$H$20))</f>
        <v/>
      </c>
      <c r="H259" s="7" t="str">
        <f t="shared" si="31"/>
        <v/>
      </c>
      <c r="I259" s="7" t="str">
        <f>IF($G259="","",IFERROR(IF('Sales CRM'!$L$20="",IF($G259&lt;=1,"Critical",IF($G259=2,"High",IF($G259=3,"Medium",IF($G259=4,"Low","Optimized")))),'Sales CRM'!$L$20),IF($G259&lt;=1,"Critical",IF($G259=2,"High",IF($G259=3,"Medium",IF($G259=4,"Low","Optimized"))))))</f>
        <v/>
      </c>
      <c r="J259" s="7" t="str">
        <f>IF($G259="","",IFERROR(INDEX('Recommendation Matrix'!$E$5:$J$411,MATCH($E259,'Recommendation Matrix'!$A$5:$A$411,0),$G259+1),""))</f>
        <v/>
      </c>
      <c r="K259" s="7" t="str">
        <f>IF($G259="","",IFERROR(VLOOKUP($E259,'Recommendation Matrix'!$A$5:$K$411,11,FALSE),""))</f>
        <v/>
      </c>
      <c r="L259" s="28" t="str">
        <f t="shared" si="32"/>
        <v/>
      </c>
      <c r="M259" s="28" t="str">
        <f>IF($G259="","",IFERROR(INDEX('Recommendation Matrix'!$L$5:$Q$411,MATCH($E259,'Recommendation Matrix'!$A$5:$A$411,0),$G259+1),""))</f>
        <v/>
      </c>
      <c r="N259" s="28" t="str">
        <f t="shared" si="33"/>
        <v/>
      </c>
      <c r="O259" s="28" t="str">
        <f t="shared" si="34"/>
        <v/>
      </c>
      <c r="P259" s="28" t="str">
        <f t="shared" si="35"/>
        <v/>
      </c>
      <c r="Q259" s="28" t="str">
        <f t="shared" si="36"/>
        <v/>
      </c>
      <c r="R259" s="8" t="str">
        <f t="shared" si="37"/>
        <v/>
      </c>
      <c r="S259" s="28">
        <f>IFERROR('Sales CRM'!$G$20,"")</f>
        <v>3</v>
      </c>
      <c r="T259" s="28">
        <f>IFERROR('Sales CRM'!$W$20,"")</f>
        <v>4</v>
      </c>
      <c r="U259" s="28">
        <f>IFERROR('Sales CRM'!$X$20,"")</f>
        <v>5</v>
      </c>
      <c r="V259" s="28">
        <f>IFERROR('Sales CRM'!$Y$20,"")</f>
        <v>5</v>
      </c>
      <c r="W259" s="7" t="s">
        <v>4281</v>
      </c>
      <c r="X259" s="7" t="s">
        <v>4282</v>
      </c>
      <c r="Y259" s="7" t="s">
        <v>4426</v>
      </c>
      <c r="Z259" s="7">
        <f>IFERROR('Sales CRM'!$U$20,"")</f>
        <v>0</v>
      </c>
      <c r="AA259" s="7"/>
      <c r="AB259" s="29"/>
      <c r="AC259" s="7"/>
      <c r="AD259" s="48" t="str">
        <f>IF($B259="Yes",IFERROR(SUMIFS(_TECH_Crisis_Model!$D$5:$D$191,_TECH_Crisis_Model!$A$5:$A$191,'Crisis Simulator'!$B$4,_TECH_Crisis_Model!$B$5:$B$191,$C259),1),"")</f>
        <v/>
      </c>
      <c r="AE259" s="48" t="str">
        <f t="shared" si="38"/>
        <v/>
      </c>
      <c r="AF259" s="48" t="str">
        <f>IFERROR(INDEX(_TECH_Crisis_Model!$E$5:$E$191,MATCH('Crisis Simulator'!$B$4&amp;"|"&amp;$C259,_TECH_Crisis_Model!$I$5:$I$191,0)),"")</f>
        <v>CRM discipline, pipeline visibility and retention actions determine revenue protection.</v>
      </c>
      <c r="AG259" s="48" t="str">
        <f>IFERROR(INDEX(_TECH_Crisis_Model!$G$5:$G$191,MATCH('Crisis Simulator'!$B$4&amp;"|"&amp;$C259,_TECH_Crisis_Model!$I$5:$I$191,0)),"")</f>
        <v>Improve CRM hygiene, retention playbooks, pipeline scenarios and customer segmentation.</v>
      </c>
      <c r="AH259" s="48" t="str">
        <f>IFERROR(INDEX(_TECH_Initiative_Library!$A$5:$A$76,MATCH(1,INDEX((_TECH_Initiative_Library!$B$5:$B$76=$C259)*(_TECH_Initiative_Library!$C$5:$C$76=$D259),0),0)),"")</f>
        <v>INI-043</v>
      </c>
      <c r="AI259" s="48" t="str">
        <f>IFERROR(INDEX(_TECH_Initiative_Library!$F$5:$F$76,MATCH(1,INDEX((_TECH_Initiative_Library!$B$5:$B$76=$C259)*(_TECH_Initiative_Library!$C$5:$C$76=$D259),0),0)),"")</f>
        <v>Implement customer continuity and key-account protection program</v>
      </c>
      <c r="AJ259" s="48" t="str">
        <f ca="1">IFERROR(INDEX(_TECH_Initiative_Library!$AC$5:$AC$76,MATCH(1,INDEX((_TECH_Initiative_Library!$B$5:$B$76=$C259)*(_TECH_Initiative_Library!$C$5:$C$76=$D259),0),0)),"")</f>
        <v/>
      </c>
      <c r="AK259" s="48" t="str">
        <f ca="1">IFERROR(INDEX(_TECH_Initiative_Library!$AE$5:$AE$76,MATCH(1,INDEX((_TECH_Initiative_Library!$B$5:$B$76=$C259)*(_TECH_Initiative_Library!$C$5:$C$76=$D259),0),0)),"")</f>
        <v/>
      </c>
      <c r="AL259" s="48" t="str">
        <f>IF($B259="Yes",IFERROR(SUMIFS(_TECH_Industry_Templates!$E:$E,_TECH_Industry_Templates!$A:$A,'Company Profile'!$B$9,_TECH_Industry_Templates!$B:$B,$C259),1),"")</f>
        <v/>
      </c>
      <c r="AM259" s="48" t="str">
        <f t="shared" si="39"/>
        <v/>
      </c>
      <c r="AN259" s="48" t="str">
        <f>IF($AM259="","",RANK.EQ($AM259,$AM$8:$AM$414,0)+COUNTIF($AM$8:$AM259,$AM259)-1)</f>
        <v/>
      </c>
    </row>
    <row r="260" spans="1:40" ht="71.25">
      <c r="A260" s="28" t="str">
        <f>IF($AM260="","",RANK.EQ($AM260,$AM$8:$AM$414,0)+COUNTIF($AM$8:$AM260,$AM260)-1)</f>
        <v/>
      </c>
      <c r="B260" s="7" t="str">
        <f t="shared" si="30"/>
        <v/>
      </c>
      <c r="C260" s="7" t="s">
        <v>84</v>
      </c>
      <c r="D260" s="7" t="s">
        <v>1407</v>
      </c>
      <c r="E260" s="7" t="s">
        <v>4434</v>
      </c>
      <c r="F260" s="7" t="s">
        <v>4435</v>
      </c>
      <c r="G260" s="28" t="str">
        <f>IF(OR(COUNTA('Sales CRM'!$H$21)=0,'Sales CRM'!$H$21="N/A"),"",VALUE('Sales CRM'!$H$21))</f>
        <v/>
      </c>
      <c r="H260" s="7" t="str">
        <f t="shared" si="31"/>
        <v/>
      </c>
      <c r="I260" s="7" t="str">
        <f>IF($G260="","",IFERROR(IF('Sales CRM'!$L$21="",IF($G260&lt;=1,"Critical",IF($G260=2,"High",IF($G260=3,"Medium",IF($G260=4,"Low","Optimized")))),'Sales CRM'!$L$21),IF($G260&lt;=1,"Critical",IF($G260=2,"High",IF($G260=3,"Medium",IF($G260=4,"Low","Optimized"))))))</f>
        <v/>
      </c>
      <c r="J260" s="7" t="str">
        <f>IF($G260="","",IFERROR(INDEX('Recommendation Matrix'!$E$5:$J$411,MATCH($E260,'Recommendation Matrix'!$A$5:$A$411,0),$G260+1),""))</f>
        <v/>
      </c>
      <c r="K260" s="7" t="str">
        <f>IF($G260="","",IFERROR(VLOOKUP($E260,'Recommendation Matrix'!$A$5:$K$411,11,FALSE),""))</f>
        <v/>
      </c>
      <c r="L260" s="28" t="str">
        <f t="shared" si="32"/>
        <v/>
      </c>
      <c r="M260" s="28" t="str">
        <f>IF($G260="","",IFERROR(INDEX('Recommendation Matrix'!$L$5:$Q$411,MATCH($E260,'Recommendation Matrix'!$A$5:$A$411,0),$G260+1),""))</f>
        <v/>
      </c>
      <c r="N260" s="28" t="str">
        <f t="shared" si="33"/>
        <v/>
      </c>
      <c r="O260" s="28" t="str">
        <f t="shared" si="34"/>
        <v/>
      </c>
      <c r="P260" s="28" t="str">
        <f t="shared" si="35"/>
        <v/>
      </c>
      <c r="Q260" s="28" t="str">
        <f t="shared" si="36"/>
        <v/>
      </c>
      <c r="R260" s="8" t="str">
        <f t="shared" si="37"/>
        <v/>
      </c>
      <c r="S260" s="28">
        <f>IFERROR('Sales CRM'!$G$21,"")</f>
        <v>4</v>
      </c>
      <c r="T260" s="28">
        <f>IFERROR('Sales CRM'!$W$21,"")</f>
        <v>4</v>
      </c>
      <c r="U260" s="28">
        <f>IFERROR('Sales CRM'!$X$21,"")</f>
        <v>5</v>
      </c>
      <c r="V260" s="28">
        <f>IFERROR('Sales CRM'!$Y$21,"")</f>
        <v>5</v>
      </c>
      <c r="W260" s="7" t="s">
        <v>4281</v>
      </c>
      <c r="X260" s="7" t="s">
        <v>4282</v>
      </c>
      <c r="Y260" s="7" t="s">
        <v>4436</v>
      </c>
      <c r="Z260" s="7">
        <f>IFERROR('Sales CRM'!$U$21,"")</f>
        <v>0</v>
      </c>
      <c r="AA260" s="7"/>
      <c r="AB260" s="29"/>
      <c r="AC260" s="7"/>
      <c r="AD260" s="48" t="str">
        <f>IF($B260="Yes",IFERROR(SUMIFS(_TECH_Crisis_Model!$D$5:$D$191,_TECH_Crisis_Model!$A$5:$A$191,'Crisis Simulator'!$B$4,_TECH_Crisis_Model!$B$5:$B$191,$C260),1),"")</f>
        <v/>
      </c>
      <c r="AE260" s="48" t="str">
        <f t="shared" si="38"/>
        <v/>
      </c>
      <c r="AF260" s="48" t="str">
        <f>IFERROR(INDEX(_TECH_Crisis_Model!$E$5:$E$191,MATCH('Crisis Simulator'!$B$4&amp;"|"&amp;$C260,_TECH_Crisis_Model!$I$5:$I$191,0)),"")</f>
        <v>CRM discipline, pipeline visibility and retention actions determine revenue protection.</v>
      </c>
      <c r="AG260" s="48" t="str">
        <f>IFERROR(INDEX(_TECH_Crisis_Model!$G$5:$G$191,MATCH('Crisis Simulator'!$B$4&amp;"|"&amp;$C260,_TECH_Crisis_Model!$I$5:$I$191,0)),"")</f>
        <v>Improve CRM hygiene, retention playbooks, pipeline scenarios and customer segmentation.</v>
      </c>
      <c r="AH260" s="48" t="str">
        <f>IFERROR(INDEX(_TECH_Initiative_Library!$A$5:$A$76,MATCH(1,INDEX((_TECH_Initiative_Library!$B$5:$B$76=$C260)*(_TECH_Initiative_Library!$C$5:$C$76=$D260),0),0)),"")</f>
        <v>INI-044</v>
      </c>
      <c r="AI260" s="48" t="str">
        <f>IFERROR(INDEX(_TECH_Initiative_Library!$F$5:$F$76,MATCH(1,INDEX((_TECH_Initiative_Library!$B$5:$B$76=$C260)*(_TECH_Initiative_Library!$C$5:$C$76=$D260),0),0)),"")</f>
        <v>Strengthen pricing, discounting and revenue-control governance</v>
      </c>
      <c r="AJ260" s="48" t="str">
        <f ca="1">IFERROR(INDEX(_TECH_Initiative_Library!$AC$5:$AC$76,MATCH(1,INDEX((_TECH_Initiative_Library!$B$5:$B$76=$C260)*(_TECH_Initiative_Library!$C$5:$C$76=$D260),0),0)),"")</f>
        <v/>
      </c>
      <c r="AK260" s="48" t="str">
        <f ca="1">IFERROR(INDEX(_TECH_Initiative_Library!$AE$5:$AE$76,MATCH(1,INDEX((_TECH_Initiative_Library!$B$5:$B$76=$C260)*(_TECH_Initiative_Library!$C$5:$C$76=$D260),0),0)),"")</f>
        <v/>
      </c>
      <c r="AL260" s="48" t="str">
        <f>IF($B260="Yes",IFERROR(SUMIFS(_TECH_Industry_Templates!$E:$E,_TECH_Industry_Templates!$A:$A,'Company Profile'!$B$9,_TECH_Industry_Templates!$B:$B,$C260),1),"")</f>
        <v/>
      </c>
      <c r="AM260" s="48" t="str">
        <f t="shared" si="39"/>
        <v/>
      </c>
      <c r="AN260" s="48" t="str">
        <f>IF($AM260="","",RANK.EQ($AM260,$AM$8:$AM$414,0)+COUNTIF($AM$8:$AM260,$AM260)-1)</f>
        <v/>
      </c>
    </row>
    <row r="261" spans="1:40" ht="71.25">
      <c r="A261" s="28" t="str">
        <f>IF($AM261="","",RANK.EQ($AM261,$AM$8:$AM$414,0)+COUNTIF($AM$8:$AM261,$AM261)-1)</f>
        <v/>
      </c>
      <c r="B261" s="7" t="str">
        <f t="shared" si="30"/>
        <v/>
      </c>
      <c r="C261" s="7" t="s">
        <v>84</v>
      </c>
      <c r="D261" s="7" t="s">
        <v>1407</v>
      </c>
      <c r="E261" s="7" t="s">
        <v>4444</v>
      </c>
      <c r="F261" s="7" t="s">
        <v>4445</v>
      </c>
      <c r="G261" s="28" t="str">
        <f>IF(OR(COUNTA('Sales CRM'!$H$22)=0,'Sales CRM'!$H$22="N/A"),"",VALUE('Sales CRM'!$H$22))</f>
        <v/>
      </c>
      <c r="H261" s="7" t="str">
        <f t="shared" si="31"/>
        <v/>
      </c>
      <c r="I261" s="7" t="str">
        <f>IF($G261="","",IFERROR(IF('Sales CRM'!$L$22="",IF($G261&lt;=1,"Critical",IF($G261=2,"High",IF($G261=3,"Medium",IF($G261=4,"Low","Optimized")))),'Sales CRM'!$L$22),IF($G261&lt;=1,"Critical",IF($G261=2,"High",IF($G261=3,"Medium",IF($G261=4,"Low","Optimized"))))))</f>
        <v/>
      </c>
      <c r="J261" s="7" t="str">
        <f>IF($G261="","",IFERROR(INDEX('Recommendation Matrix'!$E$5:$J$411,MATCH($E261,'Recommendation Matrix'!$A$5:$A$411,0),$G261+1),""))</f>
        <v/>
      </c>
      <c r="K261" s="7" t="str">
        <f>IF($G261="","",IFERROR(VLOOKUP($E261,'Recommendation Matrix'!$A$5:$K$411,11,FALSE),""))</f>
        <v/>
      </c>
      <c r="L261" s="28" t="str">
        <f t="shared" si="32"/>
        <v/>
      </c>
      <c r="M261" s="28" t="str">
        <f>IF($G261="","",IFERROR(INDEX('Recommendation Matrix'!$L$5:$Q$411,MATCH($E261,'Recommendation Matrix'!$A$5:$A$411,0),$G261+1),""))</f>
        <v/>
      </c>
      <c r="N261" s="28" t="str">
        <f t="shared" si="33"/>
        <v/>
      </c>
      <c r="O261" s="28" t="str">
        <f t="shared" si="34"/>
        <v/>
      </c>
      <c r="P261" s="28" t="str">
        <f t="shared" si="35"/>
        <v/>
      </c>
      <c r="Q261" s="28" t="str">
        <f t="shared" si="36"/>
        <v/>
      </c>
      <c r="R261" s="8" t="str">
        <f t="shared" si="37"/>
        <v/>
      </c>
      <c r="S261" s="28">
        <f>IFERROR('Sales CRM'!$G$22,"")</f>
        <v>5</v>
      </c>
      <c r="T261" s="28">
        <f>IFERROR('Sales CRM'!$W$22,"")</f>
        <v>4</v>
      </c>
      <c r="U261" s="28">
        <f>IFERROR('Sales CRM'!$X$22,"")</f>
        <v>5</v>
      </c>
      <c r="V261" s="28">
        <f>IFERROR('Sales CRM'!$Y$22,"")</f>
        <v>5</v>
      </c>
      <c r="W261" s="7" t="s">
        <v>4281</v>
      </c>
      <c r="X261" s="7" t="s">
        <v>4282</v>
      </c>
      <c r="Y261" s="7" t="s">
        <v>4446</v>
      </c>
      <c r="Z261" s="7">
        <f>IFERROR('Sales CRM'!$U$22,"")</f>
        <v>0</v>
      </c>
      <c r="AA261" s="7"/>
      <c r="AB261" s="29"/>
      <c r="AC261" s="7"/>
      <c r="AD261" s="48" t="str">
        <f>IF($B261="Yes",IFERROR(SUMIFS(_TECH_Crisis_Model!$D$5:$D$191,_TECH_Crisis_Model!$A$5:$A$191,'Crisis Simulator'!$B$4,_TECH_Crisis_Model!$B$5:$B$191,$C261),1),"")</f>
        <v/>
      </c>
      <c r="AE261" s="48" t="str">
        <f t="shared" si="38"/>
        <v/>
      </c>
      <c r="AF261" s="48" t="str">
        <f>IFERROR(INDEX(_TECH_Crisis_Model!$E$5:$E$191,MATCH('Crisis Simulator'!$B$4&amp;"|"&amp;$C261,_TECH_Crisis_Model!$I$5:$I$191,0)),"")</f>
        <v>CRM discipline, pipeline visibility and retention actions determine revenue protection.</v>
      </c>
      <c r="AG261" s="48" t="str">
        <f>IFERROR(INDEX(_TECH_Crisis_Model!$G$5:$G$191,MATCH('Crisis Simulator'!$B$4&amp;"|"&amp;$C261,_TECH_Crisis_Model!$I$5:$I$191,0)),"")</f>
        <v>Improve CRM hygiene, retention playbooks, pipeline scenarios and customer segmentation.</v>
      </c>
      <c r="AH261" s="48" t="str">
        <f>IFERROR(INDEX(_TECH_Initiative_Library!$A$5:$A$76,MATCH(1,INDEX((_TECH_Initiative_Library!$B$5:$B$76=$C261)*(_TECH_Initiative_Library!$C$5:$C$76=$D261),0),0)),"")</f>
        <v>INI-044</v>
      </c>
      <c r="AI261" s="48" t="str">
        <f>IFERROR(INDEX(_TECH_Initiative_Library!$F$5:$F$76,MATCH(1,INDEX((_TECH_Initiative_Library!$B$5:$B$76=$C261)*(_TECH_Initiative_Library!$C$5:$C$76=$D261),0),0)),"")</f>
        <v>Strengthen pricing, discounting and revenue-control governance</v>
      </c>
      <c r="AJ261" s="48" t="str">
        <f ca="1">IFERROR(INDEX(_TECH_Initiative_Library!$AC$5:$AC$76,MATCH(1,INDEX((_TECH_Initiative_Library!$B$5:$B$76=$C261)*(_TECH_Initiative_Library!$C$5:$C$76=$D261),0),0)),"")</f>
        <v/>
      </c>
      <c r="AK261" s="48" t="str">
        <f ca="1">IFERROR(INDEX(_TECH_Initiative_Library!$AE$5:$AE$76,MATCH(1,INDEX((_TECH_Initiative_Library!$B$5:$B$76=$C261)*(_TECH_Initiative_Library!$C$5:$C$76=$D261),0),0)),"")</f>
        <v/>
      </c>
      <c r="AL261" s="48" t="str">
        <f>IF($B261="Yes",IFERROR(SUMIFS(_TECH_Industry_Templates!$E:$E,_TECH_Industry_Templates!$A:$A,'Company Profile'!$B$9,_TECH_Industry_Templates!$B:$B,$C261),1),"")</f>
        <v/>
      </c>
      <c r="AM261" s="48" t="str">
        <f t="shared" si="39"/>
        <v/>
      </c>
      <c r="AN261" s="48" t="str">
        <f>IF($AM261="","",RANK.EQ($AM261,$AM$8:$AM$414,0)+COUNTIF($AM$8:$AM261,$AM261)-1)</f>
        <v/>
      </c>
    </row>
    <row r="262" spans="1:40" ht="71.25">
      <c r="A262" s="28" t="str">
        <f>IF($AM262="","",RANK.EQ($AM262,$AM$8:$AM$414,0)+COUNTIF($AM$8:$AM262,$AM262)-1)</f>
        <v/>
      </c>
      <c r="B262" s="7" t="str">
        <f t="shared" si="30"/>
        <v/>
      </c>
      <c r="C262" s="7" t="s">
        <v>84</v>
      </c>
      <c r="D262" s="7" t="s">
        <v>1407</v>
      </c>
      <c r="E262" s="7" t="s">
        <v>4454</v>
      </c>
      <c r="F262" s="7" t="s">
        <v>4455</v>
      </c>
      <c r="G262" s="28" t="str">
        <f>IF(OR(COUNTA('Sales CRM'!$H$23)=0,'Sales CRM'!$H$23="N/A"),"",VALUE('Sales CRM'!$H$23))</f>
        <v/>
      </c>
      <c r="H262" s="7" t="str">
        <f t="shared" si="31"/>
        <v/>
      </c>
      <c r="I262" s="7" t="str">
        <f>IF($G262="","",IFERROR(IF('Sales CRM'!$L$23="",IF($G262&lt;=1,"Critical",IF($G262=2,"High",IF($G262=3,"Medium",IF($G262=4,"Low","Optimized")))),'Sales CRM'!$L$23),IF($G262&lt;=1,"Critical",IF($G262=2,"High",IF($G262=3,"Medium",IF($G262=4,"Low","Optimized"))))))</f>
        <v/>
      </c>
      <c r="J262" s="7" t="str">
        <f>IF($G262="","",IFERROR(INDEX('Recommendation Matrix'!$E$5:$J$411,MATCH($E262,'Recommendation Matrix'!$A$5:$A$411,0),$G262+1),""))</f>
        <v/>
      </c>
      <c r="K262" s="7" t="str">
        <f>IF($G262="","",IFERROR(VLOOKUP($E262,'Recommendation Matrix'!$A$5:$K$411,11,FALSE),""))</f>
        <v/>
      </c>
      <c r="L262" s="28" t="str">
        <f t="shared" si="32"/>
        <v/>
      </c>
      <c r="M262" s="28" t="str">
        <f>IF($G262="","",IFERROR(INDEX('Recommendation Matrix'!$L$5:$Q$411,MATCH($E262,'Recommendation Matrix'!$A$5:$A$411,0),$G262+1),""))</f>
        <v/>
      </c>
      <c r="N262" s="28" t="str">
        <f t="shared" si="33"/>
        <v/>
      </c>
      <c r="O262" s="28" t="str">
        <f t="shared" si="34"/>
        <v/>
      </c>
      <c r="P262" s="28" t="str">
        <f t="shared" si="35"/>
        <v/>
      </c>
      <c r="Q262" s="28" t="str">
        <f t="shared" si="36"/>
        <v/>
      </c>
      <c r="R262" s="8" t="str">
        <f t="shared" si="37"/>
        <v/>
      </c>
      <c r="S262" s="28">
        <f>IFERROR('Sales CRM'!$G$23,"")</f>
        <v>4</v>
      </c>
      <c r="T262" s="28">
        <f>IFERROR('Sales CRM'!$W$23,"")</f>
        <v>4</v>
      </c>
      <c r="U262" s="28">
        <f>IFERROR('Sales CRM'!$X$23,"")</f>
        <v>5</v>
      </c>
      <c r="V262" s="28">
        <f>IFERROR('Sales CRM'!$Y$23,"")</f>
        <v>5</v>
      </c>
      <c r="W262" s="7" t="s">
        <v>4281</v>
      </c>
      <c r="X262" s="7" t="s">
        <v>4282</v>
      </c>
      <c r="Y262" s="7" t="s">
        <v>4456</v>
      </c>
      <c r="Z262" s="7">
        <f>IFERROR('Sales CRM'!$U$23,"")</f>
        <v>0</v>
      </c>
      <c r="AA262" s="7"/>
      <c r="AB262" s="29"/>
      <c r="AC262" s="7"/>
      <c r="AD262" s="48" t="str">
        <f>IF($B262="Yes",IFERROR(SUMIFS(_TECH_Crisis_Model!$D$5:$D$191,_TECH_Crisis_Model!$A$5:$A$191,'Crisis Simulator'!$B$4,_TECH_Crisis_Model!$B$5:$B$191,$C262),1),"")</f>
        <v/>
      </c>
      <c r="AE262" s="48" t="str">
        <f t="shared" si="38"/>
        <v/>
      </c>
      <c r="AF262" s="48" t="str">
        <f>IFERROR(INDEX(_TECH_Crisis_Model!$E$5:$E$191,MATCH('Crisis Simulator'!$B$4&amp;"|"&amp;$C262,_TECH_Crisis_Model!$I$5:$I$191,0)),"")</f>
        <v>CRM discipline, pipeline visibility and retention actions determine revenue protection.</v>
      </c>
      <c r="AG262" s="48" t="str">
        <f>IFERROR(INDEX(_TECH_Crisis_Model!$G$5:$G$191,MATCH('Crisis Simulator'!$B$4&amp;"|"&amp;$C262,_TECH_Crisis_Model!$I$5:$I$191,0)),"")</f>
        <v>Improve CRM hygiene, retention playbooks, pipeline scenarios and customer segmentation.</v>
      </c>
      <c r="AH262" s="48" t="str">
        <f>IFERROR(INDEX(_TECH_Initiative_Library!$A$5:$A$76,MATCH(1,INDEX((_TECH_Initiative_Library!$B$5:$B$76=$C262)*(_TECH_Initiative_Library!$C$5:$C$76=$D262),0),0)),"")</f>
        <v>INI-044</v>
      </c>
      <c r="AI262" s="48" t="str">
        <f>IFERROR(INDEX(_TECH_Initiative_Library!$F$5:$F$76,MATCH(1,INDEX((_TECH_Initiative_Library!$B$5:$B$76=$C262)*(_TECH_Initiative_Library!$C$5:$C$76=$D262),0),0)),"")</f>
        <v>Strengthen pricing, discounting and revenue-control governance</v>
      </c>
      <c r="AJ262" s="48" t="str">
        <f ca="1">IFERROR(INDEX(_TECH_Initiative_Library!$AC$5:$AC$76,MATCH(1,INDEX((_TECH_Initiative_Library!$B$5:$B$76=$C262)*(_TECH_Initiative_Library!$C$5:$C$76=$D262),0),0)),"")</f>
        <v/>
      </c>
      <c r="AK262" s="48" t="str">
        <f ca="1">IFERROR(INDEX(_TECH_Initiative_Library!$AE$5:$AE$76,MATCH(1,INDEX((_TECH_Initiative_Library!$B$5:$B$76=$C262)*(_TECH_Initiative_Library!$C$5:$C$76=$D262),0),0)),"")</f>
        <v/>
      </c>
      <c r="AL262" s="48" t="str">
        <f>IF($B262="Yes",IFERROR(SUMIFS(_TECH_Industry_Templates!$E:$E,_TECH_Industry_Templates!$A:$A,'Company Profile'!$B$9,_TECH_Industry_Templates!$B:$B,$C262),1),"")</f>
        <v/>
      </c>
      <c r="AM262" s="48" t="str">
        <f t="shared" si="39"/>
        <v/>
      </c>
      <c r="AN262" s="48" t="str">
        <f>IF($AM262="","",RANK.EQ($AM262,$AM$8:$AM$414,0)+COUNTIF($AM$8:$AM262,$AM262)-1)</f>
        <v/>
      </c>
    </row>
    <row r="263" spans="1:40" ht="71.25">
      <c r="A263" s="28" t="str">
        <f>IF($AM263="","",RANK.EQ($AM263,$AM$8:$AM$414,0)+COUNTIF($AM$8:$AM263,$AM263)-1)</f>
        <v/>
      </c>
      <c r="B263" s="7" t="str">
        <f t="shared" si="30"/>
        <v/>
      </c>
      <c r="C263" s="7" t="s">
        <v>84</v>
      </c>
      <c r="D263" s="7" t="s">
        <v>1407</v>
      </c>
      <c r="E263" s="7" t="s">
        <v>4464</v>
      </c>
      <c r="F263" s="7" t="s">
        <v>4465</v>
      </c>
      <c r="G263" s="28" t="str">
        <f>IF(OR(COUNTA('Sales CRM'!$H$24)=0,'Sales CRM'!$H$24="N/A"),"",VALUE('Sales CRM'!$H$24))</f>
        <v/>
      </c>
      <c r="H263" s="7" t="str">
        <f t="shared" si="31"/>
        <v/>
      </c>
      <c r="I263" s="7" t="str">
        <f>IF($G263="","",IFERROR(IF('Sales CRM'!$L$24="",IF($G263&lt;=1,"Critical",IF($G263=2,"High",IF($G263=3,"Medium",IF($G263=4,"Low","Optimized")))),'Sales CRM'!$L$24),IF($G263&lt;=1,"Critical",IF($G263=2,"High",IF($G263=3,"Medium",IF($G263=4,"Low","Optimized"))))))</f>
        <v/>
      </c>
      <c r="J263" s="7" t="str">
        <f>IF($G263="","",IFERROR(INDEX('Recommendation Matrix'!$E$5:$J$411,MATCH($E263,'Recommendation Matrix'!$A$5:$A$411,0),$G263+1),""))</f>
        <v/>
      </c>
      <c r="K263" s="7" t="str">
        <f>IF($G263="","",IFERROR(VLOOKUP($E263,'Recommendation Matrix'!$A$5:$K$411,11,FALSE),""))</f>
        <v/>
      </c>
      <c r="L263" s="28" t="str">
        <f t="shared" si="32"/>
        <v/>
      </c>
      <c r="M263" s="28" t="str">
        <f>IF($G263="","",IFERROR(INDEX('Recommendation Matrix'!$L$5:$Q$411,MATCH($E263,'Recommendation Matrix'!$A$5:$A$411,0),$G263+1),""))</f>
        <v/>
      </c>
      <c r="N263" s="28" t="str">
        <f t="shared" si="33"/>
        <v/>
      </c>
      <c r="O263" s="28" t="str">
        <f t="shared" si="34"/>
        <v/>
      </c>
      <c r="P263" s="28" t="str">
        <f t="shared" si="35"/>
        <v/>
      </c>
      <c r="Q263" s="28" t="str">
        <f t="shared" si="36"/>
        <v/>
      </c>
      <c r="R263" s="8" t="str">
        <f t="shared" si="37"/>
        <v/>
      </c>
      <c r="S263" s="28">
        <f>IFERROR('Sales CRM'!$G$24,"")</f>
        <v>5</v>
      </c>
      <c r="T263" s="28">
        <f>IFERROR('Sales CRM'!$W$24,"")</f>
        <v>4</v>
      </c>
      <c r="U263" s="28">
        <f>IFERROR('Sales CRM'!$X$24,"")</f>
        <v>5</v>
      </c>
      <c r="V263" s="28">
        <f>IFERROR('Sales CRM'!$Y$24,"")</f>
        <v>5</v>
      </c>
      <c r="W263" s="7" t="s">
        <v>4281</v>
      </c>
      <c r="X263" s="7" t="s">
        <v>4282</v>
      </c>
      <c r="Y263" s="7" t="s">
        <v>4466</v>
      </c>
      <c r="Z263" s="7">
        <f>IFERROR('Sales CRM'!$U$24,"")</f>
        <v>0</v>
      </c>
      <c r="AA263" s="7"/>
      <c r="AB263" s="29"/>
      <c r="AC263" s="7"/>
      <c r="AD263" s="48" t="str">
        <f>IF($B263="Yes",IFERROR(SUMIFS(_TECH_Crisis_Model!$D$5:$D$191,_TECH_Crisis_Model!$A$5:$A$191,'Crisis Simulator'!$B$4,_TECH_Crisis_Model!$B$5:$B$191,$C263),1),"")</f>
        <v/>
      </c>
      <c r="AE263" s="48" t="str">
        <f t="shared" si="38"/>
        <v/>
      </c>
      <c r="AF263" s="48" t="str">
        <f>IFERROR(INDEX(_TECH_Crisis_Model!$E$5:$E$191,MATCH('Crisis Simulator'!$B$4&amp;"|"&amp;$C263,_TECH_Crisis_Model!$I$5:$I$191,0)),"")</f>
        <v>CRM discipline, pipeline visibility and retention actions determine revenue protection.</v>
      </c>
      <c r="AG263" s="48" t="str">
        <f>IFERROR(INDEX(_TECH_Crisis_Model!$G$5:$G$191,MATCH('Crisis Simulator'!$B$4&amp;"|"&amp;$C263,_TECH_Crisis_Model!$I$5:$I$191,0)),"")</f>
        <v>Improve CRM hygiene, retention playbooks, pipeline scenarios and customer segmentation.</v>
      </c>
      <c r="AH263" s="48" t="str">
        <f>IFERROR(INDEX(_TECH_Initiative_Library!$A$5:$A$76,MATCH(1,INDEX((_TECH_Initiative_Library!$B$5:$B$76=$C263)*(_TECH_Initiative_Library!$C$5:$C$76=$D263),0),0)),"")</f>
        <v>INI-044</v>
      </c>
      <c r="AI263" s="48" t="str">
        <f>IFERROR(INDEX(_TECH_Initiative_Library!$F$5:$F$76,MATCH(1,INDEX((_TECH_Initiative_Library!$B$5:$B$76=$C263)*(_TECH_Initiative_Library!$C$5:$C$76=$D263),0),0)),"")</f>
        <v>Strengthen pricing, discounting and revenue-control governance</v>
      </c>
      <c r="AJ263" s="48" t="str">
        <f ca="1">IFERROR(INDEX(_TECH_Initiative_Library!$AC$5:$AC$76,MATCH(1,INDEX((_TECH_Initiative_Library!$B$5:$B$76=$C263)*(_TECH_Initiative_Library!$C$5:$C$76=$D263),0),0)),"")</f>
        <v/>
      </c>
      <c r="AK263" s="48" t="str">
        <f ca="1">IFERROR(INDEX(_TECH_Initiative_Library!$AE$5:$AE$76,MATCH(1,INDEX((_TECH_Initiative_Library!$B$5:$B$76=$C263)*(_TECH_Initiative_Library!$C$5:$C$76=$D263),0),0)),"")</f>
        <v/>
      </c>
      <c r="AL263" s="48" t="str">
        <f>IF($B263="Yes",IFERROR(SUMIFS(_TECH_Industry_Templates!$E:$E,_TECH_Industry_Templates!$A:$A,'Company Profile'!$B$9,_TECH_Industry_Templates!$B:$B,$C263),1),"")</f>
        <v/>
      </c>
      <c r="AM263" s="48" t="str">
        <f t="shared" si="39"/>
        <v/>
      </c>
      <c r="AN263" s="48" t="str">
        <f>IF($AM263="","",RANK.EQ($AM263,$AM$8:$AM$414,0)+COUNTIF($AM$8:$AM263,$AM263)-1)</f>
        <v/>
      </c>
    </row>
    <row r="264" spans="1:40" ht="85.5">
      <c r="A264" s="28" t="str">
        <f>IF($AM264="","",RANK.EQ($AM264,$AM$8:$AM$414,0)+COUNTIF($AM$8:$AM264,$AM264)-1)</f>
        <v/>
      </c>
      <c r="B264" s="7" t="str">
        <f t="shared" ref="B264:B327" si="40">IF($G264="","",IF($G264&lt;5,"Yes","Maintain"))</f>
        <v/>
      </c>
      <c r="C264" s="7" t="s">
        <v>84</v>
      </c>
      <c r="D264" s="7" t="s">
        <v>1407</v>
      </c>
      <c r="E264" s="7" t="s">
        <v>4474</v>
      </c>
      <c r="F264" s="7" t="s">
        <v>4475</v>
      </c>
      <c r="G264" s="28" t="str">
        <f>IF(OR(COUNTA('Sales CRM'!$H$25)=0,'Sales CRM'!$H$25="N/A"),"",VALUE('Sales CRM'!$H$25))</f>
        <v/>
      </c>
      <c r="H264" s="7" t="str">
        <f t="shared" ref="H264:H327" si="41">IF($G264="","",IF($G264&gt;=5,"Sustain",$G264+1))</f>
        <v/>
      </c>
      <c r="I264" s="7" t="str">
        <f>IF($G264="","",IFERROR(IF('Sales CRM'!$L$25="",IF($G264&lt;=1,"Critical",IF($G264=2,"High",IF($G264=3,"Medium",IF($G264=4,"Low","Optimized")))),'Sales CRM'!$L$25),IF($G264&lt;=1,"Critical",IF($G264=2,"High",IF($G264=3,"Medium",IF($G264=4,"Low","Optimized"))))))</f>
        <v/>
      </c>
      <c r="J264" s="7" t="str">
        <f>IF($G264="","",IFERROR(INDEX('Recommendation Matrix'!$E$5:$J$411,MATCH($E264,'Recommendation Matrix'!$A$5:$A$411,0),$G264+1),""))</f>
        <v/>
      </c>
      <c r="K264" s="7" t="str">
        <f>IF($G264="","",IFERROR(VLOOKUP($E264,'Recommendation Matrix'!$A$5:$K$411,11,FALSE),""))</f>
        <v/>
      </c>
      <c r="L264" s="28" t="str">
        <f t="shared" ref="L264:L327" si="42">IF($G264="","",MAX(1,MIN(5,ROUNDUP(((5-$G264)*0.55)+($S264*0.25)+($U264*0.2),0))))</f>
        <v/>
      </c>
      <c r="M264" s="28" t="str">
        <f>IF($G264="","",IFERROR(INDEX('Recommendation Matrix'!$L$5:$Q$411,MATCH($E264,'Recommendation Matrix'!$A$5:$A$411,0),$G264+1),""))</f>
        <v/>
      </c>
      <c r="N264" s="28" t="str">
        <f t="shared" ref="N264:N327" si="43">IF($G264="","",MAX(1,MIN(5,ROUND(($S264+$T264+$V264)/3,0))))</f>
        <v/>
      </c>
      <c r="O264" s="28" t="str">
        <f t="shared" ref="O264:O327" si="44">IF($G264="","",IF($I264="Critical",5,IF($I264="High",4,IF($I264="Medium",3,IF($I264="Low",2,1)))))</f>
        <v/>
      </c>
      <c r="P264" s="28" t="str">
        <f t="shared" ref="P264:P327" si="45">IF($G264="","",MAX(1,MIN(5,ROUNDUP(((5-$G264)*0.6)+($U264*0.4),0))))</f>
        <v/>
      </c>
      <c r="Q264" s="28" t="str">
        <f t="shared" ref="Q264:Q327" si="46">IF($G264="","",MAX(1,MIN(5,ROUND(($T264+$V264)/2,0))))</f>
        <v/>
      </c>
      <c r="R264" s="8" t="str">
        <f t="shared" ref="R264:R327" si="47">IF($G264="","",ROUND(($N264+$O264+$P264+$Q264)/$M264,2))</f>
        <v/>
      </c>
      <c r="S264" s="28">
        <f>IFERROR('Sales CRM'!$G$25,"")</f>
        <v>5</v>
      </c>
      <c r="T264" s="28">
        <f>IFERROR('Sales CRM'!$W$25,"")</f>
        <v>4</v>
      </c>
      <c r="U264" s="28">
        <f>IFERROR('Sales CRM'!$X$25,"")</f>
        <v>5</v>
      </c>
      <c r="V264" s="28">
        <f>IFERROR('Sales CRM'!$Y$25,"")</f>
        <v>5</v>
      </c>
      <c r="W264" s="7" t="s">
        <v>4281</v>
      </c>
      <c r="X264" s="7" t="s">
        <v>4282</v>
      </c>
      <c r="Y264" s="7" t="s">
        <v>4476</v>
      </c>
      <c r="Z264" s="7">
        <f>IFERROR('Sales CRM'!$U$25,"")</f>
        <v>0</v>
      </c>
      <c r="AA264" s="7"/>
      <c r="AB264" s="29"/>
      <c r="AC264" s="7"/>
      <c r="AD264" s="48" t="str">
        <f>IF($B264="Yes",IFERROR(SUMIFS(_TECH_Crisis_Model!$D$5:$D$191,_TECH_Crisis_Model!$A$5:$A$191,'Crisis Simulator'!$B$4,_TECH_Crisis_Model!$B$5:$B$191,$C264),1),"")</f>
        <v/>
      </c>
      <c r="AE264" s="48" t="str">
        <f t="shared" ref="AE264:AE327" si="48">IF(AD264="","",ROUND($R264*(0.7+0.3*AD264),2))</f>
        <v/>
      </c>
      <c r="AF264" s="48" t="str">
        <f>IFERROR(INDEX(_TECH_Crisis_Model!$E$5:$E$191,MATCH('Crisis Simulator'!$B$4&amp;"|"&amp;$C264,_TECH_Crisis_Model!$I$5:$I$191,0)),"")</f>
        <v>CRM discipline, pipeline visibility and retention actions determine revenue protection.</v>
      </c>
      <c r="AG264" s="48" t="str">
        <f>IFERROR(INDEX(_TECH_Crisis_Model!$G$5:$G$191,MATCH('Crisis Simulator'!$B$4&amp;"|"&amp;$C264,_TECH_Crisis_Model!$I$5:$I$191,0)),"")</f>
        <v>Improve CRM hygiene, retention playbooks, pipeline scenarios and customer segmentation.</v>
      </c>
      <c r="AH264" s="48" t="str">
        <f>IFERROR(INDEX(_TECH_Initiative_Library!$A$5:$A$76,MATCH(1,INDEX((_TECH_Initiative_Library!$B$5:$B$76=$C264)*(_TECH_Initiative_Library!$C$5:$C$76=$D264),0),0)),"")</f>
        <v>INI-044</v>
      </c>
      <c r="AI264" s="48" t="str">
        <f>IFERROR(INDEX(_TECH_Initiative_Library!$F$5:$F$76,MATCH(1,INDEX((_TECH_Initiative_Library!$B$5:$B$76=$C264)*(_TECH_Initiative_Library!$C$5:$C$76=$D264),0),0)),"")</f>
        <v>Strengthen pricing, discounting and revenue-control governance</v>
      </c>
      <c r="AJ264" s="48" t="str">
        <f ca="1">IFERROR(INDEX(_TECH_Initiative_Library!$AC$5:$AC$76,MATCH(1,INDEX((_TECH_Initiative_Library!$B$5:$B$76=$C264)*(_TECH_Initiative_Library!$C$5:$C$76=$D264),0),0)),"")</f>
        <v/>
      </c>
      <c r="AK264" s="48" t="str">
        <f ca="1">IFERROR(INDEX(_TECH_Initiative_Library!$AE$5:$AE$76,MATCH(1,INDEX((_TECH_Initiative_Library!$B$5:$B$76=$C264)*(_TECH_Initiative_Library!$C$5:$C$76=$D264),0),0)),"")</f>
        <v/>
      </c>
      <c r="AL264" s="48" t="str">
        <f>IF($B264="Yes",IFERROR(SUMIFS(_TECH_Industry_Templates!$E:$E,_TECH_Industry_Templates!$A:$A,'Company Profile'!$B$9,_TECH_Industry_Templates!$B:$B,$C264),1),"")</f>
        <v/>
      </c>
      <c r="AM264" s="48" t="str">
        <f t="shared" ref="AM264:AM327" si="49">IF($R264="","",ROUND(IF($AE264="",$R264,$AE264)*$AL264,2))</f>
        <v/>
      </c>
      <c r="AN264" s="48" t="str">
        <f>IF($AM264="","",RANK.EQ($AM264,$AM$8:$AM$414,0)+COUNTIF($AM$8:$AM264,$AM264)-1)</f>
        <v/>
      </c>
    </row>
    <row r="265" spans="1:40" ht="71.25">
      <c r="A265" s="28" t="str">
        <f>IF($AM265="","",RANK.EQ($AM265,$AM$8:$AM$414,0)+COUNTIF($AM$8:$AM265,$AM265)-1)</f>
        <v/>
      </c>
      <c r="B265" s="7" t="str">
        <f t="shared" si="40"/>
        <v/>
      </c>
      <c r="C265" s="7" t="s">
        <v>87</v>
      </c>
      <c r="D265" s="7" t="s">
        <v>1415</v>
      </c>
      <c r="E265" s="7" t="s">
        <v>4486</v>
      </c>
      <c r="F265" s="7" t="s">
        <v>4487</v>
      </c>
      <c r="G265" s="28" t="str">
        <f>IF(OR(COUNTA('Marketing Comms'!$H$5)=0,'Marketing Comms'!$H$5="N/A"),"",VALUE('Marketing Comms'!$H$5))</f>
        <v/>
      </c>
      <c r="H265" s="7" t="str">
        <f t="shared" si="41"/>
        <v/>
      </c>
      <c r="I265" s="7" t="str">
        <f>IF($G265="","",IFERROR(IF('Marketing Comms'!$L$5="",IF($G265&lt;=1,"Critical",IF($G265=2,"High",IF($G265=3,"Medium",IF($G265=4,"Low","Optimized")))),'Marketing Comms'!$L$5),IF($G265&lt;=1,"Critical",IF($G265=2,"High",IF($G265=3,"Medium",IF($G265=4,"Low","Optimized"))))))</f>
        <v/>
      </c>
      <c r="J265" s="7" t="str">
        <f>IF($G265="","",IFERROR(INDEX('Recommendation Matrix'!$E$5:$J$411,MATCH($E265,'Recommendation Matrix'!$A$5:$A$411,0),$G265+1),""))</f>
        <v/>
      </c>
      <c r="K265" s="7" t="str">
        <f>IF($G265="","",IFERROR(VLOOKUP($E265,'Recommendation Matrix'!$A$5:$K$411,11,FALSE),""))</f>
        <v/>
      </c>
      <c r="L265" s="28" t="str">
        <f t="shared" si="42"/>
        <v/>
      </c>
      <c r="M265" s="28" t="str">
        <f>IF($G265="","",IFERROR(INDEX('Recommendation Matrix'!$L$5:$Q$411,MATCH($E265,'Recommendation Matrix'!$A$5:$A$411,0),$G265+1),""))</f>
        <v/>
      </c>
      <c r="N265" s="28" t="str">
        <f t="shared" si="43"/>
        <v/>
      </c>
      <c r="O265" s="28" t="str">
        <f t="shared" si="44"/>
        <v/>
      </c>
      <c r="P265" s="28" t="str">
        <f t="shared" si="45"/>
        <v/>
      </c>
      <c r="Q265" s="28" t="str">
        <f t="shared" si="46"/>
        <v/>
      </c>
      <c r="R265" s="8" t="str">
        <f t="shared" si="47"/>
        <v/>
      </c>
      <c r="S265" s="28">
        <f>IFERROR('Marketing Comms'!$G$5,"")</f>
        <v>3</v>
      </c>
      <c r="T265" s="28">
        <f>IFERROR('Marketing Comms'!$W$5,"")</f>
        <v>4</v>
      </c>
      <c r="U265" s="28">
        <f>IFERROR('Marketing Comms'!$X$5,"")</f>
        <v>5</v>
      </c>
      <c r="V265" s="28">
        <f>IFERROR('Marketing Comms'!$Y$5,"")</f>
        <v>5</v>
      </c>
      <c r="W265" s="7" t="s">
        <v>4497</v>
      </c>
      <c r="X265" s="7" t="s">
        <v>4498</v>
      </c>
      <c r="Y265" s="7" t="s">
        <v>4490</v>
      </c>
      <c r="Z265" s="7">
        <f>IFERROR('Marketing Comms'!$U$5,"")</f>
        <v>0</v>
      </c>
      <c r="AA265" s="7"/>
      <c r="AB265" s="29"/>
      <c r="AC265" s="7"/>
      <c r="AD265" s="48" t="str">
        <f>IF($B265="Yes",IFERROR(SUMIFS(_TECH_Crisis_Model!$D$5:$D$191,_TECH_Crisis_Model!$A$5:$A$191,'Crisis Simulator'!$B$4,_TECH_Crisis_Model!$B$5:$B$191,$C265),1),"")</f>
        <v/>
      </c>
      <c r="AE265" s="48" t="str">
        <f t="shared" si="48"/>
        <v/>
      </c>
      <c r="AF265" s="48" t="str">
        <f>IFERROR(INDEX(_TECH_Crisis_Model!$E$5:$E$191,MATCH('Crisis Simulator'!$B$4&amp;"|"&amp;$C265,_TECH_Crisis_Model!$I$5:$I$191,0)),"")</f>
        <v>Customer communication and reputation control determine trust during uncertainty.</v>
      </c>
      <c r="AG265" s="48" t="str">
        <f>IFERROR(INDEX(_TECH_Crisis_Model!$G$5:$G$191,MATCH('Crisis Simulator'!$B$4&amp;"|"&amp;$C265,_TECH_Crisis_Model!$I$5:$I$191,0)),"")</f>
        <v>Prepare crisis messages, customer notification templates, comms approval flow and brand monitoring.</v>
      </c>
      <c r="AH265" s="48" t="str">
        <f>IFERROR(INDEX(_TECH_Initiative_Library!$A$5:$A$76,MATCH(1,INDEX((_TECH_Initiative_Library!$B$5:$B$76=$C265)*(_TECH_Initiative_Library!$C$5:$C$76=$D265),0),0)),"")</f>
        <v>INI-045</v>
      </c>
      <c r="AI265" s="48" t="str">
        <f>IFERROR(INDEX(_TECH_Initiative_Library!$F$5:$F$76,MATCH(1,INDEX((_TECH_Initiative_Library!$B$5:$B$76=$C265)*(_TECH_Initiative_Library!$C$5:$C$76=$D265),0),0)),"")</f>
        <v>Build resilient brand presence and digital demand generation</v>
      </c>
      <c r="AJ265" s="48" t="str">
        <f ca="1">IFERROR(INDEX(_TECH_Initiative_Library!$AC$5:$AC$76,MATCH(1,INDEX((_TECH_Initiative_Library!$B$5:$B$76=$C265)*(_TECH_Initiative_Library!$C$5:$C$76=$D265),0),0)),"")</f>
        <v/>
      </c>
      <c r="AK265" s="48" t="str">
        <f ca="1">IFERROR(INDEX(_TECH_Initiative_Library!$AE$5:$AE$76,MATCH(1,INDEX((_TECH_Initiative_Library!$B$5:$B$76=$C265)*(_TECH_Initiative_Library!$C$5:$C$76=$D265),0),0)),"")</f>
        <v/>
      </c>
      <c r="AL265" s="48" t="str">
        <f>IF($B265="Yes",IFERROR(SUMIFS(_TECH_Industry_Templates!$E:$E,_TECH_Industry_Templates!$A:$A,'Company Profile'!$B$9,_TECH_Industry_Templates!$B:$B,$C265),1),"")</f>
        <v/>
      </c>
      <c r="AM265" s="48" t="str">
        <f t="shared" si="49"/>
        <v/>
      </c>
      <c r="AN265" s="48" t="str">
        <f>IF($AM265="","",RANK.EQ($AM265,$AM$8:$AM$414,0)+COUNTIF($AM$8:$AM265,$AM265)-1)</f>
        <v/>
      </c>
    </row>
    <row r="266" spans="1:40" ht="71.25">
      <c r="A266" s="28" t="str">
        <f>IF($AM266="","",RANK.EQ($AM266,$AM$8:$AM$414,0)+COUNTIF($AM$8:$AM266,$AM266)-1)</f>
        <v/>
      </c>
      <c r="B266" s="7" t="str">
        <f t="shared" si="40"/>
        <v/>
      </c>
      <c r="C266" s="7" t="s">
        <v>87</v>
      </c>
      <c r="D266" s="7" t="s">
        <v>1415</v>
      </c>
      <c r="E266" s="7" t="s">
        <v>4500</v>
      </c>
      <c r="F266" s="7" t="s">
        <v>4501</v>
      </c>
      <c r="G266" s="28" t="str">
        <f>IF(OR(COUNTA('Marketing Comms'!$H$6)=0,'Marketing Comms'!$H$6="N/A"),"",VALUE('Marketing Comms'!$H$6))</f>
        <v/>
      </c>
      <c r="H266" s="7" t="str">
        <f t="shared" si="41"/>
        <v/>
      </c>
      <c r="I266" s="7" t="str">
        <f>IF($G266="","",IFERROR(IF('Marketing Comms'!$L$6="",IF($G266&lt;=1,"Critical",IF($G266=2,"High",IF($G266=3,"Medium",IF($G266=4,"Low","Optimized")))),'Marketing Comms'!$L$6),IF($G266&lt;=1,"Critical",IF($G266=2,"High",IF($G266=3,"Medium",IF($G266=4,"Low","Optimized"))))))</f>
        <v/>
      </c>
      <c r="J266" s="7" t="str">
        <f>IF($G266="","",IFERROR(INDEX('Recommendation Matrix'!$E$5:$J$411,MATCH($E266,'Recommendation Matrix'!$A$5:$A$411,0),$G266+1),""))</f>
        <v/>
      </c>
      <c r="K266" s="7" t="str">
        <f>IF($G266="","",IFERROR(VLOOKUP($E266,'Recommendation Matrix'!$A$5:$K$411,11,FALSE),""))</f>
        <v/>
      </c>
      <c r="L266" s="28" t="str">
        <f t="shared" si="42"/>
        <v/>
      </c>
      <c r="M266" s="28" t="str">
        <f>IF($G266="","",IFERROR(INDEX('Recommendation Matrix'!$L$5:$Q$411,MATCH($E266,'Recommendation Matrix'!$A$5:$A$411,0),$G266+1),""))</f>
        <v/>
      </c>
      <c r="N266" s="28" t="str">
        <f t="shared" si="43"/>
        <v/>
      </c>
      <c r="O266" s="28" t="str">
        <f t="shared" si="44"/>
        <v/>
      </c>
      <c r="P266" s="28" t="str">
        <f t="shared" si="45"/>
        <v/>
      </c>
      <c r="Q266" s="28" t="str">
        <f t="shared" si="46"/>
        <v/>
      </c>
      <c r="R266" s="8" t="str">
        <f t="shared" si="47"/>
        <v/>
      </c>
      <c r="S266" s="28">
        <f>IFERROR('Marketing Comms'!$G$6,"")</f>
        <v>5</v>
      </c>
      <c r="T266" s="28">
        <f>IFERROR('Marketing Comms'!$W$6,"")</f>
        <v>4</v>
      </c>
      <c r="U266" s="28">
        <f>IFERROR('Marketing Comms'!$X$6,"")</f>
        <v>5</v>
      </c>
      <c r="V266" s="28">
        <f>IFERROR('Marketing Comms'!$Y$6,"")</f>
        <v>5</v>
      </c>
      <c r="W266" s="7" t="s">
        <v>4497</v>
      </c>
      <c r="X266" s="7" t="s">
        <v>4498</v>
      </c>
      <c r="Y266" s="7" t="s">
        <v>4502</v>
      </c>
      <c r="Z266" s="7">
        <f>IFERROR('Marketing Comms'!$U$6,"")</f>
        <v>0</v>
      </c>
      <c r="AA266" s="7"/>
      <c r="AB266" s="29"/>
      <c r="AC266" s="7"/>
      <c r="AD266" s="48" t="str">
        <f>IF($B266="Yes",IFERROR(SUMIFS(_TECH_Crisis_Model!$D$5:$D$191,_TECH_Crisis_Model!$A$5:$A$191,'Crisis Simulator'!$B$4,_TECH_Crisis_Model!$B$5:$B$191,$C266),1),"")</f>
        <v/>
      </c>
      <c r="AE266" s="48" t="str">
        <f t="shared" si="48"/>
        <v/>
      </c>
      <c r="AF266" s="48" t="str">
        <f>IFERROR(INDEX(_TECH_Crisis_Model!$E$5:$E$191,MATCH('Crisis Simulator'!$B$4&amp;"|"&amp;$C266,_TECH_Crisis_Model!$I$5:$I$191,0)),"")</f>
        <v>Customer communication and reputation control determine trust during uncertainty.</v>
      </c>
      <c r="AG266" s="48" t="str">
        <f>IFERROR(INDEX(_TECH_Crisis_Model!$G$5:$G$191,MATCH('Crisis Simulator'!$B$4&amp;"|"&amp;$C266,_TECH_Crisis_Model!$I$5:$I$191,0)),"")</f>
        <v>Prepare crisis messages, customer notification templates, comms approval flow and brand monitoring.</v>
      </c>
      <c r="AH266" s="48" t="str">
        <f>IFERROR(INDEX(_TECH_Initiative_Library!$A$5:$A$76,MATCH(1,INDEX((_TECH_Initiative_Library!$B$5:$B$76=$C266)*(_TECH_Initiative_Library!$C$5:$C$76=$D266),0),0)),"")</f>
        <v>INI-045</v>
      </c>
      <c r="AI266" s="48" t="str">
        <f>IFERROR(INDEX(_TECH_Initiative_Library!$F$5:$F$76,MATCH(1,INDEX((_TECH_Initiative_Library!$B$5:$B$76=$C266)*(_TECH_Initiative_Library!$C$5:$C$76=$D266),0),0)),"")</f>
        <v>Build resilient brand presence and digital demand generation</v>
      </c>
      <c r="AJ266" s="48" t="str">
        <f ca="1">IFERROR(INDEX(_TECH_Initiative_Library!$AC$5:$AC$76,MATCH(1,INDEX((_TECH_Initiative_Library!$B$5:$B$76=$C266)*(_TECH_Initiative_Library!$C$5:$C$76=$D266),0),0)),"")</f>
        <v/>
      </c>
      <c r="AK266" s="48" t="str">
        <f ca="1">IFERROR(INDEX(_TECH_Initiative_Library!$AE$5:$AE$76,MATCH(1,INDEX((_TECH_Initiative_Library!$B$5:$B$76=$C266)*(_TECH_Initiative_Library!$C$5:$C$76=$D266),0),0)),"")</f>
        <v/>
      </c>
      <c r="AL266" s="48" t="str">
        <f>IF($B266="Yes",IFERROR(SUMIFS(_TECH_Industry_Templates!$E:$E,_TECH_Industry_Templates!$A:$A,'Company Profile'!$B$9,_TECH_Industry_Templates!$B:$B,$C266),1),"")</f>
        <v/>
      </c>
      <c r="AM266" s="48" t="str">
        <f t="shared" si="49"/>
        <v/>
      </c>
      <c r="AN266" s="48" t="str">
        <f>IF($AM266="","",RANK.EQ($AM266,$AM$8:$AM$414,0)+COUNTIF($AM$8:$AM266,$AM266)-1)</f>
        <v/>
      </c>
    </row>
    <row r="267" spans="1:40" ht="71.25">
      <c r="A267" s="28" t="str">
        <f>IF($AM267="","",RANK.EQ($AM267,$AM$8:$AM$414,0)+COUNTIF($AM$8:$AM267,$AM267)-1)</f>
        <v/>
      </c>
      <c r="B267" s="7" t="str">
        <f t="shared" si="40"/>
        <v/>
      </c>
      <c r="C267" s="7" t="s">
        <v>87</v>
      </c>
      <c r="D267" s="7" t="s">
        <v>1415</v>
      </c>
      <c r="E267" s="7" t="s">
        <v>4510</v>
      </c>
      <c r="F267" s="7" t="s">
        <v>4511</v>
      </c>
      <c r="G267" s="28" t="str">
        <f>IF(OR(COUNTA('Marketing Comms'!$H$7)=0,'Marketing Comms'!$H$7="N/A"),"",VALUE('Marketing Comms'!$H$7))</f>
        <v/>
      </c>
      <c r="H267" s="7" t="str">
        <f t="shared" si="41"/>
        <v/>
      </c>
      <c r="I267" s="7" t="str">
        <f>IF($G267="","",IFERROR(IF('Marketing Comms'!$L$7="",IF($G267&lt;=1,"Critical",IF($G267=2,"High",IF($G267=3,"Medium",IF($G267=4,"Low","Optimized")))),'Marketing Comms'!$L$7),IF($G267&lt;=1,"Critical",IF($G267=2,"High",IF($G267=3,"Medium",IF($G267=4,"Low","Optimized"))))))</f>
        <v/>
      </c>
      <c r="J267" s="7" t="str">
        <f>IF($G267="","",IFERROR(INDEX('Recommendation Matrix'!$E$5:$J$411,MATCH($E267,'Recommendation Matrix'!$A$5:$A$411,0),$G267+1),""))</f>
        <v/>
      </c>
      <c r="K267" s="7" t="str">
        <f>IF($G267="","",IFERROR(VLOOKUP($E267,'Recommendation Matrix'!$A$5:$K$411,11,FALSE),""))</f>
        <v/>
      </c>
      <c r="L267" s="28" t="str">
        <f t="shared" si="42"/>
        <v/>
      </c>
      <c r="M267" s="28" t="str">
        <f>IF($G267="","",IFERROR(INDEX('Recommendation Matrix'!$L$5:$Q$411,MATCH($E267,'Recommendation Matrix'!$A$5:$A$411,0),$G267+1),""))</f>
        <v/>
      </c>
      <c r="N267" s="28" t="str">
        <f t="shared" si="43"/>
        <v/>
      </c>
      <c r="O267" s="28" t="str">
        <f t="shared" si="44"/>
        <v/>
      </c>
      <c r="P267" s="28" t="str">
        <f t="shared" si="45"/>
        <v/>
      </c>
      <c r="Q267" s="28" t="str">
        <f t="shared" si="46"/>
        <v/>
      </c>
      <c r="R267" s="8" t="str">
        <f t="shared" si="47"/>
        <v/>
      </c>
      <c r="S267" s="28">
        <f>IFERROR('Marketing Comms'!$G$7,"")</f>
        <v>5</v>
      </c>
      <c r="T267" s="28">
        <f>IFERROR('Marketing Comms'!$W$7,"")</f>
        <v>4</v>
      </c>
      <c r="U267" s="28">
        <f>IFERROR('Marketing Comms'!$X$7,"")</f>
        <v>5</v>
      </c>
      <c r="V267" s="28">
        <f>IFERROR('Marketing Comms'!$Y$7,"")</f>
        <v>5</v>
      </c>
      <c r="W267" s="7" t="s">
        <v>4497</v>
      </c>
      <c r="X267" s="7" t="s">
        <v>4498</v>
      </c>
      <c r="Y267" s="7" t="s">
        <v>4512</v>
      </c>
      <c r="Z267" s="7">
        <f>IFERROR('Marketing Comms'!$U$7,"")</f>
        <v>0</v>
      </c>
      <c r="AA267" s="7"/>
      <c r="AB267" s="29"/>
      <c r="AC267" s="7"/>
      <c r="AD267" s="48" t="str">
        <f>IF($B267="Yes",IFERROR(SUMIFS(_TECH_Crisis_Model!$D$5:$D$191,_TECH_Crisis_Model!$A$5:$A$191,'Crisis Simulator'!$B$4,_TECH_Crisis_Model!$B$5:$B$191,$C267),1),"")</f>
        <v/>
      </c>
      <c r="AE267" s="48" t="str">
        <f t="shared" si="48"/>
        <v/>
      </c>
      <c r="AF267" s="48" t="str">
        <f>IFERROR(INDEX(_TECH_Crisis_Model!$E$5:$E$191,MATCH('Crisis Simulator'!$B$4&amp;"|"&amp;$C267,_TECH_Crisis_Model!$I$5:$I$191,0)),"")</f>
        <v>Customer communication and reputation control determine trust during uncertainty.</v>
      </c>
      <c r="AG267" s="48" t="str">
        <f>IFERROR(INDEX(_TECH_Crisis_Model!$G$5:$G$191,MATCH('Crisis Simulator'!$B$4&amp;"|"&amp;$C267,_TECH_Crisis_Model!$I$5:$I$191,0)),"")</f>
        <v>Prepare crisis messages, customer notification templates, comms approval flow and brand monitoring.</v>
      </c>
      <c r="AH267" s="48" t="str">
        <f>IFERROR(INDEX(_TECH_Initiative_Library!$A$5:$A$76,MATCH(1,INDEX((_TECH_Initiative_Library!$B$5:$B$76=$C267)*(_TECH_Initiative_Library!$C$5:$C$76=$D267),0),0)),"")</f>
        <v>INI-045</v>
      </c>
      <c r="AI267" s="48" t="str">
        <f>IFERROR(INDEX(_TECH_Initiative_Library!$F$5:$F$76,MATCH(1,INDEX((_TECH_Initiative_Library!$B$5:$B$76=$C267)*(_TECH_Initiative_Library!$C$5:$C$76=$D267),0),0)),"")</f>
        <v>Build resilient brand presence and digital demand generation</v>
      </c>
      <c r="AJ267" s="48" t="str">
        <f ca="1">IFERROR(INDEX(_TECH_Initiative_Library!$AC$5:$AC$76,MATCH(1,INDEX((_TECH_Initiative_Library!$B$5:$B$76=$C267)*(_TECH_Initiative_Library!$C$5:$C$76=$D267),0),0)),"")</f>
        <v/>
      </c>
      <c r="AK267" s="48" t="str">
        <f ca="1">IFERROR(INDEX(_TECH_Initiative_Library!$AE$5:$AE$76,MATCH(1,INDEX((_TECH_Initiative_Library!$B$5:$B$76=$C267)*(_TECH_Initiative_Library!$C$5:$C$76=$D267),0),0)),"")</f>
        <v/>
      </c>
      <c r="AL267" s="48" t="str">
        <f>IF($B267="Yes",IFERROR(SUMIFS(_TECH_Industry_Templates!$E:$E,_TECH_Industry_Templates!$A:$A,'Company Profile'!$B$9,_TECH_Industry_Templates!$B:$B,$C267),1),"")</f>
        <v/>
      </c>
      <c r="AM267" s="48" t="str">
        <f t="shared" si="49"/>
        <v/>
      </c>
      <c r="AN267" s="48" t="str">
        <f>IF($AM267="","",RANK.EQ($AM267,$AM$8:$AM$414,0)+COUNTIF($AM$8:$AM267,$AM267)-1)</f>
        <v/>
      </c>
    </row>
    <row r="268" spans="1:40" ht="71.25">
      <c r="A268" s="28" t="str">
        <f>IF($AM268="","",RANK.EQ($AM268,$AM$8:$AM$414,0)+COUNTIF($AM$8:$AM268,$AM268)-1)</f>
        <v/>
      </c>
      <c r="B268" s="7" t="str">
        <f t="shared" si="40"/>
        <v/>
      </c>
      <c r="C268" s="7" t="s">
        <v>87</v>
      </c>
      <c r="D268" s="7" t="s">
        <v>1415</v>
      </c>
      <c r="E268" s="7" t="s">
        <v>4520</v>
      </c>
      <c r="F268" s="7" t="s">
        <v>4521</v>
      </c>
      <c r="G268" s="28" t="str">
        <f>IF(OR(COUNTA('Marketing Comms'!$H$8)=0,'Marketing Comms'!$H$8="N/A"),"",VALUE('Marketing Comms'!$H$8))</f>
        <v/>
      </c>
      <c r="H268" s="7" t="str">
        <f t="shared" si="41"/>
        <v/>
      </c>
      <c r="I268" s="7" t="str">
        <f>IF($G268="","",IFERROR(IF('Marketing Comms'!$L$8="",IF($G268&lt;=1,"Critical",IF($G268=2,"High",IF($G268=3,"Medium",IF($G268=4,"Low","Optimized")))),'Marketing Comms'!$L$8),IF($G268&lt;=1,"Critical",IF($G268=2,"High",IF($G268=3,"Medium",IF($G268=4,"Low","Optimized"))))))</f>
        <v/>
      </c>
      <c r="J268" s="7" t="str">
        <f>IF($G268="","",IFERROR(INDEX('Recommendation Matrix'!$E$5:$J$411,MATCH($E268,'Recommendation Matrix'!$A$5:$A$411,0),$G268+1),""))</f>
        <v/>
      </c>
      <c r="K268" s="7" t="str">
        <f>IF($G268="","",IFERROR(VLOOKUP($E268,'Recommendation Matrix'!$A$5:$K$411,11,FALSE),""))</f>
        <v/>
      </c>
      <c r="L268" s="28" t="str">
        <f t="shared" si="42"/>
        <v/>
      </c>
      <c r="M268" s="28" t="str">
        <f>IF($G268="","",IFERROR(INDEX('Recommendation Matrix'!$L$5:$Q$411,MATCH($E268,'Recommendation Matrix'!$A$5:$A$411,0),$G268+1),""))</f>
        <v/>
      </c>
      <c r="N268" s="28" t="str">
        <f t="shared" si="43"/>
        <v/>
      </c>
      <c r="O268" s="28" t="str">
        <f t="shared" si="44"/>
        <v/>
      </c>
      <c r="P268" s="28" t="str">
        <f t="shared" si="45"/>
        <v/>
      </c>
      <c r="Q268" s="28" t="str">
        <f t="shared" si="46"/>
        <v/>
      </c>
      <c r="R268" s="8" t="str">
        <f t="shared" si="47"/>
        <v/>
      </c>
      <c r="S268" s="28">
        <f>IFERROR('Marketing Comms'!$G$8,"")</f>
        <v>3</v>
      </c>
      <c r="T268" s="28">
        <f>IFERROR('Marketing Comms'!$W$8,"")</f>
        <v>4</v>
      </c>
      <c r="U268" s="28">
        <f>IFERROR('Marketing Comms'!$X$8,"")</f>
        <v>5</v>
      </c>
      <c r="V268" s="28">
        <f>IFERROR('Marketing Comms'!$Y$8,"")</f>
        <v>5</v>
      </c>
      <c r="W268" s="7" t="s">
        <v>4497</v>
      </c>
      <c r="X268" s="7" t="s">
        <v>4498</v>
      </c>
      <c r="Y268" s="7" t="s">
        <v>4522</v>
      </c>
      <c r="Z268" s="7">
        <f>IFERROR('Marketing Comms'!$U$8,"")</f>
        <v>0</v>
      </c>
      <c r="AA268" s="7"/>
      <c r="AB268" s="29"/>
      <c r="AC268" s="7"/>
      <c r="AD268" s="48" t="str">
        <f>IF($B268="Yes",IFERROR(SUMIFS(_TECH_Crisis_Model!$D$5:$D$191,_TECH_Crisis_Model!$A$5:$A$191,'Crisis Simulator'!$B$4,_TECH_Crisis_Model!$B$5:$B$191,$C268),1),"")</f>
        <v/>
      </c>
      <c r="AE268" s="48" t="str">
        <f t="shared" si="48"/>
        <v/>
      </c>
      <c r="AF268" s="48" t="str">
        <f>IFERROR(INDEX(_TECH_Crisis_Model!$E$5:$E$191,MATCH('Crisis Simulator'!$B$4&amp;"|"&amp;$C268,_TECH_Crisis_Model!$I$5:$I$191,0)),"")</f>
        <v>Customer communication and reputation control determine trust during uncertainty.</v>
      </c>
      <c r="AG268" s="48" t="str">
        <f>IFERROR(INDEX(_TECH_Crisis_Model!$G$5:$G$191,MATCH('Crisis Simulator'!$B$4&amp;"|"&amp;$C268,_TECH_Crisis_Model!$I$5:$I$191,0)),"")</f>
        <v>Prepare crisis messages, customer notification templates, comms approval flow and brand monitoring.</v>
      </c>
      <c r="AH268" s="48" t="str">
        <f>IFERROR(INDEX(_TECH_Initiative_Library!$A$5:$A$76,MATCH(1,INDEX((_TECH_Initiative_Library!$B$5:$B$76=$C268)*(_TECH_Initiative_Library!$C$5:$C$76=$D268),0),0)),"")</f>
        <v>INI-045</v>
      </c>
      <c r="AI268" s="48" t="str">
        <f>IFERROR(INDEX(_TECH_Initiative_Library!$F$5:$F$76,MATCH(1,INDEX((_TECH_Initiative_Library!$B$5:$B$76=$C268)*(_TECH_Initiative_Library!$C$5:$C$76=$D268),0),0)),"")</f>
        <v>Build resilient brand presence and digital demand generation</v>
      </c>
      <c r="AJ268" s="48" t="str">
        <f ca="1">IFERROR(INDEX(_TECH_Initiative_Library!$AC$5:$AC$76,MATCH(1,INDEX((_TECH_Initiative_Library!$B$5:$B$76=$C268)*(_TECH_Initiative_Library!$C$5:$C$76=$D268),0),0)),"")</f>
        <v/>
      </c>
      <c r="AK268" s="48" t="str">
        <f ca="1">IFERROR(INDEX(_TECH_Initiative_Library!$AE$5:$AE$76,MATCH(1,INDEX((_TECH_Initiative_Library!$B$5:$B$76=$C268)*(_TECH_Initiative_Library!$C$5:$C$76=$D268),0),0)),"")</f>
        <v/>
      </c>
      <c r="AL268" s="48" t="str">
        <f>IF($B268="Yes",IFERROR(SUMIFS(_TECH_Industry_Templates!$E:$E,_TECH_Industry_Templates!$A:$A,'Company Profile'!$B$9,_TECH_Industry_Templates!$B:$B,$C268),1),"")</f>
        <v/>
      </c>
      <c r="AM268" s="48" t="str">
        <f t="shared" si="49"/>
        <v/>
      </c>
      <c r="AN268" s="48" t="str">
        <f>IF($AM268="","",RANK.EQ($AM268,$AM$8:$AM$414,0)+COUNTIF($AM$8:$AM268,$AM268)-1)</f>
        <v/>
      </c>
    </row>
    <row r="269" spans="1:40" ht="71.25">
      <c r="A269" s="28" t="str">
        <f>IF($AM269="","",RANK.EQ($AM269,$AM$8:$AM$414,0)+COUNTIF($AM$8:$AM269,$AM269)-1)</f>
        <v/>
      </c>
      <c r="B269" s="7" t="str">
        <f t="shared" si="40"/>
        <v/>
      </c>
      <c r="C269" s="7" t="s">
        <v>87</v>
      </c>
      <c r="D269" s="7" t="s">
        <v>1415</v>
      </c>
      <c r="E269" s="7" t="s">
        <v>4530</v>
      </c>
      <c r="F269" s="7" t="s">
        <v>4531</v>
      </c>
      <c r="G269" s="28" t="str">
        <f>IF(OR(COUNTA('Marketing Comms'!$H$9)=0,'Marketing Comms'!$H$9="N/A"),"",VALUE('Marketing Comms'!$H$9))</f>
        <v/>
      </c>
      <c r="H269" s="7" t="str">
        <f t="shared" si="41"/>
        <v/>
      </c>
      <c r="I269" s="7" t="str">
        <f>IF($G269="","",IFERROR(IF('Marketing Comms'!$L$9="",IF($G269&lt;=1,"Critical",IF($G269=2,"High",IF($G269=3,"Medium",IF($G269=4,"Low","Optimized")))),'Marketing Comms'!$L$9),IF($G269&lt;=1,"Critical",IF($G269=2,"High",IF($G269=3,"Medium",IF($G269=4,"Low","Optimized"))))))</f>
        <v/>
      </c>
      <c r="J269" s="7" t="str">
        <f>IF($G269="","",IFERROR(INDEX('Recommendation Matrix'!$E$5:$J$411,MATCH($E269,'Recommendation Matrix'!$A$5:$A$411,0),$G269+1),""))</f>
        <v/>
      </c>
      <c r="K269" s="7" t="str">
        <f>IF($G269="","",IFERROR(VLOOKUP($E269,'Recommendation Matrix'!$A$5:$K$411,11,FALSE),""))</f>
        <v/>
      </c>
      <c r="L269" s="28" t="str">
        <f t="shared" si="42"/>
        <v/>
      </c>
      <c r="M269" s="28" t="str">
        <f>IF($G269="","",IFERROR(INDEX('Recommendation Matrix'!$L$5:$Q$411,MATCH($E269,'Recommendation Matrix'!$A$5:$A$411,0),$G269+1),""))</f>
        <v/>
      </c>
      <c r="N269" s="28" t="str">
        <f t="shared" si="43"/>
        <v/>
      </c>
      <c r="O269" s="28" t="str">
        <f t="shared" si="44"/>
        <v/>
      </c>
      <c r="P269" s="28" t="str">
        <f t="shared" si="45"/>
        <v/>
      </c>
      <c r="Q269" s="28" t="str">
        <f t="shared" si="46"/>
        <v/>
      </c>
      <c r="R269" s="8" t="str">
        <f t="shared" si="47"/>
        <v/>
      </c>
      <c r="S269" s="28">
        <f>IFERROR('Marketing Comms'!$G$9,"")</f>
        <v>3</v>
      </c>
      <c r="T269" s="28">
        <f>IFERROR('Marketing Comms'!$W$9,"")</f>
        <v>4</v>
      </c>
      <c r="U269" s="28">
        <f>IFERROR('Marketing Comms'!$X$9,"")</f>
        <v>5</v>
      </c>
      <c r="V269" s="28">
        <f>IFERROR('Marketing Comms'!$Y$9,"")</f>
        <v>5</v>
      </c>
      <c r="W269" s="7" t="s">
        <v>4497</v>
      </c>
      <c r="X269" s="7" t="s">
        <v>4498</v>
      </c>
      <c r="Y269" s="7" t="s">
        <v>4532</v>
      </c>
      <c r="Z269" s="7">
        <f>IFERROR('Marketing Comms'!$U$9,"")</f>
        <v>0</v>
      </c>
      <c r="AA269" s="7"/>
      <c r="AB269" s="29"/>
      <c r="AC269" s="7"/>
      <c r="AD269" s="48" t="str">
        <f>IF($B269="Yes",IFERROR(SUMIFS(_TECH_Crisis_Model!$D$5:$D$191,_TECH_Crisis_Model!$A$5:$A$191,'Crisis Simulator'!$B$4,_TECH_Crisis_Model!$B$5:$B$191,$C269),1),"")</f>
        <v/>
      </c>
      <c r="AE269" s="48" t="str">
        <f t="shared" si="48"/>
        <v/>
      </c>
      <c r="AF269" s="48" t="str">
        <f>IFERROR(INDEX(_TECH_Crisis_Model!$E$5:$E$191,MATCH('Crisis Simulator'!$B$4&amp;"|"&amp;$C269,_TECH_Crisis_Model!$I$5:$I$191,0)),"")</f>
        <v>Customer communication and reputation control determine trust during uncertainty.</v>
      </c>
      <c r="AG269" s="48" t="str">
        <f>IFERROR(INDEX(_TECH_Crisis_Model!$G$5:$G$191,MATCH('Crisis Simulator'!$B$4&amp;"|"&amp;$C269,_TECH_Crisis_Model!$I$5:$I$191,0)),"")</f>
        <v>Prepare crisis messages, customer notification templates, comms approval flow and brand monitoring.</v>
      </c>
      <c r="AH269" s="48" t="str">
        <f>IFERROR(INDEX(_TECH_Initiative_Library!$A$5:$A$76,MATCH(1,INDEX((_TECH_Initiative_Library!$B$5:$B$76=$C269)*(_TECH_Initiative_Library!$C$5:$C$76=$D269),0),0)),"")</f>
        <v>INI-045</v>
      </c>
      <c r="AI269" s="48" t="str">
        <f>IFERROR(INDEX(_TECH_Initiative_Library!$F$5:$F$76,MATCH(1,INDEX((_TECH_Initiative_Library!$B$5:$B$76=$C269)*(_TECH_Initiative_Library!$C$5:$C$76=$D269),0),0)),"")</f>
        <v>Build resilient brand presence and digital demand generation</v>
      </c>
      <c r="AJ269" s="48" t="str">
        <f ca="1">IFERROR(INDEX(_TECH_Initiative_Library!$AC$5:$AC$76,MATCH(1,INDEX((_TECH_Initiative_Library!$B$5:$B$76=$C269)*(_TECH_Initiative_Library!$C$5:$C$76=$D269),0),0)),"")</f>
        <v/>
      </c>
      <c r="AK269" s="48" t="str">
        <f ca="1">IFERROR(INDEX(_TECH_Initiative_Library!$AE$5:$AE$76,MATCH(1,INDEX((_TECH_Initiative_Library!$B$5:$B$76=$C269)*(_TECH_Initiative_Library!$C$5:$C$76=$D269),0),0)),"")</f>
        <v/>
      </c>
      <c r="AL269" s="48" t="str">
        <f>IF($B269="Yes",IFERROR(SUMIFS(_TECH_Industry_Templates!$E:$E,_TECH_Industry_Templates!$A:$A,'Company Profile'!$B$9,_TECH_Industry_Templates!$B:$B,$C269),1),"")</f>
        <v/>
      </c>
      <c r="AM269" s="48" t="str">
        <f t="shared" si="49"/>
        <v/>
      </c>
      <c r="AN269" s="48" t="str">
        <f>IF($AM269="","",RANK.EQ($AM269,$AM$8:$AM$414,0)+COUNTIF($AM$8:$AM269,$AM269)-1)</f>
        <v/>
      </c>
    </row>
    <row r="270" spans="1:40" ht="71.25">
      <c r="A270" s="28" t="str">
        <f>IF($AM270="","",RANK.EQ($AM270,$AM$8:$AM$414,0)+COUNTIF($AM$8:$AM270,$AM270)-1)</f>
        <v/>
      </c>
      <c r="B270" s="7" t="str">
        <f t="shared" si="40"/>
        <v/>
      </c>
      <c r="C270" s="7" t="s">
        <v>87</v>
      </c>
      <c r="D270" s="7" t="s">
        <v>1425</v>
      </c>
      <c r="E270" s="7" t="s">
        <v>4540</v>
      </c>
      <c r="F270" s="7" t="s">
        <v>4541</v>
      </c>
      <c r="G270" s="28" t="str">
        <f>IF(OR(COUNTA('Marketing Comms'!$H$10)=0,'Marketing Comms'!$H$10="N/A"),"",VALUE('Marketing Comms'!$H$10))</f>
        <v/>
      </c>
      <c r="H270" s="7" t="str">
        <f t="shared" si="41"/>
        <v/>
      </c>
      <c r="I270" s="7" t="str">
        <f>IF($G270="","",IFERROR(IF('Marketing Comms'!$L$10="",IF($G270&lt;=1,"Critical",IF($G270=2,"High",IF($G270=3,"Medium",IF($G270=4,"Low","Optimized")))),'Marketing Comms'!$L$10),IF($G270&lt;=1,"Critical",IF($G270=2,"High",IF($G270=3,"Medium",IF($G270=4,"Low","Optimized"))))))</f>
        <v/>
      </c>
      <c r="J270" s="7" t="str">
        <f>IF($G270="","",IFERROR(INDEX('Recommendation Matrix'!$E$5:$J$411,MATCH($E270,'Recommendation Matrix'!$A$5:$A$411,0),$G270+1),""))</f>
        <v/>
      </c>
      <c r="K270" s="7" t="str">
        <f>IF($G270="","",IFERROR(VLOOKUP($E270,'Recommendation Matrix'!$A$5:$K$411,11,FALSE),""))</f>
        <v/>
      </c>
      <c r="L270" s="28" t="str">
        <f t="shared" si="42"/>
        <v/>
      </c>
      <c r="M270" s="28" t="str">
        <f>IF($G270="","",IFERROR(INDEX('Recommendation Matrix'!$L$5:$Q$411,MATCH($E270,'Recommendation Matrix'!$A$5:$A$411,0),$G270+1),""))</f>
        <v/>
      </c>
      <c r="N270" s="28" t="str">
        <f t="shared" si="43"/>
        <v/>
      </c>
      <c r="O270" s="28" t="str">
        <f t="shared" si="44"/>
        <v/>
      </c>
      <c r="P270" s="28" t="str">
        <f t="shared" si="45"/>
        <v/>
      </c>
      <c r="Q270" s="28" t="str">
        <f t="shared" si="46"/>
        <v/>
      </c>
      <c r="R270" s="8" t="str">
        <f t="shared" si="47"/>
        <v/>
      </c>
      <c r="S270" s="28">
        <f>IFERROR('Marketing Comms'!$G$10,"")</f>
        <v>5</v>
      </c>
      <c r="T270" s="28">
        <f>IFERROR('Marketing Comms'!$W$10,"")</f>
        <v>4</v>
      </c>
      <c r="U270" s="28">
        <f>IFERROR('Marketing Comms'!$X$10,"")</f>
        <v>5</v>
      </c>
      <c r="V270" s="28">
        <f>IFERROR('Marketing Comms'!$Y$10,"")</f>
        <v>5</v>
      </c>
      <c r="W270" s="7" t="s">
        <v>4497</v>
      </c>
      <c r="X270" s="7" t="s">
        <v>4498</v>
      </c>
      <c r="Y270" s="7" t="s">
        <v>4542</v>
      </c>
      <c r="Z270" s="7">
        <f>IFERROR('Marketing Comms'!$U$10,"")</f>
        <v>0</v>
      </c>
      <c r="AA270" s="7"/>
      <c r="AB270" s="29"/>
      <c r="AC270" s="7"/>
      <c r="AD270" s="48" t="str">
        <f>IF($B270="Yes",IFERROR(SUMIFS(_TECH_Crisis_Model!$D$5:$D$191,_TECH_Crisis_Model!$A$5:$A$191,'Crisis Simulator'!$B$4,_TECH_Crisis_Model!$B$5:$B$191,$C270),1),"")</f>
        <v/>
      </c>
      <c r="AE270" s="48" t="str">
        <f t="shared" si="48"/>
        <v/>
      </c>
      <c r="AF270" s="48" t="str">
        <f>IFERROR(INDEX(_TECH_Crisis_Model!$E$5:$E$191,MATCH('Crisis Simulator'!$B$4&amp;"|"&amp;$C270,_TECH_Crisis_Model!$I$5:$I$191,0)),"")</f>
        <v>Customer communication and reputation control determine trust during uncertainty.</v>
      </c>
      <c r="AG270" s="48" t="str">
        <f>IFERROR(INDEX(_TECH_Crisis_Model!$G$5:$G$191,MATCH('Crisis Simulator'!$B$4&amp;"|"&amp;$C270,_TECH_Crisis_Model!$I$5:$I$191,0)),"")</f>
        <v>Prepare crisis messages, customer notification templates, comms approval flow and brand monitoring.</v>
      </c>
      <c r="AH270" s="48" t="str">
        <f>IFERROR(INDEX(_TECH_Initiative_Library!$A$5:$A$76,MATCH(1,INDEX((_TECH_Initiative_Library!$B$5:$B$76=$C270)*(_TECH_Initiative_Library!$C$5:$C$76=$D270),0),0)),"")</f>
        <v>INI-046</v>
      </c>
      <c r="AI270" s="48" t="str">
        <f>IFERROR(INDEX(_TECH_Initiative_Library!$F$5:$F$76,MATCH(1,INDEX((_TECH_Initiative_Library!$B$5:$B$76=$C270)*(_TECH_Initiative_Library!$C$5:$C$76=$D270),0),0)),"")</f>
        <v>Prepare crisis communication playbooks and customer notification flows</v>
      </c>
      <c r="AJ270" s="48" t="str">
        <f ca="1">IFERROR(INDEX(_TECH_Initiative_Library!$AC$5:$AC$76,MATCH(1,INDEX((_TECH_Initiative_Library!$B$5:$B$76=$C270)*(_TECH_Initiative_Library!$C$5:$C$76=$D270),0),0)),"")</f>
        <v/>
      </c>
      <c r="AK270" s="48" t="str">
        <f ca="1">IFERROR(INDEX(_TECH_Initiative_Library!$AE$5:$AE$76,MATCH(1,INDEX((_TECH_Initiative_Library!$B$5:$B$76=$C270)*(_TECH_Initiative_Library!$C$5:$C$76=$D270),0),0)),"")</f>
        <v/>
      </c>
      <c r="AL270" s="48" t="str">
        <f>IF($B270="Yes",IFERROR(SUMIFS(_TECH_Industry_Templates!$E:$E,_TECH_Industry_Templates!$A:$A,'Company Profile'!$B$9,_TECH_Industry_Templates!$B:$B,$C270),1),"")</f>
        <v/>
      </c>
      <c r="AM270" s="48" t="str">
        <f t="shared" si="49"/>
        <v/>
      </c>
      <c r="AN270" s="48" t="str">
        <f>IF($AM270="","",RANK.EQ($AM270,$AM$8:$AM$414,0)+COUNTIF($AM$8:$AM270,$AM270)-1)</f>
        <v/>
      </c>
    </row>
    <row r="271" spans="1:40" ht="71.25">
      <c r="A271" s="28" t="str">
        <f>IF($AM271="","",RANK.EQ($AM271,$AM$8:$AM$414,0)+COUNTIF($AM$8:$AM271,$AM271)-1)</f>
        <v/>
      </c>
      <c r="B271" s="7" t="str">
        <f t="shared" si="40"/>
        <v/>
      </c>
      <c r="C271" s="7" t="s">
        <v>87</v>
      </c>
      <c r="D271" s="7" t="s">
        <v>1425</v>
      </c>
      <c r="E271" s="7" t="s">
        <v>4550</v>
      </c>
      <c r="F271" s="7" t="s">
        <v>4551</v>
      </c>
      <c r="G271" s="28" t="str">
        <f>IF(OR(COUNTA('Marketing Comms'!$H$11)=0,'Marketing Comms'!$H$11="N/A"),"",VALUE('Marketing Comms'!$H$11))</f>
        <v/>
      </c>
      <c r="H271" s="7" t="str">
        <f t="shared" si="41"/>
        <v/>
      </c>
      <c r="I271" s="7" t="str">
        <f>IF($G271="","",IFERROR(IF('Marketing Comms'!$L$11="",IF($G271&lt;=1,"Critical",IF($G271=2,"High",IF($G271=3,"Medium",IF($G271=4,"Low","Optimized")))),'Marketing Comms'!$L$11),IF($G271&lt;=1,"Critical",IF($G271=2,"High",IF($G271=3,"Medium",IF($G271=4,"Low","Optimized"))))))</f>
        <v/>
      </c>
      <c r="J271" s="7" t="str">
        <f>IF($G271="","",IFERROR(INDEX('Recommendation Matrix'!$E$5:$J$411,MATCH($E271,'Recommendation Matrix'!$A$5:$A$411,0),$G271+1),""))</f>
        <v/>
      </c>
      <c r="K271" s="7" t="str">
        <f>IF($G271="","",IFERROR(VLOOKUP($E271,'Recommendation Matrix'!$A$5:$K$411,11,FALSE),""))</f>
        <v/>
      </c>
      <c r="L271" s="28" t="str">
        <f t="shared" si="42"/>
        <v/>
      </c>
      <c r="M271" s="28" t="str">
        <f>IF($G271="","",IFERROR(INDEX('Recommendation Matrix'!$L$5:$Q$411,MATCH($E271,'Recommendation Matrix'!$A$5:$A$411,0),$G271+1),""))</f>
        <v/>
      </c>
      <c r="N271" s="28" t="str">
        <f t="shared" si="43"/>
        <v/>
      </c>
      <c r="O271" s="28" t="str">
        <f t="shared" si="44"/>
        <v/>
      </c>
      <c r="P271" s="28" t="str">
        <f t="shared" si="45"/>
        <v/>
      </c>
      <c r="Q271" s="28" t="str">
        <f t="shared" si="46"/>
        <v/>
      </c>
      <c r="R271" s="8" t="str">
        <f t="shared" si="47"/>
        <v/>
      </c>
      <c r="S271" s="28">
        <f>IFERROR('Marketing Comms'!$G$11,"")</f>
        <v>5</v>
      </c>
      <c r="T271" s="28">
        <f>IFERROR('Marketing Comms'!$W$11,"")</f>
        <v>5</v>
      </c>
      <c r="U271" s="28">
        <f>IFERROR('Marketing Comms'!$X$11,"")</f>
        <v>5</v>
      </c>
      <c r="V271" s="28">
        <f>IFERROR('Marketing Comms'!$Y$11,"")</f>
        <v>5</v>
      </c>
      <c r="W271" s="7" t="s">
        <v>4497</v>
      </c>
      <c r="X271" s="7" t="s">
        <v>4498</v>
      </c>
      <c r="Y271" s="7" t="s">
        <v>4552</v>
      </c>
      <c r="Z271" s="7">
        <f>IFERROR('Marketing Comms'!$U$11,"")</f>
        <v>0</v>
      </c>
      <c r="AA271" s="7"/>
      <c r="AB271" s="29"/>
      <c r="AC271" s="7"/>
      <c r="AD271" s="48" t="str">
        <f>IF($B271="Yes",IFERROR(SUMIFS(_TECH_Crisis_Model!$D$5:$D$191,_TECH_Crisis_Model!$A$5:$A$191,'Crisis Simulator'!$B$4,_TECH_Crisis_Model!$B$5:$B$191,$C271),1),"")</f>
        <v/>
      </c>
      <c r="AE271" s="48" t="str">
        <f t="shared" si="48"/>
        <v/>
      </c>
      <c r="AF271" s="48" t="str">
        <f>IFERROR(INDEX(_TECH_Crisis_Model!$E$5:$E$191,MATCH('Crisis Simulator'!$B$4&amp;"|"&amp;$C271,_TECH_Crisis_Model!$I$5:$I$191,0)),"")</f>
        <v>Customer communication and reputation control determine trust during uncertainty.</v>
      </c>
      <c r="AG271" s="48" t="str">
        <f>IFERROR(INDEX(_TECH_Crisis_Model!$G$5:$G$191,MATCH('Crisis Simulator'!$B$4&amp;"|"&amp;$C271,_TECH_Crisis_Model!$I$5:$I$191,0)),"")</f>
        <v>Prepare crisis messages, customer notification templates, comms approval flow and brand monitoring.</v>
      </c>
      <c r="AH271" s="48" t="str">
        <f>IFERROR(INDEX(_TECH_Initiative_Library!$A$5:$A$76,MATCH(1,INDEX((_TECH_Initiative_Library!$B$5:$B$76=$C271)*(_TECH_Initiative_Library!$C$5:$C$76=$D271),0),0)),"")</f>
        <v>INI-046</v>
      </c>
      <c r="AI271" s="48" t="str">
        <f>IFERROR(INDEX(_TECH_Initiative_Library!$F$5:$F$76,MATCH(1,INDEX((_TECH_Initiative_Library!$B$5:$B$76=$C271)*(_TECH_Initiative_Library!$C$5:$C$76=$D271),0),0)),"")</f>
        <v>Prepare crisis communication playbooks and customer notification flows</v>
      </c>
      <c r="AJ271" s="48" t="str">
        <f ca="1">IFERROR(INDEX(_TECH_Initiative_Library!$AC$5:$AC$76,MATCH(1,INDEX((_TECH_Initiative_Library!$B$5:$B$76=$C271)*(_TECH_Initiative_Library!$C$5:$C$76=$D271),0),0)),"")</f>
        <v/>
      </c>
      <c r="AK271" s="48" t="str">
        <f ca="1">IFERROR(INDEX(_TECH_Initiative_Library!$AE$5:$AE$76,MATCH(1,INDEX((_TECH_Initiative_Library!$B$5:$B$76=$C271)*(_TECH_Initiative_Library!$C$5:$C$76=$D271),0),0)),"")</f>
        <v/>
      </c>
      <c r="AL271" s="48" t="str">
        <f>IF($B271="Yes",IFERROR(SUMIFS(_TECH_Industry_Templates!$E:$E,_TECH_Industry_Templates!$A:$A,'Company Profile'!$B$9,_TECH_Industry_Templates!$B:$B,$C271),1),"")</f>
        <v/>
      </c>
      <c r="AM271" s="48" t="str">
        <f t="shared" si="49"/>
        <v/>
      </c>
      <c r="AN271" s="48" t="str">
        <f>IF($AM271="","",RANK.EQ($AM271,$AM$8:$AM$414,0)+COUNTIF($AM$8:$AM271,$AM271)-1)</f>
        <v/>
      </c>
    </row>
    <row r="272" spans="1:40" ht="71.25">
      <c r="A272" s="28" t="str">
        <f>IF($AM272="","",RANK.EQ($AM272,$AM$8:$AM$414,0)+COUNTIF($AM$8:$AM272,$AM272)-1)</f>
        <v/>
      </c>
      <c r="B272" s="7" t="str">
        <f t="shared" si="40"/>
        <v/>
      </c>
      <c r="C272" s="7" t="s">
        <v>87</v>
      </c>
      <c r="D272" s="7" t="s">
        <v>1425</v>
      </c>
      <c r="E272" s="7" t="s">
        <v>4560</v>
      </c>
      <c r="F272" s="7" t="s">
        <v>4561</v>
      </c>
      <c r="G272" s="28" t="str">
        <f>IF(OR(COUNTA('Marketing Comms'!$H$12)=0,'Marketing Comms'!$H$12="N/A"),"",VALUE('Marketing Comms'!$H$12))</f>
        <v/>
      </c>
      <c r="H272" s="7" t="str">
        <f t="shared" si="41"/>
        <v/>
      </c>
      <c r="I272" s="7" t="str">
        <f>IF($G272="","",IFERROR(IF('Marketing Comms'!$L$12="",IF($G272&lt;=1,"Critical",IF($G272=2,"High",IF($G272=3,"Medium",IF($G272=4,"Low","Optimized")))),'Marketing Comms'!$L$12),IF($G272&lt;=1,"Critical",IF($G272=2,"High",IF($G272=3,"Medium",IF($G272=4,"Low","Optimized"))))))</f>
        <v/>
      </c>
      <c r="J272" s="7" t="str">
        <f>IF($G272="","",IFERROR(INDEX('Recommendation Matrix'!$E$5:$J$411,MATCH($E272,'Recommendation Matrix'!$A$5:$A$411,0),$G272+1),""))</f>
        <v/>
      </c>
      <c r="K272" s="7" t="str">
        <f>IF($G272="","",IFERROR(VLOOKUP($E272,'Recommendation Matrix'!$A$5:$K$411,11,FALSE),""))</f>
        <v/>
      </c>
      <c r="L272" s="28" t="str">
        <f t="shared" si="42"/>
        <v/>
      </c>
      <c r="M272" s="28" t="str">
        <f>IF($G272="","",IFERROR(INDEX('Recommendation Matrix'!$L$5:$Q$411,MATCH($E272,'Recommendation Matrix'!$A$5:$A$411,0),$G272+1),""))</f>
        <v/>
      </c>
      <c r="N272" s="28" t="str">
        <f t="shared" si="43"/>
        <v/>
      </c>
      <c r="O272" s="28" t="str">
        <f t="shared" si="44"/>
        <v/>
      </c>
      <c r="P272" s="28" t="str">
        <f t="shared" si="45"/>
        <v/>
      </c>
      <c r="Q272" s="28" t="str">
        <f t="shared" si="46"/>
        <v/>
      </c>
      <c r="R272" s="8" t="str">
        <f t="shared" si="47"/>
        <v/>
      </c>
      <c r="S272" s="28">
        <f>IFERROR('Marketing Comms'!$G$12,"")</f>
        <v>4</v>
      </c>
      <c r="T272" s="28">
        <f>IFERROR('Marketing Comms'!$W$12,"")</f>
        <v>4</v>
      </c>
      <c r="U272" s="28">
        <f>IFERROR('Marketing Comms'!$X$12,"")</f>
        <v>5</v>
      </c>
      <c r="V272" s="28">
        <f>IFERROR('Marketing Comms'!$Y$12,"")</f>
        <v>5</v>
      </c>
      <c r="W272" s="7" t="s">
        <v>4497</v>
      </c>
      <c r="X272" s="7" t="s">
        <v>4498</v>
      </c>
      <c r="Y272" s="7" t="s">
        <v>4562</v>
      </c>
      <c r="Z272" s="7">
        <f>IFERROR('Marketing Comms'!$U$12,"")</f>
        <v>0</v>
      </c>
      <c r="AA272" s="7"/>
      <c r="AB272" s="29"/>
      <c r="AC272" s="7"/>
      <c r="AD272" s="48" t="str">
        <f>IF($B272="Yes",IFERROR(SUMIFS(_TECH_Crisis_Model!$D$5:$D$191,_TECH_Crisis_Model!$A$5:$A$191,'Crisis Simulator'!$B$4,_TECH_Crisis_Model!$B$5:$B$191,$C272),1),"")</f>
        <v/>
      </c>
      <c r="AE272" s="48" t="str">
        <f t="shared" si="48"/>
        <v/>
      </c>
      <c r="AF272" s="48" t="str">
        <f>IFERROR(INDEX(_TECH_Crisis_Model!$E$5:$E$191,MATCH('Crisis Simulator'!$B$4&amp;"|"&amp;$C272,_TECH_Crisis_Model!$I$5:$I$191,0)),"")</f>
        <v>Customer communication and reputation control determine trust during uncertainty.</v>
      </c>
      <c r="AG272" s="48" t="str">
        <f>IFERROR(INDEX(_TECH_Crisis_Model!$G$5:$G$191,MATCH('Crisis Simulator'!$B$4&amp;"|"&amp;$C272,_TECH_Crisis_Model!$I$5:$I$191,0)),"")</f>
        <v>Prepare crisis messages, customer notification templates, comms approval flow and brand monitoring.</v>
      </c>
      <c r="AH272" s="48" t="str">
        <f>IFERROR(INDEX(_TECH_Initiative_Library!$A$5:$A$76,MATCH(1,INDEX((_TECH_Initiative_Library!$B$5:$B$76=$C272)*(_TECH_Initiative_Library!$C$5:$C$76=$D272),0),0)),"")</f>
        <v>INI-046</v>
      </c>
      <c r="AI272" s="48" t="str">
        <f>IFERROR(INDEX(_TECH_Initiative_Library!$F$5:$F$76,MATCH(1,INDEX((_TECH_Initiative_Library!$B$5:$B$76=$C272)*(_TECH_Initiative_Library!$C$5:$C$76=$D272),0),0)),"")</f>
        <v>Prepare crisis communication playbooks and customer notification flows</v>
      </c>
      <c r="AJ272" s="48" t="str">
        <f ca="1">IFERROR(INDEX(_TECH_Initiative_Library!$AC$5:$AC$76,MATCH(1,INDEX((_TECH_Initiative_Library!$B$5:$B$76=$C272)*(_TECH_Initiative_Library!$C$5:$C$76=$D272),0),0)),"")</f>
        <v/>
      </c>
      <c r="AK272" s="48" t="str">
        <f ca="1">IFERROR(INDEX(_TECH_Initiative_Library!$AE$5:$AE$76,MATCH(1,INDEX((_TECH_Initiative_Library!$B$5:$B$76=$C272)*(_TECH_Initiative_Library!$C$5:$C$76=$D272),0),0)),"")</f>
        <v/>
      </c>
      <c r="AL272" s="48" t="str">
        <f>IF($B272="Yes",IFERROR(SUMIFS(_TECH_Industry_Templates!$E:$E,_TECH_Industry_Templates!$A:$A,'Company Profile'!$B$9,_TECH_Industry_Templates!$B:$B,$C272),1),"")</f>
        <v/>
      </c>
      <c r="AM272" s="48" t="str">
        <f t="shared" si="49"/>
        <v/>
      </c>
      <c r="AN272" s="48" t="str">
        <f>IF($AM272="","",RANK.EQ($AM272,$AM$8:$AM$414,0)+COUNTIF($AM$8:$AM272,$AM272)-1)</f>
        <v/>
      </c>
    </row>
    <row r="273" spans="1:40" ht="71.25">
      <c r="A273" s="28" t="str">
        <f>IF($AM273="","",RANK.EQ($AM273,$AM$8:$AM$414,0)+COUNTIF($AM$8:$AM273,$AM273)-1)</f>
        <v/>
      </c>
      <c r="B273" s="7" t="str">
        <f t="shared" si="40"/>
        <v/>
      </c>
      <c r="C273" s="7" t="s">
        <v>87</v>
      </c>
      <c r="D273" s="7" t="s">
        <v>1425</v>
      </c>
      <c r="E273" s="7" t="s">
        <v>4570</v>
      </c>
      <c r="F273" s="7" t="s">
        <v>4571</v>
      </c>
      <c r="G273" s="28" t="str">
        <f>IF(OR(COUNTA('Marketing Comms'!$H$13)=0,'Marketing Comms'!$H$13="N/A"),"",VALUE('Marketing Comms'!$H$13))</f>
        <v/>
      </c>
      <c r="H273" s="7" t="str">
        <f t="shared" si="41"/>
        <v/>
      </c>
      <c r="I273" s="7" t="str">
        <f>IF($G273="","",IFERROR(IF('Marketing Comms'!$L$13="",IF($G273&lt;=1,"Critical",IF($G273=2,"High",IF($G273=3,"Medium",IF($G273=4,"Low","Optimized")))),'Marketing Comms'!$L$13),IF($G273&lt;=1,"Critical",IF($G273=2,"High",IF($G273=3,"Medium",IF($G273=4,"Low","Optimized"))))))</f>
        <v/>
      </c>
      <c r="J273" s="7" t="str">
        <f>IF($G273="","",IFERROR(INDEX('Recommendation Matrix'!$E$5:$J$411,MATCH($E273,'Recommendation Matrix'!$A$5:$A$411,0),$G273+1),""))</f>
        <v/>
      </c>
      <c r="K273" s="7" t="str">
        <f>IF($G273="","",IFERROR(VLOOKUP($E273,'Recommendation Matrix'!$A$5:$K$411,11,FALSE),""))</f>
        <v/>
      </c>
      <c r="L273" s="28" t="str">
        <f t="shared" si="42"/>
        <v/>
      </c>
      <c r="M273" s="28" t="str">
        <f>IF($G273="","",IFERROR(INDEX('Recommendation Matrix'!$L$5:$Q$411,MATCH($E273,'Recommendation Matrix'!$A$5:$A$411,0),$G273+1),""))</f>
        <v/>
      </c>
      <c r="N273" s="28" t="str">
        <f t="shared" si="43"/>
        <v/>
      </c>
      <c r="O273" s="28" t="str">
        <f t="shared" si="44"/>
        <v/>
      </c>
      <c r="P273" s="28" t="str">
        <f t="shared" si="45"/>
        <v/>
      </c>
      <c r="Q273" s="28" t="str">
        <f t="shared" si="46"/>
        <v/>
      </c>
      <c r="R273" s="8" t="str">
        <f t="shared" si="47"/>
        <v/>
      </c>
      <c r="S273" s="28">
        <f>IFERROR('Marketing Comms'!$G$13,"")</f>
        <v>3</v>
      </c>
      <c r="T273" s="28">
        <f>IFERROR('Marketing Comms'!$W$13,"")</f>
        <v>4</v>
      </c>
      <c r="U273" s="28">
        <f>IFERROR('Marketing Comms'!$X$13,"")</f>
        <v>5</v>
      </c>
      <c r="V273" s="28">
        <f>IFERROR('Marketing Comms'!$Y$13,"")</f>
        <v>5</v>
      </c>
      <c r="W273" s="7" t="s">
        <v>4497</v>
      </c>
      <c r="X273" s="7" t="s">
        <v>4498</v>
      </c>
      <c r="Y273" s="7" t="s">
        <v>4572</v>
      </c>
      <c r="Z273" s="7">
        <f>IFERROR('Marketing Comms'!$U$13,"")</f>
        <v>0</v>
      </c>
      <c r="AA273" s="7"/>
      <c r="AB273" s="29"/>
      <c r="AC273" s="7"/>
      <c r="AD273" s="48" t="str">
        <f>IF($B273="Yes",IFERROR(SUMIFS(_TECH_Crisis_Model!$D$5:$D$191,_TECH_Crisis_Model!$A$5:$A$191,'Crisis Simulator'!$B$4,_TECH_Crisis_Model!$B$5:$B$191,$C273),1),"")</f>
        <v/>
      </c>
      <c r="AE273" s="48" t="str">
        <f t="shared" si="48"/>
        <v/>
      </c>
      <c r="AF273" s="48" t="str">
        <f>IFERROR(INDEX(_TECH_Crisis_Model!$E$5:$E$191,MATCH('Crisis Simulator'!$B$4&amp;"|"&amp;$C273,_TECH_Crisis_Model!$I$5:$I$191,0)),"")</f>
        <v>Customer communication and reputation control determine trust during uncertainty.</v>
      </c>
      <c r="AG273" s="48" t="str">
        <f>IFERROR(INDEX(_TECH_Crisis_Model!$G$5:$G$191,MATCH('Crisis Simulator'!$B$4&amp;"|"&amp;$C273,_TECH_Crisis_Model!$I$5:$I$191,0)),"")</f>
        <v>Prepare crisis messages, customer notification templates, comms approval flow and brand monitoring.</v>
      </c>
      <c r="AH273" s="48" t="str">
        <f>IFERROR(INDEX(_TECH_Initiative_Library!$A$5:$A$76,MATCH(1,INDEX((_TECH_Initiative_Library!$B$5:$B$76=$C273)*(_TECH_Initiative_Library!$C$5:$C$76=$D273),0),0)),"")</f>
        <v>INI-046</v>
      </c>
      <c r="AI273" s="48" t="str">
        <f>IFERROR(INDEX(_TECH_Initiative_Library!$F$5:$F$76,MATCH(1,INDEX((_TECH_Initiative_Library!$B$5:$B$76=$C273)*(_TECH_Initiative_Library!$C$5:$C$76=$D273),0),0)),"")</f>
        <v>Prepare crisis communication playbooks and customer notification flows</v>
      </c>
      <c r="AJ273" s="48" t="str">
        <f ca="1">IFERROR(INDEX(_TECH_Initiative_Library!$AC$5:$AC$76,MATCH(1,INDEX((_TECH_Initiative_Library!$B$5:$B$76=$C273)*(_TECH_Initiative_Library!$C$5:$C$76=$D273),0),0)),"")</f>
        <v/>
      </c>
      <c r="AK273" s="48" t="str">
        <f ca="1">IFERROR(INDEX(_TECH_Initiative_Library!$AE$5:$AE$76,MATCH(1,INDEX((_TECH_Initiative_Library!$B$5:$B$76=$C273)*(_TECH_Initiative_Library!$C$5:$C$76=$D273),0),0)),"")</f>
        <v/>
      </c>
      <c r="AL273" s="48" t="str">
        <f>IF($B273="Yes",IFERROR(SUMIFS(_TECH_Industry_Templates!$E:$E,_TECH_Industry_Templates!$A:$A,'Company Profile'!$B$9,_TECH_Industry_Templates!$B:$B,$C273),1),"")</f>
        <v/>
      </c>
      <c r="AM273" s="48" t="str">
        <f t="shared" si="49"/>
        <v/>
      </c>
      <c r="AN273" s="48" t="str">
        <f>IF($AM273="","",RANK.EQ($AM273,$AM$8:$AM$414,0)+COUNTIF($AM$8:$AM273,$AM273)-1)</f>
        <v/>
      </c>
    </row>
    <row r="274" spans="1:40" ht="85.5">
      <c r="A274" s="28" t="str">
        <f>IF($AM274="","",RANK.EQ($AM274,$AM$8:$AM$414,0)+COUNTIF($AM$8:$AM274,$AM274)-1)</f>
        <v/>
      </c>
      <c r="B274" s="7" t="str">
        <f t="shared" si="40"/>
        <v/>
      </c>
      <c r="C274" s="7" t="s">
        <v>87</v>
      </c>
      <c r="D274" s="7" t="s">
        <v>1425</v>
      </c>
      <c r="E274" s="7" t="s">
        <v>4580</v>
      </c>
      <c r="F274" s="7" t="s">
        <v>4581</v>
      </c>
      <c r="G274" s="28" t="str">
        <f>IF(OR(COUNTA('Marketing Comms'!$H$14)=0,'Marketing Comms'!$H$14="N/A"),"",VALUE('Marketing Comms'!$H$14))</f>
        <v/>
      </c>
      <c r="H274" s="7" t="str">
        <f t="shared" si="41"/>
        <v/>
      </c>
      <c r="I274" s="7" t="str">
        <f>IF($G274="","",IFERROR(IF('Marketing Comms'!$L$14="",IF($G274&lt;=1,"Critical",IF($G274=2,"High",IF($G274=3,"Medium",IF($G274=4,"Low","Optimized")))),'Marketing Comms'!$L$14),IF($G274&lt;=1,"Critical",IF($G274=2,"High",IF($G274=3,"Medium",IF($G274=4,"Low","Optimized"))))))</f>
        <v/>
      </c>
      <c r="J274" s="7" t="str">
        <f>IF($G274="","",IFERROR(INDEX('Recommendation Matrix'!$E$5:$J$411,MATCH($E274,'Recommendation Matrix'!$A$5:$A$411,0),$G274+1),""))</f>
        <v/>
      </c>
      <c r="K274" s="7" t="str">
        <f>IF($G274="","",IFERROR(VLOOKUP($E274,'Recommendation Matrix'!$A$5:$K$411,11,FALSE),""))</f>
        <v/>
      </c>
      <c r="L274" s="28" t="str">
        <f t="shared" si="42"/>
        <v/>
      </c>
      <c r="M274" s="28" t="str">
        <f>IF($G274="","",IFERROR(INDEX('Recommendation Matrix'!$L$5:$Q$411,MATCH($E274,'Recommendation Matrix'!$A$5:$A$411,0),$G274+1),""))</f>
        <v/>
      </c>
      <c r="N274" s="28" t="str">
        <f t="shared" si="43"/>
        <v/>
      </c>
      <c r="O274" s="28" t="str">
        <f t="shared" si="44"/>
        <v/>
      </c>
      <c r="P274" s="28" t="str">
        <f t="shared" si="45"/>
        <v/>
      </c>
      <c r="Q274" s="28" t="str">
        <f t="shared" si="46"/>
        <v/>
      </c>
      <c r="R274" s="8" t="str">
        <f t="shared" si="47"/>
        <v/>
      </c>
      <c r="S274" s="28">
        <f>IFERROR('Marketing Comms'!$G$14,"")</f>
        <v>4</v>
      </c>
      <c r="T274" s="28">
        <f>IFERROR('Marketing Comms'!$W$14,"")</f>
        <v>4</v>
      </c>
      <c r="U274" s="28">
        <f>IFERROR('Marketing Comms'!$X$14,"")</f>
        <v>5</v>
      </c>
      <c r="V274" s="28">
        <f>IFERROR('Marketing Comms'!$Y$14,"")</f>
        <v>5</v>
      </c>
      <c r="W274" s="7" t="s">
        <v>4497</v>
      </c>
      <c r="X274" s="7" t="s">
        <v>4498</v>
      </c>
      <c r="Y274" s="7" t="s">
        <v>4582</v>
      </c>
      <c r="Z274" s="7">
        <f>IFERROR('Marketing Comms'!$U$14,"")</f>
        <v>0</v>
      </c>
      <c r="AA274" s="7"/>
      <c r="AB274" s="29"/>
      <c r="AC274" s="7"/>
      <c r="AD274" s="48" t="str">
        <f>IF($B274="Yes",IFERROR(SUMIFS(_TECH_Crisis_Model!$D$5:$D$191,_TECH_Crisis_Model!$A$5:$A$191,'Crisis Simulator'!$B$4,_TECH_Crisis_Model!$B$5:$B$191,$C274),1),"")</f>
        <v/>
      </c>
      <c r="AE274" s="48" t="str">
        <f t="shared" si="48"/>
        <v/>
      </c>
      <c r="AF274" s="48" t="str">
        <f>IFERROR(INDEX(_TECH_Crisis_Model!$E$5:$E$191,MATCH('Crisis Simulator'!$B$4&amp;"|"&amp;$C274,_TECH_Crisis_Model!$I$5:$I$191,0)),"")</f>
        <v>Customer communication and reputation control determine trust during uncertainty.</v>
      </c>
      <c r="AG274" s="48" t="str">
        <f>IFERROR(INDEX(_TECH_Crisis_Model!$G$5:$G$191,MATCH('Crisis Simulator'!$B$4&amp;"|"&amp;$C274,_TECH_Crisis_Model!$I$5:$I$191,0)),"")</f>
        <v>Prepare crisis messages, customer notification templates, comms approval flow and brand monitoring.</v>
      </c>
      <c r="AH274" s="48" t="str">
        <f>IFERROR(INDEX(_TECH_Initiative_Library!$A$5:$A$76,MATCH(1,INDEX((_TECH_Initiative_Library!$B$5:$B$76=$C274)*(_TECH_Initiative_Library!$C$5:$C$76=$D274),0),0)),"")</f>
        <v>INI-046</v>
      </c>
      <c r="AI274" s="48" t="str">
        <f>IFERROR(INDEX(_TECH_Initiative_Library!$F$5:$F$76,MATCH(1,INDEX((_TECH_Initiative_Library!$B$5:$B$76=$C274)*(_TECH_Initiative_Library!$C$5:$C$76=$D274),0),0)),"")</f>
        <v>Prepare crisis communication playbooks and customer notification flows</v>
      </c>
      <c r="AJ274" s="48" t="str">
        <f ca="1">IFERROR(INDEX(_TECH_Initiative_Library!$AC$5:$AC$76,MATCH(1,INDEX((_TECH_Initiative_Library!$B$5:$B$76=$C274)*(_TECH_Initiative_Library!$C$5:$C$76=$D274),0),0)),"")</f>
        <v/>
      </c>
      <c r="AK274" s="48" t="str">
        <f ca="1">IFERROR(INDEX(_TECH_Initiative_Library!$AE$5:$AE$76,MATCH(1,INDEX((_TECH_Initiative_Library!$B$5:$B$76=$C274)*(_TECH_Initiative_Library!$C$5:$C$76=$D274),0),0)),"")</f>
        <v/>
      </c>
      <c r="AL274" s="48" t="str">
        <f>IF($B274="Yes",IFERROR(SUMIFS(_TECH_Industry_Templates!$E:$E,_TECH_Industry_Templates!$A:$A,'Company Profile'!$B$9,_TECH_Industry_Templates!$B:$B,$C274),1),"")</f>
        <v/>
      </c>
      <c r="AM274" s="48" t="str">
        <f t="shared" si="49"/>
        <v/>
      </c>
      <c r="AN274" s="48" t="str">
        <f>IF($AM274="","",RANK.EQ($AM274,$AM$8:$AM$414,0)+COUNTIF($AM$8:$AM274,$AM274)-1)</f>
        <v/>
      </c>
    </row>
    <row r="275" spans="1:40" ht="71.25">
      <c r="A275" s="28" t="str">
        <f>IF($AM275="","",RANK.EQ($AM275,$AM$8:$AM$414,0)+COUNTIF($AM$8:$AM275,$AM275)-1)</f>
        <v/>
      </c>
      <c r="B275" s="7" t="str">
        <f t="shared" si="40"/>
        <v/>
      </c>
      <c r="C275" s="7" t="s">
        <v>87</v>
      </c>
      <c r="D275" s="7" t="s">
        <v>1425</v>
      </c>
      <c r="E275" s="7" t="s">
        <v>4590</v>
      </c>
      <c r="F275" s="7" t="s">
        <v>4591</v>
      </c>
      <c r="G275" s="28" t="str">
        <f>IF(OR(COUNTA('Marketing Comms'!$H$15)=0,'Marketing Comms'!$H$15="N/A"),"",VALUE('Marketing Comms'!$H$15))</f>
        <v/>
      </c>
      <c r="H275" s="7" t="str">
        <f t="shared" si="41"/>
        <v/>
      </c>
      <c r="I275" s="7" t="str">
        <f>IF($G275="","",IFERROR(IF('Marketing Comms'!$L$15="",IF($G275&lt;=1,"Critical",IF($G275=2,"High",IF($G275=3,"Medium",IF($G275=4,"Low","Optimized")))),'Marketing Comms'!$L$15),IF($G275&lt;=1,"Critical",IF($G275=2,"High",IF($G275=3,"Medium",IF($G275=4,"Low","Optimized"))))))</f>
        <v/>
      </c>
      <c r="J275" s="7" t="str">
        <f>IF($G275="","",IFERROR(INDEX('Recommendation Matrix'!$E$5:$J$411,MATCH($E275,'Recommendation Matrix'!$A$5:$A$411,0),$G275+1),""))</f>
        <v/>
      </c>
      <c r="K275" s="7" t="str">
        <f>IF($G275="","",IFERROR(VLOOKUP($E275,'Recommendation Matrix'!$A$5:$K$411,11,FALSE),""))</f>
        <v/>
      </c>
      <c r="L275" s="28" t="str">
        <f t="shared" si="42"/>
        <v/>
      </c>
      <c r="M275" s="28" t="str">
        <f>IF($G275="","",IFERROR(INDEX('Recommendation Matrix'!$L$5:$Q$411,MATCH($E275,'Recommendation Matrix'!$A$5:$A$411,0),$G275+1),""))</f>
        <v/>
      </c>
      <c r="N275" s="28" t="str">
        <f t="shared" si="43"/>
        <v/>
      </c>
      <c r="O275" s="28" t="str">
        <f t="shared" si="44"/>
        <v/>
      </c>
      <c r="P275" s="28" t="str">
        <f t="shared" si="45"/>
        <v/>
      </c>
      <c r="Q275" s="28" t="str">
        <f t="shared" si="46"/>
        <v/>
      </c>
      <c r="R275" s="8" t="str">
        <f t="shared" si="47"/>
        <v/>
      </c>
      <c r="S275" s="28">
        <f>IFERROR('Marketing Comms'!$G$15,"")</f>
        <v>3</v>
      </c>
      <c r="T275" s="28">
        <f>IFERROR('Marketing Comms'!$W$15,"")</f>
        <v>4</v>
      </c>
      <c r="U275" s="28">
        <f>IFERROR('Marketing Comms'!$X$15,"")</f>
        <v>5</v>
      </c>
      <c r="V275" s="28">
        <f>IFERROR('Marketing Comms'!$Y$15,"")</f>
        <v>5</v>
      </c>
      <c r="W275" s="7" t="s">
        <v>4497</v>
      </c>
      <c r="X275" s="7" t="s">
        <v>4498</v>
      </c>
      <c r="Y275" s="7" t="s">
        <v>4592</v>
      </c>
      <c r="Z275" s="7">
        <f>IFERROR('Marketing Comms'!$U$15,"")</f>
        <v>0</v>
      </c>
      <c r="AA275" s="7"/>
      <c r="AB275" s="29"/>
      <c r="AC275" s="7"/>
      <c r="AD275" s="48" t="str">
        <f>IF($B275="Yes",IFERROR(SUMIFS(_TECH_Crisis_Model!$D$5:$D$191,_TECH_Crisis_Model!$A$5:$A$191,'Crisis Simulator'!$B$4,_TECH_Crisis_Model!$B$5:$B$191,$C275),1),"")</f>
        <v/>
      </c>
      <c r="AE275" s="48" t="str">
        <f t="shared" si="48"/>
        <v/>
      </c>
      <c r="AF275" s="48" t="str">
        <f>IFERROR(INDEX(_TECH_Crisis_Model!$E$5:$E$191,MATCH('Crisis Simulator'!$B$4&amp;"|"&amp;$C275,_TECH_Crisis_Model!$I$5:$I$191,0)),"")</f>
        <v>Customer communication and reputation control determine trust during uncertainty.</v>
      </c>
      <c r="AG275" s="48" t="str">
        <f>IFERROR(INDEX(_TECH_Crisis_Model!$G$5:$G$191,MATCH('Crisis Simulator'!$B$4&amp;"|"&amp;$C275,_TECH_Crisis_Model!$I$5:$I$191,0)),"")</f>
        <v>Prepare crisis messages, customer notification templates, comms approval flow and brand monitoring.</v>
      </c>
      <c r="AH275" s="48" t="str">
        <f>IFERROR(INDEX(_TECH_Initiative_Library!$A$5:$A$76,MATCH(1,INDEX((_TECH_Initiative_Library!$B$5:$B$76=$C275)*(_TECH_Initiative_Library!$C$5:$C$76=$D275),0),0)),"")</f>
        <v>INI-046</v>
      </c>
      <c r="AI275" s="48" t="str">
        <f>IFERROR(INDEX(_TECH_Initiative_Library!$F$5:$F$76,MATCH(1,INDEX((_TECH_Initiative_Library!$B$5:$B$76=$C275)*(_TECH_Initiative_Library!$C$5:$C$76=$D275),0),0)),"")</f>
        <v>Prepare crisis communication playbooks and customer notification flows</v>
      </c>
      <c r="AJ275" s="48" t="str">
        <f ca="1">IFERROR(INDEX(_TECH_Initiative_Library!$AC$5:$AC$76,MATCH(1,INDEX((_TECH_Initiative_Library!$B$5:$B$76=$C275)*(_TECH_Initiative_Library!$C$5:$C$76=$D275),0),0)),"")</f>
        <v/>
      </c>
      <c r="AK275" s="48" t="str">
        <f ca="1">IFERROR(INDEX(_TECH_Initiative_Library!$AE$5:$AE$76,MATCH(1,INDEX((_TECH_Initiative_Library!$B$5:$B$76=$C275)*(_TECH_Initiative_Library!$C$5:$C$76=$D275),0),0)),"")</f>
        <v/>
      </c>
      <c r="AL275" s="48" t="str">
        <f>IF($B275="Yes",IFERROR(SUMIFS(_TECH_Industry_Templates!$E:$E,_TECH_Industry_Templates!$A:$A,'Company Profile'!$B$9,_TECH_Industry_Templates!$B:$B,$C275),1),"")</f>
        <v/>
      </c>
      <c r="AM275" s="48" t="str">
        <f t="shared" si="49"/>
        <v/>
      </c>
      <c r="AN275" s="48" t="str">
        <f>IF($AM275="","",RANK.EQ($AM275,$AM$8:$AM$414,0)+COUNTIF($AM$8:$AM275,$AM275)-1)</f>
        <v/>
      </c>
    </row>
    <row r="276" spans="1:40" ht="71.25">
      <c r="A276" s="28" t="str">
        <f>IF($AM276="","",RANK.EQ($AM276,$AM$8:$AM$414,0)+COUNTIF($AM$8:$AM276,$AM276)-1)</f>
        <v/>
      </c>
      <c r="B276" s="7" t="str">
        <f t="shared" si="40"/>
        <v/>
      </c>
      <c r="C276" s="7" t="s">
        <v>87</v>
      </c>
      <c r="D276" s="7" t="s">
        <v>1433</v>
      </c>
      <c r="E276" s="7" t="s">
        <v>4600</v>
      </c>
      <c r="F276" s="7" t="s">
        <v>4601</v>
      </c>
      <c r="G276" s="28" t="str">
        <f>IF(OR(COUNTA('Marketing Comms'!$H$16)=0,'Marketing Comms'!$H$16="N/A"),"",VALUE('Marketing Comms'!$H$16))</f>
        <v/>
      </c>
      <c r="H276" s="7" t="str">
        <f t="shared" si="41"/>
        <v/>
      </c>
      <c r="I276" s="7" t="str">
        <f>IF($G276="","",IFERROR(IF('Marketing Comms'!$L$16="",IF($G276&lt;=1,"Critical",IF($G276=2,"High",IF($G276=3,"Medium",IF($G276=4,"Low","Optimized")))),'Marketing Comms'!$L$16),IF($G276&lt;=1,"Critical",IF($G276=2,"High",IF($G276=3,"Medium",IF($G276=4,"Low","Optimized"))))))</f>
        <v/>
      </c>
      <c r="J276" s="7" t="str">
        <f>IF($G276="","",IFERROR(INDEX('Recommendation Matrix'!$E$5:$J$411,MATCH($E276,'Recommendation Matrix'!$A$5:$A$411,0),$G276+1),""))</f>
        <v/>
      </c>
      <c r="K276" s="7" t="str">
        <f>IF($G276="","",IFERROR(VLOOKUP($E276,'Recommendation Matrix'!$A$5:$K$411,11,FALSE),""))</f>
        <v/>
      </c>
      <c r="L276" s="28" t="str">
        <f t="shared" si="42"/>
        <v/>
      </c>
      <c r="M276" s="28" t="str">
        <f>IF($G276="","",IFERROR(INDEX('Recommendation Matrix'!$L$5:$Q$411,MATCH($E276,'Recommendation Matrix'!$A$5:$A$411,0),$G276+1),""))</f>
        <v/>
      </c>
      <c r="N276" s="28" t="str">
        <f t="shared" si="43"/>
        <v/>
      </c>
      <c r="O276" s="28" t="str">
        <f t="shared" si="44"/>
        <v/>
      </c>
      <c r="P276" s="28" t="str">
        <f t="shared" si="45"/>
        <v/>
      </c>
      <c r="Q276" s="28" t="str">
        <f t="shared" si="46"/>
        <v/>
      </c>
      <c r="R276" s="8" t="str">
        <f t="shared" si="47"/>
        <v/>
      </c>
      <c r="S276" s="28">
        <f>IFERROR('Marketing Comms'!$G$16,"")</f>
        <v>5</v>
      </c>
      <c r="T276" s="28">
        <f>IFERROR('Marketing Comms'!$W$16,"")</f>
        <v>5</v>
      </c>
      <c r="U276" s="28">
        <f>IFERROR('Marketing Comms'!$X$16,"")</f>
        <v>5</v>
      </c>
      <c r="V276" s="28">
        <f>IFERROR('Marketing Comms'!$Y$16,"")</f>
        <v>5</v>
      </c>
      <c r="W276" s="7" t="s">
        <v>4497</v>
      </c>
      <c r="X276" s="7" t="s">
        <v>4498</v>
      </c>
      <c r="Y276" s="7" t="s">
        <v>4602</v>
      </c>
      <c r="Z276" s="7">
        <f>IFERROR('Marketing Comms'!$U$16,"")</f>
        <v>0</v>
      </c>
      <c r="AA276" s="7"/>
      <c r="AB276" s="29"/>
      <c r="AC276" s="7"/>
      <c r="AD276" s="48" t="str">
        <f>IF($B276="Yes",IFERROR(SUMIFS(_TECH_Crisis_Model!$D$5:$D$191,_TECH_Crisis_Model!$A$5:$A$191,'Crisis Simulator'!$B$4,_TECH_Crisis_Model!$B$5:$B$191,$C276),1),"")</f>
        <v/>
      </c>
      <c r="AE276" s="48" t="str">
        <f t="shared" si="48"/>
        <v/>
      </c>
      <c r="AF276" s="48" t="str">
        <f>IFERROR(INDEX(_TECH_Crisis_Model!$E$5:$E$191,MATCH('Crisis Simulator'!$B$4&amp;"|"&amp;$C276,_TECH_Crisis_Model!$I$5:$I$191,0)),"")</f>
        <v>Customer communication and reputation control determine trust during uncertainty.</v>
      </c>
      <c r="AG276" s="48" t="str">
        <f>IFERROR(INDEX(_TECH_Crisis_Model!$G$5:$G$191,MATCH('Crisis Simulator'!$B$4&amp;"|"&amp;$C276,_TECH_Crisis_Model!$I$5:$I$191,0)),"")</f>
        <v>Prepare crisis messages, customer notification templates, comms approval flow and brand monitoring.</v>
      </c>
      <c r="AH276" s="48" t="str">
        <f>IFERROR(INDEX(_TECH_Initiative_Library!$A$5:$A$76,MATCH(1,INDEX((_TECH_Initiative_Library!$B$5:$B$76=$C276)*(_TECH_Initiative_Library!$C$5:$C$76=$D276),0),0)),"")</f>
        <v>INI-047</v>
      </c>
      <c r="AI276" s="48" t="str">
        <f>IFERROR(INDEX(_TECH_Initiative_Library!$F$5:$F$76,MATCH(1,INDEX((_TECH_Initiative_Library!$B$5:$B$76=$C276)*(_TECH_Initiative_Library!$C$5:$C$76=$D276),0),0)),"")</f>
        <v>Standardize marketing operations, content and analytics cadence</v>
      </c>
      <c r="AJ276" s="48" t="str">
        <f ca="1">IFERROR(INDEX(_TECH_Initiative_Library!$AC$5:$AC$76,MATCH(1,INDEX((_TECH_Initiative_Library!$B$5:$B$76=$C276)*(_TECH_Initiative_Library!$C$5:$C$76=$D276),0),0)),"")</f>
        <v/>
      </c>
      <c r="AK276" s="48" t="str">
        <f ca="1">IFERROR(INDEX(_TECH_Initiative_Library!$AE$5:$AE$76,MATCH(1,INDEX((_TECH_Initiative_Library!$B$5:$B$76=$C276)*(_TECH_Initiative_Library!$C$5:$C$76=$D276),0),0)),"")</f>
        <v/>
      </c>
      <c r="AL276" s="48" t="str">
        <f>IF($B276="Yes",IFERROR(SUMIFS(_TECH_Industry_Templates!$E:$E,_TECH_Industry_Templates!$A:$A,'Company Profile'!$B$9,_TECH_Industry_Templates!$B:$B,$C276),1),"")</f>
        <v/>
      </c>
      <c r="AM276" s="48" t="str">
        <f t="shared" si="49"/>
        <v/>
      </c>
      <c r="AN276" s="48" t="str">
        <f>IF($AM276="","",RANK.EQ($AM276,$AM$8:$AM$414,0)+COUNTIF($AM$8:$AM276,$AM276)-1)</f>
        <v/>
      </c>
    </row>
    <row r="277" spans="1:40" ht="71.25">
      <c r="A277" s="28" t="str">
        <f>IF($AM277="","",RANK.EQ($AM277,$AM$8:$AM$414,0)+COUNTIF($AM$8:$AM277,$AM277)-1)</f>
        <v/>
      </c>
      <c r="B277" s="7" t="str">
        <f t="shared" si="40"/>
        <v/>
      </c>
      <c r="C277" s="7" t="s">
        <v>87</v>
      </c>
      <c r="D277" s="7" t="s">
        <v>1433</v>
      </c>
      <c r="E277" s="7" t="s">
        <v>4610</v>
      </c>
      <c r="F277" s="7" t="s">
        <v>4611</v>
      </c>
      <c r="G277" s="28" t="str">
        <f>IF(OR(COUNTA('Marketing Comms'!$H$17)=0,'Marketing Comms'!$H$17="N/A"),"",VALUE('Marketing Comms'!$H$17))</f>
        <v/>
      </c>
      <c r="H277" s="7" t="str">
        <f t="shared" si="41"/>
        <v/>
      </c>
      <c r="I277" s="7" t="str">
        <f>IF($G277="","",IFERROR(IF('Marketing Comms'!$L$17="",IF($G277&lt;=1,"Critical",IF($G277=2,"High",IF($G277=3,"Medium",IF($G277=4,"Low","Optimized")))),'Marketing Comms'!$L$17),IF($G277&lt;=1,"Critical",IF($G277=2,"High",IF($G277=3,"Medium",IF($G277=4,"Low","Optimized"))))))</f>
        <v/>
      </c>
      <c r="J277" s="7" t="str">
        <f>IF($G277="","",IFERROR(INDEX('Recommendation Matrix'!$E$5:$J$411,MATCH($E277,'Recommendation Matrix'!$A$5:$A$411,0),$G277+1),""))</f>
        <v/>
      </c>
      <c r="K277" s="7" t="str">
        <f>IF($G277="","",IFERROR(VLOOKUP($E277,'Recommendation Matrix'!$A$5:$K$411,11,FALSE),""))</f>
        <v/>
      </c>
      <c r="L277" s="28" t="str">
        <f t="shared" si="42"/>
        <v/>
      </c>
      <c r="M277" s="28" t="str">
        <f>IF($G277="","",IFERROR(INDEX('Recommendation Matrix'!$L$5:$Q$411,MATCH($E277,'Recommendation Matrix'!$A$5:$A$411,0),$G277+1),""))</f>
        <v/>
      </c>
      <c r="N277" s="28" t="str">
        <f t="shared" si="43"/>
        <v/>
      </c>
      <c r="O277" s="28" t="str">
        <f t="shared" si="44"/>
        <v/>
      </c>
      <c r="P277" s="28" t="str">
        <f t="shared" si="45"/>
        <v/>
      </c>
      <c r="Q277" s="28" t="str">
        <f t="shared" si="46"/>
        <v/>
      </c>
      <c r="R277" s="8" t="str">
        <f t="shared" si="47"/>
        <v/>
      </c>
      <c r="S277" s="28">
        <f>IFERROR('Marketing Comms'!$G$17,"")</f>
        <v>3</v>
      </c>
      <c r="T277" s="28">
        <f>IFERROR('Marketing Comms'!$W$17,"")</f>
        <v>5</v>
      </c>
      <c r="U277" s="28">
        <f>IFERROR('Marketing Comms'!$X$17,"")</f>
        <v>5</v>
      </c>
      <c r="V277" s="28">
        <f>IFERROR('Marketing Comms'!$Y$17,"")</f>
        <v>5</v>
      </c>
      <c r="W277" s="7" t="s">
        <v>4497</v>
      </c>
      <c r="X277" s="7" t="s">
        <v>4498</v>
      </c>
      <c r="Y277" s="7" t="s">
        <v>4612</v>
      </c>
      <c r="Z277" s="7">
        <f>IFERROR('Marketing Comms'!$U$17,"")</f>
        <v>0</v>
      </c>
      <c r="AA277" s="7"/>
      <c r="AB277" s="29"/>
      <c r="AC277" s="7"/>
      <c r="AD277" s="48" t="str">
        <f>IF($B277="Yes",IFERROR(SUMIFS(_TECH_Crisis_Model!$D$5:$D$191,_TECH_Crisis_Model!$A$5:$A$191,'Crisis Simulator'!$B$4,_TECH_Crisis_Model!$B$5:$B$191,$C277),1),"")</f>
        <v/>
      </c>
      <c r="AE277" s="48" t="str">
        <f t="shared" si="48"/>
        <v/>
      </c>
      <c r="AF277" s="48" t="str">
        <f>IFERROR(INDEX(_TECH_Crisis_Model!$E$5:$E$191,MATCH('Crisis Simulator'!$B$4&amp;"|"&amp;$C277,_TECH_Crisis_Model!$I$5:$I$191,0)),"")</f>
        <v>Customer communication and reputation control determine trust during uncertainty.</v>
      </c>
      <c r="AG277" s="48" t="str">
        <f>IFERROR(INDEX(_TECH_Crisis_Model!$G$5:$G$191,MATCH('Crisis Simulator'!$B$4&amp;"|"&amp;$C277,_TECH_Crisis_Model!$I$5:$I$191,0)),"")</f>
        <v>Prepare crisis messages, customer notification templates, comms approval flow and brand monitoring.</v>
      </c>
      <c r="AH277" s="48" t="str">
        <f>IFERROR(INDEX(_TECH_Initiative_Library!$A$5:$A$76,MATCH(1,INDEX((_TECH_Initiative_Library!$B$5:$B$76=$C277)*(_TECH_Initiative_Library!$C$5:$C$76=$D277),0),0)),"")</f>
        <v>INI-047</v>
      </c>
      <c r="AI277" s="48" t="str">
        <f>IFERROR(INDEX(_TECH_Initiative_Library!$F$5:$F$76,MATCH(1,INDEX((_TECH_Initiative_Library!$B$5:$B$76=$C277)*(_TECH_Initiative_Library!$C$5:$C$76=$D277),0),0)),"")</f>
        <v>Standardize marketing operations, content and analytics cadence</v>
      </c>
      <c r="AJ277" s="48" t="str">
        <f ca="1">IFERROR(INDEX(_TECH_Initiative_Library!$AC$5:$AC$76,MATCH(1,INDEX((_TECH_Initiative_Library!$B$5:$B$76=$C277)*(_TECH_Initiative_Library!$C$5:$C$76=$D277),0),0)),"")</f>
        <v/>
      </c>
      <c r="AK277" s="48" t="str">
        <f ca="1">IFERROR(INDEX(_TECH_Initiative_Library!$AE$5:$AE$76,MATCH(1,INDEX((_TECH_Initiative_Library!$B$5:$B$76=$C277)*(_TECH_Initiative_Library!$C$5:$C$76=$D277),0),0)),"")</f>
        <v/>
      </c>
      <c r="AL277" s="48" t="str">
        <f>IF($B277="Yes",IFERROR(SUMIFS(_TECH_Industry_Templates!$E:$E,_TECH_Industry_Templates!$A:$A,'Company Profile'!$B$9,_TECH_Industry_Templates!$B:$B,$C277),1),"")</f>
        <v/>
      </c>
      <c r="AM277" s="48" t="str">
        <f t="shared" si="49"/>
        <v/>
      </c>
      <c r="AN277" s="48" t="str">
        <f>IF($AM277="","",RANK.EQ($AM277,$AM$8:$AM$414,0)+COUNTIF($AM$8:$AM277,$AM277)-1)</f>
        <v/>
      </c>
    </row>
    <row r="278" spans="1:40" ht="71.25">
      <c r="A278" s="28" t="str">
        <f>IF($AM278="","",RANK.EQ($AM278,$AM$8:$AM$414,0)+COUNTIF($AM$8:$AM278,$AM278)-1)</f>
        <v/>
      </c>
      <c r="B278" s="7" t="str">
        <f t="shared" si="40"/>
        <v/>
      </c>
      <c r="C278" s="7" t="s">
        <v>87</v>
      </c>
      <c r="D278" s="7" t="s">
        <v>1433</v>
      </c>
      <c r="E278" s="7" t="s">
        <v>4620</v>
      </c>
      <c r="F278" s="7" t="s">
        <v>4621</v>
      </c>
      <c r="G278" s="28" t="str">
        <f>IF(OR(COUNTA('Marketing Comms'!$H$18)=0,'Marketing Comms'!$H$18="N/A"),"",VALUE('Marketing Comms'!$H$18))</f>
        <v/>
      </c>
      <c r="H278" s="7" t="str">
        <f t="shared" si="41"/>
        <v/>
      </c>
      <c r="I278" s="7" t="str">
        <f>IF($G278="","",IFERROR(IF('Marketing Comms'!$L$18="",IF($G278&lt;=1,"Critical",IF($G278=2,"High",IF($G278=3,"Medium",IF($G278=4,"Low","Optimized")))),'Marketing Comms'!$L$18),IF($G278&lt;=1,"Critical",IF($G278=2,"High",IF($G278=3,"Medium",IF($G278=4,"Low","Optimized"))))))</f>
        <v/>
      </c>
      <c r="J278" s="7" t="str">
        <f>IF($G278="","",IFERROR(INDEX('Recommendation Matrix'!$E$5:$J$411,MATCH($E278,'Recommendation Matrix'!$A$5:$A$411,0),$G278+1),""))</f>
        <v/>
      </c>
      <c r="K278" s="7" t="str">
        <f>IF($G278="","",IFERROR(VLOOKUP($E278,'Recommendation Matrix'!$A$5:$K$411,11,FALSE),""))</f>
        <v/>
      </c>
      <c r="L278" s="28" t="str">
        <f t="shared" si="42"/>
        <v/>
      </c>
      <c r="M278" s="28" t="str">
        <f>IF($G278="","",IFERROR(INDEX('Recommendation Matrix'!$L$5:$Q$411,MATCH($E278,'Recommendation Matrix'!$A$5:$A$411,0),$G278+1),""))</f>
        <v/>
      </c>
      <c r="N278" s="28" t="str">
        <f t="shared" si="43"/>
        <v/>
      </c>
      <c r="O278" s="28" t="str">
        <f t="shared" si="44"/>
        <v/>
      </c>
      <c r="P278" s="28" t="str">
        <f t="shared" si="45"/>
        <v/>
      </c>
      <c r="Q278" s="28" t="str">
        <f t="shared" si="46"/>
        <v/>
      </c>
      <c r="R278" s="8" t="str">
        <f t="shared" si="47"/>
        <v/>
      </c>
      <c r="S278" s="28">
        <f>IFERROR('Marketing Comms'!$G$18,"")</f>
        <v>4</v>
      </c>
      <c r="T278" s="28">
        <f>IFERROR('Marketing Comms'!$W$18,"")</f>
        <v>4</v>
      </c>
      <c r="U278" s="28">
        <f>IFERROR('Marketing Comms'!$X$18,"")</f>
        <v>5</v>
      </c>
      <c r="V278" s="28">
        <f>IFERROR('Marketing Comms'!$Y$18,"")</f>
        <v>5</v>
      </c>
      <c r="W278" s="7" t="s">
        <v>4497</v>
      </c>
      <c r="X278" s="7" t="s">
        <v>4498</v>
      </c>
      <c r="Y278" s="7" t="s">
        <v>4622</v>
      </c>
      <c r="Z278" s="7">
        <f>IFERROR('Marketing Comms'!$U$18,"")</f>
        <v>0</v>
      </c>
      <c r="AA278" s="7"/>
      <c r="AB278" s="29"/>
      <c r="AC278" s="7"/>
      <c r="AD278" s="48" t="str">
        <f>IF($B278="Yes",IFERROR(SUMIFS(_TECH_Crisis_Model!$D$5:$D$191,_TECH_Crisis_Model!$A$5:$A$191,'Crisis Simulator'!$B$4,_TECH_Crisis_Model!$B$5:$B$191,$C278),1),"")</f>
        <v/>
      </c>
      <c r="AE278" s="48" t="str">
        <f t="shared" si="48"/>
        <v/>
      </c>
      <c r="AF278" s="48" t="str">
        <f>IFERROR(INDEX(_TECH_Crisis_Model!$E$5:$E$191,MATCH('Crisis Simulator'!$B$4&amp;"|"&amp;$C278,_TECH_Crisis_Model!$I$5:$I$191,0)),"")</f>
        <v>Customer communication and reputation control determine trust during uncertainty.</v>
      </c>
      <c r="AG278" s="48" t="str">
        <f>IFERROR(INDEX(_TECH_Crisis_Model!$G$5:$G$191,MATCH('Crisis Simulator'!$B$4&amp;"|"&amp;$C278,_TECH_Crisis_Model!$I$5:$I$191,0)),"")</f>
        <v>Prepare crisis messages, customer notification templates, comms approval flow and brand monitoring.</v>
      </c>
      <c r="AH278" s="48" t="str">
        <f>IFERROR(INDEX(_TECH_Initiative_Library!$A$5:$A$76,MATCH(1,INDEX((_TECH_Initiative_Library!$B$5:$B$76=$C278)*(_TECH_Initiative_Library!$C$5:$C$76=$D278),0),0)),"")</f>
        <v>INI-047</v>
      </c>
      <c r="AI278" s="48" t="str">
        <f>IFERROR(INDEX(_TECH_Initiative_Library!$F$5:$F$76,MATCH(1,INDEX((_TECH_Initiative_Library!$B$5:$B$76=$C278)*(_TECH_Initiative_Library!$C$5:$C$76=$D278),0),0)),"")</f>
        <v>Standardize marketing operations, content and analytics cadence</v>
      </c>
      <c r="AJ278" s="48" t="str">
        <f ca="1">IFERROR(INDEX(_TECH_Initiative_Library!$AC$5:$AC$76,MATCH(1,INDEX((_TECH_Initiative_Library!$B$5:$B$76=$C278)*(_TECH_Initiative_Library!$C$5:$C$76=$D278),0),0)),"")</f>
        <v/>
      </c>
      <c r="AK278" s="48" t="str">
        <f ca="1">IFERROR(INDEX(_TECH_Initiative_Library!$AE$5:$AE$76,MATCH(1,INDEX((_TECH_Initiative_Library!$B$5:$B$76=$C278)*(_TECH_Initiative_Library!$C$5:$C$76=$D278),0),0)),"")</f>
        <v/>
      </c>
      <c r="AL278" s="48" t="str">
        <f>IF($B278="Yes",IFERROR(SUMIFS(_TECH_Industry_Templates!$E:$E,_TECH_Industry_Templates!$A:$A,'Company Profile'!$B$9,_TECH_Industry_Templates!$B:$B,$C278),1),"")</f>
        <v/>
      </c>
      <c r="AM278" s="48" t="str">
        <f t="shared" si="49"/>
        <v/>
      </c>
      <c r="AN278" s="48" t="str">
        <f>IF($AM278="","",RANK.EQ($AM278,$AM$8:$AM$414,0)+COUNTIF($AM$8:$AM278,$AM278)-1)</f>
        <v/>
      </c>
    </row>
    <row r="279" spans="1:40" ht="85.5">
      <c r="A279" s="28" t="str">
        <f>IF($AM279="","",RANK.EQ($AM279,$AM$8:$AM$414,0)+COUNTIF($AM$8:$AM279,$AM279)-1)</f>
        <v/>
      </c>
      <c r="B279" s="7" t="str">
        <f t="shared" si="40"/>
        <v/>
      </c>
      <c r="C279" s="7" t="s">
        <v>87</v>
      </c>
      <c r="D279" s="7" t="s">
        <v>1433</v>
      </c>
      <c r="E279" s="7" t="s">
        <v>4630</v>
      </c>
      <c r="F279" s="7" t="s">
        <v>4631</v>
      </c>
      <c r="G279" s="28" t="str">
        <f>IF(OR(COUNTA('Marketing Comms'!$H$19)=0,'Marketing Comms'!$H$19="N/A"),"",VALUE('Marketing Comms'!$H$19))</f>
        <v/>
      </c>
      <c r="H279" s="7" t="str">
        <f t="shared" si="41"/>
        <v/>
      </c>
      <c r="I279" s="7" t="str">
        <f>IF($G279="","",IFERROR(IF('Marketing Comms'!$L$19="",IF($G279&lt;=1,"Critical",IF($G279=2,"High",IF($G279=3,"Medium",IF($G279=4,"Low","Optimized")))),'Marketing Comms'!$L$19),IF($G279&lt;=1,"Critical",IF($G279=2,"High",IF($G279=3,"Medium",IF($G279=4,"Low","Optimized"))))))</f>
        <v/>
      </c>
      <c r="J279" s="7" t="str">
        <f>IF($G279="","",IFERROR(INDEX('Recommendation Matrix'!$E$5:$J$411,MATCH($E279,'Recommendation Matrix'!$A$5:$A$411,0),$G279+1),""))</f>
        <v/>
      </c>
      <c r="K279" s="7" t="str">
        <f>IF($G279="","",IFERROR(VLOOKUP($E279,'Recommendation Matrix'!$A$5:$K$411,11,FALSE),""))</f>
        <v/>
      </c>
      <c r="L279" s="28" t="str">
        <f t="shared" si="42"/>
        <v/>
      </c>
      <c r="M279" s="28" t="str">
        <f>IF($G279="","",IFERROR(INDEX('Recommendation Matrix'!$L$5:$Q$411,MATCH($E279,'Recommendation Matrix'!$A$5:$A$411,0),$G279+1),""))</f>
        <v/>
      </c>
      <c r="N279" s="28" t="str">
        <f t="shared" si="43"/>
        <v/>
      </c>
      <c r="O279" s="28" t="str">
        <f t="shared" si="44"/>
        <v/>
      </c>
      <c r="P279" s="28" t="str">
        <f t="shared" si="45"/>
        <v/>
      </c>
      <c r="Q279" s="28" t="str">
        <f t="shared" si="46"/>
        <v/>
      </c>
      <c r="R279" s="8" t="str">
        <f t="shared" si="47"/>
        <v/>
      </c>
      <c r="S279" s="28">
        <f>IFERROR('Marketing Comms'!$G$19,"")</f>
        <v>3</v>
      </c>
      <c r="T279" s="28">
        <f>IFERROR('Marketing Comms'!$W$19,"")</f>
        <v>4</v>
      </c>
      <c r="U279" s="28">
        <f>IFERROR('Marketing Comms'!$X$19,"")</f>
        <v>5</v>
      </c>
      <c r="V279" s="28">
        <f>IFERROR('Marketing Comms'!$Y$19,"")</f>
        <v>5</v>
      </c>
      <c r="W279" s="7" t="s">
        <v>4497</v>
      </c>
      <c r="X279" s="7" t="s">
        <v>4498</v>
      </c>
      <c r="Y279" s="7" t="s">
        <v>4632</v>
      </c>
      <c r="Z279" s="7">
        <f>IFERROR('Marketing Comms'!$U$19,"")</f>
        <v>0</v>
      </c>
      <c r="AA279" s="7"/>
      <c r="AB279" s="29"/>
      <c r="AC279" s="7"/>
      <c r="AD279" s="48" t="str">
        <f>IF($B279="Yes",IFERROR(SUMIFS(_TECH_Crisis_Model!$D$5:$D$191,_TECH_Crisis_Model!$A$5:$A$191,'Crisis Simulator'!$B$4,_TECH_Crisis_Model!$B$5:$B$191,$C279),1),"")</f>
        <v/>
      </c>
      <c r="AE279" s="48" t="str">
        <f t="shared" si="48"/>
        <v/>
      </c>
      <c r="AF279" s="48" t="str">
        <f>IFERROR(INDEX(_TECH_Crisis_Model!$E$5:$E$191,MATCH('Crisis Simulator'!$B$4&amp;"|"&amp;$C279,_TECH_Crisis_Model!$I$5:$I$191,0)),"")</f>
        <v>Customer communication and reputation control determine trust during uncertainty.</v>
      </c>
      <c r="AG279" s="48" t="str">
        <f>IFERROR(INDEX(_TECH_Crisis_Model!$G$5:$G$191,MATCH('Crisis Simulator'!$B$4&amp;"|"&amp;$C279,_TECH_Crisis_Model!$I$5:$I$191,0)),"")</f>
        <v>Prepare crisis messages, customer notification templates, comms approval flow and brand monitoring.</v>
      </c>
      <c r="AH279" s="48" t="str">
        <f>IFERROR(INDEX(_TECH_Initiative_Library!$A$5:$A$76,MATCH(1,INDEX((_TECH_Initiative_Library!$B$5:$B$76=$C279)*(_TECH_Initiative_Library!$C$5:$C$76=$D279),0),0)),"")</f>
        <v>INI-047</v>
      </c>
      <c r="AI279" s="48" t="str">
        <f>IFERROR(INDEX(_TECH_Initiative_Library!$F$5:$F$76,MATCH(1,INDEX((_TECH_Initiative_Library!$B$5:$B$76=$C279)*(_TECH_Initiative_Library!$C$5:$C$76=$D279),0),0)),"")</f>
        <v>Standardize marketing operations, content and analytics cadence</v>
      </c>
      <c r="AJ279" s="48" t="str">
        <f ca="1">IFERROR(INDEX(_TECH_Initiative_Library!$AC$5:$AC$76,MATCH(1,INDEX((_TECH_Initiative_Library!$B$5:$B$76=$C279)*(_TECH_Initiative_Library!$C$5:$C$76=$D279),0),0)),"")</f>
        <v/>
      </c>
      <c r="AK279" s="48" t="str">
        <f ca="1">IFERROR(INDEX(_TECH_Initiative_Library!$AE$5:$AE$76,MATCH(1,INDEX((_TECH_Initiative_Library!$B$5:$B$76=$C279)*(_TECH_Initiative_Library!$C$5:$C$76=$D279),0),0)),"")</f>
        <v/>
      </c>
      <c r="AL279" s="48" t="str">
        <f>IF($B279="Yes",IFERROR(SUMIFS(_TECH_Industry_Templates!$E:$E,_TECH_Industry_Templates!$A:$A,'Company Profile'!$B$9,_TECH_Industry_Templates!$B:$B,$C279),1),"")</f>
        <v/>
      </c>
      <c r="AM279" s="48" t="str">
        <f t="shared" si="49"/>
        <v/>
      </c>
      <c r="AN279" s="48" t="str">
        <f>IF($AM279="","",RANK.EQ($AM279,$AM$8:$AM$414,0)+COUNTIF($AM$8:$AM279,$AM279)-1)</f>
        <v/>
      </c>
    </row>
    <row r="280" spans="1:40" ht="71.25">
      <c r="A280" s="28" t="str">
        <f>IF($AM280="","",RANK.EQ($AM280,$AM$8:$AM$414,0)+COUNTIF($AM$8:$AM280,$AM280)-1)</f>
        <v/>
      </c>
      <c r="B280" s="7" t="str">
        <f t="shared" si="40"/>
        <v/>
      </c>
      <c r="C280" s="7" t="s">
        <v>87</v>
      </c>
      <c r="D280" s="7" t="s">
        <v>1433</v>
      </c>
      <c r="E280" s="7" t="s">
        <v>4640</v>
      </c>
      <c r="F280" s="7" t="s">
        <v>4641</v>
      </c>
      <c r="G280" s="28" t="str">
        <f>IF(OR(COUNTA('Marketing Comms'!$H$20)=0,'Marketing Comms'!$H$20="N/A"),"",VALUE('Marketing Comms'!$H$20))</f>
        <v/>
      </c>
      <c r="H280" s="7" t="str">
        <f t="shared" si="41"/>
        <v/>
      </c>
      <c r="I280" s="7" t="str">
        <f>IF($G280="","",IFERROR(IF('Marketing Comms'!$L$20="",IF($G280&lt;=1,"Critical",IF($G280=2,"High",IF($G280=3,"Medium",IF($G280=4,"Low","Optimized")))),'Marketing Comms'!$L$20),IF($G280&lt;=1,"Critical",IF($G280=2,"High",IF($G280=3,"Medium",IF($G280=4,"Low","Optimized"))))))</f>
        <v/>
      </c>
      <c r="J280" s="7" t="str">
        <f>IF($G280="","",IFERROR(INDEX('Recommendation Matrix'!$E$5:$J$411,MATCH($E280,'Recommendation Matrix'!$A$5:$A$411,0),$G280+1),""))</f>
        <v/>
      </c>
      <c r="K280" s="7" t="str">
        <f>IF($G280="","",IFERROR(VLOOKUP($E280,'Recommendation Matrix'!$A$5:$K$411,11,FALSE),""))</f>
        <v/>
      </c>
      <c r="L280" s="28" t="str">
        <f t="shared" si="42"/>
        <v/>
      </c>
      <c r="M280" s="28" t="str">
        <f>IF($G280="","",IFERROR(INDEX('Recommendation Matrix'!$L$5:$Q$411,MATCH($E280,'Recommendation Matrix'!$A$5:$A$411,0),$G280+1),""))</f>
        <v/>
      </c>
      <c r="N280" s="28" t="str">
        <f t="shared" si="43"/>
        <v/>
      </c>
      <c r="O280" s="28" t="str">
        <f t="shared" si="44"/>
        <v/>
      </c>
      <c r="P280" s="28" t="str">
        <f t="shared" si="45"/>
        <v/>
      </c>
      <c r="Q280" s="28" t="str">
        <f t="shared" si="46"/>
        <v/>
      </c>
      <c r="R280" s="8" t="str">
        <f t="shared" si="47"/>
        <v/>
      </c>
      <c r="S280" s="28">
        <f>IFERROR('Marketing Comms'!$G$20,"")</f>
        <v>5</v>
      </c>
      <c r="T280" s="28">
        <f>IFERROR('Marketing Comms'!$W$20,"")</f>
        <v>4</v>
      </c>
      <c r="U280" s="28">
        <f>IFERROR('Marketing Comms'!$X$20,"")</f>
        <v>5</v>
      </c>
      <c r="V280" s="28">
        <f>IFERROR('Marketing Comms'!$Y$20,"")</f>
        <v>5</v>
      </c>
      <c r="W280" s="7" t="s">
        <v>4497</v>
      </c>
      <c r="X280" s="7" t="s">
        <v>4498</v>
      </c>
      <c r="Y280" s="7" t="s">
        <v>4642</v>
      </c>
      <c r="Z280" s="7">
        <f>IFERROR('Marketing Comms'!$U$20,"")</f>
        <v>0</v>
      </c>
      <c r="AA280" s="7"/>
      <c r="AB280" s="29"/>
      <c r="AC280" s="7"/>
      <c r="AD280" s="48" t="str">
        <f>IF($B280="Yes",IFERROR(SUMIFS(_TECH_Crisis_Model!$D$5:$D$191,_TECH_Crisis_Model!$A$5:$A$191,'Crisis Simulator'!$B$4,_TECH_Crisis_Model!$B$5:$B$191,$C280),1),"")</f>
        <v/>
      </c>
      <c r="AE280" s="48" t="str">
        <f t="shared" si="48"/>
        <v/>
      </c>
      <c r="AF280" s="48" t="str">
        <f>IFERROR(INDEX(_TECH_Crisis_Model!$E$5:$E$191,MATCH('Crisis Simulator'!$B$4&amp;"|"&amp;$C280,_TECH_Crisis_Model!$I$5:$I$191,0)),"")</f>
        <v>Customer communication and reputation control determine trust during uncertainty.</v>
      </c>
      <c r="AG280" s="48" t="str">
        <f>IFERROR(INDEX(_TECH_Crisis_Model!$G$5:$G$191,MATCH('Crisis Simulator'!$B$4&amp;"|"&amp;$C280,_TECH_Crisis_Model!$I$5:$I$191,0)),"")</f>
        <v>Prepare crisis messages, customer notification templates, comms approval flow and brand monitoring.</v>
      </c>
      <c r="AH280" s="48" t="str">
        <f>IFERROR(INDEX(_TECH_Initiative_Library!$A$5:$A$76,MATCH(1,INDEX((_TECH_Initiative_Library!$B$5:$B$76=$C280)*(_TECH_Initiative_Library!$C$5:$C$76=$D280),0),0)),"")</f>
        <v>INI-047</v>
      </c>
      <c r="AI280" s="48" t="str">
        <f>IFERROR(INDEX(_TECH_Initiative_Library!$F$5:$F$76,MATCH(1,INDEX((_TECH_Initiative_Library!$B$5:$B$76=$C280)*(_TECH_Initiative_Library!$C$5:$C$76=$D280),0),0)),"")</f>
        <v>Standardize marketing operations, content and analytics cadence</v>
      </c>
      <c r="AJ280" s="48" t="str">
        <f ca="1">IFERROR(INDEX(_TECH_Initiative_Library!$AC$5:$AC$76,MATCH(1,INDEX((_TECH_Initiative_Library!$B$5:$B$76=$C280)*(_TECH_Initiative_Library!$C$5:$C$76=$D280),0),0)),"")</f>
        <v/>
      </c>
      <c r="AK280" s="48" t="str">
        <f ca="1">IFERROR(INDEX(_TECH_Initiative_Library!$AE$5:$AE$76,MATCH(1,INDEX((_TECH_Initiative_Library!$B$5:$B$76=$C280)*(_TECH_Initiative_Library!$C$5:$C$76=$D280),0),0)),"")</f>
        <v/>
      </c>
      <c r="AL280" s="48" t="str">
        <f>IF($B280="Yes",IFERROR(SUMIFS(_TECH_Industry_Templates!$E:$E,_TECH_Industry_Templates!$A:$A,'Company Profile'!$B$9,_TECH_Industry_Templates!$B:$B,$C280),1),"")</f>
        <v/>
      </c>
      <c r="AM280" s="48" t="str">
        <f t="shared" si="49"/>
        <v/>
      </c>
      <c r="AN280" s="48" t="str">
        <f>IF($AM280="","",RANK.EQ($AM280,$AM$8:$AM$414,0)+COUNTIF($AM$8:$AM280,$AM280)-1)</f>
        <v/>
      </c>
    </row>
    <row r="281" spans="1:40" ht="71.25">
      <c r="A281" s="28" t="str">
        <f>IF($AM281="","",RANK.EQ($AM281,$AM$8:$AM$414,0)+COUNTIF($AM$8:$AM281,$AM281)-1)</f>
        <v/>
      </c>
      <c r="B281" s="7" t="str">
        <f t="shared" si="40"/>
        <v/>
      </c>
      <c r="C281" s="7" t="s">
        <v>87</v>
      </c>
      <c r="D281" s="7" t="s">
        <v>1433</v>
      </c>
      <c r="E281" s="7" t="s">
        <v>4650</v>
      </c>
      <c r="F281" s="7" t="s">
        <v>4651</v>
      </c>
      <c r="G281" s="28" t="str">
        <f>IF(OR(COUNTA('Marketing Comms'!$H$21)=0,'Marketing Comms'!$H$21="N/A"),"",VALUE('Marketing Comms'!$H$21))</f>
        <v/>
      </c>
      <c r="H281" s="7" t="str">
        <f t="shared" si="41"/>
        <v/>
      </c>
      <c r="I281" s="7" t="str">
        <f>IF($G281="","",IFERROR(IF('Marketing Comms'!$L$21="",IF($G281&lt;=1,"Critical",IF($G281=2,"High",IF($G281=3,"Medium",IF($G281=4,"Low","Optimized")))),'Marketing Comms'!$L$21),IF($G281&lt;=1,"Critical",IF($G281=2,"High",IF($G281=3,"Medium",IF($G281=4,"Low","Optimized"))))))</f>
        <v/>
      </c>
      <c r="J281" s="7" t="str">
        <f>IF($G281="","",IFERROR(INDEX('Recommendation Matrix'!$E$5:$J$411,MATCH($E281,'Recommendation Matrix'!$A$5:$A$411,0),$G281+1),""))</f>
        <v/>
      </c>
      <c r="K281" s="7" t="str">
        <f>IF($G281="","",IFERROR(VLOOKUP($E281,'Recommendation Matrix'!$A$5:$K$411,11,FALSE),""))</f>
        <v/>
      </c>
      <c r="L281" s="28" t="str">
        <f t="shared" si="42"/>
        <v/>
      </c>
      <c r="M281" s="28" t="str">
        <f>IF($G281="","",IFERROR(INDEX('Recommendation Matrix'!$L$5:$Q$411,MATCH($E281,'Recommendation Matrix'!$A$5:$A$411,0),$G281+1),""))</f>
        <v/>
      </c>
      <c r="N281" s="28" t="str">
        <f t="shared" si="43"/>
        <v/>
      </c>
      <c r="O281" s="28" t="str">
        <f t="shared" si="44"/>
        <v/>
      </c>
      <c r="P281" s="28" t="str">
        <f t="shared" si="45"/>
        <v/>
      </c>
      <c r="Q281" s="28" t="str">
        <f t="shared" si="46"/>
        <v/>
      </c>
      <c r="R281" s="8" t="str">
        <f t="shared" si="47"/>
        <v/>
      </c>
      <c r="S281" s="28">
        <f>IFERROR('Marketing Comms'!$G$21,"")</f>
        <v>5</v>
      </c>
      <c r="T281" s="28">
        <f>IFERROR('Marketing Comms'!$W$21,"")</f>
        <v>4</v>
      </c>
      <c r="U281" s="28">
        <f>IFERROR('Marketing Comms'!$X$21,"")</f>
        <v>5</v>
      </c>
      <c r="V281" s="28">
        <f>IFERROR('Marketing Comms'!$Y$21,"")</f>
        <v>5</v>
      </c>
      <c r="W281" s="7" t="s">
        <v>4497</v>
      </c>
      <c r="X281" s="7" t="s">
        <v>4498</v>
      </c>
      <c r="Y281" s="7" t="s">
        <v>4652</v>
      </c>
      <c r="Z281" s="7">
        <f>IFERROR('Marketing Comms'!$U$21,"")</f>
        <v>0</v>
      </c>
      <c r="AA281" s="7"/>
      <c r="AB281" s="29"/>
      <c r="AC281" s="7"/>
      <c r="AD281" s="48" t="str">
        <f>IF($B281="Yes",IFERROR(SUMIFS(_TECH_Crisis_Model!$D$5:$D$191,_TECH_Crisis_Model!$A$5:$A$191,'Crisis Simulator'!$B$4,_TECH_Crisis_Model!$B$5:$B$191,$C281),1),"")</f>
        <v/>
      </c>
      <c r="AE281" s="48" t="str">
        <f t="shared" si="48"/>
        <v/>
      </c>
      <c r="AF281" s="48" t="str">
        <f>IFERROR(INDEX(_TECH_Crisis_Model!$E$5:$E$191,MATCH('Crisis Simulator'!$B$4&amp;"|"&amp;$C281,_TECH_Crisis_Model!$I$5:$I$191,0)),"")</f>
        <v>Customer communication and reputation control determine trust during uncertainty.</v>
      </c>
      <c r="AG281" s="48" t="str">
        <f>IFERROR(INDEX(_TECH_Crisis_Model!$G$5:$G$191,MATCH('Crisis Simulator'!$B$4&amp;"|"&amp;$C281,_TECH_Crisis_Model!$I$5:$I$191,0)),"")</f>
        <v>Prepare crisis messages, customer notification templates, comms approval flow and brand monitoring.</v>
      </c>
      <c r="AH281" s="48" t="str">
        <f>IFERROR(INDEX(_TECH_Initiative_Library!$A$5:$A$76,MATCH(1,INDEX((_TECH_Initiative_Library!$B$5:$B$76=$C281)*(_TECH_Initiative_Library!$C$5:$C$76=$D281),0),0)),"")</f>
        <v>INI-047</v>
      </c>
      <c r="AI281" s="48" t="str">
        <f>IFERROR(INDEX(_TECH_Initiative_Library!$F$5:$F$76,MATCH(1,INDEX((_TECH_Initiative_Library!$B$5:$B$76=$C281)*(_TECH_Initiative_Library!$C$5:$C$76=$D281),0),0)),"")</f>
        <v>Standardize marketing operations, content and analytics cadence</v>
      </c>
      <c r="AJ281" s="48" t="str">
        <f ca="1">IFERROR(INDEX(_TECH_Initiative_Library!$AC$5:$AC$76,MATCH(1,INDEX((_TECH_Initiative_Library!$B$5:$B$76=$C281)*(_TECH_Initiative_Library!$C$5:$C$76=$D281),0),0)),"")</f>
        <v/>
      </c>
      <c r="AK281" s="48" t="str">
        <f ca="1">IFERROR(INDEX(_TECH_Initiative_Library!$AE$5:$AE$76,MATCH(1,INDEX((_TECH_Initiative_Library!$B$5:$B$76=$C281)*(_TECH_Initiative_Library!$C$5:$C$76=$D281),0),0)),"")</f>
        <v/>
      </c>
      <c r="AL281" s="48" t="str">
        <f>IF($B281="Yes",IFERROR(SUMIFS(_TECH_Industry_Templates!$E:$E,_TECH_Industry_Templates!$A:$A,'Company Profile'!$B$9,_TECH_Industry_Templates!$B:$B,$C281),1),"")</f>
        <v/>
      </c>
      <c r="AM281" s="48" t="str">
        <f t="shared" si="49"/>
        <v/>
      </c>
      <c r="AN281" s="48" t="str">
        <f>IF($AM281="","",RANK.EQ($AM281,$AM$8:$AM$414,0)+COUNTIF($AM$8:$AM281,$AM281)-1)</f>
        <v/>
      </c>
    </row>
    <row r="282" spans="1:40" ht="85.5">
      <c r="A282" s="28" t="str">
        <f>IF($AM282="","",RANK.EQ($AM282,$AM$8:$AM$414,0)+COUNTIF($AM$8:$AM282,$AM282)-1)</f>
        <v/>
      </c>
      <c r="B282" s="7" t="str">
        <f t="shared" si="40"/>
        <v/>
      </c>
      <c r="C282" s="7" t="s">
        <v>90</v>
      </c>
      <c r="D282" s="7" t="s">
        <v>1441</v>
      </c>
      <c r="E282" s="7" t="s">
        <v>4662</v>
      </c>
      <c r="F282" s="7" t="s">
        <v>4663</v>
      </c>
      <c r="G282" s="28" t="str">
        <f>IF(OR(COUNTA('IT Cloud DR'!$H$5)=0,'IT Cloud DR'!$H$5="N/A"),"",VALUE('IT Cloud DR'!$H$5))</f>
        <v/>
      </c>
      <c r="H282" s="7" t="str">
        <f t="shared" si="41"/>
        <v/>
      </c>
      <c r="I282" s="7" t="str">
        <f>IF($G282="","",IFERROR(IF('IT Cloud DR'!$L$5="",IF($G282&lt;=1,"Critical",IF($G282=2,"High",IF($G282=3,"Medium",IF($G282=4,"Low","Optimized")))),'IT Cloud DR'!$L$5),IF($G282&lt;=1,"Critical",IF($G282=2,"High",IF($G282=3,"Medium",IF($G282=4,"Low","Optimized"))))))</f>
        <v/>
      </c>
      <c r="J282" s="7" t="str">
        <f>IF($G282="","",IFERROR(INDEX('Recommendation Matrix'!$E$5:$J$411,MATCH($E282,'Recommendation Matrix'!$A$5:$A$411,0),$G282+1),""))</f>
        <v/>
      </c>
      <c r="K282" s="7" t="str">
        <f>IF($G282="","",IFERROR(VLOOKUP($E282,'Recommendation Matrix'!$A$5:$K$411,11,FALSE),""))</f>
        <v/>
      </c>
      <c r="L282" s="28" t="str">
        <f t="shared" si="42"/>
        <v/>
      </c>
      <c r="M282" s="28" t="str">
        <f>IF($G282="","",IFERROR(INDEX('Recommendation Matrix'!$L$5:$Q$411,MATCH($E282,'Recommendation Matrix'!$A$5:$A$411,0),$G282+1),""))</f>
        <v/>
      </c>
      <c r="N282" s="28" t="str">
        <f t="shared" si="43"/>
        <v/>
      </c>
      <c r="O282" s="28" t="str">
        <f t="shared" si="44"/>
        <v/>
      </c>
      <c r="P282" s="28" t="str">
        <f t="shared" si="45"/>
        <v/>
      </c>
      <c r="Q282" s="28" t="str">
        <f t="shared" si="46"/>
        <v/>
      </c>
      <c r="R282" s="8" t="str">
        <f t="shared" si="47"/>
        <v/>
      </c>
      <c r="S282" s="28">
        <f>IFERROR('IT Cloud DR'!$G$5,"")</f>
        <v>5</v>
      </c>
      <c r="T282" s="28">
        <f>IFERROR('IT Cloud DR'!$W$5,"")</f>
        <v>5</v>
      </c>
      <c r="U282" s="28">
        <f>IFERROR('IT Cloud DR'!$X$5,"")</f>
        <v>5</v>
      </c>
      <c r="V282" s="28">
        <f>IFERROR('IT Cloud DR'!$Y$5,"")</f>
        <v>5</v>
      </c>
      <c r="W282" s="7" t="s">
        <v>4673</v>
      </c>
      <c r="X282" s="7" t="s">
        <v>4674</v>
      </c>
      <c r="Y282" s="7" t="s">
        <v>4666</v>
      </c>
      <c r="Z282" s="7">
        <f>IFERROR('IT Cloud DR'!$U$5,"")</f>
        <v>0</v>
      </c>
      <c r="AA282" s="7"/>
      <c r="AB282" s="29"/>
      <c r="AC282" s="7"/>
      <c r="AD282" s="48" t="str">
        <f>IF($B282="Yes",IFERROR(SUMIFS(_TECH_Crisis_Model!$D$5:$D$191,_TECH_Crisis_Model!$A$5:$A$191,'Crisis Simulator'!$B$4,_TECH_Crisis_Model!$B$5:$B$191,$C282),1),"")</f>
        <v/>
      </c>
      <c r="AE282" s="48" t="str">
        <f t="shared" si="48"/>
        <v/>
      </c>
      <c r="AF282" s="48" t="str">
        <f>IFERROR(INDEX(_TECH_Crisis_Model!$E$5:$E$191,MATCH('Crisis Simulator'!$B$4&amp;"|"&amp;$C282,_TECH_Crisis_Model!$I$5:$I$191,0)),"")</f>
        <v>Cloud, infrastructure, backups, RTO and RPO determine system recoverability.</v>
      </c>
      <c r="AG282" s="48" t="str">
        <f>IFERROR(INDEX(_TECH_Crisis_Model!$G$5:$G$191,MATCH('Crisis Simulator'!$B$4&amp;"|"&amp;$C282,_TECH_Crisis_Model!$I$5:$I$191,0)),"")</f>
        <v>Implement tested backups, DR runbooks, failover, cloud landing zones and RTO/RPO monitoring.</v>
      </c>
      <c r="AH282" s="48" t="str">
        <f>IFERROR(INDEX(_TECH_Initiative_Library!$A$5:$A$76,MATCH(1,INDEX((_TECH_Initiative_Library!$B$5:$B$76=$C282)*(_TECH_Initiative_Library!$C$5:$C$76=$D282),0),0)),"")</f>
        <v>INI-048</v>
      </c>
      <c r="AI282" s="48" t="str">
        <f>IFERROR(INDEX(_TECH_Initiative_Library!$F$5:$F$76,MATCH(1,INDEX((_TECH_Initiative_Library!$B$5:$B$76=$C282)*(_TECH_Initiative_Library!$C$5:$C$76=$D282),0),0)),"")</f>
        <v>Create IT asset, application and architecture criticality map</v>
      </c>
      <c r="AJ282" s="48" t="str">
        <f ca="1">IFERROR(INDEX(_TECH_Initiative_Library!$AC$5:$AC$76,MATCH(1,INDEX((_TECH_Initiative_Library!$B$5:$B$76=$C282)*(_TECH_Initiative_Library!$C$5:$C$76=$D282),0),0)),"")</f>
        <v/>
      </c>
      <c r="AK282" s="48" t="str">
        <f ca="1">IFERROR(INDEX(_TECH_Initiative_Library!$AE$5:$AE$76,MATCH(1,INDEX((_TECH_Initiative_Library!$B$5:$B$76=$C282)*(_TECH_Initiative_Library!$C$5:$C$76=$D282),0),0)),"")</f>
        <v/>
      </c>
      <c r="AL282" s="48" t="str">
        <f>IF($B282="Yes",IFERROR(SUMIFS(_TECH_Industry_Templates!$E:$E,_TECH_Industry_Templates!$A:$A,'Company Profile'!$B$9,_TECH_Industry_Templates!$B:$B,$C282),1),"")</f>
        <v/>
      </c>
      <c r="AM282" s="48" t="str">
        <f t="shared" si="49"/>
        <v/>
      </c>
      <c r="AN282" s="48" t="str">
        <f>IF($AM282="","",RANK.EQ($AM282,$AM$8:$AM$414,0)+COUNTIF($AM$8:$AM282,$AM282)-1)</f>
        <v/>
      </c>
    </row>
    <row r="283" spans="1:40" ht="71.25">
      <c r="A283" s="28" t="str">
        <f>IF($AM283="","",RANK.EQ($AM283,$AM$8:$AM$414,0)+COUNTIF($AM$8:$AM283,$AM283)-1)</f>
        <v/>
      </c>
      <c r="B283" s="7" t="str">
        <f t="shared" si="40"/>
        <v/>
      </c>
      <c r="C283" s="7" t="s">
        <v>90</v>
      </c>
      <c r="D283" s="7" t="s">
        <v>1441</v>
      </c>
      <c r="E283" s="7" t="s">
        <v>4676</v>
      </c>
      <c r="F283" s="7" t="s">
        <v>4677</v>
      </c>
      <c r="G283" s="28" t="str">
        <f>IF(OR(COUNTA('IT Cloud DR'!$H$6)=0,'IT Cloud DR'!$H$6="N/A"),"",VALUE('IT Cloud DR'!$H$6))</f>
        <v/>
      </c>
      <c r="H283" s="7" t="str">
        <f t="shared" si="41"/>
        <v/>
      </c>
      <c r="I283" s="7" t="str">
        <f>IF($G283="","",IFERROR(IF('IT Cloud DR'!$L$6="",IF($G283&lt;=1,"Critical",IF($G283=2,"High",IF($G283=3,"Medium",IF($G283=4,"Low","Optimized")))),'IT Cloud DR'!$L$6),IF($G283&lt;=1,"Critical",IF($G283=2,"High",IF($G283=3,"Medium",IF($G283=4,"Low","Optimized"))))))</f>
        <v/>
      </c>
      <c r="J283" s="7" t="str">
        <f>IF($G283="","",IFERROR(INDEX('Recommendation Matrix'!$E$5:$J$411,MATCH($E283,'Recommendation Matrix'!$A$5:$A$411,0),$G283+1),""))</f>
        <v/>
      </c>
      <c r="K283" s="7" t="str">
        <f>IF($G283="","",IFERROR(VLOOKUP($E283,'Recommendation Matrix'!$A$5:$K$411,11,FALSE),""))</f>
        <v/>
      </c>
      <c r="L283" s="28" t="str">
        <f t="shared" si="42"/>
        <v/>
      </c>
      <c r="M283" s="28" t="str">
        <f>IF($G283="","",IFERROR(INDEX('Recommendation Matrix'!$L$5:$Q$411,MATCH($E283,'Recommendation Matrix'!$A$5:$A$411,0),$G283+1),""))</f>
        <v/>
      </c>
      <c r="N283" s="28" t="str">
        <f t="shared" si="43"/>
        <v/>
      </c>
      <c r="O283" s="28" t="str">
        <f t="shared" si="44"/>
        <v/>
      </c>
      <c r="P283" s="28" t="str">
        <f t="shared" si="45"/>
        <v/>
      </c>
      <c r="Q283" s="28" t="str">
        <f t="shared" si="46"/>
        <v/>
      </c>
      <c r="R283" s="8" t="str">
        <f t="shared" si="47"/>
        <v/>
      </c>
      <c r="S283" s="28">
        <f>IFERROR('IT Cloud DR'!$G$6,"")</f>
        <v>5</v>
      </c>
      <c r="T283" s="28">
        <f>IFERROR('IT Cloud DR'!$W$6,"")</f>
        <v>5</v>
      </c>
      <c r="U283" s="28">
        <f>IFERROR('IT Cloud DR'!$X$6,"")</f>
        <v>5</v>
      </c>
      <c r="V283" s="28">
        <f>IFERROR('IT Cloud DR'!$Y$6,"")</f>
        <v>5</v>
      </c>
      <c r="W283" s="7" t="s">
        <v>4673</v>
      </c>
      <c r="X283" s="7" t="s">
        <v>4674</v>
      </c>
      <c r="Y283" s="7" t="s">
        <v>4678</v>
      </c>
      <c r="Z283" s="7">
        <f>IFERROR('IT Cloud DR'!$U$6,"")</f>
        <v>0</v>
      </c>
      <c r="AA283" s="7"/>
      <c r="AB283" s="29"/>
      <c r="AC283" s="7"/>
      <c r="AD283" s="48" t="str">
        <f>IF($B283="Yes",IFERROR(SUMIFS(_TECH_Crisis_Model!$D$5:$D$191,_TECH_Crisis_Model!$A$5:$A$191,'Crisis Simulator'!$B$4,_TECH_Crisis_Model!$B$5:$B$191,$C283),1),"")</f>
        <v/>
      </c>
      <c r="AE283" s="48" t="str">
        <f t="shared" si="48"/>
        <v/>
      </c>
      <c r="AF283" s="48" t="str">
        <f>IFERROR(INDEX(_TECH_Crisis_Model!$E$5:$E$191,MATCH('Crisis Simulator'!$B$4&amp;"|"&amp;$C283,_TECH_Crisis_Model!$I$5:$I$191,0)),"")</f>
        <v>Cloud, infrastructure, backups, RTO and RPO determine system recoverability.</v>
      </c>
      <c r="AG283" s="48" t="str">
        <f>IFERROR(INDEX(_TECH_Crisis_Model!$G$5:$G$191,MATCH('Crisis Simulator'!$B$4&amp;"|"&amp;$C283,_TECH_Crisis_Model!$I$5:$I$191,0)),"")</f>
        <v>Implement tested backups, DR runbooks, failover, cloud landing zones and RTO/RPO monitoring.</v>
      </c>
      <c r="AH283" s="48" t="str">
        <f>IFERROR(INDEX(_TECH_Initiative_Library!$A$5:$A$76,MATCH(1,INDEX((_TECH_Initiative_Library!$B$5:$B$76=$C283)*(_TECH_Initiative_Library!$C$5:$C$76=$D283),0),0)),"")</f>
        <v>INI-048</v>
      </c>
      <c r="AI283" s="48" t="str">
        <f>IFERROR(INDEX(_TECH_Initiative_Library!$F$5:$F$76,MATCH(1,INDEX((_TECH_Initiative_Library!$B$5:$B$76=$C283)*(_TECH_Initiative_Library!$C$5:$C$76=$D283),0),0)),"")</f>
        <v>Create IT asset, application and architecture criticality map</v>
      </c>
      <c r="AJ283" s="48" t="str">
        <f ca="1">IFERROR(INDEX(_TECH_Initiative_Library!$AC$5:$AC$76,MATCH(1,INDEX((_TECH_Initiative_Library!$B$5:$B$76=$C283)*(_TECH_Initiative_Library!$C$5:$C$76=$D283),0),0)),"")</f>
        <v/>
      </c>
      <c r="AK283" s="48" t="str">
        <f ca="1">IFERROR(INDEX(_TECH_Initiative_Library!$AE$5:$AE$76,MATCH(1,INDEX((_TECH_Initiative_Library!$B$5:$B$76=$C283)*(_TECH_Initiative_Library!$C$5:$C$76=$D283),0),0)),"")</f>
        <v/>
      </c>
      <c r="AL283" s="48" t="str">
        <f>IF($B283="Yes",IFERROR(SUMIFS(_TECH_Industry_Templates!$E:$E,_TECH_Industry_Templates!$A:$A,'Company Profile'!$B$9,_TECH_Industry_Templates!$B:$B,$C283),1),"")</f>
        <v/>
      </c>
      <c r="AM283" s="48" t="str">
        <f t="shared" si="49"/>
        <v/>
      </c>
      <c r="AN283" s="48" t="str">
        <f>IF($AM283="","",RANK.EQ($AM283,$AM$8:$AM$414,0)+COUNTIF($AM$8:$AM283,$AM283)-1)</f>
        <v/>
      </c>
    </row>
    <row r="284" spans="1:40" ht="71.25">
      <c r="A284" s="28" t="str">
        <f>IF($AM284="","",RANK.EQ($AM284,$AM$8:$AM$414,0)+COUNTIF($AM$8:$AM284,$AM284)-1)</f>
        <v/>
      </c>
      <c r="B284" s="7" t="str">
        <f t="shared" si="40"/>
        <v/>
      </c>
      <c r="C284" s="7" t="s">
        <v>90</v>
      </c>
      <c r="D284" s="7" t="s">
        <v>1441</v>
      </c>
      <c r="E284" s="7" t="s">
        <v>4686</v>
      </c>
      <c r="F284" s="7" t="s">
        <v>4687</v>
      </c>
      <c r="G284" s="28" t="str">
        <f>IF(OR(COUNTA('IT Cloud DR'!$H$7)=0,'IT Cloud DR'!$H$7="N/A"),"",VALUE('IT Cloud DR'!$H$7))</f>
        <v/>
      </c>
      <c r="H284" s="7" t="str">
        <f t="shared" si="41"/>
        <v/>
      </c>
      <c r="I284" s="7" t="str">
        <f>IF($G284="","",IFERROR(IF('IT Cloud DR'!$L$7="",IF($G284&lt;=1,"Critical",IF($G284=2,"High",IF($G284=3,"Medium",IF($G284=4,"Low","Optimized")))),'IT Cloud DR'!$L$7),IF($G284&lt;=1,"Critical",IF($G284=2,"High",IF($G284=3,"Medium",IF($G284=4,"Low","Optimized"))))))</f>
        <v/>
      </c>
      <c r="J284" s="7" t="str">
        <f>IF($G284="","",IFERROR(INDEX('Recommendation Matrix'!$E$5:$J$411,MATCH($E284,'Recommendation Matrix'!$A$5:$A$411,0),$G284+1),""))</f>
        <v/>
      </c>
      <c r="K284" s="7" t="str">
        <f>IF($G284="","",IFERROR(VLOOKUP($E284,'Recommendation Matrix'!$A$5:$K$411,11,FALSE),""))</f>
        <v/>
      </c>
      <c r="L284" s="28" t="str">
        <f t="shared" si="42"/>
        <v/>
      </c>
      <c r="M284" s="28" t="str">
        <f>IF($G284="","",IFERROR(INDEX('Recommendation Matrix'!$L$5:$Q$411,MATCH($E284,'Recommendation Matrix'!$A$5:$A$411,0),$G284+1),""))</f>
        <v/>
      </c>
      <c r="N284" s="28" t="str">
        <f t="shared" si="43"/>
        <v/>
      </c>
      <c r="O284" s="28" t="str">
        <f t="shared" si="44"/>
        <v/>
      </c>
      <c r="P284" s="28" t="str">
        <f t="shared" si="45"/>
        <v/>
      </c>
      <c r="Q284" s="28" t="str">
        <f t="shared" si="46"/>
        <v/>
      </c>
      <c r="R284" s="8" t="str">
        <f t="shared" si="47"/>
        <v/>
      </c>
      <c r="S284" s="28">
        <f>IFERROR('IT Cloud DR'!$G$7,"")</f>
        <v>3</v>
      </c>
      <c r="T284" s="28">
        <f>IFERROR('IT Cloud DR'!$W$7,"")</f>
        <v>5</v>
      </c>
      <c r="U284" s="28">
        <f>IFERROR('IT Cloud DR'!$X$7,"")</f>
        <v>5</v>
      </c>
      <c r="V284" s="28">
        <f>IFERROR('IT Cloud DR'!$Y$7,"")</f>
        <v>5</v>
      </c>
      <c r="W284" s="7" t="s">
        <v>4673</v>
      </c>
      <c r="X284" s="7" t="s">
        <v>4674</v>
      </c>
      <c r="Y284" s="7" t="s">
        <v>4688</v>
      </c>
      <c r="Z284" s="7">
        <f>IFERROR('IT Cloud DR'!$U$7,"")</f>
        <v>0</v>
      </c>
      <c r="AA284" s="7"/>
      <c r="AB284" s="29"/>
      <c r="AC284" s="7"/>
      <c r="AD284" s="48" t="str">
        <f>IF($B284="Yes",IFERROR(SUMIFS(_TECH_Crisis_Model!$D$5:$D$191,_TECH_Crisis_Model!$A$5:$A$191,'Crisis Simulator'!$B$4,_TECH_Crisis_Model!$B$5:$B$191,$C284),1),"")</f>
        <v/>
      </c>
      <c r="AE284" s="48" t="str">
        <f t="shared" si="48"/>
        <v/>
      </c>
      <c r="AF284" s="48" t="str">
        <f>IFERROR(INDEX(_TECH_Crisis_Model!$E$5:$E$191,MATCH('Crisis Simulator'!$B$4&amp;"|"&amp;$C284,_TECH_Crisis_Model!$I$5:$I$191,0)),"")</f>
        <v>Cloud, infrastructure, backups, RTO and RPO determine system recoverability.</v>
      </c>
      <c r="AG284" s="48" t="str">
        <f>IFERROR(INDEX(_TECH_Crisis_Model!$G$5:$G$191,MATCH('Crisis Simulator'!$B$4&amp;"|"&amp;$C284,_TECH_Crisis_Model!$I$5:$I$191,0)),"")</f>
        <v>Implement tested backups, DR runbooks, failover, cloud landing zones and RTO/RPO monitoring.</v>
      </c>
      <c r="AH284" s="48" t="str">
        <f>IFERROR(INDEX(_TECH_Initiative_Library!$A$5:$A$76,MATCH(1,INDEX((_TECH_Initiative_Library!$B$5:$B$76=$C284)*(_TECH_Initiative_Library!$C$5:$C$76=$D284),0),0)),"")</f>
        <v>INI-048</v>
      </c>
      <c r="AI284" s="48" t="str">
        <f>IFERROR(INDEX(_TECH_Initiative_Library!$F$5:$F$76,MATCH(1,INDEX((_TECH_Initiative_Library!$B$5:$B$76=$C284)*(_TECH_Initiative_Library!$C$5:$C$76=$D284),0),0)),"")</f>
        <v>Create IT asset, application and architecture criticality map</v>
      </c>
      <c r="AJ284" s="48" t="str">
        <f ca="1">IFERROR(INDEX(_TECH_Initiative_Library!$AC$5:$AC$76,MATCH(1,INDEX((_TECH_Initiative_Library!$B$5:$B$76=$C284)*(_TECH_Initiative_Library!$C$5:$C$76=$D284),0),0)),"")</f>
        <v/>
      </c>
      <c r="AK284" s="48" t="str">
        <f ca="1">IFERROR(INDEX(_TECH_Initiative_Library!$AE$5:$AE$76,MATCH(1,INDEX((_TECH_Initiative_Library!$B$5:$B$76=$C284)*(_TECH_Initiative_Library!$C$5:$C$76=$D284),0),0)),"")</f>
        <v/>
      </c>
      <c r="AL284" s="48" t="str">
        <f>IF($B284="Yes",IFERROR(SUMIFS(_TECH_Industry_Templates!$E:$E,_TECH_Industry_Templates!$A:$A,'Company Profile'!$B$9,_TECH_Industry_Templates!$B:$B,$C284),1),"")</f>
        <v/>
      </c>
      <c r="AM284" s="48" t="str">
        <f t="shared" si="49"/>
        <v/>
      </c>
      <c r="AN284" s="48" t="str">
        <f>IF($AM284="","",RANK.EQ($AM284,$AM$8:$AM$414,0)+COUNTIF($AM$8:$AM284,$AM284)-1)</f>
        <v/>
      </c>
    </row>
    <row r="285" spans="1:40" ht="85.5">
      <c r="A285" s="28" t="str">
        <f>IF($AM285="","",RANK.EQ($AM285,$AM$8:$AM$414,0)+COUNTIF($AM$8:$AM285,$AM285)-1)</f>
        <v/>
      </c>
      <c r="B285" s="7" t="str">
        <f t="shared" si="40"/>
        <v/>
      </c>
      <c r="C285" s="7" t="s">
        <v>90</v>
      </c>
      <c r="D285" s="7" t="s">
        <v>1441</v>
      </c>
      <c r="E285" s="7" t="s">
        <v>4696</v>
      </c>
      <c r="F285" s="7" t="s">
        <v>4697</v>
      </c>
      <c r="G285" s="28" t="str">
        <f>IF(OR(COUNTA('IT Cloud DR'!$H$8)=0,'IT Cloud DR'!$H$8="N/A"),"",VALUE('IT Cloud DR'!$H$8))</f>
        <v/>
      </c>
      <c r="H285" s="7" t="str">
        <f t="shared" si="41"/>
        <v/>
      </c>
      <c r="I285" s="7" t="str">
        <f>IF($G285="","",IFERROR(IF('IT Cloud DR'!$L$8="",IF($G285&lt;=1,"Critical",IF($G285=2,"High",IF($G285=3,"Medium",IF($G285=4,"Low","Optimized")))),'IT Cloud DR'!$L$8),IF($G285&lt;=1,"Critical",IF($G285=2,"High",IF($G285=3,"Medium",IF($G285=4,"Low","Optimized"))))))</f>
        <v/>
      </c>
      <c r="J285" s="7" t="str">
        <f>IF($G285="","",IFERROR(INDEX('Recommendation Matrix'!$E$5:$J$411,MATCH($E285,'Recommendation Matrix'!$A$5:$A$411,0),$G285+1),""))</f>
        <v/>
      </c>
      <c r="K285" s="7" t="str">
        <f>IF($G285="","",IFERROR(VLOOKUP($E285,'Recommendation Matrix'!$A$5:$K$411,11,FALSE),""))</f>
        <v/>
      </c>
      <c r="L285" s="28" t="str">
        <f t="shared" si="42"/>
        <v/>
      </c>
      <c r="M285" s="28" t="str">
        <f>IF($G285="","",IFERROR(INDEX('Recommendation Matrix'!$L$5:$Q$411,MATCH($E285,'Recommendation Matrix'!$A$5:$A$411,0),$G285+1),""))</f>
        <v/>
      </c>
      <c r="N285" s="28" t="str">
        <f t="shared" si="43"/>
        <v/>
      </c>
      <c r="O285" s="28" t="str">
        <f t="shared" si="44"/>
        <v/>
      </c>
      <c r="P285" s="28" t="str">
        <f t="shared" si="45"/>
        <v/>
      </c>
      <c r="Q285" s="28" t="str">
        <f t="shared" si="46"/>
        <v/>
      </c>
      <c r="R285" s="8" t="str">
        <f t="shared" si="47"/>
        <v/>
      </c>
      <c r="S285" s="28">
        <f>IFERROR('IT Cloud DR'!$G$8,"")</f>
        <v>5</v>
      </c>
      <c r="T285" s="28">
        <f>IFERROR('IT Cloud DR'!$W$8,"")</f>
        <v>5</v>
      </c>
      <c r="U285" s="28">
        <f>IFERROR('IT Cloud DR'!$X$8,"")</f>
        <v>5</v>
      </c>
      <c r="V285" s="28">
        <f>IFERROR('IT Cloud DR'!$Y$8,"")</f>
        <v>5</v>
      </c>
      <c r="W285" s="7" t="s">
        <v>4673</v>
      </c>
      <c r="X285" s="7" t="s">
        <v>4674</v>
      </c>
      <c r="Y285" s="7" t="s">
        <v>4698</v>
      </c>
      <c r="Z285" s="7">
        <f>IFERROR('IT Cloud DR'!$U$8,"")</f>
        <v>0</v>
      </c>
      <c r="AA285" s="7"/>
      <c r="AB285" s="29"/>
      <c r="AC285" s="7"/>
      <c r="AD285" s="48" t="str">
        <f>IF($B285="Yes",IFERROR(SUMIFS(_TECH_Crisis_Model!$D$5:$D$191,_TECH_Crisis_Model!$A$5:$A$191,'Crisis Simulator'!$B$4,_TECH_Crisis_Model!$B$5:$B$191,$C285),1),"")</f>
        <v/>
      </c>
      <c r="AE285" s="48" t="str">
        <f t="shared" si="48"/>
        <v/>
      </c>
      <c r="AF285" s="48" t="str">
        <f>IFERROR(INDEX(_TECH_Crisis_Model!$E$5:$E$191,MATCH('Crisis Simulator'!$B$4&amp;"|"&amp;$C285,_TECH_Crisis_Model!$I$5:$I$191,0)),"")</f>
        <v>Cloud, infrastructure, backups, RTO and RPO determine system recoverability.</v>
      </c>
      <c r="AG285" s="48" t="str">
        <f>IFERROR(INDEX(_TECH_Crisis_Model!$G$5:$G$191,MATCH('Crisis Simulator'!$B$4&amp;"|"&amp;$C285,_TECH_Crisis_Model!$I$5:$I$191,0)),"")</f>
        <v>Implement tested backups, DR runbooks, failover, cloud landing zones and RTO/RPO monitoring.</v>
      </c>
      <c r="AH285" s="48" t="str">
        <f>IFERROR(INDEX(_TECH_Initiative_Library!$A$5:$A$76,MATCH(1,INDEX((_TECH_Initiative_Library!$B$5:$B$76=$C285)*(_TECH_Initiative_Library!$C$5:$C$76=$D285),0),0)),"")</f>
        <v>INI-048</v>
      </c>
      <c r="AI285" s="48" t="str">
        <f>IFERROR(INDEX(_TECH_Initiative_Library!$F$5:$F$76,MATCH(1,INDEX((_TECH_Initiative_Library!$B$5:$B$76=$C285)*(_TECH_Initiative_Library!$C$5:$C$76=$D285),0),0)),"")</f>
        <v>Create IT asset, application and architecture criticality map</v>
      </c>
      <c r="AJ285" s="48" t="str">
        <f ca="1">IFERROR(INDEX(_TECH_Initiative_Library!$AC$5:$AC$76,MATCH(1,INDEX((_TECH_Initiative_Library!$B$5:$B$76=$C285)*(_TECH_Initiative_Library!$C$5:$C$76=$D285),0),0)),"")</f>
        <v/>
      </c>
      <c r="AK285" s="48" t="str">
        <f ca="1">IFERROR(INDEX(_TECH_Initiative_Library!$AE$5:$AE$76,MATCH(1,INDEX((_TECH_Initiative_Library!$B$5:$B$76=$C285)*(_TECH_Initiative_Library!$C$5:$C$76=$D285),0),0)),"")</f>
        <v/>
      </c>
      <c r="AL285" s="48" t="str">
        <f>IF($B285="Yes",IFERROR(SUMIFS(_TECH_Industry_Templates!$E:$E,_TECH_Industry_Templates!$A:$A,'Company Profile'!$B$9,_TECH_Industry_Templates!$B:$B,$C285),1),"")</f>
        <v/>
      </c>
      <c r="AM285" s="48" t="str">
        <f t="shared" si="49"/>
        <v/>
      </c>
      <c r="AN285" s="48" t="str">
        <f>IF($AM285="","",RANK.EQ($AM285,$AM$8:$AM$414,0)+COUNTIF($AM$8:$AM285,$AM285)-1)</f>
        <v/>
      </c>
    </row>
    <row r="286" spans="1:40" ht="71.25">
      <c r="A286" s="28" t="str">
        <f>IF($AM286="","",RANK.EQ($AM286,$AM$8:$AM$414,0)+COUNTIF($AM$8:$AM286,$AM286)-1)</f>
        <v/>
      </c>
      <c r="B286" s="7" t="str">
        <f t="shared" si="40"/>
        <v/>
      </c>
      <c r="C286" s="7" t="s">
        <v>90</v>
      </c>
      <c r="D286" s="7" t="s">
        <v>1441</v>
      </c>
      <c r="E286" s="7" t="s">
        <v>4706</v>
      </c>
      <c r="F286" s="7" t="s">
        <v>4707</v>
      </c>
      <c r="G286" s="28" t="str">
        <f>IF(OR(COUNTA('IT Cloud DR'!$H$9)=0,'IT Cloud DR'!$H$9="N/A"),"",VALUE('IT Cloud DR'!$H$9))</f>
        <v/>
      </c>
      <c r="H286" s="7" t="str">
        <f t="shared" si="41"/>
        <v/>
      </c>
      <c r="I286" s="7" t="str">
        <f>IF($G286="","",IFERROR(IF('IT Cloud DR'!$L$9="",IF($G286&lt;=1,"Critical",IF($G286=2,"High",IF($G286=3,"Medium",IF($G286=4,"Low","Optimized")))),'IT Cloud DR'!$L$9),IF($G286&lt;=1,"Critical",IF($G286=2,"High",IF($G286=3,"Medium",IF($G286=4,"Low","Optimized"))))))</f>
        <v/>
      </c>
      <c r="J286" s="7" t="str">
        <f>IF($G286="","",IFERROR(INDEX('Recommendation Matrix'!$E$5:$J$411,MATCH($E286,'Recommendation Matrix'!$A$5:$A$411,0),$G286+1),""))</f>
        <v/>
      </c>
      <c r="K286" s="7" t="str">
        <f>IF($G286="","",IFERROR(VLOOKUP($E286,'Recommendation Matrix'!$A$5:$K$411,11,FALSE),""))</f>
        <v/>
      </c>
      <c r="L286" s="28" t="str">
        <f t="shared" si="42"/>
        <v/>
      </c>
      <c r="M286" s="28" t="str">
        <f>IF($G286="","",IFERROR(INDEX('Recommendation Matrix'!$L$5:$Q$411,MATCH($E286,'Recommendation Matrix'!$A$5:$A$411,0),$G286+1),""))</f>
        <v/>
      </c>
      <c r="N286" s="28" t="str">
        <f t="shared" si="43"/>
        <v/>
      </c>
      <c r="O286" s="28" t="str">
        <f t="shared" si="44"/>
        <v/>
      </c>
      <c r="P286" s="28" t="str">
        <f t="shared" si="45"/>
        <v/>
      </c>
      <c r="Q286" s="28" t="str">
        <f t="shared" si="46"/>
        <v/>
      </c>
      <c r="R286" s="8" t="str">
        <f t="shared" si="47"/>
        <v/>
      </c>
      <c r="S286" s="28">
        <f>IFERROR('IT Cloud DR'!$G$9,"")</f>
        <v>4</v>
      </c>
      <c r="T286" s="28">
        <f>IFERROR('IT Cloud DR'!$W$9,"")</f>
        <v>5</v>
      </c>
      <c r="U286" s="28">
        <f>IFERROR('IT Cloud DR'!$X$9,"")</f>
        <v>5</v>
      </c>
      <c r="V286" s="28">
        <f>IFERROR('IT Cloud DR'!$Y$9,"")</f>
        <v>5</v>
      </c>
      <c r="W286" s="7" t="s">
        <v>4673</v>
      </c>
      <c r="X286" s="7" t="s">
        <v>4674</v>
      </c>
      <c r="Y286" s="7" t="s">
        <v>4708</v>
      </c>
      <c r="Z286" s="7">
        <f>IFERROR('IT Cloud DR'!$U$9,"")</f>
        <v>0</v>
      </c>
      <c r="AA286" s="7"/>
      <c r="AB286" s="29"/>
      <c r="AC286" s="7"/>
      <c r="AD286" s="48" t="str">
        <f>IF($B286="Yes",IFERROR(SUMIFS(_TECH_Crisis_Model!$D$5:$D$191,_TECH_Crisis_Model!$A$5:$A$191,'Crisis Simulator'!$B$4,_TECH_Crisis_Model!$B$5:$B$191,$C286),1),"")</f>
        <v/>
      </c>
      <c r="AE286" s="48" t="str">
        <f t="shared" si="48"/>
        <v/>
      </c>
      <c r="AF286" s="48" t="str">
        <f>IFERROR(INDEX(_TECH_Crisis_Model!$E$5:$E$191,MATCH('Crisis Simulator'!$B$4&amp;"|"&amp;$C286,_TECH_Crisis_Model!$I$5:$I$191,0)),"")</f>
        <v>Cloud, infrastructure, backups, RTO and RPO determine system recoverability.</v>
      </c>
      <c r="AG286" s="48" t="str">
        <f>IFERROR(INDEX(_TECH_Crisis_Model!$G$5:$G$191,MATCH('Crisis Simulator'!$B$4&amp;"|"&amp;$C286,_TECH_Crisis_Model!$I$5:$I$191,0)),"")</f>
        <v>Implement tested backups, DR runbooks, failover, cloud landing zones and RTO/RPO monitoring.</v>
      </c>
      <c r="AH286" s="48" t="str">
        <f>IFERROR(INDEX(_TECH_Initiative_Library!$A$5:$A$76,MATCH(1,INDEX((_TECH_Initiative_Library!$B$5:$B$76=$C286)*(_TECH_Initiative_Library!$C$5:$C$76=$D286),0),0)),"")</f>
        <v>INI-048</v>
      </c>
      <c r="AI286" s="48" t="str">
        <f>IFERROR(INDEX(_TECH_Initiative_Library!$F$5:$F$76,MATCH(1,INDEX((_TECH_Initiative_Library!$B$5:$B$76=$C286)*(_TECH_Initiative_Library!$C$5:$C$76=$D286),0),0)),"")</f>
        <v>Create IT asset, application and architecture criticality map</v>
      </c>
      <c r="AJ286" s="48" t="str">
        <f ca="1">IFERROR(INDEX(_TECH_Initiative_Library!$AC$5:$AC$76,MATCH(1,INDEX((_TECH_Initiative_Library!$B$5:$B$76=$C286)*(_TECH_Initiative_Library!$C$5:$C$76=$D286),0),0)),"")</f>
        <v/>
      </c>
      <c r="AK286" s="48" t="str">
        <f ca="1">IFERROR(INDEX(_TECH_Initiative_Library!$AE$5:$AE$76,MATCH(1,INDEX((_TECH_Initiative_Library!$B$5:$B$76=$C286)*(_TECH_Initiative_Library!$C$5:$C$76=$D286),0),0)),"")</f>
        <v/>
      </c>
      <c r="AL286" s="48" t="str">
        <f>IF($B286="Yes",IFERROR(SUMIFS(_TECH_Industry_Templates!$E:$E,_TECH_Industry_Templates!$A:$A,'Company Profile'!$B$9,_TECH_Industry_Templates!$B:$B,$C286),1),"")</f>
        <v/>
      </c>
      <c r="AM286" s="48" t="str">
        <f t="shared" si="49"/>
        <v/>
      </c>
      <c r="AN286" s="48" t="str">
        <f>IF($AM286="","",RANK.EQ($AM286,$AM$8:$AM$414,0)+COUNTIF($AM$8:$AM286,$AM286)-1)</f>
        <v/>
      </c>
    </row>
    <row r="287" spans="1:40" ht="71.25">
      <c r="A287" s="28" t="str">
        <f>IF($AM287="","",RANK.EQ($AM287,$AM$8:$AM$414,0)+COUNTIF($AM$8:$AM287,$AM287)-1)</f>
        <v/>
      </c>
      <c r="B287" s="7" t="str">
        <f t="shared" si="40"/>
        <v/>
      </c>
      <c r="C287" s="7" t="s">
        <v>90</v>
      </c>
      <c r="D287" s="7" t="s">
        <v>1441</v>
      </c>
      <c r="E287" s="7" t="s">
        <v>4716</v>
      </c>
      <c r="F287" s="7" t="s">
        <v>4717</v>
      </c>
      <c r="G287" s="28" t="str">
        <f>IF(OR(COUNTA('IT Cloud DR'!$H$10)=0,'IT Cloud DR'!$H$10="N/A"),"",VALUE('IT Cloud DR'!$H$10))</f>
        <v/>
      </c>
      <c r="H287" s="7" t="str">
        <f t="shared" si="41"/>
        <v/>
      </c>
      <c r="I287" s="7" t="str">
        <f>IF($G287="","",IFERROR(IF('IT Cloud DR'!$L$10="",IF($G287&lt;=1,"Critical",IF($G287=2,"High",IF($G287=3,"Medium",IF($G287=4,"Low","Optimized")))),'IT Cloud DR'!$L$10),IF($G287&lt;=1,"Critical",IF($G287=2,"High",IF($G287=3,"Medium",IF($G287=4,"Low","Optimized"))))))</f>
        <v/>
      </c>
      <c r="J287" s="7" t="str">
        <f>IF($G287="","",IFERROR(INDEX('Recommendation Matrix'!$E$5:$J$411,MATCH($E287,'Recommendation Matrix'!$A$5:$A$411,0),$G287+1),""))</f>
        <v/>
      </c>
      <c r="K287" s="7" t="str">
        <f>IF($G287="","",IFERROR(VLOOKUP($E287,'Recommendation Matrix'!$A$5:$K$411,11,FALSE),""))</f>
        <v/>
      </c>
      <c r="L287" s="28" t="str">
        <f t="shared" si="42"/>
        <v/>
      </c>
      <c r="M287" s="28" t="str">
        <f>IF($G287="","",IFERROR(INDEX('Recommendation Matrix'!$L$5:$Q$411,MATCH($E287,'Recommendation Matrix'!$A$5:$A$411,0),$G287+1),""))</f>
        <v/>
      </c>
      <c r="N287" s="28" t="str">
        <f t="shared" si="43"/>
        <v/>
      </c>
      <c r="O287" s="28" t="str">
        <f t="shared" si="44"/>
        <v/>
      </c>
      <c r="P287" s="28" t="str">
        <f t="shared" si="45"/>
        <v/>
      </c>
      <c r="Q287" s="28" t="str">
        <f t="shared" si="46"/>
        <v/>
      </c>
      <c r="R287" s="8" t="str">
        <f t="shared" si="47"/>
        <v/>
      </c>
      <c r="S287" s="28">
        <f>IFERROR('IT Cloud DR'!$G$10,"")</f>
        <v>3</v>
      </c>
      <c r="T287" s="28">
        <f>IFERROR('IT Cloud DR'!$W$10,"")</f>
        <v>5</v>
      </c>
      <c r="U287" s="28">
        <f>IFERROR('IT Cloud DR'!$X$10,"")</f>
        <v>5</v>
      </c>
      <c r="V287" s="28">
        <f>IFERROR('IT Cloud DR'!$Y$10,"")</f>
        <v>5</v>
      </c>
      <c r="W287" s="7" t="s">
        <v>4673</v>
      </c>
      <c r="X287" s="7" t="s">
        <v>4674</v>
      </c>
      <c r="Y287" s="7" t="s">
        <v>4718</v>
      </c>
      <c r="Z287" s="7">
        <f>IFERROR('IT Cloud DR'!$U$10,"")</f>
        <v>0</v>
      </c>
      <c r="AA287" s="7"/>
      <c r="AB287" s="29"/>
      <c r="AC287" s="7"/>
      <c r="AD287" s="48" t="str">
        <f>IF($B287="Yes",IFERROR(SUMIFS(_TECH_Crisis_Model!$D$5:$D$191,_TECH_Crisis_Model!$A$5:$A$191,'Crisis Simulator'!$B$4,_TECH_Crisis_Model!$B$5:$B$191,$C287),1),"")</f>
        <v/>
      </c>
      <c r="AE287" s="48" t="str">
        <f t="shared" si="48"/>
        <v/>
      </c>
      <c r="AF287" s="48" t="str">
        <f>IFERROR(INDEX(_TECH_Crisis_Model!$E$5:$E$191,MATCH('Crisis Simulator'!$B$4&amp;"|"&amp;$C287,_TECH_Crisis_Model!$I$5:$I$191,0)),"")</f>
        <v>Cloud, infrastructure, backups, RTO and RPO determine system recoverability.</v>
      </c>
      <c r="AG287" s="48" t="str">
        <f>IFERROR(INDEX(_TECH_Crisis_Model!$G$5:$G$191,MATCH('Crisis Simulator'!$B$4&amp;"|"&amp;$C287,_TECH_Crisis_Model!$I$5:$I$191,0)),"")</f>
        <v>Implement tested backups, DR runbooks, failover, cloud landing zones and RTO/RPO monitoring.</v>
      </c>
      <c r="AH287" s="48" t="str">
        <f>IFERROR(INDEX(_TECH_Initiative_Library!$A$5:$A$76,MATCH(1,INDEX((_TECH_Initiative_Library!$B$5:$B$76=$C287)*(_TECH_Initiative_Library!$C$5:$C$76=$D287),0),0)),"")</f>
        <v>INI-048</v>
      </c>
      <c r="AI287" s="48" t="str">
        <f>IFERROR(INDEX(_TECH_Initiative_Library!$F$5:$F$76,MATCH(1,INDEX((_TECH_Initiative_Library!$B$5:$B$76=$C287)*(_TECH_Initiative_Library!$C$5:$C$76=$D287),0),0)),"")</f>
        <v>Create IT asset, application and architecture criticality map</v>
      </c>
      <c r="AJ287" s="48" t="str">
        <f ca="1">IFERROR(INDEX(_TECH_Initiative_Library!$AC$5:$AC$76,MATCH(1,INDEX((_TECH_Initiative_Library!$B$5:$B$76=$C287)*(_TECH_Initiative_Library!$C$5:$C$76=$D287),0),0)),"")</f>
        <v/>
      </c>
      <c r="AK287" s="48" t="str">
        <f ca="1">IFERROR(INDEX(_TECH_Initiative_Library!$AE$5:$AE$76,MATCH(1,INDEX((_TECH_Initiative_Library!$B$5:$B$76=$C287)*(_TECH_Initiative_Library!$C$5:$C$76=$D287),0),0)),"")</f>
        <v/>
      </c>
      <c r="AL287" s="48" t="str">
        <f>IF($B287="Yes",IFERROR(SUMIFS(_TECH_Industry_Templates!$E:$E,_TECH_Industry_Templates!$A:$A,'Company Profile'!$B$9,_TECH_Industry_Templates!$B:$B,$C287),1),"")</f>
        <v/>
      </c>
      <c r="AM287" s="48" t="str">
        <f t="shared" si="49"/>
        <v/>
      </c>
      <c r="AN287" s="48" t="str">
        <f>IF($AM287="","",RANK.EQ($AM287,$AM$8:$AM$414,0)+COUNTIF($AM$8:$AM287,$AM287)-1)</f>
        <v/>
      </c>
    </row>
    <row r="288" spans="1:40" ht="85.5">
      <c r="A288" s="28" t="str">
        <f>IF($AM288="","",RANK.EQ($AM288,$AM$8:$AM$414,0)+COUNTIF($AM$8:$AM288,$AM288)-1)</f>
        <v/>
      </c>
      <c r="B288" s="7" t="str">
        <f t="shared" si="40"/>
        <v/>
      </c>
      <c r="C288" s="7" t="s">
        <v>90</v>
      </c>
      <c r="D288" s="7" t="s">
        <v>1457</v>
      </c>
      <c r="E288" s="7" t="s">
        <v>4726</v>
      </c>
      <c r="F288" s="7" t="s">
        <v>4727</v>
      </c>
      <c r="G288" s="28" t="str">
        <f>IF(OR(COUNTA('IT Cloud DR'!$H$11)=0,'IT Cloud DR'!$H$11="N/A"),"",VALUE('IT Cloud DR'!$H$11))</f>
        <v/>
      </c>
      <c r="H288" s="7" t="str">
        <f t="shared" si="41"/>
        <v/>
      </c>
      <c r="I288" s="7" t="str">
        <f>IF($G288="","",IFERROR(IF('IT Cloud DR'!$L$11="",IF($G288&lt;=1,"Critical",IF($G288=2,"High",IF($G288=3,"Medium",IF($G288=4,"Low","Optimized")))),'IT Cloud DR'!$L$11),IF($G288&lt;=1,"Critical",IF($G288=2,"High",IF($G288=3,"Medium",IF($G288=4,"Low","Optimized"))))))</f>
        <v/>
      </c>
      <c r="J288" s="7" t="str">
        <f>IF($G288="","",IFERROR(INDEX('Recommendation Matrix'!$E$5:$J$411,MATCH($E288,'Recommendation Matrix'!$A$5:$A$411,0),$G288+1),""))</f>
        <v/>
      </c>
      <c r="K288" s="7" t="str">
        <f>IF($G288="","",IFERROR(VLOOKUP($E288,'Recommendation Matrix'!$A$5:$K$411,11,FALSE),""))</f>
        <v/>
      </c>
      <c r="L288" s="28" t="str">
        <f t="shared" si="42"/>
        <v/>
      </c>
      <c r="M288" s="28" t="str">
        <f>IF($G288="","",IFERROR(INDEX('Recommendation Matrix'!$L$5:$Q$411,MATCH($E288,'Recommendation Matrix'!$A$5:$A$411,0),$G288+1),""))</f>
        <v/>
      </c>
      <c r="N288" s="28" t="str">
        <f t="shared" si="43"/>
        <v/>
      </c>
      <c r="O288" s="28" t="str">
        <f t="shared" si="44"/>
        <v/>
      </c>
      <c r="P288" s="28" t="str">
        <f t="shared" si="45"/>
        <v/>
      </c>
      <c r="Q288" s="28" t="str">
        <f t="shared" si="46"/>
        <v/>
      </c>
      <c r="R288" s="8" t="str">
        <f t="shared" si="47"/>
        <v/>
      </c>
      <c r="S288" s="28">
        <f>IFERROR('IT Cloud DR'!$G$11,"")</f>
        <v>5</v>
      </c>
      <c r="T288" s="28">
        <f>IFERROR('IT Cloud DR'!$W$11,"")</f>
        <v>5</v>
      </c>
      <c r="U288" s="28">
        <f>IFERROR('IT Cloud DR'!$X$11,"")</f>
        <v>5</v>
      </c>
      <c r="V288" s="28">
        <f>IFERROR('IT Cloud DR'!$Y$11,"")</f>
        <v>5</v>
      </c>
      <c r="W288" s="7" t="s">
        <v>4673</v>
      </c>
      <c r="X288" s="7" t="s">
        <v>4674</v>
      </c>
      <c r="Y288" s="7" t="s">
        <v>4728</v>
      </c>
      <c r="Z288" s="7">
        <f>IFERROR('IT Cloud DR'!$U$11,"")</f>
        <v>0</v>
      </c>
      <c r="AA288" s="7"/>
      <c r="AB288" s="29"/>
      <c r="AC288" s="7"/>
      <c r="AD288" s="48" t="str">
        <f>IF($B288="Yes",IFERROR(SUMIFS(_TECH_Crisis_Model!$D$5:$D$191,_TECH_Crisis_Model!$A$5:$A$191,'Crisis Simulator'!$B$4,_TECH_Crisis_Model!$B$5:$B$191,$C288),1),"")</f>
        <v/>
      </c>
      <c r="AE288" s="48" t="str">
        <f t="shared" si="48"/>
        <v/>
      </c>
      <c r="AF288" s="48" t="str">
        <f>IFERROR(INDEX(_TECH_Crisis_Model!$E$5:$E$191,MATCH('Crisis Simulator'!$B$4&amp;"|"&amp;$C288,_TECH_Crisis_Model!$I$5:$I$191,0)),"")</f>
        <v>Cloud, infrastructure, backups, RTO and RPO determine system recoverability.</v>
      </c>
      <c r="AG288" s="48" t="str">
        <f>IFERROR(INDEX(_TECH_Crisis_Model!$G$5:$G$191,MATCH('Crisis Simulator'!$B$4&amp;"|"&amp;$C288,_TECH_Crisis_Model!$I$5:$I$191,0)),"")</f>
        <v>Implement tested backups, DR runbooks, failover, cloud landing zones and RTO/RPO monitoring.</v>
      </c>
      <c r="AH288" s="48" t="str">
        <f>IFERROR(INDEX(_TECH_Initiative_Library!$A$5:$A$76,MATCH(1,INDEX((_TECH_Initiative_Library!$B$5:$B$76=$C288)*(_TECH_Initiative_Library!$C$5:$C$76=$D288),0),0)),"")</f>
        <v>INI-049</v>
      </c>
      <c r="AI288" s="48" t="str">
        <f>IFERROR(INDEX(_TECH_Initiative_Library!$F$5:$F$76,MATCH(1,INDEX((_TECH_Initiative_Library!$B$5:$B$76=$C288)*(_TECH_Initiative_Library!$C$5:$C$76=$D288),0),0)),"")</f>
        <v>Optimize cloud usage, landing zones and infrastructure resilience</v>
      </c>
      <c r="AJ288" s="48" t="str">
        <f ca="1">IFERROR(INDEX(_TECH_Initiative_Library!$AC$5:$AC$76,MATCH(1,INDEX((_TECH_Initiative_Library!$B$5:$B$76=$C288)*(_TECH_Initiative_Library!$C$5:$C$76=$D288),0),0)),"")</f>
        <v/>
      </c>
      <c r="AK288" s="48" t="str">
        <f ca="1">IFERROR(INDEX(_TECH_Initiative_Library!$AE$5:$AE$76,MATCH(1,INDEX((_TECH_Initiative_Library!$B$5:$B$76=$C288)*(_TECH_Initiative_Library!$C$5:$C$76=$D288),0),0)),"")</f>
        <v/>
      </c>
      <c r="AL288" s="48" t="str">
        <f>IF($B288="Yes",IFERROR(SUMIFS(_TECH_Industry_Templates!$E:$E,_TECH_Industry_Templates!$A:$A,'Company Profile'!$B$9,_TECH_Industry_Templates!$B:$B,$C288),1),"")</f>
        <v/>
      </c>
      <c r="AM288" s="48" t="str">
        <f t="shared" si="49"/>
        <v/>
      </c>
      <c r="AN288" s="48" t="str">
        <f>IF($AM288="","",RANK.EQ($AM288,$AM$8:$AM$414,0)+COUNTIF($AM$8:$AM288,$AM288)-1)</f>
        <v/>
      </c>
    </row>
    <row r="289" spans="1:40" ht="71.25">
      <c r="A289" s="28" t="str">
        <f>IF($AM289="","",RANK.EQ($AM289,$AM$8:$AM$414,0)+COUNTIF($AM$8:$AM289,$AM289)-1)</f>
        <v/>
      </c>
      <c r="B289" s="7" t="str">
        <f t="shared" si="40"/>
        <v/>
      </c>
      <c r="C289" s="7" t="s">
        <v>90</v>
      </c>
      <c r="D289" s="7" t="s">
        <v>1457</v>
      </c>
      <c r="E289" s="7" t="s">
        <v>4736</v>
      </c>
      <c r="F289" s="7" t="s">
        <v>4737</v>
      </c>
      <c r="G289" s="28" t="str">
        <f>IF(OR(COUNTA('IT Cloud DR'!$H$12)=0,'IT Cloud DR'!$H$12="N/A"),"",VALUE('IT Cloud DR'!$H$12))</f>
        <v/>
      </c>
      <c r="H289" s="7" t="str">
        <f t="shared" si="41"/>
        <v/>
      </c>
      <c r="I289" s="7" t="str">
        <f>IF($G289="","",IFERROR(IF('IT Cloud DR'!$L$12="",IF($G289&lt;=1,"Critical",IF($G289=2,"High",IF($G289=3,"Medium",IF($G289=4,"Low","Optimized")))),'IT Cloud DR'!$L$12),IF($G289&lt;=1,"Critical",IF($G289=2,"High",IF($G289=3,"Medium",IF($G289=4,"Low","Optimized"))))))</f>
        <v/>
      </c>
      <c r="J289" s="7" t="str">
        <f>IF($G289="","",IFERROR(INDEX('Recommendation Matrix'!$E$5:$J$411,MATCH($E289,'Recommendation Matrix'!$A$5:$A$411,0),$G289+1),""))</f>
        <v/>
      </c>
      <c r="K289" s="7" t="str">
        <f>IF($G289="","",IFERROR(VLOOKUP($E289,'Recommendation Matrix'!$A$5:$K$411,11,FALSE),""))</f>
        <v/>
      </c>
      <c r="L289" s="28" t="str">
        <f t="shared" si="42"/>
        <v/>
      </c>
      <c r="M289" s="28" t="str">
        <f>IF($G289="","",IFERROR(INDEX('Recommendation Matrix'!$L$5:$Q$411,MATCH($E289,'Recommendation Matrix'!$A$5:$A$411,0),$G289+1),""))</f>
        <v/>
      </c>
      <c r="N289" s="28" t="str">
        <f t="shared" si="43"/>
        <v/>
      </c>
      <c r="O289" s="28" t="str">
        <f t="shared" si="44"/>
        <v/>
      </c>
      <c r="P289" s="28" t="str">
        <f t="shared" si="45"/>
        <v/>
      </c>
      <c r="Q289" s="28" t="str">
        <f t="shared" si="46"/>
        <v/>
      </c>
      <c r="R289" s="8" t="str">
        <f t="shared" si="47"/>
        <v/>
      </c>
      <c r="S289" s="28">
        <f>IFERROR('IT Cloud DR'!$G$12,"")</f>
        <v>5</v>
      </c>
      <c r="T289" s="28">
        <f>IFERROR('IT Cloud DR'!$W$12,"")</f>
        <v>5</v>
      </c>
      <c r="U289" s="28">
        <f>IFERROR('IT Cloud DR'!$X$12,"")</f>
        <v>5</v>
      </c>
      <c r="V289" s="28">
        <f>IFERROR('IT Cloud DR'!$Y$12,"")</f>
        <v>5</v>
      </c>
      <c r="W289" s="7" t="s">
        <v>4673</v>
      </c>
      <c r="X289" s="7" t="s">
        <v>4674</v>
      </c>
      <c r="Y289" s="7" t="s">
        <v>4738</v>
      </c>
      <c r="Z289" s="7">
        <f>IFERROR('IT Cloud DR'!$U$12,"")</f>
        <v>0</v>
      </c>
      <c r="AA289" s="7"/>
      <c r="AB289" s="29"/>
      <c r="AC289" s="7"/>
      <c r="AD289" s="48" t="str">
        <f>IF($B289="Yes",IFERROR(SUMIFS(_TECH_Crisis_Model!$D$5:$D$191,_TECH_Crisis_Model!$A$5:$A$191,'Crisis Simulator'!$B$4,_TECH_Crisis_Model!$B$5:$B$191,$C289),1),"")</f>
        <v/>
      </c>
      <c r="AE289" s="48" t="str">
        <f t="shared" si="48"/>
        <v/>
      </c>
      <c r="AF289" s="48" t="str">
        <f>IFERROR(INDEX(_TECH_Crisis_Model!$E$5:$E$191,MATCH('Crisis Simulator'!$B$4&amp;"|"&amp;$C289,_TECH_Crisis_Model!$I$5:$I$191,0)),"")</f>
        <v>Cloud, infrastructure, backups, RTO and RPO determine system recoverability.</v>
      </c>
      <c r="AG289" s="48" t="str">
        <f>IFERROR(INDEX(_TECH_Crisis_Model!$G$5:$G$191,MATCH('Crisis Simulator'!$B$4&amp;"|"&amp;$C289,_TECH_Crisis_Model!$I$5:$I$191,0)),"")</f>
        <v>Implement tested backups, DR runbooks, failover, cloud landing zones and RTO/RPO monitoring.</v>
      </c>
      <c r="AH289" s="48" t="str">
        <f>IFERROR(INDEX(_TECH_Initiative_Library!$A$5:$A$76,MATCH(1,INDEX((_TECH_Initiative_Library!$B$5:$B$76=$C289)*(_TECH_Initiative_Library!$C$5:$C$76=$D289),0),0)),"")</f>
        <v>INI-049</v>
      </c>
      <c r="AI289" s="48" t="str">
        <f>IFERROR(INDEX(_TECH_Initiative_Library!$F$5:$F$76,MATCH(1,INDEX((_TECH_Initiative_Library!$B$5:$B$76=$C289)*(_TECH_Initiative_Library!$C$5:$C$76=$D289),0),0)),"")</f>
        <v>Optimize cloud usage, landing zones and infrastructure resilience</v>
      </c>
      <c r="AJ289" s="48" t="str">
        <f ca="1">IFERROR(INDEX(_TECH_Initiative_Library!$AC$5:$AC$76,MATCH(1,INDEX((_TECH_Initiative_Library!$B$5:$B$76=$C289)*(_TECH_Initiative_Library!$C$5:$C$76=$D289),0),0)),"")</f>
        <v/>
      </c>
      <c r="AK289" s="48" t="str">
        <f ca="1">IFERROR(INDEX(_TECH_Initiative_Library!$AE$5:$AE$76,MATCH(1,INDEX((_TECH_Initiative_Library!$B$5:$B$76=$C289)*(_TECH_Initiative_Library!$C$5:$C$76=$D289),0),0)),"")</f>
        <v/>
      </c>
      <c r="AL289" s="48" t="str">
        <f>IF($B289="Yes",IFERROR(SUMIFS(_TECH_Industry_Templates!$E:$E,_TECH_Industry_Templates!$A:$A,'Company Profile'!$B$9,_TECH_Industry_Templates!$B:$B,$C289),1),"")</f>
        <v/>
      </c>
      <c r="AM289" s="48" t="str">
        <f t="shared" si="49"/>
        <v/>
      </c>
      <c r="AN289" s="48" t="str">
        <f>IF($AM289="","",RANK.EQ($AM289,$AM$8:$AM$414,0)+COUNTIF($AM$8:$AM289,$AM289)-1)</f>
        <v/>
      </c>
    </row>
    <row r="290" spans="1:40" ht="71.25">
      <c r="A290" s="28" t="str">
        <f>IF($AM290="","",RANK.EQ($AM290,$AM$8:$AM$414,0)+COUNTIF($AM$8:$AM290,$AM290)-1)</f>
        <v/>
      </c>
      <c r="B290" s="7" t="str">
        <f t="shared" si="40"/>
        <v/>
      </c>
      <c r="C290" s="7" t="s">
        <v>90</v>
      </c>
      <c r="D290" s="7" t="s">
        <v>1457</v>
      </c>
      <c r="E290" s="7" t="s">
        <v>4746</v>
      </c>
      <c r="F290" s="7" t="s">
        <v>4747</v>
      </c>
      <c r="G290" s="28" t="str">
        <f>IF(OR(COUNTA('IT Cloud DR'!$H$13)=0,'IT Cloud DR'!$H$13="N/A"),"",VALUE('IT Cloud DR'!$H$13))</f>
        <v/>
      </c>
      <c r="H290" s="7" t="str">
        <f t="shared" si="41"/>
        <v/>
      </c>
      <c r="I290" s="7" t="str">
        <f>IF($G290="","",IFERROR(IF('IT Cloud DR'!$L$13="",IF($G290&lt;=1,"Critical",IF($G290=2,"High",IF($G290=3,"Medium",IF($G290=4,"Low","Optimized")))),'IT Cloud DR'!$L$13),IF($G290&lt;=1,"Critical",IF($G290=2,"High",IF($G290=3,"Medium",IF($G290=4,"Low","Optimized"))))))</f>
        <v/>
      </c>
      <c r="J290" s="7" t="str">
        <f>IF($G290="","",IFERROR(INDEX('Recommendation Matrix'!$E$5:$J$411,MATCH($E290,'Recommendation Matrix'!$A$5:$A$411,0),$G290+1),""))</f>
        <v/>
      </c>
      <c r="K290" s="7" t="str">
        <f>IF($G290="","",IFERROR(VLOOKUP($E290,'Recommendation Matrix'!$A$5:$K$411,11,FALSE),""))</f>
        <v/>
      </c>
      <c r="L290" s="28" t="str">
        <f t="shared" si="42"/>
        <v/>
      </c>
      <c r="M290" s="28" t="str">
        <f>IF($G290="","",IFERROR(INDEX('Recommendation Matrix'!$L$5:$Q$411,MATCH($E290,'Recommendation Matrix'!$A$5:$A$411,0),$G290+1),""))</f>
        <v/>
      </c>
      <c r="N290" s="28" t="str">
        <f t="shared" si="43"/>
        <v/>
      </c>
      <c r="O290" s="28" t="str">
        <f t="shared" si="44"/>
        <v/>
      </c>
      <c r="P290" s="28" t="str">
        <f t="shared" si="45"/>
        <v/>
      </c>
      <c r="Q290" s="28" t="str">
        <f t="shared" si="46"/>
        <v/>
      </c>
      <c r="R290" s="8" t="str">
        <f t="shared" si="47"/>
        <v/>
      </c>
      <c r="S290" s="28">
        <f>IFERROR('IT Cloud DR'!$G$13,"")</f>
        <v>5</v>
      </c>
      <c r="T290" s="28">
        <f>IFERROR('IT Cloud DR'!$W$13,"")</f>
        <v>5</v>
      </c>
      <c r="U290" s="28">
        <f>IFERROR('IT Cloud DR'!$X$13,"")</f>
        <v>5</v>
      </c>
      <c r="V290" s="28">
        <f>IFERROR('IT Cloud DR'!$Y$13,"")</f>
        <v>5</v>
      </c>
      <c r="W290" s="7" t="s">
        <v>4673</v>
      </c>
      <c r="X290" s="7" t="s">
        <v>4674</v>
      </c>
      <c r="Y290" s="7" t="s">
        <v>4748</v>
      </c>
      <c r="Z290" s="7">
        <f>IFERROR('IT Cloud DR'!$U$13,"")</f>
        <v>0</v>
      </c>
      <c r="AA290" s="7"/>
      <c r="AB290" s="29"/>
      <c r="AC290" s="7"/>
      <c r="AD290" s="48" t="str">
        <f>IF($B290="Yes",IFERROR(SUMIFS(_TECH_Crisis_Model!$D$5:$D$191,_TECH_Crisis_Model!$A$5:$A$191,'Crisis Simulator'!$B$4,_TECH_Crisis_Model!$B$5:$B$191,$C290),1),"")</f>
        <v/>
      </c>
      <c r="AE290" s="48" t="str">
        <f t="shared" si="48"/>
        <v/>
      </c>
      <c r="AF290" s="48" t="str">
        <f>IFERROR(INDEX(_TECH_Crisis_Model!$E$5:$E$191,MATCH('Crisis Simulator'!$B$4&amp;"|"&amp;$C290,_TECH_Crisis_Model!$I$5:$I$191,0)),"")</f>
        <v>Cloud, infrastructure, backups, RTO and RPO determine system recoverability.</v>
      </c>
      <c r="AG290" s="48" t="str">
        <f>IFERROR(INDEX(_TECH_Crisis_Model!$G$5:$G$191,MATCH('Crisis Simulator'!$B$4&amp;"|"&amp;$C290,_TECH_Crisis_Model!$I$5:$I$191,0)),"")</f>
        <v>Implement tested backups, DR runbooks, failover, cloud landing zones and RTO/RPO monitoring.</v>
      </c>
      <c r="AH290" s="48" t="str">
        <f>IFERROR(INDEX(_TECH_Initiative_Library!$A$5:$A$76,MATCH(1,INDEX((_TECH_Initiative_Library!$B$5:$B$76=$C290)*(_TECH_Initiative_Library!$C$5:$C$76=$D290),0),0)),"")</f>
        <v>INI-049</v>
      </c>
      <c r="AI290" s="48" t="str">
        <f>IFERROR(INDEX(_TECH_Initiative_Library!$F$5:$F$76,MATCH(1,INDEX((_TECH_Initiative_Library!$B$5:$B$76=$C290)*(_TECH_Initiative_Library!$C$5:$C$76=$D290),0),0)),"")</f>
        <v>Optimize cloud usage, landing zones and infrastructure resilience</v>
      </c>
      <c r="AJ290" s="48" t="str">
        <f ca="1">IFERROR(INDEX(_TECH_Initiative_Library!$AC$5:$AC$76,MATCH(1,INDEX((_TECH_Initiative_Library!$B$5:$B$76=$C290)*(_TECH_Initiative_Library!$C$5:$C$76=$D290),0),0)),"")</f>
        <v/>
      </c>
      <c r="AK290" s="48" t="str">
        <f ca="1">IFERROR(INDEX(_TECH_Initiative_Library!$AE$5:$AE$76,MATCH(1,INDEX((_TECH_Initiative_Library!$B$5:$B$76=$C290)*(_TECH_Initiative_Library!$C$5:$C$76=$D290),0),0)),"")</f>
        <v/>
      </c>
      <c r="AL290" s="48" t="str">
        <f>IF($B290="Yes",IFERROR(SUMIFS(_TECH_Industry_Templates!$E:$E,_TECH_Industry_Templates!$A:$A,'Company Profile'!$B$9,_TECH_Industry_Templates!$B:$B,$C290),1),"")</f>
        <v/>
      </c>
      <c r="AM290" s="48" t="str">
        <f t="shared" si="49"/>
        <v/>
      </c>
      <c r="AN290" s="48" t="str">
        <f>IF($AM290="","",RANK.EQ($AM290,$AM$8:$AM$414,0)+COUNTIF($AM$8:$AM290,$AM290)-1)</f>
        <v/>
      </c>
    </row>
    <row r="291" spans="1:40" ht="71.25">
      <c r="A291" s="28" t="str">
        <f>IF($AM291="","",RANK.EQ($AM291,$AM$8:$AM$414,0)+COUNTIF($AM$8:$AM291,$AM291)-1)</f>
        <v/>
      </c>
      <c r="B291" s="7" t="str">
        <f t="shared" si="40"/>
        <v/>
      </c>
      <c r="C291" s="7" t="s">
        <v>90</v>
      </c>
      <c r="D291" s="7" t="s">
        <v>1457</v>
      </c>
      <c r="E291" s="7" t="s">
        <v>4756</v>
      </c>
      <c r="F291" s="7" t="s">
        <v>4757</v>
      </c>
      <c r="G291" s="28" t="str">
        <f>IF(OR(COUNTA('IT Cloud DR'!$H$14)=0,'IT Cloud DR'!$H$14="N/A"),"",VALUE('IT Cloud DR'!$H$14))</f>
        <v/>
      </c>
      <c r="H291" s="7" t="str">
        <f t="shared" si="41"/>
        <v/>
      </c>
      <c r="I291" s="7" t="str">
        <f>IF($G291="","",IFERROR(IF('IT Cloud DR'!$L$14="",IF($G291&lt;=1,"Critical",IF($G291=2,"High",IF($G291=3,"Medium",IF($G291=4,"Low","Optimized")))),'IT Cloud DR'!$L$14),IF($G291&lt;=1,"Critical",IF($G291=2,"High",IF($G291=3,"Medium",IF($G291=4,"Low","Optimized"))))))</f>
        <v/>
      </c>
      <c r="J291" s="7" t="str">
        <f>IF($G291="","",IFERROR(INDEX('Recommendation Matrix'!$E$5:$J$411,MATCH($E291,'Recommendation Matrix'!$A$5:$A$411,0),$G291+1),""))</f>
        <v/>
      </c>
      <c r="K291" s="7" t="str">
        <f>IF($G291="","",IFERROR(VLOOKUP($E291,'Recommendation Matrix'!$A$5:$K$411,11,FALSE),""))</f>
        <v/>
      </c>
      <c r="L291" s="28" t="str">
        <f t="shared" si="42"/>
        <v/>
      </c>
      <c r="M291" s="28" t="str">
        <f>IF($G291="","",IFERROR(INDEX('Recommendation Matrix'!$L$5:$Q$411,MATCH($E291,'Recommendation Matrix'!$A$5:$A$411,0),$G291+1),""))</f>
        <v/>
      </c>
      <c r="N291" s="28" t="str">
        <f t="shared" si="43"/>
        <v/>
      </c>
      <c r="O291" s="28" t="str">
        <f t="shared" si="44"/>
        <v/>
      </c>
      <c r="P291" s="28" t="str">
        <f t="shared" si="45"/>
        <v/>
      </c>
      <c r="Q291" s="28" t="str">
        <f t="shared" si="46"/>
        <v/>
      </c>
      <c r="R291" s="8" t="str">
        <f t="shared" si="47"/>
        <v/>
      </c>
      <c r="S291" s="28">
        <f>IFERROR('IT Cloud DR'!$G$14,"")</f>
        <v>5</v>
      </c>
      <c r="T291" s="28">
        <f>IFERROR('IT Cloud DR'!$W$14,"")</f>
        <v>5</v>
      </c>
      <c r="U291" s="28">
        <f>IFERROR('IT Cloud DR'!$X$14,"")</f>
        <v>5</v>
      </c>
      <c r="V291" s="28">
        <f>IFERROR('IT Cloud DR'!$Y$14,"")</f>
        <v>5</v>
      </c>
      <c r="W291" s="7" t="s">
        <v>4673</v>
      </c>
      <c r="X291" s="7" t="s">
        <v>4674</v>
      </c>
      <c r="Y291" s="7" t="s">
        <v>4758</v>
      </c>
      <c r="Z291" s="7">
        <f>IFERROR('IT Cloud DR'!$U$14,"")</f>
        <v>0</v>
      </c>
      <c r="AA291" s="7"/>
      <c r="AB291" s="29"/>
      <c r="AC291" s="7"/>
      <c r="AD291" s="48" t="str">
        <f>IF($B291="Yes",IFERROR(SUMIFS(_TECH_Crisis_Model!$D$5:$D$191,_TECH_Crisis_Model!$A$5:$A$191,'Crisis Simulator'!$B$4,_TECH_Crisis_Model!$B$5:$B$191,$C291),1),"")</f>
        <v/>
      </c>
      <c r="AE291" s="48" t="str">
        <f t="shared" si="48"/>
        <v/>
      </c>
      <c r="AF291" s="48" t="str">
        <f>IFERROR(INDEX(_TECH_Crisis_Model!$E$5:$E$191,MATCH('Crisis Simulator'!$B$4&amp;"|"&amp;$C291,_TECH_Crisis_Model!$I$5:$I$191,0)),"")</f>
        <v>Cloud, infrastructure, backups, RTO and RPO determine system recoverability.</v>
      </c>
      <c r="AG291" s="48" t="str">
        <f>IFERROR(INDEX(_TECH_Crisis_Model!$G$5:$G$191,MATCH('Crisis Simulator'!$B$4&amp;"|"&amp;$C291,_TECH_Crisis_Model!$I$5:$I$191,0)),"")</f>
        <v>Implement tested backups, DR runbooks, failover, cloud landing zones and RTO/RPO monitoring.</v>
      </c>
      <c r="AH291" s="48" t="str">
        <f>IFERROR(INDEX(_TECH_Initiative_Library!$A$5:$A$76,MATCH(1,INDEX((_TECH_Initiative_Library!$B$5:$B$76=$C291)*(_TECH_Initiative_Library!$C$5:$C$76=$D291),0),0)),"")</f>
        <v>INI-049</v>
      </c>
      <c r="AI291" s="48" t="str">
        <f>IFERROR(INDEX(_TECH_Initiative_Library!$F$5:$F$76,MATCH(1,INDEX((_TECH_Initiative_Library!$B$5:$B$76=$C291)*(_TECH_Initiative_Library!$C$5:$C$76=$D291),0),0)),"")</f>
        <v>Optimize cloud usage, landing zones and infrastructure resilience</v>
      </c>
      <c r="AJ291" s="48" t="str">
        <f ca="1">IFERROR(INDEX(_TECH_Initiative_Library!$AC$5:$AC$76,MATCH(1,INDEX((_TECH_Initiative_Library!$B$5:$B$76=$C291)*(_TECH_Initiative_Library!$C$5:$C$76=$D291),0),0)),"")</f>
        <v/>
      </c>
      <c r="AK291" s="48" t="str">
        <f ca="1">IFERROR(INDEX(_TECH_Initiative_Library!$AE$5:$AE$76,MATCH(1,INDEX((_TECH_Initiative_Library!$B$5:$B$76=$C291)*(_TECH_Initiative_Library!$C$5:$C$76=$D291),0),0)),"")</f>
        <v/>
      </c>
      <c r="AL291" s="48" t="str">
        <f>IF($B291="Yes",IFERROR(SUMIFS(_TECH_Industry_Templates!$E:$E,_TECH_Industry_Templates!$A:$A,'Company Profile'!$B$9,_TECH_Industry_Templates!$B:$B,$C291),1),"")</f>
        <v/>
      </c>
      <c r="AM291" s="48" t="str">
        <f t="shared" si="49"/>
        <v/>
      </c>
      <c r="AN291" s="48" t="str">
        <f>IF($AM291="","",RANK.EQ($AM291,$AM$8:$AM$414,0)+COUNTIF($AM$8:$AM291,$AM291)-1)</f>
        <v/>
      </c>
    </row>
    <row r="292" spans="1:40" ht="85.5">
      <c r="A292" s="28" t="str">
        <f>IF($AM292="","",RANK.EQ($AM292,$AM$8:$AM$414,0)+COUNTIF($AM$8:$AM292,$AM292)-1)</f>
        <v/>
      </c>
      <c r="B292" s="7" t="str">
        <f t="shared" si="40"/>
        <v/>
      </c>
      <c r="C292" s="7" t="s">
        <v>90</v>
      </c>
      <c r="D292" s="7" t="s">
        <v>1457</v>
      </c>
      <c r="E292" s="7" t="s">
        <v>4766</v>
      </c>
      <c r="F292" s="7" t="s">
        <v>4767</v>
      </c>
      <c r="G292" s="28" t="str">
        <f>IF(OR(COUNTA('IT Cloud DR'!$H$15)=0,'IT Cloud DR'!$H$15="N/A"),"",VALUE('IT Cloud DR'!$H$15))</f>
        <v/>
      </c>
      <c r="H292" s="7" t="str">
        <f t="shared" si="41"/>
        <v/>
      </c>
      <c r="I292" s="7" t="str">
        <f>IF($G292="","",IFERROR(IF('IT Cloud DR'!$L$15="",IF($G292&lt;=1,"Critical",IF($G292=2,"High",IF($G292=3,"Medium",IF($G292=4,"Low","Optimized")))),'IT Cloud DR'!$L$15),IF($G292&lt;=1,"Critical",IF($G292=2,"High",IF($G292=3,"Medium",IF($G292=4,"Low","Optimized"))))))</f>
        <v/>
      </c>
      <c r="J292" s="7" t="str">
        <f>IF($G292="","",IFERROR(INDEX('Recommendation Matrix'!$E$5:$J$411,MATCH($E292,'Recommendation Matrix'!$A$5:$A$411,0),$G292+1),""))</f>
        <v/>
      </c>
      <c r="K292" s="7" t="str">
        <f>IF($G292="","",IFERROR(VLOOKUP($E292,'Recommendation Matrix'!$A$5:$K$411,11,FALSE),""))</f>
        <v/>
      </c>
      <c r="L292" s="28" t="str">
        <f t="shared" si="42"/>
        <v/>
      </c>
      <c r="M292" s="28" t="str">
        <f>IF($G292="","",IFERROR(INDEX('Recommendation Matrix'!$L$5:$Q$411,MATCH($E292,'Recommendation Matrix'!$A$5:$A$411,0),$G292+1),""))</f>
        <v/>
      </c>
      <c r="N292" s="28" t="str">
        <f t="shared" si="43"/>
        <v/>
      </c>
      <c r="O292" s="28" t="str">
        <f t="shared" si="44"/>
        <v/>
      </c>
      <c r="P292" s="28" t="str">
        <f t="shared" si="45"/>
        <v/>
      </c>
      <c r="Q292" s="28" t="str">
        <f t="shared" si="46"/>
        <v/>
      </c>
      <c r="R292" s="8" t="str">
        <f t="shared" si="47"/>
        <v/>
      </c>
      <c r="S292" s="28">
        <f>IFERROR('IT Cloud DR'!$G$15,"")</f>
        <v>5</v>
      </c>
      <c r="T292" s="28">
        <f>IFERROR('IT Cloud DR'!$W$15,"")</f>
        <v>5</v>
      </c>
      <c r="U292" s="28">
        <f>IFERROR('IT Cloud DR'!$X$15,"")</f>
        <v>5</v>
      </c>
      <c r="V292" s="28">
        <f>IFERROR('IT Cloud DR'!$Y$15,"")</f>
        <v>5</v>
      </c>
      <c r="W292" s="7" t="s">
        <v>4673</v>
      </c>
      <c r="X292" s="7" t="s">
        <v>4674</v>
      </c>
      <c r="Y292" s="7" t="s">
        <v>4768</v>
      </c>
      <c r="Z292" s="7">
        <f>IFERROR('IT Cloud DR'!$U$15,"")</f>
        <v>0</v>
      </c>
      <c r="AA292" s="7"/>
      <c r="AB292" s="29"/>
      <c r="AC292" s="7"/>
      <c r="AD292" s="48" t="str">
        <f>IF($B292="Yes",IFERROR(SUMIFS(_TECH_Crisis_Model!$D$5:$D$191,_TECH_Crisis_Model!$A$5:$A$191,'Crisis Simulator'!$B$4,_TECH_Crisis_Model!$B$5:$B$191,$C292),1),"")</f>
        <v/>
      </c>
      <c r="AE292" s="48" t="str">
        <f t="shared" si="48"/>
        <v/>
      </c>
      <c r="AF292" s="48" t="str">
        <f>IFERROR(INDEX(_TECH_Crisis_Model!$E$5:$E$191,MATCH('Crisis Simulator'!$B$4&amp;"|"&amp;$C292,_TECH_Crisis_Model!$I$5:$I$191,0)),"")</f>
        <v>Cloud, infrastructure, backups, RTO and RPO determine system recoverability.</v>
      </c>
      <c r="AG292" s="48" t="str">
        <f>IFERROR(INDEX(_TECH_Crisis_Model!$G$5:$G$191,MATCH('Crisis Simulator'!$B$4&amp;"|"&amp;$C292,_TECH_Crisis_Model!$I$5:$I$191,0)),"")</f>
        <v>Implement tested backups, DR runbooks, failover, cloud landing zones and RTO/RPO monitoring.</v>
      </c>
      <c r="AH292" s="48" t="str">
        <f>IFERROR(INDEX(_TECH_Initiative_Library!$A$5:$A$76,MATCH(1,INDEX((_TECH_Initiative_Library!$B$5:$B$76=$C292)*(_TECH_Initiative_Library!$C$5:$C$76=$D292),0),0)),"")</f>
        <v>INI-049</v>
      </c>
      <c r="AI292" s="48" t="str">
        <f>IFERROR(INDEX(_TECH_Initiative_Library!$F$5:$F$76,MATCH(1,INDEX((_TECH_Initiative_Library!$B$5:$B$76=$C292)*(_TECH_Initiative_Library!$C$5:$C$76=$D292),0),0)),"")</f>
        <v>Optimize cloud usage, landing zones and infrastructure resilience</v>
      </c>
      <c r="AJ292" s="48" t="str">
        <f ca="1">IFERROR(INDEX(_TECH_Initiative_Library!$AC$5:$AC$76,MATCH(1,INDEX((_TECH_Initiative_Library!$B$5:$B$76=$C292)*(_TECH_Initiative_Library!$C$5:$C$76=$D292),0),0)),"")</f>
        <v/>
      </c>
      <c r="AK292" s="48" t="str">
        <f ca="1">IFERROR(INDEX(_TECH_Initiative_Library!$AE$5:$AE$76,MATCH(1,INDEX((_TECH_Initiative_Library!$B$5:$B$76=$C292)*(_TECH_Initiative_Library!$C$5:$C$76=$D292),0),0)),"")</f>
        <v/>
      </c>
      <c r="AL292" s="48" t="str">
        <f>IF($B292="Yes",IFERROR(SUMIFS(_TECH_Industry_Templates!$E:$E,_TECH_Industry_Templates!$A:$A,'Company Profile'!$B$9,_TECH_Industry_Templates!$B:$B,$C292),1),"")</f>
        <v/>
      </c>
      <c r="AM292" s="48" t="str">
        <f t="shared" si="49"/>
        <v/>
      </c>
      <c r="AN292" s="48" t="str">
        <f>IF($AM292="","",RANK.EQ($AM292,$AM$8:$AM$414,0)+COUNTIF($AM$8:$AM292,$AM292)-1)</f>
        <v/>
      </c>
    </row>
    <row r="293" spans="1:40" ht="71.25">
      <c r="A293" s="28" t="str">
        <f>IF($AM293="","",RANK.EQ($AM293,$AM$8:$AM$414,0)+COUNTIF($AM$8:$AM293,$AM293)-1)</f>
        <v/>
      </c>
      <c r="B293" s="7" t="str">
        <f t="shared" si="40"/>
        <v/>
      </c>
      <c r="C293" s="7" t="s">
        <v>90</v>
      </c>
      <c r="D293" s="7" t="s">
        <v>1457</v>
      </c>
      <c r="E293" s="7" t="s">
        <v>4776</v>
      </c>
      <c r="F293" s="7" t="s">
        <v>4777</v>
      </c>
      <c r="G293" s="28" t="str">
        <f>IF(OR(COUNTA('IT Cloud DR'!$H$16)=0,'IT Cloud DR'!$H$16="N/A"),"",VALUE('IT Cloud DR'!$H$16))</f>
        <v/>
      </c>
      <c r="H293" s="7" t="str">
        <f t="shared" si="41"/>
        <v/>
      </c>
      <c r="I293" s="7" t="str">
        <f>IF($G293="","",IFERROR(IF('IT Cloud DR'!$L$16="",IF($G293&lt;=1,"Critical",IF($G293=2,"High",IF($G293=3,"Medium",IF($G293=4,"Low","Optimized")))),'IT Cloud DR'!$L$16),IF($G293&lt;=1,"Critical",IF($G293=2,"High",IF($G293=3,"Medium",IF($G293=4,"Low","Optimized"))))))</f>
        <v/>
      </c>
      <c r="J293" s="7" t="str">
        <f>IF($G293="","",IFERROR(INDEX('Recommendation Matrix'!$E$5:$J$411,MATCH($E293,'Recommendation Matrix'!$A$5:$A$411,0),$G293+1),""))</f>
        <v/>
      </c>
      <c r="K293" s="7" t="str">
        <f>IF($G293="","",IFERROR(VLOOKUP($E293,'Recommendation Matrix'!$A$5:$K$411,11,FALSE),""))</f>
        <v/>
      </c>
      <c r="L293" s="28" t="str">
        <f t="shared" si="42"/>
        <v/>
      </c>
      <c r="M293" s="28" t="str">
        <f>IF($G293="","",IFERROR(INDEX('Recommendation Matrix'!$L$5:$Q$411,MATCH($E293,'Recommendation Matrix'!$A$5:$A$411,0),$G293+1),""))</f>
        <v/>
      </c>
      <c r="N293" s="28" t="str">
        <f t="shared" si="43"/>
        <v/>
      </c>
      <c r="O293" s="28" t="str">
        <f t="shared" si="44"/>
        <v/>
      </c>
      <c r="P293" s="28" t="str">
        <f t="shared" si="45"/>
        <v/>
      </c>
      <c r="Q293" s="28" t="str">
        <f t="shared" si="46"/>
        <v/>
      </c>
      <c r="R293" s="8" t="str">
        <f t="shared" si="47"/>
        <v/>
      </c>
      <c r="S293" s="28">
        <f>IFERROR('IT Cloud DR'!$G$16,"")</f>
        <v>5</v>
      </c>
      <c r="T293" s="28">
        <f>IFERROR('IT Cloud DR'!$W$16,"")</f>
        <v>5</v>
      </c>
      <c r="U293" s="28">
        <f>IFERROR('IT Cloud DR'!$X$16,"")</f>
        <v>5</v>
      </c>
      <c r="V293" s="28">
        <f>IFERROR('IT Cloud DR'!$Y$16,"")</f>
        <v>5</v>
      </c>
      <c r="W293" s="7" t="s">
        <v>4673</v>
      </c>
      <c r="X293" s="7" t="s">
        <v>4674</v>
      </c>
      <c r="Y293" s="7" t="s">
        <v>4778</v>
      </c>
      <c r="Z293" s="7">
        <f>IFERROR('IT Cloud DR'!$U$16,"")</f>
        <v>0</v>
      </c>
      <c r="AA293" s="7"/>
      <c r="AB293" s="29"/>
      <c r="AC293" s="7"/>
      <c r="AD293" s="48" t="str">
        <f>IF($B293="Yes",IFERROR(SUMIFS(_TECH_Crisis_Model!$D$5:$D$191,_TECH_Crisis_Model!$A$5:$A$191,'Crisis Simulator'!$B$4,_TECH_Crisis_Model!$B$5:$B$191,$C293),1),"")</f>
        <v/>
      </c>
      <c r="AE293" s="48" t="str">
        <f t="shared" si="48"/>
        <v/>
      </c>
      <c r="AF293" s="48" t="str">
        <f>IFERROR(INDEX(_TECH_Crisis_Model!$E$5:$E$191,MATCH('Crisis Simulator'!$B$4&amp;"|"&amp;$C293,_TECH_Crisis_Model!$I$5:$I$191,0)),"")</f>
        <v>Cloud, infrastructure, backups, RTO and RPO determine system recoverability.</v>
      </c>
      <c r="AG293" s="48" t="str">
        <f>IFERROR(INDEX(_TECH_Crisis_Model!$G$5:$G$191,MATCH('Crisis Simulator'!$B$4&amp;"|"&amp;$C293,_TECH_Crisis_Model!$I$5:$I$191,0)),"")</f>
        <v>Implement tested backups, DR runbooks, failover, cloud landing zones and RTO/RPO monitoring.</v>
      </c>
      <c r="AH293" s="48" t="str">
        <f>IFERROR(INDEX(_TECH_Initiative_Library!$A$5:$A$76,MATCH(1,INDEX((_TECH_Initiative_Library!$B$5:$B$76=$C293)*(_TECH_Initiative_Library!$C$5:$C$76=$D293),0),0)),"")</f>
        <v>INI-049</v>
      </c>
      <c r="AI293" s="48" t="str">
        <f>IFERROR(INDEX(_TECH_Initiative_Library!$F$5:$F$76,MATCH(1,INDEX((_TECH_Initiative_Library!$B$5:$B$76=$C293)*(_TECH_Initiative_Library!$C$5:$C$76=$D293),0),0)),"")</f>
        <v>Optimize cloud usage, landing zones and infrastructure resilience</v>
      </c>
      <c r="AJ293" s="48" t="str">
        <f ca="1">IFERROR(INDEX(_TECH_Initiative_Library!$AC$5:$AC$76,MATCH(1,INDEX((_TECH_Initiative_Library!$B$5:$B$76=$C293)*(_TECH_Initiative_Library!$C$5:$C$76=$D293),0),0)),"")</f>
        <v/>
      </c>
      <c r="AK293" s="48" t="str">
        <f ca="1">IFERROR(INDEX(_TECH_Initiative_Library!$AE$5:$AE$76,MATCH(1,INDEX((_TECH_Initiative_Library!$B$5:$B$76=$C293)*(_TECH_Initiative_Library!$C$5:$C$76=$D293),0),0)),"")</f>
        <v/>
      </c>
      <c r="AL293" s="48" t="str">
        <f>IF($B293="Yes",IFERROR(SUMIFS(_TECH_Industry_Templates!$E:$E,_TECH_Industry_Templates!$A:$A,'Company Profile'!$B$9,_TECH_Industry_Templates!$B:$B,$C293),1),"")</f>
        <v/>
      </c>
      <c r="AM293" s="48" t="str">
        <f t="shared" si="49"/>
        <v/>
      </c>
      <c r="AN293" s="48" t="str">
        <f>IF($AM293="","",RANK.EQ($AM293,$AM$8:$AM$414,0)+COUNTIF($AM$8:$AM293,$AM293)-1)</f>
        <v/>
      </c>
    </row>
    <row r="294" spans="1:40" ht="71.25">
      <c r="A294" s="28" t="str">
        <f>IF($AM294="","",RANK.EQ($AM294,$AM$8:$AM$414,0)+COUNTIF($AM$8:$AM294,$AM294)-1)</f>
        <v/>
      </c>
      <c r="B294" s="7" t="str">
        <f t="shared" si="40"/>
        <v/>
      </c>
      <c r="C294" s="7" t="s">
        <v>90</v>
      </c>
      <c r="D294" s="7" t="s">
        <v>1465</v>
      </c>
      <c r="E294" s="7" t="s">
        <v>4786</v>
      </c>
      <c r="F294" s="7" t="s">
        <v>4787</v>
      </c>
      <c r="G294" s="28" t="str">
        <f>IF(OR(COUNTA('IT Cloud DR'!$H$17)=0,'IT Cloud DR'!$H$17="N/A"),"",VALUE('IT Cloud DR'!$H$17))</f>
        <v/>
      </c>
      <c r="H294" s="7" t="str">
        <f t="shared" si="41"/>
        <v/>
      </c>
      <c r="I294" s="7" t="str">
        <f>IF($G294="","",IFERROR(IF('IT Cloud DR'!$L$17="",IF($G294&lt;=1,"Critical",IF($G294=2,"High",IF($G294=3,"Medium",IF($G294=4,"Low","Optimized")))),'IT Cloud DR'!$L$17),IF($G294&lt;=1,"Critical",IF($G294=2,"High",IF($G294=3,"Medium",IF($G294=4,"Low","Optimized"))))))</f>
        <v/>
      </c>
      <c r="J294" s="7" t="str">
        <f>IF($G294="","",IFERROR(INDEX('Recommendation Matrix'!$E$5:$J$411,MATCH($E294,'Recommendation Matrix'!$A$5:$A$411,0),$G294+1),""))</f>
        <v/>
      </c>
      <c r="K294" s="7" t="str">
        <f>IF($G294="","",IFERROR(VLOOKUP($E294,'Recommendation Matrix'!$A$5:$K$411,11,FALSE),""))</f>
        <v/>
      </c>
      <c r="L294" s="28" t="str">
        <f t="shared" si="42"/>
        <v/>
      </c>
      <c r="M294" s="28" t="str">
        <f>IF($G294="","",IFERROR(INDEX('Recommendation Matrix'!$L$5:$Q$411,MATCH($E294,'Recommendation Matrix'!$A$5:$A$411,0),$G294+1),""))</f>
        <v/>
      </c>
      <c r="N294" s="28" t="str">
        <f t="shared" si="43"/>
        <v/>
      </c>
      <c r="O294" s="28" t="str">
        <f t="shared" si="44"/>
        <v/>
      </c>
      <c r="P294" s="28" t="str">
        <f t="shared" si="45"/>
        <v/>
      </c>
      <c r="Q294" s="28" t="str">
        <f t="shared" si="46"/>
        <v/>
      </c>
      <c r="R294" s="8" t="str">
        <f t="shared" si="47"/>
        <v/>
      </c>
      <c r="S294" s="28">
        <f>IFERROR('IT Cloud DR'!$G$17,"")</f>
        <v>5</v>
      </c>
      <c r="T294" s="28">
        <f>IFERROR('IT Cloud DR'!$W$17,"")</f>
        <v>5</v>
      </c>
      <c r="U294" s="28">
        <f>IFERROR('IT Cloud DR'!$X$17,"")</f>
        <v>5</v>
      </c>
      <c r="V294" s="28">
        <f>IFERROR('IT Cloud DR'!$Y$17,"")</f>
        <v>5</v>
      </c>
      <c r="W294" s="7" t="s">
        <v>4673</v>
      </c>
      <c r="X294" s="7" t="s">
        <v>4674</v>
      </c>
      <c r="Y294" s="7" t="s">
        <v>4788</v>
      </c>
      <c r="Z294" s="7">
        <f>IFERROR('IT Cloud DR'!$U$17,"")</f>
        <v>0</v>
      </c>
      <c r="AA294" s="7"/>
      <c r="AB294" s="29"/>
      <c r="AC294" s="7"/>
      <c r="AD294" s="48" t="str">
        <f>IF($B294="Yes",IFERROR(SUMIFS(_TECH_Crisis_Model!$D$5:$D$191,_TECH_Crisis_Model!$A$5:$A$191,'Crisis Simulator'!$B$4,_TECH_Crisis_Model!$B$5:$B$191,$C294),1),"")</f>
        <v/>
      </c>
      <c r="AE294" s="48" t="str">
        <f t="shared" si="48"/>
        <v/>
      </c>
      <c r="AF294" s="48" t="str">
        <f>IFERROR(INDEX(_TECH_Crisis_Model!$E$5:$E$191,MATCH('Crisis Simulator'!$B$4&amp;"|"&amp;$C294,_TECH_Crisis_Model!$I$5:$I$191,0)),"")</f>
        <v>Cloud, infrastructure, backups, RTO and RPO determine system recoverability.</v>
      </c>
      <c r="AG294" s="48" t="str">
        <f>IFERROR(INDEX(_TECH_Crisis_Model!$G$5:$G$191,MATCH('Crisis Simulator'!$B$4&amp;"|"&amp;$C294,_TECH_Crisis_Model!$I$5:$I$191,0)),"")</f>
        <v>Implement tested backups, DR runbooks, failover, cloud landing zones and RTO/RPO monitoring.</v>
      </c>
      <c r="AH294" s="48" t="str">
        <f>IFERROR(INDEX(_TECH_Initiative_Library!$A$5:$A$76,MATCH(1,INDEX((_TECH_Initiative_Library!$B$5:$B$76=$C294)*(_TECH_Initiative_Library!$C$5:$C$76=$D294),0),0)),"")</f>
        <v>INI-050</v>
      </c>
      <c r="AI294" s="48" t="str">
        <f>IFERROR(INDEX(_TECH_Initiative_Library!$F$5:$F$76,MATCH(1,INDEX((_TECH_Initiative_Library!$B$5:$B$76=$C294)*(_TECH_Initiative_Library!$C$5:$C$76=$D294),0),0)),"")</f>
        <v>Implement disaster recovery, backup testing and RTO/RPO controls</v>
      </c>
      <c r="AJ294" s="48" t="str">
        <f ca="1">IFERROR(INDEX(_TECH_Initiative_Library!$AC$5:$AC$76,MATCH(1,INDEX((_TECH_Initiative_Library!$B$5:$B$76=$C294)*(_TECH_Initiative_Library!$C$5:$C$76=$D294),0),0)),"")</f>
        <v/>
      </c>
      <c r="AK294" s="48" t="str">
        <f ca="1">IFERROR(INDEX(_TECH_Initiative_Library!$AE$5:$AE$76,MATCH(1,INDEX((_TECH_Initiative_Library!$B$5:$B$76=$C294)*(_TECH_Initiative_Library!$C$5:$C$76=$D294),0),0)),"")</f>
        <v/>
      </c>
      <c r="AL294" s="48" t="str">
        <f>IF($B294="Yes",IFERROR(SUMIFS(_TECH_Industry_Templates!$E:$E,_TECH_Industry_Templates!$A:$A,'Company Profile'!$B$9,_TECH_Industry_Templates!$B:$B,$C294),1),"")</f>
        <v/>
      </c>
      <c r="AM294" s="48" t="str">
        <f t="shared" si="49"/>
        <v/>
      </c>
      <c r="AN294" s="48" t="str">
        <f>IF($AM294="","",RANK.EQ($AM294,$AM$8:$AM$414,0)+COUNTIF($AM$8:$AM294,$AM294)-1)</f>
        <v/>
      </c>
    </row>
    <row r="295" spans="1:40" ht="57">
      <c r="A295" s="28" t="str">
        <f>IF($AM295="","",RANK.EQ($AM295,$AM$8:$AM$414,0)+COUNTIF($AM$8:$AM295,$AM295)-1)</f>
        <v/>
      </c>
      <c r="B295" s="7" t="str">
        <f t="shared" si="40"/>
        <v/>
      </c>
      <c r="C295" s="7" t="s">
        <v>90</v>
      </c>
      <c r="D295" s="7" t="s">
        <v>1465</v>
      </c>
      <c r="E295" s="7" t="s">
        <v>4796</v>
      </c>
      <c r="F295" s="7" t="s">
        <v>4797</v>
      </c>
      <c r="G295" s="28" t="str">
        <f>IF(OR(COUNTA('IT Cloud DR'!$H$18)=0,'IT Cloud DR'!$H$18="N/A"),"",VALUE('IT Cloud DR'!$H$18))</f>
        <v/>
      </c>
      <c r="H295" s="7" t="str">
        <f t="shared" si="41"/>
        <v/>
      </c>
      <c r="I295" s="7" t="str">
        <f>IF($G295="","",IFERROR(IF('IT Cloud DR'!$L$18="",IF($G295&lt;=1,"Critical",IF($G295=2,"High",IF($G295=3,"Medium",IF($G295=4,"Low","Optimized")))),'IT Cloud DR'!$L$18),IF($G295&lt;=1,"Critical",IF($G295=2,"High",IF($G295=3,"Medium",IF($G295=4,"Low","Optimized"))))))</f>
        <v/>
      </c>
      <c r="J295" s="7" t="str">
        <f>IF($G295="","",IFERROR(INDEX('Recommendation Matrix'!$E$5:$J$411,MATCH($E295,'Recommendation Matrix'!$A$5:$A$411,0),$G295+1),""))</f>
        <v/>
      </c>
      <c r="K295" s="7" t="str">
        <f>IF($G295="","",IFERROR(VLOOKUP($E295,'Recommendation Matrix'!$A$5:$K$411,11,FALSE),""))</f>
        <v/>
      </c>
      <c r="L295" s="28" t="str">
        <f t="shared" si="42"/>
        <v/>
      </c>
      <c r="M295" s="28" t="str">
        <f>IF($G295="","",IFERROR(INDEX('Recommendation Matrix'!$L$5:$Q$411,MATCH($E295,'Recommendation Matrix'!$A$5:$A$411,0),$G295+1),""))</f>
        <v/>
      </c>
      <c r="N295" s="28" t="str">
        <f t="shared" si="43"/>
        <v/>
      </c>
      <c r="O295" s="28" t="str">
        <f t="shared" si="44"/>
        <v/>
      </c>
      <c r="P295" s="28" t="str">
        <f t="shared" si="45"/>
        <v/>
      </c>
      <c r="Q295" s="28" t="str">
        <f t="shared" si="46"/>
        <v/>
      </c>
      <c r="R295" s="8" t="str">
        <f t="shared" si="47"/>
        <v/>
      </c>
      <c r="S295" s="28">
        <f>IFERROR('IT Cloud DR'!$G$18,"")</f>
        <v>5</v>
      </c>
      <c r="T295" s="28">
        <f>IFERROR('IT Cloud DR'!$W$18,"")</f>
        <v>5</v>
      </c>
      <c r="U295" s="28">
        <f>IFERROR('IT Cloud DR'!$X$18,"")</f>
        <v>5</v>
      </c>
      <c r="V295" s="28">
        <f>IFERROR('IT Cloud DR'!$Y$18,"")</f>
        <v>5</v>
      </c>
      <c r="W295" s="7" t="s">
        <v>4673</v>
      </c>
      <c r="X295" s="7" t="s">
        <v>4674</v>
      </c>
      <c r="Y295" s="7" t="s">
        <v>4798</v>
      </c>
      <c r="Z295" s="7">
        <f>IFERROR('IT Cloud DR'!$U$18,"")</f>
        <v>0</v>
      </c>
      <c r="AA295" s="7"/>
      <c r="AB295" s="29"/>
      <c r="AC295" s="7"/>
      <c r="AD295" s="48" t="str">
        <f>IF($B295="Yes",IFERROR(SUMIFS(_TECH_Crisis_Model!$D$5:$D$191,_TECH_Crisis_Model!$A$5:$A$191,'Crisis Simulator'!$B$4,_TECH_Crisis_Model!$B$5:$B$191,$C295),1),"")</f>
        <v/>
      </c>
      <c r="AE295" s="48" t="str">
        <f t="shared" si="48"/>
        <v/>
      </c>
      <c r="AF295" s="48" t="str">
        <f>IFERROR(INDEX(_TECH_Crisis_Model!$E$5:$E$191,MATCH('Crisis Simulator'!$B$4&amp;"|"&amp;$C295,_TECH_Crisis_Model!$I$5:$I$191,0)),"")</f>
        <v>Cloud, infrastructure, backups, RTO and RPO determine system recoverability.</v>
      </c>
      <c r="AG295" s="48" t="str">
        <f>IFERROR(INDEX(_TECH_Crisis_Model!$G$5:$G$191,MATCH('Crisis Simulator'!$B$4&amp;"|"&amp;$C295,_TECH_Crisis_Model!$I$5:$I$191,0)),"")</f>
        <v>Implement tested backups, DR runbooks, failover, cloud landing zones and RTO/RPO monitoring.</v>
      </c>
      <c r="AH295" s="48" t="str">
        <f>IFERROR(INDEX(_TECH_Initiative_Library!$A$5:$A$76,MATCH(1,INDEX((_TECH_Initiative_Library!$B$5:$B$76=$C295)*(_TECH_Initiative_Library!$C$5:$C$76=$D295),0),0)),"")</f>
        <v>INI-050</v>
      </c>
      <c r="AI295" s="48" t="str">
        <f>IFERROR(INDEX(_TECH_Initiative_Library!$F$5:$F$76,MATCH(1,INDEX((_TECH_Initiative_Library!$B$5:$B$76=$C295)*(_TECH_Initiative_Library!$C$5:$C$76=$D295),0),0)),"")</f>
        <v>Implement disaster recovery, backup testing and RTO/RPO controls</v>
      </c>
      <c r="AJ295" s="48" t="str">
        <f ca="1">IFERROR(INDEX(_TECH_Initiative_Library!$AC$5:$AC$76,MATCH(1,INDEX((_TECH_Initiative_Library!$B$5:$B$76=$C295)*(_TECH_Initiative_Library!$C$5:$C$76=$D295),0),0)),"")</f>
        <v/>
      </c>
      <c r="AK295" s="48" t="str">
        <f ca="1">IFERROR(INDEX(_TECH_Initiative_Library!$AE$5:$AE$76,MATCH(1,INDEX((_TECH_Initiative_Library!$B$5:$B$76=$C295)*(_TECH_Initiative_Library!$C$5:$C$76=$D295),0),0)),"")</f>
        <v/>
      </c>
      <c r="AL295" s="48" t="str">
        <f>IF($B295="Yes",IFERROR(SUMIFS(_TECH_Industry_Templates!$E:$E,_TECH_Industry_Templates!$A:$A,'Company Profile'!$B$9,_TECH_Industry_Templates!$B:$B,$C295),1),"")</f>
        <v/>
      </c>
      <c r="AM295" s="48" t="str">
        <f t="shared" si="49"/>
        <v/>
      </c>
      <c r="AN295" s="48" t="str">
        <f>IF($AM295="","",RANK.EQ($AM295,$AM$8:$AM$414,0)+COUNTIF($AM$8:$AM295,$AM295)-1)</f>
        <v/>
      </c>
    </row>
    <row r="296" spans="1:40" ht="71.25">
      <c r="A296" s="28" t="str">
        <f>IF($AM296="","",RANK.EQ($AM296,$AM$8:$AM$414,0)+COUNTIF($AM$8:$AM296,$AM296)-1)</f>
        <v/>
      </c>
      <c r="B296" s="7" t="str">
        <f t="shared" si="40"/>
        <v/>
      </c>
      <c r="C296" s="7" t="s">
        <v>90</v>
      </c>
      <c r="D296" s="7" t="s">
        <v>1465</v>
      </c>
      <c r="E296" s="7" t="s">
        <v>4806</v>
      </c>
      <c r="F296" s="7" t="s">
        <v>4807</v>
      </c>
      <c r="G296" s="28" t="str">
        <f>IF(OR(COUNTA('IT Cloud DR'!$H$19)=0,'IT Cloud DR'!$H$19="N/A"),"",VALUE('IT Cloud DR'!$H$19))</f>
        <v/>
      </c>
      <c r="H296" s="7" t="str">
        <f t="shared" si="41"/>
        <v/>
      </c>
      <c r="I296" s="7" t="str">
        <f>IF($G296="","",IFERROR(IF('IT Cloud DR'!$L$19="",IF($G296&lt;=1,"Critical",IF($G296=2,"High",IF($G296=3,"Medium",IF($G296=4,"Low","Optimized")))),'IT Cloud DR'!$L$19),IF($G296&lt;=1,"Critical",IF($G296=2,"High",IF($G296=3,"Medium",IF($G296=4,"Low","Optimized"))))))</f>
        <v/>
      </c>
      <c r="J296" s="7" t="str">
        <f>IF($G296="","",IFERROR(INDEX('Recommendation Matrix'!$E$5:$J$411,MATCH($E296,'Recommendation Matrix'!$A$5:$A$411,0),$G296+1),""))</f>
        <v/>
      </c>
      <c r="K296" s="7" t="str">
        <f>IF($G296="","",IFERROR(VLOOKUP($E296,'Recommendation Matrix'!$A$5:$K$411,11,FALSE),""))</f>
        <v/>
      </c>
      <c r="L296" s="28" t="str">
        <f t="shared" si="42"/>
        <v/>
      </c>
      <c r="M296" s="28" t="str">
        <f>IF($G296="","",IFERROR(INDEX('Recommendation Matrix'!$L$5:$Q$411,MATCH($E296,'Recommendation Matrix'!$A$5:$A$411,0),$G296+1),""))</f>
        <v/>
      </c>
      <c r="N296" s="28" t="str">
        <f t="shared" si="43"/>
        <v/>
      </c>
      <c r="O296" s="28" t="str">
        <f t="shared" si="44"/>
        <v/>
      </c>
      <c r="P296" s="28" t="str">
        <f t="shared" si="45"/>
        <v/>
      </c>
      <c r="Q296" s="28" t="str">
        <f t="shared" si="46"/>
        <v/>
      </c>
      <c r="R296" s="8" t="str">
        <f t="shared" si="47"/>
        <v/>
      </c>
      <c r="S296" s="28">
        <f>IFERROR('IT Cloud DR'!$G$19,"")</f>
        <v>5</v>
      </c>
      <c r="T296" s="28">
        <f>IFERROR('IT Cloud DR'!$W$19,"")</f>
        <v>5</v>
      </c>
      <c r="U296" s="28">
        <f>IFERROR('IT Cloud DR'!$X$19,"")</f>
        <v>5</v>
      </c>
      <c r="V296" s="28">
        <f>IFERROR('IT Cloud DR'!$Y$19,"")</f>
        <v>5</v>
      </c>
      <c r="W296" s="7" t="s">
        <v>4673</v>
      </c>
      <c r="X296" s="7" t="s">
        <v>4674</v>
      </c>
      <c r="Y296" s="7" t="s">
        <v>4808</v>
      </c>
      <c r="Z296" s="7">
        <f>IFERROR('IT Cloud DR'!$U$19,"")</f>
        <v>0</v>
      </c>
      <c r="AA296" s="7"/>
      <c r="AB296" s="29"/>
      <c r="AC296" s="7"/>
      <c r="AD296" s="48" t="str">
        <f>IF($B296="Yes",IFERROR(SUMIFS(_TECH_Crisis_Model!$D$5:$D$191,_TECH_Crisis_Model!$A$5:$A$191,'Crisis Simulator'!$B$4,_TECH_Crisis_Model!$B$5:$B$191,$C296),1),"")</f>
        <v/>
      </c>
      <c r="AE296" s="48" t="str">
        <f t="shared" si="48"/>
        <v/>
      </c>
      <c r="AF296" s="48" t="str">
        <f>IFERROR(INDEX(_TECH_Crisis_Model!$E$5:$E$191,MATCH('Crisis Simulator'!$B$4&amp;"|"&amp;$C296,_TECH_Crisis_Model!$I$5:$I$191,0)),"")</f>
        <v>Cloud, infrastructure, backups, RTO and RPO determine system recoverability.</v>
      </c>
      <c r="AG296" s="48" t="str">
        <f>IFERROR(INDEX(_TECH_Crisis_Model!$G$5:$G$191,MATCH('Crisis Simulator'!$B$4&amp;"|"&amp;$C296,_TECH_Crisis_Model!$I$5:$I$191,0)),"")</f>
        <v>Implement tested backups, DR runbooks, failover, cloud landing zones and RTO/RPO monitoring.</v>
      </c>
      <c r="AH296" s="48" t="str">
        <f>IFERROR(INDEX(_TECH_Initiative_Library!$A$5:$A$76,MATCH(1,INDEX((_TECH_Initiative_Library!$B$5:$B$76=$C296)*(_TECH_Initiative_Library!$C$5:$C$76=$D296),0),0)),"")</f>
        <v>INI-050</v>
      </c>
      <c r="AI296" s="48" t="str">
        <f>IFERROR(INDEX(_TECH_Initiative_Library!$F$5:$F$76,MATCH(1,INDEX((_TECH_Initiative_Library!$B$5:$B$76=$C296)*(_TECH_Initiative_Library!$C$5:$C$76=$D296),0),0)),"")</f>
        <v>Implement disaster recovery, backup testing and RTO/RPO controls</v>
      </c>
      <c r="AJ296" s="48" t="str">
        <f ca="1">IFERROR(INDEX(_TECH_Initiative_Library!$AC$5:$AC$76,MATCH(1,INDEX((_TECH_Initiative_Library!$B$5:$B$76=$C296)*(_TECH_Initiative_Library!$C$5:$C$76=$D296),0),0)),"")</f>
        <v/>
      </c>
      <c r="AK296" s="48" t="str">
        <f ca="1">IFERROR(INDEX(_TECH_Initiative_Library!$AE$5:$AE$76,MATCH(1,INDEX((_TECH_Initiative_Library!$B$5:$B$76=$C296)*(_TECH_Initiative_Library!$C$5:$C$76=$D296),0),0)),"")</f>
        <v/>
      </c>
      <c r="AL296" s="48" t="str">
        <f>IF($B296="Yes",IFERROR(SUMIFS(_TECH_Industry_Templates!$E:$E,_TECH_Industry_Templates!$A:$A,'Company Profile'!$B$9,_TECH_Industry_Templates!$B:$B,$C296),1),"")</f>
        <v/>
      </c>
      <c r="AM296" s="48" t="str">
        <f t="shared" si="49"/>
        <v/>
      </c>
      <c r="AN296" s="48" t="str">
        <f>IF($AM296="","",RANK.EQ($AM296,$AM$8:$AM$414,0)+COUNTIF($AM$8:$AM296,$AM296)-1)</f>
        <v/>
      </c>
    </row>
    <row r="297" spans="1:40" ht="71.25">
      <c r="A297" s="28" t="str">
        <f>IF($AM297="","",RANK.EQ($AM297,$AM$8:$AM$414,0)+COUNTIF($AM$8:$AM297,$AM297)-1)</f>
        <v/>
      </c>
      <c r="B297" s="7" t="str">
        <f t="shared" si="40"/>
        <v/>
      </c>
      <c r="C297" s="7" t="s">
        <v>90</v>
      </c>
      <c r="D297" s="7" t="s">
        <v>1465</v>
      </c>
      <c r="E297" s="7" t="s">
        <v>4816</v>
      </c>
      <c r="F297" s="7" t="s">
        <v>4817</v>
      </c>
      <c r="G297" s="28" t="str">
        <f>IF(OR(COUNTA('IT Cloud DR'!$H$20)=0,'IT Cloud DR'!$H$20="N/A"),"",VALUE('IT Cloud DR'!$H$20))</f>
        <v/>
      </c>
      <c r="H297" s="7" t="str">
        <f t="shared" si="41"/>
        <v/>
      </c>
      <c r="I297" s="7" t="str">
        <f>IF($G297="","",IFERROR(IF('IT Cloud DR'!$L$20="",IF($G297&lt;=1,"Critical",IF($G297=2,"High",IF($G297=3,"Medium",IF($G297=4,"Low","Optimized")))),'IT Cloud DR'!$L$20),IF($G297&lt;=1,"Critical",IF($G297=2,"High",IF($G297=3,"Medium",IF($G297=4,"Low","Optimized"))))))</f>
        <v/>
      </c>
      <c r="J297" s="7" t="str">
        <f>IF($G297="","",IFERROR(INDEX('Recommendation Matrix'!$E$5:$J$411,MATCH($E297,'Recommendation Matrix'!$A$5:$A$411,0),$G297+1),""))</f>
        <v/>
      </c>
      <c r="K297" s="7" t="str">
        <f>IF($G297="","",IFERROR(VLOOKUP($E297,'Recommendation Matrix'!$A$5:$K$411,11,FALSE),""))</f>
        <v/>
      </c>
      <c r="L297" s="28" t="str">
        <f t="shared" si="42"/>
        <v/>
      </c>
      <c r="M297" s="28" t="str">
        <f>IF($G297="","",IFERROR(INDEX('Recommendation Matrix'!$L$5:$Q$411,MATCH($E297,'Recommendation Matrix'!$A$5:$A$411,0),$G297+1),""))</f>
        <v/>
      </c>
      <c r="N297" s="28" t="str">
        <f t="shared" si="43"/>
        <v/>
      </c>
      <c r="O297" s="28" t="str">
        <f t="shared" si="44"/>
        <v/>
      </c>
      <c r="P297" s="28" t="str">
        <f t="shared" si="45"/>
        <v/>
      </c>
      <c r="Q297" s="28" t="str">
        <f t="shared" si="46"/>
        <v/>
      </c>
      <c r="R297" s="8" t="str">
        <f t="shared" si="47"/>
        <v/>
      </c>
      <c r="S297" s="28">
        <f>IFERROR('IT Cloud DR'!$G$20,"")</f>
        <v>5</v>
      </c>
      <c r="T297" s="28">
        <f>IFERROR('IT Cloud DR'!$W$20,"")</f>
        <v>5</v>
      </c>
      <c r="U297" s="28">
        <f>IFERROR('IT Cloud DR'!$X$20,"")</f>
        <v>5</v>
      </c>
      <c r="V297" s="28">
        <f>IFERROR('IT Cloud DR'!$Y$20,"")</f>
        <v>5</v>
      </c>
      <c r="W297" s="7" t="s">
        <v>4673</v>
      </c>
      <c r="X297" s="7" t="s">
        <v>4674</v>
      </c>
      <c r="Y297" s="7" t="s">
        <v>4818</v>
      </c>
      <c r="Z297" s="7">
        <f>IFERROR('IT Cloud DR'!$U$20,"")</f>
        <v>0</v>
      </c>
      <c r="AA297" s="7"/>
      <c r="AB297" s="29"/>
      <c r="AC297" s="7"/>
      <c r="AD297" s="48" t="str">
        <f>IF($B297="Yes",IFERROR(SUMIFS(_TECH_Crisis_Model!$D$5:$D$191,_TECH_Crisis_Model!$A$5:$A$191,'Crisis Simulator'!$B$4,_TECH_Crisis_Model!$B$5:$B$191,$C297),1),"")</f>
        <v/>
      </c>
      <c r="AE297" s="48" t="str">
        <f t="shared" si="48"/>
        <v/>
      </c>
      <c r="AF297" s="48" t="str">
        <f>IFERROR(INDEX(_TECH_Crisis_Model!$E$5:$E$191,MATCH('Crisis Simulator'!$B$4&amp;"|"&amp;$C297,_TECH_Crisis_Model!$I$5:$I$191,0)),"")</f>
        <v>Cloud, infrastructure, backups, RTO and RPO determine system recoverability.</v>
      </c>
      <c r="AG297" s="48" t="str">
        <f>IFERROR(INDEX(_TECH_Crisis_Model!$G$5:$G$191,MATCH('Crisis Simulator'!$B$4&amp;"|"&amp;$C297,_TECH_Crisis_Model!$I$5:$I$191,0)),"")</f>
        <v>Implement tested backups, DR runbooks, failover, cloud landing zones and RTO/RPO monitoring.</v>
      </c>
      <c r="AH297" s="48" t="str">
        <f>IFERROR(INDEX(_TECH_Initiative_Library!$A$5:$A$76,MATCH(1,INDEX((_TECH_Initiative_Library!$B$5:$B$76=$C297)*(_TECH_Initiative_Library!$C$5:$C$76=$D297),0),0)),"")</f>
        <v>INI-050</v>
      </c>
      <c r="AI297" s="48" t="str">
        <f>IFERROR(INDEX(_TECH_Initiative_Library!$F$5:$F$76,MATCH(1,INDEX((_TECH_Initiative_Library!$B$5:$B$76=$C297)*(_TECH_Initiative_Library!$C$5:$C$76=$D297),0),0)),"")</f>
        <v>Implement disaster recovery, backup testing and RTO/RPO controls</v>
      </c>
      <c r="AJ297" s="48" t="str">
        <f ca="1">IFERROR(INDEX(_TECH_Initiative_Library!$AC$5:$AC$76,MATCH(1,INDEX((_TECH_Initiative_Library!$B$5:$B$76=$C297)*(_TECH_Initiative_Library!$C$5:$C$76=$D297),0),0)),"")</f>
        <v/>
      </c>
      <c r="AK297" s="48" t="str">
        <f ca="1">IFERROR(INDEX(_TECH_Initiative_Library!$AE$5:$AE$76,MATCH(1,INDEX((_TECH_Initiative_Library!$B$5:$B$76=$C297)*(_TECH_Initiative_Library!$C$5:$C$76=$D297),0),0)),"")</f>
        <v/>
      </c>
      <c r="AL297" s="48" t="str">
        <f>IF($B297="Yes",IFERROR(SUMIFS(_TECH_Industry_Templates!$E:$E,_TECH_Industry_Templates!$A:$A,'Company Profile'!$B$9,_TECH_Industry_Templates!$B:$B,$C297),1),"")</f>
        <v/>
      </c>
      <c r="AM297" s="48" t="str">
        <f t="shared" si="49"/>
        <v/>
      </c>
      <c r="AN297" s="48" t="str">
        <f>IF($AM297="","",RANK.EQ($AM297,$AM$8:$AM$414,0)+COUNTIF($AM$8:$AM297,$AM297)-1)</f>
        <v/>
      </c>
    </row>
    <row r="298" spans="1:40" ht="71.25">
      <c r="A298" s="28" t="str">
        <f>IF($AM298="","",RANK.EQ($AM298,$AM$8:$AM$414,0)+COUNTIF($AM$8:$AM298,$AM298)-1)</f>
        <v/>
      </c>
      <c r="B298" s="7" t="str">
        <f t="shared" si="40"/>
        <v/>
      </c>
      <c r="C298" s="7" t="s">
        <v>90</v>
      </c>
      <c r="D298" s="7" t="s">
        <v>1465</v>
      </c>
      <c r="E298" s="7" t="s">
        <v>4826</v>
      </c>
      <c r="F298" s="7" t="s">
        <v>4827</v>
      </c>
      <c r="G298" s="28" t="str">
        <f>IF(OR(COUNTA('IT Cloud DR'!$H$21)=0,'IT Cloud DR'!$H$21="N/A"),"",VALUE('IT Cloud DR'!$H$21))</f>
        <v/>
      </c>
      <c r="H298" s="7" t="str">
        <f t="shared" si="41"/>
        <v/>
      </c>
      <c r="I298" s="7" t="str">
        <f>IF($G298="","",IFERROR(IF('IT Cloud DR'!$L$21="",IF($G298&lt;=1,"Critical",IF($G298=2,"High",IF($G298=3,"Medium",IF($G298=4,"Low","Optimized")))),'IT Cloud DR'!$L$21),IF($G298&lt;=1,"Critical",IF($G298=2,"High",IF($G298=3,"Medium",IF($G298=4,"Low","Optimized"))))))</f>
        <v/>
      </c>
      <c r="J298" s="7" t="str">
        <f>IF($G298="","",IFERROR(INDEX('Recommendation Matrix'!$E$5:$J$411,MATCH($E298,'Recommendation Matrix'!$A$5:$A$411,0),$G298+1),""))</f>
        <v/>
      </c>
      <c r="K298" s="7" t="str">
        <f>IF($G298="","",IFERROR(VLOOKUP($E298,'Recommendation Matrix'!$A$5:$K$411,11,FALSE),""))</f>
        <v/>
      </c>
      <c r="L298" s="28" t="str">
        <f t="shared" si="42"/>
        <v/>
      </c>
      <c r="M298" s="28" t="str">
        <f>IF($G298="","",IFERROR(INDEX('Recommendation Matrix'!$L$5:$Q$411,MATCH($E298,'Recommendation Matrix'!$A$5:$A$411,0),$G298+1),""))</f>
        <v/>
      </c>
      <c r="N298" s="28" t="str">
        <f t="shared" si="43"/>
        <v/>
      </c>
      <c r="O298" s="28" t="str">
        <f t="shared" si="44"/>
        <v/>
      </c>
      <c r="P298" s="28" t="str">
        <f t="shared" si="45"/>
        <v/>
      </c>
      <c r="Q298" s="28" t="str">
        <f t="shared" si="46"/>
        <v/>
      </c>
      <c r="R298" s="8" t="str">
        <f t="shared" si="47"/>
        <v/>
      </c>
      <c r="S298" s="28">
        <f>IFERROR('IT Cloud DR'!$G$21,"")</f>
        <v>5</v>
      </c>
      <c r="T298" s="28">
        <f>IFERROR('IT Cloud DR'!$W$21,"")</f>
        <v>5</v>
      </c>
      <c r="U298" s="28">
        <f>IFERROR('IT Cloud DR'!$X$21,"")</f>
        <v>5</v>
      </c>
      <c r="V298" s="28">
        <f>IFERROR('IT Cloud DR'!$Y$21,"")</f>
        <v>5</v>
      </c>
      <c r="W298" s="7" t="s">
        <v>4673</v>
      </c>
      <c r="X298" s="7" t="s">
        <v>4674</v>
      </c>
      <c r="Y298" s="7" t="s">
        <v>4828</v>
      </c>
      <c r="Z298" s="7">
        <f>IFERROR('IT Cloud DR'!$U$21,"")</f>
        <v>0</v>
      </c>
      <c r="AA298" s="7"/>
      <c r="AB298" s="29"/>
      <c r="AC298" s="7"/>
      <c r="AD298" s="48" t="str">
        <f>IF($B298="Yes",IFERROR(SUMIFS(_TECH_Crisis_Model!$D$5:$D$191,_TECH_Crisis_Model!$A$5:$A$191,'Crisis Simulator'!$B$4,_TECH_Crisis_Model!$B$5:$B$191,$C298),1),"")</f>
        <v/>
      </c>
      <c r="AE298" s="48" t="str">
        <f t="shared" si="48"/>
        <v/>
      </c>
      <c r="AF298" s="48" t="str">
        <f>IFERROR(INDEX(_TECH_Crisis_Model!$E$5:$E$191,MATCH('Crisis Simulator'!$B$4&amp;"|"&amp;$C298,_TECH_Crisis_Model!$I$5:$I$191,0)),"")</f>
        <v>Cloud, infrastructure, backups, RTO and RPO determine system recoverability.</v>
      </c>
      <c r="AG298" s="48" t="str">
        <f>IFERROR(INDEX(_TECH_Crisis_Model!$G$5:$G$191,MATCH('Crisis Simulator'!$B$4&amp;"|"&amp;$C298,_TECH_Crisis_Model!$I$5:$I$191,0)),"")</f>
        <v>Implement tested backups, DR runbooks, failover, cloud landing zones and RTO/RPO monitoring.</v>
      </c>
      <c r="AH298" s="48" t="str">
        <f>IFERROR(INDEX(_TECH_Initiative_Library!$A$5:$A$76,MATCH(1,INDEX((_TECH_Initiative_Library!$B$5:$B$76=$C298)*(_TECH_Initiative_Library!$C$5:$C$76=$D298),0),0)),"")</f>
        <v>INI-050</v>
      </c>
      <c r="AI298" s="48" t="str">
        <f>IFERROR(INDEX(_TECH_Initiative_Library!$F$5:$F$76,MATCH(1,INDEX((_TECH_Initiative_Library!$B$5:$B$76=$C298)*(_TECH_Initiative_Library!$C$5:$C$76=$D298),0),0)),"")</f>
        <v>Implement disaster recovery, backup testing and RTO/RPO controls</v>
      </c>
      <c r="AJ298" s="48" t="str">
        <f ca="1">IFERROR(INDEX(_TECH_Initiative_Library!$AC$5:$AC$76,MATCH(1,INDEX((_TECH_Initiative_Library!$B$5:$B$76=$C298)*(_TECH_Initiative_Library!$C$5:$C$76=$D298),0),0)),"")</f>
        <v/>
      </c>
      <c r="AK298" s="48" t="str">
        <f ca="1">IFERROR(INDEX(_TECH_Initiative_Library!$AE$5:$AE$76,MATCH(1,INDEX((_TECH_Initiative_Library!$B$5:$B$76=$C298)*(_TECH_Initiative_Library!$C$5:$C$76=$D298),0),0)),"")</f>
        <v/>
      </c>
      <c r="AL298" s="48" t="str">
        <f>IF($B298="Yes",IFERROR(SUMIFS(_TECH_Industry_Templates!$E:$E,_TECH_Industry_Templates!$A:$A,'Company Profile'!$B$9,_TECH_Industry_Templates!$B:$B,$C298),1),"")</f>
        <v/>
      </c>
      <c r="AM298" s="48" t="str">
        <f t="shared" si="49"/>
        <v/>
      </c>
      <c r="AN298" s="48" t="str">
        <f>IF($AM298="","",RANK.EQ($AM298,$AM$8:$AM$414,0)+COUNTIF($AM$8:$AM298,$AM298)-1)</f>
        <v/>
      </c>
    </row>
    <row r="299" spans="1:40" ht="71.25">
      <c r="A299" s="28" t="str">
        <f>IF($AM299="","",RANK.EQ($AM299,$AM$8:$AM$414,0)+COUNTIF($AM$8:$AM299,$AM299)-1)</f>
        <v/>
      </c>
      <c r="B299" s="7" t="str">
        <f t="shared" si="40"/>
        <v/>
      </c>
      <c r="C299" s="7" t="s">
        <v>90</v>
      </c>
      <c r="D299" s="7" t="s">
        <v>1465</v>
      </c>
      <c r="E299" s="7" t="s">
        <v>4836</v>
      </c>
      <c r="F299" s="7" t="s">
        <v>4837</v>
      </c>
      <c r="G299" s="28" t="str">
        <f>IF(OR(COUNTA('IT Cloud DR'!$H$22)=0,'IT Cloud DR'!$H$22="N/A"),"",VALUE('IT Cloud DR'!$H$22))</f>
        <v/>
      </c>
      <c r="H299" s="7" t="str">
        <f t="shared" si="41"/>
        <v/>
      </c>
      <c r="I299" s="7" t="str">
        <f>IF($G299="","",IFERROR(IF('IT Cloud DR'!$L$22="",IF($G299&lt;=1,"Critical",IF($G299=2,"High",IF($G299=3,"Medium",IF($G299=4,"Low","Optimized")))),'IT Cloud DR'!$L$22),IF($G299&lt;=1,"Critical",IF($G299=2,"High",IF($G299=3,"Medium",IF($G299=4,"Low","Optimized"))))))</f>
        <v/>
      </c>
      <c r="J299" s="7" t="str">
        <f>IF($G299="","",IFERROR(INDEX('Recommendation Matrix'!$E$5:$J$411,MATCH($E299,'Recommendation Matrix'!$A$5:$A$411,0),$G299+1),""))</f>
        <v/>
      </c>
      <c r="K299" s="7" t="str">
        <f>IF($G299="","",IFERROR(VLOOKUP($E299,'Recommendation Matrix'!$A$5:$K$411,11,FALSE),""))</f>
        <v/>
      </c>
      <c r="L299" s="28" t="str">
        <f t="shared" si="42"/>
        <v/>
      </c>
      <c r="M299" s="28" t="str">
        <f>IF($G299="","",IFERROR(INDEX('Recommendation Matrix'!$L$5:$Q$411,MATCH($E299,'Recommendation Matrix'!$A$5:$A$411,0),$G299+1),""))</f>
        <v/>
      </c>
      <c r="N299" s="28" t="str">
        <f t="shared" si="43"/>
        <v/>
      </c>
      <c r="O299" s="28" t="str">
        <f t="shared" si="44"/>
        <v/>
      </c>
      <c r="P299" s="28" t="str">
        <f t="shared" si="45"/>
        <v/>
      </c>
      <c r="Q299" s="28" t="str">
        <f t="shared" si="46"/>
        <v/>
      </c>
      <c r="R299" s="8" t="str">
        <f t="shared" si="47"/>
        <v/>
      </c>
      <c r="S299" s="28">
        <f>IFERROR('IT Cloud DR'!$G$22,"")</f>
        <v>5</v>
      </c>
      <c r="T299" s="28">
        <f>IFERROR('IT Cloud DR'!$W$22,"")</f>
        <v>5</v>
      </c>
      <c r="U299" s="28">
        <f>IFERROR('IT Cloud DR'!$X$22,"")</f>
        <v>5</v>
      </c>
      <c r="V299" s="28">
        <f>IFERROR('IT Cloud DR'!$Y$22,"")</f>
        <v>5</v>
      </c>
      <c r="W299" s="7" t="s">
        <v>4673</v>
      </c>
      <c r="X299" s="7" t="s">
        <v>4674</v>
      </c>
      <c r="Y299" s="7" t="s">
        <v>4838</v>
      </c>
      <c r="Z299" s="7">
        <f>IFERROR('IT Cloud DR'!$U$22,"")</f>
        <v>0</v>
      </c>
      <c r="AA299" s="7"/>
      <c r="AB299" s="29"/>
      <c r="AC299" s="7"/>
      <c r="AD299" s="48" t="str">
        <f>IF($B299="Yes",IFERROR(SUMIFS(_TECH_Crisis_Model!$D$5:$D$191,_TECH_Crisis_Model!$A$5:$A$191,'Crisis Simulator'!$B$4,_TECH_Crisis_Model!$B$5:$B$191,$C299),1),"")</f>
        <v/>
      </c>
      <c r="AE299" s="48" t="str">
        <f t="shared" si="48"/>
        <v/>
      </c>
      <c r="AF299" s="48" t="str">
        <f>IFERROR(INDEX(_TECH_Crisis_Model!$E$5:$E$191,MATCH('Crisis Simulator'!$B$4&amp;"|"&amp;$C299,_TECH_Crisis_Model!$I$5:$I$191,0)),"")</f>
        <v>Cloud, infrastructure, backups, RTO and RPO determine system recoverability.</v>
      </c>
      <c r="AG299" s="48" t="str">
        <f>IFERROR(INDEX(_TECH_Crisis_Model!$G$5:$G$191,MATCH('Crisis Simulator'!$B$4&amp;"|"&amp;$C299,_TECH_Crisis_Model!$I$5:$I$191,0)),"")</f>
        <v>Implement tested backups, DR runbooks, failover, cloud landing zones and RTO/RPO monitoring.</v>
      </c>
      <c r="AH299" s="48" t="str">
        <f>IFERROR(INDEX(_TECH_Initiative_Library!$A$5:$A$76,MATCH(1,INDEX((_TECH_Initiative_Library!$B$5:$B$76=$C299)*(_TECH_Initiative_Library!$C$5:$C$76=$D299),0),0)),"")</f>
        <v>INI-050</v>
      </c>
      <c r="AI299" s="48" t="str">
        <f>IFERROR(INDEX(_TECH_Initiative_Library!$F$5:$F$76,MATCH(1,INDEX((_TECH_Initiative_Library!$B$5:$B$76=$C299)*(_TECH_Initiative_Library!$C$5:$C$76=$D299),0),0)),"")</f>
        <v>Implement disaster recovery, backup testing and RTO/RPO controls</v>
      </c>
      <c r="AJ299" s="48" t="str">
        <f ca="1">IFERROR(INDEX(_TECH_Initiative_Library!$AC$5:$AC$76,MATCH(1,INDEX((_TECH_Initiative_Library!$B$5:$B$76=$C299)*(_TECH_Initiative_Library!$C$5:$C$76=$D299),0),0)),"")</f>
        <v/>
      </c>
      <c r="AK299" s="48" t="str">
        <f ca="1">IFERROR(INDEX(_TECH_Initiative_Library!$AE$5:$AE$76,MATCH(1,INDEX((_TECH_Initiative_Library!$B$5:$B$76=$C299)*(_TECH_Initiative_Library!$C$5:$C$76=$D299),0),0)),"")</f>
        <v/>
      </c>
      <c r="AL299" s="48" t="str">
        <f>IF($B299="Yes",IFERROR(SUMIFS(_TECH_Industry_Templates!$E:$E,_TECH_Industry_Templates!$A:$A,'Company Profile'!$B$9,_TECH_Industry_Templates!$B:$B,$C299),1),"")</f>
        <v/>
      </c>
      <c r="AM299" s="48" t="str">
        <f t="shared" si="49"/>
        <v/>
      </c>
      <c r="AN299" s="48" t="str">
        <f>IF($AM299="","",RANK.EQ($AM299,$AM$8:$AM$414,0)+COUNTIF($AM$8:$AM299,$AM299)-1)</f>
        <v/>
      </c>
    </row>
    <row r="300" spans="1:40" ht="71.25">
      <c r="A300" s="28" t="str">
        <f>IF($AM300="","",RANK.EQ($AM300,$AM$8:$AM$414,0)+COUNTIF($AM$8:$AM300,$AM300)-1)</f>
        <v/>
      </c>
      <c r="B300" s="7" t="str">
        <f t="shared" si="40"/>
        <v/>
      </c>
      <c r="C300" s="7" t="s">
        <v>90</v>
      </c>
      <c r="D300" s="7" t="s">
        <v>1473</v>
      </c>
      <c r="E300" s="7" t="s">
        <v>4846</v>
      </c>
      <c r="F300" s="7" t="s">
        <v>4847</v>
      </c>
      <c r="G300" s="28" t="str">
        <f>IF(OR(COUNTA('IT Cloud DR'!$H$23)=0,'IT Cloud DR'!$H$23="N/A"),"",VALUE('IT Cloud DR'!$H$23))</f>
        <v/>
      </c>
      <c r="H300" s="7" t="str">
        <f t="shared" si="41"/>
        <v/>
      </c>
      <c r="I300" s="7" t="str">
        <f>IF($G300="","",IFERROR(IF('IT Cloud DR'!$L$23="",IF($G300&lt;=1,"Critical",IF($G300=2,"High",IF($G300=3,"Medium",IF($G300=4,"Low","Optimized")))),'IT Cloud DR'!$L$23),IF($G300&lt;=1,"Critical",IF($G300=2,"High",IF($G300=3,"Medium",IF($G300=4,"Low","Optimized"))))))</f>
        <v/>
      </c>
      <c r="J300" s="7" t="str">
        <f>IF($G300="","",IFERROR(INDEX('Recommendation Matrix'!$E$5:$J$411,MATCH($E300,'Recommendation Matrix'!$A$5:$A$411,0),$G300+1),""))</f>
        <v/>
      </c>
      <c r="K300" s="7" t="str">
        <f>IF($G300="","",IFERROR(VLOOKUP($E300,'Recommendation Matrix'!$A$5:$K$411,11,FALSE),""))</f>
        <v/>
      </c>
      <c r="L300" s="28" t="str">
        <f t="shared" si="42"/>
        <v/>
      </c>
      <c r="M300" s="28" t="str">
        <f>IF($G300="","",IFERROR(INDEX('Recommendation Matrix'!$L$5:$Q$411,MATCH($E300,'Recommendation Matrix'!$A$5:$A$411,0),$G300+1),""))</f>
        <v/>
      </c>
      <c r="N300" s="28" t="str">
        <f t="shared" si="43"/>
        <v/>
      </c>
      <c r="O300" s="28" t="str">
        <f t="shared" si="44"/>
        <v/>
      </c>
      <c r="P300" s="28" t="str">
        <f t="shared" si="45"/>
        <v/>
      </c>
      <c r="Q300" s="28" t="str">
        <f t="shared" si="46"/>
        <v/>
      </c>
      <c r="R300" s="8" t="str">
        <f t="shared" si="47"/>
        <v/>
      </c>
      <c r="S300" s="28">
        <f>IFERROR('IT Cloud DR'!$G$23,"")</f>
        <v>5</v>
      </c>
      <c r="T300" s="28">
        <f>IFERROR('IT Cloud DR'!$W$23,"")</f>
        <v>5</v>
      </c>
      <c r="U300" s="28">
        <f>IFERROR('IT Cloud DR'!$X$23,"")</f>
        <v>5</v>
      </c>
      <c r="V300" s="28">
        <f>IFERROR('IT Cloud DR'!$Y$23,"")</f>
        <v>5</v>
      </c>
      <c r="W300" s="7" t="s">
        <v>4673</v>
      </c>
      <c r="X300" s="7" t="s">
        <v>4674</v>
      </c>
      <c r="Y300" s="7" t="s">
        <v>4848</v>
      </c>
      <c r="Z300" s="7">
        <f>IFERROR('IT Cloud DR'!$U$23,"")</f>
        <v>0</v>
      </c>
      <c r="AA300" s="7"/>
      <c r="AB300" s="29"/>
      <c r="AC300" s="7"/>
      <c r="AD300" s="48" t="str">
        <f>IF($B300="Yes",IFERROR(SUMIFS(_TECH_Crisis_Model!$D$5:$D$191,_TECH_Crisis_Model!$A$5:$A$191,'Crisis Simulator'!$B$4,_TECH_Crisis_Model!$B$5:$B$191,$C300),1),"")</f>
        <v/>
      </c>
      <c r="AE300" s="48" t="str">
        <f t="shared" si="48"/>
        <v/>
      </c>
      <c r="AF300" s="48" t="str">
        <f>IFERROR(INDEX(_TECH_Crisis_Model!$E$5:$E$191,MATCH('Crisis Simulator'!$B$4&amp;"|"&amp;$C300,_TECH_Crisis_Model!$I$5:$I$191,0)),"")</f>
        <v>Cloud, infrastructure, backups, RTO and RPO determine system recoverability.</v>
      </c>
      <c r="AG300" s="48" t="str">
        <f>IFERROR(INDEX(_TECH_Crisis_Model!$G$5:$G$191,MATCH('Crisis Simulator'!$B$4&amp;"|"&amp;$C300,_TECH_Crisis_Model!$I$5:$I$191,0)),"")</f>
        <v>Implement tested backups, DR runbooks, failover, cloud landing zones and RTO/RPO monitoring.</v>
      </c>
      <c r="AH300" s="48" t="str">
        <f>IFERROR(INDEX(_TECH_Initiative_Library!$A$5:$A$76,MATCH(1,INDEX((_TECH_Initiative_Library!$B$5:$B$76=$C300)*(_TECH_Initiative_Library!$C$5:$C$76=$D300),0),0)),"")</f>
        <v>INI-051</v>
      </c>
      <c r="AI300" s="48" t="str">
        <f>IFERROR(INDEX(_TECH_Initiative_Library!$F$5:$F$76,MATCH(1,INDEX((_TECH_Initiative_Library!$B$5:$B$76=$C300)*(_TECH_Initiative_Library!$C$5:$C$76=$D300),0),0)),"")</f>
        <v>Strengthen IT operations, monitoring, incident and change management</v>
      </c>
      <c r="AJ300" s="48" t="str">
        <f ca="1">IFERROR(INDEX(_TECH_Initiative_Library!$AC$5:$AC$76,MATCH(1,INDEX((_TECH_Initiative_Library!$B$5:$B$76=$C300)*(_TECH_Initiative_Library!$C$5:$C$76=$D300),0),0)),"")</f>
        <v/>
      </c>
      <c r="AK300" s="48" t="str">
        <f ca="1">IFERROR(INDEX(_TECH_Initiative_Library!$AE$5:$AE$76,MATCH(1,INDEX((_TECH_Initiative_Library!$B$5:$B$76=$C300)*(_TECH_Initiative_Library!$C$5:$C$76=$D300),0),0)),"")</f>
        <v/>
      </c>
      <c r="AL300" s="48" t="str">
        <f>IF($B300="Yes",IFERROR(SUMIFS(_TECH_Industry_Templates!$E:$E,_TECH_Industry_Templates!$A:$A,'Company Profile'!$B$9,_TECH_Industry_Templates!$B:$B,$C300),1),"")</f>
        <v/>
      </c>
      <c r="AM300" s="48" t="str">
        <f t="shared" si="49"/>
        <v/>
      </c>
      <c r="AN300" s="48" t="str">
        <f>IF($AM300="","",RANK.EQ($AM300,$AM$8:$AM$414,0)+COUNTIF($AM$8:$AM300,$AM300)-1)</f>
        <v/>
      </c>
    </row>
    <row r="301" spans="1:40" ht="71.25">
      <c r="A301" s="28" t="str">
        <f>IF($AM301="","",RANK.EQ($AM301,$AM$8:$AM$414,0)+COUNTIF($AM$8:$AM301,$AM301)-1)</f>
        <v/>
      </c>
      <c r="B301" s="7" t="str">
        <f t="shared" si="40"/>
        <v/>
      </c>
      <c r="C301" s="7" t="s">
        <v>90</v>
      </c>
      <c r="D301" s="7" t="s">
        <v>1473</v>
      </c>
      <c r="E301" s="7" t="s">
        <v>4856</v>
      </c>
      <c r="F301" s="7" t="s">
        <v>4857</v>
      </c>
      <c r="G301" s="28" t="str">
        <f>IF(OR(COUNTA('IT Cloud DR'!$H$24)=0,'IT Cloud DR'!$H$24="N/A"),"",VALUE('IT Cloud DR'!$H$24))</f>
        <v/>
      </c>
      <c r="H301" s="7" t="str">
        <f t="shared" si="41"/>
        <v/>
      </c>
      <c r="I301" s="7" t="str">
        <f>IF($G301="","",IFERROR(IF('IT Cloud DR'!$L$24="",IF($G301&lt;=1,"Critical",IF($G301=2,"High",IF($G301=3,"Medium",IF($G301=4,"Low","Optimized")))),'IT Cloud DR'!$L$24),IF($G301&lt;=1,"Critical",IF($G301=2,"High",IF($G301=3,"Medium",IF($G301=4,"Low","Optimized"))))))</f>
        <v/>
      </c>
      <c r="J301" s="7" t="str">
        <f>IF($G301="","",IFERROR(INDEX('Recommendation Matrix'!$E$5:$J$411,MATCH($E301,'Recommendation Matrix'!$A$5:$A$411,0),$G301+1),""))</f>
        <v/>
      </c>
      <c r="K301" s="7" t="str">
        <f>IF($G301="","",IFERROR(VLOOKUP($E301,'Recommendation Matrix'!$A$5:$K$411,11,FALSE),""))</f>
        <v/>
      </c>
      <c r="L301" s="28" t="str">
        <f t="shared" si="42"/>
        <v/>
      </c>
      <c r="M301" s="28" t="str">
        <f>IF($G301="","",IFERROR(INDEX('Recommendation Matrix'!$L$5:$Q$411,MATCH($E301,'Recommendation Matrix'!$A$5:$A$411,0),$G301+1),""))</f>
        <v/>
      </c>
      <c r="N301" s="28" t="str">
        <f t="shared" si="43"/>
        <v/>
      </c>
      <c r="O301" s="28" t="str">
        <f t="shared" si="44"/>
        <v/>
      </c>
      <c r="P301" s="28" t="str">
        <f t="shared" si="45"/>
        <v/>
      </c>
      <c r="Q301" s="28" t="str">
        <f t="shared" si="46"/>
        <v/>
      </c>
      <c r="R301" s="8" t="str">
        <f t="shared" si="47"/>
        <v/>
      </c>
      <c r="S301" s="28">
        <f>IFERROR('IT Cloud DR'!$G$24,"")</f>
        <v>3</v>
      </c>
      <c r="T301" s="28">
        <f>IFERROR('IT Cloud DR'!$W$24,"")</f>
        <v>5</v>
      </c>
      <c r="U301" s="28">
        <f>IFERROR('IT Cloud DR'!$X$24,"")</f>
        <v>5</v>
      </c>
      <c r="V301" s="28">
        <f>IFERROR('IT Cloud DR'!$Y$24,"")</f>
        <v>5</v>
      </c>
      <c r="W301" s="7" t="s">
        <v>4673</v>
      </c>
      <c r="X301" s="7" t="s">
        <v>4674</v>
      </c>
      <c r="Y301" s="7" t="s">
        <v>4858</v>
      </c>
      <c r="Z301" s="7">
        <f>IFERROR('IT Cloud DR'!$U$24,"")</f>
        <v>0</v>
      </c>
      <c r="AA301" s="7"/>
      <c r="AB301" s="29"/>
      <c r="AC301" s="7"/>
      <c r="AD301" s="48" t="str">
        <f>IF($B301="Yes",IFERROR(SUMIFS(_TECH_Crisis_Model!$D$5:$D$191,_TECH_Crisis_Model!$A$5:$A$191,'Crisis Simulator'!$B$4,_TECH_Crisis_Model!$B$5:$B$191,$C301),1),"")</f>
        <v/>
      </c>
      <c r="AE301" s="48" t="str">
        <f t="shared" si="48"/>
        <v/>
      </c>
      <c r="AF301" s="48" t="str">
        <f>IFERROR(INDEX(_TECH_Crisis_Model!$E$5:$E$191,MATCH('Crisis Simulator'!$B$4&amp;"|"&amp;$C301,_TECH_Crisis_Model!$I$5:$I$191,0)),"")</f>
        <v>Cloud, infrastructure, backups, RTO and RPO determine system recoverability.</v>
      </c>
      <c r="AG301" s="48" t="str">
        <f>IFERROR(INDEX(_TECH_Crisis_Model!$G$5:$G$191,MATCH('Crisis Simulator'!$B$4&amp;"|"&amp;$C301,_TECH_Crisis_Model!$I$5:$I$191,0)),"")</f>
        <v>Implement tested backups, DR runbooks, failover, cloud landing zones and RTO/RPO monitoring.</v>
      </c>
      <c r="AH301" s="48" t="str">
        <f>IFERROR(INDEX(_TECH_Initiative_Library!$A$5:$A$76,MATCH(1,INDEX((_TECH_Initiative_Library!$B$5:$B$76=$C301)*(_TECH_Initiative_Library!$C$5:$C$76=$D301),0),0)),"")</f>
        <v>INI-051</v>
      </c>
      <c r="AI301" s="48" t="str">
        <f>IFERROR(INDEX(_TECH_Initiative_Library!$F$5:$F$76,MATCH(1,INDEX((_TECH_Initiative_Library!$B$5:$B$76=$C301)*(_TECH_Initiative_Library!$C$5:$C$76=$D301),0),0)),"")</f>
        <v>Strengthen IT operations, monitoring, incident and change management</v>
      </c>
      <c r="AJ301" s="48" t="str">
        <f ca="1">IFERROR(INDEX(_TECH_Initiative_Library!$AC$5:$AC$76,MATCH(1,INDEX((_TECH_Initiative_Library!$B$5:$B$76=$C301)*(_TECH_Initiative_Library!$C$5:$C$76=$D301),0),0)),"")</f>
        <v/>
      </c>
      <c r="AK301" s="48" t="str">
        <f ca="1">IFERROR(INDEX(_TECH_Initiative_Library!$AE$5:$AE$76,MATCH(1,INDEX((_TECH_Initiative_Library!$B$5:$B$76=$C301)*(_TECH_Initiative_Library!$C$5:$C$76=$D301),0),0)),"")</f>
        <v/>
      </c>
      <c r="AL301" s="48" t="str">
        <f>IF($B301="Yes",IFERROR(SUMIFS(_TECH_Industry_Templates!$E:$E,_TECH_Industry_Templates!$A:$A,'Company Profile'!$B$9,_TECH_Industry_Templates!$B:$B,$C301),1),"")</f>
        <v/>
      </c>
      <c r="AM301" s="48" t="str">
        <f t="shared" si="49"/>
        <v/>
      </c>
      <c r="AN301" s="48" t="str">
        <f>IF($AM301="","",RANK.EQ($AM301,$AM$8:$AM$414,0)+COUNTIF($AM$8:$AM301,$AM301)-1)</f>
        <v/>
      </c>
    </row>
    <row r="302" spans="1:40" ht="71.25">
      <c r="A302" s="28" t="str">
        <f>IF($AM302="","",RANK.EQ($AM302,$AM$8:$AM$414,0)+COUNTIF($AM$8:$AM302,$AM302)-1)</f>
        <v/>
      </c>
      <c r="B302" s="7" t="str">
        <f t="shared" si="40"/>
        <v/>
      </c>
      <c r="C302" s="7" t="s">
        <v>90</v>
      </c>
      <c r="D302" s="7" t="s">
        <v>1473</v>
      </c>
      <c r="E302" s="7" t="s">
        <v>4866</v>
      </c>
      <c r="F302" s="7" t="s">
        <v>4867</v>
      </c>
      <c r="G302" s="28" t="str">
        <f>IF(OR(COUNTA('IT Cloud DR'!$H$25)=0,'IT Cloud DR'!$H$25="N/A"),"",VALUE('IT Cloud DR'!$H$25))</f>
        <v/>
      </c>
      <c r="H302" s="7" t="str">
        <f t="shared" si="41"/>
        <v/>
      </c>
      <c r="I302" s="7" t="str">
        <f>IF($G302="","",IFERROR(IF('IT Cloud DR'!$L$25="",IF($G302&lt;=1,"Critical",IF($G302=2,"High",IF($G302=3,"Medium",IF($G302=4,"Low","Optimized")))),'IT Cloud DR'!$L$25),IF($G302&lt;=1,"Critical",IF($G302=2,"High",IF($G302=3,"Medium",IF($G302=4,"Low","Optimized"))))))</f>
        <v/>
      </c>
      <c r="J302" s="7" t="str">
        <f>IF($G302="","",IFERROR(INDEX('Recommendation Matrix'!$E$5:$J$411,MATCH($E302,'Recommendation Matrix'!$A$5:$A$411,0),$G302+1),""))</f>
        <v/>
      </c>
      <c r="K302" s="7" t="str">
        <f>IF($G302="","",IFERROR(VLOOKUP($E302,'Recommendation Matrix'!$A$5:$K$411,11,FALSE),""))</f>
        <v/>
      </c>
      <c r="L302" s="28" t="str">
        <f t="shared" si="42"/>
        <v/>
      </c>
      <c r="M302" s="28" t="str">
        <f>IF($G302="","",IFERROR(INDEX('Recommendation Matrix'!$L$5:$Q$411,MATCH($E302,'Recommendation Matrix'!$A$5:$A$411,0),$G302+1),""))</f>
        <v/>
      </c>
      <c r="N302" s="28" t="str">
        <f t="shared" si="43"/>
        <v/>
      </c>
      <c r="O302" s="28" t="str">
        <f t="shared" si="44"/>
        <v/>
      </c>
      <c r="P302" s="28" t="str">
        <f t="shared" si="45"/>
        <v/>
      </c>
      <c r="Q302" s="28" t="str">
        <f t="shared" si="46"/>
        <v/>
      </c>
      <c r="R302" s="8" t="str">
        <f t="shared" si="47"/>
        <v/>
      </c>
      <c r="S302" s="28">
        <f>IFERROR('IT Cloud DR'!$G$25,"")</f>
        <v>3</v>
      </c>
      <c r="T302" s="28">
        <f>IFERROR('IT Cloud DR'!$W$25,"")</f>
        <v>5</v>
      </c>
      <c r="U302" s="28">
        <f>IFERROR('IT Cloud DR'!$X$25,"")</f>
        <v>5</v>
      </c>
      <c r="V302" s="28">
        <f>IFERROR('IT Cloud DR'!$Y$25,"")</f>
        <v>5</v>
      </c>
      <c r="W302" s="7" t="s">
        <v>4673</v>
      </c>
      <c r="X302" s="7" t="s">
        <v>4674</v>
      </c>
      <c r="Y302" s="7" t="s">
        <v>4868</v>
      </c>
      <c r="Z302" s="7">
        <f>IFERROR('IT Cloud DR'!$U$25,"")</f>
        <v>0</v>
      </c>
      <c r="AA302" s="7"/>
      <c r="AB302" s="29"/>
      <c r="AC302" s="7"/>
      <c r="AD302" s="48" t="str">
        <f>IF($B302="Yes",IFERROR(SUMIFS(_TECH_Crisis_Model!$D$5:$D$191,_TECH_Crisis_Model!$A$5:$A$191,'Crisis Simulator'!$B$4,_TECH_Crisis_Model!$B$5:$B$191,$C302),1),"")</f>
        <v/>
      </c>
      <c r="AE302" s="48" t="str">
        <f t="shared" si="48"/>
        <v/>
      </c>
      <c r="AF302" s="48" t="str">
        <f>IFERROR(INDEX(_TECH_Crisis_Model!$E$5:$E$191,MATCH('Crisis Simulator'!$B$4&amp;"|"&amp;$C302,_TECH_Crisis_Model!$I$5:$I$191,0)),"")</f>
        <v>Cloud, infrastructure, backups, RTO and RPO determine system recoverability.</v>
      </c>
      <c r="AG302" s="48" t="str">
        <f>IFERROR(INDEX(_TECH_Crisis_Model!$G$5:$G$191,MATCH('Crisis Simulator'!$B$4&amp;"|"&amp;$C302,_TECH_Crisis_Model!$I$5:$I$191,0)),"")</f>
        <v>Implement tested backups, DR runbooks, failover, cloud landing zones and RTO/RPO monitoring.</v>
      </c>
      <c r="AH302" s="48" t="str">
        <f>IFERROR(INDEX(_TECH_Initiative_Library!$A$5:$A$76,MATCH(1,INDEX((_TECH_Initiative_Library!$B$5:$B$76=$C302)*(_TECH_Initiative_Library!$C$5:$C$76=$D302),0),0)),"")</f>
        <v>INI-051</v>
      </c>
      <c r="AI302" s="48" t="str">
        <f>IFERROR(INDEX(_TECH_Initiative_Library!$F$5:$F$76,MATCH(1,INDEX((_TECH_Initiative_Library!$B$5:$B$76=$C302)*(_TECH_Initiative_Library!$C$5:$C$76=$D302),0),0)),"")</f>
        <v>Strengthen IT operations, monitoring, incident and change management</v>
      </c>
      <c r="AJ302" s="48" t="str">
        <f ca="1">IFERROR(INDEX(_TECH_Initiative_Library!$AC$5:$AC$76,MATCH(1,INDEX((_TECH_Initiative_Library!$B$5:$B$76=$C302)*(_TECH_Initiative_Library!$C$5:$C$76=$D302),0),0)),"")</f>
        <v/>
      </c>
      <c r="AK302" s="48" t="str">
        <f ca="1">IFERROR(INDEX(_TECH_Initiative_Library!$AE$5:$AE$76,MATCH(1,INDEX((_TECH_Initiative_Library!$B$5:$B$76=$C302)*(_TECH_Initiative_Library!$C$5:$C$76=$D302),0),0)),"")</f>
        <v/>
      </c>
      <c r="AL302" s="48" t="str">
        <f>IF($B302="Yes",IFERROR(SUMIFS(_TECH_Industry_Templates!$E:$E,_TECH_Industry_Templates!$A:$A,'Company Profile'!$B$9,_TECH_Industry_Templates!$B:$B,$C302),1),"")</f>
        <v/>
      </c>
      <c r="AM302" s="48" t="str">
        <f t="shared" si="49"/>
        <v/>
      </c>
      <c r="AN302" s="48" t="str">
        <f>IF($AM302="","",RANK.EQ($AM302,$AM$8:$AM$414,0)+COUNTIF($AM$8:$AM302,$AM302)-1)</f>
        <v/>
      </c>
    </row>
    <row r="303" spans="1:40" ht="71.25">
      <c r="A303" s="28" t="str">
        <f>IF($AM303="","",RANK.EQ($AM303,$AM$8:$AM$414,0)+COUNTIF($AM$8:$AM303,$AM303)-1)</f>
        <v/>
      </c>
      <c r="B303" s="7" t="str">
        <f t="shared" si="40"/>
        <v/>
      </c>
      <c r="C303" s="7" t="s">
        <v>90</v>
      </c>
      <c r="D303" s="7" t="s">
        <v>1473</v>
      </c>
      <c r="E303" s="7" t="s">
        <v>4876</v>
      </c>
      <c r="F303" s="7" t="s">
        <v>4877</v>
      </c>
      <c r="G303" s="28" t="str">
        <f>IF(OR(COUNTA('IT Cloud DR'!$H$26)=0,'IT Cloud DR'!$H$26="N/A"),"",VALUE('IT Cloud DR'!$H$26))</f>
        <v/>
      </c>
      <c r="H303" s="7" t="str">
        <f t="shared" si="41"/>
        <v/>
      </c>
      <c r="I303" s="7" t="str">
        <f>IF($G303="","",IFERROR(IF('IT Cloud DR'!$L$26="",IF($G303&lt;=1,"Critical",IF($G303=2,"High",IF($G303=3,"Medium",IF($G303=4,"Low","Optimized")))),'IT Cloud DR'!$L$26),IF($G303&lt;=1,"Critical",IF($G303=2,"High",IF($G303=3,"Medium",IF($G303=4,"Low","Optimized"))))))</f>
        <v/>
      </c>
      <c r="J303" s="7" t="str">
        <f>IF($G303="","",IFERROR(INDEX('Recommendation Matrix'!$E$5:$J$411,MATCH($E303,'Recommendation Matrix'!$A$5:$A$411,0),$G303+1),""))</f>
        <v/>
      </c>
      <c r="K303" s="7" t="str">
        <f>IF($G303="","",IFERROR(VLOOKUP($E303,'Recommendation Matrix'!$A$5:$K$411,11,FALSE),""))</f>
        <v/>
      </c>
      <c r="L303" s="28" t="str">
        <f t="shared" si="42"/>
        <v/>
      </c>
      <c r="M303" s="28" t="str">
        <f>IF($G303="","",IFERROR(INDEX('Recommendation Matrix'!$L$5:$Q$411,MATCH($E303,'Recommendation Matrix'!$A$5:$A$411,0),$G303+1),""))</f>
        <v/>
      </c>
      <c r="N303" s="28" t="str">
        <f t="shared" si="43"/>
        <v/>
      </c>
      <c r="O303" s="28" t="str">
        <f t="shared" si="44"/>
        <v/>
      </c>
      <c r="P303" s="28" t="str">
        <f t="shared" si="45"/>
        <v/>
      </c>
      <c r="Q303" s="28" t="str">
        <f t="shared" si="46"/>
        <v/>
      </c>
      <c r="R303" s="8" t="str">
        <f t="shared" si="47"/>
        <v/>
      </c>
      <c r="S303" s="28">
        <f>IFERROR('IT Cloud DR'!$G$26,"")</f>
        <v>5</v>
      </c>
      <c r="T303" s="28">
        <f>IFERROR('IT Cloud DR'!$W$26,"")</f>
        <v>5</v>
      </c>
      <c r="U303" s="28">
        <f>IFERROR('IT Cloud DR'!$X$26,"")</f>
        <v>5</v>
      </c>
      <c r="V303" s="28">
        <f>IFERROR('IT Cloud DR'!$Y$26,"")</f>
        <v>5</v>
      </c>
      <c r="W303" s="7" t="s">
        <v>4673</v>
      </c>
      <c r="X303" s="7" t="s">
        <v>4674</v>
      </c>
      <c r="Y303" s="7" t="s">
        <v>4878</v>
      </c>
      <c r="Z303" s="7">
        <f>IFERROR('IT Cloud DR'!$U$26,"")</f>
        <v>0</v>
      </c>
      <c r="AA303" s="7"/>
      <c r="AB303" s="29"/>
      <c r="AC303" s="7"/>
      <c r="AD303" s="48" t="str">
        <f>IF($B303="Yes",IFERROR(SUMIFS(_TECH_Crisis_Model!$D$5:$D$191,_TECH_Crisis_Model!$A$5:$A$191,'Crisis Simulator'!$B$4,_TECH_Crisis_Model!$B$5:$B$191,$C303),1),"")</f>
        <v/>
      </c>
      <c r="AE303" s="48" t="str">
        <f t="shared" si="48"/>
        <v/>
      </c>
      <c r="AF303" s="48" t="str">
        <f>IFERROR(INDEX(_TECH_Crisis_Model!$E$5:$E$191,MATCH('Crisis Simulator'!$B$4&amp;"|"&amp;$C303,_TECH_Crisis_Model!$I$5:$I$191,0)),"")</f>
        <v>Cloud, infrastructure, backups, RTO and RPO determine system recoverability.</v>
      </c>
      <c r="AG303" s="48" t="str">
        <f>IFERROR(INDEX(_TECH_Crisis_Model!$G$5:$G$191,MATCH('Crisis Simulator'!$B$4&amp;"|"&amp;$C303,_TECH_Crisis_Model!$I$5:$I$191,0)),"")</f>
        <v>Implement tested backups, DR runbooks, failover, cloud landing zones and RTO/RPO monitoring.</v>
      </c>
      <c r="AH303" s="48" t="str">
        <f>IFERROR(INDEX(_TECH_Initiative_Library!$A$5:$A$76,MATCH(1,INDEX((_TECH_Initiative_Library!$B$5:$B$76=$C303)*(_TECH_Initiative_Library!$C$5:$C$76=$D303),0),0)),"")</f>
        <v>INI-051</v>
      </c>
      <c r="AI303" s="48" t="str">
        <f>IFERROR(INDEX(_TECH_Initiative_Library!$F$5:$F$76,MATCH(1,INDEX((_TECH_Initiative_Library!$B$5:$B$76=$C303)*(_TECH_Initiative_Library!$C$5:$C$76=$D303),0),0)),"")</f>
        <v>Strengthen IT operations, monitoring, incident and change management</v>
      </c>
      <c r="AJ303" s="48" t="str">
        <f ca="1">IFERROR(INDEX(_TECH_Initiative_Library!$AC$5:$AC$76,MATCH(1,INDEX((_TECH_Initiative_Library!$B$5:$B$76=$C303)*(_TECH_Initiative_Library!$C$5:$C$76=$D303),0),0)),"")</f>
        <v/>
      </c>
      <c r="AK303" s="48" t="str">
        <f ca="1">IFERROR(INDEX(_TECH_Initiative_Library!$AE$5:$AE$76,MATCH(1,INDEX((_TECH_Initiative_Library!$B$5:$B$76=$C303)*(_TECH_Initiative_Library!$C$5:$C$76=$D303),0),0)),"")</f>
        <v/>
      </c>
      <c r="AL303" s="48" t="str">
        <f>IF($B303="Yes",IFERROR(SUMIFS(_TECH_Industry_Templates!$E:$E,_TECH_Industry_Templates!$A:$A,'Company Profile'!$B$9,_TECH_Industry_Templates!$B:$B,$C303),1),"")</f>
        <v/>
      </c>
      <c r="AM303" s="48" t="str">
        <f t="shared" si="49"/>
        <v/>
      </c>
      <c r="AN303" s="48" t="str">
        <f>IF($AM303="","",RANK.EQ($AM303,$AM$8:$AM$414,0)+COUNTIF($AM$8:$AM303,$AM303)-1)</f>
        <v/>
      </c>
    </row>
    <row r="304" spans="1:40" ht="71.25">
      <c r="A304" s="28" t="str">
        <f>IF($AM304="","",RANK.EQ($AM304,$AM$8:$AM$414,0)+COUNTIF($AM$8:$AM304,$AM304)-1)</f>
        <v/>
      </c>
      <c r="B304" s="7" t="str">
        <f t="shared" si="40"/>
        <v/>
      </c>
      <c r="C304" s="7" t="s">
        <v>90</v>
      </c>
      <c r="D304" s="7" t="s">
        <v>1473</v>
      </c>
      <c r="E304" s="7" t="s">
        <v>4886</v>
      </c>
      <c r="F304" s="7" t="s">
        <v>4887</v>
      </c>
      <c r="G304" s="28" t="str">
        <f>IF(OR(COUNTA('IT Cloud DR'!$H$27)=0,'IT Cloud DR'!$H$27="N/A"),"",VALUE('IT Cloud DR'!$H$27))</f>
        <v/>
      </c>
      <c r="H304" s="7" t="str">
        <f t="shared" si="41"/>
        <v/>
      </c>
      <c r="I304" s="7" t="str">
        <f>IF($G304="","",IFERROR(IF('IT Cloud DR'!$L$27="",IF($G304&lt;=1,"Critical",IF($G304=2,"High",IF($G304=3,"Medium",IF($G304=4,"Low","Optimized")))),'IT Cloud DR'!$L$27),IF($G304&lt;=1,"Critical",IF($G304=2,"High",IF($G304=3,"Medium",IF($G304=4,"Low","Optimized"))))))</f>
        <v/>
      </c>
      <c r="J304" s="7" t="str">
        <f>IF($G304="","",IFERROR(INDEX('Recommendation Matrix'!$E$5:$J$411,MATCH($E304,'Recommendation Matrix'!$A$5:$A$411,0),$G304+1),""))</f>
        <v/>
      </c>
      <c r="K304" s="7" t="str">
        <f>IF($G304="","",IFERROR(VLOOKUP($E304,'Recommendation Matrix'!$A$5:$K$411,11,FALSE),""))</f>
        <v/>
      </c>
      <c r="L304" s="28" t="str">
        <f t="shared" si="42"/>
        <v/>
      </c>
      <c r="M304" s="28" t="str">
        <f>IF($G304="","",IFERROR(INDEX('Recommendation Matrix'!$L$5:$Q$411,MATCH($E304,'Recommendation Matrix'!$A$5:$A$411,0),$G304+1),""))</f>
        <v/>
      </c>
      <c r="N304" s="28" t="str">
        <f t="shared" si="43"/>
        <v/>
      </c>
      <c r="O304" s="28" t="str">
        <f t="shared" si="44"/>
        <v/>
      </c>
      <c r="P304" s="28" t="str">
        <f t="shared" si="45"/>
        <v/>
      </c>
      <c r="Q304" s="28" t="str">
        <f t="shared" si="46"/>
        <v/>
      </c>
      <c r="R304" s="8" t="str">
        <f t="shared" si="47"/>
        <v/>
      </c>
      <c r="S304" s="28">
        <f>IFERROR('IT Cloud DR'!$G$27,"")</f>
        <v>5</v>
      </c>
      <c r="T304" s="28">
        <f>IFERROR('IT Cloud DR'!$W$27,"")</f>
        <v>5</v>
      </c>
      <c r="U304" s="28">
        <f>IFERROR('IT Cloud DR'!$X$27,"")</f>
        <v>5</v>
      </c>
      <c r="V304" s="28">
        <f>IFERROR('IT Cloud DR'!$Y$27,"")</f>
        <v>5</v>
      </c>
      <c r="W304" s="7" t="s">
        <v>4673</v>
      </c>
      <c r="X304" s="7" t="s">
        <v>4674</v>
      </c>
      <c r="Y304" s="7" t="s">
        <v>4888</v>
      </c>
      <c r="Z304" s="7">
        <f>IFERROR('IT Cloud DR'!$U$27,"")</f>
        <v>0</v>
      </c>
      <c r="AA304" s="7"/>
      <c r="AB304" s="29"/>
      <c r="AC304" s="7"/>
      <c r="AD304" s="48" t="str">
        <f>IF($B304="Yes",IFERROR(SUMIFS(_TECH_Crisis_Model!$D$5:$D$191,_TECH_Crisis_Model!$A$5:$A$191,'Crisis Simulator'!$B$4,_TECH_Crisis_Model!$B$5:$B$191,$C304),1),"")</f>
        <v/>
      </c>
      <c r="AE304" s="48" t="str">
        <f t="shared" si="48"/>
        <v/>
      </c>
      <c r="AF304" s="48" t="str">
        <f>IFERROR(INDEX(_TECH_Crisis_Model!$E$5:$E$191,MATCH('Crisis Simulator'!$B$4&amp;"|"&amp;$C304,_TECH_Crisis_Model!$I$5:$I$191,0)),"")</f>
        <v>Cloud, infrastructure, backups, RTO and RPO determine system recoverability.</v>
      </c>
      <c r="AG304" s="48" t="str">
        <f>IFERROR(INDEX(_TECH_Crisis_Model!$G$5:$G$191,MATCH('Crisis Simulator'!$B$4&amp;"|"&amp;$C304,_TECH_Crisis_Model!$I$5:$I$191,0)),"")</f>
        <v>Implement tested backups, DR runbooks, failover, cloud landing zones and RTO/RPO monitoring.</v>
      </c>
      <c r="AH304" s="48" t="str">
        <f>IFERROR(INDEX(_TECH_Initiative_Library!$A$5:$A$76,MATCH(1,INDEX((_TECH_Initiative_Library!$B$5:$B$76=$C304)*(_TECH_Initiative_Library!$C$5:$C$76=$D304),0),0)),"")</f>
        <v>INI-051</v>
      </c>
      <c r="AI304" s="48" t="str">
        <f>IFERROR(INDEX(_TECH_Initiative_Library!$F$5:$F$76,MATCH(1,INDEX((_TECH_Initiative_Library!$B$5:$B$76=$C304)*(_TECH_Initiative_Library!$C$5:$C$76=$D304),0),0)),"")</f>
        <v>Strengthen IT operations, monitoring, incident and change management</v>
      </c>
      <c r="AJ304" s="48" t="str">
        <f ca="1">IFERROR(INDEX(_TECH_Initiative_Library!$AC$5:$AC$76,MATCH(1,INDEX((_TECH_Initiative_Library!$B$5:$B$76=$C304)*(_TECH_Initiative_Library!$C$5:$C$76=$D304),0),0)),"")</f>
        <v/>
      </c>
      <c r="AK304" s="48" t="str">
        <f ca="1">IFERROR(INDEX(_TECH_Initiative_Library!$AE$5:$AE$76,MATCH(1,INDEX((_TECH_Initiative_Library!$B$5:$B$76=$C304)*(_TECH_Initiative_Library!$C$5:$C$76=$D304),0),0)),"")</f>
        <v/>
      </c>
      <c r="AL304" s="48" t="str">
        <f>IF($B304="Yes",IFERROR(SUMIFS(_TECH_Industry_Templates!$E:$E,_TECH_Industry_Templates!$A:$A,'Company Profile'!$B$9,_TECH_Industry_Templates!$B:$B,$C304),1),"")</f>
        <v/>
      </c>
      <c r="AM304" s="48" t="str">
        <f t="shared" si="49"/>
        <v/>
      </c>
      <c r="AN304" s="48" t="str">
        <f>IF($AM304="","",RANK.EQ($AM304,$AM$8:$AM$414,0)+COUNTIF($AM$8:$AM304,$AM304)-1)</f>
        <v/>
      </c>
    </row>
    <row r="305" spans="1:40" ht="71.25">
      <c r="A305" s="28" t="str">
        <f>IF($AM305="","",RANK.EQ($AM305,$AM$8:$AM$414,0)+COUNTIF($AM$8:$AM305,$AM305)-1)</f>
        <v/>
      </c>
      <c r="B305" s="7" t="str">
        <f t="shared" si="40"/>
        <v/>
      </c>
      <c r="C305" s="7" t="s">
        <v>90</v>
      </c>
      <c r="D305" s="7" t="s">
        <v>1473</v>
      </c>
      <c r="E305" s="7" t="s">
        <v>4896</v>
      </c>
      <c r="F305" s="7" t="s">
        <v>4897</v>
      </c>
      <c r="G305" s="28" t="str">
        <f>IF(OR(COUNTA('IT Cloud DR'!$H$28)=0,'IT Cloud DR'!$H$28="N/A"),"",VALUE('IT Cloud DR'!$H$28))</f>
        <v/>
      </c>
      <c r="H305" s="7" t="str">
        <f t="shared" si="41"/>
        <v/>
      </c>
      <c r="I305" s="7" t="str">
        <f>IF($G305="","",IFERROR(IF('IT Cloud DR'!$L$28="",IF($G305&lt;=1,"Critical",IF($G305=2,"High",IF($G305=3,"Medium",IF($G305=4,"Low","Optimized")))),'IT Cloud DR'!$L$28),IF($G305&lt;=1,"Critical",IF($G305=2,"High",IF($G305=3,"Medium",IF($G305=4,"Low","Optimized"))))))</f>
        <v/>
      </c>
      <c r="J305" s="7" t="str">
        <f>IF($G305="","",IFERROR(INDEX('Recommendation Matrix'!$E$5:$J$411,MATCH($E305,'Recommendation Matrix'!$A$5:$A$411,0),$G305+1),""))</f>
        <v/>
      </c>
      <c r="K305" s="7" t="str">
        <f>IF($G305="","",IFERROR(VLOOKUP($E305,'Recommendation Matrix'!$A$5:$K$411,11,FALSE),""))</f>
        <v/>
      </c>
      <c r="L305" s="28" t="str">
        <f t="shared" si="42"/>
        <v/>
      </c>
      <c r="M305" s="28" t="str">
        <f>IF($G305="","",IFERROR(INDEX('Recommendation Matrix'!$L$5:$Q$411,MATCH($E305,'Recommendation Matrix'!$A$5:$A$411,0),$G305+1),""))</f>
        <v/>
      </c>
      <c r="N305" s="28" t="str">
        <f t="shared" si="43"/>
        <v/>
      </c>
      <c r="O305" s="28" t="str">
        <f t="shared" si="44"/>
        <v/>
      </c>
      <c r="P305" s="28" t="str">
        <f t="shared" si="45"/>
        <v/>
      </c>
      <c r="Q305" s="28" t="str">
        <f t="shared" si="46"/>
        <v/>
      </c>
      <c r="R305" s="8" t="str">
        <f t="shared" si="47"/>
        <v/>
      </c>
      <c r="S305" s="28">
        <f>IFERROR('IT Cloud DR'!$G$28,"")</f>
        <v>5</v>
      </c>
      <c r="T305" s="28">
        <f>IFERROR('IT Cloud DR'!$W$28,"")</f>
        <v>5</v>
      </c>
      <c r="U305" s="28">
        <f>IFERROR('IT Cloud DR'!$X$28,"")</f>
        <v>5</v>
      </c>
      <c r="V305" s="28">
        <f>IFERROR('IT Cloud DR'!$Y$28,"")</f>
        <v>5</v>
      </c>
      <c r="W305" s="7" t="s">
        <v>4673</v>
      </c>
      <c r="X305" s="7" t="s">
        <v>4674</v>
      </c>
      <c r="Y305" s="7" t="s">
        <v>4898</v>
      </c>
      <c r="Z305" s="7">
        <f>IFERROR('IT Cloud DR'!$U$28,"")</f>
        <v>0</v>
      </c>
      <c r="AA305" s="7"/>
      <c r="AB305" s="29"/>
      <c r="AC305" s="7"/>
      <c r="AD305" s="48" t="str">
        <f>IF($B305="Yes",IFERROR(SUMIFS(_TECH_Crisis_Model!$D$5:$D$191,_TECH_Crisis_Model!$A$5:$A$191,'Crisis Simulator'!$B$4,_TECH_Crisis_Model!$B$5:$B$191,$C305),1),"")</f>
        <v/>
      </c>
      <c r="AE305" s="48" t="str">
        <f t="shared" si="48"/>
        <v/>
      </c>
      <c r="AF305" s="48" t="str">
        <f>IFERROR(INDEX(_TECH_Crisis_Model!$E$5:$E$191,MATCH('Crisis Simulator'!$B$4&amp;"|"&amp;$C305,_TECH_Crisis_Model!$I$5:$I$191,0)),"")</f>
        <v>Cloud, infrastructure, backups, RTO and RPO determine system recoverability.</v>
      </c>
      <c r="AG305" s="48" t="str">
        <f>IFERROR(INDEX(_TECH_Crisis_Model!$G$5:$G$191,MATCH('Crisis Simulator'!$B$4&amp;"|"&amp;$C305,_TECH_Crisis_Model!$I$5:$I$191,0)),"")</f>
        <v>Implement tested backups, DR runbooks, failover, cloud landing zones and RTO/RPO monitoring.</v>
      </c>
      <c r="AH305" s="48" t="str">
        <f>IFERROR(INDEX(_TECH_Initiative_Library!$A$5:$A$76,MATCH(1,INDEX((_TECH_Initiative_Library!$B$5:$B$76=$C305)*(_TECH_Initiative_Library!$C$5:$C$76=$D305),0),0)),"")</f>
        <v>INI-051</v>
      </c>
      <c r="AI305" s="48" t="str">
        <f>IFERROR(INDEX(_TECH_Initiative_Library!$F$5:$F$76,MATCH(1,INDEX((_TECH_Initiative_Library!$B$5:$B$76=$C305)*(_TECH_Initiative_Library!$C$5:$C$76=$D305),0),0)),"")</f>
        <v>Strengthen IT operations, monitoring, incident and change management</v>
      </c>
      <c r="AJ305" s="48" t="str">
        <f ca="1">IFERROR(INDEX(_TECH_Initiative_Library!$AC$5:$AC$76,MATCH(1,INDEX((_TECH_Initiative_Library!$B$5:$B$76=$C305)*(_TECH_Initiative_Library!$C$5:$C$76=$D305),0),0)),"")</f>
        <v/>
      </c>
      <c r="AK305" s="48" t="str">
        <f ca="1">IFERROR(INDEX(_TECH_Initiative_Library!$AE$5:$AE$76,MATCH(1,INDEX((_TECH_Initiative_Library!$B$5:$B$76=$C305)*(_TECH_Initiative_Library!$C$5:$C$76=$D305),0),0)),"")</f>
        <v/>
      </c>
      <c r="AL305" s="48" t="str">
        <f>IF($B305="Yes",IFERROR(SUMIFS(_TECH_Industry_Templates!$E:$E,_TECH_Industry_Templates!$A:$A,'Company Profile'!$B$9,_TECH_Industry_Templates!$B:$B,$C305),1),"")</f>
        <v/>
      </c>
      <c r="AM305" s="48" t="str">
        <f t="shared" si="49"/>
        <v/>
      </c>
      <c r="AN305" s="48" t="str">
        <f>IF($AM305="","",RANK.EQ($AM305,$AM$8:$AM$414,0)+COUNTIF($AM$8:$AM305,$AM305)-1)</f>
        <v/>
      </c>
    </row>
    <row r="306" spans="1:40" ht="85.5">
      <c r="A306" s="28" t="str">
        <f>IF($AM306="","",RANK.EQ($AM306,$AM$8:$AM$414,0)+COUNTIF($AM$8:$AM306,$AM306)-1)</f>
        <v/>
      </c>
      <c r="B306" s="7" t="str">
        <f t="shared" si="40"/>
        <v/>
      </c>
      <c r="C306" s="7" t="s">
        <v>90</v>
      </c>
      <c r="D306" s="7" t="s">
        <v>1481</v>
      </c>
      <c r="E306" s="7" t="s">
        <v>4906</v>
      </c>
      <c r="F306" s="7" t="s">
        <v>4907</v>
      </c>
      <c r="G306" s="28" t="str">
        <f>IF(OR(COUNTA('IT Cloud DR'!$H$29)=0,'IT Cloud DR'!$H$29="N/A"),"",VALUE('IT Cloud DR'!$H$29))</f>
        <v/>
      </c>
      <c r="H306" s="7" t="str">
        <f t="shared" si="41"/>
        <v/>
      </c>
      <c r="I306" s="7" t="str">
        <f>IF($G306="","",IFERROR(IF('IT Cloud DR'!$L$29="",IF($G306&lt;=1,"Critical",IF($G306=2,"High",IF($G306=3,"Medium",IF($G306=4,"Low","Optimized")))),'IT Cloud DR'!$L$29),IF($G306&lt;=1,"Critical",IF($G306=2,"High",IF($G306=3,"Medium",IF($G306=4,"Low","Optimized"))))))</f>
        <v/>
      </c>
      <c r="J306" s="7" t="str">
        <f>IF($G306="","",IFERROR(INDEX('Recommendation Matrix'!$E$5:$J$411,MATCH($E306,'Recommendation Matrix'!$A$5:$A$411,0),$G306+1),""))</f>
        <v/>
      </c>
      <c r="K306" s="7" t="str">
        <f>IF($G306="","",IFERROR(VLOOKUP($E306,'Recommendation Matrix'!$A$5:$K$411,11,FALSE),""))</f>
        <v/>
      </c>
      <c r="L306" s="28" t="str">
        <f t="shared" si="42"/>
        <v/>
      </c>
      <c r="M306" s="28" t="str">
        <f>IF($G306="","",IFERROR(INDEX('Recommendation Matrix'!$L$5:$Q$411,MATCH($E306,'Recommendation Matrix'!$A$5:$A$411,0),$G306+1),""))</f>
        <v/>
      </c>
      <c r="N306" s="28" t="str">
        <f t="shared" si="43"/>
        <v/>
      </c>
      <c r="O306" s="28" t="str">
        <f t="shared" si="44"/>
        <v/>
      </c>
      <c r="P306" s="28" t="str">
        <f t="shared" si="45"/>
        <v/>
      </c>
      <c r="Q306" s="28" t="str">
        <f t="shared" si="46"/>
        <v/>
      </c>
      <c r="R306" s="8" t="str">
        <f t="shared" si="47"/>
        <v/>
      </c>
      <c r="S306" s="28">
        <f>IFERROR('IT Cloud DR'!$G$29,"")</f>
        <v>5</v>
      </c>
      <c r="T306" s="28">
        <f>IFERROR('IT Cloud DR'!$W$29,"")</f>
        <v>5</v>
      </c>
      <c r="U306" s="28">
        <f>IFERROR('IT Cloud DR'!$X$29,"")</f>
        <v>5</v>
      </c>
      <c r="V306" s="28">
        <f>IFERROR('IT Cloud DR'!$Y$29,"")</f>
        <v>5</v>
      </c>
      <c r="W306" s="7" t="s">
        <v>4673</v>
      </c>
      <c r="X306" s="7" t="s">
        <v>4674</v>
      </c>
      <c r="Y306" s="7" t="s">
        <v>4908</v>
      </c>
      <c r="Z306" s="7">
        <f>IFERROR('IT Cloud DR'!$U$29,"")</f>
        <v>0</v>
      </c>
      <c r="AA306" s="7"/>
      <c r="AB306" s="29"/>
      <c r="AC306" s="7"/>
      <c r="AD306" s="48" t="str">
        <f>IF($B306="Yes",IFERROR(SUMIFS(_TECH_Crisis_Model!$D$5:$D$191,_TECH_Crisis_Model!$A$5:$A$191,'Crisis Simulator'!$B$4,_TECH_Crisis_Model!$B$5:$B$191,$C306),1),"")</f>
        <v/>
      </c>
      <c r="AE306" s="48" t="str">
        <f t="shared" si="48"/>
        <v/>
      </c>
      <c r="AF306" s="48" t="str">
        <f>IFERROR(INDEX(_TECH_Crisis_Model!$E$5:$E$191,MATCH('Crisis Simulator'!$B$4&amp;"|"&amp;$C306,_TECH_Crisis_Model!$I$5:$I$191,0)),"")</f>
        <v>Cloud, infrastructure, backups, RTO and RPO determine system recoverability.</v>
      </c>
      <c r="AG306" s="48" t="str">
        <f>IFERROR(INDEX(_TECH_Crisis_Model!$G$5:$G$191,MATCH('Crisis Simulator'!$B$4&amp;"|"&amp;$C306,_TECH_Crisis_Model!$I$5:$I$191,0)),"")</f>
        <v>Implement tested backups, DR runbooks, failover, cloud landing zones and RTO/RPO monitoring.</v>
      </c>
      <c r="AH306" s="48" t="str">
        <f>IFERROR(INDEX(_TECH_Initiative_Library!$A$5:$A$76,MATCH(1,INDEX((_TECH_Initiative_Library!$B$5:$B$76=$C306)*(_TECH_Initiative_Library!$C$5:$C$76=$D306),0),0)),"")</f>
        <v>INI-052</v>
      </c>
      <c r="AI306" s="48" t="str">
        <f>IFERROR(INDEX(_TECH_Initiative_Library!$F$5:$F$76,MATCH(1,INDEX((_TECH_Initiative_Library!$B$5:$B$76=$C306)*(_TECH_Initiative_Library!$C$5:$C$76=$D306),0),0)),"")</f>
        <v>Stabilize SaaS ownership, integrations and vendor continuity</v>
      </c>
      <c r="AJ306" s="48" t="str">
        <f ca="1">IFERROR(INDEX(_TECH_Initiative_Library!$AC$5:$AC$76,MATCH(1,INDEX((_TECH_Initiative_Library!$B$5:$B$76=$C306)*(_TECH_Initiative_Library!$C$5:$C$76=$D306),0),0)),"")</f>
        <v/>
      </c>
      <c r="AK306" s="48" t="str">
        <f ca="1">IFERROR(INDEX(_TECH_Initiative_Library!$AE$5:$AE$76,MATCH(1,INDEX((_TECH_Initiative_Library!$B$5:$B$76=$C306)*(_TECH_Initiative_Library!$C$5:$C$76=$D306),0),0)),"")</f>
        <v/>
      </c>
      <c r="AL306" s="48" t="str">
        <f>IF($B306="Yes",IFERROR(SUMIFS(_TECH_Industry_Templates!$E:$E,_TECH_Industry_Templates!$A:$A,'Company Profile'!$B$9,_TECH_Industry_Templates!$B:$B,$C306),1),"")</f>
        <v/>
      </c>
      <c r="AM306" s="48" t="str">
        <f t="shared" si="49"/>
        <v/>
      </c>
      <c r="AN306" s="48" t="str">
        <f>IF($AM306="","",RANK.EQ($AM306,$AM$8:$AM$414,0)+COUNTIF($AM$8:$AM306,$AM306)-1)</f>
        <v/>
      </c>
    </row>
    <row r="307" spans="1:40" ht="71.25">
      <c r="A307" s="28" t="str">
        <f>IF($AM307="","",RANK.EQ($AM307,$AM$8:$AM$414,0)+COUNTIF($AM$8:$AM307,$AM307)-1)</f>
        <v/>
      </c>
      <c r="B307" s="7" t="str">
        <f t="shared" si="40"/>
        <v/>
      </c>
      <c r="C307" s="7" t="s">
        <v>90</v>
      </c>
      <c r="D307" s="7" t="s">
        <v>1481</v>
      </c>
      <c r="E307" s="7" t="s">
        <v>4916</v>
      </c>
      <c r="F307" s="7" t="s">
        <v>4917</v>
      </c>
      <c r="G307" s="28" t="str">
        <f>IF(OR(COUNTA('IT Cloud DR'!$H$30)=0,'IT Cloud DR'!$H$30="N/A"),"",VALUE('IT Cloud DR'!$H$30))</f>
        <v/>
      </c>
      <c r="H307" s="7" t="str">
        <f t="shared" si="41"/>
        <v/>
      </c>
      <c r="I307" s="7" t="str">
        <f>IF($G307="","",IFERROR(IF('IT Cloud DR'!$L$30="",IF($G307&lt;=1,"Critical",IF($G307=2,"High",IF($G307=3,"Medium",IF($G307=4,"Low","Optimized")))),'IT Cloud DR'!$L$30),IF($G307&lt;=1,"Critical",IF($G307=2,"High",IF($G307=3,"Medium",IF($G307=4,"Low","Optimized"))))))</f>
        <v/>
      </c>
      <c r="J307" s="7" t="str">
        <f>IF($G307="","",IFERROR(INDEX('Recommendation Matrix'!$E$5:$J$411,MATCH($E307,'Recommendation Matrix'!$A$5:$A$411,0),$G307+1),""))</f>
        <v/>
      </c>
      <c r="K307" s="7" t="str">
        <f>IF($G307="","",IFERROR(VLOOKUP($E307,'Recommendation Matrix'!$A$5:$K$411,11,FALSE),""))</f>
        <v/>
      </c>
      <c r="L307" s="28" t="str">
        <f t="shared" si="42"/>
        <v/>
      </c>
      <c r="M307" s="28" t="str">
        <f>IF($G307="","",IFERROR(INDEX('Recommendation Matrix'!$L$5:$Q$411,MATCH($E307,'Recommendation Matrix'!$A$5:$A$411,0),$G307+1),""))</f>
        <v/>
      </c>
      <c r="N307" s="28" t="str">
        <f t="shared" si="43"/>
        <v/>
      </c>
      <c r="O307" s="28" t="str">
        <f t="shared" si="44"/>
        <v/>
      </c>
      <c r="P307" s="28" t="str">
        <f t="shared" si="45"/>
        <v/>
      </c>
      <c r="Q307" s="28" t="str">
        <f t="shared" si="46"/>
        <v/>
      </c>
      <c r="R307" s="8" t="str">
        <f t="shared" si="47"/>
        <v/>
      </c>
      <c r="S307" s="28">
        <f>IFERROR('IT Cloud DR'!$G$30,"")</f>
        <v>5</v>
      </c>
      <c r="T307" s="28">
        <f>IFERROR('IT Cloud DR'!$W$30,"")</f>
        <v>5</v>
      </c>
      <c r="U307" s="28">
        <f>IFERROR('IT Cloud DR'!$X$30,"")</f>
        <v>5</v>
      </c>
      <c r="V307" s="28">
        <f>IFERROR('IT Cloud DR'!$Y$30,"")</f>
        <v>5</v>
      </c>
      <c r="W307" s="7" t="s">
        <v>4673</v>
      </c>
      <c r="X307" s="7" t="s">
        <v>4674</v>
      </c>
      <c r="Y307" s="7" t="s">
        <v>4918</v>
      </c>
      <c r="Z307" s="7">
        <f>IFERROR('IT Cloud DR'!$U$30,"")</f>
        <v>0</v>
      </c>
      <c r="AA307" s="7"/>
      <c r="AB307" s="29"/>
      <c r="AC307" s="7"/>
      <c r="AD307" s="48" t="str">
        <f>IF($B307="Yes",IFERROR(SUMIFS(_TECH_Crisis_Model!$D$5:$D$191,_TECH_Crisis_Model!$A$5:$A$191,'Crisis Simulator'!$B$4,_TECH_Crisis_Model!$B$5:$B$191,$C307),1),"")</f>
        <v/>
      </c>
      <c r="AE307" s="48" t="str">
        <f t="shared" si="48"/>
        <v/>
      </c>
      <c r="AF307" s="48" t="str">
        <f>IFERROR(INDEX(_TECH_Crisis_Model!$E$5:$E$191,MATCH('Crisis Simulator'!$B$4&amp;"|"&amp;$C307,_TECH_Crisis_Model!$I$5:$I$191,0)),"")</f>
        <v>Cloud, infrastructure, backups, RTO and RPO determine system recoverability.</v>
      </c>
      <c r="AG307" s="48" t="str">
        <f>IFERROR(INDEX(_TECH_Crisis_Model!$G$5:$G$191,MATCH('Crisis Simulator'!$B$4&amp;"|"&amp;$C307,_TECH_Crisis_Model!$I$5:$I$191,0)),"")</f>
        <v>Implement tested backups, DR runbooks, failover, cloud landing zones and RTO/RPO monitoring.</v>
      </c>
      <c r="AH307" s="48" t="str">
        <f>IFERROR(INDEX(_TECH_Initiative_Library!$A$5:$A$76,MATCH(1,INDEX((_TECH_Initiative_Library!$B$5:$B$76=$C307)*(_TECH_Initiative_Library!$C$5:$C$76=$D307),0),0)),"")</f>
        <v>INI-052</v>
      </c>
      <c r="AI307" s="48" t="str">
        <f>IFERROR(INDEX(_TECH_Initiative_Library!$F$5:$F$76,MATCH(1,INDEX((_TECH_Initiative_Library!$B$5:$B$76=$C307)*(_TECH_Initiative_Library!$C$5:$C$76=$D307),0),0)),"")</f>
        <v>Stabilize SaaS ownership, integrations and vendor continuity</v>
      </c>
      <c r="AJ307" s="48" t="str">
        <f ca="1">IFERROR(INDEX(_TECH_Initiative_Library!$AC$5:$AC$76,MATCH(1,INDEX((_TECH_Initiative_Library!$B$5:$B$76=$C307)*(_TECH_Initiative_Library!$C$5:$C$76=$D307),0),0)),"")</f>
        <v/>
      </c>
      <c r="AK307" s="48" t="str">
        <f ca="1">IFERROR(INDEX(_TECH_Initiative_Library!$AE$5:$AE$76,MATCH(1,INDEX((_TECH_Initiative_Library!$B$5:$B$76=$C307)*(_TECH_Initiative_Library!$C$5:$C$76=$D307),0),0)),"")</f>
        <v/>
      </c>
      <c r="AL307" s="48" t="str">
        <f>IF($B307="Yes",IFERROR(SUMIFS(_TECH_Industry_Templates!$E:$E,_TECH_Industry_Templates!$A:$A,'Company Profile'!$B$9,_TECH_Industry_Templates!$B:$B,$C307),1),"")</f>
        <v/>
      </c>
      <c r="AM307" s="48" t="str">
        <f t="shared" si="49"/>
        <v/>
      </c>
      <c r="AN307" s="48" t="str">
        <f>IF($AM307="","",RANK.EQ($AM307,$AM$8:$AM$414,0)+COUNTIF($AM$8:$AM307,$AM307)-1)</f>
        <v/>
      </c>
    </row>
    <row r="308" spans="1:40" ht="71.25">
      <c r="A308" s="28" t="str">
        <f>IF($AM308="","",RANK.EQ($AM308,$AM$8:$AM$414,0)+COUNTIF($AM$8:$AM308,$AM308)-1)</f>
        <v/>
      </c>
      <c r="B308" s="7" t="str">
        <f t="shared" si="40"/>
        <v/>
      </c>
      <c r="C308" s="7" t="s">
        <v>90</v>
      </c>
      <c r="D308" s="7" t="s">
        <v>1481</v>
      </c>
      <c r="E308" s="7" t="s">
        <v>4926</v>
      </c>
      <c r="F308" s="7" t="s">
        <v>4927</v>
      </c>
      <c r="G308" s="28" t="str">
        <f>IF(OR(COUNTA('IT Cloud DR'!$H$31)=0,'IT Cloud DR'!$H$31="N/A"),"",VALUE('IT Cloud DR'!$H$31))</f>
        <v/>
      </c>
      <c r="H308" s="7" t="str">
        <f t="shared" si="41"/>
        <v/>
      </c>
      <c r="I308" s="7" t="str">
        <f>IF($G308="","",IFERROR(IF('IT Cloud DR'!$L$31="",IF($G308&lt;=1,"Critical",IF($G308=2,"High",IF($G308=3,"Medium",IF($G308=4,"Low","Optimized")))),'IT Cloud DR'!$L$31),IF($G308&lt;=1,"Critical",IF($G308=2,"High",IF($G308=3,"Medium",IF($G308=4,"Low","Optimized"))))))</f>
        <v/>
      </c>
      <c r="J308" s="7" t="str">
        <f>IF($G308="","",IFERROR(INDEX('Recommendation Matrix'!$E$5:$J$411,MATCH($E308,'Recommendation Matrix'!$A$5:$A$411,0),$G308+1),""))</f>
        <v/>
      </c>
      <c r="K308" s="7" t="str">
        <f>IF($G308="","",IFERROR(VLOOKUP($E308,'Recommendation Matrix'!$A$5:$K$411,11,FALSE),""))</f>
        <v/>
      </c>
      <c r="L308" s="28" t="str">
        <f t="shared" si="42"/>
        <v/>
      </c>
      <c r="M308" s="28" t="str">
        <f>IF($G308="","",IFERROR(INDEX('Recommendation Matrix'!$L$5:$Q$411,MATCH($E308,'Recommendation Matrix'!$A$5:$A$411,0),$G308+1),""))</f>
        <v/>
      </c>
      <c r="N308" s="28" t="str">
        <f t="shared" si="43"/>
        <v/>
      </c>
      <c r="O308" s="28" t="str">
        <f t="shared" si="44"/>
        <v/>
      </c>
      <c r="P308" s="28" t="str">
        <f t="shared" si="45"/>
        <v/>
      </c>
      <c r="Q308" s="28" t="str">
        <f t="shared" si="46"/>
        <v/>
      </c>
      <c r="R308" s="8" t="str">
        <f t="shared" si="47"/>
        <v/>
      </c>
      <c r="S308" s="28">
        <f>IFERROR('IT Cloud DR'!$G$31,"")</f>
        <v>3</v>
      </c>
      <c r="T308" s="28">
        <f>IFERROR('IT Cloud DR'!$W$31,"")</f>
        <v>5</v>
      </c>
      <c r="U308" s="28">
        <f>IFERROR('IT Cloud DR'!$X$31,"")</f>
        <v>5</v>
      </c>
      <c r="V308" s="28">
        <f>IFERROR('IT Cloud DR'!$Y$31,"")</f>
        <v>5</v>
      </c>
      <c r="W308" s="7" t="s">
        <v>4673</v>
      </c>
      <c r="X308" s="7" t="s">
        <v>4674</v>
      </c>
      <c r="Y308" s="7" t="s">
        <v>4928</v>
      </c>
      <c r="Z308" s="7">
        <f>IFERROR('IT Cloud DR'!$U$31,"")</f>
        <v>0</v>
      </c>
      <c r="AA308" s="7"/>
      <c r="AB308" s="29"/>
      <c r="AC308" s="7"/>
      <c r="AD308" s="48" t="str">
        <f>IF($B308="Yes",IFERROR(SUMIFS(_TECH_Crisis_Model!$D$5:$D$191,_TECH_Crisis_Model!$A$5:$A$191,'Crisis Simulator'!$B$4,_TECH_Crisis_Model!$B$5:$B$191,$C308),1),"")</f>
        <v/>
      </c>
      <c r="AE308" s="48" t="str">
        <f t="shared" si="48"/>
        <v/>
      </c>
      <c r="AF308" s="48" t="str">
        <f>IFERROR(INDEX(_TECH_Crisis_Model!$E$5:$E$191,MATCH('Crisis Simulator'!$B$4&amp;"|"&amp;$C308,_TECH_Crisis_Model!$I$5:$I$191,0)),"")</f>
        <v>Cloud, infrastructure, backups, RTO and RPO determine system recoverability.</v>
      </c>
      <c r="AG308" s="48" t="str">
        <f>IFERROR(INDEX(_TECH_Crisis_Model!$G$5:$G$191,MATCH('Crisis Simulator'!$B$4&amp;"|"&amp;$C308,_TECH_Crisis_Model!$I$5:$I$191,0)),"")</f>
        <v>Implement tested backups, DR runbooks, failover, cloud landing zones and RTO/RPO monitoring.</v>
      </c>
      <c r="AH308" s="48" t="str">
        <f>IFERROR(INDEX(_TECH_Initiative_Library!$A$5:$A$76,MATCH(1,INDEX((_TECH_Initiative_Library!$B$5:$B$76=$C308)*(_TECH_Initiative_Library!$C$5:$C$76=$D308),0),0)),"")</f>
        <v>INI-052</v>
      </c>
      <c r="AI308" s="48" t="str">
        <f>IFERROR(INDEX(_TECH_Initiative_Library!$F$5:$F$76,MATCH(1,INDEX((_TECH_Initiative_Library!$B$5:$B$76=$C308)*(_TECH_Initiative_Library!$C$5:$C$76=$D308),0),0)),"")</f>
        <v>Stabilize SaaS ownership, integrations and vendor continuity</v>
      </c>
      <c r="AJ308" s="48" t="str">
        <f ca="1">IFERROR(INDEX(_TECH_Initiative_Library!$AC$5:$AC$76,MATCH(1,INDEX((_TECH_Initiative_Library!$B$5:$B$76=$C308)*(_TECH_Initiative_Library!$C$5:$C$76=$D308),0),0)),"")</f>
        <v/>
      </c>
      <c r="AK308" s="48" t="str">
        <f ca="1">IFERROR(INDEX(_TECH_Initiative_Library!$AE$5:$AE$76,MATCH(1,INDEX((_TECH_Initiative_Library!$B$5:$B$76=$C308)*(_TECH_Initiative_Library!$C$5:$C$76=$D308),0),0)),"")</f>
        <v/>
      </c>
      <c r="AL308" s="48" t="str">
        <f>IF($B308="Yes",IFERROR(SUMIFS(_TECH_Industry_Templates!$E:$E,_TECH_Industry_Templates!$A:$A,'Company Profile'!$B$9,_TECH_Industry_Templates!$B:$B,$C308),1),"")</f>
        <v/>
      </c>
      <c r="AM308" s="48" t="str">
        <f t="shared" si="49"/>
        <v/>
      </c>
      <c r="AN308" s="48" t="str">
        <f>IF($AM308="","",RANK.EQ($AM308,$AM$8:$AM$414,0)+COUNTIF($AM$8:$AM308,$AM308)-1)</f>
        <v/>
      </c>
    </row>
    <row r="309" spans="1:40" ht="71.25">
      <c r="A309" s="28" t="str">
        <f>IF($AM309="","",RANK.EQ($AM309,$AM$8:$AM$414,0)+COUNTIF($AM$8:$AM309,$AM309)-1)</f>
        <v/>
      </c>
      <c r="B309" s="7" t="str">
        <f t="shared" si="40"/>
        <v/>
      </c>
      <c r="C309" s="7" t="s">
        <v>90</v>
      </c>
      <c r="D309" s="7" t="s">
        <v>1481</v>
      </c>
      <c r="E309" s="7" t="s">
        <v>4936</v>
      </c>
      <c r="F309" s="7" t="s">
        <v>4937</v>
      </c>
      <c r="G309" s="28" t="str">
        <f>IF(OR(COUNTA('IT Cloud DR'!$H$32)=0,'IT Cloud DR'!$H$32="N/A"),"",VALUE('IT Cloud DR'!$H$32))</f>
        <v/>
      </c>
      <c r="H309" s="7" t="str">
        <f t="shared" si="41"/>
        <v/>
      </c>
      <c r="I309" s="7" t="str">
        <f>IF($G309="","",IFERROR(IF('IT Cloud DR'!$L$32="",IF($G309&lt;=1,"Critical",IF($G309=2,"High",IF($G309=3,"Medium",IF($G309=4,"Low","Optimized")))),'IT Cloud DR'!$L$32),IF($G309&lt;=1,"Critical",IF($G309=2,"High",IF($G309=3,"Medium",IF($G309=4,"Low","Optimized"))))))</f>
        <v/>
      </c>
      <c r="J309" s="7" t="str">
        <f>IF($G309="","",IFERROR(INDEX('Recommendation Matrix'!$E$5:$J$411,MATCH($E309,'Recommendation Matrix'!$A$5:$A$411,0),$G309+1),""))</f>
        <v/>
      </c>
      <c r="K309" s="7" t="str">
        <f>IF($G309="","",IFERROR(VLOOKUP($E309,'Recommendation Matrix'!$A$5:$K$411,11,FALSE),""))</f>
        <v/>
      </c>
      <c r="L309" s="28" t="str">
        <f t="shared" si="42"/>
        <v/>
      </c>
      <c r="M309" s="28" t="str">
        <f>IF($G309="","",IFERROR(INDEX('Recommendation Matrix'!$L$5:$Q$411,MATCH($E309,'Recommendation Matrix'!$A$5:$A$411,0),$G309+1),""))</f>
        <v/>
      </c>
      <c r="N309" s="28" t="str">
        <f t="shared" si="43"/>
        <v/>
      </c>
      <c r="O309" s="28" t="str">
        <f t="shared" si="44"/>
        <v/>
      </c>
      <c r="P309" s="28" t="str">
        <f t="shared" si="45"/>
        <v/>
      </c>
      <c r="Q309" s="28" t="str">
        <f t="shared" si="46"/>
        <v/>
      </c>
      <c r="R309" s="8" t="str">
        <f t="shared" si="47"/>
        <v/>
      </c>
      <c r="S309" s="28">
        <f>IFERROR('IT Cloud DR'!$G$32,"")</f>
        <v>3</v>
      </c>
      <c r="T309" s="28">
        <f>IFERROR('IT Cloud DR'!$W$32,"")</f>
        <v>5</v>
      </c>
      <c r="U309" s="28">
        <f>IFERROR('IT Cloud DR'!$X$32,"")</f>
        <v>5</v>
      </c>
      <c r="V309" s="28">
        <f>IFERROR('IT Cloud DR'!$Y$32,"")</f>
        <v>5</v>
      </c>
      <c r="W309" s="7" t="s">
        <v>4673</v>
      </c>
      <c r="X309" s="7" t="s">
        <v>4674</v>
      </c>
      <c r="Y309" s="7" t="s">
        <v>4938</v>
      </c>
      <c r="Z309" s="7">
        <f>IFERROR('IT Cloud DR'!$U$32,"")</f>
        <v>0</v>
      </c>
      <c r="AA309" s="7"/>
      <c r="AB309" s="29"/>
      <c r="AC309" s="7"/>
      <c r="AD309" s="48" t="str">
        <f>IF($B309="Yes",IFERROR(SUMIFS(_TECH_Crisis_Model!$D$5:$D$191,_TECH_Crisis_Model!$A$5:$A$191,'Crisis Simulator'!$B$4,_TECH_Crisis_Model!$B$5:$B$191,$C309),1),"")</f>
        <v/>
      </c>
      <c r="AE309" s="48" t="str">
        <f t="shared" si="48"/>
        <v/>
      </c>
      <c r="AF309" s="48" t="str">
        <f>IFERROR(INDEX(_TECH_Crisis_Model!$E$5:$E$191,MATCH('Crisis Simulator'!$B$4&amp;"|"&amp;$C309,_TECH_Crisis_Model!$I$5:$I$191,0)),"")</f>
        <v>Cloud, infrastructure, backups, RTO and RPO determine system recoverability.</v>
      </c>
      <c r="AG309" s="48" t="str">
        <f>IFERROR(INDEX(_TECH_Crisis_Model!$G$5:$G$191,MATCH('Crisis Simulator'!$B$4&amp;"|"&amp;$C309,_TECH_Crisis_Model!$I$5:$I$191,0)),"")</f>
        <v>Implement tested backups, DR runbooks, failover, cloud landing zones and RTO/RPO monitoring.</v>
      </c>
      <c r="AH309" s="48" t="str">
        <f>IFERROR(INDEX(_TECH_Initiative_Library!$A$5:$A$76,MATCH(1,INDEX((_TECH_Initiative_Library!$B$5:$B$76=$C309)*(_TECH_Initiative_Library!$C$5:$C$76=$D309),0),0)),"")</f>
        <v>INI-052</v>
      </c>
      <c r="AI309" s="48" t="str">
        <f>IFERROR(INDEX(_TECH_Initiative_Library!$F$5:$F$76,MATCH(1,INDEX((_TECH_Initiative_Library!$B$5:$B$76=$C309)*(_TECH_Initiative_Library!$C$5:$C$76=$D309),0),0)),"")</f>
        <v>Stabilize SaaS ownership, integrations and vendor continuity</v>
      </c>
      <c r="AJ309" s="48" t="str">
        <f ca="1">IFERROR(INDEX(_TECH_Initiative_Library!$AC$5:$AC$76,MATCH(1,INDEX((_TECH_Initiative_Library!$B$5:$B$76=$C309)*(_TECH_Initiative_Library!$C$5:$C$76=$D309),0),0)),"")</f>
        <v/>
      </c>
      <c r="AK309" s="48" t="str">
        <f ca="1">IFERROR(INDEX(_TECH_Initiative_Library!$AE$5:$AE$76,MATCH(1,INDEX((_TECH_Initiative_Library!$B$5:$B$76=$C309)*(_TECH_Initiative_Library!$C$5:$C$76=$D309),0),0)),"")</f>
        <v/>
      </c>
      <c r="AL309" s="48" t="str">
        <f>IF($B309="Yes",IFERROR(SUMIFS(_TECH_Industry_Templates!$E:$E,_TECH_Industry_Templates!$A:$A,'Company Profile'!$B$9,_TECH_Industry_Templates!$B:$B,$C309),1),"")</f>
        <v/>
      </c>
      <c r="AM309" s="48" t="str">
        <f t="shared" si="49"/>
        <v/>
      </c>
      <c r="AN309" s="48" t="str">
        <f>IF($AM309="","",RANK.EQ($AM309,$AM$8:$AM$414,0)+COUNTIF($AM$8:$AM309,$AM309)-1)</f>
        <v/>
      </c>
    </row>
    <row r="310" spans="1:40" ht="71.25">
      <c r="A310" s="28" t="str">
        <f>IF($AM310="","",RANK.EQ($AM310,$AM$8:$AM$414,0)+COUNTIF($AM$8:$AM310,$AM310)-1)</f>
        <v/>
      </c>
      <c r="B310" s="7" t="str">
        <f t="shared" si="40"/>
        <v/>
      </c>
      <c r="C310" s="7" t="s">
        <v>90</v>
      </c>
      <c r="D310" s="7" t="s">
        <v>1481</v>
      </c>
      <c r="E310" s="7" t="s">
        <v>4946</v>
      </c>
      <c r="F310" s="7" t="s">
        <v>4947</v>
      </c>
      <c r="G310" s="28" t="str">
        <f>IF(OR(COUNTA('IT Cloud DR'!$H$33)=0,'IT Cloud DR'!$H$33="N/A"),"",VALUE('IT Cloud DR'!$H$33))</f>
        <v/>
      </c>
      <c r="H310" s="7" t="str">
        <f t="shared" si="41"/>
        <v/>
      </c>
      <c r="I310" s="7" t="str">
        <f>IF($G310="","",IFERROR(IF('IT Cloud DR'!$L$33="",IF($G310&lt;=1,"Critical",IF($G310=2,"High",IF($G310=3,"Medium",IF($G310=4,"Low","Optimized")))),'IT Cloud DR'!$L$33),IF($G310&lt;=1,"Critical",IF($G310=2,"High",IF($G310=3,"Medium",IF($G310=4,"Low","Optimized"))))))</f>
        <v/>
      </c>
      <c r="J310" s="7" t="str">
        <f>IF($G310="","",IFERROR(INDEX('Recommendation Matrix'!$E$5:$J$411,MATCH($E310,'Recommendation Matrix'!$A$5:$A$411,0),$G310+1),""))</f>
        <v/>
      </c>
      <c r="K310" s="7" t="str">
        <f>IF($G310="","",IFERROR(VLOOKUP($E310,'Recommendation Matrix'!$A$5:$K$411,11,FALSE),""))</f>
        <v/>
      </c>
      <c r="L310" s="28" t="str">
        <f t="shared" si="42"/>
        <v/>
      </c>
      <c r="M310" s="28" t="str">
        <f>IF($G310="","",IFERROR(INDEX('Recommendation Matrix'!$L$5:$Q$411,MATCH($E310,'Recommendation Matrix'!$A$5:$A$411,0),$G310+1),""))</f>
        <v/>
      </c>
      <c r="N310" s="28" t="str">
        <f t="shared" si="43"/>
        <v/>
      </c>
      <c r="O310" s="28" t="str">
        <f t="shared" si="44"/>
        <v/>
      </c>
      <c r="P310" s="28" t="str">
        <f t="shared" si="45"/>
        <v/>
      </c>
      <c r="Q310" s="28" t="str">
        <f t="shared" si="46"/>
        <v/>
      </c>
      <c r="R310" s="8" t="str">
        <f t="shared" si="47"/>
        <v/>
      </c>
      <c r="S310" s="28">
        <f>IFERROR('IT Cloud DR'!$G$33,"")</f>
        <v>5</v>
      </c>
      <c r="T310" s="28">
        <f>IFERROR('IT Cloud DR'!$W$33,"")</f>
        <v>5</v>
      </c>
      <c r="U310" s="28">
        <f>IFERROR('IT Cloud DR'!$X$33,"")</f>
        <v>5</v>
      </c>
      <c r="V310" s="28">
        <f>IFERROR('IT Cloud DR'!$Y$33,"")</f>
        <v>5</v>
      </c>
      <c r="W310" s="7" t="s">
        <v>4673</v>
      </c>
      <c r="X310" s="7" t="s">
        <v>4674</v>
      </c>
      <c r="Y310" s="7" t="s">
        <v>4948</v>
      </c>
      <c r="Z310" s="7">
        <f>IFERROR('IT Cloud DR'!$U$33,"")</f>
        <v>0</v>
      </c>
      <c r="AA310" s="7"/>
      <c r="AB310" s="29"/>
      <c r="AC310" s="7"/>
      <c r="AD310" s="48" t="str">
        <f>IF($B310="Yes",IFERROR(SUMIFS(_TECH_Crisis_Model!$D$5:$D$191,_TECH_Crisis_Model!$A$5:$A$191,'Crisis Simulator'!$B$4,_TECH_Crisis_Model!$B$5:$B$191,$C310),1),"")</f>
        <v/>
      </c>
      <c r="AE310" s="48" t="str">
        <f t="shared" si="48"/>
        <v/>
      </c>
      <c r="AF310" s="48" t="str">
        <f>IFERROR(INDEX(_TECH_Crisis_Model!$E$5:$E$191,MATCH('Crisis Simulator'!$B$4&amp;"|"&amp;$C310,_TECH_Crisis_Model!$I$5:$I$191,0)),"")</f>
        <v>Cloud, infrastructure, backups, RTO and RPO determine system recoverability.</v>
      </c>
      <c r="AG310" s="48" t="str">
        <f>IFERROR(INDEX(_TECH_Crisis_Model!$G$5:$G$191,MATCH('Crisis Simulator'!$B$4&amp;"|"&amp;$C310,_TECH_Crisis_Model!$I$5:$I$191,0)),"")</f>
        <v>Implement tested backups, DR runbooks, failover, cloud landing zones and RTO/RPO monitoring.</v>
      </c>
      <c r="AH310" s="48" t="str">
        <f>IFERROR(INDEX(_TECH_Initiative_Library!$A$5:$A$76,MATCH(1,INDEX((_TECH_Initiative_Library!$B$5:$B$76=$C310)*(_TECH_Initiative_Library!$C$5:$C$76=$D310),0),0)),"")</f>
        <v>INI-052</v>
      </c>
      <c r="AI310" s="48" t="str">
        <f>IFERROR(INDEX(_TECH_Initiative_Library!$F$5:$F$76,MATCH(1,INDEX((_TECH_Initiative_Library!$B$5:$B$76=$C310)*(_TECH_Initiative_Library!$C$5:$C$76=$D310),0),0)),"")</f>
        <v>Stabilize SaaS ownership, integrations and vendor continuity</v>
      </c>
      <c r="AJ310" s="48" t="str">
        <f ca="1">IFERROR(INDEX(_TECH_Initiative_Library!$AC$5:$AC$76,MATCH(1,INDEX((_TECH_Initiative_Library!$B$5:$B$76=$C310)*(_TECH_Initiative_Library!$C$5:$C$76=$D310),0),0)),"")</f>
        <v/>
      </c>
      <c r="AK310" s="48" t="str">
        <f ca="1">IFERROR(INDEX(_TECH_Initiative_Library!$AE$5:$AE$76,MATCH(1,INDEX((_TECH_Initiative_Library!$B$5:$B$76=$C310)*(_TECH_Initiative_Library!$C$5:$C$76=$D310),0),0)),"")</f>
        <v/>
      </c>
      <c r="AL310" s="48" t="str">
        <f>IF($B310="Yes",IFERROR(SUMIFS(_TECH_Industry_Templates!$E:$E,_TECH_Industry_Templates!$A:$A,'Company Profile'!$B$9,_TECH_Industry_Templates!$B:$B,$C310),1),"")</f>
        <v/>
      </c>
      <c r="AM310" s="48" t="str">
        <f t="shared" si="49"/>
        <v/>
      </c>
      <c r="AN310" s="48" t="str">
        <f>IF($AM310="","",RANK.EQ($AM310,$AM$8:$AM$414,0)+COUNTIF($AM$8:$AM310,$AM310)-1)</f>
        <v/>
      </c>
    </row>
    <row r="311" spans="1:40" ht="85.5">
      <c r="A311" s="28" t="str">
        <f>IF($AM311="","",RANK.EQ($AM311,$AM$8:$AM$414,0)+COUNTIF($AM$8:$AM311,$AM311)-1)</f>
        <v/>
      </c>
      <c r="B311" s="7" t="str">
        <f t="shared" si="40"/>
        <v/>
      </c>
      <c r="C311" s="7" t="s">
        <v>91</v>
      </c>
      <c r="D311" s="7" t="s">
        <v>1489</v>
      </c>
      <c r="E311" s="7" t="s">
        <v>4958</v>
      </c>
      <c r="F311" s="7" t="s">
        <v>4959</v>
      </c>
      <c r="G311" s="28" t="str">
        <f>IF(OR(COUNTA('Business Systems'!$H$5)=0,'Business Systems'!$H$5="N/A"),"",VALUE('Business Systems'!$H$5))</f>
        <v/>
      </c>
      <c r="H311" s="7" t="str">
        <f t="shared" si="41"/>
        <v/>
      </c>
      <c r="I311" s="7" t="str">
        <f>IF($G311="","",IFERROR(IF('Business Systems'!$L$5="",IF($G311&lt;=1,"Critical",IF($G311=2,"High",IF($G311=3,"Medium",IF($G311=4,"Low","Optimized")))),'Business Systems'!$L$5),IF($G311&lt;=1,"Critical",IF($G311=2,"High",IF($G311=3,"Medium",IF($G311=4,"Low","Optimized"))))))</f>
        <v/>
      </c>
      <c r="J311" s="7" t="str">
        <f>IF($G311="","",IFERROR(INDEX('Recommendation Matrix'!$E$5:$J$411,MATCH($E311,'Recommendation Matrix'!$A$5:$A$411,0),$G311+1),""))</f>
        <v/>
      </c>
      <c r="K311" s="7" t="str">
        <f>IF($G311="","",IFERROR(VLOOKUP($E311,'Recommendation Matrix'!$A$5:$K$411,11,FALSE),""))</f>
        <v/>
      </c>
      <c r="L311" s="28" t="str">
        <f t="shared" si="42"/>
        <v/>
      </c>
      <c r="M311" s="28" t="str">
        <f>IF($G311="","",IFERROR(INDEX('Recommendation Matrix'!$L$5:$Q$411,MATCH($E311,'Recommendation Matrix'!$A$5:$A$411,0),$G311+1),""))</f>
        <v/>
      </c>
      <c r="N311" s="28" t="str">
        <f t="shared" si="43"/>
        <v/>
      </c>
      <c r="O311" s="28" t="str">
        <f t="shared" si="44"/>
        <v/>
      </c>
      <c r="P311" s="28" t="str">
        <f t="shared" si="45"/>
        <v/>
      </c>
      <c r="Q311" s="28" t="str">
        <f t="shared" si="46"/>
        <v/>
      </c>
      <c r="R311" s="8" t="str">
        <f t="shared" si="47"/>
        <v/>
      </c>
      <c r="S311" s="28">
        <f>IFERROR('Business Systems'!$G$5,"")</f>
        <v>5</v>
      </c>
      <c r="T311" s="28">
        <f>IFERROR('Business Systems'!$W$5,"")</f>
        <v>5</v>
      </c>
      <c r="U311" s="28">
        <f>IFERROR('Business Systems'!$X$5,"")</f>
        <v>5</v>
      </c>
      <c r="V311" s="28">
        <f>IFERROR('Business Systems'!$Y$5,"")</f>
        <v>5</v>
      </c>
      <c r="W311" s="7" t="s">
        <v>4969</v>
      </c>
      <c r="X311" s="7" t="s">
        <v>4970</v>
      </c>
      <c r="Y311" s="7" t="s">
        <v>4962</v>
      </c>
      <c r="Z311" s="7">
        <f>IFERROR('Business Systems'!$U$5,"")</f>
        <v>0</v>
      </c>
      <c r="AA311" s="7"/>
      <c r="AB311" s="29"/>
      <c r="AC311" s="7"/>
      <c r="AD311" s="48" t="str">
        <f>IF($B311="Yes",IFERROR(SUMIFS(_TECH_Crisis_Model!$D$5:$D$191,_TECH_Crisis_Model!$A$5:$A$191,'Crisis Simulator'!$B$4,_TECH_Crisis_Model!$B$5:$B$191,$C311),1),"")</f>
        <v/>
      </c>
      <c r="AE311" s="48" t="str">
        <f t="shared" si="48"/>
        <v/>
      </c>
      <c r="AF311" s="48" t="str">
        <f>IFERROR(INDEX(_TECH_Crisis_Model!$E$5:$E$191,MATCH('Crisis Simulator'!$B$4&amp;"|"&amp;$C311,_TECH_Crisis_Model!$I$5:$I$191,0)),"")</f>
        <v>ERP, CRM, HRMS, MES and SaaS continuity determine transaction and process continuity.</v>
      </c>
      <c r="AG311" s="48" t="str">
        <f>IFERROR(INDEX(_TECH_Crisis_Model!$G$5:$G$191,MATCH('Crisis Simulator'!$B$4&amp;"|"&amp;$C311,_TECH_Crisis_Model!$I$5:$I$191,0)),"")</f>
        <v>Document system dependencies, SaaS continuity, role access, data exports and manual fallback.</v>
      </c>
      <c r="AH311" s="48" t="str">
        <f>IFERROR(INDEX(_TECH_Initiative_Library!$A$5:$A$76,MATCH(1,INDEX((_TECH_Initiative_Library!$B$5:$B$76=$C311)*(_TECH_Initiative_Library!$C$5:$C$76=$D311),0),0)),"")</f>
        <v>INI-053</v>
      </c>
      <c r="AI311" s="48" t="str">
        <f>IFERROR(INDEX(_TECH_Initiative_Library!$F$5:$F$76,MATCH(1,INDEX((_TECH_Initiative_Library!$B$5:$B$76=$C311)*(_TECH_Initiative_Library!$C$5:$C$76=$D311),0),0)),"")</f>
        <v>Stabilize ERP process ownership, master data and continuity controls</v>
      </c>
      <c r="AJ311" s="48" t="str">
        <f ca="1">IFERROR(INDEX(_TECH_Initiative_Library!$AC$5:$AC$76,MATCH(1,INDEX((_TECH_Initiative_Library!$B$5:$B$76=$C311)*(_TECH_Initiative_Library!$C$5:$C$76=$D311),0),0)),"")</f>
        <v/>
      </c>
      <c r="AK311" s="48" t="str">
        <f ca="1">IFERROR(INDEX(_TECH_Initiative_Library!$AE$5:$AE$76,MATCH(1,INDEX((_TECH_Initiative_Library!$B$5:$B$76=$C311)*(_TECH_Initiative_Library!$C$5:$C$76=$D311),0),0)),"")</f>
        <v/>
      </c>
      <c r="AL311" s="48" t="str">
        <f>IF($B311="Yes",IFERROR(SUMIFS(_TECH_Industry_Templates!$E:$E,_TECH_Industry_Templates!$A:$A,'Company Profile'!$B$9,_TECH_Industry_Templates!$B:$B,$C311),1),"")</f>
        <v/>
      </c>
      <c r="AM311" s="48" t="str">
        <f t="shared" si="49"/>
        <v/>
      </c>
      <c r="AN311" s="48" t="str">
        <f>IF($AM311="","",RANK.EQ($AM311,$AM$8:$AM$414,0)+COUNTIF($AM$8:$AM311,$AM311)-1)</f>
        <v/>
      </c>
    </row>
    <row r="312" spans="1:40" ht="85.5">
      <c r="A312" s="28" t="str">
        <f>IF($AM312="","",RANK.EQ($AM312,$AM$8:$AM$414,0)+COUNTIF($AM$8:$AM312,$AM312)-1)</f>
        <v/>
      </c>
      <c r="B312" s="7" t="str">
        <f t="shared" si="40"/>
        <v/>
      </c>
      <c r="C312" s="7" t="s">
        <v>91</v>
      </c>
      <c r="D312" s="7" t="s">
        <v>1489</v>
      </c>
      <c r="E312" s="7" t="s">
        <v>4972</v>
      </c>
      <c r="F312" s="7" t="s">
        <v>4973</v>
      </c>
      <c r="G312" s="28" t="str">
        <f>IF(OR(COUNTA('Business Systems'!$H$6)=0,'Business Systems'!$H$6="N/A"),"",VALUE('Business Systems'!$H$6))</f>
        <v/>
      </c>
      <c r="H312" s="7" t="str">
        <f t="shared" si="41"/>
        <v/>
      </c>
      <c r="I312" s="7" t="str">
        <f>IF($G312="","",IFERROR(IF('Business Systems'!$L$6="",IF($G312&lt;=1,"Critical",IF($G312=2,"High",IF($G312=3,"Medium",IF($G312=4,"Low","Optimized")))),'Business Systems'!$L$6),IF($G312&lt;=1,"Critical",IF($G312=2,"High",IF($G312=3,"Medium",IF($G312=4,"Low","Optimized"))))))</f>
        <v/>
      </c>
      <c r="J312" s="7" t="str">
        <f>IF($G312="","",IFERROR(INDEX('Recommendation Matrix'!$E$5:$J$411,MATCH($E312,'Recommendation Matrix'!$A$5:$A$411,0),$G312+1),""))</f>
        <v/>
      </c>
      <c r="K312" s="7" t="str">
        <f>IF($G312="","",IFERROR(VLOOKUP($E312,'Recommendation Matrix'!$A$5:$K$411,11,FALSE),""))</f>
        <v/>
      </c>
      <c r="L312" s="28" t="str">
        <f t="shared" si="42"/>
        <v/>
      </c>
      <c r="M312" s="28" t="str">
        <f>IF($G312="","",IFERROR(INDEX('Recommendation Matrix'!$L$5:$Q$411,MATCH($E312,'Recommendation Matrix'!$A$5:$A$411,0),$G312+1),""))</f>
        <v/>
      </c>
      <c r="N312" s="28" t="str">
        <f t="shared" si="43"/>
        <v/>
      </c>
      <c r="O312" s="28" t="str">
        <f t="shared" si="44"/>
        <v/>
      </c>
      <c r="P312" s="28" t="str">
        <f t="shared" si="45"/>
        <v/>
      </c>
      <c r="Q312" s="28" t="str">
        <f t="shared" si="46"/>
        <v/>
      </c>
      <c r="R312" s="8" t="str">
        <f t="shared" si="47"/>
        <v/>
      </c>
      <c r="S312" s="28">
        <f>IFERROR('Business Systems'!$G$6,"")</f>
        <v>5</v>
      </c>
      <c r="T312" s="28">
        <f>IFERROR('Business Systems'!$W$6,"")</f>
        <v>5</v>
      </c>
      <c r="U312" s="28">
        <f>IFERROR('Business Systems'!$X$6,"")</f>
        <v>5</v>
      </c>
      <c r="V312" s="28">
        <f>IFERROR('Business Systems'!$Y$6,"")</f>
        <v>5</v>
      </c>
      <c r="W312" s="7" t="s">
        <v>4969</v>
      </c>
      <c r="X312" s="7" t="s">
        <v>4970</v>
      </c>
      <c r="Y312" s="7" t="s">
        <v>4974</v>
      </c>
      <c r="Z312" s="7">
        <f>IFERROR('Business Systems'!$U$6,"")</f>
        <v>0</v>
      </c>
      <c r="AA312" s="7"/>
      <c r="AB312" s="29"/>
      <c r="AC312" s="7"/>
      <c r="AD312" s="48" t="str">
        <f>IF($B312="Yes",IFERROR(SUMIFS(_TECH_Crisis_Model!$D$5:$D$191,_TECH_Crisis_Model!$A$5:$A$191,'Crisis Simulator'!$B$4,_TECH_Crisis_Model!$B$5:$B$191,$C312),1),"")</f>
        <v/>
      </c>
      <c r="AE312" s="48" t="str">
        <f t="shared" si="48"/>
        <v/>
      </c>
      <c r="AF312" s="48" t="str">
        <f>IFERROR(INDEX(_TECH_Crisis_Model!$E$5:$E$191,MATCH('Crisis Simulator'!$B$4&amp;"|"&amp;$C312,_TECH_Crisis_Model!$I$5:$I$191,0)),"")</f>
        <v>ERP, CRM, HRMS, MES and SaaS continuity determine transaction and process continuity.</v>
      </c>
      <c r="AG312" s="48" t="str">
        <f>IFERROR(INDEX(_TECH_Crisis_Model!$G$5:$G$191,MATCH('Crisis Simulator'!$B$4&amp;"|"&amp;$C312,_TECH_Crisis_Model!$I$5:$I$191,0)),"")</f>
        <v>Document system dependencies, SaaS continuity, role access, data exports and manual fallback.</v>
      </c>
      <c r="AH312" s="48" t="str">
        <f>IFERROR(INDEX(_TECH_Initiative_Library!$A$5:$A$76,MATCH(1,INDEX((_TECH_Initiative_Library!$B$5:$B$76=$C312)*(_TECH_Initiative_Library!$C$5:$C$76=$D312),0),0)),"")</f>
        <v>INI-053</v>
      </c>
      <c r="AI312" s="48" t="str">
        <f>IFERROR(INDEX(_TECH_Initiative_Library!$F$5:$F$76,MATCH(1,INDEX((_TECH_Initiative_Library!$B$5:$B$76=$C312)*(_TECH_Initiative_Library!$C$5:$C$76=$D312),0),0)),"")</f>
        <v>Stabilize ERP process ownership, master data and continuity controls</v>
      </c>
      <c r="AJ312" s="48" t="str">
        <f ca="1">IFERROR(INDEX(_TECH_Initiative_Library!$AC$5:$AC$76,MATCH(1,INDEX((_TECH_Initiative_Library!$B$5:$B$76=$C312)*(_TECH_Initiative_Library!$C$5:$C$76=$D312),0),0)),"")</f>
        <v/>
      </c>
      <c r="AK312" s="48" t="str">
        <f ca="1">IFERROR(INDEX(_TECH_Initiative_Library!$AE$5:$AE$76,MATCH(1,INDEX((_TECH_Initiative_Library!$B$5:$B$76=$C312)*(_TECH_Initiative_Library!$C$5:$C$76=$D312),0),0)),"")</f>
        <v/>
      </c>
      <c r="AL312" s="48" t="str">
        <f>IF($B312="Yes",IFERROR(SUMIFS(_TECH_Industry_Templates!$E:$E,_TECH_Industry_Templates!$A:$A,'Company Profile'!$B$9,_TECH_Industry_Templates!$B:$B,$C312),1),"")</f>
        <v/>
      </c>
      <c r="AM312" s="48" t="str">
        <f t="shared" si="49"/>
        <v/>
      </c>
      <c r="AN312" s="48" t="str">
        <f>IF($AM312="","",RANK.EQ($AM312,$AM$8:$AM$414,0)+COUNTIF($AM$8:$AM312,$AM312)-1)</f>
        <v/>
      </c>
    </row>
    <row r="313" spans="1:40" ht="71.25">
      <c r="A313" s="28" t="str">
        <f>IF($AM313="","",RANK.EQ($AM313,$AM$8:$AM$414,0)+COUNTIF($AM$8:$AM313,$AM313)-1)</f>
        <v/>
      </c>
      <c r="B313" s="7" t="str">
        <f t="shared" si="40"/>
        <v/>
      </c>
      <c r="C313" s="7" t="s">
        <v>91</v>
      </c>
      <c r="D313" s="7" t="s">
        <v>1489</v>
      </c>
      <c r="E313" s="7" t="s">
        <v>4982</v>
      </c>
      <c r="F313" s="7" t="s">
        <v>4983</v>
      </c>
      <c r="G313" s="28" t="str">
        <f>IF(OR(COUNTA('Business Systems'!$H$7)=0,'Business Systems'!$H$7="N/A"),"",VALUE('Business Systems'!$H$7))</f>
        <v/>
      </c>
      <c r="H313" s="7" t="str">
        <f t="shared" si="41"/>
        <v/>
      </c>
      <c r="I313" s="7" t="str">
        <f>IF($G313="","",IFERROR(IF('Business Systems'!$L$7="",IF($G313&lt;=1,"Critical",IF($G313=2,"High",IF($G313=3,"Medium",IF($G313=4,"Low","Optimized")))),'Business Systems'!$L$7),IF($G313&lt;=1,"Critical",IF($G313=2,"High",IF($G313=3,"Medium",IF($G313=4,"Low","Optimized"))))))</f>
        <v/>
      </c>
      <c r="J313" s="7" t="str">
        <f>IF($G313="","",IFERROR(INDEX('Recommendation Matrix'!$E$5:$J$411,MATCH($E313,'Recommendation Matrix'!$A$5:$A$411,0),$G313+1),""))</f>
        <v/>
      </c>
      <c r="K313" s="7" t="str">
        <f>IF($G313="","",IFERROR(VLOOKUP($E313,'Recommendation Matrix'!$A$5:$K$411,11,FALSE),""))</f>
        <v/>
      </c>
      <c r="L313" s="28" t="str">
        <f t="shared" si="42"/>
        <v/>
      </c>
      <c r="M313" s="28" t="str">
        <f>IF($G313="","",IFERROR(INDEX('Recommendation Matrix'!$L$5:$Q$411,MATCH($E313,'Recommendation Matrix'!$A$5:$A$411,0),$G313+1),""))</f>
        <v/>
      </c>
      <c r="N313" s="28" t="str">
        <f t="shared" si="43"/>
        <v/>
      </c>
      <c r="O313" s="28" t="str">
        <f t="shared" si="44"/>
        <v/>
      </c>
      <c r="P313" s="28" t="str">
        <f t="shared" si="45"/>
        <v/>
      </c>
      <c r="Q313" s="28" t="str">
        <f t="shared" si="46"/>
        <v/>
      </c>
      <c r="R313" s="8" t="str">
        <f t="shared" si="47"/>
        <v/>
      </c>
      <c r="S313" s="28">
        <f>IFERROR('Business Systems'!$G$7,"")</f>
        <v>5</v>
      </c>
      <c r="T313" s="28">
        <f>IFERROR('Business Systems'!$W$7,"")</f>
        <v>5</v>
      </c>
      <c r="U313" s="28">
        <f>IFERROR('Business Systems'!$X$7,"")</f>
        <v>5</v>
      </c>
      <c r="V313" s="28">
        <f>IFERROR('Business Systems'!$Y$7,"")</f>
        <v>5</v>
      </c>
      <c r="W313" s="7" t="s">
        <v>4969</v>
      </c>
      <c r="X313" s="7" t="s">
        <v>4970</v>
      </c>
      <c r="Y313" s="7" t="s">
        <v>4984</v>
      </c>
      <c r="Z313" s="7">
        <f>IFERROR('Business Systems'!$U$7,"")</f>
        <v>0</v>
      </c>
      <c r="AA313" s="7"/>
      <c r="AB313" s="29"/>
      <c r="AC313" s="7"/>
      <c r="AD313" s="48" t="str">
        <f>IF($B313="Yes",IFERROR(SUMIFS(_TECH_Crisis_Model!$D$5:$D$191,_TECH_Crisis_Model!$A$5:$A$191,'Crisis Simulator'!$B$4,_TECH_Crisis_Model!$B$5:$B$191,$C313),1),"")</f>
        <v/>
      </c>
      <c r="AE313" s="48" t="str">
        <f t="shared" si="48"/>
        <v/>
      </c>
      <c r="AF313" s="48" t="str">
        <f>IFERROR(INDEX(_TECH_Crisis_Model!$E$5:$E$191,MATCH('Crisis Simulator'!$B$4&amp;"|"&amp;$C313,_TECH_Crisis_Model!$I$5:$I$191,0)),"")</f>
        <v>ERP, CRM, HRMS, MES and SaaS continuity determine transaction and process continuity.</v>
      </c>
      <c r="AG313" s="48" t="str">
        <f>IFERROR(INDEX(_TECH_Crisis_Model!$G$5:$G$191,MATCH('Crisis Simulator'!$B$4&amp;"|"&amp;$C313,_TECH_Crisis_Model!$I$5:$I$191,0)),"")</f>
        <v>Document system dependencies, SaaS continuity, role access, data exports and manual fallback.</v>
      </c>
      <c r="AH313" s="48" t="str">
        <f>IFERROR(INDEX(_TECH_Initiative_Library!$A$5:$A$76,MATCH(1,INDEX((_TECH_Initiative_Library!$B$5:$B$76=$C313)*(_TECH_Initiative_Library!$C$5:$C$76=$D313),0),0)),"")</f>
        <v>INI-053</v>
      </c>
      <c r="AI313" s="48" t="str">
        <f>IFERROR(INDEX(_TECH_Initiative_Library!$F$5:$F$76,MATCH(1,INDEX((_TECH_Initiative_Library!$B$5:$B$76=$C313)*(_TECH_Initiative_Library!$C$5:$C$76=$D313),0),0)),"")</f>
        <v>Stabilize ERP process ownership, master data and continuity controls</v>
      </c>
      <c r="AJ313" s="48" t="str">
        <f ca="1">IFERROR(INDEX(_TECH_Initiative_Library!$AC$5:$AC$76,MATCH(1,INDEX((_TECH_Initiative_Library!$B$5:$B$76=$C313)*(_TECH_Initiative_Library!$C$5:$C$76=$D313),0),0)),"")</f>
        <v/>
      </c>
      <c r="AK313" s="48" t="str">
        <f ca="1">IFERROR(INDEX(_TECH_Initiative_Library!$AE$5:$AE$76,MATCH(1,INDEX((_TECH_Initiative_Library!$B$5:$B$76=$C313)*(_TECH_Initiative_Library!$C$5:$C$76=$D313),0),0)),"")</f>
        <v/>
      </c>
      <c r="AL313" s="48" t="str">
        <f>IF($B313="Yes",IFERROR(SUMIFS(_TECH_Industry_Templates!$E:$E,_TECH_Industry_Templates!$A:$A,'Company Profile'!$B$9,_TECH_Industry_Templates!$B:$B,$C313),1),"")</f>
        <v/>
      </c>
      <c r="AM313" s="48" t="str">
        <f t="shared" si="49"/>
        <v/>
      </c>
      <c r="AN313" s="48" t="str">
        <f>IF($AM313="","",RANK.EQ($AM313,$AM$8:$AM$414,0)+COUNTIF($AM$8:$AM313,$AM313)-1)</f>
        <v/>
      </c>
    </row>
    <row r="314" spans="1:40" ht="71.25">
      <c r="A314" s="28" t="str">
        <f>IF($AM314="","",RANK.EQ($AM314,$AM$8:$AM$414,0)+COUNTIF($AM$8:$AM314,$AM314)-1)</f>
        <v/>
      </c>
      <c r="B314" s="7" t="str">
        <f t="shared" si="40"/>
        <v/>
      </c>
      <c r="C314" s="7" t="s">
        <v>91</v>
      </c>
      <c r="D314" s="7" t="s">
        <v>1489</v>
      </c>
      <c r="E314" s="7" t="s">
        <v>4992</v>
      </c>
      <c r="F314" s="7" t="s">
        <v>4993</v>
      </c>
      <c r="G314" s="28" t="str">
        <f>IF(OR(COUNTA('Business Systems'!$H$8)=0,'Business Systems'!$H$8="N/A"),"",VALUE('Business Systems'!$H$8))</f>
        <v/>
      </c>
      <c r="H314" s="7" t="str">
        <f t="shared" si="41"/>
        <v/>
      </c>
      <c r="I314" s="7" t="str">
        <f>IF($G314="","",IFERROR(IF('Business Systems'!$L$8="",IF($G314&lt;=1,"Critical",IF($G314=2,"High",IF($G314=3,"Medium",IF($G314=4,"Low","Optimized")))),'Business Systems'!$L$8),IF($G314&lt;=1,"Critical",IF($G314=2,"High",IF($G314=3,"Medium",IF($G314=4,"Low","Optimized"))))))</f>
        <v/>
      </c>
      <c r="J314" s="7" t="str">
        <f>IF($G314="","",IFERROR(INDEX('Recommendation Matrix'!$E$5:$J$411,MATCH($E314,'Recommendation Matrix'!$A$5:$A$411,0),$G314+1),""))</f>
        <v/>
      </c>
      <c r="K314" s="7" t="str">
        <f>IF($G314="","",IFERROR(VLOOKUP($E314,'Recommendation Matrix'!$A$5:$K$411,11,FALSE),""))</f>
        <v/>
      </c>
      <c r="L314" s="28" t="str">
        <f t="shared" si="42"/>
        <v/>
      </c>
      <c r="M314" s="28" t="str">
        <f>IF($G314="","",IFERROR(INDEX('Recommendation Matrix'!$L$5:$Q$411,MATCH($E314,'Recommendation Matrix'!$A$5:$A$411,0),$G314+1),""))</f>
        <v/>
      </c>
      <c r="N314" s="28" t="str">
        <f t="shared" si="43"/>
        <v/>
      </c>
      <c r="O314" s="28" t="str">
        <f t="shared" si="44"/>
        <v/>
      </c>
      <c r="P314" s="28" t="str">
        <f t="shared" si="45"/>
        <v/>
      </c>
      <c r="Q314" s="28" t="str">
        <f t="shared" si="46"/>
        <v/>
      </c>
      <c r="R314" s="8" t="str">
        <f t="shared" si="47"/>
        <v/>
      </c>
      <c r="S314" s="28">
        <f>IFERROR('Business Systems'!$G$8,"")</f>
        <v>5</v>
      </c>
      <c r="T314" s="28">
        <f>IFERROR('Business Systems'!$W$8,"")</f>
        <v>5</v>
      </c>
      <c r="U314" s="28">
        <f>IFERROR('Business Systems'!$X$8,"")</f>
        <v>5</v>
      </c>
      <c r="V314" s="28">
        <f>IFERROR('Business Systems'!$Y$8,"")</f>
        <v>5</v>
      </c>
      <c r="W314" s="7" t="s">
        <v>4969</v>
      </c>
      <c r="X314" s="7" t="s">
        <v>4970</v>
      </c>
      <c r="Y314" s="7" t="s">
        <v>4994</v>
      </c>
      <c r="Z314" s="7">
        <f>IFERROR('Business Systems'!$U$8,"")</f>
        <v>0</v>
      </c>
      <c r="AA314" s="7"/>
      <c r="AB314" s="29"/>
      <c r="AC314" s="7"/>
      <c r="AD314" s="48" t="str">
        <f>IF($B314="Yes",IFERROR(SUMIFS(_TECH_Crisis_Model!$D$5:$D$191,_TECH_Crisis_Model!$A$5:$A$191,'Crisis Simulator'!$B$4,_TECH_Crisis_Model!$B$5:$B$191,$C314),1),"")</f>
        <v/>
      </c>
      <c r="AE314" s="48" t="str">
        <f t="shared" si="48"/>
        <v/>
      </c>
      <c r="AF314" s="48" t="str">
        <f>IFERROR(INDEX(_TECH_Crisis_Model!$E$5:$E$191,MATCH('Crisis Simulator'!$B$4&amp;"|"&amp;$C314,_TECH_Crisis_Model!$I$5:$I$191,0)),"")</f>
        <v>ERP, CRM, HRMS, MES and SaaS continuity determine transaction and process continuity.</v>
      </c>
      <c r="AG314" s="48" t="str">
        <f>IFERROR(INDEX(_TECH_Crisis_Model!$G$5:$G$191,MATCH('Crisis Simulator'!$B$4&amp;"|"&amp;$C314,_TECH_Crisis_Model!$I$5:$I$191,0)),"")</f>
        <v>Document system dependencies, SaaS continuity, role access, data exports and manual fallback.</v>
      </c>
      <c r="AH314" s="48" t="str">
        <f>IFERROR(INDEX(_TECH_Initiative_Library!$A$5:$A$76,MATCH(1,INDEX((_TECH_Initiative_Library!$B$5:$B$76=$C314)*(_TECH_Initiative_Library!$C$5:$C$76=$D314),0),0)),"")</f>
        <v>INI-053</v>
      </c>
      <c r="AI314" s="48" t="str">
        <f>IFERROR(INDEX(_TECH_Initiative_Library!$F$5:$F$76,MATCH(1,INDEX((_TECH_Initiative_Library!$B$5:$B$76=$C314)*(_TECH_Initiative_Library!$C$5:$C$76=$D314),0),0)),"")</f>
        <v>Stabilize ERP process ownership, master data and continuity controls</v>
      </c>
      <c r="AJ314" s="48" t="str">
        <f ca="1">IFERROR(INDEX(_TECH_Initiative_Library!$AC$5:$AC$76,MATCH(1,INDEX((_TECH_Initiative_Library!$B$5:$B$76=$C314)*(_TECH_Initiative_Library!$C$5:$C$76=$D314),0),0)),"")</f>
        <v/>
      </c>
      <c r="AK314" s="48" t="str">
        <f ca="1">IFERROR(INDEX(_TECH_Initiative_Library!$AE$5:$AE$76,MATCH(1,INDEX((_TECH_Initiative_Library!$B$5:$B$76=$C314)*(_TECH_Initiative_Library!$C$5:$C$76=$D314),0),0)),"")</f>
        <v/>
      </c>
      <c r="AL314" s="48" t="str">
        <f>IF($B314="Yes",IFERROR(SUMIFS(_TECH_Industry_Templates!$E:$E,_TECH_Industry_Templates!$A:$A,'Company Profile'!$B$9,_TECH_Industry_Templates!$B:$B,$C314),1),"")</f>
        <v/>
      </c>
      <c r="AM314" s="48" t="str">
        <f t="shared" si="49"/>
        <v/>
      </c>
      <c r="AN314" s="48" t="str">
        <f>IF($AM314="","",RANK.EQ($AM314,$AM$8:$AM$414,0)+COUNTIF($AM$8:$AM314,$AM314)-1)</f>
        <v/>
      </c>
    </row>
    <row r="315" spans="1:40" ht="85.5">
      <c r="A315" s="28" t="str">
        <f>IF($AM315="","",RANK.EQ($AM315,$AM$8:$AM$414,0)+COUNTIF($AM$8:$AM315,$AM315)-1)</f>
        <v/>
      </c>
      <c r="B315" s="7" t="str">
        <f t="shared" si="40"/>
        <v/>
      </c>
      <c r="C315" s="7" t="s">
        <v>91</v>
      </c>
      <c r="D315" s="7" t="s">
        <v>1489</v>
      </c>
      <c r="E315" s="7" t="s">
        <v>5002</v>
      </c>
      <c r="F315" s="7" t="s">
        <v>5003</v>
      </c>
      <c r="G315" s="28" t="str">
        <f>IF(OR(COUNTA('Business Systems'!$H$9)=0,'Business Systems'!$H$9="N/A"),"",VALUE('Business Systems'!$H$9))</f>
        <v/>
      </c>
      <c r="H315" s="7" t="str">
        <f t="shared" si="41"/>
        <v/>
      </c>
      <c r="I315" s="7" t="str">
        <f>IF($G315="","",IFERROR(IF('Business Systems'!$L$9="",IF($G315&lt;=1,"Critical",IF($G315=2,"High",IF($G315=3,"Medium",IF($G315=4,"Low","Optimized")))),'Business Systems'!$L$9),IF($G315&lt;=1,"Critical",IF($G315=2,"High",IF($G315=3,"Medium",IF($G315=4,"Low","Optimized"))))))</f>
        <v/>
      </c>
      <c r="J315" s="7" t="str">
        <f>IF($G315="","",IFERROR(INDEX('Recommendation Matrix'!$E$5:$J$411,MATCH($E315,'Recommendation Matrix'!$A$5:$A$411,0),$G315+1),""))</f>
        <v/>
      </c>
      <c r="K315" s="7" t="str">
        <f>IF($G315="","",IFERROR(VLOOKUP($E315,'Recommendation Matrix'!$A$5:$K$411,11,FALSE),""))</f>
        <v/>
      </c>
      <c r="L315" s="28" t="str">
        <f t="shared" si="42"/>
        <v/>
      </c>
      <c r="M315" s="28" t="str">
        <f>IF($G315="","",IFERROR(INDEX('Recommendation Matrix'!$L$5:$Q$411,MATCH($E315,'Recommendation Matrix'!$A$5:$A$411,0),$G315+1),""))</f>
        <v/>
      </c>
      <c r="N315" s="28" t="str">
        <f t="shared" si="43"/>
        <v/>
      </c>
      <c r="O315" s="28" t="str">
        <f t="shared" si="44"/>
        <v/>
      </c>
      <c r="P315" s="28" t="str">
        <f t="shared" si="45"/>
        <v/>
      </c>
      <c r="Q315" s="28" t="str">
        <f t="shared" si="46"/>
        <v/>
      </c>
      <c r="R315" s="8" t="str">
        <f t="shared" si="47"/>
        <v/>
      </c>
      <c r="S315" s="28">
        <f>IFERROR('Business Systems'!$G$9,"")</f>
        <v>5</v>
      </c>
      <c r="T315" s="28">
        <f>IFERROR('Business Systems'!$W$9,"")</f>
        <v>5</v>
      </c>
      <c r="U315" s="28">
        <f>IFERROR('Business Systems'!$X$9,"")</f>
        <v>5</v>
      </c>
      <c r="V315" s="28">
        <f>IFERROR('Business Systems'!$Y$9,"")</f>
        <v>5</v>
      </c>
      <c r="W315" s="7" t="s">
        <v>4969</v>
      </c>
      <c r="X315" s="7" t="s">
        <v>4970</v>
      </c>
      <c r="Y315" s="7" t="s">
        <v>5004</v>
      </c>
      <c r="Z315" s="7">
        <f>IFERROR('Business Systems'!$U$9,"")</f>
        <v>0</v>
      </c>
      <c r="AA315" s="7"/>
      <c r="AB315" s="29"/>
      <c r="AC315" s="7"/>
      <c r="AD315" s="48" t="str">
        <f>IF($B315="Yes",IFERROR(SUMIFS(_TECH_Crisis_Model!$D$5:$D$191,_TECH_Crisis_Model!$A$5:$A$191,'Crisis Simulator'!$B$4,_TECH_Crisis_Model!$B$5:$B$191,$C315),1),"")</f>
        <v/>
      </c>
      <c r="AE315" s="48" t="str">
        <f t="shared" si="48"/>
        <v/>
      </c>
      <c r="AF315" s="48" t="str">
        <f>IFERROR(INDEX(_TECH_Crisis_Model!$E$5:$E$191,MATCH('Crisis Simulator'!$B$4&amp;"|"&amp;$C315,_TECH_Crisis_Model!$I$5:$I$191,0)),"")</f>
        <v>ERP, CRM, HRMS, MES and SaaS continuity determine transaction and process continuity.</v>
      </c>
      <c r="AG315" s="48" t="str">
        <f>IFERROR(INDEX(_TECH_Crisis_Model!$G$5:$G$191,MATCH('Crisis Simulator'!$B$4&amp;"|"&amp;$C315,_TECH_Crisis_Model!$I$5:$I$191,0)),"")</f>
        <v>Document system dependencies, SaaS continuity, role access, data exports and manual fallback.</v>
      </c>
      <c r="AH315" s="48" t="str">
        <f>IFERROR(INDEX(_TECH_Initiative_Library!$A$5:$A$76,MATCH(1,INDEX((_TECH_Initiative_Library!$B$5:$B$76=$C315)*(_TECH_Initiative_Library!$C$5:$C$76=$D315),0),0)),"")</f>
        <v>INI-053</v>
      </c>
      <c r="AI315" s="48" t="str">
        <f>IFERROR(INDEX(_TECH_Initiative_Library!$F$5:$F$76,MATCH(1,INDEX((_TECH_Initiative_Library!$B$5:$B$76=$C315)*(_TECH_Initiative_Library!$C$5:$C$76=$D315),0),0)),"")</f>
        <v>Stabilize ERP process ownership, master data and continuity controls</v>
      </c>
      <c r="AJ315" s="48" t="str">
        <f ca="1">IFERROR(INDEX(_TECH_Initiative_Library!$AC$5:$AC$76,MATCH(1,INDEX((_TECH_Initiative_Library!$B$5:$B$76=$C315)*(_TECH_Initiative_Library!$C$5:$C$76=$D315),0),0)),"")</f>
        <v/>
      </c>
      <c r="AK315" s="48" t="str">
        <f ca="1">IFERROR(INDEX(_TECH_Initiative_Library!$AE$5:$AE$76,MATCH(1,INDEX((_TECH_Initiative_Library!$B$5:$B$76=$C315)*(_TECH_Initiative_Library!$C$5:$C$76=$D315),0),0)),"")</f>
        <v/>
      </c>
      <c r="AL315" s="48" t="str">
        <f>IF($B315="Yes",IFERROR(SUMIFS(_TECH_Industry_Templates!$E:$E,_TECH_Industry_Templates!$A:$A,'Company Profile'!$B$9,_TECH_Industry_Templates!$B:$B,$C315),1),"")</f>
        <v/>
      </c>
      <c r="AM315" s="48" t="str">
        <f t="shared" si="49"/>
        <v/>
      </c>
      <c r="AN315" s="48" t="str">
        <f>IF($AM315="","",RANK.EQ($AM315,$AM$8:$AM$414,0)+COUNTIF($AM$8:$AM315,$AM315)-1)</f>
        <v/>
      </c>
    </row>
    <row r="316" spans="1:40" ht="85.5">
      <c r="A316" s="28" t="str">
        <f>IF($AM316="","",RANK.EQ($AM316,$AM$8:$AM$414,0)+COUNTIF($AM$8:$AM316,$AM316)-1)</f>
        <v/>
      </c>
      <c r="B316" s="7" t="str">
        <f t="shared" si="40"/>
        <v/>
      </c>
      <c r="C316" s="7" t="s">
        <v>91</v>
      </c>
      <c r="D316" s="7" t="s">
        <v>1503</v>
      </c>
      <c r="E316" s="7" t="s">
        <v>5012</v>
      </c>
      <c r="F316" s="7" t="s">
        <v>5013</v>
      </c>
      <c r="G316" s="28" t="str">
        <f>IF(OR(COUNTA('Business Systems'!$H$10)=0,'Business Systems'!$H$10="N/A"),"",VALUE('Business Systems'!$H$10))</f>
        <v/>
      </c>
      <c r="H316" s="7" t="str">
        <f t="shared" si="41"/>
        <v/>
      </c>
      <c r="I316" s="7" t="str">
        <f>IF($G316="","",IFERROR(IF('Business Systems'!$L$10="",IF($G316&lt;=1,"Critical",IF($G316=2,"High",IF($G316=3,"Medium",IF($G316=4,"Low","Optimized")))),'Business Systems'!$L$10),IF($G316&lt;=1,"Critical",IF($G316=2,"High",IF($G316=3,"Medium",IF($G316=4,"Low","Optimized"))))))</f>
        <v/>
      </c>
      <c r="J316" s="7" t="str">
        <f>IF($G316="","",IFERROR(INDEX('Recommendation Matrix'!$E$5:$J$411,MATCH($E316,'Recommendation Matrix'!$A$5:$A$411,0),$G316+1),""))</f>
        <v/>
      </c>
      <c r="K316" s="7" t="str">
        <f>IF($G316="","",IFERROR(VLOOKUP($E316,'Recommendation Matrix'!$A$5:$K$411,11,FALSE),""))</f>
        <v/>
      </c>
      <c r="L316" s="28" t="str">
        <f t="shared" si="42"/>
        <v/>
      </c>
      <c r="M316" s="28" t="str">
        <f>IF($G316="","",IFERROR(INDEX('Recommendation Matrix'!$L$5:$Q$411,MATCH($E316,'Recommendation Matrix'!$A$5:$A$411,0),$G316+1),""))</f>
        <v/>
      </c>
      <c r="N316" s="28" t="str">
        <f t="shared" si="43"/>
        <v/>
      </c>
      <c r="O316" s="28" t="str">
        <f t="shared" si="44"/>
        <v/>
      </c>
      <c r="P316" s="28" t="str">
        <f t="shared" si="45"/>
        <v/>
      </c>
      <c r="Q316" s="28" t="str">
        <f t="shared" si="46"/>
        <v/>
      </c>
      <c r="R316" s="8" t="str">
        <f t="shared" si="47"/>
        <v/>
      </c>
      <c r="S316" s="28">
        <f>IFERROR('Business Systems'!$G$10,"")</f>
        <v>5</v>
      </c>
      <c r="T316" s="28">
        <f>IFERROR('Business Systems'!$W$10,"")</f>
        <v>5</v>
      </c>
      <c r="U316" s="28">
        <f>IFERROR('Business Systems'!$X$10,"")</f>
        <v>5</v>
      </c>
      <c r="V316" s="28">
        <f>IFERROR('Business Systems'!$Y$10,"")</f>
        <v>5</v>
      </c>
      <c r="W316" s="7" t="s">
        <v>4969</v>
      </c>
      <c r="X316" s="7" t="s">
        <v>4970</v>
      </c>
      <c r="Y316" s="7" t="s">
        <v>5014</v>
      </c>
      <c r="Z316" s="7">
        <f>IFERROR('Business Systems'!$U$10,"")</f>
        <v>0</v>
      </c>
      <c r="AA316" s="7"/>
      <c r="AB316" s="29"/>
      <c r="AC316" s="7"/>
      <c r="AD316" s="48" t="str">
        <f>IF($B316="Yes",IFERROR(SUMIFS(_TECH_Crisis_Model!$D$5:$D$191,_TECH_Crisis_Model!$A$5:$A$191,'Crisis Simulator'!$B$4,_TECH_Crisis_Model!$B$5:$B$191,$C316),1),"")</f>
        <v/>
      </c>
      <c r="AE316" s="48" t="str">
        <f t="shared" si="48"/>
        <v/>
      </c>
      <c r="AF316" s="48" t="str">
        <f>IFERROR(INDEX(_TECH_Crisis_Model!$E$5:$E$191,MATCH('Crisis Simulator'!$B$4&amp;"|"&amp;$C316,_TECH_Crisis_Model!$I$5:$I$191,0)),"")</f>
        <v>ERP, CRM, HRMS, MES and SaaS continuity determine transaction and process continuity.</v>
      </c>
      <c r="AG316" s="48" t="str">
        <f>IFERROR(INDEX(_TECH_Crisis_Model!$G$5:$G$191,MATCH('Crisis Simulator'!$B$4&amp;"|"&amp;$C316,_TECH_Crisis_Model!$I$5:$I$191,0)),"")</f>
        <v>Document system dependencies, SaaS continuity, role access, data exports and manual fallback.</v>
      </c>
      <c r="AH316" s="48" t="str">
        <f>IFERROR(INDEX(_TECH_Initiative_Library!$A$5:$A$76,MATCH(1,INDEX((_TECH_Initiative_Library!$B$5:$B$76=$C316)*(_TECH_Initiative_Library!$C$5:$C$76=$D316),0),0)),"")</f>
        <v>INI-054</v>
      </c>
      <c r="AI316" s="48" t="str">
        <f>IFERROR(INDEX(_TECH_Initiative_Library!$F$5:$F$76,MATCH(1,INDEX((_TECH_Initiative_Library!$B$5:$B$76=$C316)*(_TECH_Initiative_Library!$C$5:$C$76=$D316),0),0)),"")</f>
        <v>Integrate CRM, commerce and customer-service systems</v>
      </c>
      <c r="AJ316" s="48" t="str">
        <f ca="1">IFERROR(INDEX(_TECH_Initiative_Library!$AC$5:$AC$76,MATCH(1,INDEX((_TECH_Initiative_Library!$B$5:$B$76=$C316)*(_TECH_Initiative_Library!$C$5:$C$76=$D316),0),0)),"")</f>
        <v/>
      </c>
      <c r="AK316" s="48" t="str">
        <f ca="1">IFERROR(INDEX(_TECH_Initiative_Library!$AE$5:$AE$76,MATCH(1,INDEX((_TECH_Initiative_Library!$B$5:$B$76=$C316)*(_TECH_Initiative_Library!$C$5:$C$76=$D316),0),0)),"")</f>
        <v/>
      </c>
      <c r="AL316" s="48" t="str">
        <f>IF($B316="Yes",IFERROR(SUMIFS(_TECH_Industry_Templates!$E:$E,_TECH_Industry_Templates!$A:$A,'Company Profile'!$B$9,_TECH_Industry_Templates!$B:$B,$C316),1),"")</f>
        <v/>
      </c>
      <c r="AM316" s="48" t="str">
        <f t="shared" si="49"/>
        <v/>
      </c>
      <c r="AN316" s="48" t="str">
        <f>IF($AM316="","",RANK.EQ($AM316,$AM$8:$AM$414,0)+COUNTIF($AM$8:$AM316,$AM316)-1)</f>
        <v/>
      </c>
    </row>
    <row r="317" spans="1:40" ht="71.25">
      <c r="A317" s="28" t="str">
        <f>IF($AM317="","",RANK.EQ($AM317,$AM$8:$AM$414,0)+COUNTIF($AM$8:$AM317,$AM317)-1)</f>
        <v/>
      </c>
      <c r="B317" s="7" t="str">
        <f t="shared" si="40"/>
        <v/>
      </c>
      <c r="C317" s="7" t="s">
        <v>91</v>
      </c>
      <c r="D317" s="7" t="s">
        <v>1503</v>
      </c>
      <c r="E317" s="7" t="s">
        <v>5022</v>
      </c>
      <c r="F317" s="7" t="s">
        <v>5023</v>
      </c>
      <c r="G317" s="28" t="str">
        <f>IF(OR(COUNTA('Business Systems'!$H$11)=0,'Business Systems'!$H$11="N/A"),"",VALUE('Business Systems'!$H$11))</f>
        <v/>
      </c>
      <c r="H317" s="7" t="str">
        <f t="shared" si="41"/>
        <v/>
      </c>
      <c r="I317" s="7" t="str">
        <f>IF($G317="","",IFERROR(IF('Business Systems'!$L$11="",IF($G317&lt;=1,"Critical",IF($G317=2,"High",IF($G317=3,"Medium",IF($G317=4,"Low","Optimized")))),'Business Systems'!$L$11),IF($G317&lt;=1,"Critical",IF($G317=2,"High",IF($G317=3,"Medium",IF($G317=4,"Low","Optimized"))))))</f>
        <v/>
      </c>
      <c r="J317" s="7" t="str">
        <f>IF($G317="","",IFERROR(INDEX('Recommendation Matrix'!$E$5:$J$411,MATCH($E317,'Recommendation Matrix'!$A$5:$A$411,0),$G317+1),""))</f>
        <v/>
      </c>
      <c r="K317" s="7" t="str">
        <f>IF($G317="","",IFERROR(VLOOKUP($E317,'Recommendation Matrix'!$A$5:$K$411,11,FALSE),""))</f>
        <v/>
      </c>
      <c r="L317" s="28" t="str">
        <f t="shared" si="42"/>
        <v/>
      </c>
      <c r="M317" s="28" t="str">
        <f>IF($G317="","",IFERROR(INDEX('Recommendation Matrix'!$L$5:$Q$411,MATCH($E317,'Recommendation Matrix'!$A$5:$A$411,0),$G317+1),""))</f>
        <v/>
      </c>
      <c r="N317" s="28" t="str">
        <f t="shared" si="43"/>
        <v/>
      </c>
      <c r="O317" s="28" t="str">
        <f t="shared" si="44"/>
        <v/>
      </c>
      <c r="P317" s="28" t="str">
        <f t="shared" si="45"/>
        <v/>
      </c>
      <c r="Q317" s="28" t="str">
        <f t="shared" si="46"/>
        <v/>
      </c>
      <c r="R317" s="8" t="str">
        <f t="shared" si="47"/>
        <v/>
      </c>
      <c r="S317" s="28">
        <f>IFERROR('Business Systems'!$G$11,"")</f>
        <v>5</v>
      </c>
      <c r="T317" s="28">
        <f>IFERROR('Business Systems'!$W$11,"")</f>
        <v>5</v>
      </c>
      <c r="U317" s="28">
        <f>IFERROR('Business Systems'!$X$11,"")</f>
        <v>5</v>
      </c>
      <c r="V317" s="28">
        <f>IFERROR('Business Systems'!$Y$11,"")</f>
        <v>5</v>
      </c>
      <c r="W317" s="7" t="s">
        <v>4969</v>
      </c>
      <c r="X317" s="7" t="s">
        <v>4970</v>
      </c>
      <c r="Y317" s="7" t="s">
        <v>5024</v>
      </c>
      <c r="Z317" s="7">
        <f>IFERROR('Business Systems'!$U$11,"")</f>
        <v>0</v>
      </c>
      <c r="AA317" s="7"/>
      <c r="AB317" s="29"/>
      <c r="AC317" s="7"/>
      <c r="AD317" s="48" t="str">
        <f>IF($B317="Yes",IFERROR(SUMIFS(_TECH_Crisis_Model!$D$5:$D$191,_TECH_Crisis_Model!$A$5:$A$191,'Crisis Simulator'!$B$4,_TECH_Crisis_Model!$B$5:$B$191,$C317),1),"")</f>
        <v/>
      </c>
      <c r="AE317" s="48" t="str">
        <f t="shared" si="48"/>
        <v/>
      </c>
      <c r="AF317" s="48" t="str">
        <f>IFERROR(INDEX(_TECH_Crisis_Model!$E$5:$E$191,MATCH('Crisis Simulator'!$B$4&amp;"|"&amp;$C317,_TECH_Crisis_Model!$I$5:$I$191,0)),"")</f>
        <v>ERP, CRM, HRMS, MES and SaaS continuity determine transaction and process continuity.</v>
      </c>
      <c r="AG317" s="48" t="str">
        <f>IFERROR(INDEX(_TECH_Crisis_Model!$G$5:$G$191,MATCH('Crisis Simulator'!$B$4&amp;"|"&amp;$C317,_TECH_Crisis_Model!$I$5:$I$191,0)),"")</f>
        <v>Document system dependencies, SaaS continuity, role access, data exports and manual fallback.</v>
      </c>
      <c r="AH317" s="48" t="str">
        <f>IFERROR(INDEX(_TECH_Initiative_Library!$A$5:$A$76,MATCH(1,INDEX((_TECH_Initiative_Library!$B$5:$B$76=$C317)*(_TECH_Initiative_Library!$C$5:$C$76=$D317),0),0)),"")</f>
        <v>INI-054</v>
      </c>
      <c r="AI317" s="48" t="str">
        <f>IFERROR(INDEX(_TECH_Initiative_Library!$F$5:$F$76,MATCH(1,INDEX((_TECH_Initiative_Library!$B$5:$B$76=$C317)*(_TECH_Initiative_Library!$C$5:$C$76=$D317),0),0)),"")</f>
        <v>Integrate CRM, commerce and customer-service systems</v>
      </c>
      <c r="AJ317" s="48" t="str">
        <f ca="1">IFERROR(INDEX(_TECH_Initiative_Library!$AC$5:$AC$76,MATCH(1,INDEX((_TECH_Initiative_Library!$B$5:$B$76=$C317)*(_TECH_Initiative_Library!$C$5:$C$76=$D317),0),0)),"")</f>
        <v/>
      </c>
      <c r="AK317" s="48" t="str">
        <f ca="1">IFERROR(INDEX(_TECH_Initiative_Library!$AE$5:$AE$76,MATCH(1,INDEX((_TECH_Initiative_Library!$B$5:$B$76=$C317)*(_TECH_Initiative_Library!$C$5:$C$76=$D317),0),0)),"")</f>
        <v/>
      </c>
      <c r="AL317" s="48" t="str">
        <f>IF($B317="Yes",IFERROR(SUMIFS(_TECH_Industry_Templates!$E:$E,_TECH_Industry_Templates!$A:$A,'Company Profile'!$B$9,_TECH_Industry_Templates!$B:$B,$C317),1),"")</f>
        <v/>
      </c>
      <c r="AM317" s="48" t="str">
        <f t="shared" si="49"/>
        <v/>
      </c>
      <c r="AN317" s="48" t="str">
        <f>IF($AM317="","",RANK.EQ($AM317,$AM$8:$AM$414,0)+COUNTIF($AM$8:$AM317,$AM317)-1)</f>
        <v/>
      </c>
    </row>
    <row r="318" spans="1:40" ht="85.5">
      <c r="A318" s="28" t="str">
        <f>IF($AM318="","",RANK.EQ($AM318,$AM$8:$AM$414,0)+COUNTIF($AM$8:$AM318,$AM318)-1)</f>
        <v/>
      </c>
      <c r="B318" s="7" t="str">
        <f t="shared" si="40"/>
        <v/>
      </c>
      <c r="C318" s="7" t="s">
        <v>91</v>
      </c>
      <c r="D318" s="7" t="s">
        <v>1503</v>
      </c>
      <c r="E318" s="7" t="s">
        <v>5032</v>
      </c>
      <c r="F318" s="7" t="s">
        <v>5033</v>
      </c>
      <c r="G318" s="28" t="str">
        <f>IF(OR(COUNTA('Business Systems'!$H$12)=0,'Business Systems'!$H$12="N/A"),"",VALUE('Business Systems'!$H$12))</f>
        <v/>
      </c>
      <c r="H318" s="7" t="str">
        <f t="shared" si="41"/>
        <v/>
      </c>
      <c r="I318" s="7" t="str">
        <f>IF($G318="","",IFERROR(IF('Business Systems'!$L$12="",IF($G318&lt;=1,"Critical",IF($G318=2,"High",IF($G318=3,"Medium",IF($G318=4,"Low","Optimized")))),'Business Systems'!$L$12),IF($G318&lt;=1,"Critical",IF($G318=2,"High",IF($G318=3,"Medium",IF($G318=4,"Low","Optimized"))))))</f>
        <v/>
      </c>
      <c r="J318" s="7" t="str">
        <f>IF($G318="","",IFERROR(INDEX('Recommendation Matrix'!$E$5:$J$411,MATCH($E318,'Recommendation Matrix'!$A$5:$A$411,0),$G318+1),""))</f>
        <v/>
      </c>
      <c r="K318" s="7" t="str">
        <f>IF($G318="","",IFERROR(VLOOKUP($E318,'Recommendation Matrix'!$A$5:$K$411,11,FALSE),""))</f>
        <v/>
      </c>
      <c r="L318" s="28" t="str">
        <f t="shared" si="42"/>
        <v/>
      </c>
      <c r="M318" s="28" t="str">
        <f>IF($G318="","",IFERROR(INDEX('Recommendation Matrix'!$L$5:$Q$411,MATCH($E318,'Recommendation Matrix'!$A$5:$A$411,0),$G318+1),""))</f>
        <v/>
      </c>
      <c r="N318" s="28" t="str">
        <f t="shared" si="43"/>
        <v/>
      </c>
      <c r="O318" s="28" t="str">
        <f t="shared" si="44"/>
        <v/>
      </c>
      <c r="P318" s="28" t="str">
        <f t="shared" si="45"/>
        <v/>
      </c>
      <c r="Q318" s="28" t="str">
        <f t="shared" si="46"/>
        <v/>
      </c>
      <c r="R318" s="8" t="str">
        <f t="shared" si="47"/>
        <v/>
      </c>
      <c r="S318" s="28">
        <f>IFERROR('Business Systems'!$G$12,"")</f>
        <v>4</v>
      </c>
      <c r="T318" s="28">
        <f>IFERROR('Business Systems'!$W$12,"")</f>
        <v>5</v>
      </c>
      <c r="U318" s="28">
        <f>IFERROR('Business Systems'!$X$12,"")</f>
        <v>5</v>
      </c>
      <c r="V318" s="28">
        <f>IFERROR('Business Systems'!$Y$12,"")</f>
        <v>5</v>
      </c>
      <c r="W318" s="7" t="s">
        <v>4969</v>
      </c>
      <c r="X318" s="7" t="s">
        <v>4970</v>
      </c>
      <c r="Y318" s="7" t="s">
        <v>5034</v>
      </c>
      <c r="Z318" s="7">
        <f>IFERROR('Business Systems'!$U$12,"")</f>
        <v>0</v>
      </c>
      <c r="AA318" s="7"/>
      <c r="AB318" s="29"/>
      <c r="AC318" s="7"/>
      <c r="AD318" s="48" t="str">
        <f>IF($B318="Yes",IFERROR(SUMIFS(_TECH_Crisis_Model!$D$5:$D$191,_TECH_Crisis_Model!$A$5:$A$191,'Crisis Simulator'!$B$4,_TECH_Crisis_Model!$B$5:$B$191,$C318),1),"")</f>
        <v/>
      </c>
      <c r="AE318" s="48" t="str">
        <f t="shared" si="48"/>
        <v/>
      </c>
      <c r="AF318" s="48" t="str">
        <f>IFERROR(INDEX(_TECH_Crisis_Model!$E$5:$E$191,MATCH('Crisis Simulator'!$B$4&amp;"|"&amp;$C318,_TECH_Crisis_Model!$I$5:$I$191,0)),"")</f>
        <v>ERP, CRM, HRMS, MES and SaaS continuity determine transaction and process continuity.</v>
      </c>
      <c r="AG318" s="48" t="str">
        <f>IFERROR(INDEX(_TECH_Crisis_Model!$G$5:$G$191,MATCH('Crisis Simulator'!$B$4&amp;"|"&amp;$C318,_TECH_Crisis_Model!$I$5:$I$191,0)),"")</f>
        <v>Document system dependencies, SaaS continuity, role access, data exports and manual fallback.</v>
      </c>
      <c r="AH318" s="48" t="str">
        <f>IFERROR(INDEX(_TECH_Initiative_Library!$A$5:$A$76,MATCH(1,INDEX((_TECH_Initiative_Library!$B$5:$B$76=$C318)*(_TECH_Initiative_Library!$C$5:$C$76=$D318),0),0)),"")</f>
        <v>INI-054</v>
      </c>
      <c r="AI318" s="48" t="str">
        <f>IFERROR(INDEX(_TECH_Initiative_Library!$F$5:$F$76,MATCH(1,INDEX((_TECH_Initiative_Library!$B$5:$B$76=$C318)*(_TECH_Initiative_Library!$C$5:$C$76=$D318),0),0)),"")</f>
        <v>Integrate CRM, commerce and customer-service systems</v>
      </c>
      <c r="AJ318" s="48" t="str">
        <f ca="1">IFERROR(INDEX(_TECH_Initiative_Library!$AC$5:$AC$76,MATCH(1,INDEX((_TECH_Initiative_Library!$B$5:$B$76=$C318)*(_TECH_Initiative_Library!$C$5:$C$76=$D318),0),0)),"")</f>
        <v/>
      </c>
      <c r="AK318" s="48" t="str">
        <f ca="1">IFERROR(INDEX(_TECH_Initiative_Library!$AE$5:$AE$76,MATCH(1,INDEX((_TECH_Initiative_Library!$B$5:$B$76=$C318)*(_TECH_Initiative_Library!$C$5:$C$76=$D318),0),0)),"")</f>
        <v/>
      </c>
      <c r="AL318" s="48" t="str">
        <f>IF($B318="Yes",IFERROR(SUMIFS(_TECH_Industry_Templates!$E:$E,_TECH_Industry_Templates!$A:$A,'Company Profile'!$B$9,_TECH_Industry_Templates!$B:$B,$C318),1),"")</f>
        <v/>
      </c>
      <c r="AM318" s="48" t="str">
        <f t="shared" si="49"/>
        <v/>
      </c>
      <c r="AN318" s="48" t="str">
        <f>IF($AM318="","",RANK.EQ($AM318,$AM$8:$AM$414,0)+COUNTIF($AM$8:$AM318,$AM318)-1)</f>
        <v/>
      </c>
    </row>
    <row r="319" spans="1:40" ht="71.25">
      <c r="A319" s="28" t="str">
        <f>IF($AM319="","",RANK.EQ($AM319,$AM$8:$AM$414,0)+COUNTIF($AM$8:$AM319,$AM319)-1)</f>
        <v/>
      </c>
      <c r="B319" s="7" t="str">
        <f t="shared" si="40"/>
        <v/>
      </c>
      <c r="C319" s="7" t="s">
        <v>91</v>
      </c>
      <c r="D319" s="7" t="s">
        <v>1503</v>
      </c>
      <c r="E319" s="7" t="s">
        <v>5042</v>
      </c>
      <c r="F319" s="7" t="s">
        <v>5043</v>
      </c>
      <c r="G319" s="28" t="str">
        <f>IF(OR(COUNTA('Business Systems'!$H$13)=0,'Business Systems'!$H$13="N/A"),"",VALUE('Business Systems'!$H$13))</f>
        <v/>
      </c>
      <c r="H319" s="7" t="str">
        <f t="shared" si="41"/>
        <v/>
      </c>
      <c r="I319" s="7" t="str">
        <f>IF($G319="","",IFERROR(IF('Business Systems'!$L$13="",IF($G319&lt;=1,"Critical",IF($G319=2,"High",IF($G319=3,"Medium",IF($G319=4,"Low","Optimized")))),'Business Systems'!$L$13),IF($G319&lt;=1,"Critical",IF($G319=2,"High",IF($G319=3,"Medium",IF($G319=4,"Low","Optimized"))))))</f>
        <v/>
      </c>
      <c r="J319" s="7" t="str">
        <f>IF($G319="","",IFERROR(INDEX('Recommendation Matrix'!$E$5:$J$411,MATCH($E319,'Recommendation Matrix'!$A$5:$A$411,0),$G319+1),""))</f>
        <v/>
      </c>
      <c r="K319" s="7" t="str">
        <f>IF($G319="","",IFERROR(VLOOKUP($E319,'Recommendation Matrix'!$A$5:$K$411,11,FALSE),""))</f>
        <v/>
      </c>
      <c r="L319" s="28" t="str">
        <f t="shared" si="42"/>
        <v/>
      </c>
      <c r="M319" s="28" t="str">
        <f>IF($G319="","",IFERROR(INDEX('Recommendation Matrix'!$L$5:$Q$411,MATCH($E319,'Recommendation Matrix'!$A$5:$A$411,0),$G319+1),""))</f>
        <v/>
      </c>
      <c r="N319" s="28" t="str">
        <f t="shared" si="43"/>
        <v/>
      </c>
      <c r="O319" s="28" t="str">
        <f t="shared" si="44"/>
        <v/>
      </c>
      <c r="P319" s="28" t="str">
        <f t="shared" si="45"/>
        <v/>
      </c>
      <c r="Q319" s="28" t="str">
        <f t="shared" si="46"/>
        <v/>
      </c>
      <c r="R319" s="8" t="str">
        <f t="shared" si="47"/>
        <v/>
      </c>
      <c r="S319" s="28">
        <f>IFERROR('Business Systems'!$G$13,"")</f>
        <v>4</v>
      </c>
      <c r="T319" s="28">
        <f>IFERROR('Business Systems'!$W$13,"")</f>
        <v>5</v>
      </c>
      <c r="U319" s="28">
        <f>IFERROR('Business Systems'!$X$13,"")</f>
        <v>5</v>
      </c>
      <c r="V319" s="28">
        <f>IFERROR('Business Systems'!$Y$13,"")</f>
        <v>5</v>
      </c>
      <c r="W319" s="7" t="s">
        <v>4969</v>
      </c>
      <c r="X319" s="7" t="s">
        <v>4970</v>
      </c>
      <c r="Y319" s="7" t="s">
        <v>5044</v>
      </c>
      <c r="Z319" s="7">
        <f>IFERROR('Business Systems'!$U$13,"")</f>
        <v>0</v>
      </c>
      <c r="AA319" s="7"/>
      <c r="AB319" s="29"/>
      <c r="AC319" s="7"/>
      <c r="AD319" s="48" t="str">
        <f>IF($B319="Yes",IFERROR(SUMIFS(_TECH_Crisis_Model!$D$5:$D$191,_TECH_Crisis_Model!$A$5:$A$191,'Crisis Simulator'!$B$4,_TECH_Crisis_Model!$B$5:$B$191,$C319),1),"")</f>
        <v/>
      </c>
      <c r="AE319" s="48" t="str">
        <f t="shared" si="48"/>
        <v/>
      </c>
      <c r="AF319" s="48" t="str">
        <f>IFERROR(INDEX(_TECH_Crisis_Model!$E$5:$E$191,MATCH('Crisis Simulator'!$B$4&amp;"|"&amp;$C319,_TECH_Crisis_Model!$I$5:$I$191,0)),"")</f>
        <v>ERP, CRM, HRMS, MES and SaaS continuity determine transaction and process continuity.</v>
      </c>
      <c r="AG319" s="48" t="str">
        <f>IFERROR(INDEX(_TECH_Crisis_Model!$G$5:$G$191,MATCH('Crisis Simulator'!$B$4&amp;"|"&amp;$C319,_TECH_Crisis_Model!$I$5:$I$191,0)),"")</f>
        <v>Document system dependencies, SaaS continuity, role access, data exports and manual fallback.</v>
      </c>
      <c r="AH319" s="48" t="str">
        <f>IFERROR(INDEX(_TECH_Initiative_Library!$A$5:$A$76,MATCH(1,INDEX((_TECH_Initiative_Library!$B$5:$B$76=$C319)*(_TECH_Initiative_Library!$C$5:$C$76=$D319),0),0)),"")</f>
        <v>INI-054</v>
      </c>
      <c r="AI319" s="48" t="str">
        <f>IFERROR(INDEX(_TECH_Initiative_Library!$F$5:$F$76,MATCH(1,INDEX((_TECH_Initiative_Library!$B$5:$B$76=$C319)*(_TECH_Initiative_Library!$C$5:$C$76=$D319),0),0)),"")</f>
        <v>Integrate CRM, commerce and customer-service systems</v>
      </c>
      <c r="AJ319" s="48" t="str">
        <f ca="1">IFERROR(INDEX(_TECH_Initiative_Library!$AC$5:$AC$76,MATCH(1,INDEX((_TECH_Initiative_Library!$B$5:$B$76=$C319)*(_TECH_Initiative_Library!$C$5:$C$76=$D319),0),0)),"")</f>
        <v/>
      </c>
      <c r="AK319" s="48" t="str">
        <f ca="1">IFERROR(INDEX(_TECH_Initiative_Library!$AE$5:$AE$76,MATCH(1,INDEX((_TECH_Initiative_Library!$B$5:$B$76=$C319)*(_TECH_Initiative_Library!$C$5:$C$76=$D319),0),0)),"")</f>
        <v/>
      </c>
      <c r="AL319" s="48" t="str">
        <f>IF($B319="Yes",IFERROR(SUMIFS(_TECH_Industry_Templates!$E:$E,_TECH_Industry_Templates!$A:$A,'Company Profile'!$B$9,_TECH_Industry_Templates!$B:$B,$C319),1),"")</f>
        <v/>
      </c>
      <c r="AM319" s="48" t="str">
        <f t="shared" si="49"/>
        <v/>
      </c>
      <c r="AN319" s="48" t="str">
        <f>IF($AM319="","",RANK.EQ($AM319,$AM$8:$AM$414,0)+COUNTIF($AM$8:$AM319,$AM319)-1)</f>
        <v/>
      </c>
    </row>
    <row r="320" spans="1:40" ht="71.25">
      <c r="A320" s="28" t="str">
        <f>IF($AM320="","",RANK.EQ($AM320,$AM$8:$AM$414,0)+COUNTIF($AM$8:$AM320,$AM320)-1)</f>
        <v/>
      </c>
      <c r="B320" s="7" t="str">
        <f t="shared" si="40"/>
        <v/>
      </c>
      <c r="C320" s="7" t="s">
        <v>91</v>
      </c>
      <c r="D320" s="7" t="s">
        <v>1511</v>
      </c>
      <c r="E320" s="7" t="s">
        <v>5052</v>
      </c>
      <c r="F320" s="7" t="s">
        <v>5053</v>
      </c>
      <c r="G320" s="28" t="str">
        <f>IF(OR(COUNTA('Business Systems'!$H$14)=0,'Business Systems'!$H$14="N/A"),"",VALUE('Business Systems'!$H$14))</f>
        <v/>
      </c>
      <c r="H320" s="7" t="str">
        <f t="shared" si="41"/>
        <v/>
      </c>
      <c r="I320" s="7" t="str">
        <f>IF($G320="","",IFERROR(IF('Business Systems'!$L$14="",IF($G320&lt;=1,"Critical",IF($G320=2,"High",IF($G320=3,"Medium",IF($G320=4,"Low","Optimized")))),'Business Systems'!$L$14),IF($G320&lt;=1,"Critical",IF($G320=2,"High",IF($G320=3,"Medium",IF($G320=4,"Low","Optimized"))))))</f>
        <v/>
      </c>
      <c r="J320" s="7" t="str">
        <f>IF($G320="","",IFERROR(INDEX('Recommendation Matrix'!$E$5:$J$411,MATCH($E320,'Recommendation Matrix'!$A$5:$A$411,0),$G320+1),""))</f>
        <v/>
      </c>
      <c r="K320" s="7" t="str">
        <f>IF($G320="","",IFERROR(VLOOKUP($E320,'Recommendation Matrix'!$A$5:$K$411,11,FALSE),""))</f>
        <v/>
      </c>
      <c r="L320" s="28" t="str">
        <f t="shared" si="42"/>
        <v/>
      </c>
      <c r="M320" s="28" t="str">
        <f>IF($G320="","",IFERROR(INDEX('Recommendation Matrix'!$L$5:$Q$411,MATCH($E320,'Recommendation Matrix'!$A$5:$A$411,0),$G320+1),""))</f>
        <v/>
      </c>
      <c r="N320" s="28" t="str">
        <f t="shared" si="43"/>
        <v/>
      </c>
      <c r="O320" s="28" t="str">
        <f t="shared" si="44"/>
        <v/>
      </c>
      <c r="P320" s="28" t="str">
        <f t="shared" si="45"/>
        <v/>
      </c>
      <c r="Q320" s="28" t="str">
        <f t="shared" si="46"/>
        <v/>
      </c>
      <c r="R320" s="8" t="str">
        <f t="shared" si="47"/>
        <v/>
      </c>
      <c r="S320" s="28">
        <f>IFERROR('Business Systems'!$G$14,"")</f>
        <v>5</v>
      </c>
      <c r="T320" s="28">
        <f>IFERROR('Business Systems'!$W$14,"")</f>
        <v>5</v>
      </c>
      <c r="U320" s="28">
        <f>IFERROR('Business Systems'!$X$14,"")</f>
        <v>5</v>
      </c>
      <c r="V320" s="28">
        <f>IFERROR('Business Systems'!$Y$14,"")</f>
        <v>5</v>
      </c>
      <c r="W320" s="7" t="s">
        <v>4969</v>
      </c>
      <c r="X320" s="7" t="s">
        <v>4970</v>
      </c>
      <c r="Y320" s="7" t="s">
        <v>5054</v>
      </c>
      <c r="Z320" s="7">
        <f>IFERROR('Business Systems'!$U$14,"")</f>
        <v>0</v>
      </c>
      <c r="AA320" s="7"/>
      <c r="AB320" s="29"/>
      <c r="AC320" s="7"/>
      <c r="AD320" s="48" t="str">
        <f>IF($B320="Yes",IFERROR(SUMIFS(_TECH_Crisis_Model!$D$5:$D$191,_TECH_Crisis_Model!$A$5:$A$191,'Crisis Simulator'!$B$4,_TECH_Crisis_Model!$B$5:$B$191,$C320),1),"")</f>
        <v/>
      </c>
      <c r="AE320" s="48" t="str">
        <f t="shared" si="48"/>
        <v/>
      </c>
      <c r="AF320" s="48" t="str">
        <f>IFERROR(INDEX(_TECH_Crisis_Model!$E$5:$E$191,MATCH('Crisis Simulator'!$B$4&amp;"|"&amp;$C320,_TECH_Crisis_Model!$I$5:$I$191,0)),"")</f>
        <v>ERP, CRM, HRMS, MES and SaaS continuity determine transaction and process continuity.</v>
      </c>
      <c r="AG320" s="48" t="str">
        <f>IFERROR(INDEX(_TECH_Crisis_Model!$G$5:$G$191,MATCH('Crisis Simulator'!$B$4&amp;"|"&amp;$C320,_TECH_Crisis_Model!$I$5:$I$191,0)),"")</f>
        <v>Document system dependencies, SaaS continuity, role access, data exports and manual fallback.</v>
      </c>
      <c r="AH320" s="48" t="str">
        <f>IFERROR(INDEX(_TECH_Initiative_Library!$A$5:$A$76,MATCH(1,INDEX((_TECH_Initiative_Library!$B$5:$B$76=$C320)*(_TECH_Initiative_Library!$C$5:$C$76=$D320),0),0)),"")</f>
        <v>INI-055</v>
      </c>
      <c r="AI320" s="48" t="str">
        <f>IFERROR(INDEX(_TECH_Initiative_Library!$F$5:$F$76,MATCH(1,INDEX((_TECH_Initiative_Library!$B$5:$B$76=$C320)*(_TECH_Initiative_Library!$C$5:$C$76=$D320),0),0)),"")</f>
        <v>Integrate MES, WMS and TMS into operational continuity model</v>
      </c>
      <c r="AJ320" s="48" t="str">
        <f ca="1">IFERROR(INDEX(_TECH_Initiative_Library!$AC$5:$AC$76,MATCH(1,INDEX((_TECH_Initiative_Library!$B$5:$B$76=$C320)*(_TECH_Initiative_Library!$C$5:$C$76=$D320),0),0)),"")</f>
        <v/>
      </c>
      <c r="AK320" s="48" t="str">
        <f ca="1">IFERROR(INDEX(_TECH_Initiative_Library!$AE$5:$AE$76,MATCH(1,INDEX((_TECH_Initiative_Library!$B$5:$B$76=$C320)*(_TECH_Initiative_Library!$C$5:$C$76=$D320),0),0)),"")</f>
        <v/>
      </c>
      <c r="AL320" s="48" t="str">
        <f>IF($B320="Yes",IFERROR(SUMIFS(_TECH_Industry_Templates!$E:$E,_TECH_Industry_Templates!$A:$A,'Company Profile'!$B$9,_TECH_Industry_Templates!$B:$B,$C320),1),"")</f>
        <v/>
      </c>
      <c r="AM320" s="48" t="str">
        <f t="shared" si="49"/>
        <v/>
      </c>
      <c r="AN320" s="48" t="str">
        <f>IF($AM320="","",RANK.EQ($AM320,$AM$8:$AM$414,0)+COUNTIF($AM$8:$AM320,$AM320)-1)</f>
        <v/>
      </c>
    </row>
    <row r="321" spans="1:40" ht="71.25">
      <c r="A321" s="28" t="str">
        <f>IF($AM321="","",RANK.EQ($AM321,$AM$8:$AM$414,0)+COUNTIF($AM$8:$AM321,$AM321)-1)</f>
        <v/>
      </c>
      <c r="B321" s="7" t="str">
        <f t="shared" si="40"/>
        <v/>
      </c>
      <c r="C321" s="7" t="s">
        <v>91</v>
      </c>
      <c r="D321" s="7" t="s">
        <v>1511</v>
      </c>
      <c r="E321" s="7" t="s">
        <v>5062</v>
      </c>
      <c r="F321" s="7" t="s">
        <v>5063</v>
      </c>
      <c r="G321" s="28" t="str">
        <f>IF(OR(COUNTA('Business Systems'!$H$15)=0,'Business Systems'!$H$15="N/A"),"",VALUE('Business Systems'!$H$15))</f>
        <v/>
      </c>
      <c r="H321" s="7" t="str">
        <f t="shared" si="41"/>
        <v/>
      </c>
      <c r="I321" s="7" t="str">
        <f>IF($G321="","",IFERROR(IF('Business Systems'!$L$15="",IF($G321&lt;=1,"Critical",IF($G321=2,"High",IF($G321=3,"Medium",IF($G321=4,"Low","Optimized")))),'Business Systems'!$L$15),IF($G321&lt;=1,"Critical",IF($G321=2,"High",IF($G321=3,"Medium",IF($G321=4,"Low","Optimized"))))))</f>
        <v/>
      </c>
      <c r="J321" s="7" t="str">
        <f>IF($G321="","",IFERROR(INDEX('Recommendation Matrix'!$E$5:$J$411,MATCH($E321,'Recommendation Matrix'!$A$5:$A$411,0),$G321+1),""))</f>
        <v/>
      </c>
      <c r="K321" s="7" t="str">
        <f>IF($G321="","",IFERROR(VLOOKUP($E321,'Recommendation Matrix'!$A$5:$K$411,11,FALSE),""))</f>
        <v/>
      </c>
      <c r="L321" s="28" t="str">
        <f t="shared" si="42"/>
        <v/>
      </c>
      <c r="M321" s="28" t="str">
        <f>IF($G321="","",IFERROR(INDEX('Recommendation Matrix'!$L$5:$Q$411,MATCH($E321,'Recommendation Matrix'!$A$5:$A$411,0),$G321+1),""))</f>
        <v/>
      </c>
      <c r="N321" s="28" t="str">
        <f t="shared" si="43"/>
        <v/>
      </c>
      <c r="O321" s="28" t="str">
        <f t="shared" si="44"/>
        <v/>
      </c>
      <c r="P321" s="28" t="str">
        <f t="shared" si="45"/>
        <v/>
      </c>
      <c r="Q321" s="28" t="str">
        <f t="shared" si="46"/>
        <v/>
      </c>
      <c r="R321" s="8" t="str">
        <f t="shared" si="47"/>
        <v/>
      </c>
      <c r="S321" s="28">
        <f>IFERROR('Business Systems'!$G$15,"")</f>
        <v>5</v>
      </c>
      <c r="T321" s="28">
        <f>IFERROR('Business Systems'!$W$15,"")</f>
        <v>5</v>
      </c>
      <c r="U321" s="28">
        <f>IFERROR('Business Systems'!$X$15,"")</f>
        <v>5</v>
      </c>
      <c r="V321" s="28">
        <f>IFERROR('Business Systems'!$Y$15,"")</f>
        <v>5</v>
      </c>
      <c r="W321" s="7" t="s">
        <v>4969</v>
      </c>
      <c r="X321" s="7" t="s">
        <v>4970</v>
      </c>
      <c r="Y321" s="7" t="s">
        <v>5064</v>
      </c>
      <c r="Z321" s="7">
        <f>IFERROR('Business Systems'!$U$15,"")</f>
        <v>0</v>
      </c>
      <c r="AA321" s="7"/>
      <c r="AB321" s="29"/>
      <c r="AC321" s="7"/>
      <c r="AD321" s="48" t="str">
        <f>IF($B321="Yes",IFERROR(SUMIFS(_TECH_Crisis_Model!$D$5:$D$191,_TECH_Crisis_Model!$A$5:$A$191,'Crisis Simulator'!$B$4,_TECH_Crisis_Model!$B$5:$B$191,$C321),1),"")</f>
        <v/>
      </c>
      <c r="AE321" s="48" t="str">
        <f t="shared" si="48"/>
        <v/>
      </c>
      <c r="AF321" s="48" t="str">
        <f>IFERROR(INDEX(_TECH_Crisis_Model!$E$5:$E$191,MATCH('Crisis Simulator'!$B$4&amp;"|"&amp;$C321,_TECH_Crisis_Model!$I$5:$I$191,0)),"")</f>
        <v>ERP, CRM, HRMS, MES and SaaS continuity determine transaction and process continuity.</v>
      </c>
      <c r="AG321" s="48" t="str">
        <f>IFERROR(INDEX(_TECH_Crisis_Model!$G$5:$G$191,MATCH('Crisis Simulator'!$B$4&amp;"|"&amp;$C321,_TECH_Crisis_Model!$I$5:$I$191,0)),"")</f>
        <v>Document system dependencies, SaaS continuity, role access, data exports and manual fallback.</v>
      </c>
      <c r="AH321" s="48" t="str">
        <f>IFERROR(INDEX(_TECH_Initiative_Library!$A$5:$A$76,MATCH(1,INDEX((_TECH_Initiative_Library!$B$5:$B$76=$C321)*(_TECH_Initiative_Library!$C$5:$C$76=$D321),0),0)),"")</f>
        <v>INI-055</v>
      </c>
      <c r="AI321" s="48" t="str">
        <f>IFERROR(INDEX(_TECH_Initiative_Library!$F$5:$F$76,MATCH(1,INDEX((_TECH_Initiative_Library!$B$5:$B$76=$C321)*(_TECH_Initiative_Library!$C$5:$C$76=$D321),0),0)),"")</f>
        <v>Integrate MES, WMS and TMS into operational continuity model</v>
      </c>
      <c r="AJ321" s="48" t="str">
        <f ca="1">IFERROR(INDEX(_TECH_Initiative_Library!$AC$5:$AC$76,MATCH(1,INDEX((_TECH_Initiative_Library!$B$5:$B$76=$C321)*(_TECH_Initiative_Library!$C$5:$C$76=$D321),0),0)),"")</f>
        <v/>
      </c>
      <c r="AK321" s="48" t="str">
        <f ca="1">IFERROR(INDEX(_TECH_Initiative_Library!$AE$5:$AE$76,MATCH(1,INDEX((_TECH_Initiative_Library!$B$5:$B$76=$C321)*(_TECH_Initiative_Library!$C$5:$C$76=$D321),0),0)),"")</f>
        <v/>
      </c>
      <c r="AL321" s="48" t="str">
        <f>IF($B321="Yes",IFERROR(SUMIFS(_TECH_Industry_Templates!$E:$E,_TECH_Industry_Templates!$A:$A,'Company Profile'!$B$9,_TECH_Industry_Templates!$B:$B,$C321),1),"")</f>
        <v/>
      </c>
      <c r="AM321" s="48" t="str">
        <f t="shared" si="49"/>
        <v/>
      </c>
      <c r="AN321" s="48" t="str">
        <f>IF($AM321="","",RANK.EQ($AM321,$AM$8:$AM$414,0)+COUNTIF($AM$8:$AM321,$AM321)-1)</f>
        <v/>
      </c>
    </row>
    <row r="322" spans="1:40" ht="85.5">
      <c r="A322" s="28" t="str">
        <f>IF($AM322="","",RANK.EQ($AM322,$AM$8:$AM$414,0)+COUNTIF($AM$8:$AM322,$AM322)-1)</f>
        <v/>
      </c>
      <c r="B322" s="7" t="str">
        <f t="shared" si="40"/>
        <v/>
      </c>
      <c r="C322" s="7" t="s">
        <v>91</v>
      </c>
      <c r="D322" s="7" t="s">
        <v>1511</v>
      </c>
      <c r="E322" s="7" t="s">
        <v>5072</v>
      </c>
      <c r="F322" s="7" t="s">
        <v>5073</v>
      </c>
      <c r="G322" s="28" t="str">
        <f>IF(OR(COUNTA('Business Systems'!$H$16)=0,'Business Systems'!$H$16="N/A"),"",VALUE('Business Systems'!$H$16))</f>
        <v/>
      </c>
      <c r="H322" s="7" t="str">
        <f t="shared" si="41"/>
        <v/>
      </c>
      <c r="I322" s="7" t="str">
        <f>IF($G322="","",IFERROR(IF('Business Systems'!$L$16="",IF($G322&lt;=1,"Critical",IF($G322=2,"High",IF($G322=3,"Medium",IF($G322=4,"Low","Optimized")))),'Business Systems'!$L$16),IF($G322&lt;=1,"Critical",IF($G322=2,"High",IF($G322=3,"Medium",IF($G322=4,"Low","Optimized"))))))</f>
        <v/>
      </c>
      <c r="J322" s="7" t="str">
        <f>IF($G322="","",IFERROR(INDEX('Recommendation Matrix'!$E$5:$J$411,MATCH($E322,'Recommendation Matrix'!$A$5:$A$411,0),$G322+1),""))</f>
        <v/>
      </c>
      <c r="K322" s="7" t="str">
        <f>IF($G322="","",IFERROR(VLOOKUP($E322,'Recommendation Matrix'!$A$5:$K$411,11,FALSE),""))</f>
        <v/>
      </c>
      <c r="L322" s="28" t="str">
        <f t="shared" si="42"/>
        <v/>
      </c>
      <c r="M322" s="28" t="str">
        <f>IF($G322="","",IFERROR(INDEX('Recommendation Matrix'!$L$5:$Q$411,MATCH($E322,'Recommendation Matrix'!$A$5:$A$411,0),$G322+1),""))</f>
        <v/>
      </c>
      <c r="N322" s="28" t="str">
        <f t="shared" si="43"/>
        <v/>
      </c>
      <c r="O322" s="28" t="str">
        <f t="shared" si="44"/>
        <v/>
      </c>
      <c r="P322" s="28" t="str">
        <f t="shared" si="45"/>
        <v/>
      </c>
      <c r="Q322" s="28" t="str">
        <f t="shared" si="46"/>
        <v/>
      </c>
      <c r="R322" s="8" t="str">
        <f t="shared" si="47"/>
        <v/>
      </c>
      <c r="S322" s="28">
        <f>IFERROR('Business Systems'!$G$16,"")</f>
        <v>4</v>
      </c>
      <c r="T322" s="28">
        <f>IFERROR('Business Systems'!$W$16,"")</f>
        <v>5</v>
      </c>
      <c r="U322" s="28">
        <f>IFERROR('Business Systems'!$X$16,"")</f>
        <v>5</v>
      </c>
      <c r="V322" s="28">
        <f>IFERROR('Business Systems'!$Y$16,"")</f>
        <v>5</v>
      </c>
      <c r="W322" s="7" t="s">
        <v>4969</v>
      </c>
      <c r="X322" s="7" t="s">
        <v>4970</v>
      </c>
      <c r="Y322" s="7" t="s">
        <v>5074</v>
      </c>
      <c r="Z322" s="7">
        <f>IFERROR('Business Systems'!$U$16,"")</f>
        <v>0</v>
      </c>
      <c r="AA322" s="7"/>
      <c r="AB322" s="29"/>
      <c r="AC322" s="7"/>
      <c r="AD322" s="48" t="str">
        <f>IF($B322="Yes",IFERROR(SUMIFS(_TECH_Crisis_Model!$D$5:$D$191,_TECH_Crisis_Model!$A$5:$A$191,'Crisis Simulator'!$B$4,_TECH_Crisis_Model!$B$5:$B$191,$C322),1),"")</f>
        <v/>
      </c>
      <c r="AE322" s="48" t="str">
        <f t="shared" si="48"/>
        <v/>
      </c>
      <c r="AF322" s="48" t="str">
        <f>IFERROR(INDEX(_TECH_Crisis_Model!$E$5:$E$191,MATCH('Crisis Simulator'!$B$4&amp;"|"&amp;$C322,_TECH_Crisis_Model!$I$5:$I$191,0)),"")</f>
        <v>ERP, CRM, HRMS, MES and SaaS continuity determine transaction and process continuity.</v>
      </c>
      <c r="AG322" s="48" t="str">
        <f>IFERROR(INDEX(_TECH_Crisis_Model!$G$5:$G$191,MATCH('Crisis Simulator'!$B$4&amp;"|"&amp;$C322,_TECH_Crisis_Model!$I$5:$I$191,0)),"")</f>
        <v>Document system dependencies, SaaS continuity, role access, data exports and manual fallback.</v>
      </c>
      <c r="AH322" s="48" t="str">
        <f>IFERROR(INDEX(_TECH_Initiative_Library!$A$5:$A$76,MATCH(1,INDEX((_TECH_Initiative_Library!$B$5:$B$76=$C322)*(_TECH_Initiative_Library!$C$5:$C$76=$D322),0),0)),"")</f>
        <v>INI-055</v>
      </c>
      <c r="AI322" s="48" t="str">
        <f>IFERROR(INDEX(_TECH_Initiative_Library!$F$5:$F$76,MATCH(1,INDEX((_TECH_Initiative_Library!$B$5:$B$76=$C322)*(_TECH_Initiative_Library!$C$5:$C$76=$D322),0),0)),"")</f>
        <v>Integrate MES, WMS and TMS into operational continuity model</v>
      </c>
      <c r="AJ322" s="48" t="str">
        <f ca="1">IFERROR(INDEX(_TECH_Initiative_Library!$AC$5:$AC$76,MATCH(1,INDEX((_TECH_Initiative_Library!$B$5:$B$76=$C322)*(_TECH_Initiative_Library!$C$5:$C$76=$D322),0),0)),"")</f>
        <v/>
      </c>
      <c r="AK322" s="48" t="str">
        <f ca="1">IFERROR(INDEX(_TECH_Initiative_Library!$AE$5:$AE$76,MATCH(1,INDEX((_TECH_Initiative_Library!$B$5:$B$76=$C322)*(_TECH_Initiative_Library!$C$5:$C$76=$D322),0),0)),"")</f>
        <v/>
      </c>
      <c r="AL322" s="48" t="str">
        <f>IF($B322="Yes",IFERROR(SUMIFS(_TECH_Industry_Templates!$E:$E,_TECH_Industry_Templates!$A:$A,'Company Profile'!$B$9,_TECH_Industry_Templates!$B:$B,$C322),1),"")</f>
        <v/>
      </c>
      <c r="AM322" s="48" t="str">
        <f t="shared" si="49"/>
        <v/>
      </c>
      <c r="AN322" s="48" t="str">
        <f>IF($AM322="","",RANK.EQ($AM322,$AM$8:$AM$414,0)+COUNTIF($AM$8:$AM322,$AM322)-1)</f>
        <v/>
      </c>
    </row>
    <row r="323" spans="1:40" ht="71.25">
      <c r="A323" s="28" t="str">
        <f>IF($AM323="","",RANK.EQ($AM323,$AM$8:$AM$414,0)+COUNTIF($AM$8:$AM323,$AM323)-1)</f>
        <v/>
      </c>
      <c r="B323" s="7" t="str">
        <f t="shared" si="40"/>
        <v/>
      </c>
      <c r="C323" s="7" t="s">
        <v>91</v>
      </c>
      <c r="D323" s="7" t="s">
        <v>1511</v>
      </c>
      <c r="E323" s="7" t="s">
        <v>5082</v>
      </c>
      <c r="F323" s="7" t="s">
        <v>5083</v>
      </c>
      <c r="G323" s="28" t="str">
        <f>IF(OR(COUNTA('Business Systems'!$H$17)=0,'Business Systems'!$H$17="N/A"),"",VALUE('Business Systems'!$H$17))</f>
        <v/>
      </c>
      <c r="H323" s="7" t="str">
        <f t="shared" si="41"/>
        <v/>
      </c>
      <c r="I323" s="7" t="str">
        <f>IF($G323="","",IFERROR(IF('Business Systems'!$L$17="",IF($G323&lt;=1,"Critical",IF($G323=2,"High",IF($G323=3,"Medium",IF($G323=4,"Low","Optimized")))),'Business Systems'!$L$17),IF($G323&lt;=1,"Critical",IF($G323=2,"High",IF($G323=3,"Medium",IF($G323=4,"Low","Optimized"))))))</f>
        <v/>
      </c>
      <c r="J323" s="7" t="str">
        <f>IF($G323="","",IFERROR(INDEX('Recommendation Matrix'!$E$5:$J$411,MATCH($E323,'Recommendation Matrix'!$A$5:$A$411,0),$G323+1),""))</f>
        <v/>
      </c>
      <c r="K323" s="7" t="str">
        <f>IF($G323="","",IFERROR(VLOOKUP($E323,'Recommendation Matrix'!$A$5:$K$411,11,FALSE),""))</f>
        <v/>
      </c>
      <c r="L323" s="28" t="str">
        <f t="shared" si="42"/>
        <v/>
      </c>
      <c r="M323" s="28" t="str">
        <f>IF($G323="","",IFERROR(INDEX('Recommendation Matrix'!$L$5:$Q$411,MATCH($E323,'Recommendation Matrix'!$A$5:$A$411,0),$G323+1),""))</f>
        <v/>
      </c>
      <c r="N323" s="28" t="str">
        <f t="shared" si="43"/>
        <v/>
      </c>
      <c r="O323" s="28" t="str">
        <f t="shared" si="44"/>
        <v/>
      </c>
      <c r="P323" s="28" t="str">
        <f t="shared" si="45"/>
        <v/>
      </c>
      <c r="Q323" s="28" t="str">
        <f t="shared" si="46"/>
        <v/>
      </c>
      <c r="R323" s="8" t="str">
        <f t="shared" si="47"/>
        <v/>
      </c>
      <c r="S323" s="28">
        <f>IFERROR('Business Systems'!$G$17,"")</f>
        <v>3</v>
      </c>
      <c r="T323" s="28">
        <f>IFERROR('Business Systems'!$W$17,"")</f>
        <v>5</v>
      </c>
      <c r="U323" s="28">
        <f>IFERROR('Business Systems'!$X$17,"")</f>
        <v>5</v>
      </c>
      <c r="V323" s="28">
        <f>IFERROR('Business Systems'!$Y$17,"")</f>
        <v>5</v>
      </c>
      <c r="W323" s="7" t="s">
        <v>4969</v>
      </c>
      <c r="X323" s="7" t="s">
        <v>4970</v>
      </c>
      <c r="Y323" s="7" t="s">
        <v>5084</v>
      </c>
      <c r="Z323" s="7">
        <f>IFERROR('Business Systems'!$U$17,"")</f>
        <v>0</v>
      </c>
      <c r="AA323" s="7"/>
      <c r="AB323" s="29"/>
      <c r="AC323" s="7"/>
      <c r="AD323" s="48" t="str">
        <f>IF($B323="Yes",IFERROR(SUMIFS(_TECH_Crisis_Model!$D$5:$D$191,_TECH_Crisis_Model!$A$5:$A$191,'Crisis Simulator'!$B$4,_TECH_Crisis_Model!$B$5:$B$191,$C323),1),"")</f>
        <v/>
      </c>
      <c r="AE323" s="48" t="str">
        <f t="shared" si="48"/>
        <v/>
      </c>
      <c r="AF323" s="48" t="str">
        <f>IFERROR(INDEX(_TECH_Crisis_Model!$E$5:$E$191,MATCH('Crisis Simulator'!$B$4&amp;"|"&amp;$C323,_TECH_Crisis_Model!$I$5:$I$191,0)),"")</f>
        <v>ERP, CRM, HRMS, MES and SaaS continuity determine transaction and process continuity.</v>
      </c>
      <c r="AG323" s="48" t="str">
        <f>IFERROR(INDEX(_TECH_Crisis_Model!$G$5:$G$191,MATCH('Crisis Simulator'!$B$4&amp;"|"&amp;$C323,_TECH_Crisis_Model!$I$5:$I$191,0)),"")</f>
        <v>Document system dependencies, SaaS continuity, role access, data exports and manual fallback.</v>
      </c>
      <c r="AH323" s="48" t="str">
        <f>IFERROR(INDEX(_TECH_Initiative_Library!$A$5:$A$76,MATCH(1,INDEX((_TECH_Initiative_Library!$B$5:$B$76=$C323)*(_TECH_Initiative_Library!$C$5:$C$76=$D323),0),0)),"")</f>
        <v>INI-055</v>
      </c>
      <c r="AI323" s="48" t="str">
        <f>IFERROR(INDEX(_TECH_Initiative_Library!$F$5:$F$76,MATCH(1,INDEX((_TECH_Initiative_Library!$B$5:$B$76=$C323)*(_TECH_Initiative_Library!$C$5:$C$76=$D323),0),0)),"")</f>
        <v>Integrate MES, WMS and TMS into operational continuity model</v>
      </c>
      <c r="AJ323" s="48" t="str">
        <f ca="1">IFERROR(INDEX(_TECH_Initiative_Library!$AC$5:$AC$76,MATCH(1,INDEX((_TECH_Initiative_Library!$B$5:$B$76=$C323)*(_TECH_Initiative_Library!$C$5:$C$76=$D323),0),0)),"")</f>
        <v/>
      </c>
      <c r="AK323" s="48" t="str">
        <f ca="1">IFERROR(INDEX(_TECH_Initiative_Library!$AE$5:$AE$76,MATCH(1,INDEX((_TECH_Initiative_Library!$B$5:$B$76=$C323)*(_TECH_Initiative_Library!$C$5:$C$76=$D323),0),0)),"")</f>
        <v/>
      </c>
      <c r="AL323" s="48" t="str">
        <f>IF($B323="Yes",IFERROR(SUMIFS(_TECH_Industry_Templates!$E:$E,_TECH_Industry_Templates!$A:$A,'Company Profile'!$B$9,_TECH_Industry_Templates!$B:$B,$C323),1),"")</f>
        <v/>
      </c>
      <c r="AM323" s="48" t="str">
        <f t="shared" si="49"/>
        <v/>
      </c>
      <c r="AN323" s="48" t="str">
        <f>IF($AM323="","",RANK.EQ($AM323,$AM$8:$AM$414,0)+COUNTIF($AM$8:$AM323,$AM323)-1)</f>
        <v/>
      </c>
    </row>
    <row r="324" spans="1:40" ht="85.5">
      <c r="A324" s="28" t="str">
        <f>IF($AM324="","",RANK.EQ($AM324,$AM$8:$AM$414,0)+COUNTIF($AM$8:$AM324,$AM324)-1)</f>
        <v/>
      </c>
      <c r="B324" s="7" t="str">
        <f t="shared" si="40"/>
        <v/>
      </c>
      <c r="C324" s="7" t="s">
        <v>91</v>
      </c>
      <c r="D324" s="7" t="s">
        <v>1519</v>
      </c>
      <c r="E324" s="7" t="s">
        <v>5092</v>
      </c>
      <c r="F324" s="7" t="s">
        <v>5093</v>
      </c>
      <c r="G324" s="28" t="str">
        <f>IF(OR(COUNTA('Business Systems'!$H$18)=0,'Business Systems'!$H$18="N/A"),"",VALUE('Business Systems'!$H$18))</f>
        <v/>
      </c>
      <c r="H324" s="7" t="str">
        <f t="shared" si="41"/>
        <v/>
      </c>
      <c r="I324" s="7" t="str">
        <f>IF($G324="","",IFERROR(IF('Business Systems'!$L$18="",IF($G324&lt;=1,"Critical",IF($G324=2,"High",IF($G324=3,"Medium",IF($G324=4,"Low","Optimized")))),'Business Systems'!$L$18),IF($G324&lt;=1,"Critical",IF($G324=2,"High",IF($G324=3,"Medium",IF($G324=4,"Low","Optimized"))))))</f>
        <v/>
      </c>
      <c r="J324" s="7" t="str">
        <f>IF($G324="","",IFERROR(INDEX('Recommendation Matrix'!$E$5:$J$411,MATCH($E324,'Recommendation Matrix'!$A$5:$A$411,0),$G324+1),""))</f>
        <v/>
      </c>
      <c r="K324" s="7" t="str">
        <f>IF($G324="","",IFERROR(VLOOKUP($E324,'Recommendation Matrix'!$A$5:$K$411,11,FALSE),""))</f>
        <v/>
      </c>
      <c r="L324" s="28" t="str">
        <f t="shared" si="42"/>
        <v/>
      </c>
      <c r="M324" s="28" t="str">
        <f>IF($G324="","",IFERROR(INDEX('Recommendation Matrix'!$L$5:$Q$411,MATCH($E324,'Recommendation Matrix'!$A$5:$A$411,0),$G324+1),""))</f>
        <v/>
      </c>
      <c r="N324" s="28" t="str">
        <f t="shared" si="43"/>
        <v/>
      </c>
      <c r="O324" s="28" t="str">
        <f t="shared" si="44"/>
        <v/>
      </c>
      <c r="P324" s="28" t="str">
        <f t="shared" si="45"/>
        <v/>
      </c>
      <c r="Q324" s="28" t="str">
        <f t="shared" si="46"/>
        <v/>
      </c>
      <c r="R324" s="8" t="str">
        <f t="shared" si="47"/>
        <v/>
      </c>
      <c r="S324" s="28">
        <f>IFERROR('Business Systems'!$G$18,"")</f>
        <v>5</v>
      </c>
      <c r="T324" s="28">
        <f>IFERROR('Business Systems'!$W$18,"")</f>
        <v>5</v>
      </c>
      <c r="U324" s="28">
        <f>IFERROR('Business Systems'!$X$18,"")</f>
        <v>5</v>
      </c>
      <c r="V324" s="28">
        <f>IFERROR('Business Systems'!$Y$18,"")</f>
        <v>5</v>
      </c>
      <c r="W324" s="7" t="s">
        <v>4969</v>
      </c>
      <c r="X324" s="7" t="s">
        <v>4970</v>
      </c>
      <c r="Y324" s="7" t="s">
        <v>5094</v>
      </c>
      <c r="Z324" s="7">
        <f>IFERROR('Business Systems'!$U$18,"")</f>
        <v>0</v>
      </c>
      <c r="AA324" s="7"/>
      <c r="AB324" s="29"/>
      <c r="AC324" s="7"/>
      <c r="AD324" s="48" t="str">
        <f>IF($B324="Yes",IFERROR(SUMIFS(_TECH_Crisis_Model!$D$5:$D$191,_TECH_Crisis_Model!$A$5:$A$191,'Crisis Simulator'!$B$4,_TECH_Crisis_Model!$B$5:$B$191,$C324),1),"")</f>
        <v/>
      </c>
      <c r="AE324" s="48" t="str">
        <f t="shared" si="48"/>
        <v/>
      </c>
      <c r="AF324" s="48" t="str">
        <f>IFERROR(INDEX(_TECH_Crisis_Model!$E$5:$E$191,MATCH('Crisis Simulator'!$B$4&amp;"|"&amp;$C324,_TECH_Crisis_Model!$I$5:$I$191,0)),"")</f>
        <v>ERP, CRM, HRMS, MES and SaaS continuity determine transaction and process continuity.</v>
      </c>
      <c r="AG324" s="48" t="str">
        <f>IFERROR(INDEX(_TECH_Crisis_Model!$G$5:$G$191,MATCH('Crisis Simulator'!$B$4&amp;"|"&amp;$C324,_TECH_Crisis_Model!$I$5:$I$191,0)),"")</f>
        <v>Document system dependencies, SaaS continuity, role access, data exports and manual fallback.</v>
      </c>
      <c r="AH324" s="48" t="str">
        <f>IFERROR(INDEX(_TECH_Initiative_Library!$A$5:$A$76,MATCH(1,INDEX((_TECH_Initiative_Library!$B$5:$B$76=$C324)*(_TECH_Initiative_Library!$C$5:$C$76=$D324),0),0)),"")</f>
        <v>INI-056</v>
      </c>
      <c r="AI324" s="48" t="str">
        <f>IFERROR(INDEX(_TECH_Initiative_Library!$F$5:$F$76,MATCH(1,INDEX((_TECH_Initiative_Library!$B$5:$B$76=$C324)*(_TECH_Initiative_Library!$C$5:$C$76=$D324),0),0)),"")</f>
        <v>Stabilize HRMS, finance systems and core administrative workflows</v>
      </c>
      <c r="AJ324" s="48" t="str">
        <f ca="1">IFERROR(INDEX(_TECH_Initiative_Library!$AC$5:$AC$76,MATCH(1,INDEX((_TECH_Initiative_Library!$B$5:$B$76=$C324)*(_TECH_Initiative_Library!$C$5:$C$76=$D324),0),0)),"")</f>
        <v/>
      </c>
      <c r="AK324" s="48" t="str">
        <f ca="1">IFERROR(INDEX(_TECH_Initiative_Library!$AE$5:$AE$76,MATCH(1,INDEX((_TECH_Initiative_Library!$B$5:$B$76=$C324)*(_TECH_Initiative_Library!$C$5:$C$76=$D324),0),0)),"")</f>
        <v/>
      </c>
      <c r="AL324" s="48" t="str">
        <f>IF($B324="Yes",IFERROR(SUMIFS(_TECH_Industry_Templates!$E:$E,_TECH_Industry_Templates!$A:$A,'Company Profile'!$B$9,_TECH_Industry_Templates!$B:$B,$C324),1),"")</f>
        <v/>
      </c>
      <c r="AM324" s="48" t="str">
        <f t="shared" si="49"/>
        <v/>
      </c>
      <c r="AN324" s="48" t="str">
        <f>IF($AM324="","",RANK.EQ($AM324,$AM$8:$AM$414,0)+COUNTIF($AM$8:$AM324,$AM324)-1)</f>
        <v/>
      </c>
    </row>
    <row r="325" spans="1:40" ht="71.25">
      <c r="A325" s="28" t="str">
        <f>IF($AM325="","",RANK.EQ($AM325,$AM$8:$AM$414,0)+COUNTIF($AM$8:$AM325,$AM325)-1)</f>
        <v/>
      </c>
      <c r="B325" s="7" t="str">
        <f t="shared" si="40"/>
        <v/>
      </c>
      <c r="C325" s="7" t="s">
        <v>91</v>
      </c>
      <c r="D325" s="7" t="s">
        <v>1519</v>
      </c>
      <c r="E325" s="7" t="s">
        <v>5102</v>
      </c>
      <c r="F325" s="7" t="s">
        <v>5103</v>
      </c>
      <c r="G325" s="28" t="str">
        <f>IF(OR(COUNTA('Business Systems'!$H$19)=0,'Business Systems'!$H$19="N/A"),"",VALUE('Business Systems'!$H$19))</f>
        <v/>
      </c>
      <c r="H325" s="7" t="str">
        <f t="shared" si="41"/>
        <v/>
      </c>
      <c r="I325" s="7" t="str">
        <f>IF($G325="","",IFERROR(IF('Business Systems'!$L$19="",IF($G325&lt;=1,"Critical",IF($G325=2,"High",IF($G325=3,"Medium",IF($G325=4,"Low","Optimized")))),'Business Systems'!$L$19),IF($G325&lt;=1,"Critical",IF($G325=2,"High",IF($G325=3,"Medium",IF($G325=4,"Low","Optimized"))))))</f>
        <v/>
      </c>
      <c r="J325" s="7" t="str">
        <f>IF($G325="","",IFERROR(INDEX('Recommendation Matrix'!$E$5:$J$411,MATCH($E325,'Recommendation Matrix'!$A$5:$A$411,0),$G325+1),""))</f>
        <v/>
      </c>
      <c r="K325" s="7" t="str">
        <f>IF($G325="","",IFERROR(VLOOKUP($E325,'Recommendation Matrix'!$A$5:$K$411,11,FALSE),""))</f>
        <v/>
      </c>
      <c r="L325" s="28" t="str">
        <f t="shared" si="42"/>
        <v/>
      </c>
      <c r="M325" s="28" t="str">
        <f>IF($G325="","",IFERROR(INDEX('Recommendation Matrix'!$L$5:$Q$411,MATCH($E325,'Recommendation Matrix'!$A$5:$A$411,0),$G325+1),""))</f>
        <v/>
      </c>
      <c r="N325" s="28" t="str">
        <f t="shared" si="43"/>
        <v/>
      </c>
      <c r="O325" s="28" t="str">
        <f t="shared" si="44"/>
        <v/>
      </c>
      <c r="P325" s="28" t="str">
        <f t="shared" si="45"/>
        <v/>
      </c>
      <c r="Q325" s="28" t="str">
        <f t="shared" si="46"/>
        <v/>
      </c>
      <c r="R325" s="8" t="str">
        <f t="shared" si="47"/>
        <v/>
      </c>
      <c r="S325" s="28">
        <f>IFERROR('Business Systems'!$G$19,"")</f>
        <v>5</v>
      </c>
      <c r="T325" s="28">
        <f>IFERROR('Business Systems'!$W$19,"")</f>
        <v>5</v>
      </c>
      <c r="U325" s="28">
        <f>IFERROR('Business Systems'!$X$19,"")</f>
        <v>5</v>
      </c>
      <c r="V325" s="28">
        <f>IFERROR('Business Systems'!$Y$19,"")</f>
        <v>5</v>
      </c>
      <c r="W325" s="7" t="s">
        <v>4969</v>
      </c>
      <c r="X325" s="7" t="s">
        <v>4970</v>
      </c>
      <c r="Y325" s="7" t="s">
        <v>5104</v>
      </c>
      <c r="Z325" s="7">
        <f>IFERROR('Business Systems'!$U$19,"")</f>
        <v>0</v>
      </c>
      <c r="AA325" s="7"/>
      <c r="AB325" s="29"/>
      <c r="AC325" s="7"/>
      <c r="AD325" s="48" t="str">
        <f>IF($B325="Yes",IFERROR(SUMIFS(_TECH_Crisis_Model!$D$5:$D$191,_TECH_Crisis_Model!$A$5:$A$191,'Crisis Simulator'!$B$4,_TECH_Crisis_Model!$B$5:$B$191,$C325),1),"")</f>
        <v/>
      </c>
      <c r="AE325" s="48" t="str">
        <f t="shared" si="48"/>
        <v/>
      </c>
      <c r="AF325" s="48" t="str">
        <f>IFERROR(INDEX(_TECH_Crisis_Model!$E$5:$E$191,MATCH('Crisis Simulator'!$B$4&amp;"|"&amp;$C325,_TECH_Crisis_Model!$I$5:$I$191,0)),"")</f>
        <v>ERP, CRM, HRMS, MES and SaaS continuity determine transaction and process continuity.</v>
      </c>
      <c r="AG325" s="48" t="str">
        <f>IFERROR(INDEX(_TECH_Crisis_Model!$G$5:$G$191,MATCH('Crisis Simulator'!$B$4&amp;"|"&amp;$C325,_TECH_Crisis_Model!$I$5:$I$191,0)),"")</f>
        <v>Document system dependencies, SaaS continuity, role access, data exports and manual fallback.</v>
      </c>
      <c r="AH325" s="48" t="str">
        <f>IFERROR(INDEX(_TECH_Initiative_Library!$A$5:$A$76,MATCH(1,INDEX((_TECH_Initiative_Library!$B$5:$B$76=$C325)*(_TECH_Initiative_Library!$C$5:$C$76=$D325),0),0)),"")</f>
        <v>INI-056</v>
      </c>
      <c r="AI325" s="48" t="str">
        <f>IFERROR(INDEX(_TECH_Initiative_Library!$F$5:$F$76,MATCH(1,INDEX((_TECH_Initiative_Library!$B$5:$B$76=$C325)*(_TECH_Initiative_Library!$C$5:$C$76=$D325),0),0)),"")</f>
        <v>Stabilize HRMS, finance systems and core administrative workflows</v>
      </c>
      <c r="AJ325" s="48" t="str">
        <f ca="1">IFERROR(INDEX(_TECH_Initiative_Library!$AC$5:$AC$76,MATCH(1,INDEX((_TECH_Initiative_Library!$B$5:$B$76=$C325)*(_TECH_Initiative_Library!$C$5:$C$76=$D325),0),0)),"")</f>
        <v/>
      </c>
      <c r="AK325" s="48" t="str">
        <f ca="1">IFERROR(INDEX(_TECH_Initiative_Library!$AE$5:$AE$76,MATCH(1,INDEX((_TECH_Initiative_Library!$B$5:$B$76=$C325)*(_TECH_Initiative_Library!$C$5:$C$76=$D325),0),0)),"")</f>
        <v/>
      </c>
      <c r="AL325" s="48" t="str">
        <f>IF($B325="Yes",IFERROR(SUMIFS(_TECH_Industry_Templates!$E:$E,_TECH_Industry_Templates!$A:$A,'Company Profile'!$B$9,_TECH_Industry_Templates!$B:$B,$C325),1),"")</f>
        <v/>
      </c>
      <c r="AM325" s="48" t="str">
        <f t="shared" si="49"/>
        <v/>
      </c>
      <c r="AN325" s="48" t="str">
        <f>IF($AM325="","",RANK.EQ($AM325,$AM$8:$AM$414,0)+COUNTIF($AM$8:$AM325,$AM325)-1)</f>
        <v/>
      </c>
    </row>
    <row r="326" spans="1:40" ht="71.25">
      <c r="A326" s="28" t="str">
        <f>IF($AM326="","",RANK.EQ($AM326,$AM$8:$AM$414,0)+COUNTIF($AM$8:$AM326,$AM326)-1)</f>
        <v/>
      </c>
      <c r="B326" s="7" t="str">
        <f t="shared" si="40"/>
        <v/>
      </c>
      <c r="C326" s="7" t="s">
        <v>91</v>
      </c>
      <c r="D326" s="7" t="s">
        <v>1519</v>
      </c>
      <c r="E326" s="7" t="s">
        <v>5112</v>
      </c>
      <c r="F326" s="7" t="s">
        <v>5113</v>
      </c>
      <c r="G326" s="28" t="str">
        <f>IF(OR(COUNTA('Business Systems'!$H$20)=0,'Business Systems'!$H$20="N/A"),"",VALUE('Business Systems'!$H$20))</f>
        <v/>
      </c>
      <c r="H326" s="7" t="str">
        <f t="shared" si="41"/>
        <v/>
      </c>
      <c r="I326" s="7" t="str">
        <f>IF($G326="","",IFERROR(IF('Business Systems'!$L$20="",IF($G326&lt;=1,"Critical",IF($G326=2,"High",IF($G326=3,"Medium",IF($G326=4,"Low","Optimized")))),'Business Systems'!$L$20),IF($G326&lt;=1,"Critical",IF($G326=2,"High",IF($G326=3,"Medium",IF($G326=4,"Low","Optimized"))))))</f>
        <v/>
      </c>
      <c r="J326" s="7" t="str">
        <f>IF($G326="","",IFERROR(INDEX('Recommendation Matrix'!$E$5:$J$411,MATCH($E326,'Recommendation Matrix'!$A$5:$A$411,0),$G326+1),""))</f>
        <v/>
      </c>
      <c r="K326" s="7" t="str">
        <f>IF($G326="","",IFERROR(VLOOKUP($E326,'Recommendation Matrix'!$A$5:$K$411,11,FALSE),""))</f>
        <v/>
      </c>
      <c r="L326" s="28" t="str">
        <f t="shared" si="42"/>
        <v/>
      </c>
      <c r="M326" s="28" t="str">
        <f>IF($G326="","",IFERROR(INDEX('Recommendation Matrix'!$L$5:$Q$411,MATCH($E326,'Recommendation Matrix'!$A$5:$A$411,0),$G326+1),""))</f>
        <v/>
      </c>
      <c r="N326" s="28" t="str">
        <f t="shared" si="43"/>
        <v/>
      </c>
      <c r="O326" s="28" t="str">
        <f t="shared" si="44"/>
        <v/>
      </c>
      <c r="P326" s="28" t="str">
        <f t="shared" si="45"/>
        <v/>
      </c>
      <c r="Q326" s="28" t="str">
        <f t="shared" si="46"/>
        <v/>
      </c>
      <c r="R326" s="8" t="str">
        <f t="shared" si="47"/>
        <v/>
      </c>
      <c r="S326" s="28">
        <f>IFERROR('Business Systems'!$G$20,"")</f>
        <v>5</v>
      </c>
      <c r="T326" s="28">
        <f>IFERROR('Business Systems'!$W$20,"")</f>
        <v>5</v>
      </c>
      <c r="U326" s="28">
        <f>IFERROR('Business Systems'!$X$20,"")</f>
        <v>5</v>
      </c>
      <c r="V326" s="28">
        <f>IFERROR('Business Systems'!$Y$20,"")</f>
        <v>5</v>
      </c>
      <c r="W326" s="7" t="s">
        <v>4969</v>
      </c>
      <c r="X326" s="7" t="s">
        <v>4970</v>
      </c>
      <c r="Y326" s="7" t="s">
        <v>5114</v>
      </c>
      <c r="Z326" s="7">
        <f>IFERROR('Business Systems'!$U$20,"")</f>
        <v>0</v>
      </c>
      <c r="AA326" s="7"/>
      <c r="AB326" s="29"/>
      <c r="AC326" s="7"/>
      <c r="AD326" s="48" t="str">
        <f>IF($B326="Yes",IFERROR(SUMIFS(_TECH_Crisis_Model!$D$5:$D$191,_TECH_Crisis_Model!$A$5:$A$191,'Crisis Simulator'!$B$4,_TECH_Crisis_Model!$B$5:$B$191,$C326),1),"")</f>
        <v/>
      </c>
      <c r="AE326" s="48" t="str">
        <f t="shared" si="48"/>
        <v/>
      </c>
      <c r="AF326" s="48" t="str">
        <f>IFERROR(INDEX(_TECH_Crisis_Model!$E$5:$E$191,MATCH('Crisis Simulator'!$B$4&amp;"|"&amp;$C326,_TECH_Crisis_Model!$I$5:$I$191,0)),"")</f>
        <v>ERP, CRM, HRMS, MES and SaaS continuity determine transaction and process continuity.</v>
      </c>
      <c r="AG326" s="48" t="str">
        <f>IFERROR(INDEX(_TECH_Crisis_Model!$G$5:$G$191,MATCH('Crisis Simulator'!$B$4&amp;"|"&amp;$C326,_TECH_Crisis_Model!$I$5:$I$191,0)),"")</f>
        <v>Document system dependencies, SaaS continuity, role access, data exports and manual fallback.</v>
      </c>
      <c r="AH326" s="48" t="str">
        <f>IFERROR(INDEX(_TECH_Initiative_Library!$A$5:$A$76,MATCH(1,INDEX((_TECH_Initiative_Library!$B$5:$B$76=$C326)*(_TECH_Initiative_Library!$C$5:$C$76=$D326),0),0)),"")</f>
        <v>INI-056</v>
      </c>
      <c r="AI326" s="48" t="str">
        <f>IFERROR(INDEX(_TECH_Initiative_Library!$F$5:$F$76,MATCH(1,INDEX((_TECH_Initiative_Library!$B$5:$B$76=$C326)*(_TECH_Initiative_Library!$C$5:$C$76=$D326),0),0)),"")</f>
        <v>Stabilize HRMS, finance systems and core administrative workflows</v>
      </c>
      <c r="AJ326" s="48" t="str">
        <f ca="1">IFERROR(INDEX(_TECH_Initiative_Library!$AC$5:$AC$76,MATCH(1,INDEX((_TECH_Initiative_Library!$B$5:$B$76=$C326)*(_TECH_Initiative_Library!$C$5:$C$76=$D326),0),0)),"")</f>
        <v/>
      </c>
      <c r="AK326" s="48" t="str">
        <f ca="1">IFERROR(INDEX(_TECH_Initiative_Library!$AE$5:$AE$76,MATCH(1,INDEX((_TECH_Initiative_Library!$B$5:$B$76=$C326)*(_TECH_Initiative_Library!$C$5:$C$76=$D326),0),0)),"")</f>
        <v/>
      </c>
      <c r="AL326" s="48" t="str">
        <f>IF($B326="Yes",IFERROR(SUMIFS(_TECH_Industry_Templates!$E:$E,_TECH_Industry_Templates!$A:$A,'Company Profile'!$B$9,_TECH_Industry_Templates!$B:$B,$C326),1),"")</f>
        <v/>
      </c>
      <c r="AM326" s="48" t="str">
        <f t="shared" si="49"/>
        <v/>
      </c>
      <c r="AN326" s="48" t="str">
        <f>IF($AM326="","",RANK.EQ($AM326,$AM$8:$AM$414,0)+COUNTIF($AM$8:$AM326,$AM326)-1)</f>
        <v/>
      </c>
    </row>
    <row r="327" spans="1:40" ht="57">
      <c r="A327" s="28" t="str">
        <f>IF($AM327="","",RANK.EQ($AM327,$AM$8:$AM$414,0)+COUNTIF($AM$8:$AM327,$AM327)-1)</f>
        <v/>
      </c>
      <c r="B327" s="7" t="str">
        <f t="shared" si="40"/>
        <v/>
      </c>
      <c r="C327" s="7" t="s">
        <v>91</v>
      </c>
      <c r="D327" s="7" t="s">
        <v>1519</v>
      </c>
      <c r="E327" s="7" t="s">
        <v>5122</v>
      </c>
      <c r="F327" s="7" t="s">
        <v>5123</v>
      </c>
      <c r="G327" s="28" t="str">
        <f>IF(OR(COUNTA('Business Systems'!$H$21)=0,'Business Systems'!$H$21="N/A"),"",VALUE('Business Systems'!$H$21))</f>
        <v/>
      </c>
      <c r="H327" s="7" t="str">
        <f t="shared" si="41"/>
        <v/>
      </c>
      <c r="I327" s="7" t="str">
        <f>IF($G327="","",IFERROR(IF('Business Systems'!$L$21="",IF($G327&lt;=1,"Critical",IF($G327=2,"High",IF($G327=3,"Medium",IF($G327=4,"Low","Optimized")))),'Business Systems'!$L$21),IF($G327&lt;=1,"Critical",IF($G327=2,"High",IF($G327=3,"Medium",IF($G327=4,"Low","Optimized"))))))</f>
        <v/>
      </c>
      <c r="J327" s="7" t="str">
        <f>IF($G327="","",IFERROR(INDEX('Recommendation Matrix'!$E$5:$J$411,MATCH($E327,'Recommendation Matrix'!$A$5:$A$411,0),$G327+1),""))</f>
        <v/>
      </c>
      <c r="K327" s="7" t="str">
        <f>IF($G327="","",IFERROR(VLOOKUP($E327,'Recommendation Matrix'!$A$5:$K$411,11,FALSE),""))</f>
        <v/>
      </c>
      <c r="L327" s="28" t="str">
        <f t="shared" si="42"/>
        <v/>
      </c>
      <c r="M327" s="28" t="str">
        <f>IF($G327="","",IFERROR(INDEX('Recommendation Matrix'!$L$5:$Q$411,MATCH($E327,'Recommendation Matrix'!$A$5:$A$411,0),$G327+1),""))</f>
        <v/>
      </c>
      <c r="N327" s="28" t="str">
        <f t="shared" si="43"/>
        <v/>
      </c>
      <c r="O327" s="28" t="str">
        <f t="shared" si="44"/>
        <v/>
      </c>
      <c r="P327" s="28" t="str">
        <f t="shared" si="45"/>
        <v/>
      </c>
      <c r="Q327" s="28" t="str">
        <f t="shared" si="46"/>
        <v/>
      </c>
      <c r="R327" s="8" t="str">
        <f t="shared" si="47"/>
        <v/>
      </c>
      <c r="S327" s="28">
        <f>IFERROR('Business Systems'!$G$21,"")</f>
        <v>5</v>
      </c>
      <c r="T327" s="28">
        <f>IFERROR('Business Systems'!$W$21,"")</f>
        <v>5</v>
      </c>
      <c r="U327" s="28">
        <f>IFERROR('Business Systems'!$X$21,"")</f>
        <v>5</v>
      </c>
      <c r="V327" s="28">
        <f>IFERROR('Business Systems'!$Y$21,"")</f>
        <v>5</v>
      </c>
      <c r="W327" s="7" t="s">
        <v>4969</v>
      </c>
      <c r="X327" s="7" t="s">
        <v>4970</v>
      </c>
      <c r="Y327" s="7" t="s">
        <v>5124</v>
      </c>
      <c r="Z327" s="7">
        <f>IFERROR('Business Systems'!$U$21,"")</f>
        <v>0</v>
      </c>
      <c r="AA327" s="7"/>
      <c r="AB327" s="29"/>
      <c r="AC327" s="7"/>
      <c r="AD327" s="48" t="str">
        <f>IF($B327="Yes",IFERROR(SUMIFS(_TECH_Crisis_Model!$D$5:$D$191,_TECH_Crisis_Model!$A$5:$A$191,'Crisis Simulator'!$B$4,_TECH_Crisis_Model!$B$5:$B$191,$C327),1),"")</f>
        <v/>
      </c>
      <c r="AE327" s="48" t="str">
        <f t="shared" si="48"/>
        <v/>
      </c>
      <c r="AF327" s="48" t="str">
        <f>IFERROR(INDEX(_TECH_Crisis_Model!$E$5:$E$191,MATCH('Crisis Simulator'!$B$4&amp;"|"&amp;$C327,_TECH_Crisis_Model!$I$5:$I$191,0)),"")</f>
        <v>ERP, CRM, HRMS, MES and SaaS continuity determine transaction and process continuity.</v>
      </c>
      <c r="AG327" s="48" t="str">
        <f>IFERROR(INDEX(_TECH_Crisis_Model!$G$5:$G$191,MATCH('Crisis Simulator'!$B$4&amp;"|"&amp;$C327,_TECH_Crisis_Model!$I$5:$I$191,0)),"")</f>
        <v>Document system dependencies, SaaS continuity, role access, data exports and manual fallback.</v>
      </c>
      <c r="AH327" s="48" t="str">
        <f>IFERROR(INDEX(_TECH_Initiative_Library!$A$5:$A$76,MATCH(1,INDEX((_TECH_Initiative_Library!$B$5:$B$76=$C327)*(_TECH_Initiative_Library!$C$5:$C$76=$D327),0),0)),"")</f>
        <v>INI-056</v>
      </c>
      <c r="AI327" s="48" t="str">
        <f>IFERROR(INDEX(_TECH_Initiative_Library!$F$5:$F$76,MATCH(1,INDEX((_TECH_Initiative_Library!$B$5:$B$76=$C327)*(_TECH_Initiative_Library!$C$5:$C$76=$D327),0),0)),"")</f>
        <v>Stabilize HRMS, finance systems and core administrative workflows</v>
      </c>
      <c r="AJ327" s="48" t="str">
        <f ca="1">IFERROR(INDEX(_TECH_Initiative_Library!$AC$5:$AC$76,MATCH(1,INDEX((_TECH_Initiative_Library!$B$5:$B$76=$C327)*(_TECH_Initiative_Library!$C$5:$C$76=$D327),0),0)),"")</f>
        <v/>
      </c>
      <c r="AK327" s="48" t="str">
        <f ca="1">IFERROR(INDEX(_TECH_Initiative_Library!$AE$5:$AE$76,MATCH(1,INDEX((_TECH_Initiative_Library!$B$5:$B$76=$C327)*(_TECH_Initiative_Library!$C$5:$C$76=$D327),0),0)),"")</f>
        <v/>
      </c>
      <c r="AL327" s="48" t="str">
        <f>IF($B327="Yes",IFERROR(SUMIFS(_TECH_Industry_Templates!$E:$E,_TECH_Industry_Templates!$A:$A,'Company Profile'!$B$9,_TECH_Industry_Templates!$B:$B,$C327),1),"")</f>
        <v/>
      </c>
      <c r="AM327" s="48" t="str">
        <f t="shared" si="49"/>
        <v/>
      </c>
      <c r="AN327" s="48" t="str">
        <f>IF($AM327="","",RANK.EQ($AM327,$AM$8:$AM$414,0)+COUNTIF($AM$8:$AM327,$AM327)-1)</f>
        <v/>
      </c>
    </row>
    <row r="328" spans="1:40" ht="71.25">
      <c r="A328" s="28" t="str">
        <f>IF($AM328="","",RANK.EQ($AM328,$AM$8:$AM$414,0)+COUNTIF($AM$8:$AM328,$AM328)-1)</f>
        <v/>
      </c>
      <c r="B328" s="7" t="str">
        <f t="shared" ref="B328:B391" si="50">IF($G328="","",IF($G328&lt;5,"Yes","Maintain"))</f>
        <v/>
      </c>
      <c r="C328" s="7" t="s">
        <v>91</v>
      </c>
      <c r="D328" s="7" t="s">
        <v>1527</v>
      </c>
      <c r="E328" s="7" t="s">
        <v>5132</v>
      </c>
      <c r="F328" s="7" t="s">
        <v>5133</v>
      </c>
      <c r="G328" s="28" t="str">
        <f>IF(OR(COUNTA('Business Systems'!$H$22)=0,'Business Systems'!$H$22="N/A"),"",VALUE('Business Systems'!$H$22))</f>
        <v/>
      </c>
      <c r="H328" s="7" t="str">
        <f t="shared" ref="H328:H391" si="51">IF($G328="","",IF($G328&gt;=5,"Sustain",$G328+1))</f>
        <v/>
      </c>
      <c r="I328" s="7" t="str">
        <f>IF($G328="","",IFERROR(IF('Business Systems'!$L$22="",IF($G328&lt;=1,"Critical",IF($G328=2,"High",IF($G328=3,"Medium",IF($G328=4,"Low","Optimized")))),'Business Systems'!$L$22),IF($G328&lt;=1,"Critical",IF($G328=2,"High",IF($G328=3,"Medium",IF($G328=4,"Low","Optimized"))))))</f>
        <v/>
      </c>
      <c r="J328" s="7" t="str">
        <f>IF($G328="","",IFERROR(INDEX('Recommendation Matrix'!$E$5:$J$411,MATCH($E328,'Recommendation Matrix'!$A$5:$A$411,0),$G328+1),""))</f>
        <v/>
      </c>
      <c r="K328" s="7" t="str">
        <f>IF($G328="","",IFERROR(VLOOKUP($E328,'Recommendation Matrix'!$A$5:$K$411,11,FALSE),""))</f>
        <v/>
      </c>
      <c r="L328" s="28" t="str">
        <f t="shared" ref="L328:L391" si="52">IF($G328="","",MAX(1,MIN(5,ROUNDUP(((5-$G328)*0.55)+($S328*0.25)+($U328*0.2),0))))</f>
        <v/>
      </c>
      <c r="M328" s="28" t="str">
        <f>IF($G328="","",IFERROR(INDEX('Recommendation Matrix'!$L$5:$Q$411,MATCH($E328,'Recommendation Matrix'!$A$5:$A$411,0),$G328+1),""))</f>
        <v/>
      </c>
      <c r="N328" s="28" t="str">
        <f t="shared" ref="N328:N391" si="53">IF($G328="","",MAX(1,MIN(5,ROUND(($S328+$T328+$V328)/3,0))))</f>
        <v/>
      </c>
      <c r="O328" s="28" t="str">
        <f t="shared" ref="O328:O391" si="54">IF($G328="","",IF($I328="Critical",5,IF($I328="High",4,IF($I328="Medium",3,IF($I328="Low",2,1)))))</f>
        <v/>
      </c>
      <c r="P328" s="28" t="str">
        <f t="shared" ref="P328:P391" si="55">IF($G328="","",MAX(1,MIN(5,ROUNDUP(((5-$G328)*0.6)+($U328*0.4),0))))</f>
        <v/>
      </c>
      <c r="Q328" s="28" t="str">
        <f t="shared" ref="Q328:Q391" si="56">IF($G328="","",MAX(1,MIN(5,ROUND(($T328+$V328)/2,0))))</f>
        <v/>
      </c>
      <c r="R328" s="8" t="str">
        <f t="shared" ref="R328:R391" si="57">IF($G328="","",ROUND(($N328+$O328+$P328+$Q328)/$M328,2))</f>
        <v/>
      </c>
      <c r="S328" s="28">
        <f>IFERROR('Business Systems'!$G$22,"")</f>
        <v>4</v>
      </c>
      <c r="T328" s="28">
        <f>IFERROR('Business Systems'!$W$22,"")</f>
        <v>5</v>
      </c>
      <c r="U328" s="28">
        <f>IFERROR('Business Systems'!$X$22,"")</f>
        <v>5</v>
      </c>
      <c r="V328" s="28">
        <f>IFERROR('Business Systems'!$Y$22,"")</f>
        <v>5</v>
      </c>
      <c r="W328" s="7" t="s">
        <v>4969</v>
      </c>
      <c r="X328" s="7" t="s">
        <v>4970</v>
      </c>
      <c r="Y328" s="7" t="s">
        <v>5134</v>
      </c>
      <c r="Z328" s="7">
        <f>IFERROR('Business Systems'!$U$22,"")</f>
        <v>0</v>
      </c>
      <c r="AA328" s="7"/>
      <c r="AB328" s="29"/>
      <c r="AC328" s="7"/>
      <c r="AD328" s="48" t="str">
        <f>IF($B328="Yes",IFERROR(SUMIFS(_TECH_Crisis_Model!$D$5:$D$191,_TECH_Crisis_Model!$A$5:$A$191,'Crisis Simulator'!$B$4,_TECH_Crisis_Model!$B$5:$B$191,$C328),1),"")</f>
        <v/>
      </c>
      <c r="AE328" s="48" t="str">
        <f t="shared" ref="AE328:AE391" si="58">IF(AD328="","",ROUND($R328*(0.7+0.3*AD328),2))</f>
        <v/>
      </c>
      <c r="AF328" s="48" t="str">
        <f>IFERROR(INDEX(_TECH_Crisis_Model!$E$5:$E$191,MATCH('Crisis Simulator'!$B$4&amp;"|"&amp;$C328,_TECH_Crisis_Model!$I$5:$I$191,0)),"")</f>
        <v>ERP, CRM, HRMS, MES and SaaS continuity determine transaction and process continuity.</v>
      </c>
      <c r="AG328" s="48" t="str">
        <f>IFERROR(INDEX(_TECH_Crisis_Model!$G$5:$G$191,MATCH('Crisis Simulator'!$B$4&amp;"|"&amp;$C328,_TECH_Crisis_Model!$I$5:$I$191,0)),"")</f>
        <v>Document system dependencies, SaaS continuity, role access, data exports and manual fallback.</v>
      </c>
      <c r="AH328" s="48" t="str">
        <f>IFERROR(INDEX(_TECH_Initiative_Library!$A$5:$A$76,MATCH(1,INDEX((_TECH_Initiative_Library!$B$5:$B$76=$C328)*(_TECH_Initiative_Library!$C$5:$C$76=$D328),0),0)),"")</f>
        <v>INI-057</v>
      </c>
      <c r="AI328" s="48" t="str">
        <f>IFERROR(INDEX(_TECH_Initiative_Library!$F$5:$F$76,MATCH(1,INDEX((_TECH_Initiative_Library!$B$5:$B$76=$C328)*(_TECH_Initiative_Library!$C$5:$C$76=$D328),0),0)),"")</f>
        <v>Implement business-system governance and lifecycle control</v>
      </c>
      <c r="AJ328" s="48" t="str">
        <f ca="1">IFERROR(INDEX(_TECH_Initiative_Library!$AC$5:$AC$76,MATCH(1,INDEX((_TECH_Initiative_Library!$B$5:$B$76=$C328)*(_TECH_Initiative_Library!$C$5:$C$76=$D328),0),0)),"")</f>
        <v/>
      </c>
      <c r="AK328" s="48" t="str">
        <f ca="1">IFERROR(INDEX(_TECH_Initiative_Library!$AE$5:$AE$76,MATCH(1,INDEX((_TECH_Initiative_Library!$B$5:$B$76=$C328)*(_TECH_Initiative_Library!$C$5:$C$76=$D328),0),0)),"")</f>
        <v/>
      </c>
      <c r="AL328" s="48" t="str">
        <f>IF($B328="Yes",IFERROR(SUMIFS(_TECH_Industry_Templates!$E:$E,_TECH_Industry_Templates!$A:$A,'Company Profile'!$B$9,_TECH_Industry_Templates!$B:$B,$C328),1),"")</f>
        <v/>
      </c>
      <c r="AM328" s="48" t="str">
        <f t="shared" ref="AM328:AM391" si="59">IF($R328="","",ROUND(IF($AE328="",$R328,$AE328)*$AL328,2))</f>
        <v/>
      </c>
      <c r="AN328" s="48" t="str">
        <f>IF($AM328="","",RANK.EQ($AM328,$AM$8:$AM$414,0)+COUNTIF($AM$8:$AM328,$AM328)-1)</f>
        <v/>
      </c>
    </row>
    <row r="329" spans="1:40" ht="71.25">
      <c r="A329" s="28" t="str">
        <f>IF($AM329="","",RANK.EQ($AM329,$AM$8:$AM$414,0)+COUNTIF($AM$8:$AM329,$AM329)-1)</f>
        <v/>
      </c>
      <c r="B329" s="7" t="str">
        <f t="shared" si="50"/>
        <v/>
      </c>
      <c r="C329" s="7" t="s">
        <v>91</v>
      </c>
      <c r="D329" s="7" t="s">
        <v>1527</v>
      </c>
      <c r="E329" s="7" t="s">
        <v>5142</v>
      </c>
      <c r="F329" s="7" t="s">
        <v>5143</v>
      </c>
      <c r="G329" s="28" t="str">
        <f>IF(OR(COUNTA('Business Systems'!$H$23)=0,'Business Systems'!$H$23="N/A"),"",VALUE('Business Systems'!$H$23))</f>
        <v/>
      </c>
      <c r="H329" s="7" t="str">
        <f t="shared" si="51"/>
        <v/>
      </c>
      <c r="I329" s="7" t="str">
        <f>IF($G329="","",IFERROR(IF('Business Systems'!$L$23="",IF($G329&lt;=1,"Critical",IF($G329=2,"High",IF($G329=3,"Medium",IF($G329=4,"Low","Optimized")))),'Business Systems'!$L$23),IF($G329&lt;=1,"Critical",IF($G329=2,"High",IF($G329=3,"Medium",IF($G329=4,"Low","Optimized"))))))</f>
        <v/>
      </c>
      <c r="J329" s="7" t="str">
        <f>IF($G329="","",IFERROR(INDEX('Recommendation Matrix'!$E$5:$J$411,MATCH($E329,'Recommendation Matrix'!$A$5:$A$411,0),$G329+1),""))</f>
        <v/>
      </c>
      <c r="K329" s="7" t="str">
        <f>IF($G329="","",IFERROR(VLOOKUP($E329,'Recommendation Matrix'!$A$5:$K$411,11,FALSE),""))</f>
        <v/>
      </c>
      <c r="L329" s="28" t="str">
        <f t="shared" si="52"/>
        <v/>
      </c>
      <c r="M329" s="28" t="str">
        <f>IF($G329="","",IFERROR(INDEX('Recommendation Matrix'!$L$5:$Q$411,MATCH($E329,'Recommendation Matrix'!$A$5:$A$411,0),$G329+1),""))</f>
        <v/>
      </c>
      <c r="N329" s="28" t="str">
        <f t="shared" si="53"/>
        <v/>
      </c>
      <c r="O329" s="28" t="str">
        <f t="shared" si="54"/>
        <v/>
      </c>
      <c r="P329" s="28" t="str">
        <f t="shared" si="55"/>
        <v/>
      </c>
      <c r="Q329" s="28" t="str">
        <f t="shared" si="56"/>
        <v/>
      </c>
      <c r="R329" s="8" t="str">
        <f t="shared" si="57"/>
        <v/>
      </c>
      <c r="S329" s="28">
        <f>IFERROR('Business Systems'!$G$23,"")</f>
        <v>5</v>
      </c>
      <c r="T329" s="28">
        <f>IFERROR('Business Systems'!$W$23,"")</f>
        <v>5</v>
      </c>
      <c r="U329" s="28">
        <f>IFERROR('Business Systems'!$X$23,"")</f>
        <v>5</v>
      </c>
      <c r="V329" s="28">
        <f>IFERROR('Business Systems'!$Y$23,"")</f>
        <v>5</v>
      </c>
      <c r="W329" s="7" t="s">
        <v>4969</v>
      </c>
      <c r="X329" s="7" t="s">
        <v>4970</v>
      </c>
      <c r="Y329" s="7" t="s">
        <v>5144</v>
      </c>
      <c r="Z329" s="7">
        <f>IFERROR('Business Systems'!$U$23,"")</f>
        <v>0</v>
      </c>
      <c r="AA329" s="7"/>
      <c r="AB329" s="29"/>
      <c r="AC329" s="7"/>
      <c r="AD329" s="48" t="str">
        <f>IF($B329="Yes",IFERROR(SUMIFS(_TECH_Crisis_Model!$D$5:$D$191,_TECH_Crisis_Model!$A$5:$A$191,'Crisis Simulator'!$B$4,_TECH_Crisis_Model!$B$5:$B$191,$C329),1),"")</f>
        <v/>
      </c>
      <c r="AE329" s="48" t="str">
        <f t="shared" si="58"/>
        <v/>
      </c>
      <c r="AF329" s="48" t="str">
        <f>IFERROR(INDEX(_TECH_Crisis_Model!$E$5:$E$191,MATCH('Crisis Simulator'!$B$4&amp;"|"&amp;$C329,_TECH_Crisis_Model!$I$5:$I$191,0)),"")</f>
        <v>ERP, CRM, HRMS, MES and SaaS continuity determine transaction and process continuity.</v>
      </c>
      <c r="AG329" s="48" t="str">
        <f>IFERROR(INDEX(_TECH_Crisis_Model!$G$5:$G$191,MATCH('Crisis Simulator'!$B$4&amp;"|"&amp;$C329,_TECH_Crisis_Model!$I$5:$I$191,0)),"")</f>
        <v>Document system dependencies, SaaS continuity, role access, data exports and manual fallback.</v>
      </c>
      <c r="AH329" s="48" t="str">
        <f>IFERROR(INDEX(_TECH_Initiative_Library!$A$5:$A$76,MATCH(1,INDEX((_TECH_Initiative_Library!$B$5:$B$76=$C329)*(_TECH_Initiative_Library!$C$5:$C$76=$D329),0),0)),"")</f>
        <v>INI-057</v>
      </c>
      <c r="AI329" s="48" t="str">
        <f>IFERROR(INDEX(_TECH_Initiative_Library!$F$5:$F$76,MATCH(1,INDEX((_TECH_Initiative_Library!$B$5:$B$76=$C329)*(_TECH_Initiative_Library!$C$5:$C$76=$D329),0),0)),"")</f>
        <v>Implement business-system governance and lifecycle control</v>
      </c>
      <c r="AJ329" s="48" t="str">
        <f ca="1">IFERROR(INDEX(_TECH_Initiative_Library!$AC$5:$AC$76,MATCH(1,INDEX((_TECH_Initiative_Library!$B$5:$B$76=$C329)*(_TECH_Initiative_Library!$C$5:$C$76=$D329),0),0)),"")</f>
        <v/>
      </c>
      <c r="AK329" s="48" t="str">
        <f ca="1">IFERROR(INDEX(_TECH_Initiative_Library!$AE$5:$AE$76,MATCH(1,INDEX((_TECH_Initiative_Library!$B$5:$B$76=$C329)*(_TECH_Initiative_Library!$C$5:$C$76=$D329),0),0)),"")</f>
        <v/>
      </c>
      <c r="AL329" s="48" t="str">
        <f>IF($B329="Yes",IFERROR(SUMIFS(_TECH_Industry_Templates!$E:$E,_TECH_Industry_Templates!$A:$A,'Company Profile'!$B$9,_TECH_Industry_Templates!$B:$B,$C329),1),"")</f>
        <v/>
      </c>
      <c r="AM329" s="48" t="str">
        <f t="shared" si="59"/>
        <v/>
      </c>
      <c r="AN329" s="48" t="str">
        <f>IF($AM329="","",RANK.EQ($AM329,$AM$8:$AM$414,0)+COUNTIF($AM$8:$AM329,$AM329)-1)</f>
        <v/>
      </c>
    </row>
    <row r="330" spans="1:40" ht="71.25">
      <c r="A330" s="28" t="str">
        <f>IF($AM330="","",RANK.EQ($AM330,$AM$8:$AM$414,0)+COUNTIF($AM$8:$AM330,$AM330)-1)</f>
        <v/>
      </c>
      <c r="B330" s="7" t="str">
        <f t="shared" si="50"/>
        <v/>
      </c>
      <c r="C330" s="7" t="s">
        <v>91</v>
      </c>
      <c r="D330" s="7" t="s">
        <v>1527</v>
      </c>
      <c r="E330" s="7" t="s">
        <v>5152</v>
      </c>
      <c r="F330" s="7" t="s">
        <v>5153</v>
      </c>
      <c r="G330" s="28" t="str">
        <f>IF(OR(COUNTA('Business Systems'!$H$24)=0,'Business Systems'!$H$24="N/A"),"",VALUE('Business Systems'!$H$24))</f>
        <v/>
      </c>
      <c r="H330" s="7" t="str">
        <f t="shared" si="51"/>
        <v/>
      </c>
      <c r="I330" s="7" t="str">
        <f>IF($G330="","",IFERROR(IF('Business Systems'!$L$24="",IF($G330&lt;=1,"Critical",IF($G330=2,"High",IF($G330=3,"Medium",IF($G330=4,"Low","Optimized")))),'Business Systems'!$L$24),IF($G330&lt;=1,"Critical",IF($G330=2,"High",IF($G330=3,"Medium",IF($G330=4,"Low","Optimized"))))))</f>
        <v/>
      </c>
      <c r="J330" s="7" t="str">
        <f>IF($G330="","",IFERROR(INDEX('Recommendation Matrix'!$E$5:$J$411,MATCH($E330,'Recommendation Matrix'!$A$5:$A$411,0),$G330+1),""))</f>
        <v/>
      </c>
      <c r="K330" s="7" t="str">
        <f>IF($G330="","",IFERROR(VLOOKUP($E330,'Recommendation Matrix'!$A$5:$K$411,11,FALSE),""))</f>
        <v/>
      </c>
      <c r="L330" s="28" t="str">
        <f t="shared" si="52"/>
        <v/>
      </c>
      <c r="M330" s="28" t="str">
        <f>IF($G330="","",IFERROR(INDEX('Recommendation Matrix'!$L$5:$Q$411,MATCH($E330,'Recommendation Matrix'!$A$5:$A$411,0),$G330+1),""))</f>
        <v/>
      </c>
      <c r="N330" s="28" t="str">
        <f t="shared" si="53"/>
        <v/>
      </c>
      <c r="O330" s="28" t="str">
        <f t="shared" si="54"/>
        <v/>
      </c>
      <c r="P330" s="28" t="str">
        <f t="shared" si="55"/>
        <v/>
      </c>
      <c r="Q330" s="28" t="str">
        <f t="shared" si="56"/>
        <v/>
      </c>
      <c r="R330" s="8" t="str">
        <f t="shared" si="57"/>
        <v/>
      </c>
      <c r="S330" s="28">
        <f>IFERROR('Business Systems'!$G$24,"")</f>
        <v>5</v>
      </c>
      <c r="T330" s="28">
        <f>IFERROR('Business Systems'!$W$24,"")</f>
        <v>5</v>
      </c>
      <c r="U330" s="28">
        <f>IFERROR('Business Systems'!$X$24,"")</f>
        <v>5</v>
      </c>
      <c r="V330" s="28">
        <f>IFERROR('Business Systems'!$Y$24,"")</f>
        <v>5</v>
      </c>
      <c r="W330" s="7" t="s">
        <v>4969</v>
      </c>
      <c r="X330" s="7" t="s">
        <v>4970</v>
      </c>
      <c r="Y330" s="7" t="s">
        <v>5154</v>
      </c>
      <c r="Z330" s="7">
        <f>IFERROR('Business Systems'!$U$24,"")</f>
        <v>0</v>
      </c>
      <c r="AA330" s="7"/>
      <c r="AB330" s="29"/>
      <c r="AC330" s="7"/>
      <c r="AD330" s="48" t="str">
        <f>IF($B330="Yes",IFERROR(SUMIFS(_TECH_Crisis_Model!$D$5:$D$191,_TECH_Crisis_Model!$A$5:$A$191,'Crisis Simulator'!$B$4,_TECH_Crisis_Model!$B$5:$B$191,$C330),1),"")</f>
        <v/>
      </c>
      <c r="AE330" s="48" t="str">
        <f t="shared" si="58"/>
        <v/>
      </c>
      <c r="AF330" s="48" t="str">
        <f>IFERROR(INDEX(_TECH_Crisis_Model!$E$5:$E$191,MATCH('Crisis Simulator'!$B$4&amp;"|"&amp;$C330,_TECH_Crisis_Model!$I$5:$I$191,0)),"")</f>
        <v>ERP, CRM, HRMS, MES and SaaS continuity determine transaction and process continuity.</v>
      </c>
      <c r="AG330" s="48" t="str">
        <f>IFERROR(INDEX(_TECH_Crisis_Model!$G$5:$G$191,MATCH('Crisis Simulator'!$B$4&amp;"|"&amp;$C330,_TECH_Crisis_Model!$I$5:$I$191,0)),"")</f>
        <v>Document system dependencies, SaaS continuity, role access, data exports and manual fallback.</v>
      </c>
      <c r="AH330" s="48" t="str">
        <f>IFERROR(INDEX(_TECH_Initiative_Library!$A$5:$A$76,MATCH(1,INDEX((_TECH_Initiative_Library!$B$5:$B$76=$C330)*(_TECH_Initiative_Library!$C$5:$C$76=$D330),0),0)),"")</f>
        <v>INI-057</v>
      </c>
      <c r="AI330" s="48" t="str">
        <f>IFERROR(INDEX(_TECH_Initiative_Library!$F$5:$F$76,MATCH(1,INDEX((_TECH_Initiative_Library!$B$5:$B$76=$C330)*(_TECH_Initiative_Library!$C$5:$C$76=$D330),0),0)),"")</f>
        <v>Implement business-system governance and lifecycle control</v>
      </c>
      <c r="AJ330" s="48" t="str">
        <f ca="1">IFERROR(INDEX(_TECH_Initiative_Library!$AC$5:$AC$76,MATCH(1,INDEX((_TECH_Initiative_Library!$B$5:$B$76=$C330)*(_TECH_Initiative_Library!$C$5:$C$76=$D330),0),0)),"")</f>
        <v/>
      </c>
      <c r="AK330" s="48" t="str">
        <f ca="1">IFERROR(INDEX(_TECH_Initiative_Library!$AE$5:$AE$76,MATCH(1,INDEX((_TECH_Initiative_Library!$B$5:$B$76=$C330)*(_TECH_Initiative_Library!$C$5:$C$76=$D330),0),0)),"")</f>
        <v/>
      </c>
      <c r="AL330" s="48" t="str">
        <f>IF($B330="Yes",IFERROR(SUMIFS(_TECH_Industry_Templates!$E:$E,_TECH_Industry_Templates!$A:$A,'Company Profile'!$B$9,_TECH_Industry_Templates!$B:$B,$C330),1),"")</f>
        <v/>
      </c>
      <c r="AM330" s="48" t="str">
        <f t="shared" si="59"/>
        <v/>
      </c>
      <c r="AN330" s="48" t="str">
        <f>IF($AM330="","",RANK.EQ($AM330,$AM$8:$AM$414,0)+COUNTIF($AM$8:$AM330,$AM330)-1)</f>
        <v/>
      </c>
    </row>
    <row r="331" spans="1:40" ht="71.25">
      <c r="A331" s="28" t="str">
        <f>IF($AM331="","",RANK.EQ($AM331,$AM$8:$AM$414,0)+COUNTIF($AM$8:$AM331,$AM331)-1)</f>
        <v/>
      </c>
      <c r="B331" s="7" t="str">
        <f t="shared" si="50"/>
        <v/>
      </c>
      <c r="C331" s="7" t="s">
        <v>91</v>
      </c>
      <c r="D331" s="7" t="s">
        <v>1527</v>
      </c>
      <c r="E331" s="7" t="s">
        <v>5162</v>
      </c>
      <c r="F331" s="7" t="s">
        <v>5163</v>
      </c>
      <c r="G331" s="28" t="str">
        <f>IF(OR(COUNTA('Business Systems'!$H$25)=0,'Business Systems'!$H$25="N/A"),"",VALUE('Business Systems'!$H$25))</f>
        <v/>
      </c>
      <c r="H331" s="7" t="str">
        <f t="shared" si="51"/>
        <v/>
      </c>
      <c r="I331" s="7" t="str">
        <f>IF($G331="","",IFERROR(IF('Business Systems'!$L$25="",IF($G331&lt;=1,"Critical",IF($G331=2,"High",IF($G331=3,"Medium",IF($G331=4,"Low","Optimized")))),'Business Systems'!$L$25),IF($G331&lt;=1,"Critical",IF($G331=2,"High",IF($G331=3,"Medium",IF($G331=4,"Low","Optimized"))))))</f>
        <v/>
      </c>
      <c r="J331" s="7" t="str">
        <f>IF($G331="","",IFERROR(INDEX('Recommendation Matrix'!$E$5:$J$411,MATCH($E331,'Recommendation Matrix'!$A$5:$A$411,0),$G331+1),""))</f>
        <v/>
      </c>
      <c r="K331" s="7" t="str">
        <f>IF($G331="","",IFERROR(VLOOKUP($E331,'Recommendation Matrix'!$A$5:$K$411,11,FALSE),""))</f>
        <v/>
      </c>
      <c r="L331" s="28" t="str">
        <f t="shared" si="52"/>
        <v/>
      </c>
      <c r="M331" s="28" t="str">
        <f>IF($G331="","",IFERROR(INDEX('Recommendation Matrix'!$L$5:$Q$411,MATCH($E331,'Recommendation Matrix'!$A$5:$A$411,0),$G331+1),""))</f>
        <v/>
      </c>
      <c r="N331" s="28" t="str">
        <f t="shared" si="53"/>
        <v/>
      </c>
      <c r="O331" s="28" t="str">
        <f t="shared" si="54"/>
        <v/>
      </c>
      <c r="P331" s="28" t="str">
        <f t="shared" si="55"/>
        <v/>
      </c>
      <c r="Q331" s="28" t="str">
        <f t="shared" si="56"/>
        <v/>
      </c>
      <c r="R331" s="8" t="str">
        <f t="shared" si="57"/>
        <v/>
      </c>
      <c r="S331" s="28">
        <f>IFERROR('Business Systems'!$G$25,"")</f>
        <v>5</v>
      </c>
      <c r="T331" s="28">
        <f>IFERROR('Business Systems'!$W$25,"")</f>
        <v>5</v>
      </c>
      <c r="U331" s="28">
        <f>IFERROR('Business Systems'!$X$25,"")</f>
        <v>5</v>
      </c>
      <c r="V331" s="28">
        <f>IFERROR('Business Systems'!$Y$25,"")</f>
        <v>5</v>
      </c>
      <c r="W331" s="7" t="s">
        <v>4969</v>
      </c>
      <c r="X331" s="7" t="s">
        <v>4970</v>
      </c>
      <c r="Y331" s="7" t="s">
        <v>5164</v>
      </c>
      <c r="Z331" s="7">
        <f>IFERROR('Business Systems'!$U$25,"")</f>
        <v>0</v>
      </c>
      <c r="AA331" s="7"/>
      <c r="AB331" s="29"/>
      <c r="AC331" s="7"/>
      <c r="AD331" s="48" t="str">
        <f>IF($B331="Yes",IFERROR(SUMIFS(_TECH_Crisis_Model!$D$5:$D$191,_TECH_Crisis_Model!$A$5:$A$191,'Crisis Simulator'!$B$4,_TECH_Crisis_Model!$B$5:$B$191,$C331),1),"")</f>
        <v/>
      </c>
      <c r="AE331" s="48" t="str">
        <f t="shared" si="58"/>
        <v/>
      </c>
      <c r="AF331" s="48" t="str">
        <f>IFERROR(INDEX(_TECH_Crisis_Model!$E$5:$E$191,MATCH('Crisis Simulator'!$B$4&amp;"|"&amp;$C331,_TECH_Crisis_Model!$I$5:$I$191,0)),"")</f>
        <v>ERP, CRM, HRMS, MES and SaaS continuity determine transaction and process continuity.</v>
      </c>
      <c r="AG331" s="48" t="str">
        <f>IFERROR(INDEX(_TECH_Crisis_Model!$G$5:$G$191,MATCH('Crisis Simulator'!$B$4&amp;"|"&amp;$C331,_TECH_Crisis_Model!$I$5:$I$191,0)),"")</f>
        <v>Document system dependencies, SaaS continuity, role access, data exports and manual fallback.</v>
      </c>
      <c r="AH331" s="48" t="str">
        <f>IFERROR(INDEX(_TECH_Initiative_Library!$A$5:$A$76,MATCH(1,INDEX((_TECH_Initiative_Library!$B$5:$B$76=$C331)*(_TECH_Initiative_Library!$C$5:$C$76=$D331),0),0)),"")</f>
        <v>INI-057</v>
      </c>
      <c r="AI331" s="48" t="str">
        <f>IFERROR(INDEX(_TECH_Initiative_Library!$F$5:$F$76,MATCH(1,INDEX((_TECH_Initiative_Library!$B$5:$B$76=$C331)*(_TECH_Initiative_Library!$C$5:$C$76=$D331),0),0)),"")</f>
        <v>Implement business-system governance and lifecycle control</v>
      </c>
      <c r="AJ331" s="48" t="str">
        <f ca="1">IFERROR(INDEX(_TECH_Initiative_Library!$AC$5:$AC$76,MATCH(1,INDEX((_TECH_Initiative_Library!$B$5:$B$76=$C331)*(_TECH_Initiative_Library!$C$5:$C$76=$D331),0),0)),"")</f>
        <v/>
      </c>
      <c r="AK331" s="48" t="str">
        <f ca="1">IFERROR(INDEX(_TECH_Initiative_Library!$AE$5:$AE$76,MATCH(1,INDEX((_TECH_Initiative_Library!$B$5:$B$76=$C331)*(_TECH_Initiative_Library!$C$5:$C$76=$D331),0),0)),"")</f>
        <v/>
      </c>
      <c r="AL331" s="48" t="str">
        <f>IF($B331="Yes",IFERROR(SUMIFS(_TECH_Industry_Templates!$E:$E,_TECH_Industry_Templates!$A:$A,'Company Profile'!$B$9,_TECH_Industry_Templates!$B:$B,$C331),1),"")</f>
        <v/>
      </c>
      <c r="AM331" s="48" t="str">
        <f t="shared" si="59"/>
        <v/>
      </c>
      <c r="AN331" s="48" t="str">
        <f>IF($AM331="","",RANK.EQ($AM331,$AM$8:$AM$414,0)+COUNTIF($AM$8:$AM331,$AM331)-1)</f>
        <v/>
      </c>
    </row>
    <row r="332" spans="1:40" ht="71.25">
      <c r="A332" s="28" t="str">
        <f>IF($AM332="","",RANK.EQ($AM332,$AM$8:$AM$414,0)+COUNTIF($AM$8:$AM332,$AM332)-1)</f>
        <v/>
      </c>
      <c r="B332" s="7" t="str">
        <f t="shared" si="50"/>
        <v/>
      </c>
      <c r="C332" s="7" t="s">
        <v>91</v>
      </c>
      <c r="D332" s="7" t="s">
        <v>1527</v>
      </c>
      <c r="E332" s="7" t="s">
        <v>5172</v>
      </c>
      <c r="F332" s="7" t="s">
        <v>5173</v>
      </c>
      <c r="G332" s="28" t="str">
        <f>IF(OR(COUNTA('Business Systems'!$H$26)=0,'Business Systems'!$H$26="N/A"),"",VALUE('Business Systems'!$H$26))</f>
        <v/>
      </c>
      <c r="H332" s="7" t="str">
        <f t="shared" si="51"/>
        <v/>
      </c>
      <c r="I332" s="7" t="str">
        <f>IF($G332="","",IFERROR(IF('Business Systems'!$L$26="",IF($G332&lt;=1,"Critical",IF($G332=2,"High",IF($G332=3,"Medium",IF($G332=4,"Low","Optimized")))),'Business Systems'!$L$26),IF($G332&lt;=1,"Critical",IF($G332=2,"High",IF($G332=3,"Medium",IF($G332=4,"Low","Optimized"))))))</f>
        <v/>
      </c>
      <c r="J332" s="7" t="str">
        <f>IF($G332="","",IFERROR(INDEX('Recommendation Matrix'!$E$5:$J$411,MATCH($E332,'Recommendation Matrix'!$A$5:$A$411,0),$G332+1),""))</f>
        <v/>
      </c>
      <c r="K332" s="7" t="str">
        <f>IF($G332="","",IFERROR(VLOOKUP($E332,'Recommendation Matrix'!$A$5:$K$411,11,FALSE),""))</f>
        <v/>
      </c>
      <c r="L332" s="28" t="str">
        <f t="shared" si="52"/>
        <v/>
      </c>
      <c r="M332" s="28" t="str">
        <f>IF($G332="","",IFERROR(INDEX('Recommendation Matrix'!$L$5:$Q$411,MATCH($E332,'Recommendation Matrix'!$A$5:$A$411,0),$G332+1),""))</f>
        <v/>
      </c>
      <c r="N332" s="28" t="str">
        <f t="shared" si="53"/>
        <v/>
      </c>
      <c r="O332" s="28" t="str">
        <f t="shared" si="54"/>
        <v/>
      </c>
      <c r="P332" s="28" t="str">
        <f t="shared" si="55"/>
        <v/>
      </c>
      <c r="Q332" s="28" t="str">
        <f t="shared" si="56"/>
        <v/>
      </c>
      <c r="R332" s="8" t="str">
        <f t="shared" si="57"/>
        <v/>
      </c>
      <c r="S332" s="28">
        <f>IFERROR('Business Systems'!$G$26,"")</f>
        <v>5</v>
      </c>
      <c r="T332" s="28">
        <f>IFERROR('Business Systems'!$W$26,"")</f>
        <v>5</v>
      </c>
      <c r="U332" s="28">
        <f>IFERROR('Business Systems'!$X$26,"")</f>
        <v>5</v>
      </c>
      <c r="V332" s="28">
        <f>IFERROR('Business Systems'!$Y$26,"")</f>
        <v>5</v>
      </c>
      <c r="W332" s="7" t="s">
        <v>4969</v>
      </c>
      <c r="X332" s="7" t="s">
        <v>4970</v>
      </c>
      <c r="Y332" s="7" t="s">
        <v>5174</v>
      </c>
      <c r="Z332" s="7">
        <f>IFERROR('Business Systems'!$U$26,"")</f>
        <v>0</v>
      </c>
      <c r="AA332" s="7"/>
      <c r="AB332" s="29"/>
      <c r="AC332" s="7"/>
      <c r="AD332" s="48" t="str">
        <f>IF($B332="Yes",IFERROR(SUMIFS(_TECH_Crisis_Model!$D$5:$D$191,_TECH_Crisis_Model!$A$5:$A$191,'Crisis Simulator'!$B$4,_TECH_Crisis_Model!$B$5:$B$191,$C332),1),"")</f>
        <v/>
      </c>
      <c r="AE332" s="48" t="str">
        <f t="shared" si="58"/>
        <v/>
      </c>
      <c r="AF332" s="48" t="str">
        <f>IFERROR(INDEX(_TECH_Crisis_Model!$E$5:$E$191,MATCH('Crisis Simulator'!$B$4&amp;"|"&amp;$C332,_TECH_Crisis_Model!$I$5:$I$191,0)),"")</f>
        <v>ERP, CRM, HRMS, MES and SaaS continuity determine transaction and process continuity.</v>
      </c>
      <c r="AG332" s="48" t="str">
        <f>IFERROR(INDEX(_TECH_Crisis_Model!$G$5:$G$191,MATCH('Crisis Simulator'!$B$4&amp;"|"&amp;$C332,_TECH_Crisis_Model!$I$5:$I$191,0)),"")</f>
        <v>Document system dependencies, SaaS continuity, role access, data exports and manual fallback.</v>
      </c>
      <c r="AH332" s="48" t="str">
        <f>IFERROR(INDEX(_TECH_Initiative_Library!$A$5:$A$76,MATCH(1,INDEX((_TECH_Initiative_Library!$B$5:$B$76=$C332)*(_TECH_Initiative_Library!$C$5:$C$76=$D332),0),0)),"")</f>
        <v>INI-057</v>
      </c>
      <c r="AI332" s="48" t="str">
        <f>IFERROR(INDEX(_TECH_Initiative_Library!$F$5:$F$76,MATCH(1,INDEX((_TECH_Initiative_Library!$B$5:$B$76=$C332)*(_TECH_Initiative_Library!$C$5:$C$76=$D332),0),0)),"")</f>
        <v>Implement business-system governance and lifecycle control</v>
      </c>
      <c r="AJ332" s="48" t="str">
        <f ca="1">IFERROR(INDEX(_TECH_Initiative_Library!$AC$5:$AC$76,MATCH(1,INDEX((_TECH_Initiative_Library!$B$5:$B$76=$C332)*(_TECH_Initiative_Library!$C$5:$C$76=$D332),0),0)),"")</f>
        <v/>
      </c>
      <c r="AK332" s="48" t="str">
        <f ca="1">IFERROR(INDEX(_TECH_Initiative_Library!$AE$5:$AE$76,MATCH(1,INDEX((_TECH_Initiative_Library!$B$5:$B$76=$C332)*(_TECH_Initiative_Library!$C$5:$C$76=$D332),0),0)),"")</f>
        <v/>
      </c>
      <c r="AL332" s="48" t="str">
        <f>IF($B332="Yes",IFERROR(SUMIFS(_TECH_Industry_Templates!$E:$E,_TECH_Industry_Templates!$A:$A,'Company Profile'!$B$9,_TECH_Industry_Templates!$B:$B,$C332),1),"")</f>
        <v/>
      </c>
      <c r="AM332" s="48" t="str">
        <f t="shared" si="59"/>
        <v/>
      </c>
      <c r="AN332" s="48" t="str">
        <f>IF($AM332="","",RANK.EQ($AM332,$AM$8:$AM$414,0)+COUNTIF($AM$8:$AM332,$AM332)-1)</f>
        <v/>
      </c>
    </row>
    <row r="333" spans="1:40" ht="71.25">
      <c r="A333" s="28" t="str">
        <f>IF($AM333="","",RANK.EQ($AM333,$AM$8:$AM$414,0)+COUNTIF($AM$8:$AM333,$AM333)-1)</f>
        <v/>
      </c>
      <c r="B333" s="7" t="str">
        <f t="shared" si="50"/>
        <v/>
      </c>
      <c r="C333" s="7" t="s">
        <v>91</v>
      </c>
      <c r="D333" s="7" t="s">
        <v>1527</v>
      </c>
      <c r="E333" s="7" t="s">
        <v>5182</v>
      </c>
      <c r="F333" s="7" t="s">
        <v>5183</v>
      </c>
      <c r="G333" s="28" t="str">
        <f>IF(OR(COUNTA('Business Systems'!$H$27)=0,'Business Systems'!$H$27="N/A"),"",VALUE('Business Systems'!$H$27))</f>
        <v/>
      </c>
      <c r="H333" s="7" t="str">
        <f t="shared" si="51"/>
        <v/>
      </c>
      <c r="I333" s="7" t="str">
        <f>IF($G333="","",IFERROR(IF('Business Systems'!$L$27="",IF($G333&lt;=1,"Critical",IF($G333=2,"High",IF($G333=3,"Medium",IF($G333=4,"Low","Optimized")))),'Business Systems'!$L$27),IF($G333&lt;=1,"Critical",IF($G333=2,"High",IF($G333=3,"Medium",IF($G333=4,"Low","Optimized"))))))</f>
        <v/>
      </c>
      <c r="J333" s="7" t="str">
        <f>IF($G333="","",IFERROR(INDEX('Recommendation Matrix'!$E$5:$J$411,MATCH($E333,'Recommendation Matrix'!$A$5:$A$411,0),$G333+1),""))</f>
        <v/>
      </c>
      <c r="K333" s="7" t="str">
        <f>IF($G333="","",IFERROR(VLOOKUP($E333,'Recommendation Matrix'!$A$5:$K$411,11,FALSE),""))</f>
        <v/>
      </c>
      <c r="L333" s="28" t="str">
        <f t="shared" si="52"/>
        <v/>
      </c>
      <c r="M333" s="28" t="str">
        <f>IF($G333="","",IFERROR(INDEX('Recommendation Matrix'!$L$5:$Q$411,MATCH($E333,'Recommendation Matrix'!$A$5:$A$411,0),$G333+1),""))</f>
        <v/>
      </c>
      <c r="N333" s="28" t="str">
        <f t="shared" si="53"/>
        <v/>
      </c>
      <c r="O333" s="28" t="str">
        <f t="shared" si="54"/>
        <v/>
      </c>
      <c r="P333" s="28" t="str">
        <f t="shared" si="55"/>
        <v/>
      </c>
      <c r="Q333" s="28" t="str">
        <f t="shared" si="56"/>
        <v/>
      </c>
      <c r="R333" s="8" t="str">
        <f t="shared" si="57"/>
        <v/>
      </c>
      <c r="S333" s="28">
        <f>IFERROR('Business Systems'!$G$27,"")</f>
        <v>5</v>
      </c>
      <c r="T333" s="28">
        <f>IFERROR('Business Systems'!$W$27,"")</f>
        <v>5</v>
      </c>
      <c r="U333" s="28">
        <f>IFERROR('Business Systems'!$X$27,"")</f>
        <v>5</v>
      </c>
      <c r="V333" s="28">
        <f>IFERROR('Business Systems'!$Y$27,"")</f>
        <v>5</v>
      </c>
      <c r="W333" s="7" t="s">
        <v>4969</v>
      </c>
      <c r="X333" s="7" t="s">
        <v>4970</v>
      </c>
      <c r="Y333" s="7" t="s">
        <v>5184</v>
      </c>
      <c r="Z333" s="7">
        <f>IFERROR('Business Systems'!$U$27,"")</f>
        <v>0</v>
      </c>
      <c r="AA333" s="7"/>
      <c r="AB333" s="29"/>
      <c r="AC333" s="7"/>
      <c r="AD333" s="48" t="str">
        <f>IF($B333="Yes",IFERROR(SUMIFS(_TECH_Crisis_Model!$D$5:$D$191,_TECH_Crisis_Model!$A$5:$A$191,'Crisis Simulator'!$B$4,_TECH_Crisis_Model!$B$5:$B$191,$C333),1),"")</f>
        <v/>
      </c>
      <c r="AE333" s="48" t="str">
        <f t="shared" si="58"/>
        <v/>
      </c>
      <c r="AF333" s="48" t="str">
        <f>IFERROR(INDEX(_TECH_Crisis_Model!$E$5:$E$191,MATCH('Crisis Simulator'!$B$4&amp;"|"&amp;$C333,_TECH_Crisis_Model!$I$5:$I$191,0)),"")</f>
        <v>ERP, CRM, HRMS, MES and SaaS continuity determine transaction and process continuity.</v>
      </c>
      <c r="AG333" s="48" t="str">
        <f>IFERROR(INDEX(_TECH_Crisis_Model!$G$5:$G$191,MATCH('Crisis Simulator'!$B$4&amp;"|"&amp;$C333,_TECH_Crisis_Model!$I$5:$I$191,0)),"")</f>
        <v>Document system dependencies, SaaS continuity, role access, data exports and manual fallback.</v>
      </c>
      <c r="AH333" s="48" t="str">
        <f>IFERROR(INDEX(_TECH_Initiative_Library!$A$5:$A$76,MATCH(1,INDEX((_TECH_Initiative_Library!$B$5:$B$76=$C333)*(_TECH_Initiative_Library!$C$5:$C$76=$D333),0),0)),"")</f>
        <v>INI-057</v>
      </c>
      <c r="AI333" s="48" t="str">
        <f>IFERROR(INDEX(_TECH_Initiative_Library!$F$5:$F$76,MATCH(1,INDEX((_TECH_Initiative_Library!$B$5:$B$76=$C333)*(_TECH_Initiative_Library!$C$5:$C$76=$D333),0),0)),"")</f>
        <v>Implement business-system governance and lifecycle control</v>
      </c>
      <c r="AJ333" s="48" t="str">
        <f ca="1">IFERROR(INDEX(_TECH_Initiative_Library!$AC$5:$AC$76,MATCH(1,INDEX((_TECH_Initiative_Library!$B$5:$B$76=$C333)*(_TECH_Initiative_Library!$C$5:$C$76=$D333),0),0)),"")</f>
        <v/>
      </c>
      <c r="AK333" s="48" t="str">
        <f ca="1">IFERROR(INDEX(_TECH_Initiative_Library!$AE$5:$AE$76,MATCH(1,INDEX((_TECH_Initiative_Library!$B$5:$B$76=$C333)*(_TECH_Initiative_Library!$C$5:$C$76=$D333),0),0)),"")</f>
        <v/>
      </c>
      <c r="AL333" s="48" t="str">
        <f>IF($B333="Yes",IFERROR(SUMIFS(_TECH_Industry_Templates!$E:$E,_TECH_Industry_Templates!$A:$A,'Company Profile'!$B$9,_TECH_Industry_Templates!$B:$B,$C333),1),"")</f>
        <v/>
      </c>
      <c r="AM333" s="48" t="str">
        <f t="shared" si="59"/>
        <v/>
      </c>
      <c r="AN333" s="48" t="str">
        <f>IF($AM333="","",RANK.EQ($AM333,$AM$8:$AM$414,0)+COUNTIF($AM$8:$AM333,$AM333)-1)</f>
        <v/>
      </c>
    </row>
    <row r="334" spans="1:40" ht="57">
      <c r="A334" s="28" t="str">
        <f>IF($AM334="","",RANK.EQ($AM334,$AM$8:$AM$414,0)+COUNTIF($AM$8:$AM334,$AM334)-1)</f>
        <v/>
      </c>
      <c r="B334" s="7" t="str">
        <f t="shared" si="50"/>
        <v/>
      </c>
      <c r="C334" s="7" t="s">
        <v>92</v>
      </c>
      <c r="D334" s="7" t="s">
        <v>1535</v>
      </c>
      <c r="E334" s="7" t="s">
        <v>5194</v>
      </c>
      <c r="F334" s="7" t="s">
        <v>5195</v>
      </c>
      <c r="G334" s="28" t="str">
        <f>IF(OR(COUNTA('Data BI AI'!$H$5)=0,'Data BI AI'!$H$5="N/A"),"",VALUE('Data BI AI'!$H$5))</f>
        <v/>
      </c>
      <c r="H334" s="7" t="str">
        <f t="shared" si="51"/>
        <v/>
      </c>
      <c r="I334" s="7" t="str">
        <f>IF($G334="","",IFERROR(IF('Data BI AI'!$L$5="",IF($G334&lt;=1,"Critical",IF($G334=2,"High",IF($G334=3,"Medium",IF($G334=4,"Low","Optimized")))),'Data BI AI'!$L$5),IF($G334&lt;=1,"Critical",IF($G334=2,"High",IF($G334=3,"Medium",IF($G334=4,"Low","Optimized"))))))</f>
        <v/>
      </c>
      <c r="J334" s="7" t="str">
        <f>IF($G334="","",IFERROR(INDEX('Recommendation Matrix'!$E$5:$J$411,MATCH($E334,'Recommendation Matrix'!$A$5:$A$411,0),$G334+1),""))</f>
        <v/>
      </c>
      <c r="K334" s="7" t="str">
        <f>IF($G334="","",IFERROR(VLOOKUP($E334,'Recommendation Matrix'!$A$5:$K$411,11,FALSE),""))</f>
        <v/>
      </c>
      <c r="L334" s="28" t="str">
        <f t="shared" si="52"/>
        <v/>
      </c>
      <c r="M334" s="28" t="str">
        <f>IF($G334="","",IFERROR(INDEX('Recommendation Matrix'!$L$5:$Q$411,MATCH($E334,'Recommendation Matrix'!$A$5:$A$411,0),$G334+1),""))</f>
        <v/>
      </c>
      <c r="N334" s="28" t="str">
        <f t="shared" si="53"/>
        <v/>
      </c>
      <c r="O334" s="28" t="str">
        <f t="shared" si="54"/>
        <v/>
      </c>
      <c r="P334" s="28" t="str">
        <f t="shared" si="55"/>
        <v/>
      </c>
      <c r="Q334" s="28" t="str">
        <f t="shared" si="56"/>
        <v/>
      </c>
      <c r="R334" s="8" t="str">
        <f t="shared" si="57"/>
        <v/>
      </c>
      <c r="S334" s="28">
        <f>IFERROR('Data BI AI'!$G$5,"")</f>
        <v>5</v>
      </c>
      <c r="T334" s="28">
        <f>IFERROR('Data BI AI'!$W$5,"")</f>
        <v>5</v>
      </c>
      <c r="U334" s="28">
        <f>IFERROR('Data BI AI'!$X$5,"")</f>
        <v>5</v>
      </c>
      <c r="V334" s="28">
        <f>IFERROR('Data BI AI'!$Y$5,"")</f>
        <v>5</v>
      </c>
      <c r="W334" s="7" t="s">
        <v>5205</v>
      </c>
      <c r="X334" s="7" t="s">
        <v>5206</v>
      </c>
      <c r="Y334" s="7" t="s">
        <v>5198</v>
      </c>
      <c r="Z334" s="7">
        <f>IFERROR('Data BI AI'!$U$5,"")</f>
        <v>0</v>
      </c>
      <c r="AA334" s="7"/>
      <c r="AB334" s="29"/>
      <c r="AC334" s="7"/>
      <c r="AD334" s="48" t="str">
        <f>IF($B334="Yes",IFERROR(SUMIFS(_TECH_Crisis_Model!$D$5:$D$191,_TECH_Crisis_Model!$A$5:$A$191,'Crisis Simulator'!$B$4,_TECH_Crisis_Model!$B$5:$B$191,$C334),1),"")</f>
        <v/>
      </c>
      <c r="AE334" s="48" t="str">
        <f t="shared" si="58"/>
        <v/>
      </c>
      <c r="AF334" s="48" t="str">
        <f>IFERROR(INDEX(_TECH_Crisis_Model!$E$5:$E$191,MATCH('Crisis Simulator'!$B$4&amp;"|"&amp;$C334,_TECH_Crisis_Model!$I$5:$I$191,0)),"")</f>
        <v>Data quality, BI and analytics determine decision visibility and forecasting under stress.</v>
      </c>
      <c r="AG334" s="48" t="str">
        <f>IFERROR(INDEX(_TECH_Crisis_Model!$G$5:$G$191,MATCH('Crisis Simulator'!$B$4&amp;"|"&amp;$C334,_TECH_Crisis_Model!$I$5:$I$191,0)),"")</f>
        <v>Assign data owners, improve data quality, dashboards, forecasting and AI governance.</v>
      </c>
      <c r="AH334" s="48" t="str">
        <f>IFERROR(INDEX(_TECH_Initiative_Library!$A$5:$A$76,MATCH(1,INDEX((_TECH_Initiative_Library!$B$5:$B$76=$C334)*(_TECH_Initiative_Library!$C$5:$C$76=$D334),0),0)),"")</f>
        <v>INI-058</v>
      </c>
      <c r="AI334" s="48" t="str">
        <f>IFERROR(INDEX(_TECH_Initiative_Library!$F$5:$F$76,MATCH(1,INDEX((_TECH_Initiative_Library!$B$5:$B$76=$C334)*(_TECH_Initiative_Library!$C$5:$C$76=$D334),0),0)),"")</f>
        <v>Implement data ownership, quality and governance framework</v>
      </c>
      <c r="AJ334" s="48" t="str">
        <f ca="1">IFERROR(INDEX(_TECH_Initiative_Library!$AC$5:$AC$76,MATCH(1,INDEX((_TECH_Initiative_Library!$B$5:$B$76=$C334)*(_TECH_Initiative_Library!$C$5:$C$76=$D334),0),0)),"")</f>
        <v/>
      </c>
      <c r="AK334" s="48" t="str">
        <f ca="1">IFERROR(INDEX(_TECH_Initiative_Library!$AE$5:$AE$76,MATCH(1,INDEX((_TECH_Initiative_Library!$B$5:$B$76=$C334)*(_TECH_Initiative_Library!$C$5:$C$76=$D334),0),0)),"")</f>
        <v/>
      </c>
      <c r="AL334" s="48" t="str">
        <f>IF($B334="Yes",IFERROR(SUMIFS(_TECH_Industry_Templates!$E:$E,_TECH_Industry_Templates!$A:$A,'Company Profile'!$B$9,_TECH_Industry_Templates!$B:$B,$C334),1),"")</f>
        <v/>
      </c>
      <c r="AM334" s="48" t="str">
        <f t="shared" si="59"/>
        <v/>
      </c>
      <c r="AN334" s="48" t="str">
        <f>IF($AM334="","",RANK.EQ($AM334,$AM$8:$AM$414,0)+COUNTIF($AM$8:$AM334,$AM334)-1)</f>
        <v/>
      </c>
    </row>
    <row r="335" spans="1:40" ht="71.25">
      <c r="A335" s="28" t="str">
        <f>IF($AM335="","",RANK.EQ($AM335,$AM$8:$AM$414,0)+COUNTIF($AM$8:$AM335,$AM335)-1)</f>
        <v/>
      </c>
      <c r="B335" s="7" t="str">
        <f t="shared" si="50"/>
        <v/>
      </c>
      <c r="C335" s="7" t="s">
        <v>92</v>
      </c>
      <c r="D335" s="7" t="s">
        <v>1535</v>
      </c>
      <c r="E335" s="7" t="s">
        <v>5208</v>
      </c>
      <c r="F335" s="7" t="s">
        <v>5209</v>
      </c>
      <c r="G335" s="28" t="str">
        <f>IF(OR(COUNTA('Data BI AI'!$H$6)=0,'Data BI AI'!$H$6="N/A"),"",VALUE('Data BI AI'!$H$6))</f>
        <v/>
      </c>
      <c r="H335" s="7" t="str">
        <f t="shared" si="51"/>
        <v/>
      </c>
      <c r="I335" s="7" t="str">
        <f>IF($G335="","",IFERROR(IF('Data BI AI'!$L$6="",IF($G335&lt;=1,"Critical",IF($G335=2,"High",IF($G335=3,"Medium",IF($G335=4,"Low","Optimized")))),'Data BI AI'!$L$6),IF($G335&lt;=1,"Critical",IF($G335=2,"High",IF($G335=3,"Medium",IF($G335=4,"Low","Optimized"))))))</f>
        <v/>
      </c>
      <c r="J335" s="7" t="str">
        <f>IF($G335="","",IFERROR(INDEX('Recommendation Matrix'!$E$5:$J$411,MATCH($E335,'Recommendation Matrix'!$A$5:$A$411,0),$G335+1),""))</f>
        <v/>
      </c>
      <c r="K335" s="7" t="str">
        <f>IF($G335="","",IFERROR(VLOOKUP($E335,'Recommendation Matrix'!$A$5:$K$411,11,FALSE),""))</f>
        <v/>
      </c>
      <c r="L335" s="28" t="str">
        <f t="shared" si="52"/>
        <v/>
      </c>
      <c r="M335" s="28" t="str">
        <f>IF($G335="","",IFERROR(INDEX('Recommendation Matrix'!$L$5:$Q$411,MATCH($E335,'Recommendation Matrix'!$A$5:$A$411,0),$G335+1),""))</f>
        <v/>
      </c>
      <c r="N335" s="28" t="str">
        <f t="shared" si="53"/>
        <v/>
      </c>
      <c r="O335" s="28" t="str">
        <f t="shared" si="54"/>
        <v/>
      </c>
      <c r="P335" s="28" t="str">
        <f t="shared" si="55"/>
        <v/>
      </c>
      <c r="Q335" s="28" t="str">
        <f t="shared" si="56"/>
        <v/>
      </c>
      <c r="R335" s="8" t="str">
        <f t="shared" si="57"/>
        <v/>
      </c>
      <c r="S335" s="28">
        <f>IFERROR('Data BI AI'!$G$6,"")</f>
        <v>5</v>
      </c>
      <c r="T335" s="28">
        <f>IFERROR('Data BI AI'!$W$6,"")</f>
        <v>5</v>
      </c>
      <c r="U335" s="28">
        <f>IFERROR('Data BI AI'!$X$6,"")</f>
        <v>5</v>
      </c>
      <c r="V335" s="28">
        <f>IFERROR('Data BI AI'!$Y$6,"")</f>
        <v>5</v>
      </c>
      <c r="W335" s="7" t="s">
        <v>5205</v>
      </c>
      <c r="X335" s="7" t="s">
        <v>5206</v>
      </c>
      <c r="Y335" s="7" t="s">
        <v>5210</v>
      </c>
      <c r="Z335" s="7">
        <f>IFERROR('Data BI AI'!$U$6,"")</f>
        <v>0</v>
      </c>
      <c r="AA335" s="7"/>
      <c r="AB335" s="29"/>
      <c r="AC335" s="7"/>
      <c r="AD335" s="48" t="str">
        <f>IF($B335="Yes",IFERROR(SUMIFS(_TECH_Crisis_Model!$D$5:$D$191,_TECH_Crisis_Model!$A$5:$A$191,'Crisis Simulator'!$B$4,_TECH_Crisis_Model!$B$5:$B$191,$C335),1),"")</f>
        <v/>
      </c>
      <c r="AE335" s="48" t="str">
        <f t="shared" si="58"/>
        <v/>
      </c>
      <c r="AF335" s="48" t="str">
        <f>IFERROR(INDEX(_TECH_Crisis_Model!$E$5:$E$191,MATCH('Crisis Simulator'!$B$4&amp;"|"&amp;$C335,_TECH_Crisis_Model!$I$5:$I$191,0)),"")</f>
        <v>Data quality, BI and analytics determine decision visibility and forecasting under stress.</v>
      </c>
      <c r="AG335" s="48" t="str">
        <f>IFERROR(INDEX(_TECH_Crisis_Model!$G$5:$G$191,MATCH('Crisis Simulator'!$B$4&amp;"|"&amp;$C335,_TECH_Crisis_Model!$I$5:$I$191,0)),"")</f>
        <v>Assign data owners, improve data quality, dashboards, forecasting and AI governance.</v>
      </c>
      <c r="AH335" s="48" t="str">
        <f>IFERROR(INDEX(_TECH_Initiative_Library!$A$5:$A$76,MATCH(1,INDEX((_TECH_Initiative_Library!$B$5:$B$76=$C335)*(_TECH_Initiative_Library!$C$5:$C$76=$D335),0),0)),"")</f>
        <v>INI-058</v>
      </c>
      <c r="AI335" s="48" t="str">
        <f>IFERROR(INDEX(_TECH_Initiative_Library!$F$5:$F$76,MATCH(1,INDEX((_TECH_Initiative_Library!$B$5:$B$76=$C335)*(_TECH_Initiative_Library!$C$5:$C$76=$D335),0),0)),"")</f>
        <v>Implement data ownership, quality and governance framework</v>
      </c>
      <c r="AJ335" s="48" t="str">
        <f ca="1">IFERROR(INDEX(_TECH_Initiative_Library!$AC$5:$AC$76,MATCH(1,INDEX((_TECH_Initiative_Library!$B$5:$B$76=$C335)*(_TECH_Initiative_Library!$C$5:$C$76=$D335),0),0)),"")</f>
        <v/>
      </c>
      <c r="AK335" s="48" t="str">
        <f ca="1">IFERROR(INDEX(_TECH_Initiative_Library!$AE$5:$AE$76,MATCH(1,INDEX((_TECH_Initiative_Library!$B$5:$B$76=$C335)*(_TECH_Initiative_Library!$C$5:$C$76=$D335),0),0)),"")</f>
        <v/>
      </c>
      <c r="AL335" s="48" t="str">
        <f>IF($B335="Yes",IFERROR(SUMIFS(_TECH_Industry_Templates!$E:$E,_TECH_Industry_Templates!$A:$A,'Company Profile'!$B$9,_TECH_Industry_Templates!$B:$B,$C335),1),"")</f>
        <v/>
      </c>
      <c r="AM335" s="48" t="str">
        <f t="shared" si="59"/>
        <v/>
      </c>
      <c r="AN335" s="48" t="str">
        <f>IF($AM335="","",RANK.EQ($AM335,$AM$8:$AM$414,0)+COUNTIF($AM$8:$AM335,$AM335)-1)</f>
        <v/>
      </c>
    </row>
    <row r="336" spans="1:40" ht="85.5">
      <c r="A336" s="28" t="str">
        <f>IF($AM336="","",RANK.EQ($AM336,$AM$8:$AM$414,0)+COUNTIF($AM$8:$AM336,$AM336)-1)</f>
        <v/>
      </c>
      <c r="B336" s="7" t="str">
        <f t="shared" si="50"/>
        <v/>
      </c>
      <c r="C336" s="7" t="s">
        <v>92</v>
      </c>
      <c r="D336" s="7" t="s">
        <v>1535</v>
      </c>
      <c r="E336" s="7" t="s">
        <v>5218</v>
      </c>
      <c r="F336" s="7" t="s">
        <v>5219</v>
      </c>
      <c r="G336" s="28" t="str">
        <f>IF(OR(COUNTA('Data BI AI'!$H$7)=0,'Data BI AI'!$H$7="N/A"),"",VALUE('Data BI AI'!$H$7))</f>
        <v/>
      </c>
      <c r="H336" s="7" t="str">
        <f t="shared" si="51"/>
        <v/>
      </c>
      <c r="I336" s="7" t="str">
        <f>IF($G336="","",IFERROR(IF('Data BI AI'!$L$7="",IF($G336&lt;=1,"Critical",IF($G336=2,"High",IF($G336=3,"Medium",IF($G336=4,"Low","Optimized")))),'Data BI AI'!$L$7),IF($G336&lt;=1,"Critical",IF($G336=2,"High",IF($G336=3,"Medium",IF($G336=4,"Low","Optimized"))))))</f>
        <v/>
      </c>
      <c r="J336" s="7" t="str">
        <f>IF($G336="","",IFERROR(INDEX('Recommendation Matrix'!$E$5:$J$411,MATCH($E336,'Recommendation Matrix'!$A$5:$A$411,0),$G336+1),""))</f>
        <v/>
      </c>
      <c r="K336" s="7" t="str">
        <f>IF($G336="","",IFERROR(VLOOKUP($E336,'Recommendation Matrix'!$A$5:$K$411,11,FALSE),""))</f>
        <v/>
      </c>
      <c r="L336" s="28" t="str">
        <f t="shared" si="52"/>
        <v/>
      </c>
      <c r="M336" s="28" t="str">
        <f>IF($G336="","",IFERROR(INDEX('Recommendation Matrix'!$L$5:$Q$411,MATCH($E336,'Recommendation Matrix'!$A$5:$A$411,0),$G336+1),""))</f>
        <v/>
      </c>
      <c r="N336" s="28" t="str">
        <f t="shared" si="53"/>
        <v/>
      </c>
      <c r="O336" s="28" t="str">
        <f t="shared" si="54"/>
        <v/>
      </c>
      <c r="P336" s="28" t="str">
        <f t="shared" si="55"/>
        <v/>
      </c>
      <c r="Q336" s="28" t="str">
        <f t="shared" si="56"/>
        <v/>
      </c>
      <c r="R336" s="8" t="str">
        <f t="shared" si="57"/>
        <v/>
      </c>
      <c r="S336" s="28">
        <f>IFERROR('Data BI AI'!$G$7,"")</f>
        <v>3</v>
      </c>
      <c r="T336" s="28">
        <f>IFERROR('Data BI AI'!$W$7,"")</f>
        <v>5</v>
      </c>
      <c r="U336" s="28">
        <f>IFERROR('Data BI AI'!$X$7,"")</f>
        <v>5</v>
      </c>
      <c r="V336" s="28">
        <f>IFERROR('Data BI AI'!$Y$7,"")</f>
        <v>5</v>
      </c>
      <c r="W336" s="7" t="s">
        <v>5205</v>
      </c>
      <c r="X336" s="7" t="s">
        <v>5206</v>
      </c>
      <c r="Y336" s="7" t="s">
        <v>5220</v>
      </c>
      <c r="Z336" s="7">
        <f>IFERROR('Data BI AI'!$U$7,"")</f>
        <v>0</v>
      </c>
      <c r="AA336" s="7"/>
      <c r="AB336" s="29"/>
      <c r="AC336" s="7"/>
      <c r="AD336" s="48" t="str">
        <f>IF($B336="Yes",IFERROR(SUMIFS(_TECH_Crisis_Model!$D$5:$D$191,_TECH_Crisis_Model!$A$5:$A$191,'Crisis Simulator'!$B$4,_TECH_Crisis_Model!$B$5:$B$191,$C336),1),"")</f>
        <v/>
      </c>
      <c r="AE336" s="48" t="str">
        <f t="shared" si="58"/>
        <v/>
      </c>
      <c r="AF336" s="48" t="str">
        <f>IFERROR(INDEX(_TECH_Crisis_Model!$E$5:$E$191,MATCH('Crisis Simulator'!$B$4&amp;"|"&amp;$C336,_TECH_Crisis_Model!$I$5:$I$191,0)),"")</f>
        <v>Data quality, BI and analytics determine decision visibility and forecasting under stress.</v>
      </c>
      <c r="AG336" s="48" t="str">
        <f>IFERROR(INDEX(_TECH_Crisis_Model!$G$5:$G$191,MATCH('Crisis Simulator'!$B$4&amp;"|"&amp;$C336,_TECH_Crisis_Model!$I$5:$I$191,0)),"")</f>
        <v>Assign data owners, improve data quality, dashboards, forecasting and AI governance.</v>
      </c>
      <c r="AH336" s="48" t="str">
        <f>IFERROR(INDEX(_TECH_Initiative_Library!$A$5:$A$76,MATCH(1,INDEX((_TECH_Initiative_Library!$B$5:$B$76=$C336)*(_TECH_Initiative_Library!$C$5:$C$76=$D336),0),0)),"")</f>
        <v>INI-058</v>
      </c>
      <c r="AI336" s="48" t="str">
        <f>IFERROR(INDEX(_TECH_Initiative_Library!$F$5:$F$76,MATCH(1,INDEX((_TECH_Initiative_Library!$B$5:$B$76=$C336)*(_TECH_Initiative_Library!$C$5:$C$76=$D336),0),0)),"")</f>
        <v>Implement data ownership, quality and governance framework</v>
      </c>
      <c r="AJ336" s="48" t="str">
        <f ca="1">IFERROR(INDEX(_TECH_Initiative_Library!$AC$5:$AC$76,MATCH(1,INDEX((_TECH_Initiative_Library!$B$5:$B$76=$C336)*(_TECH_Initiative_Library!$C$5:$C$76=$D336),0),0)),"")</f>
        <v/>
      </c>
      <c r="AK336" s="48" t="str">
        <f ca="1">IFERROR(INDEX(_TECH_Initiative_Library!$AE$5:$AE$76,MATCH(1,INDEX((_TECH_Initiative_Library!$B$5:$B$76=$C336)*(_TECH_Initiative_Library!$C$5:$C$76=$D336),0),0)),"")</f>
        <v/>
      </c>
      <c r="AL336" s="48" t="str">
        <f>IF($B336="Yes",IFERROR(SUMIFS(_TECH_Industry_Templates!$E:$E,_TECH_Industry_Templates!$A:$A,'Company Profile'!$B$9,_TECH_Industry_Templates!$B:$B,$C336),1),"")</f>
        <v/>
      </c>
      <c r="AM336" s="48" t="str">
        <f t="shared" si="59"/>
        <v/>
      </c>
      <c r="AN336" s="48" t="str">
        <f>IF($AM336="","",RANK.EQ($AM336,$AM$8:$AM$414,0)+COUNTIF($AM$8:$AM336,$AM336)-1)</f>
        <v/>
      </c>
    </row>
    <row r="337" spans="1:40" ht="71.25">
      <c r="A337" s="28" t="str">
        <f>IF($AM337="","",RANK.EQ($AM337,$AM$8:$AM$414,0)+COUNTIF($AM$8:$AM337,$AM337)-1)</f>
        <v/>
      </c>
      <c r="B337" s="7" t="str">
        <f t="shared" si="50"/>
        <v/>
      </c>
      <c r="C337" s="7" t="s">
        <v>92</v>
      </c>
      <c r="D337" s="7" t="s">
        <v>1535</v>
      </c>
      <c r="E337" s="7" t="s">
        <v>5228</v>
      </c>
      <c r="F337" s="7" t="s">
        <v>5229</v>
      </c>
      <c r="G337" s="28" t="str">
        <f>IF(OR(COUNTA('Data BI AI'!$H$8)=0,'Data BI AI'!$H$8="N/A"),"",VALUE('Data BI AI'!$H$8))</f>
        <v/>
      </c>
      <c r="H337" s="7" t="str">
        <f t="shared" si="51"/>
        <v/>
      </c>
      <c r="I337" s="7" t="str">
        <f>IF($G337="","",IFERROR(IF('Data BI AI'!$L$8="",IF($G337&lt;=1,"Critical",IF($G337=2,"High",IF($G337=3,"Medium",IF($G337=4,"Low","Optimized")))),'Data BI AI'!$L$8),IF($G337&lt;=1,"Critical",IF($G337=2,"High",IF($G337=3,"Medium",IF($G337=4,"Low","Optimized"))))))</f>
        <v/>
      </c>
      <c r="J337" s="7" t="str">
        <f>IF($G337="","",IFERROR(INDEX('Recommendation Matrix'!$E$5:$J$411,MATCH($E337,'Recommendation Matrix'!$A$5:$A$411,0),$G337+1),""))</f>
        <v/>
      </c>
      <c r="K337" s="7" t="str">
        <f>IF($G337="","",IFERROR(VLOOKUP($E337,'Recommendation Matrix'!$A$5:$K$411,11,FALSE),""))</f>
        <v/>
      </c>
      <c r="L337" s="28" t="str">
        <f t="shared" si="52"/>
        <v/>
      </c>
      <c r="M337" s="28" t="str">
        <f>IF($G337="","",IFERROR(INDEX('Recommendation Matrix'!$L$5:$Q$411,MATCH($E337,'Recommendation Matrix'!$A$5:$A$411,0),$G337+1),""))</f>
        <v/>
      </c>
      <c r="N337" s="28" t="str">
        <f t="shared" si="53"/>
        <v/>
      </c>
      <c r="O337" s="28" t="str">
        <f t="shared" si="54"/>
        <v/>
      </c>
      <c r="P337" s="28" t="str">
        <f t="shared" si="55"/>
        <v/>
      </c>
      <c r="Q337" s="28" t="str">
        <f t="shared" si="56"/>
        <v/>
      </c>
      <c r="R337" s="8" t="str">
        <f t="shared" si="57"/>
        <v/>
      </c>
      <c r="S337" s="28">
        <f>IFERROR('Data BI AI'!$G$8,"")</f>
        <v>4</v>
      </c>
      <c r="T337" s="28">
        <f>IFERROR('Data BI AI'!$W$8,"")</f>
        <v>5</v>
      </c>
      <c r="U337" s="28">
        <f>IFERROR('Data BI AI'!$X$8,"")</f>
        <v>5</v>
      </c>
      <c r="V337" s="28">
        <f>IFERROR('Data BI AI'!$Y$8,"")</f>
        <v>5</v>
      </c>
      <c r="W337" s="7" t="s">
        <v>5205</v>
      </c>
      <c r="X337" s="7" t="s">
        <v>5206</v>
      </c>
      <c r="Y337" s="7" t="s">
        <v>5230</v>
      </c>
      <c r="Z337" s="7">
        <f>IFERROR('Data BI AI'!$U$8,"")</f>
        <v>0</v>
      </c>
      <c r="AA337" s="7"/>
      <c r="AB337" s="29"/>
      <c r="AC337" s="7"/>
      <c r="AD337" s="48" t="str">
        <f>IF($B337="Yes",IFERROR(SUMIFS(_TECH_Crisis_Model!$D$5:$D$191,_TECH_Crisis_Model!$A$5:$A$191,'Crisis Simulator'!$B$4,_TECH_Crisis_Model!$B$5:$B$191,$C337),1),"")</f>
        <v/>
      </c>
      <c r="AE337" s="48" t="str">
        <f t="shared" si="58"/>
        <v/>
      </c>
      <c r="AF337" s="48" t="str">
        <f>IFERROR(INDEX(_TECH_Crisis_Model!$E$5:$E$191,MATCH('Crisis Simulator'!$B$4&amp;"|"&amp;$C337,_TECH_Crisis_Model!$I$5:$I$191,0)),"")</f>
        <v>Data quality, BI and analytics determine decision visibility and forecasting under stress.</v>
      </c>
      <c r="AG337" s="48" t="str">
        <f>IFERROR(INDEX(_TECH_Crisis_Model!$G$5:$G$191,MATCH('Crisis Simulator'!$B$4&amp;"|"&amp;$C337,_TECH_Crisis_Model!$I$5:$I$191,0)),"")</f>
        <v>Assign data owners, improve data quality, dashboards, forecasting and AI governance.</v>
      </c>
      <c r="AH337" s="48" t="str">
        <f>IFERROR(INDEX(_TECH_Initiative_Library!$A$5:$A$76,MATCH(1,INDEX((_TECH_Initiative_Library!$B$5:$B$76=$C337)*(_TECH_Initiative_Library!$C$5:$C$76=$D337),0),0)),"")</f>
        <v>INI-058</v>
      </c>
      <c r="AI337" s="48" t="str">
        <f>IFERROR(INDEX(_TECH_Initiative_Library!$F$5:$F$76,MATCH(1,INDEX((_TECH_Initiative_Library!$B$5:$B$76=$C337)*(_TECH_Initiative_Library!$C$5:$C$76=$D337),0),0)),"")</f>
        <v>Implement data ownership, quality and governance framework</v>
      </c>
      <c r="AJ337" s="48" t="str">
        <f ca="1">IFERROR(INDEX(_TECH_Initiative_Library!$AC$5:$AC$76,MATCH(1,INDEX((_TECH_Initiative_Library!$B$5:$B$76=$C337)*(_TECH_Initiative_Library!$C$5:$C$76=$D337),0),0)),"")</f>
        <v/>
      </c>
      <c r="AK337" s="48" t="str">
        <f ca="1">IFERROR(INDEX(_TECH_Initiative_Library!$AE$5:$AE$76,MATCH(1,INDEX((_TECH_Initiative_Library!$B$5:$B$76=$C337)*(_TECH_Initiative_Library!$C$5:$C$76=$D337),0),0)),"")</f>
        <v/>
      </c>
      <c r="AL337" s="48" t="str">
        <f>IF($B337="Yes",IFERROR(SUMIFS(_TECH_Industry_Templates!$E:$E,_TECH_Industry_Templates!$A:$A,'Company Profile'!$B$9,_TECH_Industry_Templates!$B:$B,$C337),1),"")</f>
        <v/>
      </c>
      <c r="AM337" s="48" t="str">
        <f t="shared" si="59"/>
        <v/>
      </c>
      <c r="AN337" s="48" t="str">
        <f>IF($AM337="","",RANK.EQ($AM337,$AM$8:$AM$414,0)+COUNTIF($AM$8:$AM337,$AM337)-1)</f>
        <v/>
      </c>
    </row>
    <row r="338" spans="1:40" ht="71.25">
      <c r="A338" s="28" t="str">
        <f>IF($AM338="","",RANK.EQ($AM338,$AM$8:$AM$414,0)+COUNTIF($AM$8:$AM338,$AM338)-1)</f>
        <v/>
      </c>
      <c r="B338" s="7" t="str">
        <f t="shared" si="50"/>
        <v/>
      </c>
      <c r="C338" s="7" t="s">
        <v>92</v>
      </c>
      <c r="D338" s="7" t="s">
        <v>1535</v>
      </c>
      <c r="E338" s="7" t="s">
        <v>5238</v>
      </c>
      <c r="F338" s="7" t="s">
        <v>5239</v>
      </c>
      <c r="G338" s="28" t="str">
        <f>IF(OR(COUNTA('Data BI AI'!$H$9)=0,'Data BI AI'!$H$9="N/A"),"",VALUE('Data BI AI'!$H$9))</f>
        <v/>
      </c>
      <c r="H338" s="7" t="str">
        <f t="shared" si="51"/>
        <v/>
      </c>
      <c r="I338" s="7" t="str">
        <f>IF($G338="","",IFERROR(IF('Data BI AI'!$L$9="",IF($G338&lt;=1,"Critical",IF($G338=2,"High",IF($G338=3,"Medium",IF($G338=4,"Low","Optimized")))),'Data BI AI'!$L$9),IF($G338&lt;=1,"Critical",IF($G338=2,"High",IF($G338=3,"Medium",IF($G338=4,"Low","Optimized"))))))</f>
        <v/>
      </c>
      <c r="J338" s="7" t="str">
        <f>IF($G338="","",IFERROR(INDEX('Recommendation Matrix'!$E$5:$J$411,MATCH($E338,'Recommendation Matrix'!$A$5:$A$411,0),$G338+1),""))</f>
        <v/>
      </c>
      <c r="K338" s="7" t="str">
        <f>IF($G338="","",IFERROR(VLOOKUP($E338,'Recommendation Matrix'!$A$5:$K$411,11,FALSE),""))</f>
        <v/>
      </c>
      <c r="L338" s="28" t="str">
        <f t="shared" si="52"/>
        <v/>
      </c>
      <c r="M338" s="28" t="str">
        <f>IF($G338="","",IFERROR(INDEX('Recommendation Matrix'!$L$5:$Q$411,MATCH($E338,'Recommendation Matrix'!$A$5:$A$411,0),$G338+1),""))</f>
        <v/>
      </c>
      <c r="N338" s="28" t="str">
        <f t="shared" si="53"/>
        <v/>
      </c>
      <c r="O338" s="28" t="str">
        <f t="shared" si="54"/>
        <v/>
      </c>
      <c r="P338" s="28" t="str">
        <f t="shared" si="55"/>
        <v/>
      </c>
      <c r="Q338" s="28" t="str">
        <f t="shared" si="56"/>
        <v/>
      </c>
      <c r="R338" s="8" t="str">
        <f t="shared" si="57"/>
        <v/>
      </c>
      <c r="S338" s="28">
        <f>IFERROR('Data BI AI'!$G$9,"")</f>
        <v>5</v>
      </c>
      <c r="T338" s="28">
        <f>IFERROR('Data BI AI'!$W$9,"")</f>
        <v>5</v>
      </c>
      <c r="U338" s="28">
        <f>IFERROR('Data BI AI'!$X$9,"")</f>
        <v>5</v>
      </c>
      <c r="V338" s="28">
        <f>IFERROR('Data BI AI'!$Y$9,"")</f>
        <v>5</v>
      </c>
      <c r="W338" s="7" t="s">
        <v>5205</v>
      </c>
      <c r="X338" s="7" t="s">
        <v>5206</v>
      </c>
      <c r="Y338" s="7" t="s">
        <v>5240</v>
      </c>
      <c r="Z338" s="7">
        <f>IFERROR('Data BI AI'!$U$9,"")</f>
        <v>0</v>
      </c>
      <c r="AA338" s="7"/>
      <c r="AB338" s="29"/>
      <c r="AC338" s="7"/>
      <c r="AD338" s="48" t="str">
        <f>IF($B338="Yes",IFERROR(SUMIFS(_TECH_Crisis_Model!$D$5:$D$191,_TECH_Crisis_Model!$A$5:$A$191,'Crisis Simulator'!$B$4,_TECH_Crisis_Model!$B$5:$B$191,$C338),1),"")</f>
        <v/>
      </c>
      <c r="AE338" s="48" t="str">
        <f t="shared" si="58"/>
        <v/>
      </c>
      <c r="AF338" s="48" t="str">
        <f>IFERROR(INDEX(_TECH_Crisis_Model!$E$5:$E$191,MATCH('Crisis Simulator'!$B$4&amp;"|"&amp;$C338,_TECH_Crisis_Model!$I$5:$I$191,0)),"")</f>
        <v>Data quality, BI and analytics determine decision visibility and forecasting under stress.</v>
      </c>
      <c r="AG338" s="48" t="str">
        <f>IFERROR(INDEX(_TECH_Crisis_Model!$G$5:$G$191,MATCH('Crisis Simulator'!$B$4&amp;"|"&amp;$C338,_TECH_Crisis_Model!$I$5:$I$191,0)),"")</f>
        <v>Assign data owners, improve data quality, dashboards, forecasting and AI governance.</v>
      </c>
      <c r="AH338" s="48" t="str">
        <f>IFERROR(INDEX(_TECH_Initiative_Library!$A$5:$A$76,MATCH(1,INDEX((_TECH_Initiative_Library!$B$5:$B$76=$C338)*(_TECH_Initiative_Library!$C$5:$C$76=$D338),0),0)),"")</f>
        <v>INI-058</v>
      </c>
      <c r="AI338" s="48" t="str">
        <f>IFERROR(INDEX(_TECH_Initiative_Library!$F$5:$F$76,MATCH(1,INDEX((_TECH_Initiative_Library!$B$5:$B$76=$C338)*(_TECH_Initiative_Library!$C$5:$C$76=$D338),0),0)),"")</f>
        <v>Implement data ownership, quality and governance framework</v>
      </c>
      <c r="AJ338" s="48" t="str">
        <f ca="1">IFERROR(INDEX(_TECH_Initiative_Library!$AC$5:$AC$76,MATCH(1,INDEX((_TECH_Initiative_Library!$B$5:$B$76=$C338)*(_TECH_Initiative_Library!$C$5:$C$76=$D338),0),0)),"")</f>
        <v/>
      </c>
      <c r="AK338" s="48" t="str">
        <f ca="1">IFERROR(INDEX(_TECH_Initiative_Library!$AE$5:$AE$76,MATCH(1,INDEX((_TECH_Initiative_Library!$B$5:$B$76=$C338)*(_TECH_Initiative_Library!$C$5:$C$76=$D338),0),0)),"")</f>
        <v/>
      </c>
      <c r="AL338" s="48" t="str">
        <f>IF($B338="Yes",IFERROR(SUMIFS(_TECH_Industry_Templates!$E:$E,_TECH_Industry_Templates!$A:$A,'Company Profile'!$B$9,_TECH_Industry_Templates!$B:$B,$C338),1),"")</f>
        <v/>
      </c>
      <c r="AM338" s="48" t="str">
        <f t="shared" si="59"/>
        <v/>
      </c>
      <c r="AN338" s="48" t="str">
        <f>IF($AM338="","",RANK.EQ($AM338,$AM$8:$AM$414,0)+COUNTIF($AM$8:$AM338,$AM338)-1)</f>
        <v/>
      </c>
    </row>
    <row r="339" spans="1:40" ht="71.25">
      <c r="A339" s="28" t="str">
        <f>IF($AM339="","",RANK.EQ($AM339,$AM$8:$AM$414,0)+COUNTIF($AM$8:$AM339,$AM339)-1)</f>
        <v/>
      </c>
      <c r="B339" s="7" t="str">
        <f t="shared" si="50"/>
        <v/>
      </c>
      <c r="C339" s="7" t="s">
        <v>92</v>
      </c>
      <c r="D339" s="7" t="s">
        <v>1535</v>
      </c>
      <c r="E339" s="7" t="s">
        <v>5248</v>
      </c>
      <c r="F339" s="7" t="s">
        <v>5249</v>
      </c>
      <c r="G339" s="28" t="str">
        <f>IF(OR(COUNTA('Data BI AI'!$H$10)=0,'Data BI AI'!$H$10="N/A"),"",VALUE('Data BI AI'!$H$10))</f>
        <v/>
      </c>
      <c r="H339" s="7" t="str">
        <f t="shared" si="51"/>
        <v/>
      </c>
      <c r="I339" s="7" t="str">
        <f>IF($G339="","",IFERROR(IF('Data BI AI'!$L$10="",IF($G339&lt;=1,"Critical",IF($G339=2,"High",IF($G339=3,"Medium",IF($G339=4,"Low","Optimized")))),'Data BI AI'!$L$10),IF($G339&lt;=1,"Critical",IF($G339=2,"High",IF($G339=3,"Medium",IF($G339=4,"Low","Optimized"))))))</f>
        <v/>
      </c>
      <c r="J339" s="7" t="str">
        <f>IF($G339="","",IFERROR(INDEX('Recommendation Matrix'!$E$5:$J$411,MATCH($E339,'Recommendation Matrix'!$A$5:$A$411,0),$G339+1),""))</f>
        <v/>
      </c>
      <c r="K339" s="7" t="str">
        <f>IF($G339="","",IFERROR(VLOOKUP($E339,'Recommendation Matrix'!$A$5:$K$411,11,FALSE),""))</f>
        <v/>
      </c>
      <c r="L339" s="28" t="str">
        <f t="shared" si="52"/>
        <v/>
      </c>
      <c r="M339" s="28" t="str">
        <f>IF($G339="","",IFERROR(INDEX('Recommendation Matrix'!$L$5:$Q$411,MATCH($E339,'Recommendation Matrix'!$A$5:$A$411,0),$G339+1),""))</f>
        <v/>
      </c>
      <c r="N339" s="28" t="str">
        <f t="shared" si="53"/>
        <v/>
      </c>
      <c r="O339" s="28" t="str">
        <f t="shared" si="54"/>
        <v/>
      </c>
      <c r="P339" s="28" t="str">
        <f t="shared" si="55"/>
        <v/>
      </c>
      <c r="Q339" s="28" t="str">
        <f t="shared" si="56"/>
        <v/>
      </c>
      <c r="R339" s="8" t="str">
        <f t="shared" si="57"/>
        <v/>
      </c>
      <c r="S339" s="28">
        <f>IFERROR('Data BI AI'!$G$10,"")</f>
        <v>4</v>
      </c>
      <c r="T339" s="28">
        <f>IFERROR('Data BI AI'!$W$10,"")</f>
        <v>5</v>
      </c>
      <c r="U339" s="28">
        <f>IFERROR('Data BI AI'!$X$10,"")</f>
        <v>5</v>
      </c>
      <c r="V339" s="28">
        <f>IFERROR('Data BI AI'!$Y$10,"")</f>
        <v>5</v>
      </c>
      <c r="W339" s="7" t="s">
        <v>5205</v>
      </c>
      <c r="X339" s="7" t="s">
        <v>5206</v>
      </c>
      <c r="Y339" s="7" t="s">
        <v>5250</v>
      </c>
      <c r="Z339" s="7">
        <f>IFERROR('Data BI AI'!$U$10,"")</f>
        <v>0</v>
      </c>
      <c r="AA339" s="7"/>
      <c r="AB339" s="29"/>
      <c r="AC339" s="7"/>
      <c r="AD339" s="48" t="str">
        <f>IF($B339="Yes",IFERROR(SUMIFS(_TECH_Crisis_Model!$D$5:$D$191,_TECH_Crisis_Model!$A$5:$A$191,'Crisis Simulator'!$B$4,_TECH_Crisis_Model!$B$5:$B$191,$C339),1),"")</f>
        <v/>
      </c>
      <c r="AE339" s="48" t="str">
        <f t="shared" si="58"/>
        <v/>
      </c>
      <c r="AF339" s="48" t="str">
        <f>IFERROR(INDEX(_TECH_Crisis_Model!$E$5:$E$191,MATCH('Crisis Simulator'!$B$4&amp;"|"&amp;$C339,_TECH_Crisis_Model!$I$5:$I$191,0)),"")</f>
        <v>Data quality, BI and analytics determine decision visibility and forecasting under stress.</v>
      </c>
      <c r="AG339" s="48" t="str">
        <f>IFERROR(INDEX(_TECH_Crisis_Model!$G$5:$G$191,MATCH('Crisis Simulator'!$B$4&amp;"|"&amp;$C339,_TECH_Crisis_Model!$I$5:$I$191,0)),"")</f>
        <v>Assign data owners, improve data quality, dashboards, forecasting and AI governance.</v>
      </c>
      <c r="AH339" s="48" t="str">
        <f>IFERROR(INDEX(_TECH_Initiative_Library!$A$5:$A$76,MATCH(1,INDEX((_TECH_Initiative_Library!$B$5:$B$76=$C339)*(_TECH_Initiative_Library!$C$5:$C$76=$D339),0),0)),"")</f>
        <v>INI-058</v>
      </c>
      <c r="AI339" s="48" t="str">
        <f>IFERROR(INDEX(_TECH_Initiative_Library!$F$5:$F$76,MATCH(1,INDEX((_TECH_Initiative_Library!$B$5:$B$76=$C339)*(_TECH_Initiative_Library!$C$5:$C$76=$D339),0),0)),"")</f>
        <v>Implement data ownership, quality and governance framework</v>
      </c>
      <c r="AJ339" s="48" t="str">
        <f ca="1">IFERROR(INDEX(_TECH_Initiative_Library!$AC$5:$AC$76,MATCH(1,INDEX((_TECH_Initiative_Library!$B$5:$B$76=$C339)*(_TECH_Initiative_Library!$C$5:$C$76=$D339),0),0)),"")</f>
        <v/>
      </c>
      <c r="AK339" s="48" t="str">
        <f ca="1">IFERROR(INDEX(_TECH_Initiative_Library!$AE$5:$AE$76,MATCH(1,INDEX((_TECH_Initiative_Library!$B$5:$B$76=$C339)*(_TECH_Initiative_Library!$C$5:$C$76=$D339),0),0)),"")</f>
        <v/>
      </c>
      <c r="AL339" s="48" t="str">
        <f>IF($B339="Yes",IFERROR(SUMIFS(_TECH_Industry_Templates!$E:$E,_TECH_Industry_Templates!$A:$A,'Company Profile'!$B$9,_TECH_Industry_Templates!$B:$B,$C339),1),"")</f>
        <v/>
      </c>
      <c r="AM339" s="48" t="str">
        <f t="shared" si="59"/>
        <v/>
      </c>
      <c r="AN339" s="48" t="str">
        <f>IF($AM339="","",RANK.EQ($AM339,$AM$8:$AM$414,0)+COUNTIF($AM$8:$AM339,$AM339)-1)</f>
        <v/>
      </c>
    </row>
    <row r="340" spans="1:40" ht="71.25">
      <c r="A340" s="28" t="str">
        <f>IF($AM340="","",RANK.EQ($AM340,$AM$8:$AM$414,0)+COUNTIF($AM$8:$AM340,$AM340)-1)</f>
        <v/>
      </c>
      <c r="B340" s="7" t="str">
        <f t="shared" si="50"/>
        <v/>
      </c>
      <c r="C340" s="7" t="s">
        <v>92</v>
      </c>
      <c r="D340" s="7" t="s">
        <v>1549</v>
      </c>
      <c r="E340" s="7" t="s">
        <v>5258</v>
      </c>
      <c r="F340" s="7" t="s">
        <v>5259</v>
      </c>
      <c r="G340" s="28" t="str">
        <f>IF(OR(COUNTA('Data BI AI'!$H$11)=0,'Data BI AI'!$H$11="N/A"),"",VALUE('Data BI AI'!$H$11))</f>
        <v/>
      </c>
      <c r="H340" s="7" t="str">
        <f t="shared" si="51"/>
        <v/>
      </c>
      <c r="I340" s="7" t="str">
        <f>IF($G340="","",IFERROR(IF('Data BI AI'!$L$11="",IF($G340&lt;=1,"Critical",IF($G340=2,"High",IF($G340=3,"Medium",IF($G340=4,"Low","Optimized")))),'Data BI AI'!$L$11),IF($G340&lt;=1,"Critical",IF($G340=2,"High",IF($G340=3,"Medium",IF($G340=4,"Low","Optimized"))))))</f>
        <v/>
      </c>
      <c r="J340" s="7" t="str">
        <f>IF($G340="","",IFERROR(INDEX('Recommendation Matrix'!$E$5:$J$411,MATCH($E340,'Recommendation Matrix'!$A$5:$A$411,0),$G340+1),""))</f>
        <v/>
      </c>
      <c r="K340" s="7" t="str">
        <f>IF($G340="","",IFERROR(VLOOKUP($E340,'Recommendation Matrix'!$A$5:$K$411,11,FALSE),""))</f>
        <v/>
      </c>
      <c r="L340" s="28" t="str">
        <f t="shared" si="52"/>
        <v/>
      </c>
      <c r="M340" s="28" t="str">
        <f>IF($G340="","",IFERROR(INDEX('Recommendation Matrix'!$L$5:$Q$411,MATCH($E340,'Recommendation Matrix'!$A$5:$A$411,0),$G340+1),""))</f>
        <v/>
      </c>
      <c r="N340" s="28" t="str">
        <f t="shared" si="53"/>
        <v/>
      </c>
      <c r="O340" s="28" t="str">
        <f t="shared" si="54"/>
        <v/>
      </c>
      <c r="P340" s="28" t="str">
        <f t="shared" si="55"/>
        <v/>
      </c>
      <c r="Q340" s="28" t="str">
        <f t="shared" si="56"/>
        <v/>
      </c>
      <c r="R340" s="8" t="str">
        <f t="shared" si="57"/>
        <v/>
      </c>
      <c r="S340" s="28">
        <f>IFERROR('Data BI AI'!$G$11,"")</f>
        <v>4</v>
      </c>
      <c r="T340" s="28">
        <f>IFERROR('Data BI AI'!$W$11,"")</f>
        <v>5</v>
      </c>
      <c r="U340" s="28">
        <f>IFERROR('Data BI AI'!$X$11,"")</f>
        <v>5</v>
      </c>
      <c r="V340" s="28">
        <f>IFERROR('Data BI AI'!$Y$11,"")</f>
        <v>5</v>
      </c>
      <c r="W340" s="7" t="s">
        <v>5205</v>
      </c>
      <c r="X340" s="7" t="s">
        <v>5206</v>
      </c>
      <c r="Y340" s="7" t="s">
        <v>5260</v>
      </c>
      <c r="Z340" s="7">
        <f>IFERROR('Data BI AI'!$U$11,"")</f>
        <v>0</v>
      </c>
      <c r="AA340" s="7"/>
      <c r="AB340" s="29"/>
      <c r="AC340" s="7"/>
      <c r="AD340" s="48" t="str">
        <f>IF($B340="Yes",IFERROR(SUMIFS(_TECH_Crisis_Model!$D$5:$D$191,_TECH_Crisis_Model!$A$5:$A$191,'Crisis Simulator'!$B$4,_TECH_Crisis_Model!$B$5:$B$191,$C340),1),"")</f>
        <v/>
      </c>
      <c r="AE340" s="48" t="str">
        <f t="shared" si="58"/>
        <v/>
      </c>
      <c r="AF340" s="48" t="str">
        <f>IFERROR(INDEX(_TECH_Crisis_Model!$E$5:$E$191,MATCH('Crisis Simulator'!$B$4&amp;"|"&amp;$C340,_TECH_Crisis_Model!$I$5:$I$191,0)),"")</f>
        <v>Data quality, BI and analytics determine decision visibility and forecasting under stress.</v>
      </c>
      <c r="AG340" s="48" t="str">
        <f>IFERROR(INDEX(_TECH_Crisis_Model!$G$5:$G$191,MATCH('Crisis Simulator'!$B$4&amp;"|"&amp;$C340,_TECH_Crisis_Model!$I$5:$I$191,0)),"")</f>
        <v>Assign data owners, improve data quality, dashboards, forecasting and AI governance.</v>
      </c>
      <c r="AH340" s="48" t="str">
        <f>IFERROR(INDEX(_TECH_Initiative_Library!$A$5:$A$76,MATCH(1,INDEX((_TECH_Initiative_Library!$B$5:$B$76=$C340)*(_TECH_Initiative_Library!$C$5:$C$76=$D340),0),0)),"")</f>
        <v>INI-059</v>
      </c>
      <c r="AI340" s="48" t="str">
        <f>IFERROR(INDEX(_TECH_Initiative_Library!$F$5:$F$76,MATCH(1,INDEX((_TECH_Initiative_Library!$B$5:$B$76=$C340)*(_TECH_Initiative_Library!$C$5:$C$76=$D340),0),0)),"")</f>
        <v>Build resilient data architecture, integration and storage foundation</v>
      </c>
      <c r="AJ340" s="48" t="str">
        <f ca="1">IFERROR(INDEX(_TECH_Initiative_Library!$AC$5:$AC$76,MATCH(1,INDEX((_TECH_Initiative_Library!$B$5:$B$76=$C340)*(_TECH_Initiative_Library!$C$5:$C$76=$D340),0),0)),"")</f>
        <v/>
      </c>
      <c r="AK340" s="48" t="str">
        <f ca="1">IFERROR(INDEX(_TECH_Initiative_Library!$AE$5:$AE$76,MATCH(1,INDEX((_TECH_Initiative_Library!$B$5:$B$76=$C340)*(_TECH_Initiative_Library!$C$5:$C$76=$D340),0),0)),"")</f>
        <v/>
      </c>
      <c r="AL340" s="48" t="str">
        <f>IF($B340="Yes",IFERROR(SUMIFS(_TECH_Industry_Templates!$E:$E,_TECH_Industry_Templates!$A:$A,'Company Profile'!$B$9,_TECH_Industry_Templates!$B:$B,$C340),1),"")</f>
        <v/>
      </c>
      <c r="AM340" s="48" t="str">
        <f t="shared" si="59"/>
        <v/>
      </c>
      <c r="AN340" s="48" t="str">
        <f>IF($AM340="","",RANK.EQ($AM340,$AM$8:$AM$414,0)+COUNTIF($AM$8:$AM340,$AM340)-1)</f>
        <v/>
      </c>
    </row>
    <row r="341" spans="1:40" ht="71.25">
      <c r="A341" s="28" t="str">
        <f>IF($AM341="","",RANK.EQ($AM341,$AM$8:$AM$414,0)+COUNTIF($AM$8:$AM341,$AM341)-1)</f>
        <v/>
      </c>
      <c r="B341" s="7" t="str">
        <f t="shared" si="50"/>
        <v/>
      </c>
      <c r="C341" s="7" t="s">
        <v>92</v>
      </c>
      <c r="D341" s="7" t="s">
        <v>1549</v>
      </c>
      <c r="E341" s="7" t="s">
        <v>5268</v>
      </c>
      <c r="F341" s="7" t="s">
        <v>5269</v>
      </c>
      <c r="G341" s="28" t="str">
        <f>IF(OR(COUNTA('Data BI AI'!$H$12)=0,'Data BI AI'!$H$12="N/A"),"",VALUE('Data BI AI'!$H$12))</f>
        <v/>
      </c>
      <c r="H341" s="7" t="str">
        <f t="shared" si="51"/>
        <v/>
      </c>
      <c r="I341" s="7" t="str">
        <f>IF($G341="","",IFERROR(IF('Data BI AI'!$L$12="",IF($G341&lt;=1,"Critical",IF($G341=2,"High",IF($G341=3,"Medium",IF($G341=4,"Low","Optimized")))),'Data BI AI'!$L$12),IF($G341&lt;=1,"Critical",IF($G341=2,"High",IF($G341=3,"Medium",IF($G341=4,"Low","Optimized"))))))</f>
        <v/>
      </c>
      <c r="J341" s="7" t="str">
        <f>IF($G341="","",IFERROR(INDEX('Recommendation Matrix'!$E$5:$J$411,MATCH($E341,'Recommendation Matrix'!$A$5:$A$411,0),$G341+1),""))</f>
        <v/>
      </c>
      <c r="K341" s="7" t="str">
        <f>IF($G341="","",IFERROR(VLOOKUP($E341,'Recommendation Matrix'!$A$5:$K$411,11,FALSE),""))</f>
        <v/>
      </c>
      <c r="L341" s="28" t="str">
        <f t="shared" si="52"/>
        <v/>
      </c>
      <c r="M341" s="28" t="str">
        <f>IF($G341="","",IFERROR(INDEX('Recommendation Matrix'!$L$5:$Q$411,MATCH($E341,'Recommendation Matrix'!$A$5:$A$411,0),$G341+1),""))</f>
        <v/>
      </c>
      <c r="N341" s="28" t="str">
        <f t="shared" si="53"/>
        <v/>
      </c>
      <c r="O341" s="28" t="str">
        <f t="shared" si="54"/>
        <v/>
      </c>
      <c r="P341" s="28" t="str">
        <f t="shared" si="55"/>
        <v/>
      </c>
      <c r="Q341" s="28" t="str">
        <f t="shared" si="56"/>
        <v/>
      </c>
      <c r="R341" s="8" t="str">
        <f t="shared" si="57"/>
        <v/>
      </c>
      <c r="S341" s="28">
        <f>IFERROR('Data BI AI'!$G$12,"")</f>
        <v>3</v>
      </c>
      <c r="T341" s="28">
        <f>IFERROR('Data BI AI'!$W$12,"")</f>
        <v>5</v>
      </c>
      <c r="U341" s="28">
        <f>IFERROR('Data BI AI'!$X$12,"")</f>
        <v>5</v>
      </c>
      <c r="V341" s="28">
        <f>IFERROR('Data BI AI'!$Y$12,"")</f>
        <v>5</v>
      </c>
      <c r="W341" s="7" t="s">
        <v>5205</v>
      </c>
      <c r="X341" s="7" t="s">
        <v>5206</v>
      </c>
      <c r="Y341" s="7" t="s">
        <v>5270</v>
      </c>
      <c r="Z341" s="7">
        <f>IFERROR('Data BI AI'!$U$12,"")</f>
        <v>0</v>
      </c>
      <c r="AA341" s="7"/>
      <c r="AB341" s="29"/>
      <c r="AC341" s="7"/>
      <c r="AD341" s="48" t="str">
        <f>IF($B341="Yes",IFERROR(SUMIFS(_TECH_Crisis_Model!$D$5:$D$191,_TECH_Crisis_Model!$A$5:$A$191,'Crisis Simulator'!$B$4,_TECH_Crisis_Model!$B$5:$B$191,$C341),1),"")</f>
        <v/>
      </c>
      <c r="AE341" s="48" t="str">
        <f t="shared" si="58"/>
        <v/>
      </c>
      <c r="AF341" s="48" t="str">
        <f>IFERROR(INDEX(_TECH_Crisis_Model!$E$5:$E$191,MATCH('Crisis Simulator'!$B$4&amp;"|"&amp;$C341,_TECH_Crisis_Model!$I$5:$I$191,0)),"")</f>
        <v>Data quality, BI and analytics determine decision visibility and forecasting under stress.</v>
      </c>
      <c r="AG341" s="48" t="str">
        <f>IFERROR(INDEX(_TECH_Crisis_Model!$G$5:$G$191,MATCH('Crisis Simulator'!$B$4&amp;"|"&amp;$C341,_TECH_Crisis_Model!$I$5:$I$191,0)),"")</f>
        <v>Assign data owners, improve data quality, dashboards, forecasting and AI governance.</v>
      </c>
      <c r="AH341" s="48" t="str">
        <f>IFERROR(INDEX(_TECH_Initiative_Library!$A$5:$A$76,MATCH(1,INDEX((_TECH_Initiative_Library!$B$5:$B$76=$C341)*(_TECH_Initiative_Library!$C$5:$C$76=$D341),0),0)),"")</f>
        <v>INI-059</v>
      </c>
      <c r="AI341" s="48" t="str">
        <f>IFERROR(INDEX(_TECH_Initiative_Library!$F$5:$F$76,MATCH(1,INDEX((_TECH_Initiative_Library!$B$5:$B$76=$C341)*(_TECH_Initiative_Library!$C$5:$C$76=$D341),0),0)),"")</f>
        <v>Build resilient data architecture, integration and storage foundation</v>
      </c>
      <c r="AJ341" s="48" t="str">
        <f ca="1">IFERROR(INDEX(_TECH_Initiative_Library!$AC$5:$AC$76,MATCH(1,INDEX((_TECH_Initiative_Library!$B$5:$B$76=$C341)*(_TECH_Initiative_Library!$C$5:$C$76=$D341),0),0)),"")</f>
        <v/>
      </c>
      <c r="AK341" s="48" t="str">
        <f ca="1">IFERROR(INDEX(_TECH_Initiative_Library!$AE$5:$AE$76,MATCH(1,INDEX((_TECH_Initiative_Library!$B$5:$B$76=$C341)*(_TECH_Initiative_Library!$C$5:$C$76=$D341),0),0)),"")</f>
        <v/>
      </c>
      <c r="AL341" s="48" t="str">
        <f>IF($B341="Yes",IFERROR(SUMIFS(_TECH_Industry_Templates!$E:$E,_TECH_Industry_Templates!$A:$A,'Company Profile'!$B$9,_TECH_Industry_Templates!$B:$B,$C341),1),"")</f>
        <v/>
      </c>
      <c r="AM341" s="48" t="str">
        <f t="shared" si="59"/>
        <v/>
      </c>
      <c r="AN341" s="48" t="str">
        <f>IF($AM341="","",RANK.EQ($AM341,$AM$8:$AM$414,0)+COUNTIF($AM$8:$AM341,$AM341)-1)</f>
        <v/>
      </c>
    </row>
    <row r="342" spans="1:40" ht="71.25">
      <c r="A342" s="28" t="str">
        <f>IF($AM342="","",RANK.EQ($AM342,$AM$8:$AM$414,0)+COUNTIF($AM$8:$AM342,$AM342)-1)</f>
        <v/>
      </c>
      <c r="B342" s="7" t="str">
        <f t="shared" si="50"/>
        <v/>
      </c>
      <c r="C342" s="7" t="s">
        <v>92</v>
      </c>
      <c r="D342" s="7" t="s">
        <v>1549</v>
      </c>
      <c r="E342" s="7" t="s">
        <v>5278</v>
      </c>
      <c r="F342" s="7" t="s">
        <v>5279</v>
      </c>
      <c r="G342" s="28" t="str">
        <f>IF(OR(COUNTA('Data BI AI'!$H$13)=0,'Data BI AI'!$H$13="N/A"),"",VALUE('Data BI AI'!$H$13))</f>
        <v/>
      </c>
      <c r="H342" s="7" t="str">
        <f t="shared" si="51"/>
        <v/>
      </c>
      <c r="I342" s="7" t="str">
        <f>IF($G342="","",IFERROR(IF('Data BI AI'!$L$13="",IF($G342&lt;=1,"Critical",IF($G342=2,"High",IF($G342=3,"Medium",IF($G342=4,"Low","Optimized")))),'Data BI AI'!$L$13),IF($G342&lt;=1,"Critical",IF($G342=2,"High",IF($G342=3,"Medium",IF($G342=4,"Low","Optimized"))))))</f>
        <v/>
      </c>
      <c r="J342" s="7" t="str">
        <f>IF($G342="","",IFERROR(INDEX('Recommendation Matrix'!$E$5:$J$411,MATCH($E342,'Recommendation Matrix'!$A$5:$A$411,0),$G342+1),""))</f>
        <v/>
      </c>
      <c r="K342" s="7" t="str">
        <f>IF($G342="","",IFERROR(VLOOKUP($E342,'Recommendation Matrix'!$A$5:$K$411,11,FALSE),""))</f>
        <v/>
      </c>
      <c r="L342" s="28" t="str">
        <f t="shared" si="52"/>
        <v/>
      </c>
      <c r="M342" s="28" t="str">
        <f>IF($G342="","",IFERROR(INDEX('Recommendation Matrix'!$L$5:$Q$411,MATCH($E342,'Recommendation Matrix'!$A$5:$A$411,0),$G342+1),""))</f>
        <v/>
      </c>
      <c r="N342" s="28" t="str">
        <f t="shared" si="53"/>
        <v/>
      </c>
      <c r="O342" s="28" t="str">
        <f t="shared" si="54"/>
        <v/>
      </c>
      <c r="P342" s="28" t="str">
        <f t="shared" si="55"/>
        <v/>
      </c>
      <c r="Q342" s="28" t="str">
        <f t="shared" si="56"/>
        <v/>
      </c>
      <c r="R342" s="8" t="str">
        <f t="shared" si="57"/>
        <v/>
      </c>
      <c r="S342" s="28">
        <f>IFERROR('Data BI AI'!$G$13,"")</f>
        <v>5</v>
      </c>
      <c r="T342" s="28">
        <f>IFERROR('Data BI AI'!$W$13,"")</f>
        <v>5</v>
      </c>
      <c r="U342" s="28">
        <f>IFERROR('Data BI AI'!$X$13,"")</f>
        <v>5</v>
      </c>
      <c r="V342" s="28">
        <f>IFERROR('Data BI AI'!$Y$13,"")</f>
        <v>5</v>
      </c>
      <c r="W342" s="7" t="s">
        <v>5205</v>
      </c>
      <c r="X342" s="7" t="s">
        <v>5206</v>
      </c>
      <c r="Y342" s="7" t="s">
        <v>5280</v>
      </c>
      <c r="Z342" s="7">
        <f>IFERROR('Data BI AI'!$U$13,"")</f>
        <v>0</v>
      </c>
      <c r="AA342" s="7"/>
      <c r="AB342" s="29"/>
      <c r="AC342" s="7"/>
      <c r="AD342" s="48" t="str">
        <f>IF($B342="Yes",IFERROR(SUMIFS(_TECH_Crisis_Model!$D$5:$D$191,_TECH_Crisis_Model!$A$5:$A$191,'Crisis Simulator'!$B$4,_TECH_Crisis_Model!$B$5:$B$191,$C342),1),"")</f>
        <v/>
      </c>
      <c r="AE342" s="48" t="str">
        <f t="shared" si="58"/>
        <v/>
      </c>
      <c r="AF342" s="48" t="str">
        <f>IFERROR(INDEX(_TECH_Crisis_Model!$E$5:$E$191,MATCH('Crisis Simulator'!$B$4&amp;"|"&amp;$C342,_TECH_Crisis_Model!$I$5:$I$191,0)),"")</f>
        <v>Data quality, BI and analytics determine decision visibility and forecasting under stress.</v>
      </c>
      <c r="AG342" s="48" t="str">
        <f>IFERROR(INDEX(_TECH_Crisis_Model!$G$5:$G$191,MATCH('Crisis Simulator'!$B$4&amp;"|"&amp;$C342,_TECH_Crisis_Model!$I$5:$I$191,0)),"")</f>
        <v>Assign data owners, improve data quality, dashboards, forecasting and AI governance.</v>
      </c>
      <c r="AH342" s="48" t="str">
        <f>IFERROR(INDEX(_TECH_Initiative_Library!$A$5:$A$76,MATCH(1,INDEX((_TECH_Initiative_Library!$B$5:$B$76=$C342)*(_TECH_Initiative_Library!$C$5:$C$76=$D342),0),0)),"")</f>
        <v>INI-059</v>
      </c>
      <c r="AI342" s="48" t="str">
        <f>IFERROR(INDEX(_TECH_Initiative_Library!$F$5:$F$76,MATCH(1,INDEX((_TECH_Initiative_Library!$B$5:$B$76=$C342)*(_TECH_Initiative_Library!$C$5:$C$76=$D342),0),0)),"")</f>
        <v>Build resilient data architecture, integration and storage foundation</v>
      </c>
      <c r="AJ342" s="48" t="str">
        <f ca="1">IFERROR(INDEX(_TECH_Initiative_Library!$AC$5:$AC$76,MATCH(1,INDEX((_TECH_Initiative_Library!$B$5:$B$76=$C342)*(_TECH_Initiative_Library!$C$5:$C$76=$D342),0),0)),"")</f>
        <v/>
      </c>
      <c r="AK342" s="48" t="str">
        <f ca="1">IFERROR(INDEX(_TECH_Initiative_Library!$AE$5:$AE$76,MATCH(1,INDEX((_TECH_Initiative_Library!$B$5:$B$76=$C342)*(_TECH_Initiative_Library!$C$5:$C$76=$D342),0),0)),"")</f>
        <v/>
      </c>
      <c r="AL342" s="48" t="str">
        <f>IF($B342="Yes",IFERROR(SUMIFS(_TECH_Industry_Templates!$E:$E,_TECH_Industry_Templates!$A:$A,'Company Profile'!$B$9,_TECH_Industry_Templates!$B:$B,$C342),1),"")</f>
        <v/>
      </c>
      <c r="AM342" s="48" t="str">
        <f t="shared" si="59"/>
        <v/>
      </c>
      <c r="AN342" s="48" t="str">
        <f>IF($AM342="","",RANK.EQ($AM342,$AM$8:$AM$414,0)+COUNTIF($AM$8:$AM342,$AM342)-1)</f>
        <v/>
      </c>
    </row>
    <row r="343" spans="1:40" ht="71.25">
      <c r="A343" s="28" t="str">
        <f>IF($AM343="","",RANK.EQ($AM343,$AM$8:$AM$414,0)+COUNTIF($AM$8:$AM343,$AM343)-1)</f>
        <v/>
      </c>
      <c r="B343" s="7" t="str">
        <f t="shared" si="50"/>
        <v/>
      </c>
      <c r="C343" s="7" t="s">
        <v>92</v>
      </c>
      <c r="D343" s="7" t="s">
        <v>1549</v>
      </c>
      <c r="E343" s="7" t="s">
        <v>5288</v>
      </c>
      <c r="F343" s="7" t="s">
        <v>5289</v>
      </c>
      <c r="G343" s="28" t="str">
        <f>IF(OR(COUNTA('Data BI AI'!$H$14)=0,'Data BI AI'!$H$14="N/A"),"",VALUE('Data BI AI'!$H$14))</f>
        <v/>
      </c>
      <c r="H343" s="7" t="str">
        <f t="shared" si="51"/>
        <v/>
      </c>
      <c r="I343" s="7" t="str">
        <f>IF($G343="","",IFERROR(IF('Data BI AI'!$L$14="",IF($G343&lt;=1,"Critical",IF($G343=2,"High",IF($G343=3,"Medium",IF($G343=4,"Low","Optimized")))),'Data BI AI'!$L$14),IF($G343&lt;=1,"Critical",IF($G343=2,"High",IF($G343=3,"Medium",IF($G343=4,"Low","Optimized"))))))</f>
        <v/>
      </c>
      <c r="J343" s="7" t="str">
        <f>IF($G343="","",IFERROR(INDEX('Recommendation Matrix'!$E$5:$J$411,MATCH($E343,'Recommendation Matrix'!$A$5:$A$411,0),$G343+1),""))</f>
        <v/>
      </c>
      <c r="K343" s="7" t="str">
        <f>IF($G343="","",IFERROR(VLOOKUP($E343,'Recommendation Matrix'!$A$5:$K$411,11,FALSE),""))</f>
        <v/>
      </c>
      <c r="L343" s="28" t="str">
        <f t="shared" si="52"/>
        <v/>
      </c>
      <c r="M343" s="28" t="str">
        <f>IF($G343="","",IFERROR(INDEX('Recommendation Matrix'!$L$5:$Q$411,MATCH($E343,'Recommendation Matrix'!$A$5:$A$411,0),$G343+1),""))</f>
        <v/>
      </c>
      <c r="N343" s="28" t="str">
        <f t="shared" si="53"/>
        <v/>
      </c>
      <c r="O343" s="28" t="str">
        <f t="shared" si="54"/>
        <v/>
      </c>
      <c r="P343" s="28" t="str">
        <f t="shared" si="55"/>
        <v/>
      </c>
      <c r="Q343" s="28" t="str">
        <f t="shared" si="56"/>
        <v/>
      </c>
      <c r="R343" s="8" t="str">
        <f t="shared" si="57"/>
        <v/>
      </c>
      <c r="S343" s="28">
        <f>IFERROR('Data BI AI'!$G$14,"")</f>
        <v>5</v>
      </c>
      <c r="T343" s="28">
        <f>IFERROR('Data BI AI'!$W$14,"")</f>
        <v>5</v>
      </c>
      <c r="U343" s="28">
        <f>IFERROR('Data BI AI'!$X$14,"")</f>
        <v>5</v>
      </c>
      <c r="V343" s="28">
        <f>IFERROR('Data BI AI'!$Y$14,"")</f>
        <v>5</v>
      </c>
      <c r="W343" s="7" t="s">
        <v>5205</v>
      </c>
      <c r="X343" s="7" t="s">
        <v>5206</v>
      </c>
      <c r="Y343" s="7" t="s">
        <v>5290</v>
      </c>
      <c r="Z343" s="7">
        <f>IFERROR('Data BI AI'!$U$14,"")</f>
        <v>0</v>
      </c>
      <c r="AA343" s="7"/>
      <c r="AB343" s="29"/>
      <c r="AC343" s="7"/>
      <c r="AD343" s="48" t="str">
        <f>IF($B343="Yes",IFERROR(SUMIFS(_TECH_Crisis_Model!$D$5:$D$191,_TECH_Crisis_Model!$A$5:$A$191,'Crisis Simulator'!$B$4,_TECH_Crisis_Model!$B$5:$B$191,$C343),1),"")</f>
        <v/>
      </c>
      <c r="AE343" s="48" t="str">
        <f t="shared" si="58"/>
        <v/>
      </c>
      <c r="AF343" s="48" t="str">
        <f>IFERROR(INDEX(_TECH_Crisis_Model!$E$5:$E$191,MATCH('Crisis Simulator'!$B$4&amp;"|"&amp;$C343,_TECH_Crisis_Model!$I$5:$I$191,0)),"")</f>
        <v>Data quality, BI and analytics determine decision visibility and forecasting under stress.</v>
      </c>
      <c r="AG343" s="48" t="str">
        <f>IFERROR(INDEX(_TECH_Crisis_Model!$G$5:$G$191,MATCH('Crisis Simulator'!$B$4&amp;"|"&amp;$C343,_TECH_Crisis_Model!$I$5:$I$191,0)),"")</f>
        <v>Assign data owners, improve data quality, dashboards, forecasting and AI governance.</v>
      </c>
      <c r="AH343" s="48" t="str">
        <f>IFERROR(INDEX(_TECH_Initiative_Library!$A$5:$A$76,MATCH(1,INDEX((_TECH_Initiative_Library!$B$5:$B$76=$C343)*(_TECH_Initiative_Library!$C$5:$C$76=$D343),0),0)),"")</f>
        <v>INI-059</v>
      </c>
      <c r="AI343" s="48" t="str">
        <f>IFERROR(INDEX(_TECH_Initiative_Library!$F$5:$F$76,MATCH(1,INDEX((_TECH_Initiative_Library!$B$5:$B$76=$C343)*(_TECH_Initiative_Library!$C$5:$C$76=$D343),0),0)),"")</f>
        <v>Build resilient data architecture, integration and storage foundation</v>
      </c>
      <c r="AJ343" s="48" t="str">
        <f ca="1">IFERROR(INDEX(_TECH_Initiative_Library!$AC$5:$AC$76,MATCH(1,INDEX((_TECH_Initiative_Library!$B$5:$B$76=$C343)*(_TECH_Initiative_Library!$C$5:$C$76=$D343),0),0)),"")</f>
        <v/>
      </c>
      <c r="AK343" s="48" t="str">
        <f ca="1">IFERROR(INDEX(_TECH_Initiative_Library!$AE$5:$AE$76,MATCH(1,INDEX((_TECH_Initiative_Library!$B$5:$B$76=$C343)*(_TECH_Initiative_Library!$C$5:$C$76=$D343),0),0)),"")</f>
        <v/>
      </c>
      <c r="AL343" s="48" t="str">
        <f>IF($B343="Yes",IFERROR(SUMIFS(_TECH_Industry_Templates!$E:$E,_TECH_Industry_Templates!$A:$A,'Company Profile'!$B$9,_TECH_Industry_Templates!$B:$B,$C343),1),"")</f>
        <v/>
      </c>
      <c r="AM343" s="48" t="str">
        <f t="shared" si="59"/>
        <v/>
      </c>
      <c r="AN343" s="48" t="str">
        <f>IF($AM343="","",RANK.EQ($AM343,$AM$8:$AM$414,0)+COUNTIF($AM$8:$AM343,$AM343)-1)</f>
        <v/>
      </c>
    </row>
    <row r="344" spans="1:40" ht="71.25">
      <c r="A344" s="28" t="str">
        <f>IF($AM344="","",RANK.EQ($AM344,$AM$8:$AM$414,0)+COUNTIF($AM$8:$AM344,$AM344)-1)</f>
        <v/>
      </c>
      <c r="B344" s="7" t="str">
        <f t="shared" si="50"/>
        <v/>
      </c>
      <c r="C344" s="7" t="s">
        <v>92</v>
      </c>
      <c r="D344" s="7" t="s">
        <v>1549</v>
      </c>
      <c r="E344" s="7" t="s">
        <v>5298</v>
      </c>
      <c r="F344" s="7" t="s">
        <v>5299</v>
      </c>
      <c r="G344" s="28" t="str">
        <f>IF(OR(COUNTA('Data BI AI'!$H$15)=0,'Data BI AI'!$H$15="N/A"),"",VALUE('Data BI AI'!$H$15))</f>
        <v/>
      </c>
      <c r="H344" s="7" t="str">
        <f t="shared" si="51"/>
        <v/>
      </c>
      <c r="I344" s="7" t="str">
        <f>IF($G344="","",IFERROR(IF('Data BI AI'!$L$15="",IF($G344&lt;=1,"Critical",IF($G344=2,"High",IF($G344=3,"Medium",IF($G344=4,"Low","Optimized")))),'Data BI AI'!$L$15),IF($G344&lt;=1,"Critical",IF($G344=2,"High",IF($G344=3,"Medium",IF($G344=4,"Low","Optimized"))))))</f>
        <v/>
      </c>
      <c r="J344" s="7" t="str">
        <f>IF($G344="","",IFERROR(INDEX('Recommendation Matrix'!$E$5:$J$411,MATCH($E344,'Recommendation Matrix'!$A$5:$A$411,0),$G344+1),""))</f>
        <v/>
      </c>
      <c r="K344" s="7" t="str">
        <f>IF($G344="","",IFERROR(VLOOKUP($E344,'Recommendation Matrix'!$A$5:$K$411,11,FALSE),""))</f>
        <v/>
      </c>
      <c r="L344" s="28" t="str">
        <f t="shared" si="52"/>
        <v/>
      </c>
      <c r="M344" s="28" t="str">
        <f>IF($G344="","",IFERROR(INDEX('Recommendation Matrix'!$L$5:$Q$411,MATCH($E344,'Recommendation Matrix'!$A$5:$A$411,0),$G344+1),""))</f>
        <v/>
      </c>
      <c r="N344" s="28" t="str">
        <f t="shared" si="53"/>
        <v/>
      </c>
      <c r="O344" s="28" t="str">
        <f t="shared" si="54"/>
        <v/>
      </c>
      <c r="P344" s="28" t="str">
        <f t="shared" si="55"/>
        <v/>
      </c>
      <c r="Q344" s="28" t="str">
        <f t="shared" si="56"/>
        <v/>
      </c>
      <c r="R344" s="8" t="str">
        <f t="shared" si="57"/>
        <v/>
      </c>
      <c r="S344" s="28">
        <f>IFERROR('Data BI AI'!$G$15,"")</f>
        <v>4</v>
      </c>
      <c r="T344" s="28">
        <f>IFERROR('Data BI AI'!$W$15,"")</f>
        <v>5</v>
      </c>
      <c r="U344" s="28">
        <f>IFERROR('Data BI AI'!$X$15,"")</f>
        <v>5</v>
      </c>
      <c r="V344" s="28">
        <f>IFERROR('Data BI AI'!$Y$15,"")</f>
        <v>5</v>
      </c>
      <c r="W344" s="7" t="s">
        <v>5205</v>
      </c>
      <c r="X344" s="7" t="s">
        <v>5206</v>
      </c>
      <c r="Y344" s="7" t="s">
        <v>5300</v>
      </c>
      <c r="Z344" s="7">
        <f>IFERROR('Data BI AI'!$U$15,"")</f>
        <v>0</v>
      </c>
      <c r="AA344" s="7"/>
      <c r="AB344" s="29"/>
      <c r="AC344" s="7"/>
      <c r="AD344" s="48" t="str">
        <f>IF($B344="Yes",IFERROR(SUMIFS(_TECH_Crisis_Model!$D$5:$D$191,_TECH_Crisis_Model!$A$5:$A$191,'Crisis Simulator'!$B$4,_TECH_Crisis_Model!$B$5:$B$191,$C344),1),"")</f>
        <v/>
      </c>
      <c r="AE344" s="48" t="str">
        <f t="shared" si="58"/>
        <v/>
      </c>
      <c r="AF344" s="48" t="str">
        <f>IFERROR(INDEX(_TECH_Crisis_Model!$E$5:$E$191,MATCH('Crisis Simulator'!$B$4&amp;"|"&amp;$C344,_TECH_Crisis_Model!$I$5:$I$191,0)),"")</f>
        <v>Data quality, BI and analytics determine decision visibility and forecasting under stress.</v>
      </c>
      <c r="AG344" s="48" t="str">
        <f>IFERROR(INDEX(_TECH_Crisis_Model!$G$5:$G$191,MATCH('Crisis Simulator'!$B$4&amp;"|"&amp;$C344,_TECH_Crisis_Model!$I$5:$I$191,0)),"")</f>
        <v>Assign data owners, improve data quality, dashboards, forecasting and AI governance.</v>
      </c>
      <c r="AH344" s="48" t="str">
        <f>IFERROR(INDEX(_TECH_Initiative_Library!$A$5:$A$76,MATCH(1,INDEX((_TECH_Initiative_Library!$B$5:$B$76=$C344)*(_TECH_Initiative_Library!$C$5:$C$76=$D344),0),0)),"")</f>
        <v>INI-059</v>
      </c>
      <c r="AI344" s="48" t="str">
        <f>IFERROR(INDEX(_TECH_Initiative_Library!$F$5:$F$76,MATCH(1,INDEX((_TECH_Initiative_Library!$B$5:$B$76=$C344)*(_TECH_Initiative_Library!$C$5:$C$76=$D344),0),0)),"")</f>
        <v>Build resilient data architecture, integration and storage foundation</v>
      </c>
      <c r="AJ344" s="48" t="str">
        <f ca="1">IFERROR(INDEX(_TECH_Initiative_Library!$AC$5:$AC$76,MATCH(1,INDEX((_TECH_Initiative_Library!$B$5:$B$76=$C344)*(_TECH_Initiative_Library!$C$5:$C$76=$D344),0),0)),"")</f>
        <v/>
      </c>
      <c r="AK344" s="48" t="str">
        <f ca="1">IFERROR(INDEX(_TECH_Initiative_Library!$AE$5:$AE$76,MATCH(1,INDEX((_TECH_Initiative_Library!$B$5:$B$76=$C344)*(_TECH_Initiative_Library!$C$5:$C$76=$D344),0),0)),"")</f>
        <v/>
      </c>
      <c r="AL344" s="48" t="str">
        <f>IF($B344="Yes",IFERROR(SUMIFS(_TECH_Industry_Templates!$E:$E,_TECH_Industry_Templates!$A:$A,'Company Profile'!$B$9,_TECH_Industry_Templates!$B:$B,$C344),1),"")</f>
        <v/>
      </c>
      <c r="AM344" s="48" t="str">
        <f t="shared" si="59"/>
        <v/>
      </c>
      <c r="AN344" s="48" t="str">
        <f>IF($AM344="","",RANK.EQ($AM344,$AM$8:$AM$414,0)+COUNTIF($AM$8:$AM344,$AM344)-1)</f>
        <v/>
      </c>
    </row>
    <row r="345" spans="1:40" ht="71.25">
      <c r="A345" s="28" t="str">
        <f>IF($AM345="","",RANK.EQ($AM345,$AM$8:$AM$414,0)+COUNTIF($AM$8:$AM345,$AM345)-1)</f>
        <v/>
      </c>
      <c r="B345" s="7" t="str">
        <f t="shared" si="50"/>
        <v/>
      </c>
      <c r="C345" s="7" t="s">
        <v>92</v>
      </c>
      <c r="D345" s="7" t="s">
        <v>1549</v>
      </c>
      <c r="E345" s="7" t="s">
        <v>5308</v>
      </c>
      <c r="F345" s="7" t="s">
        <v>5309</v>
      </c>
      <c r="G345" s="28" t="str">
        <f>IF(OR(COUNTA('Data BI AI'!$H$16)=0,'Data BI AI'!$H$16="N/A"),"",VALUE('Data BI AI'!$H$16))</f>
        <v/>
      </c>
      <c r="H345" s="7" t="str">
        <f t="shared" si="51"/>
        <v/>
      </c>
      <c r="I345" s="7" t="str">
        <f>IF($G345="","",IFERROR(IF('Data BI AI'!$L$16="",IF($G345&lt;=1,"Critical",IF($G345=2,"High",IF($G345=3,"Medium",IF($G345=4,"Low","Optimized")))),'Data BI AI'!$L$16),IF($G345&lt;=1,"Critical",IF($G345=2,"High",IF($G345=3,"Medium",IF($G345=4,"Low","Optimized"))))))</f>
        <v/>
      </c>
      <c r="J345" s="7" t="str">
        <f>IF($G345="","",IFERROR(INDEX('Recommendation Matrix'!$E$5:$J$411,MATCH($E345,'Recommendation Matrix'!$A$5:$A$411,0),$G345+1),""))</f>
        <v/>
      </c>
      <c r="K345" s="7" t="str">
        <f>IF($G345="","",IFERROR(VLOOKUP($E345,'Recommendation Matrix'!$A$5:$K$411,11,FALSE),""))</f>
        <v/>
      </c>
      <c r="L345" s="28" t="str">
        <f t="shared" si="52"/>
        <v/>
      </c>
      <c r="M345" s="28" t="str">
        <f>IF($G345="","",IFERROR(INDEX('Recommendation Matrix'!$L$5:$Q$411,MATCH($E345,'Recommendation Matrix'!$A$5:$A$411,0),$G345+1),""))</f>
        <v/>
      </c>
      <c r="N345" s="28" t="str">
        <f t="shared" si="53"/>
        <v/>
      </c>
      <c r="O345" s="28" t="str">
        <f t="shared" si="54"/>
        <v/>
      </c>
      <c r="P345" s="28" t="str">
        <f t="shared" si="55"/>
        <v/>
      </c>
      <c r="Q345" s="28" t="str">
        <f t="shared" si="56"/>
        <v/>
      </c>
      <c r="R345" s="8" t="str">
        <f t="shared" si="57"/>
        <v/>
      </c>
      <c r="S345" s="28">
        <f>IFERROR('Data BI AI'!$G$16,"")</f>
        <v>5</v>
      </c>
      <c r="T345" s="28">
        <f>IFERROR('Data BI AI'!$W$16,"")</f>
        <v>5</v>
      </c>
      <c r="U345" s="28">
        <f>IFERROR('Data BI AI'!$X$16,"")</f>
        <v>5</v>
      </c>
      <c r="V345" s="28">
        <f>IFERROR('Data BI AI'!$Y$16,"")</f>
        <v>5</v>
      </c>
      <c r="W345" s="7" t="s">
        <v>5205</v>
      </c>
      <c r="X345" s="7" t="s">
        <v>5206</v>
      </c>
      <c r="Y345" s="7" t="s">
        <v>5310</v>
      </c>
      <c r="Z345" s="7">
        <f>IFERROR('Data BI AI'!$U$16,"")</f>
        <v>0</v>
      </c>
      <c r="AA345" s="7"/>
      <c r="AB345" s="29"/>
      <c r="AC345" s="7"/>
      <c r="AD345" s="48" t="str">
        <f>IF($B345="Yes",IFERROR(SUMIFS(_TECH_Crisis_Model!$D$5:$D$191,_TECH_Crisis_Model!$A$5:$A$191,'Crisis Simulator'!$B$4,_TECH_Crisis_Model!$B$5:$B$191,$C345),1),"")</f>
        <v/>
      </c>
      <c r="AE345" s="48" t="str">
        <f t="shared" si="58"/>
        <v/>
      </c>
      <c r="AF345" s="48" t="str">
        <f>IFERROR(INDEX(_TECH_Crisis_Model!$E$5:$E$191,MATCH('Crisis Simulator'!$B$4&amp;"|"&amp;$C345,_TECH_Crisis_Model!$I$5:$I$191,0)),"")</f>
        <v>Data quality, BI and analytics determine decision visibility and forecasting under stress.</v>
      </c>
      <c r="AG345" s="48" t="str">
        <f>IFERROR(INDEX(_TECH_Crisis_Model!$G$5:$G$191,MATCH('Crisis Simulator'!$B$4&amp;"|"&amp;$C345,_TECH_Crisis_Model!$I$5:$I$191,0)),"")</f>
        <v>Assign data owners, improve data quality, dashboards, forecasting and AI governance.</v>
      </c>
      <c r="AH345" s="48" t="str">
        <f>IFERROR(INDEX(_TECH_Initiative_Library!$A$5:$A$76,MATCH(1,INDEX((_TECH_Initiative_Library!$B$5:$B$76=$C345)*(_TECH_Initiative_Library!$C$5:$C$76=$D345),0),0)),"")</f>
        <v>INI-059</v>
      </c>
      <c r="AI345" s="48" t="str">
        <f>IFERROR(INDEX(_TECH_Initiative_Library!$F$5:$F$76,MATCH(1,INDEX((_TECH_Initiative_Library!$B$5:$B$76=$C345)*(_TECH_Initiative_Library!$C$5:$C$76=$D345),0),0)),"")</f>
        <v>Build resilient data architecture, integration and storage foundation</v>
      </c>
      <c r="AJ345" s="48" t="str">
        <f ca="1">IFERROR(INDEX(_TECH_Initiative_Library!$AC$5:$AC$76,MATCH(1,INDEX((_TECH_Initiative_Library!$B$5:$B$76=$C345)*(_TECH_Initiative_Library!$C$5:$C$76=$D345),0),0)),"")</f>
        <v/>
      </c>
      <c r="AK345" s="48" t="str">
        <f ca="1">IFERROR(INDEX(_TECH_Initiative_Library!$AE$5:$AE$76,MATCH(1,INDEX((_TECH_Initiative_Library!$B$5:$B$76=$C345)*(_TECH_Initiative_Library!$C$5:$C$76=$D345),0),0)),"")</f>
        <v/>
      </c>
      <c r="AL345" s="48" t="str">
        <f>IF($B345="Yes",IFERROR(SUMIFS(_TECH_Industry_Templates!$E:$E,_TECH_Industry_Templates!$A:$A,'Company Profile'!$B$9,_TECH_Industry_Templates!$B:$B,$C345),1),"")</f>
        <v/>
      </c>
      <c r="AM345" s="48" t="str">
        <f t="shared" si="59"/>
        <v/>
      </c>
      <c r="AN345" s="48" t="str">
        <f>IF($AM345="","",RANK.EQ($AM345,$AM$8:$AM$414,0)+COUNTIF($AM$8:$AM345,$AM345)-1)</f>
        <v/>
      </c>
    </row>
    <row r="346" spans="1:40" ht="85.5">
      <c r="A346" s="28" t="str">
        <f>IF($AM346="","",RANK.EQ($AM346,$AM$8:$AM$414,0)+COUNTIF($AM$8:$AM346,$AM346)-1)</f>
        <v/>
      </c>
      <c r="B346" s="7" t="str">
        <f t="shared" si="50"/>
        <v/>
      </c>
      <c r="C346" s="7" t="s">
        <v>92</v>
      </c>
      <c r="D346" s="7" t="s">
        <v>1557</v>
      </c>
      <c r="E346" s="7" t="s">
        <v>5318</v>
      </c>
      <c r="F346" s="7" t="s">
        <v>5319</v>
      </c>
      <c r="G346" s="28" t="str">
        <f>IF(OR(COUNTA('Data BI AI'!$H$17)=0,'Data BI AI'!$H$17="N/A"),"",VALUE('Data BI AI'!$H$17))</f>
        <v/>
      </c>
      <c r="H346" s="7" t="str">
        <f t="shared" si="51"/>
        <v/>
      </c>
      <c r="I346" s="7" t="str">
        <f>IF($G346="","",IFERROR(IF('Data BI AI'!$L$17="",IF($G346&lt;=1,"Critical",IF($G346=2,"High",IF($G346=3,"Medium",IF($G346=4,"Low","Optimized")))),'Data BI AI'!$L$17),IF($G346&lt;=1,"Critical",IF($G346=2,"High",IF($G346=3,"Medium",IF($G346=4,"Low","Optimized"))))))</f>
        <v/>
      </c>
      <c r="J346" s="7" t="str">
        <f>IF($G346="","",IFERROR(INDEX('Recommendation Matrix'!$E$5:$J$411,MATCH($E346,'Recommendation Matrix'!$A$5:$A$411,0),$G346+1),""))</f>
        <v/>
      </c>
      <c r="K346" s="7" t="str">
        <f>IF($G346="","",IFERROR(VLOOKUP($E346,'Recommendation Matrix'!$A$5:$K$411,11,FALSE),""))</f>
        <v/>
      </c>
      <c r="L346" s="28" t="str">
        <f t="shared" si="52"/>
        <v/>
      </c>
      <c r="M346" s="28" t="str">
        <f>IF($G346="","",IFERROR(INDEX('Recommendation Matrix'!$L$5:$Q$411,MATCH($E346,'Recommendation Matrix'!$A$5:$A$411,0),$G346+1),""))</f>
        <v/>
      </c>
      <c r="N346" s="28" t="str">
        <f t="shared" si="53"/>
        <v/>
      </c>
      <c r="O346" s="28" t="str">
        <f t="shared" si="54"/>
        <v/>
      </c>
      <c r="P346" s="28" t="str">
        <f t="shared" si="55"/>
        <v/>
      </c>
      <c r="Q346" s="28" t="str">
        <f t="shared" si="56"/>
        <v/>
      </c>
      <c r="R346" s="8" t="str">
        <f t="shared" si="57"/>
        <v/>
      </c>
      <c r="S346" s="28">
        <f>IFERROR('Data BI AI'!$G$17,"")</f>
        <v>5</v>
      </c>
      <c r="T346" s="28">
        <f>IFERROR('Data BI AI'!$W$17,"")</f>
        <v>5</v>
      </c>
      <c r="U346" s="28">
        <f>IFERROR('Data BI AI'!$X$17,"")</f>
        <v>5</v>
      </c>
      <c r="V346" s="28">
        <f>IFERROR('Data BI AI'!$Y$17,"")</f>
        <v>5</v>
      </c>
      <c r="W346" s="7" t="s">
        <v>5205</v>
      </c>
      <c r="X346" s="7" t="s">
        <v>5206</v>
      </c>
      <c r="Y346" s="7" t="s">
        <v>5320</v>
      </c>
      <c r="Z346" s="7">
        <f>IFERROR('Data BI AI'!$U$17,"")</f>
        <v>0</v>
      </c>
      <c r="AA346" s="7"/>
      <c r="AB346" s="29"/>
      <c r="AC346" s="7"/>
      <c r="AD346" s="48" t="str">
        <f>IF($B346="Yes",IFERROR(SUMIFS(_TECH_Crisis_Model!$D$5:$D$191,_TECH_Crisis_Model!$A$5:$A$191,'Crisis Simulator'!$B$4,_TECH_Crisis_Model!$B$5:$B$191,$C346),1),"")</f>
        <v/>
      </c>
      <c r="AE346" s="48" t="str">
        <f t="shared" si="58"/>
        <v/>
      </c>
      <c r="AF346" s="48" t="str">
        <f>IFERROR(INDEX(_TECH_Crisis_Model!$E$5:$E$191,MATCH('Crisis Simulator'!$B$4&amp;"|"&amp;$C346,_TECH_Crisis_Model!$I$5:$I$191,0)),"")</f>
        <v>Data quality, BI and analytics determine decision visibility and forecasting under stress.</v>
      </c>
      <c r="AG346" s="48" t="str">
        <f>IFERROR(INDEX(_TECH_Crisis_Model!$G$5:$G$191,MATCH('Crisis Simulator'!$B$4&amp;"|"&amp;$C346,_TECH_Crisis_Model!$I$5:$I$191,0)),"")</f>
        <v>Assign data owners, improve data quality, dashboards, forecasting and AI governance.</v>
      </c>
      <c r="AH346" s="48" t="str">
        <f>IFERROR(INDEX(_TECH_Initiative_Library!$A$5:$A$76,MATCH(1,INDEX((_TECH_Initiative_Library!$B$5:$B$76=$C346)*(_TECH_Initiative_Library!$C$5:$C$76=$D346),0),0)),"")</f>
        <v>INI-060</v>
      </c>
      <c r="AI346" s="48" t="str">
        <f>IFERROR(INDEX(_TECH_Initiative_Library!$F$5:$F$76,MATCH(1,INDEX((_TECH_Initiative_Library!$B$5:$B$76=$C346)*(_TECH_Initiative_Library!$C$5:$C$76=$D346),0),0)),"")</f>
        <v>Create BI analytics layer for crisis and operational decisions</v>
      </c>
      <c r="AJ346" s="48" t="str">
        <f ca="1">IFERROR(INDEX(_TECH_Initiative_Library!$AC$5:$AC$76,MATCH(1,INDEX((_TECH_Initiative_Library!$B$5:$B$76=$C346)*(_TECH_Initiative_Library!$C$5:$C$76=$D346),0),0)),"")</f>
        <v/>
      </c>
      <c r="AK346" s="48" t="str">
        <f ca="1">IFERROR(INDEX(_TECH_Initiative_Library!$AE$5:$AE$76,MATCH(1,INDEX((_TECH_Initiative_Library!$B$5:$B$76=$C346)*(_TECH_Initiative_Library!$C$5:$C$76=$D346),0),0)),"")</f>
        <v/>
      </c>
      <c r="AL346" s="48" t="str">
        <f>IF($B346="Yes",IFERROR(SUMIFS(_TECH_Industry_Templates!$E:$E,_TECH_Industry_Templates!$A:$A,'Company Profile'!$B$9,_TECH_Industry_Templates!$B:$B,$C346),1),"")</f>
        <v/>
      </c>
      <c r="AM346" s="48" t="str">
        <f t="shared" si="59"/>
        <v/>
      </c>
      <c r="AN346" s="48" t="str">
        <f>IF($AM346="","",RANK.EQ($AM346,$AM$8:$AM$414,0)+COUNTIF($AM$8:$AM346,$AM346)-1)</f>
        <v/>
      </c>
    </row>
    <row r="347" spans="1:40" ht="71.25">
      <c r="A347" s="28" t="str">
        <f>IF($AM347="","",RANK.EQ($AM347,$AM$8:$AM$414,0)+COUNTIF($AM$8:$AM347,$AM347)-1)</f>
        <v/>
      </c>
      <c r="B347" s="7" t="str">
        <f t="shared" si="50"/>
        <v/>
      </c>
      <c r="C347" s="7" t="s">
        <v>92</v>
      </c>
      <c r="D347" s="7" t="s">
        <v>1557</v>
      </c>
      <c r="E347" s="7" t="s">
        <v>5328</v>
      </c>
      <c r="F347" s="7" t="s">
        <v>5329</v>
      </c>
      <c r="G347" s="28" t="str">
        <f>IF(OR(COUNTA('Data BI AI'!$H$18)=0,'Data BI AI'!$H$18="N/A"),"",VALUE('Data BI AI'!$H$18))</f>
        <v/>
      </c>
      <c r="H347" s="7" t="str">
        <f t="shared" si="51"/>
        <v/>
      </c>
      <c r="I347" s="7" t="str">
        <f>IF($G347="","",IFERROR(IF('Data BI AI'!$L$18="",IF($G347&lt;=1,"Critical",IF($G347=2,"High",IF($G347=3,"Medium",IF($G347=4,"Low","Optimized")))),'Data BI AI'!$L$18),IF($G347&lt;=1,"Critical",IF($G347=2,"High",IF($G347=3,"Medium",IF($G347=4,"Low","Optimized"))))))</f>
        <v/>
      </c>
      <c r="J347" s="7" t="str">
        <f>IF($G347="","",IFERROR(INDEX('Recommendation Matrix'!$E$5:$J$411,MATCH($E347,'Recommendation Matrix'!$A$5:$A$411,0),$G347+1),""))</f>
        <v/>
      </c>
      <c r="K347" s="7" t="str">
        <f>IF($G347="","",IFERROR(VLOOKUP($E347,'Recommendation Matrix'!$A$5:$K$411,11,FALSE),""))</f>
        <v/>
      </c>
      <c r="L347" s="28" t="str">
        <f t="shared" si="52"/>
        <v/>
      </c>
      <c r="M347" s="28" t="str">
        <f>IF($G347="","",IFERROR(INDEX('Recommendation Matrix'!$L$5:$Q$411,MATCH($E347,'Recommendation Matrix'!$A$5:$A$411,0),$G347+1),""))</f>
        <v/>
      </c>
      <c r="N347" s="28" t="str">
        <f t="shared" si="53"/>
        <v/>
      </c>
      <c r="O347" s="28" t="str">
        <f t="shared" si="54"/>
        <v/>
      </c>
      <c r="P347" s="28" t="str">
        <f t="shared" si="55"/>
        <v/>
      </c>
      <c r="Q347" s="28" t="str">
        <f t="shared" si="56"/>
        <v/>
      </c>
      <c r="R347" s="8" t="str">
        <f t="shared" si="57"/>
        <v/>
      </c>
      <c r="S347" s="28">
        <f>IFERROR('Data BI AI'!$G$18,"")</f>
        <v>5</v>
      </c>
      <c r="T347" s="28">
        <f>IFERROR('Data BI AI'!$W$18,"")</f>
        <v>5</v>
      </c>
      <c r="U347" s="28">
        <f>IFERROR('Data BI AI'!$X$18,"")</f>
        <v>5</v>
      </c>
      <c r="V347" s="28">
        <f>IFERROR('Data BI AI'!$Y$18,"")</f>
        <v>5</v>
      </c>
      <c r="W347" s="7" t="s">
        <v>5205</v>
      </c>
      <c r="X347" s="7" t="s">
        <v>5206</v>
      </c>
      <c r="Y347" s="7" t="s">
        <v>5330</v>
      </c>
      <c r="Z347" s="7">
        <f>IFERROR('Data BI AI'!$U$18,"")</f>
        <v>0</v>
      </c>
      <c r="AA347" s="7"/>
      <c r="AB347" s="29"/>
      <c r="AC347" s="7"/>
      <c r="AD347" s="48" t="str">
        <f>IF($B347="Yes",IFERROR(SUMIFS(_TECH_Crisis_Model!$D$5:$D$191,_TECH_Crisis_Model!$A$5:$A$191,'Crisis Simulator'!$B$4,_TECH_Crisis_Model!$B$5:$B$191,$C347),1),"")</f>
        <v/>
      </c>
      <c r="AE347" s="48" t="str">
        <f t="shared" si="58"/>
        <v/>
      </c>
      <c r="AF347" s="48" t="str">
        <f>IFERROR(INDEX(_TECH_Crisis_Model!$E$5:$E$191,MATCH('Crisis Simulator'!$B$4&amp;"|"&amp;$C347,_TECH_Crisis_Model!$I$5:$I$191,0)),"")</f>
        <v>Data quality, BI and analytics determine decision visibility and forecasting under stress.</v>
      </c>
      <c r="AG347" s="48" t="str">
        <f>IFERROR(INDEX(_TECH_Crisis_Model!$G$5:$G$191,MATCH('Crisis Simulator'!$B$4&amp;"|"&amp;$C347,_TECH_Crisis_Model!$I$5:$I$191,0)),"")</f>
        <v>Assign data owners, improve data quality, dashboards, forecasting and AI governance.</v>
      </c>
      <c r="AH347" s="48" t="str">
        <f>IFERROR(INDEX(_TECH_Initiative_Library!$A$5:$A$76,MATCH(1,INDEX((_TECH_Initiative_Library!$B$5:$B$76=$C347)*(_TECH_Initiative_Library!$C$5:$C$76=$D347),0),0)),"")</f>
        <v>INI-060</v>
      </c>
      <c r="AI347" s="48" t="str">
        <f>IFERROR(INDEX(_TECH_Initiative_Library!$F$5:$F$76,MATCH(1,INDEX((_TECH_Initiative_Library!$B$5:$B$76=$C347)*(_TECH_Initiative_Library!$C$5:$C$76=$D347),0),0)),"")</f>
        <v>Create BI analytics layer for crisis and operational decisions</v>
      </c>
      <c r="AJ347" s="48" t="str">
        <f ca="1">IFERROR(INDEX(_TECH_Initiative_Library!$AC$5:$AC$76,MATCH(1,INDEX((_TECH_Initiative_Library!$B$5:$B$76=$C347)*(_TECH_Initiative_Library!$C$5:$C$76=$D347),0),0)),"")</f>
        <v/>
      </c>
      <c r="AK347" s="48" t="str">
        <f ca="1">IFERROR(INDEX(_TECH_Initiative_Library!$AE$5:$AE$76,MATCH(1,INDEX((_TECH_Initiative_Library!$B$5:$B$76=$C347)*(_TECH_Initiative_Library!$C$5:$C$76=$D347),0),0)),"")</f>
        <v/>
      </c>
      <c r="AL347" s="48" t="str">
        <f>IF($B347="Yes",IFERROR(SUMIFS(_TECH_Industry_Templates!$E:$E,_TECH_Industry_Templates!$A:$A,'Company Profile'!$B$9,_TECH_Industry_Templates!$B:$B,$C347),1),"")</f>
        <v/>
      </c>
      <c r="AM347" s="48" t="str">
        <f t="shared" si="59"/>
        <v/>
      </c>
      <c r="AN347" s="48" t="str">
        <f>IF($AM347="","",RANK.EQ($AM347,$AM$8:$AM$414,0)+COUNTIF($AM$8:$AM347,$AM347)-1)</f>
        <v/>
      </c>
    </row>
    <row r="348" spans="1:40" ht="71.25">
      <c r="A348" s="28" t="str">
        <f>IF($AM348="","",RANK.EQ($AM348,$AM$8:$AM$414,0)+COUNTIF($AM$8:$AM348,$AM348)-1)</f>
        <v/>
      </c>
      <c r="B348" s="7" t="str">
        <f t="shared" si="50"/>
        <v/>
      </c>
      <c r="C348" s="7" t="s">
        <v>92</v>
      </c>
      <c r="D348" s="7" t="s">
        <v>1557</v>
      </c>
      <c r="E348" s="7" t="s">
        <v>5338</v>
      </c>
      <c r="F348" s="7" t="s">
        <v>5339</v>
      </c>
      <c r="G348" s="28" t="str">
        <f>IF(OR(COUNTA('Data BI AI'!$H$19)=0,'Data BI AI'!$H$19="N/A"),"",VALUE('Data BI AI'!$H$19))</f>
        <v/>
      </c>
      <c r="H348" s="7" t="str">
        <f t="shared" si="51"/>
        <v/>
      </c>
      <c r="I348" s="7" t="str">
        <f>IF($G348="","",IFERROR(IF('Data BI AI'!$L$19="",IF($G348&lt;=1,"Critical",IF($G348=2,"High",IF($G348=3,"Medium",IF($G348=4,"Low","Optimized")))),'Data BI AI'!$L$19),IF($G348&lt;=1,"Critical",IF($G348=2,"High",IF($G348=3,"Medium",IF($G348=4,"Low","Optimized"))))))</f>
        <v/>
      </c>
      <c r="J348" s="7" t="str">
        <f>IF($G348="","",IFERROR(INDEX('Recommendation Matrix'!$E$5:$J$411,MATCH($E348,'Recommendation Matrix'!$A$5:$A$411,0),$G348+1),""))</f>
        <v/>
      </c>
      <c r="K348" s="7" t="str">
        <f>IF($G348="","",IFERROR(VLOOKUP($E348,'Recommendation Matrix'!$A$5:$K$411,11,FALSE),""))</f>
        <v/>
      </c>
      <c r="L348" s="28" t="str">
        <f t="shared" si="52"/>
        <v/>
      </c>
      <c r="M348" s="28" t="str">
        <f>IF($G348="","",IFERROR(INDEX('Recommendation Matrix'!$L$5:$Q$411,MATCH($E348,'Recommendation Matrix'!$A$5:$A$411,0),$G348+1),""))</f>
        <v/>
      </c>
      <c r="N348" s="28" t="str">
        <f t="shared" si="53"/>
        <v/>
      </c>
      <c r="O348" s="28" t="str">
        <f t="shared" si="54"/>
        <v/>
      </c>
      <c r="P348" s="28" t="str">
        <f t="shared" si="55"/>
        <v/>
      </c>
      <c r="Q348" s="28" t="str">
        <f t="shared" si="56"/>
        <v/>
      </c>
      <c r="R348" s="8" t="str">
        <f t="shared" si="57"/>
        <v/>
      </c>
      <c r="S348" s="28">
        <f>IFERROR('Data BI AI'!$G$19,"")</f>
        <v>5</v>
      </c>
      <c r="T348" s="28">
        <f>IFERROR('Data BI AI'!$W$19,"")</f>
        <v>5</v>
      </c>
      <c r="U348" s="28">
        <f>IFERROR('Data BI AI'!$X$19,"")</f>
        <v>5</v>
      </c>
      <c r="V348" s="28">
        <f>IFERROR('Data BI AI'!$Y$19,"")</f>
        <v>5</v>
      </c>
      <c r="W348" s="7" t="s">
        <v>5205</v>
      </c>
      <c r="X348" s="7" t="s">
        <v>5206</v>
      </c>
      <c r="Y348" s="7" t="s">
        <v>5340</v>
      </c>
      <c r="Z348" s="7">
        <f>IFERROR('Data BI AI'!$U$19,"")</f>
        <v>0</v>
      </c>
      <c r="AA348" s="7"/>
      <c r="AB348" s="29"/>
      <c r="AC348" s="7"/>
      <c r="AD348" s="48" t="str">
        <f>IF($B348="Yes",IFERROR(SUMIFS(_TECH_Crisis_Model!$D$5:$D$191,_TECH_Crisis_Model!$A$5:$A$191,'Crisis Simulator'!$B$4,_TECH_Crisis_Model!$B$5:$B$191,$C348),1),"")</f>
        <v/>
      </c>
      <c r="AE348" s="48" t="str">
        <f t="shared" si="58"/>
        <v/>
      </c>
      <c r="AF348" s="48" t="str">
        <f>IFERROR(INDEX(_TECH_Crisis_Model!$E$5:$E$191,MATCH('Crisis Simulator'!$B$4&amp;"|"&amp;$C348,_TECH_Crisis_Model!$I$5:$I$191,0)),"")</f>
        <v>Data quality, BI and analytics determine decision visibility and forecasting under stress.</v>
      </c>
      <c r="AG348" s="48" t="str">
        <f>IFERROR(INDEX(_TECH_Crisis_Model!$G$5:$G$191,MATCH('Crisis Simulator'!$B$4&amp;"|"&amp;$C348,_TECH_Crisis_Model!$I$5:$I$191,0)),"")</f>
        <v>Assign data owners, improve data quality, dashboards, forecasting and AI governance.</v>
      </c>
      <c r="AH348" s="48" t="str">
        <f>IFERROR(INDEX(_TECH_Initiative_Library!$A$5:$A$76,MATCH(1,INDEX((_TECH_Initiative_Library!$B$5:$B$76=$C348)*(_TECH_Initiative_Library!$C$5:$C$76=$D348),0),0)),"")</f>
        <v>INI-060</v>
      </c>
      <c r="AI348" s="48" t="str">
        <f>IFERROR(INDEX(_TECH_Initiative_Library!$F$5:$F$76,MATCH(1,INDEX((_TECH_Initiative_Library!$B$5:$B$76=$C348)*(_TECH_Initiative_Library!$C$5:$C$76=$D348),0),0)),"")</f>
        <v>Create BI analytics layer for crisis and operational decisions</v>
      </c>
      <c r="AJ348" s="48" t="str">
        <f ca="1">IFERROR(INDEX(_TECH_Initiative_Library!$AC$5:$AC$76,MATCH(1,INDEX((_TECH_Initiative_Library!$B$5:$B$76=$C348)*(_TECH_Initiative_Library!$C$5:$C$76=$D348),0),0)),"")</f>
        <v/>
      </c>
      <c r="AK348" s="48" t="str">
        <f ca="1">IFERROR(INDEX(_TECH_Initiative_Library!$AE$5:$AE$76,MATCH(1,INDEX((_TECH_Initiative_Library!$B$5:$B$76=$C348)*(_TECH_Initiative_Library!$C$5:$C$76=$D348),0),0)),"")</f>
        <v/>
      </c>
      <c r="AL348" s="48" t="str">
        <f>IF($B348="Yes",IFERROR(SUMIFS(_TECH_Industry_Templates!$E:$E,_TECH_Industry_Templates!$A:$A,'Company Profile'!$B$9,_TECH_Industry_Templates!$B:$B,$C348),1),"")</f>
        <v/>
      </c>
      <c r="AM348" s="48" t="str">
        <f t="shared" si="59"/>
        <v/>
      </c>
      <c r="AN348" s="48" t="str">
        <f>IF($AM348="","",RANK.EQ($AM348,$AM$8:$AM$414,0)+COUNTIF($AM$8:$AM348,$AM348)-1)</f>
        <v/>
      </c>
    </row>
    <row r="349" spans="1:40" ht="71.25">
      <c r="A349" s="28" t="str">
        <f>IF($AM349="","",RANK.EQ($AM349,$AM$8:$AM$414,0)+COUNTIF($AM$8:$AM349,$AM349)-1)</f>
        <v/>
      </c>
      <c r="B349" s="7" t="str">
        <f t="shared" si="50"/>
        <v/>
      </c>
      <c r="C349" s="7" t="s">
        <v>92</v>
      </c>
      <c r="D349" s="7" t="s">
        <v>1557</v>
      </c>
      <c r="E349" s="7" t="s">
        <v>5348</v>
      </c>
      <c r="F349" s="7" t="s">
        <v>5349</v>
      </c>
      <c r="G349" s="28" t="str">
        <f>IF(OR(COUNTA('Data BI AI'!$H$20)=0,'Data BI AI'!$H$20="N/A"),"",VALUE('Data BI AI'!$H$20))</f>
        <v/>
      </c>
      <c r="H349" s="7" t="str">
        <f t="shared" si="51"/>
        <v/>
      </c>
      <c r="I349" s="7" t="str">
        <f>IF($G349="","",IFERROR(IF('Data BI AI'!$L$20="",IF($G349&lt;=1,"Critical",IF($G349=2,"High",IF($G349=3,"Medium",IF($G349=4,"Low","Optimized")))),'Data BI AI'!$L$20),IF($G349&lt;=1,"Critical",IF($G349=2,"High",IF($G349=3,"Medium",IF($G349=4,"Low","Optimized"))))))</f>
        <v/>
      </c>
      <c r="J349" s="7" t="str">
        <f>IF($G349="","",IFERROR(INDEX('Recommendation Matrix'!$E$5:$J$411,MATCH($E349,'Recommendation Matrix'!$A$5:$A$411,0),$G349+1),""))</f>
        <v/>
      </c>
      <c r="K349" s="7" t="str">
        <f>IF($G349="","",IFERROR(VLOOKUP($E349,'Recommendation Matrix'!$A$5:$K$411,11,FALSE),""))</f>
        <v/>
      </c>
      <c r="L349" s="28" t="str">
        <f t="shared" si="52"/>
        <v/>
      </c>
      <c r="M349" s="28" t="str">
        <f>IF($G349="","",IFERROR(INDEX('Recommendation Matrix'!$L$5:$Q$411,MATCH($E349,'Recommendation Matrix'!$A$5:$A$411,0),$G349+1),""))</f>
        <v/>
      </c>
      <c r="N349" s="28" t="str">
        <f t="shared" si="53"/>
        <v/>
      </c>
      <c r="O349" s="28" t="str">
        <f t="shared" si="54"/>
        <v/>
      </c>
      <c r="P349" s="28" t="str">
        <f t="shared" si="55"/>
        <v/>
      </c>
      <c r="Q349" s="28" t="str">
        <f t="shared" si="56"/>
        <v/>
      </c>
      <c r="R349" s="8" t="str">
        <f t="shared" si="57"/>
        <v/>
      </c>
      <c r="S349" s="28">
        <f>IFERROR('Data BI AI'!$G$20,"")</f>
        <v>4</v>
      </c>
      <c r="T349" s="28">
        <f>IFERROR('Data BI AI'!$W$20,"")</f>
        <v>5</v>
      </c>
      <c r="U349" s="28">
        <f>IFERROR('Data BI AI'!$X$20,"")</f>
        <v>5</v>
      </c>
      <c r="V349" s="28">
        <f>IFERROR('Data BI AI'!$Y$20,"")</f>
        <v>5</v>
      </c>
      <c r="W349" s="7" t="s">
        <v>5205</v>
      </c>
      <c r="X349" s="7" t="s">
        <v>5206</v>
      </c>
      <c r="Y349" s="7" t="s">
        <v>5350</v>
      </c>
      <c r="Z349" s="7">
        <f>IFERROR('Data BI AI'!$U$20,"")</f>
        <v>0</v>
      </c>
      <c r="AA349" s="7"/>
      <c r="AB349" s="29"/>
      <c r="AC349" s="7"/>
      <c r="AD349" s="48" t="str">
        <f>IF($B349="Yes",IFERROR(SUMIFS(_TECH_Crisis_Model!$D$5:$D$191,_TECH_Crisis_Model!$A$5:$A$191,'Crisis Simulator'!$B$4,_TECH_Crisis_Model!$B$5:$B$191,$C349),1),"")</f>
        <v/>
      </c>
      <c r="AE349" s="48" t="str">
        <f t="shared" si="58"/>
        <v/>
      </c>
      <c r="AF349" s="48" t="str">
        <f>IFERROR(INDEX(_TECH_Crisis_Model!$E$5:$E$191,MATCH('Crisis Simulator'!$B$4&amp;"|"&amp;$C349,_TECH_Crisis_Model!$I$5:$I$191,0)),"")</f>
        <v>Data quality, BI and analytics determine decision visibility and forecasting under stress.</v>
      </c>
      <c r="AG349" s="48" t="str">
        <f>IFERROR(INDEX(_TECH_Crisis_Model!$G$5:$G$191,MATCH('Crisis Simulator'!$B$4&amp;"|"&amp;$C349,_TECH_Crisis_Model!$I$5:$I$191,0)),"")</f>
        <v>Assign data owners, improve data quality, dashboards, forecasting and AI governance.</v>
      </c>
      <c r="AH349" s="48" t="str">
        <f>IFERROR(INDEX(_TECH_Initiative_Library!$A$5:$A$76,MATCH(1,INDEX((_TECH_Initiative_Library!$B$5:$B$76=$C349)*(_TECH_Initiative_Library!$C$5:$C$76=$D349),0),0)),"")</f>
        <v>INI-060</v>
      </c>
      <c r="AI349" s="48" t="str">
        <f>IFERROR(INDEX(_TECH_Initiative_Library!$F$5:$F$76,MATCH(1,INDEX((_TECH_Initiative_Library!$B$5:$B$76=$C349)*(_TECH_Initiative_Library!$C$5:$C$76=$D349),0),0)),"")</f>
        <v>Create BI analytics layer for crisis and operational decisions</v>
      </c>
      <c r="AJ349" s="48" t="str">
        <f ca="1">IFERROR(INDEX(_TECH_Initiative_Library!$AC$5:$AC$76,MATCH(1,INDEX((_TECH_Initiative_Library!$B$5:$B$76=$C349)*(_TECH_Initiative_Library!$C$5:$C$76=$D349),0),0)),"")</f>
        <v/>
      </c>
      <c r="AK349" s="48" t="str">
        <f ca="1">IFERROR(INDEX(_TECH_Initiative_Library!$AE$5:$AE$76,MATCH(1,INDEX((_TECH_Initiative_Library!$B$5:$B$76=$C349)*(_TECH_Initiative_Library!$C$5:$C$76=$D349),0),0)),"")</f>
        <v/>
      </c>
      <c r="AL349" s="48" t="str">
        <f>IF($B349="Yes",IFERROR(SUMIFS(_TECH_Industry_Templates!$E:$E,_TECH_Industry_Templates!$A:$A,'Company Profile'!$B$9,_TECH_Industry_Templates!$B:$B,$C349),1),"")</f>
        <v/>
      </c>
      <c r="AM349" s="48" t="str">
        <f t="shared" si="59"/>
        <v/>
      </c>
      <c r="AN349" s="48" t="str">
        <f>IF($AM349="","",RANK.EQ($AM349,$AM$8:$AM$414,0)+COUNTIF($AM$8:$AM349,$AM349)-1)</f>
        <v/>
      </c>
    </row>
    <row r="350" spans="1:40" ht="71.25">
      <c r="A350" s="28" t="str">
        <f>IF($AM350="","",RANK.EQ($AM350,$AM$8:$AM$414,0)+COUNTIF($AM$8:$AM350,$AM350)-1)</f>
        <v/>
      </c>
      <c r="B350" s="7" t="str">
        <f t="shared" si="50"/>
        <v/>
      </c>
      <c r="C350" s="7" t="s">
        <v>92</v>
      </c>
      <c r="D350" s="7" t="s">
        <v>1557</v>
      </c>
      <c r="E350" s="7" t="s">
        <v>5358</v>
      </c>
      <c r="F350" s="7" t="s">
        <v>5359</v>
      </c>
      <c r="G350" s="28" t="str">
        <f>IF(OR(COUNTA('Data BI AI'!$H$21)=0,'Data BI AI'!$H$21="N/A"),"",VALUE('Data BI AI'!$H$21))</f>
        <v/>
      </c>
      <c r="H350" s="7" t="str">
        <f t="shared" si="51"/>
        <v/>
      </c>
      <c r="I350" s="7" t="str">
        <f>IF($G350="","",IFERROR(IF('Data BI AI'!$L$21="",IF($G350&lt;=1,"Critical",IF($G350=2,"High",IF($G350=3,"Medium",IF($G350=4,"Low","Optimized")))),'Data BI AI'!$L$21),IF($G350&lt;=1,"Critical",IF($G350=2,"High",IF($G350=3,"Medium",IF($G350=4,"Low","Optimized"))))))</f>
        <v/>
      </c>
      <c r="J350" s="7" t="str">
        <f>IF($G350="","",IFERROR(INDEX('Recommendation Matrix'!$E$5:$J$411,MATCH($E350,'Recommendation Matrix'!$A$5:$A$411,0),$G350+1),""))</f>
        <v/>
      </c>
      <c r="K350" s="7" t="str">
        <f>IF($G350="","",IFERROR(VLOOKUP($E350,'Recommendation Matrix'!$A$5:$K$411,11,FALSE),""))</f>
        <v/>
      </c>
      <c r="L350" s="28" t="str">
        <f t="shared" si="52"/>
        <v/>
      </c>
      <c r="M350" s="28" t="str">
        <f>IF($G350="","",IFERROR(INDEX('Recommendation Matrix'!$L$5:$Q$411,MATCH($E350,'Recommendation Matrix'!$A$5:$A$411,0),$G350+1),""))</f>
        <v/>
      </c>
      <c r="N350" s="28" t="str">
        <f t="shared" si="53"/>
        <v/>
      </c>
      <c r="O350" s="28" t="str">
        <f t="shared" si="54"/>
        <v/>
      </c>
      <c r="P350" s="28" t="str">
        <f t="shared" si="55"/>
        <v/>
      </c>
      <c r="Q350" s="28" t="str">
        <f t="shared" si="56"/>
        <v/>
      </c>
      <c r="R350" s="8" t="str">
        <f t="shared" si="57"/>
        <v/>
      </c>
      <c r="S350" s="28">
        <f>IFERROR('Data BI AI'!$G$21,"")</f>
        <v>5</v>
      </c>
      <c r="T350" s="28">
        <f>IFERROR('Data BI AI'!$W$21,"")</f>
        <v>5</v>
      </c>
      <c r="U350" s="28">
        <f>IFERROR('Data BI AI'!$X$21,"")</f>
        <v>5</v>
      </c>
      <c r="V350" s="28">
        <f>IFERROR('Data BI AI'!$Y$21,"")</f>
        <v>5</v>
      </c>
      <c r="W350" s="7" t="s">
        <v>5205</v>
      </c>
      <c r="X350" s="7" t="s">
        <v>5206</v>
      </c>
      <c r="Y350" s="7" t="s">
        <v>5360</v>
      </c>
      <c r="Z350" s="7">
        <f>IFERROR('Data BI AI'!$U$21,"")</f>
        <v>0</v>
      </c>
      <c r="AA350" s="7"/>
      <c r="AB350" s="29"/>
      <c r="AC350" s="7"/>
      <c r="AD350" s="48" t="str">
        <f>IF($B350="Yes",IFERROR(SUMIFS(_TECH_Crisis_Model!$D$5:$D$191,_TECH_Crisis_Model!$A$5:$A$191,'Crisis Simulator'!$B$4,_TECH_Crisis_Model!$B$5:$B$191,$C350),1),"")</f>
        <v/>
      </c>
      <c r="AE350" s="48" t="str">
        <f t="shared" si="58"/>
        <v/>
      </c>
      <c r="AF350" s="48" t="str">
        <f>IFERROR(INDEX(_TECH_Crisis_Model!$E$5:$E$191,MATCH('Crisis Simulator'!$B$4&amp;"|"&amp;$C350,_TECH_Crisis_Model!$I$5:$I$191,0)),"")</f>
        <v>Data quality, BI and analytics determine decision visibility and forecasting under stress.</v>
      </c>
      <c r="AG350" s="48" t="str">
        <f>IFERROR(INDEX(_TECH_Crisis_Model!$G$5:$G$191,MATCH('Crisis Simulator'!$B$4&amp;"|"&amp;$C350,_TECH_Crisis_Model!$I$5:$I$191,0)),"")</f>
        <v>Assign data owners, improve data quality, dashboards, forecasting and AI governance.</v>
      </c>
      <c r="AH350" s="48" t="str">
        <f>IFERROR(INDEX(_TECH_Initiative_Library!$A$5:$A$76,MATCH(1,INDEX((_TECH_Initiative_Library!$B$5:$B$76=$C350)*(_TECH_Initiative_Library!$C$5:$C$76=$D350),0),0)),"")</f>
        <v>INI-060</v>
      </c>
      <c r="AI350" s="48" t="str">
        <f>IFERROR(INDEX(_TECH_Initiative_Library!$F$5:$F$76,MATCH(1,INDEX((_TECH_Initiative_Library!$B$5:$B$76=$C350)*(_TECH_Initiative_Library!$C$5:$C$76=$D350),0),0)),"")</f>
        <v>Create BI analytics layer for crisis and operational decisions</v>
      </c>
      <c r="AJ350" s="48" t="str">
        <f ca="1">IFERROR(INDEX(_TECH_Initiative_Library!$AC$5:$AC$76,MATCH(1,INDEX((_TECH_Initiative_Library!$B$5:$B$76=$C350)*(_TECH_Initiative_Library!$C$5:$C$76=$D350),0),0)),"")</f>
        <v/>
      </c>
      <c r="AK350" s="48" t="str">
        <f ca="1">IFERROR(INDEX(_TECH_Initiative_Library!$AE$5:$AE$76,MATCH(1,INDEX((_TECH_Initiative_Library!$B$5:$B$76=$C350)*(_TECH_Initiative_Library!$C$5:$C$76=$D350),0),0)),"")</f>
        <v/>
      </c>
      <c r="AL350" s="48" t="str">
        <f>IF($B350="Yes",IFERROR(SUMIFS(_TECH_Industry_Templates!$E:$E,_TECH_Industry_Templates!$A:$A,'Company Profile'!$B$9,_TECH_Industry_Templates!$B:$B,$C350),1),"")</f>
        <v/>
      </c>
      <c r="AM350" s="48" t="str">
        <f t="shared" si="59"/>
        <v/>
      </c>
      <c r="AN350" s="48" t="str">
        <f>IF($AM350="","",RANK.EQ($AM350,$AM$8:$AM$414,0)+COUNTIF($AM$8:$AM350,$AM350)-1)</f>
        <v/>
      </c>
    </row>
    <row r="351" spans="1:40" ht="71.25">
      <c r="A351" s="28" t="str">
        <f>IF($AM351="","",RANK.EQ($AM351,$AM$8:$AM$414,0)+COUNTIF($AM$8:$AM351,$AM351)-1)</f>
        <v/>
      </c>
      <c r="B351" s="7" t="str">
        <f t="shared" si="50"/>
        <v/>
      </c>
      <c r="C351" s="7" t="s">
        <v>92</v>
      </c>
      <c r="D351" s="7" t="s">
        <v>1557</v>
      </c>
      <c r="E351" s="7" t="s">
        <v>5368</v>
      </c>
      <c r="F351" s="7" t="s">
        <v>5369</v>
      </c>
      <c r="G351" s="28" t="str">
        <f>IF(OR(COUNTA('Data BI AI'!$H$22)=0,'Data BI AI'!$H$22="N/A"),"",VALUE('Data BI AI'!$H$22))</f>
        <v/>
      </c>
      <c r="H351" s="7" t="str">
        <f t="shared" si="51"/>
        <v/>
      </c>
      <c r="I351" s="7" t="str">
        <f>IF($G351="","",IFERROR(IF('Data BI AI'!$L$22="",IF($G351&lt;=1,"Critical",IF($G351=2,"High",IF($G351=3,"Medium",IF($G351=4,"Low","Optimized")))),'Data BI AI'!$L$22),IF($G351&lt;=1,"Critical",IF($G351=2,"High",IF($G351=3,"Medium",IF($G351=4,"Low","Optimized"))))))</f>
        <v/>
      </c>
      <c r="J351" s="7" t="str">
        <f>IF($G351="","",IFERROR(INDEX('Recommendation Matrix'!$E$5:$J$411,MATCH($E351,'Recommendation Matrix'!$A$5:$A$411,0),$G351+1),""))</f>
        <v/>
      </c>
      <c r="K351" s="7" t="str">
        <f>IF($G351="","",IFERROR(VLOOKUP($E351,'Recommendation Matrix'!$A$5:$K$411,11,FALSE),""))</f>
        <v/>
      </c>
      <c r="L351" s="28" t="str">
        <f t="shared" si="52"/>
        <v/>
      </c>
      <c r="M351" s="28" t="str">
        <f>IF($G351="","",IFERROR(INDEX('Recommendation Matrix'!$L$5:$Q$411,MATCH($E351,'Recommendation Matrix'!$A$5:$A$411,0),$G351+1),""))</f>
        <v/>
      </c>
      <c r="N351" s="28" t="str">
        <f t="shared" si="53"/>
        <v/>
      </c>
      <c r="O351" s="28" t="str">
        <f t="shared" si="54"/>
        <v/>
      </c>
      <c r="P351" s="28" t="str">
        <f t="shared" si="55"/>
        <v/>
      </c>
      <c r="Q351" s="28" t="str">
        <f t="shared" si="56"/>
        <v/>
      </c>
      <c r="R351" s="8" t="str">
        <f t="shared" si="57"/>
        <v/>
      </c>
      <c r="S351" s="28">
        <f>IFERROR('Data BI AI'!$G$22,"")</f>
        <v>5</v>
      </c>
      <c r="T351" s="28">
        <f>IFERROR('Data BI AI'!$W$22,"")</f>
        <v>5</v>
      </c>
      <c r="U351" s="28">
        <f>IFERROR('Data BI AI'!$X$22,"")</f>
        <v>5</v>
      </c>
      <c r="V351" s="28">
        <f>IFERROR('Data BI AI'!$Y$22,"")</f>
        <v>5</v>
      </c>
      <c r="W351" s="7" t="s">
        <v>5205</v>
      </c>
      <c r="X351" s="7" t="s">
        <v>5206</v>
      </c>
      <c r="Y351" s="7" t="s">
        <v>5370</v>
      </c>
      <c r="Z351" s="7">
        <f>IFERROR('Data BI AI'!$U$22,"")</f>
        <v>0</v>
      </c>
      <c r="AA351" s="7"/>
      <c r="AB351" s="29"/>
      <c r="AC351" s="7"/>
      <c r="AD351" s="48" t="str">
        <f>IF($B351="Yes",IFERROR(SUMIFS(_TECH_Crisis_Model!$D$5:$D$191,_TECH_Crisis_Model!$A$5:$A$191,'Crisis Simulator'!$B$4,_TECH_Crisis_Model!$B$5:$B$191,$C351),1),"")</f>
        <v/>
      </c>
      <c r="AE351" s="48" t="str">
        <f t="shared" si="58"/>
        <v/>
      </c>
      <c r="AF351" s="48" t="str">
        <f>IFERROR(INDEX(_TECH_Crisis_Model!$E$5:$E$191,MATCH('Crisis Simulator'!$B$4&amp;"|"&amp;$C351,_TECH_Crisis_Model!$I$5:$I$191,0)),"")</f>
        <v>Data quality, BI and analytics determine decision visibility and forecasting under stress.</v>
      </c>
      <c r="AG351" s="48" t="str">
        <f>IFERROR(INDEX(_TECH_Crisis_Model!$G$5:$G$191,MATCH('Crisis Simulator'!$B$4&amp;"|"&amp;$C351,_TECH_Crisis_Model!$I$5:$I$191,0)),"")</f>
        <v>Assign data owners, improve data quality, dashboards, forecasting and AI governance.</v>
      </c>
      <c r="AH351" s="48" t="str">
        <f>IFERROR(INDEX(_TECH_Initiative_Library!$A$5:$A$76,MATCH(1,INDEX((_TECH_Initiative_Library!$B$5:$B$76=$C351)*(_TECH_Initiative_Library!$C$5:$C$76=$D351),0),0)),"")</f>
        <v>INI-060</v>
      </c>
      <c r="AI351" s="48" t="str">
        <f>IFERROR(INDEX(_TECH_Initiative_Library!$F$5:$F$76,MATCH(1,INDEX((_TECH_Initiative_Library!$B$5:$B$76=$C351)*(_TECH_Initiative_Library!$C$5:$C$76=$D351),0),0)),"")</f>
        <v>Create BI analytics layer for crisis and operational decisions</v>
      </c>
      <c r="AJ351" s="48" t="str">
        <f ca="1">IFERROR(INDEX(_TECH_Initiative_Library!$AC$5:$AC$76,MATCH(1,INDEX((_TECH_Initiative_Library!$B$5:$B$76=$C351)*(_TECH_Initiative_Library!$C$5:$C$76=$D351),0),0)),"")</f>
        <v/>
      </c>
      <c r="AK351" s="48" t="str">
        <f ca="1">IFERROR(INDEX(_TECH_Initiative_Library!$AE$5:$AE$76,MATCH(1,INDEX((_TECH_Initiative_Library!$B$5:$B$76=$C351)*(_TECH_Initiative_Library!$C$5:$C$76=$D351),0),0)),"")</f>
        <v/>
      </c>
      <c r="AL351" s="48" t="str">
        <f>IF($B351="Yes",IFERROR(SUMIFS(_TECH_Industry_Templates!$E:$E,_TECH_Industry_Templates!$A:$A,'Company Profile'!$B$9,_TECH_Industry_Templates!$B:$B,$C351),1),"")</f>
        <v/>
      </c>
      <c r="AM351" s="48" t="str">
        <f t="shared" si="59"/>
        <v/>
      </c>
      <c r="AN351" s="48" t="str">
        <f>IF($AM351="","",RANK.EQ($AM351,$AM$8:$AM$414,0)+COUNTIF($AM$8:$AM351,$AM351)-1)</f>
        <v/>
      </c>
    </row>
    <row r="352" spans="1:40" ht="85.5">
      <c r="A352" s="28" t="str">
        <f>IF($AM352="","",RANK.EQ($AM352,$AM$8:$AM$414,0)+COUNTIF($AM$8:$AM352,$AM352)-1)</f>
        <v/>
      </c>
      <c r="B352" s="7" t="str">
        <f t="shared" si="50"/>
        <v/>
      </c>
      <c r="C352" s="7" t="s">
        <v>92</v>
      </c>
      <c r="D352" s="7" t="s">
        <v>1565</v>
      </c>
      <c r="E352" s="7" t="s">
        <v>5378</v>
      </c>
      <c r="F352" s="7" t="s">
        <v>5379</v>
      </c>
      <c r="G352" s="28" t="str">
        <f>IF(OR(COUNTA('Data BI AI'!$H$23)=0,'Data BI AI'!$H$23="N/A"),"",VALUE('Data BI AI'!$H$23))</f>
        <v/>
      </c>
      <c r="H352" s="7" t="str">
        <f t="shared" si="51"/>
        <v/>
      </c>
      <c r="I352" s="7" t="str">
        <f>IF($G352="","",IFERROR(IF('Data BI AI'!$L$23="",IF($G352&lt;=1,"Critical",IF($G352=2,"High",IF($G352=3,"Medium",IF($G352=4,"Low","Optimized")))),'Data BI AI'!$L$23),IF($G352&lt;=1,"Critical",IF($G352=2,"High",IF($G352=3,"Medium",IF($G352=4,"Low","Optimized"))))))</f>
        <v/>
      </c>
      <c r="J352" s="7" t="str">
        <f>IF($G352="","",IFERROR(INDEX('Recommendation Matrix'!$E$5:$J$411,MATCH($E352,'Recommendation Matrix'!$A$5:$A$411,0),$G352+1),""))</f>
        <v/>
      </c>
      <c r="K352" s="7" t="str">
        <f>IF($G352="","",IFERROR(VLOOKUP($E352,'Recommendation Matrix'!$A$5:$K$411,11,FALSE),""))</f>
        <v/>
      </c>
      <c r="L352" s="28" t="str">
        <f t="shared" si="52"/>
        <v/>
      </c>
      <c r="M352" s="28" t="str">
        <f>IF($G352="","",IFERROR(INDEX('Recommendation Matrix'!$L$5:$Q$411,MATCH($E352,'Recommendation Matrix'!$A$5:$A$411,0),$G352+1),""))</f>
        <v/>
      </c>
      <c r="N352" s="28" t="str">
        <f t="shared" si="53"/>
        <v/>
      </c>
      <c r="O352" s="28" t="str">
        <f t="shared" si="54"/>
        <v/>
      </c>
      <c r="P352" s="28" t="str">
        <f t="shared" si="55"/>
        <v/>
      </c>
      <c r="Q352" s="28" t="str">
        <f t="shared" si="56"/>
        <v/>
      </c>
      <c r="R352" s="8" t="str">
        <f t="shared" si="57"/>
        <v/>
      </c>
      <c r="S352" s="28">
        <f>IFERROR('Data BI AI'!$G$23,"")</f>
        <v>5</v>
      </c>
      <c r="T352" s="28">
        <f>IFERROR('Data BI AI'!$W$23,"")</f>
        <v>5</v>
      </c>
      <c r="U352" s="28">
        <f>IFERROR('Data BI AI'!$X$23,"")</f>
        <v>5</v>
      </c>
      <c r="V352" s="28">
        <f>IFERROR('Data BI AI'!$Y$23,"")</f>
        <v>5</v>
      </c>
      <c r="W352" s="7" t="s">
        <v>5205</v>
      </c>
      <c r="X352" s="7" t="s">
        <v>5206</v>
      </c>
      <c r="Y352" s="7" t="s">
        <v>5380</v>
      </c>
      <c r="Z352" s="7">
        <f>IFERROR('Data BI AI'!$U$23,"")</f>
        <v>0</v>
      </c>
      <c r="AA352" s="7"/>
      <c r="AB352" s="29"/>
      <c r="AC352" s="7"/>
      <c r="AD352" s="48" t="str">
        <f>IF($B352="Yes",IFERROR(SUMIFS(_TECH_Crisis_Model!$D$5:$D$191,_TECH_Crisis_Model!$A$5:$A$191,'Crisis Simulator'!$B$4,_TECH_Crisis_Model!$B$5:$B$191,$C352),1),"")</f>
        <v/>
      </c>
      <c r="AE352" s="48" t="str">
        <f t="shared" si="58"/>
        <v/>
      </c>
      <c r="AF352" s="48" t="str">
        <f>IFERROR(INDEX(_TECH_Crisis_Model!$E$5:$E$191,MATCH('Crisis Simulator'!$B$4&amp;"|"&amp;$C352,_TECH_Crisis_Model!$I$5:$I$191,0)),"")</f>
        <v>Data quality, BI and analytics determine decision visibility and forecasting under stress.</v>
      </c>
      <c r="AG352" s="48" t="str">
        <f>IFERROR(INDEX(_TECH_Crisis_Model!$G$5:$G$191,MATCH('Crisis Simulator'!$B$4&amp;"|"&amp;$C352,_TECH_Crisis_Model!$I$5:$I$191,0)),"")</f>
        <v>Assign data owners, improve data quality, dashboards, forecasting and AI governance.</v>
      </c>
      <c r="AH352" s="48" t="str">
        <f>IFERROR(INDEX(_TECH_Initiative_Library!$A$5:$A$76,MATCH(1,INDEX((_TECH_Initiative_Library!$B$5:$B$76=$C352)*(_TECH_Initiative_Library!$C$5:$C$76=$D352),0),0)),"")</f>
        <v>INI-061</v>
      </c>
      <c r="AI352" s="48" t="str">
        <f>IFERROR(INDEX(_TECH_Initiative_Library!$F$5:$F$76,MATCH(1,INDEX((_TECH_Initiative_Library!$B$5:$B$76=$C352)*(_TECH_Initiative_Library!$C$5:$C$76=$D352),0),0)),"")</f>
        <v>Build forecasting and scenario analytics capability</v>
      </c>
      <c r="AJ352" s="48" t="str">
        <f ca="1">IFERROR(INDEX(_TECH_Initiative_Library!$AC$5:$AC$76,MATCH(1,INDEX((_TECH_Initiative_Library!$B$5:$B$76=$C352)*(_TECH_Initiative_Library!$C$5:$C$76=$D352),0),0)),"")</f>
        <v/>
      </c>
      <c r="AK352" s="48" t="str">
        <f ca="1">IFERROR(INDEX(_TECH_Initiative_Library!$AE$5:$AE$76,MATCH(1,INDEX((_TECH_Initiative_Library!$B$5:$B$76=$C352)*(_TECH_Initiative_Library!$C$5:$C$76=$D352),0),0)),"")</f>
        <v/>
      </c>
      <c r="AL352" s="48" t="str">
        <f>IF($B352="Yes",IFERROR(SUMIFS(_TECH_Industry_Templates!$E:$E,_TECH_Industry_Templates!$A:$A,'Company Profile'!$B$9,_TECH_Industry_Templates!$B:$B,$C352),1),"")</f>
        <v/>
      </c>
      <c r="AM352" s="48" t="str">
        <f t="shared" si="59"/>
        <v/>
      </c>
      <c r="AN352" s="48" t="str">
        <f>IF($AM352="","",RANK.EQ($AM352,$AM$8:$AM$414,0)+COUNTIF($AM$8:$AM352,$AM352)-1)</f>
        <v/>
      </c>
    </row>
    <row r="353" spans="1:40" ht="71.25">
      <c r="A353" s="28" t="str">
        <f>IF($AM353="","",RANK.EQ($AM353,$AM$8:$AM$414,0)+COUNTIF($AM$8:$AM353,$AM353)-1)</f>
        <v/>
      </c>
      <c r="B353" s="7" t="str">
        <f t="shared" si="50"/>
        <v/>
      </c>
      <c r="C353" s="7" t="s">
        <v>92</v>
      </c>
      <c r="D353" s="7" t="s">
        <v>1565</v>
      </c>
      <c r="E353" s="7" t="s">
        <v>5388</v>
      </c>
      <c r="F353" s="7" t="s">
        <v>5389</v>
      </c>
      <c r="G353" s="28" t="str">
        <f>IF(OR(COUNTA('Data BI AI'!$H$24)=0,'Data BI AI'!$H$24="N/A"),"",VALUE('Data BI AI'!$H$24))</f>
        <v/>
      </c>
      <c r="H353" s="7" t="str">
        <f t="shared" si="51"/>
        <v/>
      </c>
      <c r="I353" s="7" t="str">
        <f>IF($G353="","",IFERROR(IF('Data BI AI'!$L$24="",IF($G353&lt;=1,"Critical",IF($G353=2,"High",IF($G353=3,"Medium",IF($G353=4,"Low","Optimized")))),'Data BI AI'!$L$24),IF($G353&lt;=1,"Critical",IF($G353=2,"High",IF($G353=3,"Medium",IF($G353=4,"Low","Optimized"))))))</f>
        <v/>
      </c>
      <c r="J353" s="7" t="str">
        <f>IF($G353="","",IFERROR(INDEX('Recommendation Matrix'!$E$5:$J$411,MATCH($E353,'Recommendation Matrix'!$A$5:$A$411,0),$G353+1),""))</f>
        <v/>
      </c>
      <c r="K353" s="7" t="str">
        <f>IF($G353="","",IFERROR(VLOOKUP($E353,'Recommendation Matrix'!$A$5:$K$411,11,FALSE),""))</f>
        <v/>
      </c>
      <c r="L353" s="28" t="str">
        <f t="shared" si="52"/>
        <v/>
      </c>
      <c r="M353" s="28" t="str">
        <f>IF($G353="","",IFERROR(INDEX('Recommendation Matrix'!$L$5:$Q$411,MATCH($E353,'Recommendation Matrix'!$A$5:$A$411,0),$G353+1),""))</f>
        <v/>
      </c>
      <c r="N353" s="28" t="str">
        <f t="shared" si="53"/>
        <v/>
      </c>
      <c r="O353" s="28" t="str">
        <f t="shared" si="54"/>
        <v/>
      </c>
      <c r="P353" s="28" t="str">
        <f t="shared" si="55"/>
        <v/>
      </c>
      <c r="Q353" s="28" t="str">
        <f t="shared" si="56"/>
        <v/>
      </c>
      <c r="R353" s="8" t="str">
        <f t="shared" si="57"/>
        <v/>
      </c>
      <c r="S353" s="28">
        <f>IFERROR('Data BI AI'!$G$24,"")</f>
        <v>5</v>
      </c>
      <c r="T353" s="28">
        <f>IFERROR('Data BI AI'!$W$24,"")</f>
        <v>5</v>
      </c>
      <c r="U353" s="28">
        <f>IFERROR('Data BI AI'!$X$24,"")</f>
        <v>5</v>
      </c>
      <c r="V353" s="28">
        <f>IFERROR('Data BI AI'!$Y$24,"")</f>
        <v>5</v>
      </c>
      <c r="W353" s="7" t="s">
        <v>5205</v>
      </c>
      <c r="X353" s="7" t="s">
        <v>5206</v>
      </c>
      <c r="Y353" s="7" t="s">
        <v>5390</v>
      </c>
      <c r="Z353" s="7">
        <f>IFERROR('Data BI AI'!$U$24,"")</f>
        <v>0</v>
      </c>
      <c r="AA353" s="7"/>
      <c r="AB353" s="29"/>
      <c r="AC353" s="7"/>
      <c r="AD353" s="48" t="str">
        <f>IF($B353="Yes",IFERROR(SUMIFS(_TECH_Crisis_Model!$D$5:$D$191,_TECH_Crisis_Model!$A$5:$A$191,'Crisis Simulator'!$B$4,_TECH_Crisis_Model!$B$5:$B$191,$C353),1),"")</f>
        <v/>
      </c>
      <c r="AE353" s="48" t="str">
        <f t="shared" si="58"/>
        <v/>
      </c>
      <c r="AF353" s="48" t="str">
        <f>IFERROR(INDEX(_TECH_Crisis_Model!$E$5:$E$191,MATCH('Crisis Simulator'!$B$4&amp;"|"&amp;$C353,_TECH_Crisis_Model!$I$5:$I$191,0)),"")</f>
        <v>Data quality, BI and analytics determine decision visibility and forecasting under stress.</v>
      </c>
      <c r="AG353" s="48" t="str">
        <f>IFERROR(INDEX(_TECH_Crisis_Model!$G$5:$G$191,MATCH('Crisis Simulator'!$B$4&amp;"|"&amp;$C353,_TECH_Crisis_Model!$I$5:$I$191,0)),"")</f>
        <v>Assign data owners, improve data quality, dashboards, forecasting and AI governance.</v>
      </c>
      <c r="AH353" s="48" t="str">
        <f>IFERROR(INDEX(_TECH_Initiative_Library!$A$5:$A$76,MATCH(1,INDEX((_TECH_Initiative_Library!$B$5:$B$76=$C353)*(_TECH_Initiative_Library!$C$5:$C$76=$D353),0),0)),"")</f>
        <v>INI-061</v>
      </c>
      <c r="AI353" s="48" t="str">
        <f>IFERROR(INDEX(_TECH_Initiative_Library!$F$5:$F$76,MATCH(1,INDEX((_TECH_Initiative_Library!$B$5:$B$76=$C353)*(_TECH_Initiative_Library!$C$5:$C$76=$D353),0),0)),"")</f>
        <v>Build forecasting and scenario analytics capability</v>
      </c>
      <c r="AJ353" s="48" t="str">
        <f ca="1">IFERROR(INDEX(_TECH_Initiative_Library!$AC$5:$AC$76,MATCH(1,INDEX((_TECH_Initiative_Library!$B$5:$B$76=$C353)*(_TECH_Initiative_Library!$C$5:$C$76=$D353),0),0)),"")</f>
        <v/>
      </c>
      <c r="AK353" s="48" t="str">
        <f ca="1">IFERROR(INDEX(_TECH_Initiative_Library!$AE$5:$AE$76,MATCH(1,INDEX((_TECH_Initiative_Library!$B$5:$B$76=$C353)*(_TECH_Initiative_Library!$C$5:$C$76=$D353),0),0)),"")</f>
        <v/>
      </c>
      <c r="AL353" s="48" t="str">
        <f>IF($B353="Yes",IFERROR(SUMIFS(_TECH_Industry_Templates!$E:$E,_TECH_Industry_Templates!$A:$A,'Company Profile'!$B$9,_TECH_Industry_Templates!$B:$B,$C353),1),"")</f>
        <v/>
      </c>
      <c r="AM353" s="48" t="str">
        <f t="shared" si="59"/>
        <v/>
      </c>
      <c r="AN353" s="48" t="str">
        <f>IF($AM353="","",RANK.EQ($AM353,$AM$8:$AM$414,0)+COUNTIF($AM$8:$AM353,$AM353)-1)</f>
        <v/>
      </c>
    </row>
    <row r="354" spans="1:40" ht="71.25">
      <c r="A354" s="28" t="str">
        <f>IF($AM354="","",RANK.EQ($AM354,$AM$8:$AM$414,0)+COUNTIF($AM$8:$AM354,$AM354)-1)</f>
        <v/>
      </c>
      <c r="B354" s="7" t="str">
        <f t="shared" si="50"/>
        <v/>
      </c>
      <c r="C354" s="7" t="s">
        <v>92</v>
      </c>
      <c r="D354" s="7" t="s">
        <v>1565</v>
      </c>
      <c r="E354" s="7" t="s">
        <v>5398</v>
      </c>
      <c r="F354" s="7" t="s">
        <v>5399</v>
      </c>
      <c r="G354" s="28" t="str">
        <f>IF(OR(COUNTA('Data BI AI'!$H$25)=0,'Data BI AI'!$H$25="N/A"),"",VALUE('Data BI AI'!$H$25))</f>
        <v/>
      </c>
      <c r="H354" s="7" t="str">
        <f t="shared" si="51"/>
        <v/>
      </c>
      <c r="I354" s="7" t="str">
        <f>IF($G354="","",IFERROR(IF('Data BI AI'!$L$25="",IF($G354&lt;=1,"Critical",IF($G354=2,"High",IF($G354=3,"Medium",IF($G354=4,"Low","Optimized")))),'Data BI AI'!$L$25),IF($G354&lt;=1,"Critical",IF($G354=2,"High",IF($G354=3,"Medium",IF($G354=4,"Low","Optimized"))))))</f>
        <v/>
      </c>
      <c r="J354" s="7" t="str">
        <f>IF($G354="","",IFERROR(INDEX('Recommendation Matrix'!$E$5:$J$411,MATCH($E354,'Recommendation Matrix'!$A$5:$A$411,0),$G354+1),""))</f>
        <v/>
      </c>
      <c r="K354" s="7" t="str">
        <f>IF($G354="","",IFERROR(VLOOKUP($E354,'Recommendation Matrix'!$A$5:$K$411,11,FALSE),""))</f>
        <v/>
      </c>
      <c r="L354" s="28" t="str">
        <f t="shared" si="52"/>
        <v/>
      </c>
      <c r="M354" s="28" t="str">
        <f>IF($G354="","",IFERROR(INDEX('Recommendation Matrix'!$L$5:$Q$411,MATCH($E354,'Recommendation Matrix'!$A$5:$A$411,0),$G354+1),""))</f>
        <v/>
      </c>
      <c r="N354" s="28" t="str">
        <f t="shared" si="53"/>
        <v/>
      </c>
      <c r="O354" s="28" t="str">
        <f t="shared" si="54"/>
        <v/>
      </c>
      <c r="P354" s="28" t="str">
        <f t="shared" si="55"/>
        <v/>
      </c>
      <c r="Q354" s="28" t="str">
        <f t="shared" si="56"/>
        <v/>
      </c>
      <c r="R354" s="8" t="str">
        <f t="shared" si="57"/>
        <v/>
      </c>
      <c r="S354" s="28">
        <f>IFERROR('Data BI AI'!$G$25,"")</f>
        <v>4</v>
      </c>
      <c r="T354" s="28">
        <f>IFERROR('Data BI AI'!$W$25,"")</f>
        <v>5</v>
      </c>
      <c r="U354" s="28">
        <f>IFERROR('Data BI AI'!$X$25,"")</f>
        <v>5</v>
      </c>
      <c r="V354" s="28">
        <f>IFERROR('Data BI AI'!$Y$25,"")</f>
        <v>5</v>
      </c>
      <c r="W354" s="7" t="s">
        <v>5205</v>
      </c>
      <c r="X354" s="7" t="s">
        <v>5206</v>
      </c>
      <c r="Y354" s="7" t="s">
        <v>5400</v>
      </c>
      <c r="Z354" s="7">
        <f>IFERROR('Data BI AI'!$U$25,"")</f>
        <v>0</v>
      </c>
      <c r="AA354" s="7"/>
      <c r="AB354" s="29"/>
      <c r="AC354" s="7"/>
      <c r="AD354" s="48" t="str">
        <f>IF($B354="Yes",IFERROR(SUMIFS(_TECH_Crisis_Model!$D$5:$D$191,_TECH_Crisis_Model!$A$5:$A$191,'Crisis Simulator'!$B$4,_TECH_Crisis_Model!$B$5:$B$191,$C354),1),"")</f>
        <v/>
      </c>
      <c r="AE354" s="48" t="str">
        <f t="shared" si="58"/>
        <v/>
      </c>
      <c r="AF354" s="48" t="str">
        <f>IFERROR(INDEX(_TECH_Crisis_Model!$E$5:$E$191,MATCH('Crisis Simulator'!$B$4&amp;"|"&amp;$C354,_TECH_Crisis_Model!$I$5:$I$191,0)),"")</f>
        <v>Data quality, BI and analytics determine decision visibility and forecasting under stress.</v>
      </c>
      <c r="AG354" s="48" t="str">
        <f>IFERROR(INDEX(_TECH_Crisis_Model!$G$5:$G$191,MATCH('Crisis Simulator'!$B$4&amp;"|"&amp;$C354,_TECH_Crisis_Model!$I$5:$I$191,0)),"")</f>
        <v>Assign data owners, improve data quality, dashboards, forecasting and AI governance.</v>
      </c>
      <c r="AH354" s="48" t="str">
        <f>IFERROR(INDEX(_TECH_Initiative_Library!$A$5:$A$76,MATCH(1,INDEX((_TECH_Initiative_Library!$B$5:$B$76=$C354)*(_TECH_Initiative_Library!$C$5:$C$76=$D354),0),0)),"")</f>
        <v>INI-061</v>
      </c>
      <c r="AI354" s="48" t="str">
        <f>IFERROR(INDEX(_TECH_Initiative_Library!$F$5:$F$76,MATCH(1,INDEX((_TECH_Initiative_Library!$B$5:$B$76=$C354)*(_TECH_Initiative_Library!$C$5:$C$76=$D354),0),0)),"")</f>
        <v>Build forecasting and scenario analytics capability</v>
      </c>
      <c r="AJ354" s="48" t="str">
        <f ca="1">IFERROR(INDEX(_TECH_Initiative_Library!$AC$5:$AC$76,MATCH(1,INDEX((_TECH_Initiative_Library!$B$5:$B$76=$C354)*(_TECH_Initiative_Library!$C$5:$C$76=$D354),0),0)),"")</f>
        <v/>
      </c>
      <c r="AK354" s="48" t="str">
        <f ca="1">IFERROR(INDEX(_TECH_Initiative_Library!$AE$5:$AE$76,MATCH(1,INDEX((_TECH_Initiative_Library!$B$5:$B$76=$C354)*(_TECH_Initiative_Library!$C$5:$C$76=$D354),0),0)),"")</f>
        <v/>
      </c>
      <c r="AL354" s="48" t="str">
        <f>IF($B354="Yes",IFERROR(SUMIFS(_TECH_Industry_Templates!$E:$E,_TECH_Industry_Templates!$A:$A,'Company Profile'!$B$9,_TECH_Industry_Templates!$B:$B,$C354),1),"")</f>
        <v/>
      </c>
      <c r="AM354" s="48" t="str">
        <f t="shared" si="59"/>
        <v/>
      </c>
      <c r="AN354" s="48" t="str">
        <f>IF($AM354="","",RANK.EQ($AM354,$AM$8:$AM$414,0)+COUNTIF($AM$8:$AM354,$AM354)-1)</f>
        <v/>
      </c>
    </row>
    <row r="355" spans="1:40" ht="71.25">
      <c r="A355" s="28" t="str">
        <f>IF($AM355="","",RANK.EQ($AM355,$AM$8:$AM$414,0)+COUNTIF($AM$8:$AM355,$AM355)-1)</f>
        <v/>
      </c>
      <c r="B355" s="7" t="str">
        <f t="shared" si="50"/>
        <v/>
      </c>
      <c r="C355" s="7" t="s">
        <v>92</v>
      </c>
      <c r="D355" s="7" t="s">
        <v>1565</v>
      </c>
      <c r="E355" s="7" t="s">
        <v>5408</v>
      </c>
      <c r="F355" s="7" t="s">
        <v>5409</v>
      </c>
      <c r="G355" s="28" t="str">
        <f>IF(OR(COUNTA('Data BI AI'!$H$26)=0,'Data BI AI'!$H$26="N/A"),"",VALUE('Data BI AI'!$H$26))</f>
        <v/>
      </c>
      <c r="H355" s="7" t="str">
        <f t="shared" si="51"/>
        <v/>
      </c>
      <c r="I355" s="7" t="str">
        <f>IF($G355="","",IFERROR(IF('Data BI AI'!$L$26="",IF($G355&lt;=1,"Critical",IF($G355=2,"High",IF($G355=3,"Medium",IF($G355=4,"Low","Optimized")))),'Data BI AI'!$L$26),IF($G355&lt;=1,"Critical",IF($G355=2,"High",IF($G355=3,"Medium",IF($G355=4,"Low","Optimized"))))))</f>
        <v/>
      </c>
      <c r="J355" s="7" t="str">
        <f>IF($G355="","",IFERROR(INDEX('Recommendation Matrix'!$E$5:$J$411,MATCH($E355,'Recommendation Matrix'!$A$5:$A$411,0),$G355+1),""))</f>
        <v/>
      </c>
      <c r="K355" s="7" t="str">
        <f>IF($G355="","",IFERROR(VLOOKUP($E355,'Recommendation Matrix'!$A$5:$K$411,11,FALSE),""))</f>
        <v/>
      </c>
      <c r="L355" s="28" t="str">
        <f t="shared" si="52"/>
        <v/>
      </c>
      <c r="M355" s="28" t="str">
        <f>IF($G355="","",IFERROR(INDEX('Recommendation Matrix'!$L$5:$Q$411,MATCH($E355,'Recommendation Matrix'!$A$5:$A$411,0),$G355+1),""))</f>
        <v/>
      </c>
      <c r="N355" s="28" t="str">
        <f t="shared" si="53"/>
        <v/>
      </c>
      <c r="O355" s="28" t="str">
        <f t="shared" si="54"/>
        <v/>
      </c>
      <c r="P355" s="28" t="str">
        <f t="shared" si="55"/>
        <v/>
      </c>
      <c r="Q355" s="28" t="str">
        <f t="shared" si="56"/>
        <v/>
      </c>
      <c r="R355" s="8" t="str">
        <f t="shared" si="57"/>
        <v/>
      </c>
      <c r="S355" s="28">
        <f>IFERROR('Data BI AI'!$G$26,"")</f>
        <v>4</v>
      </c>
      <c r="T355" s="28">
        <f>IFERROR('Data BI AI'!$W$26,"")</f>
        <v>5</v>
      </c>
      <c r="U355" s="28">
        <f>IFERROR('Data BI AI'!$X$26,"")</f>
        <v>5</v>
      </c>
      <c r="V355" s="28">
        <f>IFERROR('Data BI AI'!$Y$26,"")</f>
        <v>5</v>
      </c>
      <c r="W355" s="7" t="s">
        <v>5205</v>
      </c>
      <c r="X355" s="7" t="s">
        <v>5206</v>
      </c>
      <c r="Y355" s="7" t="s">
        <v>5410</v>
      </c>
      <c r="Z355" s="7">
        <f>IFERROR('Data BI AI'!$U$26,"")</f>
        <v>0</v>
      </c>
      <c r="AA355" s="7"/>
      <c r="AB355" s="29"/>
      <c r="AC355" s="7"/>
      <c r="AD355" s="48" t="str">
        <f>IF($B355="Yes",IFERROR(SUMIFS(_TECH_Crisis_Model!$D$5:$D$191,_TECH_Crisis_Model!$A$5:$A$191,'Crisis Simulator'!$B$4,_TECH_Crisis_Model!$B$5:$B$191,$C355),1),"")</f>
        <v/>
      </c>
      <c r="AE355" s="48" t="str">
        <f t="shared" si="58"/>
        <v/>
      </c>
      <c r="AF355" s="48" t="str">
        <f>IFERROR(INDEX(_TECH_Crisis_Model!$E$5:$E$191,MATCH('Crisis Simulator'!$B$4&amp;"|"&amp;$C355,_TECH_Crisis_Model!$I$5:$I$191,0)),"")</f>
        <v>Data quality, BI and analytics determine decision visibility and forecasting under stress.</v>
      </c>
      <c r="AG355" s="48" t="str">
        <f>IFERROR(INDEX(_TECH_Crisis_Model!$G$5:$G$191,MATCH('Crisis Simulator'!$B$4&amp;"|"&amp;$C355,_TECH_Crisis_Model!$I$5:$I$191,0)),"")</f>
        <v>Assign data owners, improve data quality, dashboards, forecasting and AI governance.</v>
      </c>
      <c r="AH355" s="48" t="str">
        <f>IFERROR(INDEX(_TECH_Initiative_Library!$A$5:$A$76,MATCH(1,INDEX((_TECH_Initiative_Library!$B$5:$B$76=$C355)*(_TECH_Initiative_Library!$C$5:$C$76=$D355),0),0)),"")</f>
        <v>INI-061</v>
      </c>
      <c r="AI355" s="48" t="str">
        <f>IFERROR(INDEX(_TECH_Initiative_Library!$F$5:$F$76,MATCH(1,INDEX((_TECH_Initiative_Library!$B$5:$B$76=$C355)*(_TECH_Initiative_Library!$C$5:$C$76=$D355),0),0)),"")</f>
        <v>Build forecasting and scenario analytics capability</v>
      </c>
      <c r="AJ355" s="48" t="str">
        <f ca="1">IFERROR(INDEX(_TECH_Initiative_Library!$AC$5:$AC$76,MATCH(1,INDEX((_TECH_Initiative_Library!$B$5:$B$76=$C355)*(_TECH_Initiative_Library!$C$5:$C$76=$D355),0),0)),"")</f>
        <v/>
      </c>
      <c r="AK355" s="48" t="str">
        <f ca="1">IFERROR(INDEX(_TECH_Initiative_Library!$AE$5:$AE$76,MATCH(1,INDEX((_TECH_Initiative_Library!$B$5:$B$76=$C355)*(_TECH_Initiative_Library!$C$5:$C$76=$D355),0),0)),"")</f>
        <v/>
      </c>
      <c r="AL355" s="48" t="str">
        <f>IF($B355="Yes",IFERROR(SUMIFS(_TECH_Industry_Templates!$E:$E,_TECH_Industry_Templates!$A:$A,'Company Profile'!$B$9,_TECH_Industry_Templates!$B:$B,$C355),1),"")</f>
        <v/>
      </c>
      <c r="AM355" s="48" t="str">
        <f t="shared" si="59"/>
        <v/>
      </c>
      <c r="AN355" s="48" t="str">
        <f>IF($AM355="","",RANK.EQ($AM355,$AM$8:$AM$414,0)+COUNTIF($AM$8:$AM355,$AM355)-1)</f>
        <v/>
      </c>
    </row>
    <row r="356" spans="1:40" ht="71.25">
      <c r="A356" s="28" t="str">
        <f>IF($AM356="","",RANK.EQ($AM356,$AM$8:$AM$414,0)+COUNTIF($AM$8:$AM356,$AM356)-1)</f>
        <v/>
      </c>
      <c r="B356" s="7" t="str">
        <f t="shared" si="50"/>
        <v/>
      </c>
      <c r="C356" s="7" t="s">
        <v>92</v>
      </c>
      <c r="D356" s="7" t="s">
        <v>1573</v>
      </c>
      <c r="E356" s="7" t="s">
        <v>5418</v>
      </c>
      <c r="F356" s="7" t="s">
        <v>5419</v>
      </c>
      <c r="G356" s="28" t="str">
        <f>IF(OR(COUNTA('Data BI AI'!$H$27)=0,'Data BI AI'!$H$27="N/A"),"",VALUE('Data BI AI'!$H$27))</f>
        <v/>
      </c>
      <c r="H356" s="7" t="str">
        <f t="shared" si="51"/>
        <v/>
      </c>
      <c r="I356" s="7" t="str">
        <f>IF($G356="","",IFERROR(IF('Data BI AI'!$L$27="",IF($G356&lt;=1,"Critical",IF($G356=2,"High",IF($G356=3,"Medium",IF($G356=4,"Low","Optimized")))),'Data BI AI'!$L$27),IF($G356&lt;=1,"Critical",IF($G356=2,"High",IF($G356=3,"Medium",IF($G356=4,"Low","Optimized"))))))</f>
        <v/>
      </c>
      <c r="J356" s="7" t="str">
        <f>IF($G356="","",IFERROR(INDEX('Recommendation Matrix'!$E$5:$J$411,MATCH($E356,'Recommendation Matrix'!$A$5:$A$411,0),$G356+1),""))</f>
        <v/>
      </c>
      <c r="K356" s="7" t="str">
        <f>IF($G356="","",IFERROR(VLOOKUP($E356,'Recommendation Matrix'!$A$5:$K$411,11,FALSE),""))</f>
        <v/>
      </c>
      <c r="L356" s="28" t="str">
        <f t="shared" si="52"/>
        <v/>
      </c>
      <c r="M356" s="28" t="str">
        <f>IF($G356="","",IFERROR(INDEX('Recommendation Matrix'!$L$5:$Q$411,MATCH($E356,'Recommendation Matrix'!$A$5:$A$411,0),$G356+1),""))</f>
        <v/>
      </c>
      <c r="N356" s="28" t="str">
        <f t="shared" si="53"/>
        <v/>
      </c>
      <c r="O356" s="28" t="str">
        <f t="shared" si="54"/>
        <v/>
      </c>
      <c r="P356" s="28" t="str">
        <f t="shared" si="55"/>
        <v/>
      </c>
      <c r="Q356" s="28" t="str">
        <f t="shared" si="56"/>
        <v/>
      </c>
      <c r="R356" s="8" t="str">
        <f t="shared" si="57"/>
        <v/>
      </c>
      <c r="S356" s="28">
        <f>IFERROR('Data BI AI'!$G$27,"")</f>
        <v>4</v>
      </c>
      <c r="T356" s="28">
        <f>IFERROR('Data BI AI'!$W$27,"")</f>
        <v>5</v>
      </c>
      <c r="U356" s="28">
        <f>IFERROR('Data BI AI'!$X$27,"")</f>
        <v>5</v>
      </c>
      <c r="V356" s="28">
        <f>IFERROR('Data BI AI'!$Y$27,"")</f>
        <v>5</v>
      </c>
      <c r="W356" s="7" t="s">
        <v>5205</v>
      </c>
      <c r="X356" s="7" t="s">
        <v>5206</v>
      </c>
      <c r="Y356" s="7" t="s">
        <v>5420</v>
      </c>
      <c r="Z356" s="7">
        <f>IFERROR('Data BI AI'!$U$27,"")</f>
        <v>0</v>
      </c>
      <c r="AA356" s="7"/>
      <c r="AB356" s="29"/>
      <c r="AC356" s="7"/>
      <c r="AD356" s="48" t="str">
        <f>IF($B356="Yes",IFERROR(SUMIFS(_TECH_Crisis_Model!$D$5:$D$191,_TECH_Crisis_Model!$A$5:$A$191,'Crisis Simulator'!$B$4,_TECH_Crisis_Model!$B$5:$B$191,$C356),1),"")</f>
        <v/>
      </c>
      <c r="AE356" s="48" t="str">
        <f t="shared" si="58"/>
        <v/>
      </c>
      <c r="AF356" s="48" t="str">
        <f>IFERROR(INDEX(_TECH_Crisis_Model!$E$5:$E$191,MATCH('Crisis Simulator'!$B$4&amp;"|"&amp;$C356,_TECH_Crisis_Model!$I$5:$I$191,0)),"")</f>
        <v>Data quality, BI and analytics determine decision visibility and forecasting under stress.</v>
      </c>
      <c r="AG356" s="48" t="str">
        <f>IFERROR(INDEX(_TECH_Crisis_Model!$G$5:$G$191,MATCH('Crisis Simulator'!$B$4&amp;"|"&amp;$C356,_TECH_Crisis_Model!$I$5:$I$191,0)),"")</f>
        <v>Assign data owners, improve data quality, dashboards, forecasting and AI governance.</v>
      </c>
      <c r="AH356" s="48" t="str">
        <f>IFERROR(INDEX(_TECH_Initiative_Library!$A$5:$A$76,MATCH(1,INDEX((_TECH_Initiative_Library!$B$5:$B$76=$C356)*(_TECH_Initiative_Library!$C$5:$C$76=$D356),0),0)),"")</f>
        <v>INI-062</v>
      </c>
      <c r="AI356" s="48" t="str">
        <f>IFERROR(INDEX(_TECH_Initiative_Library!$F$5:$F$76,MATCH(1,INDEX((_TECH_Initiative_Library!$B$5:$B$76=$C356)*(_TECH_Initiative_Library!$C$5:$C$76=$D356),0),0)),"")</f>
        <v>Implement AI readiness, governance and use-case portfolio</v>
      </c>
      <c r="AJ356" s="48" t="str">
        <f ca="1">IFERROR(INDEX(_TECH_Initiative_Library!$AC$5:$AC$76,MATCH(1,INDEX((_TECH_Initiative_Library!$B$5:$B$76=$C356)*(_TECH_Initiative_Library!$C$5:$C$76=$D356),0),0)),"")</f>
        <v/>
      </c>
      <c r="AK356" s="48" t="str">
        <f ca="1">IFERROR(INDEX(_TECH_Initiative_Library!$AE$5:$AE$76,MATCH(1,INDEX((_TECH_Initiative_Library!$B$5:$B$76=$C356)*(_TECH_Initiative_Library!$C$5:$C$76=$D356),0),0)),"")</f>
        <v/>
      </c>
      <c r="AL356" s="48" t="str">
        <f>IF($B356="Yes",IFERROR(SUMIFS(_TECH_Industry_Templates!$E:$E,_TECH_Industry_Templates!$A:$A,'Company Profile'!$B$9,_TECH_Industry_Templates!$B:$B,$C356),1),"")</f>
        <v/>
      </c>
      <c r="AM356" s="48" t="str">
        <f t="shared" si="59"/>
        <v/>
      </c>
      <c r="AN356" s="48" t="str">
        <f>IF($AM356="","",RANK.EQ($AM356,$AM$8:$AM$414,0)+COUNTIF($AM$8:$AM356,$AM356)-1)</f>
        <v/>
      </c>
    </row>
    <row r="357" spans="1:40" ht="71.25">
      <c r="A357" s="28" t="str">
        <f>IF($AM357="","",RANK.EQ($AM357,$AM$8:$AM$414,0)+COUNTIF($AM$8:$AM357,$AM357)-1)</f>
        <v/>
      </c>
      <c r="B357" s="7" t="str">
        <f t="shared" si="50"/>
        <v/>
      </c>
      <c r="C357" s="7" t="s">
        <v>92</v>
      </c>
      <c r="D357" s="7" t="s">
        <v>1573</v>
      </c>
      <c r="E357" s="7" t="s">
        <v>5428</v>
      </c>
      <c r="F357" s="7" t="s">
        <v>5429</v>
      </c>
      <c r="G357" s="28" t="str">
        <f>IF(OR(COUNTA('Data BI AI'!$H$28)=0,'Data BI AI'!$H$28="N/A"),"",VALUE('Data BI AI'!$H$28))</f>
        <v/>
      </c>
      <c r="H357" s="7" t="str">
        <f t="shared" si="51"/>
        <v/>
      </c>
      <c r="I357" s="7" t="str">
        <f>IF($G357="","",IFERROR(IF('Data BI AI'!$L$28="",IF($G357&lt;=1,"Critical",IF($G357=2,"High",IF($G357=3,"Medium",IF($G357=4,"Low","Optimized")))),'Data BI AI'!$L$28),IF($G357&lt;=1,"Critical",IF($G357=2,"High",IF($G357=3,"Medium",IF($G357=4,"Low","Optimized"))))))</f>
        <v/>
      </c>
      <c r="J357" s="7" t="str">
        <f>IF($G357="","",IFERROR(INDEX('Recommendation Matrix'!$E$5:$J$411,MATCH($E357,'Recommendation Matrix'!$A$5:$A$411,0),$G357+1),""))</f>
        <v/>
      </c>
      <c r="K357" s="7" t="str">
        <f>IF($G357="","",IFERROR(VLOOKUP($E357,'Recommendation Matrix'!$A$5:$K$411,11,FALSE),""))</f>
        <v/>
      </c>
      <c r="L357" s="28" t="str">
        <f t="shared" si="52"/>
        <v/>
      </c>
      <c r="M357" s="28" t="str">
        <f>IF($G357="","",IFERROR(INDEX('Recommendation Matrix'!$L$5:$Q$411,MATCH($E357,'Recommendation Matrix'!$A$5:$A$411,0),$G357+1),""))</f>
        <v/>
      </c>
      <c r="N357" s="28" t="str">
        <f t="shared" si="53"/>
        <v/>
      </c>
      <c r="O357" s="28" t="str">
        <f t="shared" si="54"/>
        <v/>
      </c>
      <c r="P357" s="28" t="str">
        <f t="shared" si="55"/>
        <v/>
      </c>
      <c r="Q357" s="28" t="str">
        <f t="shared" si="56"/>
        <v/>
      </c>
      <c r="R357" s="8" t="str">
        <f t="shared" si="57"/>
        <v/>
      </c>
      <c r="S357" s="28">
        <f>IFERROR('Data BI AI'!$G$28,"")</f>
        <v>4</v>
      </c>
      <c r="T357" s="28">
        <f>IFERROR('Data BI AI'!$W$28,"")</f>
        <v>5</v>
      </c>
      <c r="U357" s="28">
        <f>IFERROR('Data BI AI'!$X$28,"")</f>
        <v>5</v>
      </c>
      <c r="V357" s="28">
        <f>IFERROR('Data BI AI'!$Y$28,"")</f>
        <v>5</v>
      </c>
      <c r="W357" s="7" t="s">
        <v>5205</v>
      </c>
      <c r="X357" s="7" t="s">
        <v>5206</v>
      </c>
      <c r="Y357" s="7" t="s">
        <v>5430</v>
      </c>
      <c r="Z357" s="7">
        <f>IFERROR('Data BI AI'!$U$28,"")</f>
        <v>0</v>
      </c>
      <c r="AA357" s="7"/>
      <c r="AB357" s="29"/>
      <c r="AC357" s="7"/>
      <c r="AD357" s="48" t="str">
        <f>IF($B357="Yes",IFERROR(SUMIFS(_TECH_Crisis_Model!$D$5:$D$191,_TECH_Crisis_Model!$A$5:$A$191,'Crisis Simulator'!$B$4,_TECH_Crisis_Model!$B$5:$B$191,$C357),1),"")</f>
        <v/>
      </c>
      <c r="AE357" s="48" t="str">
        <f t="shared" si="58"/>
        <v/>
      </c>
      <c r="AF357" s="48" t="str">
        <f>IFERROR(INDEX(_TECH_Crisis_Model!$E$5:$E$191,MATCH('Crisis Simulator'!$B$4&amp;"|"&amp;$C357,_TECH_Crisis_Model!$I$5:$I$191,0)),"")</f>
        <v>Data quality, BI and analytics determine decision visibility and forecasting under stress.</v>
      </c>
      <c r="AG357" s="48" t="str">
        <f>IFERROR(INDEX(_TECH_Crisis_Model!$G$5:$G$191,MATCH('Crisis Simulator'!$B$4&amp;"|"&amp;$C357,_TECH_Crisis_Model!$I$5:$I$191,0)),"")</f>
        <v>Assign data owners, improve data quality, dashboards, forecasting and AI governance.</v>
      </c>
      <c r="AH357" s="48" t="str">
        <f>IFERROR(INDEX(_TECH_Initiative_Library!$A$5:$A$76,MATCH(1,INDEX((_TECH_Initiative_Library!$B$5:$B$76=$C357)*(_TECH_Initiative_Library!$C$5:$C$76=$D357),0),0)),"")</f>
        <v>INI-062</v>
      </c>
      <c r="AI357" s="48" t="str">
        <f>IFERROR(INDEX(_TECH_Initiative_Library!$F$5:$F$76,MATCH(1,INDEX((_TECH_Initiative_Library!$B$5:$B$76=$C357)*(_TECH_Initiative_Library!$C$5:$C$76=$D357),0),0)),"")</f>
        <v>Implement AI readiness, governance and use-case portfolio</v>
      </c>
      <c r="AJ357" s="48" t="str">
        <f ca="1">IFERROR(INDEX(_TECH_Initiative_Library!$AC$5:$AC$76,MATCH(1,INDEX((_TECH_Initiative_Library!$B$5:$B$76=$C357)*(_TECH_Initiative_Library!$C$5:$C$76=$D357),0),0)),"")</f>
        <v/>
      </c>
      <c r="AK357" s="48" t="str">
        <f ca="1">IFERROR(INDEX(_TECH_Initiative_Library!$AE$5:$AE$76,MATCH(1,INDEX((_TECH_Initiative_Library!$B$5:$B$76=$C357)*(_TECH_Initiative_Library!$C$5:$C$76=$D357),0),0)),"")</f>
        <v/>
      </c>
      <c r="AL357" s="48" t="str">
        <f>IF($B357="Yes",IFERROR(SUMIFS(_TECH_Industry_Templates!$E:$E,_TECH_Industry_Templates!$A:$A,'Company Profile'!$B$9,_TECH_Industry_Templates!$B:$B,$C357),1),"")</f>
        <v/>
      </c>
      <c r="AM357" s="48" t="str">
        <f t="shared" si="59"/>
        <v/>
      </c>
      <c r="AN357" s="48" t="str">
        <f>IF($AM357="","",RANK.EQ($AM357,$AM$8:$AM$414,0)+COUNTIF($AM$8:$AM357,$AM357)-1)</f>
        <v/>
      </c>
    </row>
    <row r="358" spans="1:40" ht="71.25">
      <c r="A358" s="28" t="str">
        <f>IF($AM358="","",RANK.EQ($AM358,$AM$8:$AM$414,0)+COUNTIF($AM$8:$AM358,$AM358)-1)</f>
        <v/>
      </c>
      <c r="B358" s="7" t="str">
        <f t="shared" si="50"/>
        <v/>
      </c>
      <c r="C358" s="7" t="s">
        <v>92</v>
      </c>
      <c r="D358" s="7" t="s">
        <v>1573</v>
      </c>
      <c r="E358" s="7" t="s">
        <v>5438</v>
      </c>
      <c r="F358" s="7" t="s">
        <v>5439</v>
      </c>
      <c r="G358" s="28" t="str">
        <f>IF(OR(COUNTA('Data BI AI'!$H$29)=0,'Data BI AI'!$H$29="N/A"),"",VALUE('Data BI AI'!$H$29))</f>
        <v/>
      </c>
      <c r="H358" s="7" t="str">
        <f t="shared" si="51"/>
        <v/>
      </c>
      <c r="I358" s="7" t="str">
        <f>IF($G358="","",IFERROR(IF('Data BI AI'!$L$29="",IF($G358&lt;=1,"Critical",IF($G358=2,"High",IF($G358=3,"Medium",IF($G358=4,"Low","Optimized")))),'Data BI AI'!$L$29),IF($G358&lt;=1,"Critical",IF($G358=2,"High",IF($G358=3,"Medium",IF($G358=4,"Low","Optimized"))))))</f>
        <v/>
      </c>
      <c r="J358" s="7" t="str">
        <f>IF($G358="","",IFERROR(INDEX('Recommendation Matrix'!$E$5:$J$411,MATCH($E358,'Recommendation Matrix'!$A$5:$A$411,0),$G358+1),""))</f>
        <v/>
      </c>
      <c r="K358" s="7" t="str">
        <f>IF($G358="","",IFERROR(VLOOKUP($E358,'Recommendation Matrix'!$A$5:$K$411,11,FALSE),""))</f>
        <v/>
      </c>
      <c r="L358" s="28" t="str">
        <f t="shared" si="52"/>
        <v/>
      </c>
      <c r="M358" s="28" t="str">
        <f>IF($G358="","",IFERROR(INDEX('Recommendation Matrix'!$L$5:$Q$411,MATCH($E358,'Recommendation Matrix'!$A$5:$A$411,0),$G358+1),""))</f>
        <v/>
      </c>
      <c r="N358" s="28" t="str">
        <f t="shared" si="53"/>
        <v/>
      </c>
      <c r="O358" s="28" t="str">
        <f t="shared" si="54"/>
        <v/>
      </c>
      <c r="P358" s="28" t="str">
        <f t="shared" si="55"/>
        <v/>
      </c>
      <c r="Q358" s="28" t="str">
        <f t="shared" si="56"/>
        <v/>
      </c>
      <c r="R358" s="8" t="str">
        <f t="shared" si="57"/>
        <v/>
      </c>
      <c r="S358" s="28">
        <f>IFERROR('Data BI AI'!$G$29,"")</f>
        <v>4</v>
      </c>
      <c r="T358" s="28">
        <f>IFERROR('Data BI AI'!$W$29,"")</f>
        <v>5</v>
      </c>
      <c r="U358" s="28">
        <f>IFERROR('Data BI AI'!$X$29,"")</f>
        <v>5</v>
      </c>
      <c r="V358" s="28">
        <f>IFERROR('Data BI AI'!$Y$29,"")</f>
        <v>5</v>
      </c>
      <c r="W358" s="7" t="s">
        <v>5205</v>
      </c>
      <c r="X358" s="7" t="s">
        <v>5206</v>
      </c>
      <c r="Y358" s="7" t="s">
        <v>5440</v>
      </c>
      <c r="Z358" s="7">
        <f>IFERROR('Data BI AI'!$U$29,"")</f>
        <v>0</v>
      </c>
      <c r="AA358" s="7"/>
      <c r="AB358" s="29"/>
      <c r="AC358" s="7"/>
      <c r="AD358" s="48" t="str">
        <f>IF($B358="Yes",IFERROR(SUMIFS(_TECH_Crisis_Model!$D$5:$D$191,_TECH_Crisis_Model!$A$5:$A$191,'Crisis Simulator'!$B$4,_TECH_Crisis_Model!$B$5:$B$191,$C358),1),"")</f>
        <v/>
      </c>
      <c r="AE358" s="48" t="str">
        <f t="shared" si="58"/>
        <v/>
      </c>
      <c r="AF358" s="48" t="str">
        <f>IFERROR(INDEX(_TECH_Crisis_Model!$E$5:$E$191,MATCH('Crisis Simulator'!$B$4&amp;"|"&amp;$C358,_TECH_Crisis_Model!$I$5:$I$191,0)),"")</f>
        <v>Data quality, BI and analytics determine decision visibility and forecasting under stress.</v>
      </c>
      <c r="AG358" s="48" t="str">
        <f>IFERROR(INDEX(_TECH_Crisis_Model!$G$5:$G$191,MATCH('Crisis Simulator'!$B$4&amp;"|"&amp;$C358,_TECH_Crisis_Model!$I$5:$I$191,0)),"")</f>
        <v>Assign data owners, improve data quality, dashboards, forecasting and AI governance.</v>
      </c>
      <c r="AH358" s="48" t="str">
        <f>IFERROR(INDEX(_TECH_Initiative_Library!$A$5:$A$76,MATCH(1,INDEX((_TECH_Initiative_Library!$B$5:$B$76=$C358)*(_TECH_Initiative_Library!$C$5:$C$76=$D358),0),0)),"")</f>
        <v>INI-062</v>
      </c>
      <c r="AI358" s="48" t="str">
        <f>IFERROR(INDEX(_TECH_Initiative_Library!$F$5:$F$76,MATCH(1,INDEX((_TECH_Initiative_Library!$B$5:$B$76=$C358)*(_TECH_Initiative_Library!$C$5:$C$76=$D358),0),0)),"")</f>
        <v>Implement AI readiness, governance and use-case portfolio</v>
      </c>
      <c r="AJ358" s="48" t="str">
        <f ca="1">IFERROR(INDEX(_TECH_Initiative_Library!$AC$5:$AC$76,MATCH(1,INDEX((_TECH_Initiative_Library!$B$5:$B$76=$C358)*(_TECH_Initiative_Library!$C$5:$C$76=$D358),0),0)),"")</f>
        <v/>
      </c>
      <c r="AK358" s="48" t="str">
        <f ca="1">IFERROR(INDEX(_TECH_Initiative_Library!$AE$5:$AE$76,MATCH(1,INDEX((_TECH_Initiative_Library!$B$5:$B$76=$C358)*(_TECH_Initiative_Library!$C$5:$C$76=$D358),0),0)),"")</f>
        <v/>
      </c>
      <c r="AL358" s="48" t="str">
        <f>IF($B358="Yes",IFERROR(SUMIFS(_TECH_Industry_Templates!$E:$E,_TECH_Industry_Templates!$A:$A,'Company Profile'!$B$9,_TECH_Industry_Templates!$B:$B,$C358),1),"")</f>
        <v/>
      </c>
      <c r="AM358" s="48" t="str">
        <f t="shared" si="59"/>
        <v/>
      </c>
      <c r="AN358" s="48" t="str">
        <f>IF($AM358="","",RANK.EQ($AM358,$AM$8:$AM$414,0)+COUNTIF($AM$8:$AM358,$AM358)-1)</f>
        <v/>
      </c>
    </row>
    <row r="359" spans="1:40" ht="71.25">
      <c r="A359" s="28" t="str">
        <f>IF($AM359="","",RANK.EQ($AM359,$AM$8:$AM$414,0)+COUNTIF($AM$8:$AM359,$AM359)-1)</f>
        <v/>
      </c>
      <c r="B359" s="7" t="str">
        <f t="shared" si="50"/>
        <v/>
      </c>
      <c r="C359" s="7" t="s">
        <v>92</v>
      </c>
      <c r="D359" s="7" t="s">
        <v>1573</v>
      </c>
      <c r="E359" s="7" t="s">
        <v>5448</v>
      </c>
      <c r="F359" s="7" t="s">
        <v>5449</v>
      </c>
      <c r="G359" s="28" t="str">
        <f>IF(OR(COUNTA('Data BI AI'!$H$30)=0,'Data BI AI'!$H$30="N/A"),"",VALUE('Data BI AI'!$H$30))</f>
        <v/>
      </c>
      <c r="H359" s="7" t="str">
        <f t="shared" si="51"/>
        <v/>
      </c>
      <c r="I359" s="7" t="str">
        <f>IF($G359="","",IFERROR(IF('Data BI AI'!$L$30="",IF($G359&lt;=1,"Critical",IF($G359=2,"High",IF($G359=3,"Medium",IF($G359=4,"Low","Optimized")))),'Data BI AI'!$L$30),IF($G359&lt;=1,"Critical",IF($G359=2,"High",IF($G359=3,"Medium",IF($G359=4,"Low","Optimized"))))))</f>
        <v/>
      </c>
      <c r="J359" s="7" t="str">
        <f>IF($G359="","",IFERROR(INDEX('Recommendation Matrix'!$E$5:$J$411,MATCH($E359,'Recommendation Matrix'!$A$5:$A$411,0),$G359+1),""))</f>
        <v/>
      </c>
      <c r="K359" s="7" t="str">
        <f>IF($G359="","",IFERROR(VLOOKUP($E359,'Recommendation Matrix'!$A$5:$K$411,11,FALSE),""))</f>
        <v/>
      </c>
      <c r="L359" s="28" t="str">
        <f t="shared" si="52"/>
        <v/>
      </c>
      <c r="M359" s="28" t="str">
        <f>IF($G359="","",IFERROR(INDEX('Recommendation Matrix'!$L$5:$Q$411,MATCH($E359,'Recommendation Matrix'!$A$5:$A$411,0),$G359+1),""))</f>
        <v/>
      </c>
      <c r="N359" s="28" t="str">
        <f t="shared" si="53"/>
        <v/>
      </c>
      <c r="O359" s="28" t="str">
        <f t="shared" si="54"/>
        <v/>
      </c>
      <c r="P359" s="28" t="str">
        <f t="shared" si="55"/>
        <v/>
      </c>
      <c r="Q359" s="28" t="str">
        <f t="shared" si="56"/>
        <v/>
      </c>
      <c r="R359" s="8" t="str">
        <f t="shared" si="57"/>
        <v/>
      </c>
      <c r="S359" s="28">
        <f>IFERROR('Data BI AI'!$G$30,"")</f>
        <v>5</v>
      </c>
      <c r="T359" s="28">
        <f>IFERROR('Data BI AI'!$W$30,"")</f>
        <v>5</v>
      </c>
      <c r="U359" s="28">
        <f>IFERROR('Data BI AI'!$X$30,"")</f>
        <v>5</v>
      </c>
      <c r="V359" s="28">
        <f>IFERROR('Data BI AI'!$Y$30,"")</f>
        <v>5</v>
      </c>
      <c r="W359" s="7" t="s">
        <v>5205</v>
      </c>
      <c r="X359" s="7" t="s">
        <v>5206</v>
      </c>
      <c r="Y359" s="7" t="s">
        <v>5450</v>
      </c>
      <c r="Z359" s="7">
        <f>IFERROR('Data BI AI'!$U$30,"")</f>
        <v>0</v>
      </c>
      <c r="AA359" s="7"/>
      <c r="AB359" s="29"/>
      <c r="AC359" s="7"/>
      <c r="AD359" s="48" t="str">
        <f>IF($B359="Yes",IFERROR(SUMIFS(_TECH_Crisis_Model!$D$5:$D$191,_TECH_Crisis_Model!$A$5:$A$191,'Crisis Simulator'!$B$4,_TECH_Crisis_Model!$B$5:$B$191,$C359),1),"")</f>
        <v/>
      </c>
      <c r="AE359" s="48" t="str">
        <f t="shared" si="58"/>
        <v/>
      </c>
      <c r="AF359" s="48" t="str">
        <f>IFERROR(INDEX(_TECH_Crisis_Model!$E$5:$E$191,MATCH('Crisis Simulator'!$B$4&amp;"|"&amp;$C359,_TECH_Crisis_Model!$I$5:$I$191,0)),"")</f>
        <v>Data quality, BI and analytics determine decision visibility and forecasting under stress.</v>
      </c>
      <c r="AG359" s="48" t="str">
        <f>IFERROR(INDEX(_TECH_Crisis_Model!$G$5:$G$191,MATCH('Crisis Simulator'!$B$4&amp;"|"&amp;$C359,_TECH_Crisis_Model!$I$5:$I$191,0)),"")</f>
        <v>Assign data owners, improve data quality, dashboards, forecasting and AI governance.</v>
      </c>
      <c r="AH359" s="48" t="str">
        <f>IFERROR(INDEX(_TECH_Initiative_Library!$A$5:$A$76,MATCH(1,INDEX((_TECH_Initiative_Library!$B$5:$B$76=$C359)*(_TECH_Initiative_Library!$C$5:$C$76=$D359),0),0)),"")</f>
        <v>INI-062</v>
      </c>
      <c r="AI359" s="48" t="str">
        <f>IFERROR(INDEX(_TECH_Initiative_Library!$F$5:$F$76,MATCH(1,INDEX((_TECH_Initiative_Library!$B$5:$B$76=$C359)*(_TECH_Initiative_Library!$C$5:$C$76=$D359),0),0)),"")</f>
        <v>Implement AI readiness, governance and use-case portfolio</v>
      </c>
      <c r="AJ359" s="48" t="str">
        <f ca="1">IFERROR(INDEX(_TECH_Initiative_Library!$AC$5:$AC$76,MATCH(1,INDEX((_TECH_Initiative_Library!$B$5:$B$76=$C359)*(_TECH_Initiative_Library!$C$5:$C$76=$D359),0),0)),"")</f>
        <v/>
      </c>
      <c r="AK359" s="48" t="str">
        <f ca="1">IFERROR(INDEX(_TECH_Initiative_Library!$AE$5:$AE$76,MATCH(1,INDEX((_TECH_Initiative_Library!$B$5:$B$76=$C359)*(_TECH_Initiative_Library!$C$5:$C$76=$D359),0),0)),"")</f>
        <v/>
      </c>
      <c r="AL359" s="48" t="str">
        <f>IF($B359="Yes",IFERROR(SUMIFS(_TECH_Industry_Templates!$E:$E,_TECH_Industry_Templates!$A:$A,'Company Profile'!$B$9,_TECH_Industry_Templates!$B:$B,$C359),1),"")</f>
        <v/>
      </c>
      <c r="AM359" s="48" t="str">
        <f t="shared" si="59"/>
        <v/>
      </c>
      <c r="AN359" s="48" t="str">
        <f>IF($AM359="","",RANK.EQ($AM359,$AM$8:$AM$414,0)+COUNTIF($AM$8:$AM359,$AM359)-1)</f>
        <v/>
      </c>
    </row>
    <row r="360" spans="1:40" ht="85.5">
      <c r="A360" s="28" t="str">
        <f>IF($AM360="","",RANK.EQ($AM360,$AM$8:$AM$414,0)+COUNTIF($AM$8:$AM360,$AM360)-1)</f>
        <v/>
      </c>
      <c r="B360" s="7" t="str">
        <f t="shared" si="50"/>
        <v/>
      </c>
      <c r="C360" s="7" t="s">
        <v>92</v>
      </c>
      <c r="D360" s="7" t="s">
        <v>1573</v>
      </c>
      <c r="E360" s="7" t="s">
        <v>5458</v>
      </c>
      <c r="F360" s="7" t="s">
        <v>5459</v>
      </c>
      <c r="G360" s="28" t="str">
        <f>IF(OR(COUNTA('Data BI AI'!$H$31)=0,'Data BI AI'!$H$31="N/A"),"",VALUE('Data BI AI'!$H$31))</f>
        <v/>
      </c>
      <c r="H360" s="7" t="str">
        <f t="shared" si="51"/>
        <v/>
      </c>
      <c r="I360" s="7" t="str">
        <f>IF($G360="","",IFERROR(IF('Data BI AI'!$L$31="",IF($G360&lt;=1,"Critical",IF($G360=2,"High",IF($G360=3,"Medium",IF($G360=4,"Low","Optimized")))),'Data BI AI'!$L$31),IF($G360&lt;=1,"Critical",IF($G360=2,"High",IF($G360=3,"Medium",IF($G360=4,"Low","Optimized"))))))</f>
        <v/>
      </c>
      <c r="J360" s="7" t="str">
        <f>IF($G360="","",IFERROR(INDEX('Recommendation Matrix'!$E$5:$J$411,MATCH($E360,'Recommendation Matrix'!$A$5:$A$411,0),$G360+1),""))</f>
        <v/>
      </c>
      <c r="K360" s="7" t="str">
        <f>IF($G360="","",IFERROR(VLOOKUP($E360,'Recommendation Matrix'!$A$5:$K$411,11,FALSE),""))</f>
        <v/>
      </c>
      <c r="L360" s="28" t="str">
        <f t="shared" si="52"/>
        <v/>
      </c>
      <c r="M360" s="28" t="str">
        <f>IF($G360="","",IFERROR(INDEX('Recommendation Matrix'!$L$5:$Q$411,MATCH($E360,'Recommendation Matrix'!$A$5:$A$411,0),$G360+1),""))</f>
        <v/>
      </c>
      <c r="N360" s="28" t="str">
        <f t="shared" si="53"/>
        <v/>
      </c>
      <c r="O360" s="28" t="str">
        <f t="shared" si="54"/>
        <v/>
      </c>
      <c r="P360" s="28" t="str">
        <f t="shared" si="55"/>
        <v/>
      </c>
      <c r="Q360" s="28" t="str">
        <f t="shared" si="56"/>
        <v/>
      </c>
      <c r="R360" s="8" t="str">
        <f t="shared" si="57"/>
        <v/>
      </c>
      <c r="S360" s="28">
        <f>IFERROR('Data BI AI'!$G$31,"")</f>
        <v>4</v>
      </c>
      <c r="T360" s="28">
        <f>IFERROR('Data BI AI'!$W$31,"")</f>
        <v>5</v>
      </c>
      <c r="U360" s="28">
        <f>IFERROR('Data BI AI'!$X$31,"")</f>
        <v>5</v>
      </c>
      <c r="V360" s="28">
        <f>IFERROR('Data BI AI'!$Y$31,"")</f>
        <v>5</v>
      </c>
      <c r="W360" s="7" t="s">
        <v>5205</v>
      </c>
      <c r="X360" s="7" t="s">
        <v>5206</v>
      </c>
      <c r="Y360" s="7" t="s">
        <v>5460</v>
      </c>
      <c r="Z360" s="7">
        <f>IFERROR('Data BI AI'!$U$31,"")</f>
        <v>0</v>
      </c>
      <c r="AA360" s="7"/>
      <c r="AB360" s="29"/>
      <c r="AC360" s="7"/>
      <c r="AD360" s="48" t="str">
        <f>IF($B360="Yes",IFERROR(SUMIFS(_TECH_Crisis_Model!$D$5:$D$191,_TECH_Crisis_Model!$A$5:$A$191,'Crisis Simulator'!$B$4,_TECH_Crisis_Model!$B$5:$B$191,$C360),1),"")</f>
        <v/>
      </c>
      <c r="AE360" s="48" t="str">
        <f t="shared" si="58"/>
        <v/>
      </c>
      <c r="AF360" s="48" t="str">
        <f>IFERROR(INDEX(_TECH_Crisis_Model!$E$5:$E$191,MATCH('Crisis Simulator'!$B$4&amp;"|"&amp;$C360,_TECH_Crisis_Model!$I$5:$I$191,0)),"")</f>
        <v>Data quality, BI and analytics determine decision visibility and forecasting under stress.</v>
      </c>
      <c r="AG360" s="48" t="str">
        <f>IFERROR(INDEX(_TECH_Crisis_Model!$G$5:$G$191,MATCH('Crisis Simulator'!$B$4&amp;"|"&amp;$C360,_TECH_Crisis_Model!$I$5:$I$191,0)),"")</f>
        <v>Assign data owners, improve data quality, dashboards, forecasting and AI governance.</v>
      </c>
      <c r="AH360" s="48" t="str">
        <f>IFERROR(INDEX(_TECH_Initiative_Library!$A$5:$A$76,MATCH(1,INDEX((_TECH_Initiative_Library!$B$5:$B$76=$C360)*(_TECH_Initiative_Library!$C$5:$C$76=$D360),0),0)),"")</f>
        <v>INI-062</v>
      </c>
      <c r="AI360" s="48" t="str">
        <f>IFERROR(INDEX(_TECH_Initiative_Library!$F$5:$F$76,MATCH(1,INDEX((_TECH_Initiative_Library!$B$5:$B$76=$C360)*(_TECH_Initiative_Library!$C$5:$C$76=$D360),0),0)),"")</f>
        <v>Implement AI readiness, governance and use-case portfolio</v>
      </c>
      <c r="AJ360" s="48" t="str">
        <f ca="1">IFERROR(INDEX(_TECH_Initiative_Library!$AC$5:$AC$76,MATCH(1,INDEX((_TECH_Initiative_Library!$B$5:$B$76=$C360)*(_TECH_Initiative_Library!$C$5:$C$76=$D360),0),0)),"")</f>
        <v/>
      </c>
      <c r="AK360" s="48" t="str">
        <f ca="1">IFERROR(INDEX(_TECH_Initiative_Library!$AE$5:$AE$76,MATCH(1,INDEX((_TECH_Initiative_Library!$B$5:$B$76=$C360)*(_TECH_Initiative_Library!$C$5:$C$76=$D360),0),0)),"")</f>
        <v/>
      </c>
      <c r="AL360" s="48" t="str">
        <f>IF($B360="Yes",IFERROR(SUMIFS(_TECH_Industry_Templates!$E:$E,_TECH_Industry_Templates!$A:$A,'Company Profile'!$B$9,_TECH_Industry_Templates!$B:$B,$C360),1),"")</f>
        <v/>
      </c>
      <c r="AM360" s="48" t="str">
        <f t="shared" si="59"/>
        <v/>
      </c>
      <c r="AN360" s="48" t="str">
        <f>IF($AM360="","",RANK.EQ($AM360,$AM$8:$AM$414,0)+COUNTIF($AM$8:$AM360,$AM360)-1)</f>
        <v/>
      </c>
    </row>
    <row r="361" spans="1:40" ht="71.25">
      <c r="A361" s="28" t="str">
        <f>IF($AM361="","",RANK.EQ($AM361,$AM$8:$AM$414,0)+COUNTIF($AM$8:$AM361,$AM361)-1)</f>
        <v/>
      </c>
      <c r="B361" s="7" t="str">
        <f t="shared" si="50"/>
        <v/>
      </c>
      <c r="C361" s="7" t="s">
        <v>93</v>
      </c>
      <c r="D361" s="7" t="s">
        <v>1581</v>
      </c>
      <c r="E361" s="7" t="s">
        <v>5470</v>
      </c>
      <c r="F361" s="7" t="s">
        <v>5471</v>
      </c>
      <c r="G361" s="28" t="str">
        <f>IF(OR(COUNTA('Cyber Privacy'!$H$5)=0,'Cyber Privacy'!$H$5="N/A"),"",VALUE('Cyber Privacy'!$H$5))</f>
        <v/>
      </c>
      <c r="H361" s="7" t="str">
        <f t="shared" si="51"/>
        <v/>
      </c>
      <c r="I361" s="7" t="str">
        <f>IF($G361="","",IFERROR(IF('Cyber Privacy'!$L$5="",IF($G361&lt;=1,"Critical",IF($G361=2,"High",IF($G361=3,"Medium",IF($G361=4,"Low","Optimized")))),'Cyber Privacy'!$L$5),IF($G361&lt;=1,"Critical",IF($G361=2,"High",IF($G361=3,"Medium",IF($G361=4,"Low","Optimized"))))))</f>
        <v/>
      </c>
      <c r="J361" s="7" t="str">
        <f>IF($G361="","",IFERROR(INDEX('Recommendation Matrix'!$E$5:$J$411,MATCH($E361,'Recommendation Matrix'!$A$5:$A$411,0),$G361+1),""))</f>
        <v/>
      </c>
      <c r="K361" s="7" t="str">
        <f>IF($G361="","",IFERROR(VLOOKUP($E361,'Recommendation Matrix'!$A$5:$K$411,11,FALSE),""))</f>
        <v/>
      </c>
      <c r="L361" s="28" t="str">
        <f t="shared" si="52"/>
        <v/>
      </c>
      <c r="M361" s="28" t="str">
        <f>IF($G361="","",IFERROR(INDEX('Recommendation Matrix'!$L$5:$Q$411,MATCH($E361,'Recommendation Matrix'!$A$5:$A$411,0),$G361+1),""))</f>
        <v/>
      </c>
      <c r="N361" s="28" t="str">
        <f t="shared" si="53"/>
        <v/>
      </c>
      <c r="O361" s="28" t="str">
        <f t="shared" si="54"/>
        <v/>
      </c>
      <c r="P361" s="28" t="str">
        <f t="shared" si="55"/>
        <v/>
      </c>
      <c r="Q361" s="28" t="str">
        <f t="shared" si="56"/>
        <v/>
      </c>
      <c r="R361" s="8" t="str">
        <f t="shared" si="57"/>
        <v/>
      </c>
      <c r="S361" s="28">
        <f>IFERROR('Cyber Privacy'!$G$5,"")</f>
        <v>4</v>
      </c>
      <c r="T361" s="28">
        <f>IFERROR('Cyber Privacy'!$W$5,"")</f>
        <v>5</v>
      </c>
      <c r="U361" s="28">
        <f>IFERROR('Cyber Privacy'!$X$5,"")</f>
        <v>5</v>
      </c>
      <c r="V361" s="28">
        <f>IFERROR('Cyber Privacy'!$Y$5,"")</f>
        <v>5</v>
      </c>
      <c r="W361" s="7" t="s">
        <v>5481</v>
      </c>
      <c r="X361" s="7" t="s">
        <v>5482</v>
      </c>
      <c r="Y361" s="7" t="s">
        <v>5474</v>
      </c>
      <c r="Z361" s="7">
        <f>IFERROR('Cyber Privacy'!$U$5,"")</f>
        <v>0</v>
      </c>
      <c r="AA361" s="7"/>
      <c r="AB361" s="29"/>
      <c r="AC361" s="7"/>
      <c r="AD361" s="48" t="str">
        <f>IF($B361="Yes",IFERROR(SUMIFS(_TECH_Crisis_Model!$D$5:$D$191,_TECH_Crisis_Model!$A$5:$A$191,'Crisis Simulator'!$B$4,_TECH_Crisis_Model!$B$5:$B$191,$C361),1),"")</f>
        <v/>
      </c>
      <c r="AE361" s="48" t="str">
        <f t="shared" si="58"/>
        <v/>
      </c>
      <c r="AF361" s="48" t="str">
        <f>IFERROR(INDEX(_TECH_Crisis_Model!$E$5:$E$191,MATCH('Crisis Simulator'!$B$4&amp;"|"&amp;$C361,_TECH_Crisis_Model!$I$5:$I$191,0)),"")</f>
        <v>Cybersecurity and privacy controls determine resistance to digital disruption and regulatory exposure.</v>
      </c>
      <c r="AG361" s="48" t="str">
        <f>IFERROR(INDEX(_TECH_Crisis_Model!$G$5:$G$191,MATCH('Crisis Simulator'!$B$4&amp;"|"&amp;$C361,_TECH_Crisis_Model!$I$5:$I$191,0)),"")</f>
        <v>Strengthen MFA, EDR, logging, IR playbooks, restore testing, privacy controls and awareness.</v>
      </c>
      <c r="AH361" s="48" t="str">
        <f>IFERROR(INDEX(_TECH_Initiative_Library!$A$5:$A$76,MATCH(1,INDEX((_TECH_Initiative_Library!$B$5:$B$76=$C361)*(_TECH_Initiative_Library!$C$5:$C$76=$D361),0),0)),"")</f>
        <v>INI-063</v>
      </c>
      <c r="AI361" s="48" t="str">
        <f>IFERROR(INDEX(_TECH_Initiative_Library!$F$5:$F$76,MATCH(1,INDEX((_TECH_Initiative_Library!$B$5:$B$76=$C361)*(_TECH_Initiative_Library!$C$5:$C$76=$D361),0),0)),"")</f>
        <v>Implement security governance and risk-management operating model</v>
      </c>
      <c r="AJ361" s="48" t="str">
        <f ca="1">IFERROR(INDEX(_TECH_Initiative_Library!$AC$5:$AC$76,MATCH(1,INDEX((_TECH_Initiative_Library!$B$5:$B$76=$C361)*(_TECH_Initiative_Library!$C$5:$C$76=$D361),0),0)),"")</f>
        <v/>
      </c>
      <c r="AK361" s="48" t="str">
        <f ca="1">IFERROR(INDEX(_TECH_Initiative_Library!$AE$5:$AE$76,MATCH(1,INDEX((_TECH_Initiative_Library!$B$5:$B$76=$C361)*(_TECH_Initiative_Library!$C$5:$C$76=$D361),0),0)),"")</f>
        <v/>
      </c>
      <c r="AL361" s="48" t="str">
        <f>IF($B361="Yes",IFERROR(SUMIFS(_TECH_Industry_Templates!$E:$E,_TECH_Industry_Templates!$A:$A,'Company Profile'!$B$9,_TECH_Industry_Templates!$B:$B,$C361),1),"")</f>
        <v/>
      </c>
      <c r="AM361" s="48" t="str">
        <f t="shared" si="59"/>
        <v/>
      </c>
      <c r="AN361" s="48" t="str">
        <f>IF($AM361="","",RANK.EQ($AM361,$AM$8:$AM$414,0)+COUNTIF($AM$8:$AM361,$AM361)-1)</f>
        <v/>
      </c>
    </row>
    <row r="362" spans="1:40" ht="71.25">
      <c r="A362" s="28" t="str">
        <f>IF($AM362="","",RANK.EQ($AM362,$AM$8:$AM$414,0)+COUNTIF($AM$8:$AM362,$AM362)-1)</f>
        <v/>
      </c>
      <c r="B362" s="7" t="str">
        <f t="shared" si="50"/>
        <v/>
      </c>
      <c r="C362" s="7" t="s">
        <v>93</v>
      </c>
      <c r="D362" s="7" t="s">
        <v>1581</v>
      </c>
      <c r="E362" s="7" t="s">
        <v>5484</v>
      </c>
      <c r="F362" s="7" t="s">
        <v>5485</v>
      </c>
      <c r="G362" s="28" t="str">
        <f>IF(OR(COUNTA('Cyber Privacy'!$H$6)=0,'Cyber Privacy'!$H$6="N/A"),"",VALUE('Cyber Privacy'!$H$6))</f>
        <v/>
      </c>
      <c r="H362" s="7" t="str">
        <f t="shared" si="51"/>
        <v/>
      </c>
      <c r="I362" s="7" t="str">
        <f>IF($G362="","",IFERROR(IF('Cyber Privacy'!$L$6="",IF($G362&lt;=1,"Critical",IF($G362=2,"High",IF($G362=3,"Medium",IF($G362=4,"Low","Optimized")))),'Cyber Privacy'!$L$6),IF($G362&lt;=1,"Critical",IF($G362=2,"High",IF($G362=3,"Medium",IF($G362=4,"Low","Optimized"))))))</f>
        <v/>
      </c>
      <c r="J362" s="7" t="str">
        <f>IF($G362="","",IFERROR(INDEX('Recommendation Matrix'!$E$5:$J$411,MATCH($E362,'Recommendation Matrix'!$A$5:$A$411,0),$G362+1),""))</f>
        <v/>
      </c>
      <c r="K362" s="7" t="str">
        <f>IF($G362="","",IFERROR(VLOOKUP($E362,'Recommendation Matrix'!$A$5:$K$411,11,FALSE),""))</f>
        <v/>
      </c>
      <c r="L362" s="28" t="str">
        <f t="shared" si="52"/>
        <v/>
      </c>
      <c r="M362" s="28" t="str">
        <f>IF($G362="","",IFERROR(INDEX('Recommendation Matrix'!$L$5:$Q$411,MATCH($E362,'Recommendation Matrix'!$A$5:$A$411,0),$G362+1),""))</f>
        <v/>
      </c>
      <c r="N362" s="28" t="str">
        <f t="shared" si="53"/>
        <v/>
      </c>
      <c r="O362" s="28" t="str">
        <f t="shared" si="54"/>
        <v/>
      </c>
      <c r="P362" s="28" t="str">
        <f t="shared" si="55"/>
        <v/>
      </c>
      <c r="Q362" s="28" t="str">
        <f t="shared" si="56"/>
        <v/>
      </c>
      <c r="R362" s="8" t="str">
        <f t="shared" si="57"/>
        <v/>
      </c>
      <c r="S362" s="28">
        <f>IFERROR('Cyber Privacy'!$G$6,"")</f>
        <v>5</v>
      </c>
      <c r="T362" s="28">
        <f>IFERROR('Cyber Privacy'!$W$6,"")</f>
        <v>5</v>
      </c>
      <c r="U362" s="28">
        <f>IFERROR('Cyber Privacy'!$X$6,"")</f>
        <v>5</v>
      </c>
      <c r="V362" s="28">
        <f>IFERROR('Cyber Privacy'!$Y$6,"")</f>
        <v>5</v>
      </c>
      <c r="W362" s="7" t="s">
        <v>5481</v>
      </c>
      <c r="X362" s="7" t="s">
        <v>5482</v>
      </c>
      <c r="Y362" s="7" t="s">
        <v>5486</v>
      </c>
      <c r="Z362" s="7">
        <f>IFERROR('Cyber Privacy'!$U$6,"")</f>
        <v>0</v>
      </c>
      <c r="AA362" s="7"/>
      <c r="AB362" s="29"/>
      <c r="AC362" s="7"/>
      <c r="AD362" s="48" t="str">
        <f>IF($B362="Yes",IFERROR(SUMIFS(_TECH_Crisis_Model!$D$5:$D$191,_TECH_Crisis_Model!$A$5:$A$191,'Crisis Simulator'!$B$4,_TECH_Crisis_Model!$B$5:$B$191,$C362),1),"")</f>
        <v/>
      </c>
      <c r="AE362" s="48" t="str">
        <f t="shared" si="58"/>
        <v/>
      </c>
      <c r="AF362" s="48" t="str">
        <f>IFERROR(INDEX(_TECH_Crisis_Model!$E$5:$E$191,MATCH('Crisis Simulator'!$B$4&amp;"|"&amp;$C362,_TECH_Crisis_Model!$I$5:$I$191,0)),"")</f>
        <v>Cybersecurity and privacy controls determine resistance to digital disruption and regulatory exposure.</v>
      </c>
      <c r="AG362" s="48" t="str">
        <f>IFERROR(INDEX(_TECH_Crisis_Model!$G$5:$G$191,MATCH('Crisis Simulator'!$B$4&amp;"|"&amp;$C362,_TECH_Crisis_Model!$I$5:$I$191,0)),"")</f>
        <v>Strengthen MFA, EDR, logging, IR playbooks, restore testing, privacy controls and awareness.</v>
      </c>
      <c r="AH362" s="48" t="str">
        <f>IFERROR(INDEX(_TECH_Initiative_Library!$A$5:$A$76,MATCH(1,INDEX((_TECH_Initiative_Library!$B$5:$B$76=$C362)*(_TECH_Initiative_Library!$C$5:$C$76=$D362),0),0)),"")</f>
        <v>INI-063</v>
      </c>
      <c r="AI362" s="48" t="str">
        <f>IFERROR(INDEX(_TECH_Initiative_Library!$F$5:$F$76,MATCH(1,INDEX((_TECH_Initiative_Library!$B$5:$B$76=$C362)*(_TECH_Initiative_Library!$C$5:$C$76=$D362),0),0)),"")</f>
        <v>Implement security governance and risk-management operating model</v>
      </c>
      <c r="AJ362" s="48" t="str">
        <f ca="1">IFERROR(INDEX(_TECH_Initiative_Library!$AC$5:$AC$76,MATCH(1,INDEX((_TECH_Initiative_Library!$B$5:$B$76=$C362)*(_TECH_Initiative_Library!$C$5:$C$76=$D362),0),0)),"")</f>
        <v/>
      </c>
      <c r="AK362" s="48" t="str">
        <f ca="1">IFERROR(INDEX(_TECH_Initiative_Library!$AE$5:$AE$76,MATCH(1,INDEX((_TECH_Initiative_Library!$B$5:$B$76=$C362)*(_TECH_Initiative_Library!$C$5:$C$76=$D362),0),0)),"")</f>
        <v/>
      </c>
      <c r="AL362" s="48" t="str">
        <f>IF($B362="Yes",IFERROR(SUMIFS(_TECH_Industry_Templates!$E:$E,_TECH_Industry_Templates!$A:$A,'Company Profile'!$B$9,_TECH_Industry_Templates!$B:$B,$C362),1),"")</f>
        <v/>
      </c>
      <c r="AM362" s="48" t="str">
        <f t="shared" si="59"/>
        <v/>
      </c>
      <c r="AN362" s="48" t="str">
        <f>IF($AM362="","",RANK.EQ($AM362,$AM$8:$AM$414,0)+COUNTIF($AM$8:$AM362,$AM362)-1)</f>
        <v/>
      </c>
    </row>
    <row r="363" spans="1:40" ht="85.5">
      <c r="A363" s="28" t="str">
        <f>IF($AM363="","",RANK.EQ($AM363,$AM$8:$AM$414,0)+COUNTIF($AM$8:$AM363,$AM363)-1)</f>
        <v/>
      </c>
      <c r="B363" s="7" t="str">
        <f t="shared" si="50"/>
        <v/>
      </c>
      <c r="C363" s="7" t="s">
        <v>93</v>
      </c>
      <c r="D363" s="7" t="s">
        <v>1581</v>
      </c>
      <c r="E363" s="7" t="s">
        <v>5494</v>
      </c>
      <c r="F363" s="7" t="s">
        <v>5495</v>
      </c>
      <c r="G363" s="28" t="str">
        <f>IF(OR(COUNTA('Cyber Privacy'!$H$7)=0,'Cyber Privacy'!$H$7="N/A"),"",VALUE('Cyber Privacy'!$H$7))</f>
        <v/>
      </c>
      <c r="H363" s="7" t="str">
        <f t="shared" si="51"/>
        <v/>
      </c>
      <c r="I363" s="7" t="str">
        <f>IF($G363="","",IFERROR(IF('Cyber Privacy'!$L$7="",IF($G363&lt;=1,"Critical",IF($G363=2,"High",IF($G363=3,"Medium",IF($G363=4,"Low","Optimized")))),'Cyber Privacy'!$L$7),IF($G363&lt;=1,"Critical",IF($G363=2,"High",IF($G363=3,"Medium",IF($G363=4,"Low","Optimized"))))))</f>
        <v/>
      </c>
      <c r="J363" s="7" t="str">
        <f>IF($G363="","",IFERROR(INDEX('Recommendation Matrix'!$E$5:$J$411,MATCH($E363,'Recommendation Matrix'!$A$5:$A$411,0),$G363+1),""))</f>
        <v/>
      </c>
      <c r="K363" s="7" t="str">
        <f>IF($G363="","",IFERROR(VLOOKUP($E363,'Recommendation Matrix'!$A$5:$K$411,11,FALSE),""))</f>
        <v/>
      </c>
      <c r="L363" s="28" t="str">
        <f t="shared" si="52"/>
        <v/>
      </c>
      <c r="M363" s="28" t="str">
        <f>IF($G363="","",IFERROR(INDEX('Recommendation Matrix'!$L$5:$Q$411,MATCH($E363,'Recommendation Matrix'!$A$5:$A$411,0),$G363+1),""))</f>
        <v/>
      </c>
      <c r="N363" s="28" t="str">
        <f t="shared" si="53"/>
        <v/>
      </c>
      <c r="O363" s="28" t="str">
        <f t="shared" si="54"/>
        <v/>
      </c>
      <c r="P363" s="28" t="str">
        <f t="shared" si="55"/>
        <v/>
      </c>
      <c r="Q363" s="28" t="str">
        <f t="shared" si="56"/>
        <v/>
      </c>
      <c r="R363" s="8" t="str">
        <f t="shared" si="57"/>
        <v/>
      </c>
      <c r="S363" s="28">
        <f>IFERROR('Cyber Privacy'!$G$7,"")</f>
        <v>5</v>
      </c>
      <c r="T363" s="28">
        <f>IFERROR('Cyber Privacy'!$W$7,"")</f>
        <v>5</v>
      </c>
      <c r="U363" s="28">
        <f>IFERROR('Cyber Privacy'!$X$7,"")</f>
        <v>5</v>
      </c>
      <c r="V363" s="28">
        <f>IFERROR('Cyber Privacy'!$Y$7,"")</f>
        <v>5</v>
      </c>
      <c r="W363" s="7" t="s">
        <v>5481</v>
      </c>
      <c r="X363" s="7" t="s">
        <v>5482</v>
      </c>
      <c r="Y363" s="7" t="s">
        <v>5496</v>
      </c>
      <c r="Z363" s="7">
        <f>IFERROR('Cyber Privacy'!$U$7,"")</f>
        <v>0</v>
      </c>
      <c r="AA363" s="7"/>
      <c r="AB363" s="29"/>
      <c r="AC363" s="7"/>
      <c r="AD363" s="48" t="str">
        <f>IF($B363="Yes",IFERROR(SUMIFS(_TECH_Crisis_Model!$D$5:$D$191,_TECH_Crisis_Model!$A$5:$A$191,'Crisis Simulator'!$B$4,_TECH_Crisis_Model!$B$5:$B$191,$C363),1),"")</f>
        <v/>
      </c>
      <c r="AE363" s="48" t="str">
        <f t="shared" si="58"/>
        <v/>
      </c>
      <c r="AF363" s="48" t="str">
        <f>IFERROR(INDEX(_TECH_Crisis_Model!$E$5:$E$191,MATCH('Crisis Simulator'!$B$4&amp;"|"&amp;$C363,_TECH_Crisis_Model!$I$5:$I$191,0)),"")</f>
        <v>Cybersecurity and privacy controls determine resistance to digital disruption and regulatory exposure.</v>
      </c>
      <c r="AG363" s="48" t="str">
        <f>IFERROR(INDEX(_TECH_Crisis_Model!$G$5:$G$191,MATCH('Crisis Simulator'!$B$4&amp;"|"&amp;$C363,_TECH_Crisis_Model!$I$5:$I$191,0)),"")</f>
        <v>Strengthen MFA, EDR, logging, IR playbooks, restore testing, privacy controls and awareness.</v>
      </c>
      <c r="AH363" s="48" t="str">
        <f>IFERROR(INDEX(_TECH_Initiative_Library!$A$5:$A$76,MATCH(1,INDEX((_TECH_Initiative_Library!$B$5:$B$76=$C363)*(_TECH_Initiative_Library!$C$5:$C$76=$D363),0),0)),"")</f>
        <v>INI-063</v>
      </c>
      <c r="AI363" s="48" t="str">
        <f>IFERROR(INDEX(_TECH_Initiative_Library!$F$5:$F$76,MATCH(1,INDEX((_TECH_Initiative_Library!$B$5:$B$76=$C363)*(_TECH_Initiative_Library!$C$5:$C$76=$D363),0),0)),"")</f>
        <v>Implement security governance and risk-management operating model</v>
      </c>
      <c r="AJ363" s="48" t="str">
        <f ca="1">IFERROR(INDEX(_TECH_Initiative_Library!$AC$5:$AC$76,MATCH(1,INDEX((_TECH_Initiative_Library!$B$5:$B$76=$C363)*(_TECH_Initiative_Library!$C$5:$C$76=$D363),0),0)),"")</f>
        <v/>
      </c>
      <c r="AK363" s="48" t="str">
        <f ca="1">IFERROR(INDEX(_TECH_Initiative_Library!$AE$5:$AE$76,MATCH(1,INDEX((_TECH_Initiative_Library!$B$5:$B$76=$C363)*(_TECH_Initiative_Library!$C$5:$C$76=$D363),0),0)),"")</f>
        <v/>
      </c>
      <c r="AL363" s="48" t="str">
        <f>IF($B363="Yes",IFERROR(SUMIFS(_TECH_Industry_Templates!$E:$E,_TECH_Industry_Templates!$A:$A,'Company Profile'!$B$9,_TECH_Industry_Templates!$B:$B,$C363),1),"")</f>
        <v/>
      </c>
      <c r="AM363" s="48" t="str">
        <f t="shared" si="59"/>
        <v/>
      </c>
      <c r="AN363" s="48" t="str">
        <f>IF($AM363="","",RANK.EQ($AM363,$AM$8:$AM$414,0)+COUNTIF($AM$8:$AM363,$AM363)-1)</f>
        <v/>
      </c>
    </row>
    <row r="364" spans="1:40" ht="71.25">
      <c r="A364" s="28" t="str">
        <f>IF($AM364="","",RANK.EQ($AM364,$AM$8:$AM$414,0)+COUNTIF($AM$8:$AM364,$AM364)-1)</f>
        <v/>
      </c>
      <c r="B364" s="7" t="str">
        <f t="shared" si="50"/>
        <v/>
      </c>
      <c r="C364" s="7" t="s">
        <v>93</v>
      </c>
      <c r="D364" s="7" t="s">
        <v>1581</v>
      </c>
      <c r="E364" s="7" t="s">
        <v>5504</v>
      </c>
      <c r="F364" s="7" t="s">
        <v>5505</v>
      </c>
      <c r="G364" s="28" t="str">
        <f>IF(OR(COUNTA('Cyber Privacy'!$H$8)=0,'Cyber Privacy'!$H$8="N/A"),"",VALUE('Cyber Privacy'!$H$8))</f>
        <v/>
      </c>
      <c r="H364" s="7" t="str">
        <f t="shared" si="51"/>
        <v/>
      </c>
      <c r="I364" s="7" t="str">
        <f>IF($G364="","",IFERROR(IF('Cyber Privacy'!$L$8="",IF($G364&lt;=1,"Critical",IF($G364=2,"High",IF($G364=3,"Medium",IF($G364=4,"Low","Optimized")))),'Cyber Privacy'!$L$8),IF($G364&lt;=1,"Critical",IF($G364=2,"High",IF($G364=3,"Medium",IF($G364=4,"Low","Optimized"))))))</f>
        <v/>
      </c>
      <c r="J364" s="7" t="str">
        <f>IF($G364="","",IFERROR(INDEX('Recommendation Matrix'!$E$5:$J$411,MATCH($E364,'Recommendation Matrix'!$A$5:$A$411,0),$G364+1),""))</f>
        <v/>
      </c>
      <c r="K364" s="7" t="str">
        <f>IF($G364="","",IFERROR(VLOOKUP($E364,'Recommendation Matrix'!$A$5:$K$411,11,FALSE),""))</f>
        <v/>
      </c>
      <c r="L364" s="28" t="str">
        <f t="shared" si="52"/>
        <v/>
      </c>
      <c r="M364" s="28" t="str">
        <f>IF($G364="","",IFERROR(INDEX('Recommendation Matrix'!$L$5:$Q$411,MATCH($E364,'Recommendation Matrix'!$A$5:$A$411,0),$G364+1),""))</f>
        <v/>
      </c>
      <c r="N364" s="28" t="str">
        <f t="shared" si="53"/>
        <v/>
      </c>
      <c r="O364" s="28" t="str">
        <f t="shared" si="54"/>
        <v/>
      </c>
      <c r="P364" s="28" t="str">
        <f t="shared" si="55"/>
        <v/>
      </c>
      <c r="Q364" s="28" t="str">
        <f t="shared" si="56"/>
        <v/>
      </c>
      <c r="R364" s="8" t="str">
        <f t="shared" si="57"/>
        <v/>
      </c>
      <c r="S364" s="28">
        <f>IFERROR('Cyber Privacy'!$G$8,"")</f>
        <v>4</v>
      </c>
      <c r="T364" s="28">
        <f>IFERROR('Cyber Privacy'!$W$8,"")</f>
        <v>5</v>
      </c>
      <c r="U364" s="28">
        <f>IFERROR('Cyber Privacy'!$X$8,"")</f>
        <v>5</v>
      </c>
      <c r="V364" s="28">
        <f>IFERROR('Cyber Privacy'!$Y$8,"")</f>
        <v>5</v>
      </c>
      <c r="W364" s="7" t="s">
        <v>5481</v>
      </c>
      <c r="X364" s="7" t="s">
        <v>5482</v>
      </c>
      <c r="Y364" s="7" t="s">
        <v>5506</v>
      </c>
      <c r="Z364" s="7">
        <f>IFERROR('Cyber Privacy'!$U$8,"")</f>
        <v>0</v>
      </c>
      <c r="AA364" s="7"/>
      <c r="AB364" s="29"/>
      <c r="AC364" s="7"/>
      <c r="AD364" s="48" t="str">
        <f>IF($B364="Yes",IFERROR(SUMIFS(_TECH_Crisis_Model!$D$5:$D$191,_TECH_Crisis_Model!$A$5:$A$191,'Crisis Simulator'!$B$4,_TECH_Crisis_Model!$B$5:$B$191,$C364),1),"")</f>
        <v/>
      </c>
      <c r="AE364" s="48" t="str">
        <f t="shared" si="58"/>
        <v/>
      </c>
      <c r="AF364" s="48" t="str">
        <f>IFERROR(INDEX(_TECH_Crisis_Model!$E$5:$E$191,MATCH('Crisis Simulator'!$B$4&amp;"|"&amp;$C364,_TECH_Crisis_Model!$I$5:$I$191,0)),"")</f>
        <v>Cybersecurity and privacy controls determine resistance to digital disruption and regulatory exposure.</v>
      </c>
      <c r="AG364" s="48" t="str">
        <f>IFERROR(INDEX(_TECH_Crisis_Model!$G$5:$G$191,MATCH('Crisis Simulator'!$B$4&amp;"|"&amp;$C364,_TECH_Crisis_Model!$I$5:$I$191,0)),"")</f>
        <v>Strengthen MFA, EDR, logging, IR playbooks, restore testing, privacy controls and awareness.</v>
      </c>
      <c r="AH364" s="48" t="str">
        <f>IFERROR(INDEX(_TECH_Initiative_Library!$A$5:$A$76,MATCH(1,INDEX((_TECH_Initiative_Library!$B$5:$B$76=$C364)*(_TECH_Initiative_Library!$C$5:$C$76=$D364),0),0)),"")</f>
        <v>INI-063</v>
      </c>
      <c r="AI364" s="48" t="str">
        <f>IFERROR(INDEX(_TECH_Initiative_Library!$F$5:$F$76,MATCH(1,INDEX((_TECH_Initiative_Library!$B$5:$B$76=$C364)*(_TECH_Initiative_Library!$C$5:$C$76=$D364),0),0)),"")</f>
        <v>Implement security governance and risk-management operating model</v>
      </c>
      <c r="AJ364" s="48" t="str">
        <f ca="1">IFERROR(INDEX(_TECH_Initiative_Library!$AC$5:$AC$76,MATCH(1,INDEX((_TECH_Initiative_Library!$B$5:$B$76=$C364)*(_TECH_Initiative_Library!$C$5:$C$76=$D364),0),0)),"")</f>
        <v/>
      </c>
      <c r="AK364" s="48" t="str">
        <f ca="1">IFERROR(INDEX(_TECH_Initiative_Library!$AE$5:$AE$76,MATCH(1,INDEX((_TECH_Initiative_Library!$B$5:$B$76=$C364)*(_TECH_Initiative_Library!$C$5:$C$76=$D364),0),0)),"")</f>
        <v/>
      </c>
      <c r="AL364" s="48" t="str">
        <f>IF($B364="Yes",IFERROR(SUMIFS(_TECH_Industry_Templates!$E:$E,_TECH_Industry_Templates!$A:$A,'Company Profile'!$B$9,_TECH_Industry_Templates!$B:$B,$C364),1),"")</f>
        <v/>
      </c>
      <c r="AM364" s="48" t="str">
        <f t="shared" si="59"/>
        <v/>
      </c>
      <c r="AN364" s="48" t="str">
        <f>IF($AM364="","",RANK.EQ($AM364,$AM$8:$AM$414,0)+COUNTIF($AM$8:$AM364,$AM364)-1)</f>
        <v/>
      </c>
    </row>
    <row r="365" spans="1:40" ht="71.25">
      <c r="A365" s="28" t="str">
        <f>IF($AM365="","",RANK.EQ($AM365,$AM$8:$AM$414,0)+COUNTIF($AM$8:$AM365,$AM365)-1)</f>
        <v/>
      </c>
      <c r="B365" s="7" t="str">
        <f t="shared" si="50"/>
        <v/>
      </c>
      <c r="C365" s="7" t="s">
        <v>93</v>
      </c>
      <c r="D365" s="7" t="s">
        <v>1581</v>
      </c>
      <c r="E365" s="7" t="s">
        <v>5514</v>
      </c>
      <c r="F365" s="7" t="s">
        <v>5515</v>
      </c>
      <c r="G365" s="28" t="str">
        <f>IF(OR(COUNTA('Cyber Privacy'!$H$9)=0,'Cyber Privacy'!$H$9="N/A"),"",VALUE('Cyber Privacy'!$H$9))</f>
        <v/>
      </c>
      <c r="H365" s="7" t="str">
        <f t="shared" si="51"/>
        <v/>
      </c>
      <c r="I365" s="7" t="str">
        <f>IF($G365="","",IFERROR(IF('Cyber Privacy'!$L$9="",IF($G365&lt;=1,"Critical",IF($G365=2,"High",IF($G365=3,"Medium",IF($G365=4,"Low","Optimized")))),'Cyber Privacy'!$L$9),IF($G365&lt;=1,"Critical",IF($G365=2,"High",IF($G365=3,"Medium",IF($G365=4,"Low","Optimized"))))))</f>
        <v/>
      </c>
      <c r="J365" s="7" t="str">
        <f>IF($G365="","",IFERROR(INDEX('Recommendation Matrix'!$E$5:$J$411,MATCH($E365,'Recommendation Matrix'!$A$5:$A$411,0),$G365+1),""))</f>
        <v/>
      </c>
      <c r="K365" s="7" t="str">
        <f>IF($G365="","",IFERROR(VLOOKUP($E365,'Recommendation Matrix'!$A$5:$K$411,11,FALSE),""))</f>
        <v/>
      </c>
      <c r="L365" s="28" t="str">
        <f t="shared" si="52"/>
        <v/>
      </c>
      <c r="M365" s="28" t="str">
        <f>IF($G365="","",IFERROR(INDEX('Recommendation Matrix'!$L$5:$Q$411,MATCH($E365,'Recommendation Matrix'!$A$5:$A$411,0),$G365+1),""))</f>
        <v/>
      </c>
      <c r="N365" s="28" t="str">
        <f t="shared" si="53"/>
        <v/>
      </c>
      <c r="O365" s="28" t="str">
        <f t="shared" si="54"/>
        <v/>
      </c>
      <c r="P365" s="28" t="str">
        <f t="shared" si="55"/>
        <v/>
      </c>
      <c r="Q365" s="28" t="str">
        <f t="shared" si="56"/>
        <v/>
      </c>
      <c r="R365" s="8" t="str">
        <f t="shared" si="57"/>
        <v/>
      </c>
      <c r="S365" s="28">
        <f>IFERROR('Cyber Privacy'!$G$9,"")</f>
        <v>5</v>
      </c>
      <c r="T365" s="28">
        <f>IFERROR('Cyber Privacy'!$W$9,"")</f>
        <v>5</v>
      </c>
      <c r="U365" s="28">
        <f>IFERROR('Cyber Privacy'!$X$9,"")</f>
        <v>5</v>
      </c>
      <c r="V365" s="28">
        <f>IFERROR('Cyber Privacy'!$Y$9,"")</f>
        <v>5</v>
      </c>
      <c r="W365" s="7" t="s">
        <v>5481</v>
      </c>
      <c r="X365" s="7" t="s">
        <v>5482</v>
      </c>
      <c r="Y365" s="7" t="s">
        <v>5516</v>
      </c>
      <c r="Z365" s="7">
        <f>IFERROR('Cyber Privacy'!$U$9,"")</f>
        <v>0</v>
      </c>
      <c r="AA365" s="7"/>
      <c r="AB365" s="29"/>
      <c r="AC365" s="7"/>
      <c r="AD365" s="48" t="str">
        <f>IF($B365="Yes",IFERROR(SUMIFS(_TECH_Crisis_Model!$D$5:$D$191,_TECH_Crisis_Model!$A$5:$A$191,'Crisis Simulator'!$B$4,_TECH_Crisis_Model!$B$5:$B$191,$C365),1),"")</f>
        <v/>
      </c>
      <c r="AE365" s="48" t="str">
        <f t="shared" si="58"/>
        <v/>
      </c>
      <c r="AF365" s="48" t="str">
        <f>IFERROR(INDEX(_TECH_Crisis_Model!$E$5:$E$191,MATCH('Crisis Simulator'!$B$4&amp;"|"&amp;$C365,_TECH_Crisis_Model!$I$5:$I$191,0)),"")</f>
        <v>Cybersecurity and privacy controls determine resistance to digital disruption and regulatory exposure.</v>
      </c>
      <c r="AG365" s="48" t="str">
        <f>IFERROR(INDEX(_TECH_Crisis_Model!$G$5:$G$191,MATCH('Crisis Simulator'!$B$4&amp;"|"&amp;$C365,_TECH_Crisis_Model!$I$5:$I$191,0)),"")</f>
        <v>Strengthen MFA, EDR, logging, IR playbooks, restore testing, privacy controls and awareness.</v>
      </c>
      <c r="AH365" s="48" t="str">
        <f>IFERROR(INDEX(_TECH_Initiative_Library!$A$5:$A$76,MATCH(1,INDEX((_TECH_Initiative_Library!$B$5:$B$76=$C365)*(_TECH_Initiative_Library!$C$5:$C$76=$D365),0),0)),"")</f>
        <v>INI-063</v>
      </c>
      <c r="AI365" s="48" t="str">
        <f>IFERROR(INDEX(_TECH_Initiative_Library!$F$5:$F$76,MATCH(1,INDEX((_TECH_Initiative_Library!$B$5:$B$76=$C365)*(_TECH_Initiative_Library!$C$5:$C$76=$D365),0),0)),"")</f>
        <v>Implement security governance and risk-management operating model</v>
      </c>
      <c r="AJ365" s="48" t="str">
        <f ca="1">IFERROR(INDEX(_TECH_Initiative_Library!$AC$5:$AC$76,MATCH(1,INDEX((_TECH_Initiative_Library!$B$5:$B$76=$C365)*(_TECH_Initiative_Library!$C$5:$C$76=$D365),0),0)),"")</f>
        <v/>
      </c>
      <c r="AK365" s="48" t="str">
        <f ca="1">IFERROR(INDEX(_TECH_Initiative_Library!$AE$5:$AE$76,MATCH(1,INDEX((_TECH_Initiative_Library!$B$5:$B$76=$C365)*(_TECH_Initiative_Library!$C$5:$C$76=$D365),0),0)),"")</f>
        <v/>
      </c>
      <c r="AL365" s="48" t="str">
        <f>IF($B365="Yes",IFERROR(SUMIFS(_TECH_Industry_Templates!$E:$E,_TECH_Industry_Templates!$A:$A,'Company Profile'!$B$9,_TECH_Industry_Templates!$B:$B,$C365),1),"")</f>
        <v/>
      </c>
      <c r="AM365" s="48" t="str">
        <f t="shared" si="59"/>
        <v/>
      </c>
      <c r="AN365" s="48" t="str">
        <f>IF($AM365="","",RANK.EQ($AM365,$AM$8:$AM$414,0)+COUNTIF($AM$8:$AM365,$AM365)-1)</f>
        <v/>
      </c>
    </row>
    <row r="366" spans="1:40" ht="71.25">
      <c r="A366" s="28" t="str">
        <f>IF($AM366="","",RANK.EQ($AM366,$AM$8:$AM$414,0)+COUNTIF($AM$8:$AM366,$AM366)-1)</f>
        <v/>
      </c>
      <c r="B366" s="7" t="str">
        <f t="shared" si="50"/>
        <v/>
      </c>
      <c r="C366" s="7" t="s">
        <v>93</v>
      </c>
      <c r="D366" s="7" t="s">
        <v>1581</v>
      </c>
      <c r="E366" s="7" t="s">
        <v>5524</v>
      </c>
      <c r="F366" s="7" t="s">
        <v>5525</v>
      </c>
      <c r="G366" s="28" t="str">
        <f>IF(OR(COUNTA('Cyber Privacy'!$H$10)=0,'Cyber Privacy'!$H$10="N/A"),"",VALUE('Cyber Privacy'!$H$10))</f>
        <v/>
      </c>
      <c r="H366" s="7" t="str">
        <f t="shared" si="51"/>
        <v/>
      </c>
      <c r="I366" s="7" t="str">
        <f>IF($G366="","",IFERROR(IF('Cyber Privacy'!$L$10="",IF($G366&lt;=1,"Critical",IF($G366=2,"High",IF($G366=3,"Medium",IF($G366=4,"Low","Optimized")))),'Cyber Privacy'!$L$10),IF($G366&lt;=1,"Critical",IF($G366=2,"High",IF($G366=3,"Medium",IF($G366=4,"Low","Optimized"))))))</f>
        <v/>
      </c>
      <c r="J366" s="7" t="str">
        <f>IF($G366="","",IFERROR(INDEX('Recommendation Matrix'!$E$5:$J$411,MATCH($E366,'Recommendation Matrix'!$A$5:$A$411,0),$G366+1),""))</f>
        <v/>
      </c>
      <c r="K366" s="7" t="str">
        <f>IF($G366="","",IFERROR(VLOOKUP($E366,'Recommendation Matrix'!$A$5:$K$411,11,FALSE),""))</f>
        <v/>
      </c>
      <c r="L366" s="28" t="str">
        <f t="shared" si="52"/>
        <v/>
      </c>
      <c r="M366" s="28" t="str">
        <f>IF($G366="","",IFERROR(INDEX('Recommendation Matrix'!$L$5:$Q$411,MATCH($E366,'Recommendation Matrix'!$A$5:$A$411,0),$G366+1),""))</f>
        <v/>
      </c>
      <c r="N366" s="28" t="str">
        <f t="shared" si="53"/>
        <v/>
      </c>
      <c r="O366" s="28" t="str">
        <f t="shared" si="54"/>
        <v/>
      </c>
      <c r="P366" s="28" t="str">
        <f t="shared" si="55"/>
        <v/>
      </c>
      <c r="Q366" s="28" t="str">
        <f t="shared" si="56"/>
        <v/>
      </c>
      <c r="R366" s="8" t="str">
        <f t="shared" si="57"/>
        <v/>
      </c>
      <c r="S366" s="28">
        <f>IFERROR('Cyber Privacy'!$G$10,"")</f>
        <v>4</v>
      </c>
      <c r="T366" s="28">
        <f>IFERROR('Cyber Privacy'!$W$10,"")</f>
        <v>5</v>
      </c>
      <c r="U366" s="28">
        <f>IFERROR('Cyber Privacy'!$X$10,"")</f>
        <v>5</v>
      </c>
      <c r="V366" s="28">
        <f>IFERROR('Cyber Privacy'!$Y$10,"")</f>
        <v>5</v>
      </c>
      <c r="W366" s="7" t="s">
        <v>5481</v>
      </c>
      <c r="X366" s="7" t="s">
        <v>5482</v>
      </c>
      <c r="Y366" s="7" t="s">
        <v>5526</v>
      </c>
      <c r="Z366" s="7">
        <f>IFERROR('Cyber Privacy'!$U$10,"")</f>
        <v>0</v>
      </c>
      <c r="AA366" s="7"/>
      <c r="AB366" s="29"/>
      <c r="AC366" s="7"/>
      <c r="AD366" s="48" t="str">
        <f>IF($B366="Yes",IFERROR(SUMIFS(_TECH_Crisis_Model!$D$5:$D$191,_TECH_Crisis_Model!$A$5:$A$191,'Crisis Simulator'!$B$4,_TECH_Crisis_Model!$B$5:$B$191,$C366),1),"")</f>
        <v/>
      </c>
      <c r="AE366" s="48" t="str">
        <f t="shared" si="58"/>
        <v/>
      </c>
      <c r="AF366" s="48" t="str">
        <f>IFERROR(INDEX(_TECH_Crisis_Model!$E$5:$E$191,MATCH('Crisis Simulator'!$B$4&amp;"|"&amp;$C366,_TECH_Crisis_Model!$I$5:$I$191,0)),"")</f>
        <v>Cybersecurity and privacy controls determine resistance to digital disruption and regulatory exposure.</v>
      </c>
      <c r="AG366" s="48" t="str">
        <f>IFERROR(INDEX(_TECH_Crisis_Model!$G$5:$G$191,MATCH('Crisis Simulator'!$B$4&amp;"|"&amp;$C366,_TECH_Crisis_Model!$I$5:$I$191,0)),"")</f>
        <v>Strengthen MFA, EDR, logging, IR playbooks, restore testing, privacy controls and awareness.</v>
      </c>
      <c r="AH366" s="48" t="str">
        <f>IFERROR(INDEX(_TECH_Initiative_Library!$A$5:$A$76,MATCH(1,INDEX((_TECH_Initiative_Library!$B$5:$B$76=$C366)*(_TECH_Initiative_Library!$C$5:$C$76=$D366),0),0)),"")</f>
        <v>INI-063</v>
      </c>
      <c r="AI366" s="48" t="str">
        <f>IFERROR(INDEX(_TECH_Initiative_Library!$F$5:$F$76,MATCH(1,INDEX((_TECH_Initiative_Library!$B$5:$B$76=$C366)*(_TECH_Initiative_Library!$C$5:$C$76=$D366),0),0)),"")</f>
        <v>Implement security governance and risk-management operating model</v>
      </c>
      <c r="AJ366" s="48" t="str">
        <f ca="1">IFERROR(INDEX(_TECH_Initiative_Library!$AC$5:$AC$76,MATCH(1,INDEX((_TECH_Initiative_Library!$B$5:$B$76=$C366)*(_TECH_Initiative_Library!$C$5:$C$76=$D366),0),0)),"")</f>
        <v/>
      </c>
      <c r="AK366" s="48" t="str">
        <f ca="1">IFERROR(INDEX(_TECH_Initiative_Library!$AE$5:$AE$76,MATCH(1,INDEX((_TECH_Initiative_Library!$B$5:$B$76=$C366)*(_TECH_Initiative_Library!$C$5:$C$76=$D366),0),0)),"")</f>
        <v/>
      </c>
      <c r="AL366" s="48" t="str">
        <f>IF($B366="Yes",IFERROR(SUMIFS(_TECH_Industry_Templates!$E:$E,_TECH_Industry_Templates!$A:$A,'Company Profile'!$B$9,_TECH_Industry_Templates!$B:$B,$C366),1),"")</f>
        <v/>
      </c>
      <c r="AM366" s="48" t="str">
        <f t="shared" si="59"/>
        <v/>
      </c>
      <c r="AN366" s="48" t="str">
        <f>IF($AM366="","",RANK.EQ($AM366,$AM$8:$AM$414,0)+COUNTIF($AM$8:$AM366,$AM366)-1)</f>
        <v/>
      </c>
    </row>
    <row r="367" spans="1:40" ht="71.25">
      <c r="A367" s="28" t="str">
        <f>IF($AM367="","",RANK.EQ($AM367,$AM$8:$AM$414,0)+COUNTIF($AM$8:$AM367,$AM367)-1)</f>
        <v/>
      </c>
      <c r="B367" s="7" t="str">
        <f t="shared" si="50"/>
        <v/>
      </c>
      <c r="C367" s="7" t="s">
        <v>93</v>
      </c>
      <c r="D367" s="7" t="s">
        <v>1596</v>
      </c>
      <c r="E367" s="7" t="s">
        <v>5534</v>
      </c>
      <c r="F367" s="7" t="s">
        <v>5535</v>
      </c>
      <c r="G367" s="28" t="str">
        <f>IF(OR(COUNTA('Cyber Privacy'!$H$11)=0,'Cyber Privacy'!$H$11="N/A"),"",VALUE('Cyber Privacy'!$H$11))</f>
        <v/>
      </c>
      <c r="H367" s="7" t="str">
        <f t="shared" si="51"/>
        <v/>
      </c>
      <c r="I367" s="7" t="str">
        <f>IF($G367="","",IFERROR(IF('Cyber Privacy'!$L$11="",IF($G367&lt;=1,"Critical",IF($G367=2,"High",IF($G367=3,"Medium",IF($G367=4,"Low","Optimized")))),'Cyber Privacy'!$L$11),IF($G367&lt;=1,"Critical",IF($G367=2,"High",IF($G367=3,"Medium",IF($G367=4,"Low","Optimized"))))))</f>
        <v/>
      </c>
      <c r="J367" s="7" t="str">
        <f>IF($G367="","",IFERROR(INDEX('Recommendation Matrix'!$E$5:$J$411,MATCH($E367,'Recommendation Matrix'!$A$5:$A$411,0),$G367+1),""))</f>
        <v/>
      </c>
      <c r="K367" s="7" t="str">
        <f>IF($G367="","",IFERROR(VLOOKUP($E367,'Recommendation Matrix'!$A$5:$K$411,11,FALSE),""))</f>
        <v/>
      </c>
      <c r="L367" s="28" t="str">
        <f t="shared" si="52"/>
        <v/>
      </c>
      <c r="M367" s="28" t="str">
        <f>IF($G367="","",IFERROR(INDEX('Recommendation Matrix'!$L$5:$Q$411,MATCH($E367,'Recommendation Matrix'!$A$5:$A$411,0),$G367+1),""))</f>
        <v/>
      </c>
      <c r="N367" s="28" t="str">
        <f t="shared" si="53"/>
        <v/>
      </c>
      <c r="O367" s="28" t="str">
        <f t="shared" si="54"/>
        <v/>
      </c>
      <c r="P367" s="28" t="str">
        <f t="shared" si="55"/>
        <v/>
      </c>
      <c r="Q367" s="28" t="str">
        <f t="shared" si="56"/>
        <v/>
      </c>
      <c r="R367" s="8" t="str">
        <f t="shared" si="57"/>
        <v/>
      </c>
      <c r="S367" s="28">
        <f>IFERROR('Cyber Privacy'!$G$11,"")</f>
        <v>4</v>
      </c>
      <c r="T367" s="28">
        <f>IFERROR('Cyber Privacy'!$W$11,"")</f>
        <v>5</v>
      </c>
      <c r="U367" s="28">
        <f>IFERROR('Cyber Privacy'!$X$11,"")</f>
        <v>5</v>
      </c>
      <c r="V367" s="28">
        <f>IFERROR('Cyber Privacy'!$Y$11,"")</f>
        <v>5</v>
      </c>
      <c r="W367" s="7" t="s">
        <v>5481</v>
      </c>
      <c r="X367" s="7" t="s">
        <v>5482</v>
      </c>
      <c r="Y367" s="7" t="s">
        <v>5536</v>
      </c>
      <c r="Z367" s="7">
        <f>IFERROR('Cyber Privacy'!$U$11,"")</f>
        <v>0</v>
      </c>
      <c r="AA367" s="7"/>
      <c r="AB367" s="29"/>
      <c r="AC367" s="7"/>
      <c r="AD367" s="48" t="str">
        <f>IF($B367="Yes",IFERROR(SUMIFS(_TECH_Crisis_Model!$D$5:$D$191,_TECH_Crisis_Model!$A$5:$A$191,'Crisis Simulator'!$B$4,_TECH_Crisis_Model!$B$5:$B$191,$C367),1),"")</f>
        <v/>
      </c>
      <c r="AE367" s="48" t="str">
        <f t="shared" si="58"/>
        <v/>
      </c>
      <c r="AF367" s="48" t="str">
        <f>IFERROR(INDEX(_TECH_Crisis_Model!$E$5:$E$191,MATCH('Crisis Simulator'!$B$4&amp;"|"&amp;$C367,_TECH_Crisis_Model!$I$5:$I$191,0)),"")</f>
        <v>Cybersecurity and privacy controls determine resistance to digital disruption and regulatory exposure.</v>
      </c>
      <c r="AG367" s="48" t="str">
        <f>IFERROR(INDEX(_TECH_Crisis_Model!$G$5:$G$191,MATCH('Crisis Simulator'!$B$4&amp;"|"&amp;$C367,_TECH_Crisis_Model!$I$5:$I$191,0)),"")</f>
        <v>Strengthen MFA, EDR, logging, IR playbooks, restore testing, privacy controls and awareness.</v>
      </c>
      <c r="AH367" s="48" t="str">
        <f>IFERROR(INDEX(_TECH_Initiative_Library!$A$5:$A$76,MATCH(1,INDEX((_TECH_Initiative_Library!$B$5:$B$76=$C367)*(_TECH_Initiative_Library!$C$5:$C$76=$D367),0),0)),"")</f>
        <v>INI-064</v>
      </c>
      <c r="AI367" s="48" t="str">
        <f>IFERROR(INDEX(_TECH_Initiative_Library!$F$5:$F$76,MATCH(1,INDEX((_TECH_Initiative_Library!$B$5:$B$76=$C367)*(_TECH_Initiative_Library!$C$5:$C$76=$D367),0),0)),"")</f>
        <v>Strengthen IAM, MFA, privileged access and joiner/mover/leaver controls</v>
      </c>
      <c r="AJ367" s="48" t="str">
        <f ca="1">IFERROR(INDEX(_TECH_Initiative_Library!$AC$5:$AC$76,MATCH(1,INDEX((_TECH_Initiative_Library!$B$5:$B$76=$C367)*(_TECH_Initiative_Library!$C$5:$C$76=$D367),0),0)),"")</f>
        <v/>
      </c>
      <c r="AK367" s="48" t="str">
        <f ca="1">IFERROR(INDEX(_TECH_Initiative_Library!$AE$5:$AE$76,MATCH(1,INDEX((_TECH_Initiative_Library!$B$5:$B$76=$C367)*(_TECH_Initiative_Library!$C$5:$C$76=$D367),0),0)),"")</f>
        <v/>
      </c>
      <c r="AL367" s="48" t="str">
        <f>IF($B367="Yes",IFERROR(SUMIFS(_TECH_Industry_Templates!$E:$E,_TECH_Industry_Templates!$A:$A,'Company Profile'!$B$9,_TECH_Industry_Templates!$B:$B,$C367),1),"")</f>
        <v/>
      </c>
      <c r="AM367" s="48" t="str">
        <f t="shared" si="59"/>
        <v/>
      </c>
      <c r="AN367" s="48" t="str">
        <f>IF($AM367="","",RANK.EQ($AM367,$AM$8:$AM$414,0)+COUNTIF($AM$8:$AM367,$AM367)-1)</f>
        <v/>
      </c>
    </row>
    <row r="368" spans="1:40" ht="85.5">
      <c r="A368" s="28" t="str">
        <f>IF($AM368="","",RANK.EQ($AM368,$AM$8:$AM$414,0)+COUNTIF($AM$8:$AM368,$AM368)-1)</f>
        <v/>
      </c>
      <c r="B368" s="7" t="str">
        <f t="shared" si="50"/>
        <v/>
      </c>
      <c r="C368" s="7" t="s">
        <v>93</v>
      </c>
      <c r="D368" s="7" t="s">
        <v>1596</v>
      </c>
      <c r="E368" s="7" t="s">
        <v>5544</v>
      </c>
      <c r="F368" s="7" t="s">
        <v>5545</v>
      </c>
      <c r="G368" s="28" t="str">
        <f>IF(OR(COUNTA('Cyber Privacy'!$H$12)=0,'Cyber Privacy'!$H$12="N/A"),"",VALUE('Cyber Privacy'!$H$12))</f>
        <v/>
      </c>
      <c r="H368" s="7" t="str">
        <f t="shared" si="51"/>
        <v/>
      </c>
      <c r="I368" s="7" t="str">
        <f>IF($G368="","",IFERROR(IF('Cyber Privacy'!$L$12="",IF($G368&lt;=1,"Critical",IF($G368=2,"High",IF($G368=3,"Medium",IF($G368=4,"Low","Optimized")))),'Cyber Privacy'!$L$12),IF($G368&lt;=1,"Critical",IF($G368=2,"High",IF($G368=3,"Medium",IF($G368=4,"Low","Optimized"))))))</f>
        <v/>
      </c>
      <c r="J368" s="7" t="str">
        <f>IF($G368="","",IFERROR(INDEX('Recommendation Matrix'!$E$5:$J$411,MATCH($E368,'Recommendation Matrix'!$A$5:$A$411,0),$G368+1),""))</f>
        <v/>
      </c>
      <c r="K368" s="7" t="str">
        <f>IF($G368="","",IFERROR(VLOOKUP($E368,'Recommendation Matrix'!$A$5:$K$411,11,FALSE),""))</f>
        <v/>
      </c>
      <c r="L368" s="28" t="str">
        <f t="shared" si="52"/>
        <v/>
      </c>
      <c r="M368" s="28" t="str">
        <f>IF($G368="","",IFERROR(INDEX('Recommendation Matrix'!$L$5:$Q$411,MATCH($E368,'Recommendation Matrix'!$A$5:$A$411,0),$G368+1),""))</f>
        <v/>
      </c>
      <c r="N368" s="28" t="str">
        <f t="shared" si="53"/>
        <v/>
      </c>
      <c r="O368" s="28" t="str">
        <f t="shared" si="54"/>
        <v/>
      </c>
      <c r="P368" s="28" t="str">
        <f t="shared" si="55"/>
        <v/>
      </c>
      <c r="Q368" s="28" t="str">
        <f t="shared" si="56"/>
        <v/>
      </c>
      <c r="R368" s="8" t="str">
        <f t="shared" si="57"/>
        <v/>
      </c>
      <c r="S368" s="28">
        <f>IFERROR('Cyber Privacy'!$G$12,"")</f>
        <v>5</v>
      </c>
      <c r="T368" s="28">
        <f>IFERROR('Cyber Privacy'!$W$12,"")</f>
        <v>5</v>
      </c>
      <c r="U368" s="28">
        <f>IFERROR('Cyber Privacy'!$X$12,"")</f>
        <v>5</v>
      </c>
      <c r="V368" s="28">
        <f>IFERROR('Cyber Privacy'!$Y$12,"")</f>
        <v>5</v>
      </c>
      <c r="W368" s="7" t="s">
        <v>5481</v>
      </c>
      <c r="X368" s="7" t="s">
        <v>5482</v>
      </c>
      <c r="Y368" s="7" t="s">
        <v>5546</v>
      </c>
      <c r="Z368" s="7">
        <f>IFERROR('Cyber Privacy'!$U$12,"")</f>
        <v>0</v>
      </c>
      <c r="AA368" s="7"/>
      <c r="AB368" s="29"/>
      <c r="AC368" s="7"/>
      <c r="AD368" s="48" t="str">
        <f>IF($B368="Yes",IFERROR(SUMIFS(_TECH_Crisis_Model!$D$5:$D$191,_TECH_Crisis_Model!$A$5:$A$191,'Crisis Simulator'!$B$4,_TECH_Crisis_Model!$B$5:$B$191,$C368),1),"")</f>
        <v/>
      </c>
      <c r="AE368" s="48" t="str">
        <f t="shared" si="58"/>
        <v/>
      </c>
      <c r="AF368" s="48" t="str">
        <f>IFERROR(INDEX(_TECH_Crisis_Model!$E$5:$E$191,MATCH('Crisis Simulator'!$B$4&amp;"|"&amp;$C368,_TECH_Crisis_Model!$I$5:$I$191,0)),"")</f>
        <v>Cybersecurity and privacy controls determine resistance to digital disruption and regulatory exposure.</v>
      </c>
      <c r="AG368" s="48" t="str">
        <f>IFERROR(INDEX(_TECH_Crisis_Model!$G$5:$G$191,MATCH('Crisis Simulator'!$B$4&amp;"|"&amp;$C368,_TECH_Crisis_Model!$I$5:$I$191,0)),"")</f>
        <v>Strengthen MFA, EDR, logging, IR playbooks, restore testing, privacy controls and awareness.</v>
      </c>
      <c r="AH368" s="48" t="str">
        <f>IFERROR(INDEX(_TECH_Initiative_Library!$A$5:$A$76,MATCH(1,INDEX((_TECH_Initiative_Library!$B$5:$B$76=$C368)*(_TECH_Initiative_Library!$C$5:$C$76=$D368),0),0)),"")</f>
        <v>INI-064</v>
      </c>
      <c r="AI368" s="48" t="str">
        <f>IFERROR(INDEX(_TECH_Initiative_Library!$F$5:$F$76,MATCH(1,INDEX((_TECH_Initiative_Library!$B$5:$B$76=$C368)*(_TECH_Initiative_Library!$C$5:$C$76=$D368),0),0)),"")</f>
        <v>Strengthen IAM, MFA, privileged access and joiner/mover/leaver controls</v>
      </c>
      <c r="AJ368" s="48" t="str">
        <f ca="1">IFERROR(INDEX(_TECH_Initiative_Library!$AC$5:$AC$76,MATCH(1,INDEX((_TECH_Initiative_Library!$B$5:$B$76=$C368)*(_TECH_Initiative_Library!$C$5:$C$76=$D368),0),0)),"")</f>
        <v/>
      </c>
      <c r="AK368" s="48" t="str">
        <f ca="1">IFERROR(INDEX(_TECH_Initiative_Library!$AE$5:$AE$76,MATCH(1,INDEX((_TECH_Initiative_Library!$B$5:$B$76=$C368)*(_TECH_Initiative_Library!$C$5:$C$76=$D368),0),0)),"")</f>
        <v/>
      </c>
      <c r="AL368" s="48" t="str">
        <f>IF($B368="Yes",IFERROR(SUMIFS(_TECH_Industry_Templates!$E:$E,_TECH_Industry_Templates!$A:$A,'Company Profile'!$B$9,_TECH_Industry_Templates!$B:$B,$C368),1),"")</f>
        <v/>
      </c>
      <c r="AM368" s="48" t="str">
        <f t="shared" si="59"/>
        <v/>
      </c>
      <c r="AN368" s="48" t="str">
        <f>IF($AM368="","",RANK.EQ($AM368,$AM$8:$AM$414,0)+COUNTIF($AM$8:$AM368,$AM368)-1)</f>
        <v/>
      </c>
    </row>
    <row r="369" spans="1:40" ht="71.25">
      <c r="A369" s="28" t="str">
        <f>IF($AM369="","",RANK.EQ($AM369,$AM$8:$AM$414,0)+COUNTIF($AM$8:$AM369,$AM369)-1)</f>
        <v/>
      </c>
      <c r="B369" s="7" t="str">
        <f t="shared" si="50"/>
        <v/>
      </c>
      <c r="C369" s="7" t="s">
        <v>93</v>
      </c>
      <c r="D369" s="7" t="s">
        <v>1596</v>
      </c>
      <c r="E369" s="7" t="s">
        <v>5554</v>
      </c>
      <c r="F369" s="7" t="s">
        <v>5555</v>
      </c>
      <c r="G369" s="28" t="str">
        <f>IF(OR(COUNTA('Cyber Privacy'!$H$13)=0,'Cyber Privacy'!$H$13="N/A"),"",VALUE('Cyber Privacy'!$H$13))</f>
        <v/>
      </c>
      <c r="H369" s="7" t="str">
        <f t="shared" si="51"/>
        <v/>
      </c>
      <c r="I369" s="7" t="str">
        <f>IF($G369="","",IFERROR(IF('Cyber Privacy'!$L$13="",IF($G369&lt;=1,"Critical",IF($G369=2,"High",IF($G369=3,"Medium",IF($G369=4,"Low","Optimized")))),'Cyber Privacy'!$L$13),IF($G369&lt;=1,"Critical",IF($G369=2,"High",IF($G369=3,"Medium",IF($G369=4,"Low","Optimized"))))))</f>
        <v/>
      </c>
      <c r="J369" s="7" t="str">
        <f>IF($G369="","",IFERROR(INDEX('Recommendation Matrix'!$E$5:$J$411,MATCH($E369,'Recommendation Matrix'!$A$5:$A$411,0),$G369+1),""))</f>
        <v/>
      </c>
      <c r="K369" s="7" t="str">
        <f>IF($G369="","",IFERROR(VLOOKUP($E369,'Recommendation Matrix'!$A$5:$K$411,11,FALSE),""))</f>
        <v/>
      </c>
      <c r="L369" s="28" t="str">
        <f t="shared" si="52"/>
        <v/>
      </c>
      <c r="M369" s="28" t="str">
        <f>IF($G369="","",IFERROR(INDEX('Recommendation Matrix'!$L$5:$Q$411,MATCH($E369,'Recommendation Matrix'!$A$5:$A$411,0),$G369+1),""))</f>
        <v/>
      </c>
      <c r="N369" s="28" t="str">
        <f t="shared" si="53"/>
        <v/>
      </c>
      <c r="O369" s="28" t="str">
        <f t="shared" si="54"/>
        <v/>
      </c>
      <c r="P369" s="28" t="str">
        <f t="shared" si="55"/>
        <v/>
      </c>
      <c r="Q369" s="28" t="str">
        <f t="shared" si="56"/>
        <v/>
      </c>
      <c r="R369" s="8" t="str">
        <f t="shared" si="57"/>
        <v/>
      </c>
      <c r="S369" s="28">
        <f>IFERROR('Cyber Privacy'!$G$13,"")</f>
        <v>4</v>
      </c>
      <c r="T369" s="28">
        <f>IFERROR('Cyber Privacy'!$W$13,"")</f>
        <v>5</v>
      </c>
      <c r="U369" s="28">
        <f>IFERROR('Cyber Privacy'!$X$13,"")</f>
        <v>5</v>
      </c>
      <c r="V369" s="28">
        <f>IFERROR('Cyber Privacy'!$Y$13,"")</f>
        <v>5</v>
      </c>
      <c r="W369" s="7" t="s">
        <v>5481</v>
      </c>
      <c r="X369" s="7" t="s">
        <v>5482</v>
      </c>
      <c r="Y369" s="7" t="s">
        <v>5556</v>
      </c>
      <c r="Z369" s="7">
        <f>IFERROR('Cyber Privacy'!$U$13,"")</f>
        <v>0</v>
      </c>
      <c r="AA369" s="7"/>
      <c r="AB369" s="29"/>
      <c r="AC369" s="7"/>
      <c r="AD369" s="48" t="str">
        <f>IF($B369="Yes",IFERROR(SUMIFS(_TECH_Crisis_Model!$D$5:$D$191,_TECH_Crisis_Model!$A$5:$A$191,'Crisis Simulator'!$B$4,_TECH_Crisis_Model!$B$5:$B$191,$C369),1),"")</f>
        <v/>
      </c>
      <c r="AE369" s="48" t="str">
        <f t="shared" si="58"/>
        <v/>
      </c>
      <c r="AF369" s="48" t="str">
        <f>IFERROR(INDEX(_TECH_Crisis_Model!$E$5:$E$191,MATCH('Crisis Simulator'!$B$4&amp;"|"&amp;$C369,_TECH_Crisis_Model!$I$5:$I$191,0)),"")</f>
        <v>Cybersecurity and privacy controls determine resistance to digital disruption and regulatory exposure.</v>
      </c>
      <c r="AG369" s="48" t="str">
        <f>IFERROR(INDEX(_TECH_Crisis_Model!$G$5:$G$191,MATCH('Crisis Simulator'!$B$4&amp;"|"&amp;$C369,_TECH_Crisis_Model!$I$5:$I$191,0)),"")</f>
        <v>Strengthen MFA, EDR, logging, IR playbooks, restore testing, privacy controls and awareness.</v>
      </c>
      <c r="AH369" s="48" t="str">
        <f>IFERROR(INDEX(_TECH_Initiative_Library!$A$5:$A$76,MATCH(1,INDEX((_TECH_Initiative_Library!$B$5:$B$76=$C369)*(_TECH_Initiative_Library!$C$5:$C$76=$D369),0),0)),"")</f>
        <v>INI-064</v>
      </c>
      <c r="AI369" s="48" t="str">
        <f>IFERROR(INDEX(_TECH_Initiative_Library!$F$5:$F$76,MATCH(1,INDEX((_TECH_Initiative_Library!$B$5:$B$76=$C369)*(_TECH_Initiative_Library!$C$5:$C$76=$D369),0),0)),"")</f>
        <v>Strengthen IAM, MFA, privileged access and joiner/mover/leaver controls</v>
      </c>
      <c r="AJ369" s="48" t="str">
        <f ca="1">IFERROR(INDEX(_TECH_Initiative_Library!$AC$5:$AC$76,MATCH(1,INDEX((_TECH_Initiative_Library!$B$5:$B$76=$C369)*(_TECH_Initiative_Library!$C$5:$C$76=$D369),0),0)),"")</f>
        <v/>
      </c>
      <c r="AK369" s="48" t="str">
        <f ca="1">IFERROR(INDEX(_TECH_Initiative_Library!$AE$5:$AE$76,MATCH(1,INDEX((_TECH_Initiative_Library!$B$5:$B$76=$C369)*(_TECH_Initiative_Library!$C$5:$C$76=$D369),0),0)),"")</f>
        <v/>
      </c>
      <c r="AL369" s="48" t="str">
        <f>IF($B369="Yes",IFERROR(SUMIFS(_TECH_Industry_Templates!$E:$E,_TECH_Industry_Templates!$A:$A,'Company Profile'!$B$9,_TECH_Industry_Templates!$B:$B,$C369),1),"")</f>
        <v/>
      </c>
      <c r="AM369" s="48" t="str">
        <f t="shared" si="59"/>
        <v/>
      </c>
      <c r="AN369" s="48" t="str">
        <f>IF($AM369="","",RANK.EQ($AM369,$AM$8:$AM$414,0)+COUNTIF($AM$8:$AM369,$AM369)-1)</f>
        <v/>
      </c>
    </row>
    <row r="370" spans="1:40" ht="57">
      <c r="A370" s="28" t="str">
        <f>IF($AM370="","",RANK.EQ($AM370,$AM$8:$AM$414,0)+COUNTIF($AM$8:$AM370,$AM370)-1)</f>
        <v/>
      </c>
      <c r="B370" s="7" t="str">
        <f t="shared" si="50"/>
        <v/>
      </c>
      <c r="C370" s="7" t="s">
        <v>93</v>
      </c>
      <c r="D370" s="7" t="s">
        <v>1596</v>
      </c>
      <c r="E370" s="7" t="s">
        <v>5564</v>
      </c>
      <c r="F370" s="7" t="s">
        <v>5565</v>
      </c>
      <c r="G370" s="28" t="str">
        <f>IF(OR(COUNTA('Cyber Privacy'!$H$14)=0,'Cyber Privacy'!$H$14="N/A"),"",VALUE('Cyber Privacy'!$H$14))</f>
        <v/>
      </c>
      <c r="H370" s="7" t="str">
        <f t="shared" si="51"/>
        <v/>
      </c>
      <c r="I370" s="7" t="str">
        <f>IF($G370="","",IFERROR(IF('Cyber Privacy'!$L$14="",IF($G370&lt;=1,"Critical",IF($G370=2,"High",IF($G370=3,"Medium",IF($G370=4,"Low","Optimized")))),'Cyber Privacy'!$L$14),IF($G370&lt;=1,"Critical",IF($G370=2,"High",IF($G370=3,"Medium",IF($G370=4,"Low","Optimized"))))))</f>
        <v/>
      </c>
      <c r="J370" s="7" t="str">
        <f>IF($G370="","",IFERROR(INDEX('Recommendation Matrix'!$E$5:$J$411,MATCH($E370,'Recommendation Matrix'!$A$5:$A$411,0),$G370+1),""))</f>
        <v/>
      </c>
      <c r="K370" s="7" t="str">
        <f>IF($G370="","",IFERROR(VLOOKUP($E370,'Recommendation Matrix'!$A$5:$K$411,11,FALSE),""))</f>
        <v/>
      </c>
      <c r="L370" s="28" t="str">
        <f t="shared" si="52"/>
        <v/>
      </c>
      <c r="M370" s="28" t="str">
        <f>IF($G370="","",IFERROR(INDEX('Recommendation Matrix'!$L$5:$Q$411,MATCH($E370,'Recommendation Matrix'!$A$5:$A$411,0),$G370+1),""))</f>
        <v/>
      </c>
      <c r="N370" s="28" t="str">
        <f t="shared" si="53"/>
        <v/>
      </c>
      <c r="O370" s="28" t="str">
        <f t="shared" si="54"/>
        <v/>
      </c>
      <c r="P370" s="28" t="str">
        <f t="shared" si="55"/>
        <v/>
      </c>
      <c r="Q370" s="28" t="str">
        <f t="shared" si="56"/>
        <v/>
      </c>
      <c r="R370" s="8" t="str">
        <f t="shared" si="57"/>
        <v/>
      </c>
      <c r="S370" s="28">
        <f>IFERROR('Cyber Privacy'!$G$14,"")</f>
        <v>3</v>
      </c>
      <c r="T370" s="28">
        <f>IFERROR('Cyber Privacy'!$W$14,"")</f>
        <v>5</v>
      </c>
      <c r="U370" s="28">
        <f>IFERROR('Cyber Privacy'!$X$14,"")</f>
        <v>5</v>
      </c>
      <c r="V370" s="28">
        <f>IFERROR('Cyber Privacy'!$Y$14,"")</f>
        <v>5</v>
      </c>
      <c r="W370" s="7" t="s">
        <v>5481</v>
      </c>
      <c r="X370" s="7" t="s">
        <v>5482</v>
      </c>
      <c r="Y370" s="7" t="s">
        <v>5566</v>
      </c>
      <c r="Z370" s="7">
        <f>IFERROR('Cyber Privacy'!$U$14,"")</f>
        <v>0</v>
      </c>
      <c r="AA370" s="7"/>
      <c r="AB370" s="29"/>
      <c r="AC370" s="7"/>
      <c r="AD370" s="48" t="str">
        <f>IF($B370="Yes",IFERROR(SUMIFS(_TECH_Crisis_Model!$D$5:$D$191,_TECH_Crisis_Model!$A$5:$A$191,'Crisis Simulator'!$B$4,_TECH_Crisis_Model!$B$5:$B$191,$C370),1),"")</f>
        <v/>
      </c>
      <c r="AE370" s="48" t="str">
        <f t="shared" si="58"/>
        <v/>
      </c>
      <c r="AF370" s="48" t="str">
        <f>IFERROR(INDEX(_TECH_Crisis_Model!$E$5:$E$191,MATCH('Crisis Simulator'!$B$4&amp;"|"&amp;$C370,_TECH_Crisis_Model!$I$5:$I$191,0)),"")</f>
        <v>Cybersecurity and privacy controls determine resistance to digital disruption and regulatory exposure.</v>
      </c>
      <c r="AG370" s="48" t="str">
        <f>IFERROR(INDEX(_TECH_Crisis_Model!$G$5:$G$191,MATCH('Crisis Simulator'!$B$4&amp;"|"&amp;$C370,_TECH_Crisis_Model!$I$5:$I$191,0)),"")</f>
        <v>Strengthen MFA, EDR, logging, IR playbooks, restore testing, privacy controls and awareness.</v>
      </c>
      <c r="AH370" s="48" t="str">
        <f>IFERROR(INDEX(_TECH_Initiative_Library!$A$5:$A$76,MATCH(1,INDEX((_TECH_Initiative_Library!$B$5:$B$76=$C370)*(_TECH_Initiative_Library!$C$5:$C$76=$D370),0),0)),"")</f>
        <v>INI-064</v>
      </c>
      <c r="AI370" s="48" t="str">
        <f>IFERROR(INDEX(_TECH_Initiative_Library!$F$5:$F$76,MATCH(1,INDEX((_TECH_Initiative_Library!$B$5:$B$76=$C370)*(_TECH_Initiative_Library!$C$5:$C$76=$D370),0),0)),"")</f>
        <v>Strengthen IAM, MFA, privileged access and joiner/mover/leaver controls</v>
      </c>
      <c r="AJ370" s="48" t="str">
        <f ca="1">IFERROR(INDEX(_TECH_Initiative_Library!$AC$5:$AC$76,MATCH(1,INDEX((_TECH_Initiative_Library!$B$5:$B$76=$C370)*(_TECH_Initiative_Library!$C$5:$C$76=$D370),0),0)),"")</f>
        <v/>
      </c>
      <c r="AK370" s="48" t="str">
        <f ca="1">IFERROR(INDEX(_TECH_Initiative_Library!$AE$5:$AE$76,MATCH(1,INDEX((_TECH_Initiative_Library!$B$5:$B$76=$C370)*(_TECH_Initiative_Library!$C$5:$C$76=$D370),0),0)),"")</f>
        <v/>
      </c>
      <c r="AL370" s="48" t="str">
        <f>IF($B370="Yes",IFERROR(SUMIFS(_TECH_Industry_Templates!$E:$E,_TECH_Industry_Templates!$A:$A,'Company Profile'!$B$9,_TECH_Industry_Templates!$B:$B,$C370),1),"")</f>
        <v/>
      </c>
      <c r="AM370" s="48" t="str">
        <f t="shared" si="59"/>
        <v/>
      </c>
      <c r="AN370" s="48" t="str">
        <f>IF($AM370="","",RANK.EQ($AM370,$AM$8:$AM$414,0)+COUNTIF($AM$8:$AM370,$AM370)-1)</f>
        <v/>
      </c>
    </row>
    <row r="371" spans="1:40" ht="71.25">
      <c r="A371" s="28" t="str">
        <f>IF($AM371="","",RANK.EQ($AM371,$AM$8:$AM$414,0)+COUNTIF($AM$8:$AM371,$AM371)-1)</f>
        <v/>
      </c>
      <c r="B371" s="7" t="str">
        <f t="shared" si="50"/>
        <v/>
      </c>
      <c r="C371" s="7" t="s">
        <v>93</v>
      </c>
      <c r="D371" s="7" t="s">
        <v>1596</v>
      </c>
      <c r="E371" s="7" t="s">
        <v>5574</v>
      </c>
      <c r="F371" s="7" t="s">
        <v>5575</v>
      </c>
      <c r="G371" s="28" t="str">
        <f>IF(OR(COUNTA('Cyber Privacy'!$H$15)=0,'Cyber Privacy'!$H$15="N/A"),"",VALUE('Cyber Privacy'!$H$15))</f>
        <v/>
      </c>
      <c r="H371" s="7" t="str">
        <f t="shared" si="51"/>
        <v/>
      </c>
      <c r="I371" s="7" t="str">
        <f>IF($G371="","",IFERROR(IF('Cyber Privacy'!$L$15="",IF($G371&lt;=1,"Critical",IF($G371=2,"High",IF($G371=3,"Medium",IF($G371=4,"Low","Optimized")))),'Cyber Privacy'!$L$15),IF($G371&lt;=1,"Critical",IF($G371=2,"High",IF($G371=3,"Medium",IF($G371=4,"Low","Optimized"))))))</f>
        <v/>
      </c>
      <c r="J371" s="7" t="str">
        <f>IF($G371="","",IFERROR(INDEX('Recommendation Matrix'!$E$5:$J$411,MATCH($E371,'Recommendation Matrix'!$A$5:$A$411,0),$G371+1),""))</f>
        <v/>
      </c>
      <c r="K371" s="7" t="str">
        <f>IF($G371="","",IFERROR(VLOOKUP($E371,'Recommendation Matrix'!$A$5:$K$411,11,FALSE),""))</f>
        <v/>
      </c>
      <c r="L371" s="28" t="str">
        <f t="shared" si="52"/>
        <v/>
      </c>
      <c r="M371" s="28" t="str">
        <f>IF($G371="","",IFERROR(INDEX('Recommendation Matrix'!$L$5:$Q$411,MATCH($E371,'Recommendation Matrix'!$A$5:$A$411,0),$G371+1),""))</f>
        <v/>
      </c>
      <c r="N371" s="28" t="str">
        <f t="shared" si="53"/>
        <v/>
      </c>
      <c r="O371" s="28" t="str">
        <f t="shared" si="54"/>
        <v/>
      </c>
      <c r="P371" s="28" t="str">
        <f t="shared" si="55"/>
        <v/>
      </c>
      <c r="Q371" s="28" t="str">
        <f t="shared" si="56"/>
        <v/>
      </c>
      <c r="R371" s="8" t="str">
        <f t="shared" si="57"/>
        <v/>
      </c>
      <c r="S371" s="28">
        <f>IFERROR('Cyber Privacy'!$G$15,"")</f>
        <v>4</v>
      </c>
      <c r="T371" s="28">
        <f>IFERROR('Cyber Privacy'!$W$15,"")</f>
        <v>5</v>
      </c>
      <c r="U371" s="28">
        <f>IFERROR('Cyber Privacy'!$X$15,"")</f>
        <v>5</v>
      </c>
      <c r="V371" s="28">
        <f>IFERROR('Cyber Privacy'!$Y$15,"")</f>
        <v>5</v>
      </c>
      <c r="W371" s="7" t="s">
        <v>5481</v>
      </c>
      <c r="X371" s="7" t="s">
        <v>5482</v>
      </c>
      <c r="Y371" s="7" t="s">
        <v>5576</v>
      </c>
      <c r="Z371" s="7">
        <f>IFERROR('Cyber Privacy'!$U$15,"")</f>
        <v>0</v>
      </c>
      <c r="AA371" s="7"/>
      <c r="AB371" s="29"/>
      <c r="AC371" s="7"/>
      <c r="AD371" s="48" t="str">
        <f>IF($B371="Yes",IFERROR(SUMIFS(_TECH_Crisis_Model!$D$5:$D$191,_TECH_Crisis_Model!$A$5:$A$191,'Crisis Simulator'!$B$4,_TECH_Crisis_Model!$B$5:$B$191,$C371),1),"")</f>
        <v/>
      </c>
      <c r="AE371" s="48" t="str">
        <f t="shared" si="58"/>
        <v/>
      </c>
      <c r="AF371" s="48" t="str">
        <f>IFERROR(INDEX(_TECH_Crisis_Model!$E$5:$E$191,MATCH('Crisis Simulator'!$B$4&amp;"|"&amp;$C371,_TECH_Crisis_Model!$I$5:$I$191,0)),"")</f>
        <v>Cybersecurity and privacy controls determine resistance to digital disruption and regulatory exposure.</v>
      </c>
      <c r="AG371" s="48" t="str">
        <f>IFERROR(INDEX(_TECH_Crisis_Model!$G$5:$G$191,MATCH('Crisis Simulator'!$B$4&amp;"|"&amp;$C371,_TECH_Crisis_Model!$I$5:$I$191,0)),"")</f>
        <v>Strengthen MFA, EDR, logging, IR playbooks, restore testing, privacy controls and awareness.</v>
      </c>
      <c r="AH371" s="48" t="str">
        <f>IFERROR(INDEX(_TECH_Initiative_Library!$A$5:$A$76,MATCH(1,INDEX((_TECH_Initiative_Library!$B$5:$B$76=$C371)*(_TECH_Initiative_Library!$C$5:$C$76=$D371),0),0)),"")</f>
        <v>INI-064</v>
      </c>
      <c r="AI371" s="48" t="str">
        <f>IFERROR(INDEX(_TECH_Initiative_Library!$F$5:$F$76,MATCH(1,INDEX((_TECH_Initiative_Library!$B$5:$B$76=$C371)*(_TECH_Initiative_Library!$C$5:$C$76=$D371),0),0)),"")</f>
        <v>Strengthen IAM, MFA, privileged access and joiner/mover/leaver controls</v>
      </c>
      <c r="AJ371" s="48" t="str">
        <f ca="1">IFERROR(INDEX(_TECH_Initiative_Library!$AC$5:$AC$76,MATCH(1,INDEX((_TECH_Initiative_Library!$B$5:$B$76=$C371)*(_TECH_Initiative_Library!$C$5:$C$76=$D371),0),0)),"")</f>
        <v/>
      </c>
      <c r="AK371" s="48" t="str">
        <f ca="1">IFERROR(INDEX(_TECH_Initiative_Library!$AE$5:$AE$76,MATCH(1,INDEX((_TECH_Initiative_Library!$B$5:$B$76=$C371)*(_TECH_Initiative_Library!$C$5:$C$76=$D371),0),0)),"")</f>
        <v/>
      </c>
      <c r="AL371" s="48" t="str">
        <f>IF($B371="Yes",IFERROR(SUMIFS(_TECH_Industry_Templates!$E:$E,_TECH_Industry_Templates!$A:$A,'Company Profile'!$B$9,_TECH_Industry_Templates!$B:$B,$C371),1),"")</f>
        <v/>
      </c>
      <c r="AM371" s="48" t="str">
        <f t="shared" si="59"/>
        <v/>
      </c>
      <c r="AN371" s="48" t="str">
        <f>IF($AM371="","",RANK.EQ($AM371,$AM$8:$AM$414,0)+COUNTIF($AM$8:$AM371,$AM371)-1)</f>
        <v/>
      </c>
    </row>
    <row r="372" spans="1:40" ht="71.25">
      <c r="A372" s="28" t="str">
        <f>IF($AM372="","",RANK.EQ($AM372,$AM$8:$AM$414,0)+COUNTIF($AM$8:$AM372,$AM372)-1)</f>
        <v/>
      </c>
      <c r="B372" s="7" t="str">
        <f t="shared" si="50"/>
        <v/>
      </c>
      <c r="C372" s="7" t="s">
        <v>93</v>
      </c>
      <c r="D372" s="7" t="s">
        <v>1596</v>
      </c>
      <c r="E372" s="7" t="s">
        <v>5584</v>
      </c>
      <c r="F372" s="7" t="s">
        <v>5585</v>
      </c>
      <c r="G372" s="28" t="str">
        <f>IF(OR(COUNTA('Cyber Privacy'!$H$16)=0,'Cyber Privacy'!$H$16="N/A"),"",VALUE('Cyber Privacy'!$H$16))</f>
        <v/>
      </c>
      <c r="H372" s="7" t="str">
        <f t="shared" si="51"/>
        <v/>
      </c>
      <c r="I372" s="7" t="str">
        <f>IF($G372="","",IFERROR(IF('Cyber Privacy'!$L$16="",IF($G372&lt;=1,"Critical",IF($G372=2,"High",IF($G372=3,"Medium",IF($G372=4,"Low","Optimized")))),'Cyber Privacy'!$L$16),IF($G372&lt;=1,"Critical",IF($G372=2,"High",IF($G372=3,"Medium",IF($G372=4,"Low","Optimized"))))))</f>
        <v/>
      </c>
      <c r="J372" s="7" t="str">
        <f>IF($G372="","",IFERROR(INDEX('Recommendation Matrix'!$E$5:$J$411,MATCH($E372,'Recommendation Matrix'!$A$5:$A$411,0),$G372+1),""))</f>
        <v/>
      </c>
      <c r="K372" s="7" t="str">
        <f>IF($G372="","",IFERROR(VLOOKUP($E372,'Recommendation Matrix'!$A$5:$K$411,11,FALSE),""))</f>
        <v/>
      </c>
      <c r="L372" s="28" t="str">
        <f t="shared" si="52"/>
        <v/>
      </c>
      <c r="M372" s="28" t="str">
        <f>IF($G372="","",IFERROR(INDEX('Recommendation Matrix'!$L$5:$Q$411,MATCH($E372,'Recommendation Matrix'!$A$5:$A$411,0),$G372+1),""))</f>
        <v/>
      </c>
      <c r="N372" s="28" t="str">
        <f t="shared" si="53"/>
        <v/>
      </c>
      <c r="O372" s="28" t="str">
        <f t="shared" si="54"/>
        <v/>
      </c>
      <c r="P372" s="28" t="str">
        <f t="shared" si="55"/>
        <v/>
      </c>
      <c r="Q372" s="28" t="str">
        <f t="shared" si="56"/>
        <v/>
      </c>
      <c r="R372" s="8" t="str">
        <f t="shared" si="57"/>
        <v/>
      </c>
      <c r="S372" s="28">
        <f>IFERROR('Cyber Privacy'!$G$16,"")</f>
        <v>5</v>
      </c>
      <c r="T372" s="28">
        <f>IFERROR('Cyber Privacy'!$W$16,"")</f>
        <v>5</v>
      </c>
      <c r="U372" s="28">
        <f>IFERROR('Cyber Privacy'!$X$16,"")</f>
        <v>5</v>
      </c>
      <c r="V372" s="28">
        <f>IFERROR('Cyber Privacy'!$Y$16,"")</f>
        <v>5</v>
      </c>
      <c r="W372" s="7" t="s">
        <v>5481</v>
      </c>
      <c r="X372" s="7" t="s">
        <v>5482</v>
      </c>
      <c r="Y372" s="7" t="s">
        <v>5586</v>
      </c>
      <c r="Z372" s="7">
        <f>IFERROR('Cyber Privacy'!$U$16,"")</f>
        <v>0</v>
      </c>
      <c r="AA372" s="7"/>
      <c r="AB372" s="29"/>
      <c r="AC372" s="7"/>
      <c r="AD372" s="48" t="str">
        <f>IF($B372="Yes",IFERROR(SUMIFS(_TECH_Crisis_Model!$D$5:$D$191,_TECH_Crisis_Model!$A$5:$A$191,'Crisis Simulator'!$B$4,_TECH_Crisis_Model!$B$5:$B$191,$C372),1),"")</f>
        <v/>
      </c>
      <c r="AE372" s="48" t="str">
        <f t="shared" si="58"/>
        <v/>
      </c>
      <c r="AF372" s="48" t="str">
        <f>IFERROR(INDEX(_TECH_Crisis_Model!$E$5:$E$191,MATCH('Crisis Simulator'!$B$4&amp;"|"&amp;$C372,_TECH_Crisis_Model!$I$5:$I$191,0)),"")</f>
        <v>Cybersecurity and privacy controls determine resistance to digital disruption and regulatory exposure.</v>
      </c>
      <c r="AG372" s="48" t="str">
        <f>IFERROR(INDEX(_TECH_Crisis_Model!$G$5:$G$191,MATCH('Crisis Simulator'!$B$4&amp;"|"&amp;$C372,_TECH_Crisis_Model!$I$5:$I$191,0)),"")</f>
        <v>Strengthen MFA, EDR, logging, IR playbooks, restore testing, privacy controls and awareness.</v>
      </c>
      <c r="AH372" s="48" t="str">
        <f>IFERROR(INDEX(_TECH_Initiative_Library!$A$5:$A$76,MATCH(1,INDEX((_TECH_Initiative_Library!$B$5:$B$76=$C372)*(_TECH_Initiative_Library!$C$5:$C$76=$D372),0),0)),"")</f>
        <v>INI-064</v>
      </c>
      <c r="AI372" s="48" t="str">
        <f>IFERROR(INDEX(_TECH_Initiative_Library!$F$5:$F$76,MATCH(1,INDEX((_TECH_Initiative_Library!$B$5:$B$76=$C372)*(_TECH_Initiative_Library!$C$5:$C$76=$D372),0),0)),"")</f>
        <v>Strengthen IAM, MFA, privileged access and joiner/mover/leaver controls</v>
      </c>
      <c r="AJ372" s="48" t="str">
        <f ca="1">IFERROR(INDEX(_TECH_Initiative_Library!$AC$5:$AC$76,MATCH(1,INDEX((_TECH_Initiative_Library!$B$5:$B$76=$C372)*(_TECH_Initiative_Library!$C$5:$C$76=$D372),0),0)),"")</f>
        <v/>
      </c>
      <c r="AK372" s="48" t="str">
        <f ca="1">IFERROR(INDEX(_TECH_Initiative_Library!$AE$5:$AE$76,MATCH(1,INDEX((_TECH_Initiative_Library!$B$5:$B$76=$C372)*(_TECH_Initiative_Library!$C$5:$C$76=$D372),0),0)),"")</f>
        <v/>
      </c>
      <c r="AL372" s="48" t="str">
        <f>IF($B372="Yes",IFERROR(SUMIFS(_TECH_Industry_Templates!$E:$E,_TECH_Industry_Templates!$A:$A,'Company Profile'!$B$9,_TECH_Industry_Templates!$B:$B,$C372),1),"")</f>
        <v/>
      </c>
      <c r="AM372" s="48" t="str">
        <f t="shared" si="59"/>
        <v/>
      </c>
      <c r="AN372" s="48" t="str">
        <f>IF($AM372="","",RANK.EQ($AM372,$AM$8:$AM$414,0)+COUNTIF($AM$8:$AM372,$AM372)-1)</f>
        <v/>
      </c>
    </row>
    <row r="373" spans="1:40" ht="71.25">
      <c r="A373" s="28" t="str">
        <f>IF($AM373="","",RANK.EQ($AM373,$AM$8:$AM$414,0)+COUNTIF($AM$8:$AM373,$AM373)-1)</f>
        <v/>
      </c>
      <c r="B373" s="7" t="str">
        <f t="shared" si="50"/>
        <v/>
      </c>
      <c r="C373" s="7" t="s">
        <v>93</v>
      </c>
      <c r="D373" s="7" t="s">
        <v>1604</v>
      </c>
      <c r="E373" s="7" t="s">
        <v>5594</v>
      </c>
      <c r="F373" s="7" t="s">
        <v>5595</v>
      </c>
      <c r="G373" s="28" t="str">
        <f>IF(OR(COUNTA('Cyber Privacy'!$H$17)=0,'Cyber Privacy'!$H$17="N/A"),"",VALUE('Cyber Privacy'!$H$17))</f>
        <v/>
      </c>
      <c r="H373" s="7" t="str">
        <f t="shared" si="51"/>
        <v/>
      </c>
      <c r="I373" s="7" t="str">
        <f>IF($G373="","",IFERROR(IF('Cyber Privacy'!$L$17="",IF($G373&lt;=1,"Critical",IF($G373=2,"High",IF($G373=3,"Medium",IF($G373=4,"Low","Optimized")))),'Cyber Privacy'!$L$17),IF($G373&lt;=1,"Critical",IF($G373=2,"High",IF($G373=3,"Medium",IF($G373=4,"Low","Optimized"))))))</f>
        <v/>
      </c>
      <c r="J373" s="7" t="str">
        <f>IF($G373="","",IFERROR(INDEX('Recommendation Matrix'!$E$5:$J$411,MATCH($E373,'Recommendation Matrix'!$A$5:$A$411,0),$G373+1),""))</f>
        <v/>
      </c>
      <c r="K373" s="7" t="str">
        <f>IF($G373="","",IFERROR(VLOOKUP($E373,'Recommendation Matrix'!$A$5:$K$411,11,FALSE),""))</f>
        <v/>
      </c>
      <c r="L373" s="28" t="str">
        <f t="shared" si="52"/>
        <v/>
      </c>
      <c r="M373" s="28" t="str">
        <f>IF($G373="","",IFERROR(INDEX('Recommendation Matrix'!$L$5:$Q$411,MATCH($E373,'Recommendation Matrix'!$A$5:$A$411,0),$G373+1),""))</f>
        <v/>
      </c>
      <c r="N373" s="28" t="str">
        <f t="shared" si="53"/>
        <v/>
      </c>
      <c r="O373" s="28" t="str">
        <f t="shared" si="54"/>
        <v/>
      </c>
      <c r="P373" s="28" t="str">
        <f t="shared" si="55"/>
        <v/>
      </c>
      <c r="Q373" s="28" t="str">
        <f t="shared" si="56"/>
        <v/>
      </c>
      <c r="R373" s="8" t="str">
        <f t="shared" si="57"/>
        <v/>
      </c>
      <c r="S373" s="28">
        <f>IFERROR('Cyber Privacy'!$G$17,"")</f>
        <v>5</v>
      </c>
      <c r="T373" s="28">
        <f>IFERROR('Cyber Privacy'!$W$17,"")</f>
        <v>5</v>
      </c>
      <c r="U373" s="28">
        <f>IFERROR('Cyber Privacy'!$X$17,"")</f>
        <v>5</v>
      </c>
      <c r="V373" s="28">
        <f>IFERROR('Cyber Privacy'!$Y$17,"")</f>
        <v>5</v>
      </c>
      <c r="W373" s="7" t="s">
        <v>5481</v>
      </c>
      <c r="X373" s="7" t="s">
        <v>5482</v>
      </c>
      <c r="Y373" s="7" t="s">
        <v>5596</v>
      </c>
      <c r="Z373" s="7">
        <f>IFERROR('Cyber Privacy'!$U$17,"")</f>
        <v>0</v>
      </c>
      <c r="AA373" s="7"/>
      <c r="AB373" s="29"/>
      <c r="AC373" s="7"/>
      <c r="AD373" s="48" t="str">
        <f>IF($B373="Yes",IFERROR(SUMIFS(_TECH_Crisis_Model!$D$5:$D$191,_TECH_Crisis_Model!$A$5:$A$191,'Crisis Simulator'!$B$4,_TECH_Crisis_Model!$B$5:$B$191,$C373),1),"")</f>
        <v/>
      </c>
      <c r="AE373" s="48" t="str">
        <f t="shared" si="58"/>
        <v/>
      </c>
      <c r="AF373" s="48" t="str">
        <f>IFERROR(INDEX(_TECH_Crisis_Model!$E$5:$E$191,MATCH('Crisis Simulator'!$B$4&amp;"|"&amp;$C373,_TECH_Crisis_Model!$I$5:$I$191,0)),"")</f>
        <v>Cybersecurity and privacy controls determine resistance to digital disruption and regulatory exposure.</v>
      </c>
      <c r="AG373" s="48" t="str">
        <f>IFERROR(INDEX(_TECH_Crisis_Model!$G$5:$G$191,MATCH('Crisis Simulator'!$B$4&amp;"|"&amp;$C373,_TECH_Crisis_Model!$I$5:$I$191,0)),"")</f>
        <v>Strengthen MFA, EDR, logging, IR playbooks, restore testing, privacy controls and awareness.</v>
      </c>
      <c r="AH373" s="48" t="str">
        <f>IFERROR(INDEX(_TECH_Initiative_Library!$A$5:$A$76,MATCH(1,INDEX((_TECH_Initiative_Library!$B$5:$B$76=$C373)*(_TECH_Initiative_Library!$C$5:$C$76=$D373),0),0)),"")</f>
        <v>INI-065</v>
      </c>
      <c r="AI373" s="48" t="str">
        <f>IFERROR(INDEX(_TECH_Initiative_Library!$F$5:$F$76,MATCH(1,INDEX((_TECH_Initiative_Library!$B$5:$B$76=$C373)*(_TECH_Initiative_Library!$C$5:$C$76=$D373),0),0)),"")</f>
        <v>Improve endpoint, network, backup and vulnerability protection</v>
      </c>
      <c r="AJ373" s="48" t="str">
        <f ca="1">IFERROR(INDEX(_TECH_Initiative_Library!$AC$5:$AC$76,MATCH(1,INDEX((_TECH_Initiative_Library!$B$5:$B$76=$C373)*(_TECH_Initiative_Library!$C$5:$C$76=$D373),0),0)),"")</f>
        <v/>
      </c>
      <c r="AK373" s="48" t="str">
        <f ca="1">IFERROR(INDEX(_TECH_Initiative_Library!$AE$5:$AE$76,MATCH(1,INDEX((_TECH_Initiative_Library!$B$5:$B$76=$C373)*(_TECH_Initiative_Library!$C$5:$C$76=$D373),0),0)),"")</f>
        <v/>
      </c>
      <c r="AL373" s="48" t="str">
        <f>IF($B373="Yes",IFERROR(SUMIFS(_TECH_Industry_Templates!$E:$E,_TECH_Industry_Templates!$A:$A,'Company Profile'!$B$9,_TECH_Industry_Templates!$B:$B,$C373),1),"")</f>
        <v/>
      </c>
      <c r="AM373" s="48" t="str">
        <f t="shared" si="59"/>
        <v/>
      </c>
      <c r="AN373" s="48" t="str">
        <f>IF($AM373="","",RANK.EQ($AM373,$AM$8:$AM$414,0)+COUNTIF($AM$8:$AM373,$AM373)-1)</f>
        <v/>
      </c>
    </row>
    <row r="374" spans="1:40" ht="71.25">
      <c r="A374" s="28" t="str">
        <f>IF($AM374="","",RANK.EQ($AM374,$AM$8:$AM$414,0)+COUNTIF($AM$8:$AM374,$AM374)-1)</f>
        <v/>
      </c>
      <c r="B374" s="7" t="str">
        <f t="shared" si="50"/>
        <v/>
      </c>
      <c r="C374" s="7" t="s">
        <v>93</v>
      </c>
      <c r="D374" s="7" t="s">
        <v>1604</v>
      </c>
      <c r="E374" s="7" t="s">
        <v>5604</v>
      </c>
      <c r="F374" s="7" t="s">
        <v>5605</v>
      </c>
      <c r="G374" s="28" t="str">
        <f>IF(OR(COUNTA('Cyber Privacy'!$H$18)=0,'Cyber Privacy'!$H$18="N/A"),"",VALUE('Cyber Privacy'!$H$18))</f>
        <v/>
      </c>
      <c r="H374" s="7" t="str">
        <f t="shared" si="51"/>
        <v/>
      </c>
      <c r="I374" s="7" t="str">
        <f>IF($G374="","",IFERROR(IF('Cyber Privacy'!$L$18="",IF($G374&lt;=1,"Critical",IF($G374=2,"High",IF($G374=3,"Medium",IF($G374=4,"Low","Optimized")))),'Cyber Privacy'!$L$18),IF($G374&lt;=1,"Critical",IF($G374=2,"High",IF($G374=3,"Medium",IF($G374=4,"Low","Optimized"))))))</f>
        <v/>
      </c>
      <c r="J374" s="7" t="str">
        <f>IF($G374="","",IFERROR(INDEX('Recommendation Matrix'!$E$5:$J$411,MATCH($E374,'Recommendation Matrix'!$A$5:$A$411,0),$G374+1),""))</f>
        <v/>
      </c>
      <c r="K374" s="7" t="str">
        <f>IF($G374="","",IFERROR(VLOOKUP($E374,'Recommendation Matrix'!$A$5:$K$411,11,FALSE),""))</f>
        <v/>
      </c>
      <c r="L374" s="28" t="str">
        <f t="shared" si="52"/>
        <v/>
      </c>
      <c r="M374" s="28" t="str">
        <f>IF($G374="","",IFERROR(INDEX('Recommendation Matrix'!$L$5:$Q$411,MATCH($E374,'Recommendation Matrix'!$A$5:$A$411,0),$G374+1),""))</f>
        <v/>
      </c>
      <c r="N374" s="28" t="str">
        <f t="shared" si="53"/>
        <v/>
      </c>
      <c r="O374" s="28" t="str">
        <f t="shared" si="54"/>
        <v/>
      </c>
      <c r="P374" s="28" t="str">
        <f t="shared" si="55"/>
        <v/>
      </c>
      <c r="Q374" s="28" t="str">
        <f t="shared" si="56"/>
        <v/>
      </c>
      <c r="R374" s="8" t="str">
        <f t="shared" si="57"/>
        <v/>
      </c>
      <c r="S374" s="28">
        <f>IFERROR('Cyber Privacy'!$G$18,"")</f>
        <v>5</v>
      </c>
      <c r="T374" s="28">
        <f>IFERROR('Cyber Privacy'!$W$18,"")</f>
        <v>5</v>
      </c>
      <c r="U374" s="28">
        <f>IFERROR('Cyber Privacy'!$X$18,"")</f>
        <v>5</v>
      </c>
      <c r="V374" s="28">
        <f>IFERROR('Cyber Privacy'!$Y$18,"")</f>
        <v>5</v>
      </c>
      <c r="W374" s="7" t="s">
        <v>5481</v>
      </c>
      <c r="X374" s="7" t="s">
        <v>5482</v>
      </c>
      <c r="Y374" s="7" t="s">
        <v>5606</v>
      </c>
      <c r="Z374" s="7">
        <f>IFERROR('Cyber Privacy'!$U$18,"")</f>
        <v>0</v>
      </c>
      <c r="AA374" s="7"/>
      <c r="AB374" s="29"/>
      <c r="AC374" s="7"/>
      <c r="AD374" s="48" t="str">
        <f>IF($B374="Yes",IFERROR(SUMIFS(_TECH_Crisis_Model!$D$5:$D$191,_TECH_Crisis_Model!$A$5:$A$191,'Crisis Simulator'!$B$4,_TECH_Crisis_Model!$B$5:$B$191,$C374),1),"")</f>
        <v/>
      </c>
      <c r="AE374" s="48" t="str">
        <f t="shared" si="58"/>
        <v/>
      </c>
      <c r="AF374" s="48" t="str">
        <f>IFERROR(INDEX(_TECH_Crisis_Model!$E$5:$E$191,MATCH('Crisis Simulator'!$B$4&amp;"|"&amp;$C374,_TECH_Crisis_Model!$I$5:$I$191,0)),"")</f>
        <v>Cybersecurity and privacy controls determine resistance to digital disruption and regulatory exposure.</v>
      </c>
      <c r="AG374" s="48" t="str">
        <f>IFERROR(INDEX(_TECH_Crisis_Model!$G$5:$G$191,MATCH('Crisis Simulator'!$B$4&amp;"|"&amp;$C374,_TECH_Crisis_Model!$I$5:$I$191,0)),"")</f>
        <v>Strengthen MFA, EDR, logging, IR playbooks, restore testing, privacy controls and awareness.</v>
      </c>
      <c r="AH374" s="48" t="str">
        <f>IFERROR(INDEX(_TECH_Initiative_Library!$A$5:$A$76,MATCH(1,INDEX((_TECH_Initiative_Library!$B$5:$B$76=$C374)*(_TECH_Initiative_Library!$C$5:$C$76=$D374),0),0)),"")</f>
        <v>INI-065</v>
      </c>
      <c r="AI374" s="48" t="str">
        <f>IFERROR(INDEX(_TECH_Initiative_Library!$F$5:$F$76,MATCH(1,INDEX((_TECH_Initiative_Library!$B$5:$B$76=$C374)*(_TECH_Initiative_Library!$C$5:$C$76=$D374),0),0)),"")</f>
        <v>Improve endpoint, network, backup and vulnerability protection</v>
      </c>
      <c r="AJ374" s="48" t="str">
        <f ca="1">IFERROR(INDEX(_TECH_Initiative_Library!$AC$5:$AC$76,MATCH(1,INDEX((_TECH_Initiative_Library!$B$5:$B$76=$C374)*(_TECH_Initiative_Library!$C$5:$C$76=$D374),0),0)),"")</f>
        <v/>
      </c>
      <c r="AK374" s="48" t="str">
        <f ca="1">IFERROR(INDEX(_TECH_Initiative_Library!$AE$5:$AE$76,MATCH(1,INDEX((_TECH_Initiative_Library!$B$5:$B$76=$C374)*(_TECH_Initiative_Library!$C$5:$C$76=$D374),0),0)),"")</f>
        <v/>
      </c>
      <c r="AL374" s="48" t="str">
        <f>IF($B374="Yes",IFERROR(SUMIFS(_TECH_Industry_Templates!$E:$E,_TECH_Industry_Templates!$A:$A,'Company Profile'!$B$9,_TECH_Industry_Templates!$B:$B,$C374),1),"")</f>
        <v/>
      </c>
      <c r="AM374" s="48" t="str">
        <f t="shared" si="59"/>
        <v/>
      </c>
      <c r="AN374" s="48" t="str">
        <f>IF($AM374="","",RANK.EQ($AM374,$AM$8:$AM$414,0)+COUNTIF($AM$8:$AM374,$AM374)-1)</f>
        <v/>
      </c>
    </row>
    <row r="375" spans="1:40" ht="71.25">
      <c r="A375" s="28" t="str">
        <f>IF($AM375="","",RANK.EQ($AM375,$AM$8:$AM$414,0)+COUNTIF($AM$8:$AM375,$AM375)-1)</f>
        <v/>
      </c>
      <c r="B375" s="7" t="str">
        <f t="shared" si="50"/>
        <v/>
      </c>
      <c r="C375" s="7" t="s">
        <v>93</v>
      </c>
      <c r="D375" s="7" t="s">
        <v>1604</v>
      </c>
      <c r="E375" s="7" t="s">
        <v>5614</v>
      </c>
      <c r="F375" s="7" t="s">
        <v>5615</v>
      </c>
      <c r="G375" s="28" t="str">
        <f>IF(OR(COUNTA('Cyber Privacy'!$H$19)=0,'Cyber Privacy'!$H$19="N/A"),"",VALUE('Cyber Privacy'!$H$19))</f>
        <v/>
      </c>
      <c r="H375" s="7" t="str">
        <f t="shared" si="51"/>
        <v/>
      </c>
      <c r="I375" s="7" t="str">
        <f>IF($G375="","",IFERROR(IF('Cyber Privacy'!$L$19="",IF($G375&lt;=1,"Critical",IF($G375=2,"High",IF($G375=3,"Medium",IF($G375=4,"Low","Optimized")))),'Cyber Privacy'!$L$19),IF($G375&lt;=1,"Critical",IF($G375=2,"High",IF($G375=3,"Medium",IF($G375=4,"Low","Optimized"))))))</f>
        <v/>
      </c>
      <c r="J375" s="7" t="str">
        <f>IF($G375="","",IFERROR(INDEX('Recommendation Matrix'!$E$5:$J$411,MATCH($E375,'Recommendation Matrix'!$A$5:$A$411,0),$G375+1),""))</f>
        <v/>
      </c>
      <c r="K375" s="7" t="str">
        <f>IF($G375="","",IFERROR(VLOOKUP($E375,'Recommendation Matrix'!$A$5:$K$411,11,FALSE),""))</f>
        <v/>
      </c>
      <c r="L375" s="28" t="str">
        <f t="shared" si="52"/>
        <v/>
      </c>
      <c r="M375" s="28" t="str">
        <f>IF($G375="","",IFERROR(INDEX('Recommendation Matrix'!$L$5:$Q$411,MATCH($E375,'Recommendation Matrix'!$A$5:$A$411,0),$G375+1),""))</f>
        <v/>
      </c>
      <c r="N375" s="28" t="str">
        <f t="shared" si="53"/>
        <v/>
      </c>
      <c r="O375" s="28" t="str">
        <f t="shared" si="54"/>
        <v/>
      </c>
      <c r="P375" s="28" t="str">
        <f t="shared" si="55"/>
        <v/>
      </c>
      <c r="Q375" s="28" t="str">
        <f t="shared" si="56"/>
        <v/>
      </c>
      <c r="R375" s="8" t="str">
        <f t="shared" si="57"/>
        <v/>
      </c>
      <c r="S375" s="28">
        <f>IFERROR('Cyber Privacy'!$G$19,"")</f>
        <v>5</v>
      </c>
      <c r="T375" s="28">
        <f>IFERROR('Cyber Privacy'!$W$19,"")</f>
        <v>5</v>
      </c>
      <c r="U375" s="28">
        <f>IFERROR('Cyber Privacy'!$X$19,"")</f>
        <v>5</v>
      </c>
      <c r="V375" s="28">
        <f>IFERROR('Cyber Privacy'!$Y$19,"")</f>
        <v>5</v>
      </c>
      <c r="W375" s="7" t="s">
        <v>5481</v>
      </c>
      <c r="X375" s="7" t="s">
        <v>5482</v>
      </c>
      <c r="Y375" s="7" t="s">
        <v>5616</v>
      </c>
      <c r="Z375" s="7">
        <f>IFERROR('Cyber Privacy'!$U$19,"")</f>
        <v>0</v>
      </c>
      <c r="AA375" s="7"/>
      <c r="AB375" s="29"/>
      <c r="AC375" s="7"/>
      <c r="AD375" s="48" t="str">
        <f>IF($B375="Yes",IFERROR(SUMIFS(_TECH_Crisis_Model!$D$5:$D$191,_TECH_Crisis_Model!$A$5:$A$191,'Crisis Simulator'!$B$4,_TECH_Crisis_Model!$B$5:$B$191,$C375),1),"")</f>
        <v/>
      </c>
      <c r="AE375" s="48" t="str">
        <f t="shared" si="58"/>
        <v/>
      </c>
      <c r="AF375" s="48" t="str">
        <f>IFERROR(INDEX(_TECH_Crisis_Model!$E$5:$E$191,MATCH('Crisis Simulator'!$B$4&amp;"|"&amp;$C375,_TECH_Crisis_Model!$I$5:$I$191,0)),"")</f>
        <v>Cybersecurity and privacy controls determine resistance to digital disruption and regulatory exposure.</v>
      </c>
      <c r="AG375" s="48" t="str">
        <f>IFERROR(INDEX(_TECH_Crisis_Model!$G$5:$G$191,MATCH('Crisis Simulator'!$B$4&amp;"|"&amp;$C375,_TECH_Crisis_Model!$I$5:$I$191,0)),"")</f>
        <v>Strengthen MFA, EDR, logging, IR playbooks, restore testing, privacy controls and awareness.</v>
      </c>
      <c r="AH375" s="48" t="str">
        <f>IFERROR(INDEX(_TECH_Initiative_Library!$A$5:$A$76,MATCH(1,INDEX((_TECH_Initiative_Library!$B$5:$B$76=$C375)*(_TECH_Initiative_Library!$C$5:$C$76=$D375),0),0)),"")</f>
        <v>INI-065</v>
      </c>
      <c r="AI375" s="48" t="str">
        <f>IFERROR(INDEX(_TECH_Initiative_Library!$F$5:$F$76,MATCH(1,INDEX((_TECH_Initiative_Library!$B$5:$B$76=$C375)*(_TECH_Initiative_Library!$C$5:$C$76=$D375),0),0)),"")</f>
        <v>Improve endpoint, network, backup and vulnerability protection</v>
      </c>
      <c r="AJ375" s="48" t="str">
        <f ca="1">IFERROR(INDEX(_TECH_Initiative_Library!$AC$5:$AC$76,MATCH(1,INDEX((_TECH_Initiative_Library!$B$5:$B$76=$C375)*(_TECH_Initiative_Library!$C$5:$C$76=$D375),0),0)),"")</f>
        <v/>
      </c>
      <c r="AK375" s="48" t="str">
        <f ca="1">IFERROR(INDEX(_TECH_Initiative_Library!$AE$5:$AE$76,MATCH(1,INDEX((_TECH_Initiative_Library!$B$5:$B$76=$C375)*(_TECH_Initiative_Library!$C$5:$C$76=$D375),0),0)),"")</f>
        <v/>
      </c>
      <c r="AL375" s="48" t="str">
        <f>IF($B375="Yes",IFERROR(SUMIFS(_TECH_Industry_Templates!$E:$E,_TECH_Industry_Templates!$A:$A,'Company Profile'!$B$9,_TECH_Industry_Templates!$B:$B,$C375),1),"")</f>
        <v/>
      </c>
      <c r="AM375" s="48" t="str">
        <f t="shared" si="59"/>
        <v/>
      </c>
      <c r="AN375" s="48" t="str">
        <f>IF($AM375="","",RANK.EQ($AM375,$AM$8:$AM$414,0)+COUNTIF($AM$8:$AM375,$AM375)-1)</f>
        <v/>
      </c>
    </row>
    <row r="376" spans="1:40" ht="71.25">
      <c r="A376" s="28" t="str">
        <f>IF($AM376="","",RANK.EQ($AM376,$AM$8:$AM$414,0)+COUNTIF($AM$8:$AM376,$AM376)-1)</f>
        <v/>
      </c>
      <c r="B376" s="7" t="str">
        <f t="shared" si="50"/>
        <v/>
      </c>
      <c r="C376" s="7" t="s">
        <v>93</v>
      </c>
      <c r="D376" s="7" t="s">
        <v>1604</v>
      </c>
      <c r="E376" s="7" t="s">
        <v>5624</v>
      </c>
      <c r="F376" s="7" t="s">
        <v>5625</v>
      </c>
      <c r="G376" s="28" t="str">
        <f>IF(OR(COUNTA('Cyber Privacy'!$H$20)=0,'Cyber Privacy'!$H$20="N/A"),"",VALUE('Cyber Privacy'!$H$20))</f>
        <v/>
      </c>
      <c r="H376" s="7" t="str">
        <f t="shared" si="51"/>
        <v/>
      </c>
      <c r="I376" s="7" t="str">
        <f>IF($G376="","",IFERROR(IF('Cyber Privacy'!$L$20="",IF($G376&lt;=1,"Critical",IF($G376=2,"High",IF($G376=3,"Medium",IF($G376=4,"Low","Optimized")))),'Cyber Privacy'!$L$20),IF($G376&lt;=1,"Critical",IF($G376=2,"High",IF($G376=3,"Medium",IF($G376=4,"Low","Optimized"))))))</f>
        <v/>
      </c>
      <c r="J376" s="7" t="str">
        <f>IF($G376="","",IFERROR(INDEX('Recommendation Matrix'!$E$5:$J$411,MATCH($E376,'Recommendation Matrix'!$A$5:$A$411,0),$G376+1),""))</f>
        <v/>
      </c>
      <c r="K376" s="7" t="str">
        <f>IF($G376="","",IFERROR(VLOOKUP($E376,'Recommendation Matrix'!$A$5:$K$411,11,FALSE),""))</f>
        <v/>
      </c>
      <c r="L376" s="28" t="str">
        <f t="shared" si="52"/>
        <v/>
      </c>
      <c r="M376" s="28" t="str">
        <f>IF($G376="","",IFERROR(INDEX('Recommendation Matrix'!$L$5:$Q$411,MATCH($E376,'Recommendation Matrix'!$A$5:$A$411,0),$G376+1),""))</f>
        <v/>
      </c>
      <c r="N376" s="28" t="str">
        <f t="shared" si="53"/>
        <v/>
      </c>
      <c r="O376" s="28" t="str">
        <f t="shared" si="54"/>
        <v/>
      </c>
      <c r="P376" s="28" t="str">
        <f t="shared" si="55"/>
        <v/>
      </c>
      <c r="Q376" s="28" t="str">
        <f t="shared" si="56"/>
        <v/>
      </c>
      <c r="R376" s="8" t="str">
        <f t="shared" si="57"/>
        <v/>
      </c>
      <c r="S376" s="28">
        <f>IFERROR('Cyber Privacy'!$G$20,"")</f>
        <v>3</v>
      </c>
      <c r="T376" s="28">
        <f>IFERROR('Cyber Privacy'!$W$20,"")</f>
        <v>5</v>
      </c>
      <c r="U376" s="28">
        <f>IFERROR('Cyber Privacy'!$X$20,"")</f>
        <v>5</v>
      </c>
      <c r="V376" s="28">
        <f>IFERROR('Cyber Privacy'!$Y$20,"")</f>
        <v>5</v>
      </c>
      <c r="W376" s="7" t="s">
        <v>5481</v>
      </c>
      <c r="X376" s="7" t="s">
        <v>5482</v>
      </c>
      <c r="Y376" s="7" t="s">
        <v>5626</v>
      </c>
      <c r="Z376" s="7">
        <f>IFERROR('Cyber Privacy'!$U$20,"")</f>
        <v>0</v>
      </c>
      <c r="AA376" s="7"/>
      <c r="AB376" s="29"/>
      <c r="AC376" s="7"/>
      <c r="AD376" s="48" t="str">
        <f>IF($B376="Yes",IFERROR(SUMIFS(_TECH_Crisis_Model!$D$5:$D$191,_TECH_Crisis_Model!$A$5:$A$191,'Crisis Simulator'!$B$4,_TECH_Crisis_Model!$B$5:$B$191,$C376),1),"")</f>
        <v/>
      </c>
      <c r="AE376" s="48" t="str">
        <f t="shared" si="58"/>
        <v/>
      </c>
      <c r="AF376" s="48" t="str">
        <f>IFERROR(INDEX(_TECH_Crisis_Model!$E$5:$E$191,MATCH('Crisis Simulator'!$B$4&amp;"|"&amp;$C376,_TECH_Crisis_Model!$I$5:$I$191,0)),"")</f>
        <v>Cybersecurity and privacy controls determine resistance to digital disruption and regulatory exposure.</v>
      </c>
      <c r="AG376" s="48" t="str">
        <f>IFERROR(INDEX(_TECH_Crisis_Model!$G$5:$G$191,MATCH('Crisis Simulator'!$B$4&amp;"|"&amp;$C376,_TECH_Crisis_Model!$I$5:$I$191,0)),"")</f>
        <v>Strengthen MFA, EDR, logging, IR playbooks, restore testing, privacy controls and awareness.</v>
      </c>
      <c r="AH376" s="48" t="str">
        <f>IFERROR(INDEX(_TECH_Initiative_Library!$A$5:$A$76,MATCH(1,INDEX((_TECH_Initiative_Library!$B$5:$B$76=$C376)*(_TECH_Initiative_Library!$C$5:$C$76=$D376),0),0)),"")</f>
        <v>INI-065</v>
      </c>
      <c r="AI376" s="48" t="str">
        <f>IFERROR(INDEX(_TECH_Initiative_Library!$F$5:$F$76,MATCH(1,INDEX((_TECH_Initiative_Library!$B$5:$B$76=$C376)*(_TECH_Initiative_Library!$C$5:$C$76=$D376),0),0)),"")</f>
        <v>Improve endpoint, network, backup and vulnerability protection</v>
      </c>
      <c r="AJ376" s="48" t="str">
        <f ca="1">IFERROR(INDEX(_TECH_Initiative_Library!$AC$5:$AC$76,MATCH(1,INDEX((_TECH_Initiative_Library!$B$5:$B$76=$C376)*(_TECH_Initiative_Library!$C$5:$C$76=$D376),0),0)),"")</f>
        <v/>
      </c>
      <c r="AK376" s="48" t="str">
        <f ca="1">IFERROR(INDEX(_TECH_Initiative_Library!$AE$5:$AE$76,MATCH(1,INDEX((_TECH_Initiative_Library!$B$5:$B$76=$C376)*(_TECH_Initiative_Library!$C$5:$C$76=$D376),0),0)),"")</f>
        <v/>
      </c>
      <c r="AL376" s="48" t="str">
        <f>IF($B376="Yes",IFERROR(SUMIFS(_TECH_Industry_Templates!$E:$E,_TECH_Industry_Templates!$A:$A,'Company Profile'!$B$9,_TECH_Industry_Templates!$B:$B,$C376),1),"")</f>
        <v/>
      </c>
      <c r="AM376" s="48" t="str">
        <f t="shared" si="59"/>
        <v/>
      </c>
      <c r="AN376" s="48" t="str">
        <f>IF($AM376="","",RANK.EQ($AM376,$AM$8:$AM$414,0)+COUNTIF($AM$8:$AM376,$AM376)-1)</f>
        <v/>
      </c>
    </row>
    <row r="377" spans="1:40" ht="71.25">
      <c r="A377" s="28" t="str">
        <f>IF($AM377="","",RANK.EQ($AM377,$AM$8:$AM$414,0)+COUNTIF($AM$8:$AM377,$AM377)-1)</f>
        <v/>
      </c>
      <c r="B377" s="7" t="str">
        <f t="shared" si="50"/>
        <v/>
      </c>
      <c r="C377" s="7" t="s">
        <v>93</v>
      </c>
      <c r="D377" s="7" t="s">
        <v>1604</v>
      </c>
      <c r="E377" s="7" t="s">
        <v>5634</v>
      </c>
      <c r="F377" s="7" t="s">
        <v>5635</v>
      </c>
      <c r="G377" s="28" t="str">
        <f>IF(OR(COUNTA('Cyber Privacy'!$H$21)=0,'Cyber Privacy'!$H$21="N/A"),"",VALUE('Cyber Privacy'!$H$21))</f>
        <v/>
      </c>
      <c r="H377" s="7" t="str">
        <f t="shared" si="51"/>
        <v/>
      </c>
      <c r="I377" s="7" t="str">
        <f>IF($G377="","",IFERROR(IF('Cyber Privacy'!$L$21="",IF($G377&lt;=1,"Critical",IF($G377=2,"High",IF($G377=3,"Medium",IF($G377=4,"Low","Optimized")))),'Cyber Privacy'!$L$21),IF($G377&lt;=1,"Critical",IF($G377=2,"High",IF($G377=3,"Medium",IF($G377=4,"Low","Optimized"))))))</f>
        <v/>
      </c>
      <c r="J377" s="7" t="str">
        <f>IF($G377="","",IFERROR(INDEX('Recommendation Matrix'!$E$5:$J$411,MATCH($E377,'Recommendation Matrix'!$A$5:$A$411,0),$G377+1),""))</f>
        <v/>
      </c>
      <c r="K377" s="7" t="str">
        <f>IF($G377="","",IFERROR(VLOOKUP($E377,'Recommendation Matrix'!$A$5:$K$411,11,FALSE),""))</f>
        <v/>
      </c>
      <c r="L377" s="28" t="str">
        <f t="shared" si="52"/>
        <v/>
      </c>
      <c r="M377" s="28" t="str">
        <f>IF($G377="","",IFERROR(INDEX('Recommendation Matrix'!$L$5:$Q$411,MATCH($E377,'Recommendation Matrix'!$A$5:$A$411,0),$G377+1),""))</f>
        <v/>
      </c>
      <c r="N377" s="28" t="str">
        <f t="shared" si="53"/>
        <v/>
      </c>
      <c r="O377" s="28" t="str">
        <f t="shared" si="54"/>
        <v/>
      </c>
      <c r="P377" s="28" t="str">
        <f t="shared" si="55"/>
        <v/>
      </c>
      <c r="Q377" s="28" t="str">
        <f t="shared" si="56"/>
        <v/>
      </c>
      <c r="R377" s="8" t="str">
        <f t="shared" si="57"/>
        <v/>
      </c>
      <c r="S377" s="28">
        <f>IFERROR('Cyber Privacy'!$G$21,"")</f>
        <v>5</v>
      </c>
      <c r="T377" s="28">
        <f>IFERROR('Cyber Privacy'!$W$21,"")</f>
        <v>5</v>
      </c>
      <c r="U377" s="28">
        <f>IFERROR('Cyber Privacy'!$X$21,"")</f>
        <v>5</v>
      </c>
      <c r="V377" s="28">
        <f>IFERROR('Cyber Privacy'!$Y$21,"")</f>
        <v>5</v>
      </c>
      <c r="W377" s="7" t="s">
        <v>5481</v>
      </c>
      <c r="X377" s="7" t="s">
        <v>5482</v>
      </c>
      <c r="Y377" s="7" t="s">
        <v>5636</v>
      </c>
      <c r="Z377" s="7">
        <f>IFERROR('Cyber Privacy'!$U$21,"")</f>
        <v>0</v>
      </c>
      <c r="AA377" s="7"/>
      <c r="AB377" s="29"/>
      <c r="AC377" s="7"/>
      <c r="AD377" s="48" t="str">
        <f>IF($B377="Yes",IFERROR(SUMIFS(_TECH_Crisis_Model!$D$5:$D$191,_TECH_Crisis_Model!$A$5:$A$191,'Crisis Simulator'!$B$4,_TECH_Crisis_Model!$B$5:$B$191,$C377),1),"")</f>
        <v/>
      </c>
      <c r="AE377" s="48" t="str">
        <f t="shared" si="58"/>
        <v/>
      </c>
      <c r="AF377" s="48" t="str">
        <f>IFERROR(INDEX(_TECH_Crisis_Model!$E$5:$E$191,MATCH('Crisis Simulator'!$B$4&amp;"|"&amp;$C377,_TECH_Crisis_Model!$I$5:$I$191,0)),"")</f>
        <v>Cybersecurity and privacy controls determine resistance to digital disruption and regulatory exposure.</v>
      </c>
      <c r="AG377" s="48" t="str">
        <f>IFERROR(INDEX(_TECH_Crisis_Model!$G$5:$G$191,MATCH('Crisis Simulator'!$B$4&amp;"|"&amp;$C377,_TECH_Crisis_Model!$I$5:$I$191,0)),"")</f>
        <v>Strengthen MFA, EDR, logging, IR playbooks, restore testing, privacy controls and awareness.</v>
      </c>
      <c r="AH377" s="48" t="str">
        <f>IFERROR(INDEX(_TECH_Initiative_Library!$A$5:$A$76,MATCH(1,INDEX((_TECH_Initiative_Library!$B$5:$B$76=$C377)*(_TECH_Initiative_Library!$C$5:$C$76=$D377),0),0)),"")</f>
        <v>INI-065</v>
      </c>
      <c r="AI377" s="48" t="str">
        <f>IFERROR(INDEX(_TECH_Initiative_Library!$F$5:$F$76,MATCH(1,INDEX((_TECH_Initiative_Library!$B$5:$B$76=$C377)*(_TECH_Initiative_Library!$C$5:$C$76=$D377),0),0)),"")</f>
        <v>Improve endpoint, network, backup and vulnerability protection</v>
      </c>
      <c r="AJ377" s="48" t="str">
        <f ca="1">IFERROR(INDEX(_TECH_Initiative_Library!$AC$5:$AC$76,MATCH(1,INDEX((_TECH_Initiative_Library!$B$5:$B$76=$C377)*(_TECH_Initiative_Library!$C$5:$C$76=$D377),0),0)),"")</f>
        <v/>
      </c>
      <c r="AK377" s="48" t="str">
        <f ca="1">IFERROR(INDEX(_TECH_Initiative_Library!$AE$5:$AE$76,MATCH(1,INDEX((_TECH_Initiative_Library!$B$5:$B$76=$C377)*(_TECH_Initiative_Library!$C$5:$C$76=$D377),0),0)),"")</f>
        <v/>
      </c>
      <c r="AL377" s="48" t="str">
        <f>IF($B377="Yes",IFERROR(SUMIFS(_TECH_Industry_Templates!$E:$E,_TECH_Industry_Templates!$A:$A,'Company Profile'!$B$9,_TECH_Industry_Templates!$B:$B,$C377),1),"")</f>
        <v/>
      </c>
      <c r="AM377" s="48" t="str">
        <f t="shared" si="59"/>
        <v/>
      </c>
      <c r="AN377" s="48" t="str">
        <f>IF($AM377="","",RANK.EQ($AM377,$AM$8:$AM$414,0)+COUNTIF($AM$8:$AM377,$AM377)-1)</f>
        <v/>
      </c>
    </row>
    <row r="378" spans="1:40" ht="71.25">
      <c r="A378" s="28" t="str">
        <f>IF($AM378="","",RANK.EQ($AM378,$AM$8:$AM$414,0)+COUNTIF($AM$8:$AM378,$AM378)-1)</f>
        <v/>
      </c>
      <c r="B378" s="7" t="str">
        <f t="shared" si="50"/>
        <v/>
      </c>
      <c r="C378" s="7" t="s">
        <v>93</v>
      </c>
      <c r="D378" s="7" t="s">
        <v>1604</v>
      </c>
      <c r="E378" s="7" t="s">
        <v>5644</v>
      </c>
      <c r="F378" s="7" t="s">
        <v>5645</v>
      </c>
      <c r="G378" s="28" t="str">
        <f>IF(OR(COUNTA('Cyber Privacy'!$H$22)=0,'Cyber Privacy'!$H$22="N/A"),"",VALUE('Cyber Privacy'!$H$22))</f>
        <v/>
      </c>
      <c r="H378" s="7" t="str">
        <f t="shared" si="51"/>
        <v/>
      </c>
      <c r="I378" s="7" t="str">
        <f>IF($G378="","",IFERROR(IF('Cyber Privacy'!$L$22="",IF($G378&lt;=1,"Critical",IF($G378=2,"High",IF($G378=3,"Medium",IF($G378=4,"Low","Optimized")))),'Cyber Privacy'!$L$22),IF($G378&lt;=1,"Critical",IF($G378=2,"High",IF($G378=3,"Medium",IF($G378=4,"Low","Optimized"))))))</f>
        <v/>
      </c>
      <c r="J378" s="7" t="str">
        <f>IF($G378="","",IFERROR(INDEX('Recommendation Matrix'!$E$5:$J$411,MATCH($E378,'Recommendation Matrix'!$A$5:$A$411,0),$G378+1),""))</f>
        <v/>
      </c>
      <c r="K378" s="7" t="str">
        <f>IF($G378="","",IFERROR(VLOOKUP($E378,'Recommendation Matrix'!$A$5:$K$411,11,FALSE),""))</f>
        <v/>
      </c>
      <c r="L378" s="28" t="str">
        <f t="shared" si="52"/>
        <v/>
      </c>
      <c r="M378" s="28" t="str">
        <f>IF($G378="","",IFERROR(INDEX('Recommendation Matrix'!$L$5:$Q$411,MATCH($E378,'Recommendation Matrix'!$A$5:$A$411,0),$G378+1),""))</f>
        <v/>
      </c>
      <c r="N378" s="28" t="str">
        <f t="shared" si="53"/>
        <v/>
      </c>
      <c r="O378" s="28" t="str">
        <f t="shared" si="54"/>
        <v/>
      </c>
      <c r="P378" s="28" t="str">
        <f t="shared" si="55"/>
        <v/>
      </c>
      <c r="Q378" s="28" t="str">
        <f t="shared" si="56"/>
        <v/>
      </c>
      <c r="R378" s="8" t="str">
        <f t="shared" si="57"/>
        <v/>
      </c>
      <c r="S378" s="28">
        <f>IFERROR('Cyber Privacy'!$G$22,"")</f>
        <v>3</v>
      </c>
      <c r="T378" s="28">
        <f>IFERROR('Cyber Privacy'!$W$22,"")</f>
        <v>5</v>
      </c>
      <c r="U378" s="28">
        <f>IFERROR('Cyber Privacy'!$X$22,"")</f>
        <v>5</v>
      </c>
      <c r="V378" s="28">
        <f>IFERROR('Cyber Privacy'!$Y$22,"")</f>
        <v>5</v>
      </c>
      <c r="W378" s="7" t="s">
        <v>5481</v>
      </c>
      <c r="X378" s="7" t="s">
        <v>5482</v>
      </c>
      <c r="Y378" s="7" t="s">
        <v>5646</v>
      </c>
      <c r="Z378" s="7">
        <f>IFERROR('Cyber Privacy'!$U$22,"")</f>
        <v>0</v>
      </c>
      <c r="AA378" s="7"/>
      <c r="AB378" s="29"/>
      <c r="AC378" s="7"/>
      <c r="AD378" s="48" t="str">
        <f>IF($B378="Yes",IFERROR(SUMIFS(_TECH_Crisis_Model!$D$5:$D$191,_TECH_Crisis_Model!$A$5:$A$191,'Crisis Simulator'!$B$4,_TECH_Crisis_Model!$B$5:$B$191,$C378),1),"")</f>
        <v/>
      </c>
      <c r="AE378" s="48" t="str">
        <f t="shared" si="58"/>
        <v/>
      </c>
      <c r="AF378" s="48" t="str">
        <f>IFERROR(INDEX(_TECH_Crisis_Model!$E$5:$E$191,MATCH('Crisis Simulator'!$B$4&amp;"|"&amp;$C378,_TECH_Crisis_Model!$I$5:$I$191,0)),"")</f>
        <v>Cybersecurity and privacy controls determine resistance to digital disruption and regulatory exposure.</v>
      </c>
      <c r="AG378" s="48" t="str">
        <f>IFERROR(INDEX(_TECH_Crisis_Model!$G$5:$G$191,MATCH('Crisis Simulator'!$B$4&amp;"|"&amp;$C378,_TECH_Crisis_Model!$I$5:$I$191,0)),"")</f>
        <v>Strengthen MFA, EDR, logging, IR playbooks, restore testing, privacy controls and awareness.</v>
      </c>
      <c r="AH378" s="48" t="str">
        <f>IFERROR(INDEX(_TECH_Initiative_Library!$A$5:$A$76,MATCH(1,INDEX((_TECH_Initiative_Library!$B$5:$B$76=$C378)*(_TECH_Initiative_Library!$C$5:$C$76=$D378),0),0)),"")</f>
        <v>INI-065</v>
      </c>
      <c r="AI378" s="48" t="str">
        <f>IFERROR(INDEX(_TECH_Initiative_Library!$F$5:$F$76,MATCH(1,INDEX((_TECH_Initiative_Library!$B$5:$B$76=$C378)*(_TECH_Initiative_Library!$C$5:$C$76=$D378),0),0)),"")</f>
        <v>Improve endpoint, network, backup and vulnerability protection</v>
      </c>
      <c r="AJ378" s="48" t="str">
        <f ca="1">IFERROR(INDEX(_TECH_Initiative_Library!$AC$5:$AC$76,MATCH(1,INDEX((_TECH_Initiative_Library!$B$5:$B$76=$C378)*(_TECH_Initiative_Library!$C$5:$C$76=$D378),0),0)),"")</f>
        <v/>
      </c>
      <c r="AK378" s="48" t="str">
        <f ca="1">IFERROR(INDEX(_TECH_Initiative_Library!$AE$5:$AE$76,MATCH(1,INDEX((_TECH_Initiative_Library!$B$5:$B$76=$C378)*(_TECH_Initiative_Library!$C$5:$C$76=$D378),0),0)),"")</f>
        <v/>
      </c>
      <c r="AL378" s="48" t="str">
        <f>IF($B378="Yes",IFERROR(SUMIFS(_TECH_Industry_Templates!$E:$E,_TECH_Industry_Templates!$A:$A,'Company Profile'!$B$9,_TECH_Industry_Templates!$B:$B,$C378),1),"")</f>
        <v/>
      </c>
      <c r="AM378" s="48" t="str">
        <f t="shared" si="59"/>
        <v/>
      </c>
      <c r="AN378" s="48" t="str">
        <f>IF($AM378="","",RANK.EQ($AM378,$AM$8:$AM$414,0)+COUNTIF($AM$8:$AM378,$AM378)-1)</f>
        <v/>
      </c>
    </row>
    <row r="379" spans="1:40" ht="57">
      <c r="A379" s="28" t="str">
        <f>IF($AM379="","",RANK.EQ($AM379,$AM$8:$AM$414,0)+COUNTIF($AM$8:$AM379,$AM379)-1)</f>
        <v/>
      </c>
      <c r="B379" s="7" t="str">
        <f t="shared" si="50"/>
        <v/>
      </c>
      <c r="C379" s="7" t="s">
        <v>93</v>
      </c>
      <c r="D379" s="7" t="s">
        <v>1604</v>
      </c>
      <c r="E379" s="7" t="s">
        <v>5654</v>
      </c>
      <c r="F379" s="7" t="s">
        <v>5655</v>
      </c>
      <c r="G379" s="28" t="str">
        <f>IF(OR(COUNTA('Cyber Privacy'!$H$23)=0,'Cyber Privacy'!$H$23="N/A"),"",VALUE('Cyber Privacy'!$H$23))</f>
        <v/>
      </c>
      <c r="H379" s="7" t="str">
        <f t="shared" si="51"/>
        <v/>
      </c>
      <c r="I379" s="7" t="str">
        <f>IF($G379="","",IFERROR(IF('Cyber Privacy'!$L$23="",IF($G379&lt;=1,"Critical",IF($G379=2,"High",IF($G379=3,"Medium",IF($G379=4,"Low","Optimized")))),'Cyber Privacy'!$L$23),IF($G379&lt;=1,"Critical",IF($G379=2,"High",IF($G379=3,"Medium",IF($G379=4,"Low","Optimized"))))))</f>
        <v/>
      </c>
      <c r="J379" s="7" t="str">
        <f>IF($G379="","",IFERROR(INDEX('Recommendation Matrix'!$E$5:$J$411,MATCH($E379,'Recommendation Matrix'!$A$5:$A$411,0),$G379+1),""))</f>
        <v/>
      </c>
      <c r="K379" s="7" t="str">
        <f>IF($G379="","",IFERROR(VLOOKUP($E379,'Recommendation Matrix'!$A$5:$K$411,11,FALSE),""))</f>
        <v/>
      </c>
      <c r="L379" s="28" t="str">
        <f t="shared" si="52"/>
        <v/>
      </c>
      <c r="M379" s="28" t="str">
        <f>IF($G379="","",IFERROR(INDEX('Recommendation Matrix'!$L$5:$Q$411,MATCH($E379,'Recommendation Matrix'!$A$5:$A$411,0),$G379+1),""))</f>
        <v/>
      </c>
      <c r="N379" s="28" t="str">
        <f t="shared" si="53"/>
        <v/>
      </c>
      <c r="O379" s="28" t="str">
        <f t="shared" si="54"/>
        <v/>
      </c>
      <c r="P379" s="28" t="str">
        <f t="shared" si="55"/>
        <v/>
      </c>
      <c r="Q379" s="28" t="str">
        <f t="shared" si="56"/>
        <v/>
      </c>
      <c r="R379" s="8" t="str">
        <f t="shared" si="57"/>
        <v/>
      </c>
      <c r="S379" s="28">
        <f>IFERROR('Cyber Privacy'!$G$23,"")</f>
        <v>4</v>
      </c>
      <c r="T379" s="28">
        <f>IFERROR('Cyber Privacy'!$W$23,"")</f>
        <v>5</v>
      </c>
      <c r="U379" s="28">
        <f>IFERROR('Cyber Privacy'!$X$23,"")</f>
        <v>5</v>
      </c>
      <c r="V379" s="28">
        <f>IFERROR('Cyber Privacy'!$Y$23,"")</f>
        <v>5</v>
      </c>
      <c r="W379" s="7" t="s">
        <v>5481</v>
      </c>
      <c r="X379" s="7" t="s">
        <v>5482</v>
      </c>
      <c r="Y379" s="7" t="s">
        <v>5656</v>
      </c>
      <c r="Z379" s="7">
        <f>IFERROR('Cyber Privacy'!$U$23,"")</f>
        <v>0</v>
      </c>
      <c r="AA379" s="7"/>
      <c r="AB379" s="29"/>
      <c r="AC379" s="7"/>
      <c r="AD379" s="48" t="str">
        <f>IF($B379="Yes",IFERROR(SUMIFS(_TECH_Crisis_Model!$D$5:$D$191,_TECH_Crisis_Model!$A$5:$A$191,'Crisis Simulator'!$B$4,_TECH_Crisis_Model!$B$5:$B$191,$C379),1),"")</f>
        <v/>
      </c>
      <c r="AE379" s="48" t="str">
        <f t="shared" si="58"/>
        <v/>
      </c>
      <c r="AF379" s="48" t="str">
        <f>IFERROR(INDEX(_TECH_Crisis_Model!$E$5:$E$191,MATCH('Crisis Simulator'!$B$4&amp;"|"&amp;$C379,_TECH_Crisis_Model!$I$5:$I$191,0)),"")</f>
        <v>Cybersecurity and privacy controls determine resistance to digital disruption and regulatory exposure.</v>
      </c>
      <c r="AG379" s="48" t="str">
        <f>IFERROR(INDEX(_TECH_Crisis_Model!$G$5:$G$191,MATCH('Crisis Simulator'!$B$4&amp;"|"&amp;$C379,_TECH_Crisis_Model!$I$5:$I$191,0)),"")</f>
        <v>Strengthen MFA, EDR, logging, IR playbooks, restore testing, privacy controls and awareness.</v>
      </c>
      <c r="AH379" s="48" t="str">
        <f>IFERROR(INDEX(_TECH_Initiative_Library!$A$5:$A$76,MATCH(1,INDEX((_TECH_Initiative_Library!$B$5:$B$76=$C379)*(_TECH_Initiative_Library!$C$5:$C$76=$D379),0),0)),"")</f>
        <v>INI-065</v>
      </c>
      <c r="AI379" s="48" t="str">
        <f>IFERROR(INDEX(_TECH_Initiative_Library!$F$5:$F$76,MATCH(1,INDEX((_TECH_Initiative_Library!$B$5:$B$76=$C379)*(_TECH_Initiative_Library!$C$5:$C$76=$D379),0),0)),"")</f>
        <v>Improve endpoint, network, backup and vulnerability protection</v>
      </c>
      <c r="AJ379" s="48" t="str">
        <f ca="1">IFERROR(INDEX(_TECH_Initiative_Library!$AC$5:$AC$76,MATCH(1,INDEX((_TECH_Initiative_Library!$B$5:$B$76=$C379)*(_TECH_Initiative_Library!$C$5:$C$76=$D379),0),0)),"")</f>
        <v/>
      </c>
      <c r="AK379" s="48" t="str">
        <f ca="1">IFERROR(INDEX(_TECH_Initiative_Library!$AE$5:$AE$76,MATCH(1,INDEX((_TECH_Initiative_Library!$B$5:$B$76=$C379)*(_TECH_Initiative_Library!$C$5:$C$76=$D379),0),0)),"")</f>
        <v/>
      </c>
      <c r="AL379" s="48" t="str">
        <f>IF($B379="Yes",IFERROR(SUMIFS(_TECH_Industry_Templates!$E:$E,_TECH_Industry_Templates!$A:$A,'Company Profile'!$B$9,_TECH_Industry_Templates!$B:$B,$C379),1),"")</f>
        <v/>
      </c>
      <c r="AM379" s="48" t="str">
        <f t="shared" si="59"/>
        <v/>
      </c>
      <c r="AN379" s="48" t="str">
        <f>IF($AM379="","",RANK.EQ($AM379,$AM$8:$AM$414,0)+COUNTIF($AM$8:$AM379,$AM379)-1)</f>
        <v/>
      </c>
    </row>
    <row r="380" spans="1:40" ht="71.25">
      <c r="A380" s="28" t="str">
        <f>IF($AM380="","",RANK.EQ($AM380,$AM$8:$AM$414,0)+COUNTIF($AM$8:$AM380,$AM380)-1)</f>
        <v/>
      </c>
      <c r="B380" s="7" t="str">
        <f t="shared" si="50"/>
        <v/>
      </c>
      <c r="C380" s="7" t="s">
        <v>93</v>
      </c>
      <c r="D380" s="7" t="s">
        <v>1604</v>
      </c>
      <c r="E380" s="7" t="s">
        <v>5664</v>
      </c>
      <c r="F380" s="7" t="s">
        <v>5665</v>
      </c>
      <c r="G380" s="28" t="str">
        <f>IF(OR(COUNTA('Cyber Privacy'!$H$24)=0,'Cyber Privacy'!$H$24="N/A"),"",VALUE('Cyber Privacy'!$H$24))</f>
        <v/>
      </c>
      <c r="H380" s="7" t="str">
        <f t="shared" si="51"/>
        <v/>
      </c>
      <c r="I380" s="7" t="str">
        <f>IF($G380="","",IFERROR(IF('Cyber Privacy'!$L$24="",IF($G380&lt;=1,"Critical",IF($G380=2,"High",IF($G380=3,"Medium",IF($G380=4,"Low","Optimized")))),'Cyber Privacy'!$L$24),IF($G380&lt;=1,"Critical",IF($G380=2,"High",IF($G380=3,"Medium",IF($G380=4,"Low","Optimized"))))))</f>
        <v/>
      </c>
      <c r="J380" s="7" t="str">
        <f>IF($G380="","",IFERROR(INDEX('Recommendation Matrix'!$E$5:$J$411,MATCH($E380,'Recommendation Matrix'!$A$5:$A$411,0),$G380+1),""))</f>
        <v/>
      </c>
      <c r="K380" s="7" t="str">
        <f>IF($G380="","",IFERROR(VLOOKUP($E380,'Recommendation Matrix'!$A$5:$K$411,11,FALSE),""))</f>
        <v/>
      </c>
      <c r="L380" s="28" t="str">
        <f t="shared" si="52"/>
        <v/>
      </c>
      <c r="M380" s="28" t="str">
        <f>IF($G380="","",IFERROR(INDEX('Recommendation Matrix'!$L$5:$Q$411,MATCH($E380,'Recommendation Matrix'!$A$5:$A$411,0),$G380+1),""))</f>
        <v/>
      </c>
      <c r="N380" s="28" t="str">
        <f t="shared" si="53"/>
        <v/>
      </c>
      <c r="O380" s="28" t="str">
        <f t="shared" si="54"/>
        <v/>
      </c>
      <c r="P380" s="28" t="str">
        <f t="shared" si="55"/>
        <v/>
      </c>
      <c r="Q380" s="28" t="str">
        <f t="shared" si="56"/>
        <v/>
      </c>
      <c r="R380" s="8" t="str">
        <f t="shared" si="57"/>
        <v/>
      </c>
      <c r="S380" s="28">
        <f>IFERROR('Cyber Privacy'!$G$24,"")</f>
        <v>5</v>
      </c>
      <c r="T380" s="28">
        <f>IFERROR('Cyber Privacy'!$W$24,"")</f>
        <v>5</v>
      </c>
      <c r="U380" s="28">
        <f>IFERROR('Cyber Privacy'!$X$24,"")</f>
        <v>5</v>
      </c>
      <c r="V380" s="28">
        <f>IFERROR('Cyber Privacy'!$Y$24,"")</f>
        <v>5</v>
      </c>
      <c r="W380" s="7" t="s">
        <v>5481</v>
      </c>
      <c r="X380" s="7" t="s">
        <v>5482</v>
      </c>
      <c r="Y380" s="7" t="s">
        <v>5666</v>
      </c>
      <c r="Z380" s="7">
        <f>IFERROR('Cyber Privacy'!$U$24,"")</f>
        <v>0</v>
      </c>
      <c r="AA380" s="7"/>
      <c r="AB380" s="29"/>
      <c r="AC380" s="7"/>
      <c r="AD380" s="48" t="str">
        <f>IF($B380="Yes",IFERROR(SUMIFS(_TECH_Crisis_Model!$D$5:$D$191,_TECH_Crisis_Model!$A$5:$A$191,'Crisis Simulator'!$B$4,_TECH_Crisis_Model!$B$5:$B$191,$C380),1),"")</f>
        <v/>
      </c>
      <c r="AE380" s="48" t="str">
        <f t="shared" si="58"/>
        <v/>
      </c>
      <c r="AF380" s="48" t="str">
        <f>IFERROR(INDEX(_TECH_Crisis_Model!$E$5:$E$191,MATCH('Crisis Simulator'!$B$4&amp;"|"&amp;$C380,_TECH_Crisis_Model!$I$5:$I$191,0)),"")</f>
        <v>Cybersecurity and privacy controls determine resistance to digital disruption and regulatory exposure.</v>
      </c>
      <c r="AG380" s="48" t="str">
        <f>IFERROR(INDEX(_TECH_Crisis_Model!$G$5:$G$191,MATCH('Crisis Simulator'!$B$4&amp;"|"&amp;$C380,_TECH_Crisis_Model!$I$5:$I$191,0)),"")</f>
        <v>Strengthen MFA, EDR, logging, IR playbooks, restore testing, privacy controls and awareness.</v>
      </c>
      <c r="AH380" s="48" t="str">
        <f>IFERROR(INDEX(_TECH_Initiative_Library!$A$5:$A$76,MATCH(1,INDEX((_TECH_Initiative_Library!$B$5:$B$76=$C380)*(_TECH_Initiative_Library!$C$5:$C$76=$D380),0),0)),"")</f>
        <v>INI-065</v>
      </c>
      <c r="AI380" s="48" t="str">
        <f>IFERROR(INDEX(_TECH_Initiative_Library!$F$5:$F$76,MATCH(1,INDEX((_TECH_Initiative_Library!$B$5:$B$76=$C380)*(_TECH_Initiative_Library!$C$5:$C$76=$D380),0),0)),"")</f>
        <v>Improve endpoint, network, backup and vulnerability protection</v>
      </c>
      <c r="AJ380" s="48" t="str">
        <f ca="1">IFERROR(INDEX(_TECH_Initiative_Library!$AC$5:$AC$76,MATCH(1,INDEX((_TECH_Initiative_Library!$B$5:$B$76=$C380)*(_TECH_Initiative_Library!$C$5:$C$76=$D380),0),0)),"")</f>
        <v/>
      </c>
      <c r="AK380" s="48" t="str">
        <f ca="1">IFERROR(INDEX(_TECH_Initiative_Library!$AE$5:$AE$76,MATCH(1,INDEX((_TECH_Initiative_Library!$B$5:$B$76=$C380)*(_TECH_Initiative_Library!$C$5:$C$76=$D380),0),0)),"")</f>
        <v/>
      </c>
      <c r="AL380" s="48" t="str">
        <f>IF($B380="Yes",IFERROR(SUMIFS(_TECH_Industry_Templates!$E:$E,_TECH_Industry_Templates!$A:$A,'Company Profile'!$B$9,_TECH_Industry_Templates!$B:$B,$C380),1),"")</f>
        <v/>
      </c>
      <c r="AM380" s="48" t="str">
        <f t="shared" si="59"/>
        <v/>
      </c>
      <c r="AN380" s="48" t="str">
        <f>IF($AM380="","",RANK.EQ($AM380,$AM$8:$AM$414,0)+COUNTIF($AM$8:$AM380,$AM380)-1)</f>
        <v/>
      </c>
    </row>
    <row r="381" spans="1:40" ht="71.25">
      <c r="A381" s="28" t="str">
        <f>IF($AM381="","",RANK.EQ($AM381,$AM$8:$AM$414,0)+COUNTIF($AM$8:$AM381,$AM381)-1)</f>
        <v/>
      </c>
      <c r="B381" s="7" t="str">
        <f t="shared" si="50"/>
        <v/>
      </c>
      <c r="C381" s="7" t="s">
        <v>93</v>
      </c>
      <c r="D381" s="7" t="s">
        <v>1612</v>
      </c>
      <c r="E381" s="7" t="s">
        <v>5674</v>
      </c>
      <c r="F381" s="7" t="s">
        <v>5675</v>
      </c>
      <c r="G381" s="28" t="str">
        <f>IF(OR(COUNTA('Cyber Privacy'!$H$25)=0,'Cyber Privacy'!$H$25="N/A"),"",VALUE('Cyber Privacy'!$H$25))</f>
        <v/>
      </c>
      <c r="H381" s="7" t="str">
        <f t="shared" si="51"/>
        <v/>
      </c>
      <c r="I381" s="7" t="str">
        <f>IF($G381="","",IFERROR(IF('Cyber Privacy'!$L$25="",IF($G381&lt;=1,"Critical",IF($G381=2,"High",IF($G381=3,"Medium",IF($G381=4,"Low","Optimized")))),'Cyber Privacy'!$L$25),IF($G381&lt;=1,"Critical",IF($G381=2,"High",IF($G381=3,"Medium",IF($G381=4,"Low","Optimized"))))))</f>
        <v/>
      </c>
      <c r="J381" s="7" t="str">
        <f>IF($G381="","",IFERROR(INDEX('Recommendation Matrix'!$E$5:$J$411,MATCH($E381,'Recommendation Matrix'!$A$5:$A$411,0),$G381+1),""))</f>
        <v/>
      </c>
      <c r="K381" s="7" t="str">
        <f>IF($G381="","",IFERROR(VLOOKUP($E381,'Recommendation Matrix'!$A$5:$K$411,11,FALSE),""))</f>
        <v/>
      </c>
      <c r="L381" s="28" t="str">
        <f t="shared" si="52"/>
        <v/>
      </c>
      <c r="M381" s="28" t="str">
        <f>IF($G381="","",IFERROR(INDEX('Recommendation Matrix'!$L$5:$Q$411,MATCH($E381,'Recommendation Matrix'!$A$5:$A$411,0),$G381+1),""))</f>
        <v/>
      </c>
      <c r="N381" s="28" t="str">
        <f t="shared" si="53"/>
        <v/>
      </c>
      <c r="O381" s="28" t="str">
        <f t="shared" si="54"/>
        <v/>
      </c>
      <c r="P381" s="28" t="str">
        <f t="shared" si="55"/>
        <v/>
      </c>
      <c r="Q381" s="28" t="str">
        <f t="shared" si="56"/>
        <v/>
      </c>
      <c r="R381" s="8" t="str">
        <f t="shared" si="57"/>
        <v/>
      </c>
      <c r="S381" s="28">
        <f>IFERROR('Cyber Privacy'!$G$25,"")</f>
        <v>5</v>
      </c>
      <c r="T381" s="28">
        <f>IFERROR('Cyber Privacy'!$W$25,"")</f>
        <v>5</v>
      </c>
      <c r="U381" s="28">
        <f>IFERROR('Cyber Privacy'!$X$25,"")</f>
        <v>5</v>
      </c>
      <c r="V381" s="28">
        <f>IFERROR('Cyber Privacy'!$Y$25,"")</f>
        <v>5</v>
      </c>
      <c r="W381" s="7" t="s">
        <v>5481</v>
      </c>
      <c r="X381" s="7" t="s">
        <v>5482</v>
      </c>
      <c r="Y381" s="7" t="s">
        <v>5676</v>
      </c>
      <c r="Z381" s="7">
        <f>IFERROR('Cyber Privacy'!$U$25,"")</f>
        <v>0</v>
      </c>
      <c r="AA381" s="7"/>
      <c r="AB381" s="29"/>
      <c r="AC381" s="7"/>
      <c r="AD381" s="48" t="str">
        <f>IF($B381="Yes",IFERROR(SUMIFS(_TECH_Crisis_Model!$D$5:$D$191,_TECH_Crisis_Model!$A$5:$A$191,'Crisis Simulator'!$B$4,_TECH_Crisis_Model!$B$5:$B$191,$C381),1),"")</f>
        <v/>
      </c>
      <c r="AE381" s="48" t="str">
        <f t="shared" si="58"/>
        <v/>
      </c>
      <c r="AF381" s="48" t="str">
        <f>IFERROR(INDEX(_TECH_Crisis_Model!$E$5:$E$191,MATCH('Crisis Simulator'!$B$4&amp;"|"&amp;$C381,_TECH_Crisis_Model!$I$5:$I$191,0)),"")</f>
        <v>Cybersecurity and privacy controls determine resistance to digital disruption and regulatory exposure.</v>
      </c>
      <c r="AG381" s="48" t="str">
        <f>IFERROR(INDEX(_TECH_Crisis_Model!$G$5:$G$191,MATCH('Crisis Simulator'!$B$4&amp;"|"&amp;$C381,_TECH_Crisis_Model!$I$5:$I$191,0)),"")</f>
        <v>Strengthen MFA, EDR, logging, IR playbooks, restore testing, privacy controls and awareness.</v>
      </c>
      <c r="AH381" s="48" t="str">
        <f>IFERROR(INDEX(_TECH_Initiative_Library!$A$5:$A$76,MATCH(1,INDEX((_TECH_Initiative_Library!$B$5:$B$76=$C381)*(_TECH_Initiative_Library!$C$5:$C$76=$D381),0),0)),"")</f>
        <v>INI-066</v>
      </c>
      <c r="AI381" s="48" t="str">
        <f>IFERROR(INDEX(_TECH_Initiative_Library!$F$5:$F$76,MATCH(1,INDEX((_TECH_Initiative_Library!$B$5:$B$76=$C381)*(_TECH_Initiative_Library!$C$5:$C$76=$D381),0),0)),"")</f>
        <v>Implement detection, response, logging and security incident exercises</v>
      </c>
      <c r="AJ381" s="48" t="str">
        <f ca="1">IFERROR(INDEX(_TECH_Initiative_Library!$AC$5:$AC$76,MATCH(1,INDEX((_TECH_Initiative_Library!$B$5:$B$76=$C381)*(_TECH_Initiative_Library!$C$5:$C$76=$D381),0),0)),"")</f>
        <v/>
      </c>
      <c r="AK381" s="48" t="str">
        <f ca="1">IFERROR(INDEX(_TECH_Initiative_Library!$AE$5:$AE$76,MATCH(1,INDEX((_TECH_Initiative_Library!$B$5:$B$76=$C381)*(_TECH_Initiative_Library!$C$5:$C$76=$D381),0),0)),"")</f>
        <v/>
      </c>
      <c r="AL381" s="48" t="str">
        <f>IF($B381="Yes",IFERROR(SUMIFS(_TECH_Industry_Templates!$E:$E,_TECH_Industry_Templates!$A:$A,'Company Profile'!$B$9,_TECH_Industry_Templates!$B:$B,$C381),1),"")</f>
        <v/>
      </c>
      <c r="AM381" s="48" t="str">
        <f t="shared" si="59"/>
        <v/>
      </c>
      <c r="AN381" s="48" t="str">
        <f>IF($AM381="","",RANK.EQ($AM381,$AM$8:$AM$414,0)+COUNTIF($AM$8:$AM381,$AM381)-1)</f>
        <v/>
      </c>
    </row>
    <row r="382" spans="1:40" ht="71.25">
      <c r="A382" s="28" t="str">
        <f>IF($AM382="","",RANK.EQ($AM382,$AM$8:$AM$414,0)+COUNTIF($AM$8:$AM382,$AM382)-1)</f>
        <v/>
      </c>
      <c r="B382" s="7" t="str">
        <f t="shared" si="50"/>
        <v/>
      </c>
      <c r="C382" s="7" t="s">
        <v>93</v>
      </c>
      <c r="D382" s="7" t="s">
        <v>1612</v>
      </c>
      <c r="E382" s="7" t="s">
        <v>5684</v>
      </c>
      <c r="F382" s="7" t="s">
        <v>5685</v>
      </c>
      <c r="G382" s="28" t="str">
        <f>IF(OR(COUNTA('Cyber Privacy'!$H$26)=0,'Cyber Privacy'!$H$26="N/A"),"",VALUE('Cyber Privacy'!$H$26))</f>
        <v/>
      </c>
      <c r="H382" s="7" t="str">
        <f t="shared" si="51"/>
        <v/>
      </c>
      <c r="I382" s="7" t="str">
        <f>IF($G382="","",IFERROR(IF('Cyber Privacy'!$L$26="",IF($G382&lt;=1,"Critical",IF($G382=2,"High",IF($G382=3,"Medium",IF($G382=4,"Low","Optimized")))),'Cyber Privacy'!$L$26),IF($G382&lt;=1,"Critical",IF($G382=2,"High",IF($G382=3,"Medium",IF($G382=4,"Low","Optimized"))))))</f>
        <v/>
      </c>
      <c r="J382" s="7" t="str">
        <f>IF($G382="","",IFERROR(INDEX('Recommendation Matrix'!$E$5:$J$411,MATCH($E382,'Recommendation Matrix'!$A$5:$A$411,0),$G382+1),""))</f>
        <v/>
      </c>
      <c r="K382" s="7" t="str">
        <f>IF($G382="","",IFERROR(VLOOKUP($E382,'Recommendation Matrix'!$A$5:$K$411,11,FALSE),""))</f>
        <v/>
      </c>
      <c r="L382" s="28" t="str">
        <f t="shared" si="52"/>
        <v/>
      </c>
      <c r="M382" s="28" t="str">
        <f>IF($G382="","",IFERROR(INDEX('Recommendation Matrix'!$L$5:$Q$411,MATCH($E382,'Recommendation Matrix'!$A$5:$A$411,0),$G382+1),""))</f>
        <v/>
      </c>
      <c r="N382" s="28" t="str">
        <f t="shared" si="53"/>
        <v/>
      </c>
      <c r="O382" s="28" t="str">
        <f t="shared" si="54"/>
        <v/>
      </c>
      <c r="P382" s="28" t="str">
        <f t="shared" si="55"/>
        <v/>
      </c>
      <c r="Q382" s="28" t="str">
        <f t="shared" si="56"/>
        <v/>
      </c>
      <c r="R382" s="8" t="str">
        <f t="shared" si="57"/>
        <v/>
      </c>
      <c r="S382" s="28">
        <f>IFERROR('Cyber Privacy'!$G$26,"")</f>
        <v>3</v>
      </c>
      <c r="T382" s="28">
        <f>IFERROR('Cyber Privacy'!$W$26,"")</f>
        <v>5</v>
      </c>
      <c r="U382" s="28">
        <f>IFERROR('Cyber Privacy'!$X$26,"")</f>
        <v>5</v>
      </c>
      <c r="V382" s="28">
        <f>IFERROR('Cyber Privacy'!$Y$26,"")</f>
        <v>5</v>
      </c>
      <c r="W382" s="7" t="s">
        <v>5481</v>
      </c>
      <c r="X382" s="7" t="s">
        <v>5482</v>
      </c>
      <c r="Y382" s="7" t="s">
        <v>5686</v>
      </c>
      <c r="Z382" s="7">
        <f>IFERROR('Cyber Privacy'!$U$26,"")</f>
        <v>0</v>
      </c>
      <c r="AA382" s="7"/>
      <c r="AB382" s="29"/>
      <c r="AC382" s="7"/>
      <c r="AD382" s="48" t="str">
        <f>IF($B382="Yes",IFERROR(SUMIFS(_TECH_Crisis_Model!$D$5:$D$191,_TECH_Crisis_Model!$A$5:$A$191,'Crisis Simulator'!$B$4,_TECH_Crisis_Model!$B$5:$B$191,$C382),1),"")</f>
        <v/>
      </c>
      <c r="AE382" s="48" t="str">
        <f t="shared" si="58"/>
        <v/>
      </c>
      <c r="AF382" s="48" t="str">
        <f>IFERROR(INDEX(_TECH_Crisis_Model!$E$5:$E$191,MATCH('Crisis Simulator'!$B$4&amp;"|"&amp;$C382,_TECH_Crisis_Model!$I$5:$I$191,0)),"")</f>
        <v>Cybersecurity and privacy controls determine resistance to digital disruption and regulatory exposure.</v>
      </c>
      <c r="AG382" s="48" t="str">
        <f>IFERROR(INDEX(_TECH_Crisis_Model!$G$5:$G$191,MATCH('Crisis Simulator'!$B$4&amp;"|"&amp;$C382,_TECH_Crisis_Model!$I$5:$I$191,0)),"")</f>
        <v>Strengthen MFA, EDR, logging, IR playbooks, restore testing, privacy controls and awareness.</v>
      </c>
      <c r="AH382" s="48" t="str">
        <f>IFERROR(INDEX(_TECH_Initiative_Library!$A$5:$A$76,MATCH(1,INDEX((_TECH_Initiative_Library!$B$5:$B$76=$C382)*(_TECH_Initiative_Library!$C$5:$C$76=$D382),0),0)),"")</f>
        <v>INI-066</v>
      </c>
      <c r="AI382" s="48" t="str">
        <f>IFERROR(INDEX(_TECH_Initiative_Library!$F$5:$F$76,MATCH(1,INDEX((_TECH_Initiative_Library!$B$5:$B$76=$C382)*(_TECH_Initiative_Library!$C$5:$C$76=$D382),0),0)),"")</f>
        <v>Implement detection, response, logging and security incident exercises</v>
      </c>
      <c r="AJ382" s="48" t="str">
        <f ca="1">IFERROR(INDEX(_TECH_Initiative_Library!$AC$5:$AC$76,MATCH(1,INDEX((_TECH_Initiative_Library!$B$5:$B$76=$C382)*(_TECH_Initiative_Library!$C$5:$C$76=$D382),0),0)),"")</f>
        <v/>
      </c>
      <c r="AK382" s="48" t="str">
        <f ca="1">IFERROR(INDEX(_TECH_Initiative_Library!$AE$5:$AE$76,MATCH(1,INDEX((_TECH_Initiative_Library!$B$5:$B$76=$C382)*(_TECH_Initiative_Library!$C$5:$C$76=$D382),0),0)),"")</f>
        <v/>
      </c>
      <c r="AL382" s="48" t="str">
        <f>IF($B382="Yes",IFERROR(SUMIFS(_TECH_Industry_Templates!$E:$E,_TECH_Industry_Templates!$A:$A,'Company Profile'!$B$9,_TECH_Industry_Templates!$B:$B,$C382),1),"")</f>
        <v/>
      </c>
      <c r="AM382" s="48" t="str">
        <f t="shared" si="59"/>
        <v/>
      </c>
      <c r="AN382" s="48" t="str">
        <f>IF($AM382="","",RANK.EQ($AM382,$AM$8:$AM$414,0)+COUNTIF($AM$8:$AM382,$AM382)-1)</f>
        <v/>
      </c>
    </row>
    <row r="383" spans="1:40" ht="71.25">
      <c r="A383" s="28" t="str">
        <f>IF($AM383="","",RANK.EQ($AM383,$AM$8:$AM$414,0)+COUNTIF($AM$8:$AM383,$AM383)-1)</f>
        <v/>
      </c>
      <c r="B383" s="7" t="str">
        <f t="shared" si="50"/>
        <v/>
      </c>
      <c r="C383" s="7" t="s">
        <v>93</v>
      </c>
      <c r="D383" s="7" t="s">
        <v>1612</v>
      </c>
      <c r="E383" s="7" t="s">
        <v>5694</v>
      </c>
      <c r="F383" s="7" t="s">
        <v>5695</v>
      </c>
      <c r="G383" s="28" t="str">
        <f>IF(OR(COUNTA('Cyber Privacy'!$H$27)=0,'Cyber Privacy'!$H$27="N/A"),"",VALUE('Cyber Privacy'!$H$27))</f>
        <v/>
      </c>
      <c r="H383" s="7" t="str">
        <f t="shared" si="51"/>
        <v/>
      </c>
      <c r="I383" s="7" t="str">
        <f>IF($G383="","",IFERROR(IF('Cyber Privacy'!$L$27="",IF($G383&lt;=1,"Critical",IF($G383=2,"High",IF($G383=3,"Medium",IF($G383=4,"Low","Optimized")))),'Cyber Privacy'!$L$27),IF($G383&lt;=1,"Critical",IF($G383=2,"High",IF($G383=3,"Medium",IF($G383=4,"Low","Optimized"))))))</f>
        <v/>
      </c>
      <c r="J383" s="7" t="str">
        <f>IF($G383="","",IFERROR(INDEX('Recommendation Matrix'!$E$5:$J$411,MATCH($E383,'Recommendation Matrix'!$A$5:$A$411,0),$G383+1),""))</f>
        <v/>
      </c>
      <c r="K383" s="7" t="str">
        <f>IF($G383="","",IFERROR(VLOOKUP($E383,'Recommendation Matrix'!$A$5:$K$411,11,FALSE),""))</f>
        <v/>
      </c>
      <c r="L383" s="28" t="str">
        <f t="shared" si="52"/>
        <v/>
      </c>
      <c r="M383" s="28" t="str">
        <f>IF($G383="","",IFERROR(INDEX('Recommendation Matrix'!$L$5:$Q$411,MATCH($E383,'Recommendation Matrix'!$A$5:$A$411,0),$G383+1),""))</f>
        <v/>
      </c>
      <c r="N383" s="28" t="str">
        <f t="shared" si="53"/>
        <v/>
      </c>
      <c r="O383" s="28" t="str">
        <f t="shared" si="54"/>
        <v/>
      </c>
      <c r="P383" s="28" t="str">
        <f t="shared" si="55"/>
        <v/>
      </c>
      <c r="Q383" s="28" t="str">
        <f t="shared" si="56"/>
        <v/>
      </c>
      <c r="R383" s="8" t="str">
        <f t="shared" si="57"/>
        <v/>
      </c>
      <c r="S383" s="28">
        <f>IFERROR('Cyber Privacy'!$G$27,"")</f>
        <v>5</v>
      </c>
      <c r="T383" s="28">
        <f>IFERROR('Cyber Privacy'!$W$27,"")</f>
        <v>5</v>
      </c>
      <c r="U383" s="28">
        <f>IFERROR('Cyber Privacy'!$X$27,"")</f>
        <v>5</v>
      </c>
      <c r="V383" s="28">
        <f>IFERROR('Cyber Privacy'!$Y$27,"")</f>
        <v>5</v>
      </c>
      <c r="W383" s="7" t="s">
        <v>5481</v>
      </c>
      <c r="X383" s="7" t="s">
        <v>5482</v>
      </c>
      <c r="Y383" s="7" t="s">
        <v>5696</v>
      </c>
      <c r="Z383" s="7">
        <f>IFERROR('Cyber Privacy'!$U$27,"")</f>
        <v>0</v>
      </c>
      <c r="AA383" s="7"/>
      <c r="AB383" s="29"/>
      <c r="AC383" s="7"/>
      <c r="AD383" s="48" t="str">
        <f>IF($B383="Yes",IFERROR(SUMIFS(_TECH_Crisis_Model!$D$5:$D$191,_TECH_Crisis_Model!$A$5:$A$191,'Crisis Simulator'!$B$4,_TECH_Crisis_Model!$B$5:$B$191,$C383),1),"")</f>
        <v/>
      </c>
      <c r="AE383" s="48" t="str">
        <f t="shared" si="58"/>
        <v/>
      </c>
      <c r="AF383" s="48" t="str">
        <f>IFERROR(INDEX(_TECH_Crisis_Model!$E$5:$E$191,MATCH('Crisis Simulator'!$B$4&amp;"|"&amp;$C383,_TECH_Crisis_Model!$I$5:$I$191,0)),"")</f>
        <v>Cybersecurity and privacy controls determine resistance to digital disruption and regulatory exposure.</v>
      </c>
      <c r="AG383" s="48" t="str">
        <f>IFERROR(INDEX(_TECH_Crisis_Model!$G$5:$G$191,MATCH('Crisis Simulator'!$B$4&amp;"|"&amp;$C383,_TECH_Crisis_Model!$I$5:$I$191,0)),"")</f>
        <v>Strengthen MFA, EDR, logging, IR playbooks, restore testing, privacy controls and awareness.</v>
      </c>
      <c r="AH383" s="48" t="str">
        <f>IFERROR(INDEX(_TECH_Initiative_Library!$A$5:$A$76,MATCH(1,INDEX((_TECH_Initiative_Library!$B$5:$B$76=$C383)*(_TECH_Initiative_Library!$C$5:$C$76=$D383),0),0)),"")</f>
        <v>INI-066</v>
      </c>
      <c r="AI383" s="48" t="str">
        <f>IFERROR(INDEX(_TECH_Initiative_Library!$F$5:$F$76,MATCH(1,INDEX((_TECH_Initiative_Library!$B$5:$B$76=$C383)*(_TECH_Initiative_Library!$C$5:$C$76=$D383),0),0)),"")</f>
        <v>Implement detection, response, logging and security incident exercises</v>
      </c>
      <c r="AJ383" s="48" t="str">
        <f ca="1">IFERROR(INDEX(_TECH_Initiative_Library!$AC$5:$AC$76,MATCH(1,INDEX((_TECH_Initiative_Library!$B$5:$B$76=$C383)*(_TECH_Initiative_Library!$C$5:$C$76=$D383),0),0)),"")</f>
        <v/>
      </c>
      <c r="AK383" s="48" t="str">
        <f ca="1">IFERROR(INDEX(_TECH_Initiative_Library!$AE$5:$AE$76,MATCH(1,INDEX((_TECH_Initiative_Library!$B$5:$B$76=$C383)*(_TECH_Initiative_Library!$C$5:$C$76=$D383),0),0)),"")</f>
        <v/>
      </c>
      <c r="AL383" s="48" t="str">
        <f>IF($B383="Yes",IFERROR(SUMIFS(_TECH_Industry_Templates!$E:$E,_TECH_Industry_Templates!$A:$A,'Company Profile'!$B$9,_TECH_Industry_Templates!$B:$B,$C383),1),"")</f>
        <v/>
      </c>
      <c r="AM383" s="48" t="str">
        <f t="shared" si="59"/>
        <v/>
      </c>
      <c r="AN383" s="48" t="str">
        <f>IF($AM383="","",RANK.EQ($AM383,$AM$8:$AM$414,0)+COUNTIF($AM$8:$AM383,$AM383)-1)</f>
        <v/>
      </c>
    </row>
    <row r="384" spans="1:40" ht="85.5">
      <c r="A384" s="28" t="str">
        <f>IF($AM384="","",RANK.EQ($AM384,$AM$8:$AM$414,0)+COUNTIF($AM$8:$AM384,$AM384)-1)</f>
        <v/>
      </c>
      <c r="B384" s="7" t="str">
        <f t="shared" si="50"/>
        <v/>
      </c>
      <c r="C384" s="7" t="s">
        <v>93</v>
      </c>
      <c r="D384" s="7" t="s">
        <v>1612</v>
      </c>
      <c r="E384" s="7" t="s">
        <v>5704</v>
      </c>
      <c r="F384" s="7" t="s">
        <v>5705</v>
      </c>
      <c r="G384" s="28" t="str">
        <f>IF(OR(COUNTA('Cyber Privacy'!$H$28)=0,'Cyber Privacy'!$H$28="N/A"),"",VALUE('Cyber Privacy'!$H$28))</f>
        <v/>
      </c>
      <c r="H384" s="7" t="str">
        <f t="shared" si="51"/>
        <v/>
      </c>
      <c r="I384" s="7" t="str">
        <f>IF($G384="","",IFERROR(IF('Cyber Privacy'!$L$28="",IF($G384&lt;=1,"Critical",IF($G384=2,"High",IF($G384=3,"Medium",IF($G384=4,"Low","Optimized")))),'Cyber Privacy'!$L$28),IF($G384&lt;=1,"Critical",IF($G384=2,"High",IF($G384=3,"Medium",IF($G384=4,"Low","Optimized"))))))</f>
        <v/>
      </c>
      <c r="J384" s="7" t="str">
        <f>IF($G384="","",IFERROR(INDEX('Recommendation Matrix'!$E$5:$J$411,MATCH($E384,'Recommendation Matrix'!$A$5:$A$411,0),$G384+1),""))</f>
        <v/>
      </c>
      <c r="K384" s="7" t="str">
        <f>IF($G384="","",IFERROR(VLOOKUP($E384,'Recommendation Matrix'!$A$5:$K$411,11,FALSE),""))</f>
        <v/>
      </c>
      <c r="L384" s="28" t="str">
        <f t="shared" si="52"/>
        <v/>
      </c>
      <c r="M384" s="28" t="str">
        <f>IF($G384="","",IFERROR(INDEX('Recommendation Matrix'!$L$5:$Q$411,MATCH($E384,'Recommendation Matrix'!$A$5:$A$411,0),$G384+1),""))</f>
        <v/>
      </c>
      <c r="N384" s="28" t="str">
        <f t="shared" si="53"/>
        <v/>
      </c>
      <c r="O384" s="28" t="str">
        <f t="shared" si="54"/>
        <v/>
      </c>
      <c r="P384" s="28" t="str">
        <f t="shared" si="55"/>
        <v/>
      </c>
      <c r="Q384" s="28" t="str">
        <f t="shared" si="56"/>
        <v/>
      </c>
      <c r="R384" s="8" t="str">
        <f t="shared" si="57"/>
        <v/>
      </c>
      <c r="S384" s="28">
        <f>IFERROR('Cyber Privacy'!$G$28,"")</f>
        <v>5</v>
      </c>
      <c r="T384" s="28">
        <f>IFERROR('Cyber Privacy'!$W$28,"")</f>
        <v>5</v>
      </c>
      <c r="U384" s="28">
        <f>IFERROR('Cyber Privacy'!$X$28,"")</f>
        <v>5</v>
      </c>
      <c r="V384" s="28">
        <f>IFERROR('Cyber Privacy'!$Y$28,"")</f>
        <v>5</v>
      </c>
      <c r="W384" s="7" t="s">
        <v>5481</v>
      </c>
      <c r="X384" s="7" t="s">
        <v>5482</v>
      </c>
      <c r="Y384" s="7" t="s">
        <v>5706</v>
      </c>
      <c r="Z384" s="7">
        <f>IFERROR('Cyber Privacy'!$U$28,"")</f>
        <v>0</v>
      </c>
      <c r="AA384" s="7"/>
      <c r="AB384" s="29"/>
      <c r="AC384" s="7"/>
      <c r="AD384" s="48" t="str">
        <f>IF($B384="Yes",IFERROR(SUMIFS(_TECH_Crisis_Model!$D$5:$D$191,_TECH_Crisis_Model!$A$5:$A$191,'Crisis Simulator'!$B$4,_TECH_Crisis_Model!$B$5:$B$191,$C384),1),"")</f>
        <v/>
      </c>
      <c r="AE384" s="48" t="str">
        <f t="shared" si="58"/>
        <v/>
      </c>
      <c r="AF384" s="48" t="str">
        <f>IFERROR(INDEX(_TECH_Crisis_Model!$E$5:$E$191,MATCH('Crisis Simulator'!$B$4&amp;"|"&amp;$C384,_TECH_Crisis_Model!$I$5:$I$191,0)),"")</f>
        <v>Cybersecurity and privacy controls determine resistance to digital disruption and regulatory exposure.</v>
      </c>
      <c r="AG384" s="48" t="str">
        <f>IFERROR(INDEX(_TECH_Crisis_Model!$G$5:$G$191,MATCH('Crisis Simulator'!$B$4&amp;"|"&amp;$C384,_TECH_Crisis_Model!$I$5:$I$191,0)),"")</f>
        <v>Strengthen MFA, EDR, logging, IR playbooks, restore testing, privacy controls and awareness.</v>
      </c>
      <c r="AH384" s="48" t="str">
        <f>IFERROR(INDEX(_TECH_Initiative_Library!$A$5:$A$76,MATCH(1,INDEX((_TECH_Initiative_Library!$B$5:$B$76=$C384)*(_TECH_Initiative_Library!$C$5:$C$76=$D384),0),0)),"")</f>
        <v>INI-066</v>
      </c>
      <c r="AI384" s="48" t="str">
        <f>IFERROR(INDEX(_TECH_Initiative_Library!$F$5:$F$76,MATCH(1,INDEX((_TECH_Initiative_Library!$B$5:$B$76=$C384)*(_TECH_Initiative_Library!$C$5:$C$76=$D384),0),0)),"")</f>
        <v>Implement detection, response, logging and security incident exercises</v>
      </c>
      <c r="AJ384" s="48" t="str">
        <f ca="1">IFERROR(INDEX(_TECH_Initiative_Library!$AC$5:$AC$76,MATCH(1,INDEX((_TECH_Initiative_Library!$B$5:$B$76=$C384)*(_TECH_Initiative_Library!$C$5:$C$76=$D384),0),0)),"")</f>
        <v/>
      </c>
      <c r="AK384" s="48" t="str">
        <f ca="1">IFERROR(INDEX(_TECH_Initiative_Library!$AE$5:$AE$76,MATCH(1,INDEX((_TECH_Initiative_Library!$B$5:$B$76=$C384)*(_TECH_Initiative_Library!$C$5:$C$76=$D384),0),0)),"")</f>
        <v/>
      </c>
      <c r="AL384" s="48" t="str">
        <f>IF($B384="Yes",IFERROR(SUMIFS(_TECH_Industry_Templates!$E:$E,_TECH_Industry_Templates!$A:$A,'Company Profile'!$B$9,_TECH_Industry_Templates!$B:$B,$C384),1),"")</f>
        <v/>
      </c>
      <c r="AM384" s="48" t="str">
        <f t="shared" si="59"/>
        <v/>
      </c>
      <c r="AN384" s="48" t="str">
        <f>IF($AM384="","",RANK.EQ($AM384,$AM$8:$AM$414,0)+COUNTIF($AM$8:$AM384,$AM384)-1)</f>
        <v/>
      </c>
    </row>
    <row r="385" spans="1:40" ht="71.25">
      <c r="A385" s="28" t="str">
        <f>IF($AM385="","",RANK.EQ($AM385,$AM$8:$AM$414,0)+COUNTIF($AM$8:$AM385,$AM385)-1)</f>
        <v/>
      </c>
      <c r="B385" s="7" t="str">
        <f t="shared" si="50"/>
        <v/>
      </c>
      <c r="C385" s="7" t="s">
        <v>93</v>
      </c>
      <c r="D385" s="7" t="s">
        <v>1612</v>
      </c>
      <c r="E385" s="7" t="s">
        <v>5714</v>
      </c>
      <c r="F385" s="7" t="s">
        <v>5715</v>
      </c>
      <c r="G385" s="28" t="str">
        <f>IF(OR(COUNTA('Cyber Privacy'!$H$29)=0,'Cyber Privacy'!$H$29="N/A"),"",VALUE('Cyber Privacy'!$H$29))</f>
        <v/>
      </c>
      <c r="H385" s="7" t="str">
        <f t="shared" si="51"/>
        <v/>
      </c>
      <c r="I385" s="7" t="str">
        <f>IF($G385="","",IFERROR(IF('Cyber Privacy'!$L$29="",IF($G385&lt;=1,"Critical",IF($G385=2,"High",IF($G385=3,"Medium",IF($G385=4,"Low","Optimized")))),'Cyber Privacy'!$L$29),IF($G385&lt;=1,"Critical",IF($G385=2,"High",IF($G385=3,"Medium",IF($G385=4,"Low","Optimized"))))))</f>
        <v/>
      </c>
      <c r="J385" s="7" t="str">
        <f>IF($G385="","",IFERROR(INDEX('Recommendation Matrix'!$E$5:$J$411,MATCH($E385,'Recommendation Matrix'!$A$5:$A$411,0),$G385+1),""))</f>
        <v/>
      </c>
      <c r="K385" s="7" t="str">
        <f>IF($G385="","",IFERROR(VLOOKUP($E385,'Recommendation Matrix'!$A$5:$K$411,11,FALSE),""))</f>
        <v/>
      </c>
      <c r="L385" s="28" t="str">
        <f t="shared" si="52"/>
        <v/>
      </c>
      <c r="M385" s="28" t="str">
        <f>IF($G385="","",IFERROR(INDEX('Recommendation Matrix'!$L$5:$Q$411,MATCH($E385,'Recommendation Matrix'!$A$5:$A$411,0),$G385+1),""))</f>
        <v/>
      </c>
      <c r="N385" s="28" t="str">
        <f t="shared" si="53"/>
        <v/>
      </c>
      <c r="O385" s="28" t="str">
        <f t="shared" si="54"/>
        <v/>
      </c>
      <c r="P385" s="28" t="str">
        <f t="shared" si="55"/>
        <v/>
      </c>
      <c r="Q385" s="28" t="str">
        <f t="shared" si="56"/>
        <v/>
      </c>
      <c r="R385" s="8" t="str">
        <f t="shared" si="57"/>
        <v/>
      </c>
      <c r="S385" s="28">
        <f>IFERROR('Cyber Privacy'!$G$29,"")</f>
        <v>5</v>
      </c>
      <c r="T385" s="28">
        <f>IFERROR('Cyber Privacy'!$W$29,"")</f>
        <v>5</v>
      </c>
      <c r="U385" s="28">
        <f>IFERROR('Cyber Privacy'!$X$29,"")</f>
        <v>5</v>
      </c>
      <c r="V385" s="28">
        <f>IFERROR('Cyber Privacy'!$Y$29,"")</f>
        <v>5</v>
      </c>
      <c r="W385" s="7" t="s">
        <v>5481</v>
      </c>
      <c r="X385" s="7" t="s">
        <v>5482</v>
      </c>
      <c r="Y385" s="7" t="s">
        <v>5716</v>
      </c>
      <c r="Z385" s="7">
        <f>IFERROR('Cyber Privacy'!$U$29,"")</f>
        <v>0</v>
      </c>
      <c r="AA385" s="7"/>
      <c r="AB385" s="29"/>
      <c r="AC385" s="7"/>
      <c r="AD385" s="48" t="str">
        <f>IF($B385="Yes",IFERROR(SUMIFS(_TECH_Crisis_Model!$D$5:$D$191,_TECH_Crisis_Model!$A$5:$A$191,'Crisis Simulator'!$B$4,_TECH_Crisis_Model!$B$5:$B$191,$C385),1),"")</f>
        <v/>
      </c>
      <c r="AE385" s="48" t="str">
        <f t="shared" si="58"/>
        <v/>
      </c>
      <c r="AF385" s="48" t="str">
        <f>IFERROR(INDEX(_TECH_Crisis_Model!$E$5:$E$191,MATCH('Crisis Simulator'!$B$4&amp;"|"&amp;$C385,_TECH_Crisis_Model!$I$5:$I$191,0)),"")</f>
        <v>Cybersecurity and privacy controls determine resistance to digital disruption and regulatory exposure.</v>
      </c>
      <c r="AG385" s="48" t="str">
        <f>IFERROR(INDEX(_TECH_Crisis_Model!$G$5:$G$191,MATCH('Crisis Simulator'!$B$4&amp;"|"&amp;$C385,_TECH_Crisis_Model!$I$5:$I$191,0)),"")</f>
        <v>Strengthen MFA, EDR, logging, IR playbooks, restore testing, privacy controls and awareness.</v>
      </c>
      <c r="AH385" s="48" t="str">
        <f>IFERROR(INDEX(_TECH_Initiative_Library!$A$5:$A$76,MATCH(1,INDEX((_TECH_Initiative_Library!$B$5:$B$76=$C385)*(_TECH_Initiative_Library!$C$5:$C$76=$D385),0),0)),"")</f>
        <v>INI-066</v>
      </c>
      <c r="AI385" s="48" t="str">
        <f>IFERROR(INDEX(_TECH_Initiative_Library!$F$5:$F$76,MATCH(1,INDEX((_TECH_Initiative_Library!$B$5:$B$76=$C385)*(_TECH_Initiative_Library!$C$5:$C$76=$D385),0),0)),"")</f>
        <v>Implement detection, response, logging and security incident exercises</v>
      </c>
      <c r="AJ385" s="48" t="str">
        <f ca="1">IFERROR(INDEX(_TECH_Initiative_Library!$AC$5:$AC$76,MATCH(1,INDEX((_TECH_Initiative_Library!$B$5:$B$76=$C385)*(_TECH_Initiative_Library!$C$5:$C$76=$D385),0),0)),"")</f>
        <v/>
      </c>
      <c r="AK385" s="48" t="str">
        <f ca="1">IFERROR(INDEX(_TECH_Initiative_Library!$AE$5:$AE$76,MATCH(1,INDEX((_TECH_Initiative_Library!$B$5:$B$76=$C385)*(_TECH_Initiative_Library!$C$5:$C$76=$D385),0),0)),"")</f>
        <v/>
      </c>
      <c r="AL385" s="48" t="str">
        <f>IF($B385="Yes",IFERROR(SUMIFS(_TECH_Industry_Templates!$E:$E,_TECH_Industry_Templates!$A:$A,'Company Profile'!$B$9,_TECH_Industry_Templates!$B:$B,$C385),1),"")</f>
        <v/>
      </c>
      <c r="AM385" s="48" t="str">
        <f t="shared" si="59"/>
        <v/>
      </c>
      <c r="AN385" s="48" t="str">
        <f>IF($AM385="","",RANK.EQ($AM385,$AM$8:$AM$414,0)+COUNTIF($AM$8:$AM385,$AM385)-1)</f>
        <v/>
      </c>
    </row>
    <row r="386" spans="1:40" ht="71.25">
      <c r="A386" s="28" t="str">
        <f>IF($AM386="","",RANK.EQ($AM386,$AM$8:$AM$414,0)+COUNTIF($AM$8:$AM386,$AM386)-1)</f>
        <v/>
      </c>
      <c r="B386" s="7" t="str">
        <f t="shared" si="50"/>
        <v/>
      </c>
      <c r="C386" s="7" t="s">
        <v>93</v>
      </c>
      <c r="D386" s="7" t="s">
        <v>1612</v>
      </c>
      <c r="E386" s="7" t="s">
        <v>5724</v>
      </c>
      <c r="F386" s="7" t="s">
        <v>5725</v>
      </c>
      <c r="G386" s="28" t="str">
        <f>IF(OR(COUNTA('Cyber Privacy'!$H$30)=0,'Cyber Privacy'!$H$30="N/A"),"",VALUE('Cyber Privacy'!$H$30))</f>
        <v/>
      </c>
      <c r="H386" s="7" t="str">
        <f t="shared" si="51"/>
        <v/>
      </c>
      <c r="I386" s="7" t="str">
        <f>IF($G386="","",IFERROR(IF('Cyber Privacy'!$L$30="",IF($G386&lt;=1,"Critical",IF($G386=2,"High",IF($G386=3,"Medium",IF($G386=4,"Low","Optimized")))),'Cyber Privacy'!$L$30),IF($G386&lt;=1,"Critical",IF($G386=2,"High",IF($G386=3,"Medium",IF($G386=4,"Low","Optimized"))))))</f>
        <v/>
      </c>
      <c r="J386" s="7" t="str">
        <f>IF($G386="","",IFERROR(INDEX('Recommendation Matrix'!$E$5:$J$411,MATCH($E386,'Recommendation Matrix'!$A$5:$A$411,0),$G386+1),""))</f>
        <v/>
      </c>
      <c r="K386" s="7" t="str">
        <f>IF($G386="","",IFERROR(VLOOKUP($E386,'Recommendation Matrix'!$A$5:$K$411,11,FALSE),""))</f>
        <v/>
      </c>
      <c r="L386" s="28" t="str">
        <f t="shared" si="52"/>
        <v/>
      </c>
      <c r="M386" s="28" t="str">
        <f>IF($G386="","",IFERROR(INDEX('Recommendation Matrix'!$L$5:$Q$411,MATCH($E386,'Recommendation Matrix'!$A$5:$A$411,0),$G386+1),""))</f>
        <v/>
      </c>
      <c r="N386" s="28" t="str">
        <f t="shared" si="53"/>
        <v/>
      </c>
      <c r="O386" s="28" t="str">
        <f t="shared" si="54"/>
        <v/>
      </c>
      <c r="P386" s="28" t="str">
        <f t="shared" si="55"/>
        <v/>
      </c>
      <c r="Q386" s="28" t="str">
        <f t="shared" si="56"/>
        <v/>
      </c>
      <c r="R386" s="8" t="str">
        <f t="shared" si="57"/>
        <v/>
      </c>
      <c r="S386" s="28">
        <f>IFERROR('Cyber Privacy'!$G$30,"")</f>
        <v>5</v>
      </c>
      <c r="T386" s="28">
        <f>IFERROR('Cyber Privacy'!$W$30,"")</f>
        <v>5</v>
      </c>
      <c r="U386" s="28">
        <f>IFERROR('Cyber Privacy'!$X$30,"")</f>
        <v>5</v>
      </c>
      <c r="V386" s="28">
        <f>IFERROR('Cyber Privacy'!$Y$30,"")</f>
        <v>5</v>
      </c>
      <c r="W386" s="7" t="s">
        <v>5481</v>
      </c>
      <c r="X386" s="7" t="s">
        <v>5482</v>
      </c>
      <c r="Y386" s="7" t="s">
        <v>5726</v>
      </c>
      <c r="Z386" s="7">
        <f>IFERROR('Cyber Privacy'!$U$30,"")</f>
        <v>0</v>
      </c>
      <c r="AA386" s="7"/>
      <c r="AB386" s="29"/>
      <c r="AC386" s="7"/>
      <c r="AD386" s="48" t="str">
        <f>IF($B386="Yes",IFERROR(SUMIFS(_TECH_Crisis_Model!$D$5:$D$191,_TECH_Crisis_Model!$A$5:$A$191,'Crisis Simulator'!$B$4,_TECH_Crisis_Model!$B$5:$B$191,$C386),1),"")</f>
        <v/>
      </c>
      <c r="AE386" s="48" t="str">
        <f t="shared" si="58"/>
        <v/>
      </c>
      <c r="AF386" s="48" t="str">
        <f>IFERROR(INDEX(_TECH_Crisis_Model!$E$5:$E$191,MATCH('Crisis Simulator'!$B$4&amp;"|"&amp;$C386,_TECH_Crisis_Model!$I$5:$I$191,0)),"")</f>
        <v>Cybersecurity and privacy controls determine resistance to digital disruption and regulatory exposure.</v>
      </c>
      <c r="AG386" s="48" t="str">
        <f>IFERROR(INDEX(_TECH_Crisis_Model!$G$5:$G$191,MATCH('Crisis Simulator'!$B$4&amp;"|"&amp;$C386,_TECH_Crisis_Model!$I$5:$I$191,0)),"")</f>
        <v>Strengthen MFA, EDR, logging, IR playbooks, restore testing, privacy controls and awareness.</v>
      </c>
      <c r="AH386" s="48" t="str">
        <f>IFERROR(INDEX(_TECH_Initiative_Library!$A$5:$A$76,MATCH(1,INDEX((_TECH_Initiative_Library!$B$5:$B$76=$C386)*(_TECH_Initiative_Library!$C$5:$C$76=$D386),0),0)),"")</f>
        <v>INI-066</v>
      </c>
      <c r="AI386" s="48" t="str">
        <f>IFERROR(INDEX(_TECH_Initiative_Library!$F$5:$F$76,MATCH(1,INDEX((_TECH_Initiative_Library!$B$5:$B$76=$C386)*(_TECH_Initiative_Library!$C$5:$C$76=$D386),0),0)),"")</f>
        <v>Implement detection, response, logging and security incident exercises</v>
      </c>
      <c r="AJ386" s="48" t="str">
        <f ca="1">IFERROR(INDEX(_TECH_Initiative_Library!$AC$5:$AC$76,MATCH(1,INDEX((_TECH_Initiative_Library!$B$5:$B$76=$C386)*(_TECH_Initiative_Library!$C$5:$C$76=$D386),0),0)),"")</f>
        <v/>
      </c>
      <c r="AK386" s="48" t="str">
        <f ca="1">IFERROR(INDEX(_TECH_Initiative_Library!$AE$5:$AE$76,MATCH(1,INDEX((_TECH_Initiative_Library!$B$5:$B$76=$C386)*(_TECH_Initiative_Library!$C$5:$C$76=$D386),0),0)),"")</f>
        <v/>
      </c>
      <c r="AL386" s="48" t="str">
        <f>IF($B386="Yes",IFERROR(SUMIFS(_TECH_Industry_Templates!$E:$E,_TECH_Industry_Templates!$A:$A,'Company Profile'!$B$9,_TECH_Industry_Templates!$B:$B,$C386),1),"")</f>
        <v/>
      </c>
      <c r="AM386" s="48" t="str">
        <f t="shared" si="59"/>
        <v/>
      </c>
      <c r="AN386" s="48" t="str">
        <f>IF($AM386="","",RANK.EQ($AM386,$AM$8:$AM$414,0)+COUNTIF($AM$8:$AM386,$AM386)-1)</f>
        <v/>
      </c>
    </row>
    <row r="387" spans="1:40" ht="71.25">
      <c r="A387" s="28" t="str">
        <f>IF($AM387="","",RANK.EQ($AM387,$AM$8:$AM$414,0)+COUNTIF($AM$8:$AM387,$AM387)-1)</f>
        <v/>
      </c>
      <c r="B387" s="7" t="str">
        <f t="shared" si="50"/>
        <v/>
      </c>
      <c r="C387" s="7" t="s">
        <v>93</v>
      </c>
      <c r="D387" s="7" t="s">
        <v>1620</v>
      </c>
      <c r="E387" s="7" t="s">
        <v>5734</v>
      </c>
      <c r="F387" s="7" t="s">
        <v>5735</v>
      </c>
      <c r="G387" s="28" t="str">
        <f>IF(OR(COUNTA('Cyber Privacy'!$H$31)=0,'Cyber Privacy'!$H$31="N/A"),"",VALUE('Cyber Privacy'!$H$31))</f>
        <v/>
      </c>
      <c r="H387" s="7" t="str">
        <f t="shared" si="51"/>
        <v/>
      </c>
      <c r="I387" s="7" t="str">
        <f>IF($G387="","",IFERROR(IF('Cyber Privacy'!$L$31="",IF($G387&lt;=1,"Critical",IF($G387=2,"High",IF($G387=3,"Medium",IF($G387=4,"Low","Optimized")))),'Cyber Privacy'!$L$31),IF($G387&lt;=1,"Critical",IF($G387=2,"High",IF($G387=3,"Medium",IF($G387=4,"Low","Optimized"))))))</f>
        <v/>
      </c>
      <c r="J387" s="7" t="str">
        <f>IF($G387="","",IFERROR(INDEX('Recommendation Matrix'!$E$5:$J$411,MATCH($E387,'Recommendation Matrix'!$A$5:$A$411,0),$G387+1),""))</f>
        <v/>
      </c>
      <c r="K387" s="7" t="str">
        <f>IF($G387="","",IFERROR(VLOOKUP($E387,'Recommendation Matrix'!$A$5:$K$411,11,FALSE),""))</f>
        <v/>
      </c>
      <c r="L387" s="28" t="str">
        <f t="shared" si="52"/>
        <v/>
      </c>
      <c r="M387" s="28" t="str">
        <f>IF($G387="","",IFERROR(INDEX('Recommendation Matrix'!$L$5:$Q$411,MATCH($E387,'Recommendation Matrix'!$A$5:$A$411,0),$G387+1),""))</f>
        <v/>
      </c>
      <c r="N387" s="28" t="str">
        <f t="shared" si="53"/>
        <v/>
      </c>
      <c r="O387" s="28" t="str">
        <f t="shared" si="54"/>
        <v/>
      </c>
      <c r="P387" s="28" t="str">
        <f t="shared" si="55"/>
        <v/>
      </c>
      <c r="Q387" s="28" t="str">
        <f t="shared" si="56"/>
        <v/>
      </c>
      <c r="R387" s="8" t="str">
        <f t="shared" si="57"/>
        <v/>
      </c>
      <c r="S387" s="28">
        <f>IFERROR('Cyber Privacy'!$G$31,"")</f>
        <v>3</v>
      </c>
      <c r="T387" s="28">
        <f>IFERROR('Cyber Privacy'!$W$31,"")</f>
        <v>5</v>
      </c>
      <c r="U387" s="28">
        <f>IFERROR('Cyber Privacy'!$X$31,"")</f>
        <v>5</v>
      </c>
      <c r="V387" s="28">
        <f>IFERROR('Cyber Privacy'!$Y$31,"")</f>
        <v>5</v>
      </c>
      <c r="W387" s="7" t="s">
        <v>5481</v>
      </c>
      <c r="X387" s="7" t="s">
        <v>5482</v>
      </c>
      <c r="Y387" s="7" t="s">
        <v>5736</v>
      </c>
      <c r="Z387" s="7">
        <f>IFERROR('Cyber Privacy'!$U$31,"")</f>
        <v>0</v>
      </c>
      <c r="AA387" s="7"/>
      <c r="AB387" s="29"/>
      <c r="AC387" s="7"/>
      <c r="AD387" s="48" t="str">
        <f>IF($B387="Yes",IFERROR(SUMIFS(_TECH_Crisis_Model!$D$5:$D$191,_TECH_Crisis_Model!$A$5:$A$191,'Crisis Simulator'!$B$4,_TECH_Crisis_Model!$B$5:$B$191,$C387),1),"")</f>
        <v/>
      </c>
      <c r="AE387" s="48" t="str">
        <f t="shared" si="58"/>
        <v/>
      </c>
      <c r="AF387" s="48" t="str">
        <f>IFERROR(INDEX(_TECH_Crisis_Model!$E$5:$E$191,MATCH('Crisis Simulator'!$B$4&amp;"|"&amp;$C387,_TECH_Crisis_Model!$I$5:$I$191,0)),"")</f>
        <v>Cybersecurity and privacy controls determine resistance to digital disruption and regulatory exposure.</v>
      </c>
      <c r="AG387" s="48" t="str">
        <f>IFERROR(INDEX(_TECH_Crisis_Model!$G$5:$G$191,MATCH('Crisis Simulator'!$B$4&amp;"|"&amp;$C387,_TECH_Crisis_Model!$I$5:$I$191,0)),"")</f>
        <v>Strengthen MFA, EDR, logging, IR playbooks, restore testing, privacy controls and awareness.</v>
      </c>
      <c r="AH387" s="48" t="str">
        <f>IFERROR(INDEX(_TECH_Initiative_Library!$A$5:$A$76,MATCH(1,INDEX((_TECH_Initiative_Library!$B$5:$B$76=$C387)*(_TECH_Initiative_Library!$C$5:$C$76=$D387),0),0)),"")</f>
        <v>INI-067</v>
      </c>
      <c r="AI387" s="48" t="str">
        <f>IFERROR(INDEX(_TECH_Initiative_Library!$F$5:$F$76,MATCH(1,INDEX((_TECH_Initiative_Library!$B$5:$B$76=$C387)*(_TECH_Initiative_Library!$C$5:$C$76=$D387),0),0)),"")</f>
        <v>Strengthen application, API and OT security controls</v>
      </c>
      <c r="AJ387" s="48" t="str">
        <f ca="1">IFERROR(INDEX(_TECH_Initiative_Library!$AC$5:$AC$76,MATCH(1,INDEX((_TECH_Initiative_Library!$B$5:$B$76=$C387)*(_TECH_Initiative_Library!$C$5:$C$76=$D387),0),0)),"")</f>
        <v/>
      </c>
      <c r="AK387" s="48" t="str">
        <f ca="1">IFERROR(INDEX(_TECH_Initiative_Library!$AE$5:$AE$76,MATCH(1,INDEX((_TECH_Initiative_Library!$B$5:$B$76=$C387)*(_TECH_Initiative_Library!$C$5:$C$76=$D387),0),0)),"")</f>
        <v/>
      </c>
      <c r="AL387" s="48" t="str">
        <f>IF($B387="Yes",IFERROR(SUMIFS(_TECH_Industry_Templates!$E:$E,_TECH_Industry_Templates!$A:$A,'Company Profile'!$B$9,_TECH_Industry_Templates!$B:$B,$C387),1),"")</f>
        <v/>
      </c>
      <c r="AM387" s="48" t="str">
        <f t="shared" si="59"/>
        <v/>
      </c>
      <c r="AN387" s="48" t="str">
        <f>IF($AM387="","",RANK.EQ($AM387,$AM$8:$AM$414,0)+COUNTIF($AM$8:$AM387,$AM387)-1)</f>
        <v/>
      </c>
    </row>
    <row r="388" spans="1:40" ht="71.25">
      <c r="A388" s="28" t="str">
        <f>IF($AM388="","",RANK.EQ($AM388,$AM$8:$AM$414,0)+COUNTIF($AM$8:$AM388,$AM388)-1)</f>
        <v/>
      </c>
      <c r="B388" s="7" t="str">
        <f t="shared" si="50"/>
        <v/>
      </c>
      <c r="C388" s="7" t="s">
        <v>93</v>
      </c>
      <c r="D388" s="7" t="s">
        <v>1620</v>
      </c>
      <c r="E388" s="7" t="s">
        <v>5744</v>
      </c>
      <c r="F388" s="7" t="s">
        <v>5745</v>
      </c>
      <c r="G388" s="28" t="str">
        <f>IF(OR(COUNTA('Cyber Privacy'!$H$32)=0,'Cyber Privacy'!$H$32="N/A"),"",VALUE('Cyber Privacy'!$H$32))</f>
        <v/>
      </c>
      <c r="H388" s="7" t="str">
        <f t="shared" si="51"/>
        <v/>
      </c>
      <c r="I388" s="7" t="str">
        <f>IF($G388="","",IFERROR(IF('Cyber Privacy'!$L$32="",IF($G388&lt;=1,"Critical",IF($G388=2,"High",IF($G388=3,"Medium",IF($G388=4,"Low","Optimized")))),'Cyber Privacy'!$L$32),IF($G388&lt;=1,"Critical",IF($G388=2,"High",IF($G388=3,"Medium",IF($G388=4,"Low","Optimized"))))))</f>
        <v/>
      </c>
      <c r="J388" s="7" t="str">
        <f>IF($G388="","",IFERROR(INDEX('Recommendation Matrix'!$E$5:$J$411,MATCH($E388,'Recommendation Matrix'!$A$5:$A$411,0),$G388+1),""))</f>
        <v/>
      </c>
      <c r="K388" s="7" t="str">
        <f>IF($G388="","",IFERROR(VLOOKUP($E388,'Recommendation Matrix'!$A$5:$K$411,11,FALSE),""))</f>
        <v/>
      </c>
      <c r="L388" s="28" t="str">
        <f t="shared" si="52"/>
        <v/>
      </c>
      <c r="M388" s="28" t="str">
        <f>IF($G388="","",IFERROR(INDEX('Recommendation Matrix'!$L$5:$Q$411,MATCH($E388,'Recommendation Matrix'!$A$5:$A$411,0),$G388+1),""))</f>
        <v/>
      </c>
      <c r="N388" s="28" t="str">
        <f t="shared" si="53"/>
        <v/>
      </c>
      <c r="O388" s="28" t="str">
        <f t="shared" si="54"/>
        <v/>
      </c>
      <c r="P388" s="28" t="str">
        <f t="shared" si="55"/>
        <v/>
      </c>
      <c r="Q388" s="28" t="str">
        <f t="shared" si="56"/>
        <v/>
      </c>
      <c r="R388" s="8" t="str">
        <f t="shared" si="57"/>
        <v/>
      </c>
      <c r="S388" s="28">
        <f>IFERROR('Cyber Privacy'!$G$32,"")</f>
        <v>3</v>
      </c>
      <c r="T388" s="28">
        <f>IFERROR('Cyber Privacy'!$W$32,"")</f>
        <v>5</v>
      </c>
      <c r="U388" s="28">
        <f>IFERROR('Cyber Privacy'!$X$32,"")</f>
        <v>5</v>
      </c>
      <c r="V388" s="28">
        <f>IFERROR('Cyber Privacy'!$Y$32,"")</f>
        <v>5</v>
      </c>
      <c r="W388" s="7" t="s">
        <v>5481</v>
      </c>
      <c r="X388" s="7" t="s">
        <v>5482</v>
      </c>
      <c r="Y388" s="7" t="s">
        <v>5746</v>
      </c>
      <c r="Z388" s="7">
        <f>IFERROR('Cyber Privacy'!$U$32,"")</f>
        <v>0</v>
      </c>
      <c r="AA388" s="7"/>
      <c r="AB388" s="29"/>
      <c r="AC388" s="7"/>
      <c r="AD388" s="48" t="str">
        <f>IF($B388="Yes",IFERROR(SUMIFS(_TECH_Crisis_Model!$D$5:$D$191,_TECH_Crisis_Model!$A$5:$A$191,'Crisis Simulator'!$B$4,_TECH_Crisis_Model!$B$5:$B$191,$C388),1),"")</f>
        <v/>
      </c>
      <c r="AE388" s="48" t="str">
        <f t="shared" si="58"/>
        <v/>
      </c>
      <c r="AF388" s="48" t="str">
        <f>IFERROR(INDEX(_TECH_Crisis_Model!$E$5:$E$191,MATCH('Crisis Simulator'!$B$4&amp;"|"&amp;$C388,_TECH_Crisis_Model!$I$5:$I$191,0)),"")</f>
        <v>Cybersecurity and privacy controls determine resistance to digital disruption and regulatory exposure.</v>
      </c>
      <c r="AG388" s="48" t="str">
        <f>IFERROR(INDEX(_TECH_Crisis_Model!$G$5:$G$191,MATCH('Crisis Simulator'!$B$4&amp;"|"&amp;$C388,_TECH_Crisis_Model!$I$5:$I$191,0)),"")</f>
        <v>Strengthen MFA, EDR, logging, IR playbooks, restore testing, privacy controls and awareness.</v>
      </c>
      <c r="AH388" s="48" t="str">
        <f>IFERROR(INDEX(_TECH_Initiative_Library!$A$5:$A$76,MATCH(1,INDEX((_TECH_Initiative_Library!$B$5:$B$76=$C388)*(_TECH_Initiative_Library!$C$5:$C$76=$D388),0),0)),"")</f>
        <v>INI-067</v>
      </c>
      <c r="AI388" s="48" t="str">
        <f>IFERROR(INDEX(_TECH_Initiative_Library!$F$5:$F$76,MATCH(1,INDEX((_TECH_Initiative_Library!$B$5:$B$76=$C388)*(_TECH_Initiative_Library!$C$5:$C$76=$D388),0),0)),"")</f>
        <v>Strengthen application, API and OT security controls</v>
      </c>
      <c r="AJ388" s="48" t="str">
        <f ca="1">IFERROR(INDEX(_TECH_Initiative_Library!$AC$5:$AC$76,MATCH(1,INDEX((_TECH_Initiative_Library!$B$5:$B$76=$C388)*(_TECH_Initiative_Library!$C$5:$C$76=$D388),0),0)),"")</f>
        <v/>
      </c>
      <c r="AK388" s="48" t="str">
        <f ca="1">IFERROR(INDEX(_TECH_Initiative_Library!$AE$5:$AE$76,MATCH(1,INDEX((_TECH_Initiative_Library!$B$5:$B$76=$C388)*(_TECH_Initiative_Library!$C$5:$C$76=$D388),0),0)),"")</f>
        <v/>
      </c>
      <c r="AL388" s="48" t="str">
        <f>IF($B388="Yes",IFERROR(SUMIFS(_TECH_Industry_Templates!$E:$E,_TECH_Industry_Templates!$A:$A,'Company Profile'!$B$9,_TECH_Industry_Templates!$B:$B,$C388),1),"")</f>
        <v/>
      </c>
      <c r="AM388" s="48" t="str">
        <f t="shared" si="59"/>
        <v/>
      </c>
      <c r="AN388" s="48" t="str">
        <f>IF($AM388="","",RANK.EQ($AM388,$AM$8:$AM$414,0)+COUNTIF($AM$8:$AM388,$AM388)-1)</f>
        <v/>
      </c>
    </row>
    <row r="389" spans="1:40" ht="71.25">
      <c r="A389" s="28" t="str">
        <f>IF($AM389="","",RANK.EQ($AM389,$AM$8:$AM$414,0)+COUNTIF($AM$8:$AM389,$AM389)-1)</f>
        <v/>
      </c>
      <c r="B389" s="7" t="str">
        <f t="shared" si="50"/>
        <v/>
      </c>
      <c r="C389" s="7" t="s">
        <v>93</v>
      </c>
      <c r="D389" s="7" t="s">
        <v>1620</v>
      </c>
      <c r="E389" s="7" t="s">
        <v>5754</v>
      </c>
      <c r="F389" s="7" t="s">
        <v>4229</v>
      </c>
      <c r="G389" s="28" t="str">
        <f>IF(OR(COUNTA('Cyber Privacy'!$H$33)=0,'Cyber Privacy'!$H$33="N/A"),"",VALUE('Cyber Privacy'!$H$33))</f>
        <v/>
      </c>
      <c r="H389" s="7" t="str">
        <f t="shared" si="51"/>
        <v/>
      </c>
      <c r="I389" s="7" t="str">
        <f>IF($G389="","",IFERROR(IF('Cyber Privacy'!$L$33="",IF($G389&lt;=1,"Critical",IF($G389=2,"High",IF($G389=3,"Medium",IF($G389=4,"Low","Optimized")))),'Cyber Privacy'!$L$33),IF($G389&lt;=1,"Critical",IF($G389=2,"High",IF($G389=3,"Medium",IF($G389=4,"Low","Optimized"))))))</f>
        <v/>
      </c>
      <c r="J389" s="7" t="str">
        <f>IF($G389="","",IFERROR(INDEX('Recommendation Matrix'!$E$5:$J$411,MATCH($E389,'Recommendation Matrix'!$A$5:$A$411,0),$G389+1),""))</f>
        <v/>
      </c>
      <c r="K389" s="7" t="str">
        <f>IF($G389="","",IFERROR(VLOOKUP($E389,'Recommendation Matrix'!$A$5:$K$411,11,FALSE),""))</f>
        <v/>
      </c>
      <c r="L389" s="28" t="str">
        <f t="shared" si="52"/>
        <v/>
      </c>
      <c r="M389" s="28" t="str">
        <f>IF($G389="","",IFERROR(INDEX('Recommendation Matrix'!$L$5:$Q$411,MATCH($E389,'Recommendation Matrix'!$A$5:$A$411,0),$G389+1),""))</f>
        <v/>
      </c>
      <c r="N389" s="28" t="str">
        <f t="shared" si="53"/>
        <v/>
      </c>
      <c r="O389" s="28" t="str">
        <f t="shared" si="54"/>
        <v/>
      </c>
      <c r="P389" s="28" t="str">
        <f t="shared" si="55"/>
        <v/>
      </c>
      <c r="Q389" s="28" t="str">
        <f t="shared" si="56"/>
        <v/>
      </c>
      <c r="R389" s="8" t="str">
        <f t="shared" si="57"/>
        <v/>
      </c>
      <c r="S389" s="28">
        <f>IFERROR('Cyber Privacy'!$G$33,"")</f>
        <v>4</v>
      </c>
      <c r="T389" s="28">
        <f>IFERROR('Cyber Privacy'!$W$33,"")</f>
        <v>5</v>
      </c>
      <c r="U389" s="28">
        <f>IFERROR('Cyber Privacy'!$X$33,"")</f>
        <v>5</v>
      </c>
      <c r="V389" s="28">
        <f>IFERROR('Cyber Privacy'!$Y$33,"")</f>
        <v>5</v>
      </c>
      <c r="W389" s="7" t="s">
        <v>5481</v>
      </c>
      <c r="X389" s="7" t="s">
        <v>5482</v>
      </c>
      <c r="Y389" s="7" t="s">
        <v>4230</v>
      </c>
      <c r="Z389" s="7">
        <f>IFERROR('Cyber Privacy'!$U$33,"")</f>
        <v>0</v>
      </c>
      <c r="AA389" s="7"/>
      <c r="AB389" s="29"/>
      <c r="AC389" s="7"/>
      <c r="AD389" s="48" t="str">
        <f>IF($B389="Yes",IFERROR(SUMIFS(_TECH_Crisis_Model!$D$5:$D$191,_TECH_Crisis_Model!$A$5:$A$191,'Crisis Simulator'!$B$4,_TECH_Crisis_Model!$B$5:$B$191,$C389),1),"")</f>
        <v/>
      </c>
      <c r="AE389" s="48" t="str">
        <f t="shared" si="58"/>
        <v/>
      </c>
      <c r="AF389" s="48" t="str">
        <f>IFERROR(INDEX(_TECH_Crisis_Model!$E$5:$E$191,MATCH('Crisis Simulator'!$B$4&amp;"|"&amp;$C389,_TECH_Crisis_Model!$I$5:$I$191,0)),"")</f>
        <v>Cybersecurity and privacy controls determine resistance to digital disruption and regulatory exposure.</v>
      </c>
      <c r="AG389" s="48" t="str">
        <f>IFERROR(INDEX(_TECH_Crisis_Model!$G$5:$G$191,MATCH('Crisis Simulator'!$B$4&amp;"|"&amp;$C389,_TECH_Crisis_Model!$I$5:$I$191,0)),"")</f>
        <v>Strengthen MFA, EDR, logging, IR playbooks, restore testing, privacy controls and awareness.</v>
      </c>
      <c r="AH389" s="48" t="str">
        <f>IFERROR(INDEX(_TECH_Initiative_Library!$A$5:$A$76,MATCH(1,INDEX((_TECH_Initiative_Library!$B$5:$B$76=$C389)*(_TECH_Initiative_Library!$C$5:$C$76=$D389),0),0)),"")</f>
        <v>INI-067</v>
      </c>
      <c r="AI389" s="48" t="str">
        <f>IFERROR(INDEX(_TECH_Initiative_Library!$F$5:$F$76,MATCH(1,INDEX((_TECH_Initiative_Library!$B$5:$B$76=$C389)*(_TECH_Initiative_Library!$C$5:$C$76=$D389),0),0)),"")</f>
        <v>Strengthen application, API and OT security controls</v>
      </c>
      <c r="AJ389" s="48" t="str">
        <f ca="1">IFERROR(INDEX(_TECH_Initiative_Library!$AC$5:$AC$76,MATCH(1,INDEX((_TECH_Initiative_Library!$B$5:$B$76=$C389)*(_TECH_Initiative_Library!$C$5:$C$76=$D389),0),0)),"")</f>
        <v/>
      </c>
      <c r="AK389" s="48" t="str">
        <f ca="1">IFERROR(INDEX(_TECH_Initiative_Library!$AE$5:$AE$76,MATCH(1,INDEX((_TECH_Initiative_Library!$B$5:$B$76=$C389)*(_TECH_Initiative_Library!$C$5:$C$76=$D389),0),0)),"")</f>
        <v/>
      </c>
      <c r="AL389" s="48" t="str">
        <f>IF($B389="Yes",IFERROR(SUMIFS(_TECH_Industry_Templates!$E:$E,_TECH_Industry_Templates!$A:$A,'Company Profile'!$B$9,_TECH_Industry_Templates!$B:$B,$C389),1),"")</f>
        <v/>
      </c>
      <c r="AM389" s="48" t="str">
        <f t="shared" si="59"/>
        <v/>
      </c>
      <c r="AN389" s="48" t="str">
        <f>IF($AM389="","",RANK.EQ($AM389,$AM$8:$AM$414,0)+COUNTIF($AM$8:$AM389,$AM389)-1)</f>
        <v/>
      </c>
    </row>
    <row r="390" spans="1:40" ht="71.25">
      <c r="A390" s="28" t="str">
        <f>IF($AM390="","",RANK.EQ($AM390,$AM$8:$AM$414,0)+COUNTIF($AM$8:$AM390,$AM390)-1)</f>
        <v/>
      </c>
      <c r="B390" s="7" t="str">
        <f t="shared" si="50"/>
        <v/>
      </c>
      <c r="C390" s="7" t="s">
        <v>93</v>
      </c>
      <c r="D390" s="7" t="s">
        <v>1620</v>
      </c>
      <c r="E390" s="7" t="s">
        <v>5756</v>
      </c>
      <c r="F390" s="7" t="s">
        <v>5757</v>
      </c>
      <c r="G390" s="28" t="str">
        <f>IF(OR(COUNTA('Cyber Privacy'!$H$34)=0,'Cyber Privacy'!$H$34="N/A"),"",VALUE('Cyber Privacy'!$H$34))</f>
        <v/>
      </c>
      <c r="H390" s="7" t="str">
        <f t="shared" si="51"/>
        <v/>
      </c>
      <c r="I390" s="7" t="str">
        <f>IF($G390="","",IFERROR(IF('Cyber Privacy'!$L$34="",IF($G390&lt;=1,"Critical",IF($G390=2,"High",IF($G390=3,"Medium",IF($G390=4,"Low","Optimized")))),'Cyber Privacy'!$L$34),IF($G390&lt;=1,"Critical",IF($G390=2,"High",IF($G390=3,"Medium",IF($G390=4,"Low","Optimized"))))))</f>
        <v/>
      </c>
      <c r="J390" s="7" t="str">
        <f>IF($G390="","",IFERROR(INDEX('Recommendation Matrix'!$E$5:$J$411,MATCH($E390,'Recommendation Matrix'!$A$5:$A$411,0),$G390+1),""))</f>
        <v/>
      </c>
      <c r="K390" s="7" t="str">
        <f>IF($G390="","",IFERROR(VLOOKUP($E390,'Recommendation Matrix'!$A$5:$K$411,11,FALSE),""))</f>
        <v/>
      </c>
      <c r="L390" s="28" t="str">
        <f t="shared" si="52"/>
        <v/>
      </c>
      <c r="M390" s="28" t="str">
        <f>IF($G390="","",IFERROR(INDEX('Recommendation Matrix'!$L$5:$Q$411,MATCH($E390,'Recommendation Matrix'!$A$5:$A$411,0),$G390+1),""))</f>
        <v/>
      </c>
      <c r="N390" s="28" t="str">
        <f t="shared" si="53"/>
        <v/>
      </c>
      <c r="O390" s="28" t="str">
        <f t="shared" si="54"/>
        <v/>
      </c>
      <c r="P390" s="28" t="str">
        <f t="shared" si="55"/>
        <v/>
      </c>
      <c r="Q390" s="28" t="str">
        <f t="shared" si="56"/>
        <v/>
      </c>
      <c r="R390" s="8" t="str">
        <f t="shared" si="57"/>
        <v/>
      </c>
      <c r="S390" s="28">
        <f>IFERROR('Cyber Privacy'!$G$34,"")</f>
        <v>4</v>
      </c>
      <c r="T390" s="28">
        <f>IFERROR('Cyber Privacy'!$W$34,"")</f>
        <v>5</v>
      </c>
      <c r="U390" s="28">
        <f>IFERROR('Cyber Privacy'!$X$34,"")</f>
        <v>5</v>
      </c>
      <c r="V390" s="28">
        <f>IFERROR('Cyber Privacy'!$Y$34,"")</f>
        <v>5</v>
      </c>
      <c r="W390" s="7" t="s">
        <v>5481</v>
      </c>
      <c r="X390" s="7" t="s">
        <v>5482</v>
      </c>
      <c r="Y390" s="7" t="s">
        <v>5758</v>
      </c>
      <c r="Z390" s="7">
        <f>IFERROR('Cyber Privacy'!$U$34,"")</f>
        <v>0</v>
      </c>
      <c r="AA390" s="7"/>
      <c r="AB390" s="29"/>
      <c r="AC390" s="7"/>
      <c r="AD390" s="48" t="str">
        <f>IF($B390="Yes",IFERROR(SUMIFS(_TECH_Crisis_Model!$D$5:$D$191,_TECH_Crisis_Model!$A$5:$A$191,'Crisis Simulator'!$B$4,_TECH_Crisis_Model!$B$5:$B$191,$C390),1),"")</f>
        <v/>
      </c>
      <c r="AE390" s="48" t="str">
        <f t="shared" si="58"/>
        <v/>
      </c>
      <c r="AF390" s="48" t="str">
        <f>IFERROR(INDEX(_TECH_Crisis_Model!$E$5:$E$191,MATCH('Crisis Simulator'!$B$4&amp;"|"&amp;$C390,_TECH_Crisis_Model!$I$5:$I$191,0)),"")</f>
        <v>Cybersecurity and privacy controls determine resistance to digital disruption and regulatory exposure.</v>
      </c>
      <c r="AG390" s="48" t="str">
        <f>IFERROR(INDEX(_TECH_Crisis_Model!$G$5:$G$191,MATCH('Crisis Simulator'!$B$4&amp;"|"&amp;$C390,_TECH_Crisis_Model!$I$5:$I$191,0)),"")</f>
        <v>Strengthen MFA, EDR, logging, IR playbooks, restore testing, privacy controls and awareness.</v>
      </c>
      <c r="AH390" s="48" t="str">
        <f>IFERROR(INDEX(_TECH_Initiative_Library!$A$5:$A$76,MATCH(1,INDEX((_TECH_Initiative_Library!$B$5:$B$76=$C390)*(_TECH_Initiative_Library!$C$5:$C$76=$D390),0),0)),"")</f>
        <v>INI-067</v>
      </c>
      <c r="AI390" s="48" t="str">
        <f>IFERROR(INDEX(_TECH_Initiative_Library!$F$5:$F$76,MATCH(1,INDEX((_TECH_Initiative_Library!$B$5:$B$76=$C390)*(_TECH_Initiative_Library!$C$5:$C$76=$D390),0),0)),"")</f>
        <v>Strengthen application, API and OT security controls</v>
      </c>
      <c r="AJ390" s="48" t="str">
        <f ca="1">IFERROR(INDEX(_TECH_Initiative_Library!$AC$5:$AC$76,MATCH(1,INDEX((_TECH_Initiative_Library!$B$5:$B$76=$C390)*(_TECH_Initiative_Library!$C$5:$C$76=$D390),0),0)),"")</f>
        <v/>
      </c>
      <c r="AK390" s="48" t="str">
        <f ca="1">IFERROR(INDEX(_TECH_Initiative_Library!$AE$5:$AE$76,MATCH(1,INDEX((_TECH_Initiative_Library!$B$5:$B$76=$C390)*(_TECH_Initiative_Library!$C$5:$C$76=$D390),0),0)),"")</f>
        <v/>
      </c>
      <c r="AL390" s="48" t="str">
        <f>IF($B390="Yes",IFERROR(SUMIFS(_TECH_Industry_Templates!$E:$E,_TECH_Industry_Templates!$A:$A,'Company Profile'!$B$9,_TECH_Industry_Templates!$B:$B,$C390),1),"")</f>
        <v/>
      </c>
      <c r="AM390" s="48" t="str">
        <f t="shared" si="59"/>
        <v/>
      </c>
      <c r="AN390" s="48" t="str">
        <f>IF($AM390="","",RANK.EQ($AM390,$AM$8:$AM$414,0)+COUNTIF($AM$8:$AM390,$AM390)-1)</f>
        <v/>
      </c>
    </row>
    <row r="391" spans="1:40" ht="71.25">
      <c r="A391" s="28" t="str">
        <f>IF($AM391="","",RANK.EQ($AM391,$AM$8:$AM$414,0)+COUNTIF($AM$8:$AM391,$AM391)-1)</f>
        <v/>
      </c>
      <c r="B391" s="7" t="str">
        <f t="shared" si="50"/>
        <v/>
      </c>
      <c r="C391" s="7" t="s">
        <v>93</v>
      </c>
      <c r="D391" s="7" t="s">
        <v>1620</v>
      </c>
      <c r="E391" s="7" t="s">
        <v>5766</v>
      </c>
      <c r="F391" s="7" t="s">
        <v>5767</v>
      </c>
      <c r="G391" s="28" t="str">
        <f>IF(OR(COUNTA('Cyber Privacy'!$H$35)=0,'Cyber Privacy'!$H$35="N/A"),"",VALUE('Cyber Privacy'!$H$35))</f>
        <v/>
      </c>
      <c r="H391" s="7" t="str">
        <f t="shared" si="51"/>
        <v/>
      </c>
      <c r="I391" s="7" t="str">
        <f>IF($G391="","",IFERROR(IF('Cyber Privacy'!$L$35="",IF($G391&lt;=1,"Critical",IF($G391=2,"High",IF($G391=3,"Medium",IF($G391=4,"Low","Optimized")))),'Cyber Privacy'!$L$35),IF($G391&lt;=1,"Critical",IF($G391=2,"High",IF($G391=3,"Medium",IF($G391=4,"Low","Optimized"))))))</f>
        <v/>
      </c>
      <c r="J391" s="7" t="str">
        <f>IF($G391="","",IFERROR(INDEX('Recommendation Matrix'!$E$5:$J$411,MATCH($E391,'Recommendation Matrix'!$A$5:$A$411,0),$G391+1),""))</f>
        <v/>
      </c>
      <c r="K391" s="7" t="str">
        <f>IF($G391="","",IFERROR(VLOOKUP($E391,'Recommendation Matrix'!$A$5:$K$411,11,FALSE),""))</f>
        <v/>
      </c>
      <c r="L391" s="28" t="str">
        <f t="shared" si="52"/>
        <v/>
      </c>
      <c r="M391" s="28" t="str">
        <f>IF($G391="","",IFERROR(INDEX('Recommendation Matrix'!$L$5:$Q$411,MATCH($E391,'Recommendation Matrix'!$A$5:$A$411,0),$G391+1),""))</f>
        <v/>
      </c>
      <c r="N391" s="28" t="str">
        <f t="shared" si="53"/>
        <v/>
      </c>
      <c r="O391" s="28" t="str">
        <f t="shared" si="54"/>
        <v/>
      </c>
      <c r="P391" s="28" t="str">
        <f t="shared" si="55"/>
        <v/>
      </c>
      <c r="Q391" s="28" t="str">
        <f t="shared" si="56"/>
        <v/>
      </c>
      <c r="R391" s="8" t="str">
        <f t="shared" si="57"/>
        <v/>
      </c>
      <c r="S391" s="28">
        <f>IFERROR('Cyber Privacy'!$G$35,"")</f>
        <v>5</v>
      </c>
      <c r="T391" s="28">
        <f>IFERROR('Cyber Privacy'!$W$35,"")</f>
        <v>5</v>
      </c>
      <c r="U391" s="28">
        <f>IFERROR('Cyber Privacy'!$X$35,"")</f>
        <v>5</v>
      </c>
      <c r="V391" s="28">
        <f>IFERROR('Cyber Privacy'!$Y$35,"")</f>
        <v>5</v>
      </c>
      <c r="W391" s="7" t="s">
        <v>5481</v>
      </c>
      <c r="X391" s="7" t="s">
        <v>5482</v>
      </c>
      <c r="Y391" s="7" t="s">
        <v>5768</v>
      </c>
      <c r="Z391" s="7">
        <f>IFERROR('Cyber Privacy'!$U$35,"")</f>
        <v>0</v>
      </c>
      <c r="AA391" s="7"/>
      <c r="AB391" s="29"/>
      <c r="AC391" s="7"/>
      <c r="AD391" s="48" t="str">
        <f>IF($B391="Yes",IFERROR(SUMIFS(_TECH_Crisis_Model!$D$5:$D$191,_TECH_Crisis_Model!$A$5:$A$191,'Crisis Simulator'!$B$4,_TECH_Crisis_Model!$B$5:$B$191,$C391),1),"")</f>
        <v/>
      </c>
      <c r="AE391" s="48" t="str">
        <f t="shared" si="58"/>
        <v/>
      </c>
      <c r="AF391" s="48" t="str">
        <f>IFERROR(INDEX(_TECH_Crisis_Model!$E$5:$E$191,MATCH('Crisis Simulator'!$B$4&amp;"|"&amp;$C391,_TECH_Crisis_Model!$I$5:$I$191,0)),"")</f>
        <v>Cybersecurity and privacy controls determine resistance to digital disruption and regulatory exposure.</v>
      </c>
      <c r="AG391" s="48" t="str">
        <f>IFERROR(INDEX(_TECH_Crisis_Model!$G$5:$G$191,MATCH('Crisis Simulator'!$B$4&amp;"|"&amp;$C391,_TECH_Crisis_Model!$I$5:$I$191,0)),"")</f>
        <v>Strengthen MFA, EDR, logging, IR playbooks, restore testing, privacy controls and awareness.</v>
      </c>
      <c r="AH391" s="48" t="str">
        <f>IFERROR(INDEX(_TECH_Initiative_Library!$A$5:$A$76,MATCH(1,INDEX((_TECH_Initiative_Library!$B$5:$B$76=$C391)*(_TECH_Initiative_Library!$C$5:$C$76=$D391),0),0)),"")</f>
        <v>INI-067</v>
      </c>
      <c r="AI391" s="48" t="str">
        <f>IFERROR(INDEX(_TECH_Initiative_Library!$F$5:$F$76,MATCH(1,INDEX((_TECH_Initiative_Library!$B$5:$B$76=$C391)*(_TECH_Initiative_Library!$C$5:$C$76=$D391),0),0)),"")</f>
        <v>Strengthen application, API and OT security controls</v>
      </c>
      <c r="AJ391" s="48" t="str">
        <f ca="1">IFERROR(INDEX(_TECH_Initiative_Library!$AC$5:$AC$76,MATCH(1,INDEX((_TECH_Initiative_Library!$B$5:$B$76=$C391)*(_TECH_Initiative_Library!$C$5:$C$76=$D391),0),0)),"")</f>
        <v/>
      </c>
      <c r="AK391" s="48" t="str">
        <f ca="1">IFERROR(INDEX(_TECH_Initiative_Library!$AE$5:$AE$76,MATCH(1,INDEX((_TECH_Initiative_Library!$B$5:$B$76=$C391)*(_TECH_Initiative_Library!$C$5:$C$76=$D391),0),0)),"")</f>
        <v/>
      </c>
      <c r="AL391" s="48" t="str">
        <f>IF($B391="Yes",IFERROR(SUMIFS(_TECH_Industry_Templates!$E:$E,_TECH_Industry_Templates!$A:$A,'Company Profile'!$B$9,_TECH_Industry_Templates!$B:$B,$C391),1),"")</f>
        <v/>
      </c>
      <c r="AM391" s="48" t="str">
        <f t="shared" si="59"/>
        <v/>
      </c>
      <c r="AN391" s="48" t="str">
        <f>IF($AM391="","",RANK.EQ($AM391,$AM$8:$AM$414,0)+COUNTIF($AM$8:$AM391,$AM391)-1)</f>
        <v/>
      </c>
    </row>
    <row r="392" spans="1:40" ht="71.25">
      <c r="A392" s="28" t="str">
        <f>IF($AM392="","",RANK.EQ($AM392,$AM$8:$AM$414,0)+COUNTIF($AM$8:$AM392,$AM392)-1)</f>
        <v/>
      </c>
      <c r="B392" s="7" t="str">
        <f t="shared" ref="B392:B414" si="60">IF($G392="","",IF($G392&lt;5,"Yes","Maintain"))</f>
        <v/>
      </c>
      <c r="C392" s="7" t="s">
        <v>93</v>
      </c>
      <c r="D392" s="7" t="s">
        <v>1628</v>
      </c>
      <c r="E392" s="7" t="s">
        <v>5776</v>
      </c>
      <c r="F392" s="7" t="s">
        <v>5777</v>
      </c>
      <c r="G392" s="28" t="str">
        <f>IF(OR(COUNTA('Cyber Privacy'!$H$36)=0,'Cyber Privacy'!$H$36="N/A"),"",VALUE('Cyber Privacy'!$H$36))</f>
        <v/>
      </c>
      <c r="H392" s="7" t="str">
        <f t="shared" ref="H392:H414" si="61">IF($G392="","",IF($G392&gt;=5,"Sustain",$G392+1))</f>
        <v/>
      </c>
      <c r="I392" s="7" t="str">
        <f>IF($G392="","",IFERROR(IF('Cyber Privacy'!$L$36="",IF($G392&lt;=1,"Critical",IF($G392=2,"High",IF($G392=3,"Medium",IF($G392=4,"Low","Optimized")))),'Cyber Privacy'!$L$36),IF($G392&lt;=1,"Critical",IF($G392=2,"High",IF($G392=3,"Medium",IF($G392=4,"Low","Optimized"))))))</f>
        <v/>
      </c>
      <c r="J392" s="7" t="str">
        <f>IF($G392="","",IFERROR(INDEX('Recommendation Matrix'!$E$5:$J$411,MATCH($E392,'Recommendation Matrix'!$A$5:$A$411,0),$G392+1),""))</f>
        <v/>
      </c>
      <c r="K392" s="7" t="str">
        <f>IF($G392="","",IFERROR(VLOOKUP($E392,'Recommendation Matrix'!$A$5:$K$411,11,FALSE),""))</f>
        <v/>
      </c>
      <c r="L392" s="28" t="str">
        <f t="shared" ref="L392:L414" si="62">IF($G392="","",MAX(1,MIN(5,ROUNDUP(((5-$G392)*0.55)+($S392*0.25)+($U392*0.2),0))))</f>
        <v/>
      </c>
      <c r="M392" s="28" t="str">
        <f>IF($G392="","",IFERROR(INDEX('Recommendation Matrix'!$L$5:$Q$411,MATCH($E392,'Recommendation Matrix'!$A$5:$A$411,0),$G392+1),""))</f>
        <v/>
      </c>
      <c r="N392" s="28" t="str">
        <f t="shared" ref="N392:N414" si="63">IF($G392="","",MAX(1,MIN(5,ROUND(($S392+$T392+$V392)/3,0))))</f>
        <v/>
      </c>
      <c r="O392" s="28" t="str">
        <f t="shared" ref="O392:O414" si="64">IF($G392="","",IF($I392="Critical",5,IF($I392="High",4,IF($I392="Medium",3,IF($I392="Low",2,1)))))</f>
        <v/>
      </c>
      <c r="P392" s="28" t="str">
        <f t="shared" ref="P392:P414" si="65">IF($G392="","",MAX(1,MIN(5,ROUNDUP(((5-$G392)*0.6)+($U392*0.4),0))))</f>
        <v/>
      </c>
      <c r="Q392" s="28" t="str">
        <f t="shared" ref="Q392:Q414" si="66">IF($G392="","",MAX(1,MIN(5,ROUND(($T392+$V392)/2,0))))</f>
        <v/>
      </c>
      <c r="R392" s="8" t="str">
        <f t="shared" ref="R392:R414" si="67">IF($G392="","",ROUND(($N392+$O392+$P392+$Q392)/$M392,2))</f>
        <v/>
      </c>
      <c r="S392" s="28">
        <f>IFERROR('Cyber Privacy'!$G$36,"")</f>
        <v>4</v>
      </c>
      <c r="T392" s="28">
        <f>IFERROR('Cyber Privacy'!$W$36,"")</f>
        <v>5</v>
      </c>
      <c r="U392" s="28">
        <f>IFERROR('Cyber Privacy'!$X$36,"")</f>
        <v>5</v>
      </c>
      <c r="V392" s="28">
        <f>IFERROR('Cyber Privacy'!$Y$36,"")</f>
        <v>5</v>
      </c>
      <c r="W392" s="7" t="s">
        <v>5481</v>
      </c>
      <c r="X392" s="7" t="s">
        <v>5482</v>
      </c>
      <c r="Y392" s="7" t="s">
        <v>5778</v>
      </c>
      <c r="Z392" s="7">
        <f>IFERROR('Cyber Privacy'!$U$36,"")</f>
        <v>0</v>
      </c>
      <c r="AA392" s="7"/>
      <c r="AB392" s="29"/>
      <c r="AC392" s="7"/>
      <c r="AD392" s="48" t="str">
        <f>IF($B392="Yes",IFERROR(SUMIFS(_TECH_Crisis_Model!$D$5:$D$191,_TECH_Crisis_Model!$A$5:$A$191,'Crisis Simulator'!$B$4,_TECH_Crisis_Model!$B$5:$B$191,$C392),1),"")</f>
        <v/>
      </c>
      <c r="AE392" s="48" t="str">
        <f t="shared" ref="AE392:AE455" si="68">IF(AD392="","",ROUND($R392*(0.7+0.3*AD392),2))</f>
        <v/>
      </c>
      <c r="AF392" s="48" t="str">
        <f>IFERROR(INDEX(_TECH_Crisis_Model!$E$5:$E$191,MATCH('Crisis Simulator'!$B$4&amp;"|"&amp;$C392,_TECH_Crisis_Model!$I$5:$I$191,0)),"")</f>
        <v>Cybersecurity and privacy controls determine resistance to digital disruption and regulatory exposure.</v>
      </c>
      <c r="AG392" s="48" t="str">
        <f>IFERROR(INDEX(_TECH_Crisis_Model!$G$5:$G$191,MATCH('Crisis Simulator'!$B$4&amp;"|"&amp;$C392,_TECH_Crisis_Model!$I$5:$I$191,0)),"")</f>
        <v>Strengthen MFA, EDR, logging, IR playbooks, restore testing, privacy controls and awareness.</v>
      </c>
      <c r="AH392" s="48" t="str">
        <f>IFERROR(INDEX(_TECH_Initiative_Library!$A$5:$A$76,MATCH(1,INDEX((_TECH_Initiative_Library!$B$5:$B$76=$C392)*(_TECH_Initiative_Library!$C$5:$C$76=$D392),0),0)),"")</f>
        <v>INI-068</v>
      </c>
      <c r="AI392" s="48" t="str">
        <f>IFERROR(INDEX(_TECH_Initiative_Library!$F$5:$F$76,MATCH(1,INDEX((_TECH_Initiative_Library!$B$5:$B$76=$C392)*(_TECH_Initiative_Library!$C$5:$C$76=$D392),0),0)),"")</f>
        <v>Implement privacy governance, DPIA and personal-data controls</v>
      </c>
      <c r="AJ392" s="48" t="str">
        <f ca="1">IFERROR(INDEX(_TECH_Initiative_Library!$AC$5:$AC$76,MATCH(1,INDEX((_TECH_Initiative_Library!$B$5:$B$76=$C392)*(_TECH_Initiative_Library!$C$5:$C$76=$D392),0),0)),"")</f>
        <v/>
      </c>
      <c r="AK392" s="48" t="str">
        <f ca="1">IFERROR(INDEX(_TECH_Initiative_Library!$AE$5:$AE$76,MATCH(1,INDEX((_TECH_Initiative_Library!$B$5:$B$76=$C392)*(_TECH_Initiative_Library!$C$5:$C$76=$D392),0),0)),"")</f>
        <v/>
      </c>
      <c r="AL392" s="48" t="str">
        <f>IF($B392="Yes",IFERROR(SUMIFS(_TECH_Industry_Templates!$E:$E,_TECH_Industry_Templates!$A:$A,'Company Profile'!$B$9,_TECH_Industry_Templates!$B:$B,$C392),1),"")</f>
        <v/>
      </c>
      <c r="AM392" s="48" t="str">
        <f t="shared" ref="AM392:AM414" si="69">IF($R392="","",ROUND(IF($AE392="",$R392,$AE392)*$AL392,2))</f>
        <v/>
      </c>
      <c r="AN392" s="48" t="str">
        <f>IF($AM392="","",RANK.EQ($AM392,$AM$8:$AM$414,0)+COUNTIF($AM$8:$AM392,$AM392)-1)</f>
        <v/>
      </c>
    </row>
    <row r="393" spans="1:40" ht="71.25">
      <c r="A393" s="28" t="str">
        <f>IF($AM393="","",RANK.EQ($AM393,$AM$8:$AM$414,0)+COUNTIF($AM$8:$AM393,$AM393)-1)</f>
        <v/>
      </c>
      <c r="B393" s="7" t="str">
        <f t="shared" si="60"/>
        <v/>
      </c>
      <c r="C393" s="7" t="s">
        <v>93</v>
      </c>
      <c r="D393" s="7" t="s">
        <v>1628</v>
      </c>
      <c r="E393" s="7" t="s">
        <v>5786</v>
      </c>
      <c r="F393" s="7" t="s">
        <v>5787</v>
      </c>
      <c r="G393" s="28" t="str">
        <f>IF(OR(COUNTA('Cyber Privacy'!$H$37)=0,'Cyber Privacy'!$H$37="N/A"),"",VALUE('Cyber Privacy'!$H$37))</f>
        <v/>
      </c>
      <c r="H393" s="7" t="str">
        <f t="shared" si="61"/>
        <v/>
      </c>
      <c r="I393" s="7" t="str">
        <f>IF($G393="","",IFERROR(IF('Cyber Privacy'!$L$37="",IF($G393&lt;=1,"Critical",IF($G393=2,"High",IF($G393=3,"Medium",IF($G393=4,"Low","Optimized")))),'Cyber Privacy'!$L$37),IF($G393&lt;=1,"Critical",IF($G393=2,"High",IF($G393=3,"Medium",IF($G393=4,"Low","Optimized"))))))</f>
        <v/>
      </c>
      <c r="J393" s="7" t="str">
        <f>IF($G393="","",IFERROR(INDEX('Recommendation Matrix'!$E$5:$J$411,MATCH($E393,'Recommendation Matrix'!$A$5:$A$411,0),$G393+1),""))</f>
        <v/>
      </c>
      <c r="K393" s="7" t="str">
        <f>IF($G393="","",IFERROR(VLOOKUP($E393,'Recommendation Matrix'!$A$5:$K$411,11,FALSE),""))</f>
        <v/>
      </c>
      <c r="L393" s="28" t="str">
        <f t="shared" si="62"/>
        <v/>
      </c>
      <c r="M393" s="28" t="str">
        <f>IF($G393="","",IFERROR(INDEX('Recommendation Matrix'!$L$5:$Q$411,MATCH($E393,'Recommendation Matrix'!$A$5:$A$411,0),$G393+1),""))</f>
        <v/>
      </c>
      <c r="N393" s="28" t="str">
        <f t="shared" si="63"/>
        <v/>
      </c>
      <c r="O393" s="28" t="str">
        <f t="shared" si="64"/>
        <v/>
      </c>
      <c r="P393" s="28" t="str">
        <f t="shared" si="65"/>
        <v/>
      </c>
      <c r="Q393" s="28" t="str">
        <f t="shared" si="66"/>
        <v/>
      </c>
      <c r="R393" s="8" t="str">
        <f t="shared" si="67"/>
        <v/>
      </c>
      <c r="S393" s="28">
        <f>IFERROR('Cyber Privacy'!$G$37,"")</f>
        <v>4</v>
      </c>
      <c r="T393" s="28">
        <f>IFERROR('Cyber Privacy'!$W$37,"")</f>
        <v>5</v>
      </c>
      <c r="U393" s="28">
        <f>IFERROR('Cyber Privacy'!$X$37,"")</f>
        <v>5</v>
      </c>
      <c r="V393" s="28">
        <f>IFERROR('Cyber Privacy'!$Y$37,"")</f>
        <v>5</v>
      </c>
      <c r="W393" s="7" t="s">
        <v>5481</v>
      </c>
      <c r="X393" s="7" t="s">
        <v>5482</v>
      </c>
      <c r="Y393" s="7" t="s">
        <v>5788</v>
      </c>
      <c r="Z393" s="7">
        <f>IFERROR('Cyber Privacy'!$U$37,"")</f>
        <v>0</v>
      </c>
      <c r="AA393" s="7"/>
      <c r="AB393" s="29"/>
      <c r="AC393" s="7"/>
      <c r="AD393" s="48" t="str">
        <f>IF($B393="Yes",IFERROR(SUMIFS(_TECH_Crisis_Model!$D$5:$D$191,_TECH_Crisis_Model!$A$5:$A$191,'Crisis Simulator'!$B$4,_TECH_Crisis_Model!$B$5:$B$191,$C393),1),"")</f>
        <v/>
      </c>
      <c r="AE393" s="48" t="str">
        <f t="shared" si="68"/>
        <v/>
      </c>
      <c r="AF393" s="48" t="str">
        <f>IFERROR(INDEX(_TECH_Crisis_Model!$E$5:$E$191,MATCH('Crisis Simulator'!$B$4&amp;"|"&amp;$C393,_TECH_Crisis_Model!$I$5:$I$191,0)),"")</f>
        <v>Cybersecurity and privacy controls determine resistance to digital disruption and regulatory exposure.</v>
      </c>
      <c r="AG393" s="48" t="str">
        <f>IFERROR(INDEX(_TECH_Crisis_Model!$G$5:$G$191,MATCH('Crisis Simulator'!$B$4&amp;"|"&amp;$C393,_TECH_Crisis_Model!$I$5:$I$191,0)),"")</f>
        <v>Strengthen MFA, EDR, logging, IR playbooks, restore testing, privacy controls and awareness.</v>
      </c>
      <c r="AH393" s="48" t="str">
        <f>IFERROR(INDEX(_TECH_Initiative_Library!$A$5:$A$76,MATCH(1,INDEX((_TECH_Initiative_Library!$B$5:$B$76=$C393)*(_TECH_Initiative_Library!$C$5:$C$76=$D393),0),0)),"")</f>
        <v>INI-068</v>
      </c>
      <c r="AI393" s="48" t="str">
        <f>IFERROR(INDEX(_TECH_Initiative_Library!$F$5:$F$76,MATCH(1,INDEX((_TECH_Initiative_Library!$B$5:$B$76=$C393)*(_TECH_Initiative_Library!$C$5:$C$76=$D393),0),0)),"")</f>
        <v>Implement privacy governance, DPIA and personal-data controls</v>
      </c>
      <c r="AJ393" s="48" t="str">
        <f ca="1">IFERROR(INDEX(_TECH_Initiative_Library!$AC$5:$AC$76,MATCH(1,INDEX((_TECH_Initiative_Library!$B$5:$B$76=$C393)*(_TECH_Initiative_Library!$C$5:$C$76=$D393),0),0)),"")</f>
        <v/>
      </c>
      <c r="AK393" s="48" t="str">
        <f ca="1">IFERROR(INDEX(_TECH_Initiative_Library!$AE$5:$AE$76,MATCH(1,INDEX((_TECH_Initiative_Library!$B$5:$B$76=$C393)*(_TECH_Initiative_Library!$C$5:$C$76=$D393),0),0)),"")</f>
        <v/>
      </c>
      <c r="AL393" s="48" t="str">
        <f>IF($B393="Yes",IFERROR(SUMIFS(_TECH_Industry_Templates!$E:$E,_TECH_Industry_Templates!$A:$A,'Company Profile'!$B$9,_TECH_Industry_Templates!$B:$B,$C393),1),"")</f>
        <v/>
      </c>
      <c r="AM393" s="48" t="str">
        <f t="shared" si="69"/>
        <v/>
      </c>
      <c r="AN393" s="48" t="str">
        <f>IF($AM393="","",RANK.EQ($AM393,$AM$8:$AM$414,0)+COUNTIF($AM$8:$AM393,$AM393)-1)</f>
        <v/>
      </c>
    </row>
    <row r="394" spans="1:40" ht="85.5">
      <c r="A394" s="28" t="str">
        <f>IF($AM394="","",RANK.EQ($AM394,$AM$8:$AM$414,0)+COUNTIF($AM$8:$AM394,$AM394)-1)</f>
        <v/>
      </c>
      <c r="B394" s="7" t="str">
        <f t="shared" si="60"/>
        <v/>
      </c>
      <c r="C394" s="7" t="s">
        <v>93</v>
      </c>
      <c r="D394" s="7" t="s">
        <v>1628</v>
      </c>
      <c r="E394" s="7" t="s">
        <v>5796</v>
      </c>
      <c r="F394" s="7" t="s">
        <v>5797</v>
      </c>
      <c r="G394" s="28" t="str">
        <f>IF(OR(COUNTA('Cyber Privacy'!$H$38)=0,'Cyber Privacy'!$H$38="N/A"),"",VALUE('Cyber Privacy'!$H$38))</f>
        <v/>
      </c>
      <c r="H394" s="7" t="str">
        <f t="shared" si="61"/>
        <v/>
      </c>
      <c r="I394" s="7" t="str">
        <f>IF($G394="","",IFERROR(IF('Cyber Privacy'!$L$38="",IF($G394&lt;=1,"Critical",IF($G394=2,"High",IF($G394=3,"Medium",IF($G394=4,"Low","Optimized")))),'Cyber Privacy'!$L$38),IF($G394&lt;=1,"Critical",IF($G394=2,"High",IF($G394=3,"Medium",IF($G394=4,"Low","Optimized"))))))</f>
        <v/>
      </c>
      <c r="J394" s="7" t="str">
        <f>IF($G394="","",IFERROR(INDEX('Recommendation Matrix'!$E$5:$J$411,MATCH($E394,'Recommendation Matrix'!$A$5:$A$411,0),$G394+1),""))</f>
        <v/>
      </c>
      <c r="K394" s="7" t="str">
        <f>IF($G394="","",IFERROR(VLOOKUP($E394,'Recommendation Matrix'!$A$5:$K$411,11,FALSE),""))</f>
        <v/>
      </c>
      <c r="L394" s="28" t="str">
        <f t="shared" si="62"/>
        <v/>
      </c>
      <c r="M394" s="28" t="str">
        <f>IF($G394="","",IFERROR(INDEX('Recommendation Matrix'!$L$5:$Q$411,MATCH($E394,'Recommendation Matrix'!$A$5:$A$411,0),$G394+1),""))</f>
        <v/>
      </c>
      <c r="N394" s="28" t="str">
        <f t="shared" si="63"/>
        <v/>
      </c>
      <c r="O394" s="28" t="str">
        <f t="shared" si="64"/>
        <v/>
      </c>
      <c r="P394" s="28" t="str">
        <f t="shared" si="65"/>
        <v/>
      </c>
      <c r="Q394" s="28" t="str">
        <f t="shared" si="66"/>
        <v/>
      </c>
      <c r="R394" s="8" t="str">
        <f t="shared" si="67"/>
        <v/>
      </c>
      <c r="S394" s="28">
        <f>IFERROR('Cyber Privacy'!$G$38,"")</f>
        <v>5</v>
      </c>
      <c r="T394" s="28">
        <f>IFERROR('Cyber Privacy'!$W$38,"")</f>
        <v>5</v>
      </c>
      <c r="U394" s="28">
        <f>IFERROR('Cyber Privacy'!$X$38,"")</f>
        <v>5</v>
      </c>
      <c r="V394" s="28">
        <f>IFERROR('Cyber Privacy'!$Y$38,"")</f>
        <v>5</v>
      </c>
      <c r="W394" s="7" t="s">
        <v>5481</v>
      </c>
      <c r="X394" s="7" t="s">
        <v>5482</v>
      </c>
      <c r="Y394" s="7" t="s">
        <v>5798</v>
      </c>
      <c r="Z394" s="7">
        <f>IFERROR('Cyber Privacy'!$U$38,"")</f>
        <v>0</v>
      </c>
      <c r="AA394" s="7"/>
      <c r="AB394" s="29"/>
      <c r="AC394" s="7"/>
      <c r="AD394" s="48" t="str">
        <f>IF($B394="Yes",IFERROR(SUMIFS(_TECH_Crisis_Model!$D$5:$D$191,_TECH_Crisis_Model!$A$5:$A$191,'Crisis Simulator'!$B$4,_TECH_Crisis_Model!$B$5:$B$191,$C394),1),"")</f>
        <v/>
      </c>
      <c r="AE394" s="48" t="str">
        <f t="shared" si="68"/>
        <v/>
      </c>
      <c r="AF394" s="48" t="str">
        <f>IFERROR(INDEX(_TECH_Crisis_Model!$E$5:$E$191,MATCH('Crisis Simulator'!$B$4&amp;"|"&amp;$C394,_TECH_Crisis_Model!$I$5:$I$191,0)),"")</f>
        <v>Cybersecurity and privacy controls determine resistance to digital disruption and regulatory exposure.</v>
      </c>
      <c r="AG394" s="48" t="str">
        <f>IFERROR(INDEX(_TECH_Crisis_Model!$G$5:$G$191,MATCH('Crisis Simulator'!$B$4&amp;"|"&amp;$C394,_TECH_Crisis_Model!$I$5:$I$191,0)),"")</f>
        <v>Strengthen MFA, EDR, logging, IR playbooks, restore testing, privacy controls and awareness.</v>
      </c>
      <c r="AH394" s="48" t="str">
        <f>IFERROR(INDEX(_TECH_Initiative_Library!$A$5:$A$76,MATCH(1,INDEX((_TECH_Initiative_Library!$B$5:$B$76=$C394)*(_TECH_Initiative_Library!$C$5:$C$76=$D394),0),0)),"")</f>
        <v>INI-068</v>
      </c>
      <c r="AI394" s="48" t="str">
        <f>IFERROR(INDEX(_TECH_Initiative_Library!$F$5:$F$76,MATCH(1,INDEX((_TECH_Initiative_Library!$B$5:$B$76=$C394)*(_TECH_Initiative_Library!$C$5:$C$76=$D394),0),0)),"")</f>
        <v>Implement privacy governance, DPIA and personal-data controls</v>
      </c>
      <c r="AJ394" s="48" t="str">
        <f ca="1">IFERROR(INDEX(_TECH_Initiative_Library!$AC$5:$AC$76,MATCH(1,INDEX((_TECH_Initiative_Library!$B$5:$B$76=$C394)*(_TECH_Initiative_Library!$C$5:$C$76=$D394),0),0)),"")</f>
        <v/>
      </c>
      <c r="AK394" s="48" t="str">
        <f ca="1">IFERROR(INDEX(_TECH_Initiative_Library!$AE$5:$AE$76,MATCH(1,INDEX((_TECH_Initiative_Library!$B$5:$B$76=$C394)*(_TECH_Initiative_Library!$C$5:$C$76=$D394),0),0)),"")</f>
        <v/>
      </c>
      <c r="AL394" s="48" t="str">
        <f>IF($B394="Yes",IFERROR(SUMIFS(_TECH_Industry_Templates!$E:$E,_TECH_Industry_Templates!$A:$A,'Company Profile'!$B$9,_TECH_Industry_Templates!$B:$B,$C394),1),"")</f>
        <v/>
      </c>
      <c r="AM394" s="48" t="str">
        <f t="shared" si="69"/>
        <v/>
      </c>
      <c r="AN394" s="48" t="str">
        <f>IF($AM394="","",RANK.EQ($AM394,$AM$8:$AM$414,0)+COUNTIF($AM$8:$AM394,$AM394)-1)</f>
        <v/>
      </c>
    </row>
    <row r="395" spans="1:40" ht="71.25">
      <c r="A395" s="28" t="str">
        <f>IF($AM395="","",RANK.EQ($AM395,$AM$8:$AM$414,0)+COUNTIF($AM$8:$AM395,$AM395)-1)</f>
        <v/>
      </c>
      <c r="B395" s="7" t="str">
        <f t="shared" si="60"/>
        <v/>
      </c>
      <c r="C395" s="7" t="s">
        <v>94</v>
      </c>
      <c r="D395" s="7" t="s">
        <v>1636</v>
      </c>
      <c r="E395" s="7" t="s">
        <v>5808</v>
      </c>
      <c r="F395" s="7" t="s">
        <v>5809</v>
      </c>
      <c r="G395" s="28" t="str">
        <f>IF(OR(COUNTA('Quality Portfolio'!$H$5)=0,'Quality Portfolio'!$H$5="N/A"),"",VALUE('Quality Portfolio'!$H$5))</f>
        <v/>
      </c>
      <c r="H395" s="7" t="str">
        <f t="shared" si="61"/>
        <v/>
      </c>
      <c r="I395" s="7" t="str">
        <f>IF($G395="","",IFERROR(IF('Quality Portfolio'!$L$5="",IF($G395&lt;=1,"Critical",IF($G395=2,"High",IF($G395=3,"Medium",IF($G395=4,"Low","Optimized")))),'Quality Portfolio'!$L$5),IF($G395&lt;=1,"Critical",IF($G395=2,"High",IF($G395=3,"Medium",IF($G395=4,"Low","Optimized"))))))</f>
        <v/>
      </c>
      <c r="J395" s="7" t="str">
        <f>IF($G395="","",IFERROR(INDEX('Recommendation Matrix'!$E$5:$J$411,MATCH($E395,'Recommendation Matrix'!$A$5:$A$411,0),$G395+1),""))</f>
        <v/>
      </c>
      <c r="K395" s="7" t="str">
        <f>IF($G395="","",IFERROR(VLOOKUP($E395,'Recommendation Matrix'!$A$5:$K$411,11,FALSE),""))</f>
        <v/>
      </c>
      <c r="L395" s="28" t="str">
        <f t="shared" si="62"/>
        <v/>
      </c>
      <c r="M395" s="28" t="str">
        <f>IF($G395="","",IFERROR(INDEX('Recommendation Matrix'!$L$5:$Q$411,MATCH($E395,'Recommendation Matrix'!$A$5:$A$411,0),$G395+1),""))</f>
        <v/>
      </c>
      <c r="N395" s="28" t="str">
        <f t="shared" si="63"/>
        <v/>
      </c>
      <c r="O395" s="28" t="str">
        <f t="shared" si="64"/>
        <v/>
      </c>
      <c r="P395" s="28" t="str">
        <f t="shared" si="65"/>
        <v/>
      </c>
      <c r="Q395" s="28" t="str">
        <f t="shared" si="66"/>
        <v/>
      </c>
      <c r="R395" s="8" t="str">
        <f t="shared" si="67"/>
        <v/>
      </c>
      <c r="S395" s="28">
        <f>IFERROR('Quality Portfolio'!$G$5,"")</f>
        <v>3</v>
      </c>
      <c r="T395" s="28">
        <f>IFERROR('Quality Portfolio'!$W$5,"")</f>
        <v>4</v>
      </c>
      <c r="U395" s="28">
        <f>IFERROR('Quality Portfolio'!$X$5,"")</f>
        <v>5</v>
      </c>
      <c r="V395" s="28">
        <f>IFERROR('Quality Portfolio'!$Y$5,"")</f>
        <v>5</v>
      </c>
      <c r="W395" s="7" t="s">
        <v>5819</v>
      </c>
      <c r="X395" s="7" t="s">
        <v>5820</v>
      </c>
      <c r="Y395" s="7" t="s">
        <v>5812</v>
      </c>
      <c r="Z395" s="7">
        <f>IFERROR('Quality Portfolio'!$U$5,"")</f>
        <v>0</v>
      </c>
      <c r="AA395" s="7"/>
      <c r="AB395" s="29"/>
      <c r="AC395" s="7"/>
      <c r="AD395" s="48" t="str">
        <f>IF($B395="Yes",IFERROR(SUMIFS(_TECH_Crisis_Model!$D$5:$D$191,_TECH_Crisis_Model!$A$5:$A$191,'Crisis Simulator'!$B$4,_TECH_Crisis_Model!$B$5:$B$191,$C395),1),"")</f>
        <v/>
      </c>
      <c r="AE395" s="48" t="str">
        <f t="shared" si="68"/>
        <v/>
      </c>
      <c r="AF395" s="48" t="str">
        <f>IFERROR(INDEX(_TECH_Crisis_Model!$E$5:$E$191,MATCH('Crisis Simulator'!$B$4&amp;"|"&amp;$C395,_TECH_Crisis_Model!$I$5:$I$191,0)),"")</f>
        <v>Portfolio discipline and benefits realization determine whether scarce resources are focused on the right actions.</v>
      </c>
      <c r="AG395" s="48" t="str">
        <f>IFERROR(INDEX(_TECH_Crisis_Model!$G$5:$G$191,MATCH('Crisis Simulator'!$B$4&amp;"|"&amp;$C395,_TECH_Crisis_Model!$I$5:$I$191,0)),"")</f>
        <v>Prioritize crisis initiatives by value, risk reduction, dependencies and implementation waves.</v>
      </c>
      <c r="AH395" s="48" t="str">
        <f>IFERROR(INDEX(_TECH_Initiative_Library!$A$5:$A$76,MATCH(1,INDEX((_TECH_Initiative_Library!$B$5:$B$76=$C395)*(_TECH_Initiative_Library!$C$5:$C$76=$D395),0),0)),"")</f>
        <v>INI-069</v>
      </c>
      <c r="AI395" s="48" t="str">
        <f>IFERROR(INDEX(_TECH_Initiative_Library!$F$5:$F$76,MATCH(1,INDEX((_TECH_Initiative_Library!$B$5:$B$76=$C395)*(_TECH_Initiative_Library!$C$5:$C$76=$D395),0),0)),"")</f>
        <v>Build process ownership, SOP and continuous-improvement model</v>
      </c>
      <c r="AJ395" s="48" t="str">
        <f ca="1">IFERROR(INDEX(_TECH_Initiative_Library!$AC$5:$AC$76,MATCH(1,INDEX((_TECH_Initiative_Library!$B$5:$B$76=$C395)*(_TECH_Initiative_Library!$C$5:$C$76=$D395),0),0)),"")</f>
        <v/>
      </c>
      <c r="AK395" s="48" t="str">
        <f ca="1">IFERROR(INDEX(_TECH_Initiative_Library!$AE$5:$AE$76,MATCH(1,INDEX((_TECH_Initiative_Library!$B$5:$B$76=$C395)*(_TECH_Initiative_Library!$C$5:$C$76=$D395),0),0)),"")</f>
        <v/>
      </c>
      <c r="AL395" s="48" t="str">
        <f>IF($B395="Yes",IFERROR(SUMIFS(_TECH_Industry_Templates!$E:$E,_TECH_Industry_Templates!$A:$A,'Company Profile'!$B$9,_TECH_Industry_Templates!$B:$B,$C395),1),"")</f>
        <v/>
      </c>
      <c r="AM395" s="48" t="str">
        <f t="shared" si="69"/>
        <v/>
      </c>
      <c r="AN395" s="48" t="str">
        <f>IF($AM395="","",RANK.EQ($AM395,$AM$8:$AM$414,0)+COUNTIF($AM$8:$AM395,$AM395)-1)</f>
        <v/>
      </c>
    </row>
    <row r="396" spans="1:40" ht="71.25">
      <c r="A396" s="28" t="str">
        <f>IF($AM396="","",RANK.EQ($AM396,$AM$8:$AM$414,0)+COUNTIF($AM$8:$AM396,$AM396)-1)</f>
        <v/>
      </c>
      <c r="B396" s="7" t="str">
        <f t="shared" si="60"/>
        <v/>
      </c>
      <c r="C396" s="7" t="s">
        <v>94</v>
      </c>
      <c r="D396" s="7" t="s">
        <v>1636</v>
      </c>
      <c r="E396" s="7" t="s">
        <v>5822</v>
      </c>
      <c r="F396" s="7" t="s">
        <v>5823</v>
      </c>
      <c r="G396" s="28" t="str">
        <f>IF(OR(COUNTA('Quality Portfolio'!$H$6)=0,'Quality Portfolio'!$H$6="N/A"),"",VALUE('Quality Portfolio'!$H$6))</f>
        <v/>
      </c>
      <c r="H396" s="7" t="str">
        <f t="shared" si="61"/>
        <v/>
      </c>
      <c r="I396" s="7" t="str">
        <f>IF($G396="","",IFERROR(IF('Quality Portfolio'!$L$6="",IF($G396&lt;=1,"Critical",IF($G396=2,"High",IF($G396=3,"Medium",IF($G396=4,"Low","Optimized")))),'Quality Portfolio'!$L$6),IF($G396&lt;=1,"Critical",IF($G396=2,"High",IF($G396=3,"Medium",IF($G396=4,"Low","Optimized"))))))</f>
        <v/>
      </c>
      <c r="J396" s="7" t="str">
        <f>IF($G396="","",IFERROR(INDEX('Recommendation Matrix'!$E$5:$J$411,MATCH($E396,'Recommendation Matrix'!$A$5:$A$411,0),$G396+1),""))</f>
        <v/>
      </c>
      <c r="K396" s="7" t="str">
        <f>IF($G396="","",IFERROR(VLOOKUP($E396,'Recommendation Matrix'!$A$5:$K$411,11,FALSE),""))</f>
        <v/>
      </c>
      <c r="L396" s="28" t="str">
        <f t="shared" si="62"/>
        <v/>
      </c>
      <c r="M396" s="28" t="str">
        <f>IF($G396="","",IFERROR(INDEX('Recommendation Matrix'!$L$5:$Q$411,MATCH($E396,'Recommendation Matrix'!$A$5:$A$411,0),$G396+1),""))</f>
        <v/>
      </c>
      <c r="N396" s="28" t="str">
        <f t="shared" si="63"/>
        <v/>
      </c>
      <c r="O396" s="28" t="str">
        <f t="shared" si="64"/>
        <v/>
      </c>
      <c r="P396" s="28" t="str">
        <f t="shared" si="65"/>
        <v/>
      </c>
      <c r="Q396" s="28" t="str">
        <f t="shared" si="66"/>
        <v/>
      </c>
      <c r="R396" s="8" t="str">
        <f t="shared" si="67"/>
        <v/>
      </c>
      <c r="S396" s="28">
        <f>IFERROR('Quality Portfolio'!$G$6,"")</f>
        <v>5</v>
      </c>
      <c r="T396" s="28">
        <f>IFERROR('Quality Portfolio'!$W$6,"")</f>
        <v>4</v>
      </c>
      <c r="U396" s="28">
        <f>IFERROR('Quality Portfolio'!$X$6,"")</f>
        <v>5</v>
      </c>
      <c r="V396" s="28">
        <f>IFERROR('Quality Portfolio'!$Y$6,"")</f>
        <v>5</v>
      </c>
      <c r="W396" s="7" t="s">
        <v>5819</v>
      </c>
      <c r="X396" s="7" t="s">
        <v>5820</v>
      </c>
      <c r="Y396" s="7" t="s">
        <v>5824</v>
      </c>
      <c r="Z396" s="7">
        <f>IFERROR('Quality Portfolio'!$U$6,"")</f>
        <v>0</v>
      </c>
      <c r="AA396" s="7"/>
      <c r="AB396" s="29"/>
      <c r="AC396" s="7"/>
      <c r="AD396" s="48" t="str">
        <f>IF($B396="Yes",IFERROR(SUMIFS(_TECH_Crisis_Model!$D$5:$D$191,_TECH_Crisis_Model!$A$5:$A$191,'Crisis Simulator'!$B$4,_TECH_Crisis_Model!$B$5:$B$191,$C396),1),"")</f>
        <v/>
      </c>
      <c r="AE396" s="48" t="str">
        <f t="shared" si="68"/>
        <v/>
      </c>
      <c r="AF396" s="48" t="str">
        <f>IFERROR(INDEX(_TECH_Crisis_Model!$E$5:$E$191,MATCH('Crisis Simulator'!$B$4&amp;"|"&amp;$C396,_TECH_Crisis_Model!$I$5:$I$191,0)),"")</f>
        <v>Portfolio discipline and benefits realization determine whether scarce resources are focused on the right actions.</v>
      </c>
      <c r="AG396" s="48" t="str">
        <f>IFERROR(INDEX(_TECH_Crisis_Model!$G$5:$G$191,MATCH('Crisis Simulator'!$B$4&amp;"|"&amp;$C396,_TECH_Crisis_Model!$I$5:$I$191,0)),"")</f>
        <v>Prioritize crisis initiatives by value, risk reduction, dependencies and implementation waves.</v>
      </c>
      <c r="AH396" s="48" t="str">
        <f>IFERROR(INDEX(_TECH_Initiative_Library!$A$5:$A$76,MATCH(1,INDEX((_TECH_Initiative_Library!$B$5:$B$76=$C396)*(_TECH_Initiative_Library!$C$5:$C$76=$D396),0),0)),"")</f>
        <v>INI-069</v>
      </c>
      <c r="AI396" s="48" t="str">
        <f>IFERROR(INDEX(_TECH_Initiative_Library!$F$5:$F$76,MATCH(1,INDEX((_TECH_Initiative_Library!$B$5:$B$76=$C396)*(_TECH_Initiative_Library!$C$5:$C$76=$D396),0),0)),"")</f>
        <v>Build process ownership, SOP and continuous-improvement model</v>
      </c>
      <c r="AJ396" s="48" t="str">
        <f ca="1">IFERROR(INDEX(_TECH_Initiative_Library!$AC$5:$AC$76,MATCH(1,INDEX((_TECH_Initiative_Library!$B$5:$B$76=$C396)*(_TECH_Initiative_Library!$C$5:$C$76=$D396),0),0)),"")</f>
        <v/>
      </c>
      <c r="AK396" s="48" t="str">
        <f ca="1">IFERROR(INDEX(_TECH_Initiative_Library!$AE$5:$AE$76,MATCH(1,INDEX((_TECH_Initiative_Library!$B$5:$B$76=$C396)*(_TECH_Initiative_Library!$C$5:$C$76=$D396),0),0)),"")</f>
        <v/>
      </c>
      <c r="AL396" s="48" t="str">
        <f>IF($B396="Yes",IFERROR(SUMIFS(_TECH_Industry_Templates!$E:$E,_TECH_Industry_Templates!$A:$A,'Company Profile'!$B$9,_TECH_Industry_Templates!$B:$B,$C396),1),"")</f>
        <v/>
      </c>
      <c r="AM396" s="48" t="str">
        <f t="shared" si="69"/>
        <v/>
      </c>
      <c r="AN396" s="48" t="str">
        <f>IF($AM396="","",RANK.EQ($AM396,$AM$8:$AM$414,0)+COUNTIF($AM$8:$AM396,$AM396)-1)</f>
        <v/>
      </c>
    </row>
    <row r="397" spans="1:40" ht="71.25">
      <c r="A397" s="28" t="str">
        <f>IF($AM397="","",RANK.EQ($AM397,$AM$8:$AM$414,0)+COUNTIF($AM$8:$AM397,$AM397)-1)</f>
        <v/>
      </c>
      <c r="B397" s="7" t="str">
        <f t="shared" si="60"/>
        <v/>
      </c>
      <c r="C397" s="7" t="s">
        <v>94</v>
      </c>
      <c r="D397" s="7" t="s">
        <v>1636</v>
      </c>
      <c r="E397" s="7" t="s">
        <v>5832</v>
      </c>
      <c r="F397" s="7" t="s">
        <v>5833</v>
      </c>
      <c r="G397" s="28" t="str">
        <f>IF(OR(COUNTA('Quality Portfolio'!$H$7)=0,'Quality Portfolio'!$H$7="N/A"),"",VALUE('Quality Portfolio'!$H$7))</f>
        <v/>
      </c>
      <c r="H397" s="7" t="str">
        <f t="shared" si="61"/>
        <v/>
      </c>
      <c r="I397" s="7" t="str">
        <f>IF($G397="","",IFERROR(IF('Quality Portfolio'!$L$7="",IF($G397&lt;=1,"Critical",IF($G397=2,"High",IF($G397=3,"Medium",IF($G397=4,"Low","Optimized")))),'Quality Portfolio'!$L$7),IF($G397&lt;=1,"Critical",IF($G397=2,"High",IF($G397=3,"Medium",IF($G397=4,"Low","Optimized"))))))</f>
        <v/>
      </c>
      <c r="J397" s="7" t="str">
        <f>IF($G397="","",IFERROR(INDEX('Recommendation Matrix'!$E$5:$J$411,MATCH($E397,'Recommendation Matrix'!$A$5:$A$411,0),$G397+1),""))</f>
        <v/>
      </c>
      <c r="K397" s="7" t="str">
        <f>IF($G397="","",IFERROR(VLOOKUP($E397,'Recommendation Matrix'!$A$5:$K$411,11,FALSE),""))</f>
        <v/>
      </c>
      <c r="L397" s="28" t="str">
        <f t="shared" si="62"/>
        <v/>
      </c>
      <c r="M397" s="28" t="str">
        <f>IF($G397="","",IFERROR(INDEX('Recommendation Matrix'!$L$5:$Q$411,MATCH($E397,'Recommendation Matrix'!$A$5:$A$411,0),$G397+1),""))</f>
        <v/>
      </c>
      <c r="N397" s="28" t="str">
        <f t="shared" si="63"/>
        <v/>
      </c>
      <c r="O397" s="28" t="str">
        <f t="shared" si="64"/>
        <v/>
      </c>
      <c r="P397" s="28" t="str">
        <f t="shared" si="65"/>
        <v/>
      </c>
      <c r="Q397" s="28" t="str">
        <f t="shared" si="66"/>
        <v/>
      </c>
      <c r="R397" s="8" t="str">
        <f t="shared" si="67"/>
        <v/>
      </c>
      <c r="S397" s="28">
        <f>IFERROR('Quality Portfolio'!$G$7,"")</f>
        <v>3</v>
      </c>
      <c r="T397" s="28">
        <f>IFERROR('Quality Portfolio'!$W$7,"")</f>
        <v>4</v>
      </c>
      <c r="U397" s="28">
        <f>IFERROR('Quality Portfolio'!$X$7,"")</f>
        <v>5</v>
      </c>
      <c r="V397" s="28">
        <f>IFERROR('Quality Portfolio'!$Y$7,"")</f>
        <v>5</v>
      </c>
      <c r="W397" s="7" t="s">
        <v>5819</v>
      </c>
      <c r="X397" s="7" t="s">
        <v>5820</v>
      </c>
      <c r="Y397" s="7" t="s">
        <v>5834</v>
      </c>
      <c r="Z397" s="7">
        <f>IFERROR('Quality Portfolio'!$U$7,"")</f>
        <v>0</v>
      </c>
      <c r="AA397" s="7"/>
      <c r="AB397" s="29"/>
      <c r="AC397" s="7"/>
      <c r="AD397" s="48" t="str">
        <f>IF($B397="Yes",IFERROR(SUMIFS(_TECH_Crisis_Model!$D$5:$D$191,_TECH_Crisis_Model!$A$5:$A$191,'Crisis Simulator'!$B$4,_TECH_Crisis_Model!$B$5:$B$191,$C397),1),"")</f>
        <v/>
      </c>
      <c r="AE397" s="48" t="str">
        <f t="shared" si="68"/>
        <v/>
      </c>
      <c r="AF397" s="48" t="str">
        <f>IFERROR(INDEX(_TECH_Crisis_Model!$E$5:$E$191,MATCH('Crisis Simulator'!$B$4&amp;"|"&amp;$C397,_TECH_Crisis_Model!$I$5:$I$191,0)),"")</f>
        <v>Portfolio discipline and benefits realization determine whether scarce resources are focused on the right actions.</v>
      </c>
      <c r="AG397" s="48" t="str">
        <f>IFERROR(INDEX(_TECH_Crisis_Model!$G$5:$G$191,MATCH('Crisis Simulator'!$B$4&amp;"|"&amp;$C397,_TECH_Crisis_Model!$I$5:$I$191,0)),"")</f>
        <v>Prioritize crisis initiatives by value, risk reduction, dependencies and implementation waves.</v>
      </c>
      <c r="AH397" s="48" t="str">
        <f>IFERROR(INDEX(_TECH_Initiative_Library!$A$5:$A$76,MATCH(1,INDEX((_TECH_Initiative_Library!$B$5:$B$76=$C397)*(_TECH_Initiative_Library!$C$5:$C$76=$D397),0),0)),"")</f>
        <v>INI-069</v>
      </c>
      <c r="AI397" s="48" t="str">
        <f>IFERROR(INDEX(_TECH_Initiative_Library!$F$5:$F$76,MATCH(1,INDEX((_TECH_Initiative_Library!$B$5:$B$76=$C397)*(_TECH_Initiative_Library!$C$5:$C$76=$D397),0),0)),"")</f>
        <v>Build process ownership, SOP and continuous-improvement model</v>
      </c>
      <c r="AJ397" s="48" t="str">
        <f ca="1">IFERROR(INDEX(_TECH_Initiative_Library!$AC$5:$AC$76,MATCH(1,INDEX((_TECH_Initiative_Library!$B$5:$B$76=$C397)*(_TECH_Initiative_Library!$C$5:$C$76=$D397),0),0)),"")</f>
        <v/>
      </c>
      <c r="AK397" s="48" t="str">
        <f ca="1">IFERROR(INDEX(_TECH_Initiative_Library!$AE$5:$AE$76,MATCH(1,INDEX((_TECH_Initiative_Library!$B$5:$B$76=$C397)*(_TECH_Initiative_Library!$C$5:$C$76=$D397),0),0)),"")</f>
        <v/>
      </c>
      <c r="AL397" s="48" t="str">
        <f>IF($B397="Yes",IFERROR(SUMIFS(_TECH_Industry_Templates!$E:$E,_TECH_Industry_Templates!$A:$A,'Company Profile'!$B$9,_TECH_Industry_Templates!$B:$B,$C397),1),"")</f>
        <v/>
      </c>
      <c r="AM397" s="48" t="str">
        <f t="shared" si="69"/>
        <v/>
      </c>
      <c r="AN397" s="48" t="str">
        <f>IF($AM397="","",RANK.EQ($AM397,$AM$8:$AM$414,0)+COUNTIF($AM$8:$AM397,$AM397)-1)</f>
        <v/>
      </c>
    </row>
    <row r="398" spans="1:40" ht="71.25">
      <c r="A398" s="28" t="str">
        <f>IF($AM398="","",RANK.EQ($AM398,$AM$8:$AM$414,0)+COUNTIF($AM$8:$AM398,$AM398)-1)</f>
        <v/>
      </c>
      <c r="B398" s="7" t="str">
        <f t="shared" si="60"/>
        <v/>
      </c>
      <c r="C398" s="7" t="s">
        <v>94</v>
      </c>
      <c r="D398" s="7" t="s">
        <v>1636</v>
      </c>
      <c r="E398" s="7" t="s">
        <v>5842</v>
      </c>
      <c r="F398" s="7" t="s">
        <v>5843</v>
      </c>
      <c r="G398" s="28" t="str">
        <f>IF(OR(COUNTA('Quality Portfolio'!$H$8)=0,'Quality Portfolio'!$H$8="N/A"),"",VALUE('Quality Portfolio'!$H$8))</f>
        <v/>
      </c>
      <c r="H398" s="7" t="str">
        <f t="shared" si="61"/>
        <v/>
      </c>
      <c r="I398" s="7" t="str">
        <f>IF($G398="","",IFERROR(IF('Quality Portfolio'!$L$8="",IF($G398&lt;=1,"Critical",IF($G398=2,"High",IF($G398=3,"Medium",IF($G398=4,"Low","Optimized")))),'Quality Portfolio'!$L$8),IF($G398&lt;=1,"Critical",IF($G398=2,"High",IF($G398=3,"Medium",IF($G398=4,"Low","Optimized"))))))</f>
        <v/>
      </c>
      <c r="J398" s="7" t="str">
        <f>IF($G398="","",IFERROR(INDEX('Recommendation Matrix'!$E$5:$J$411,MATCH($E398,'Recommendation Matrix'!$A$5:$A$411,0),$G398+1),""))</f>
        <v/>
      </c>
      <c r="K398" s="7" t="str">
        <f>IF($G398="","",IFERROR(VLOOKUP($E398,'Recommendation Matrix'!$A$5:$K$411,11,FALSE),""))</f>
        <v/>
      </c>
      <c r="L398" s="28" t="str">
        <f t="shared" si="62"/>
        <v/>
      </c>
      <c r="M398" s="28" t="str">
        <f>IF($G398="","",IFERROR(INDEX('Recommendation Matrix'!$L$5:$Q$411,MATCH($E398,'Recommendation Matrix'!$A$5:$A$411,0),$G398+1),""))</f>
        <v/>
      </c>
      <c r="N398" s="28" t="str">
        <f t="shared" si="63"/>
        <v/>
      </c>
      <c r="O398" s="28" t="str">
        <f t="shared" si="64"/>
        <v/>
      </c>
      <c r="P398" s="28" t="str">
        <f t="shared" si="65"/>
        <v/>
      </c>
      <c r="Q398" s="28" t="str">
        <f t="shared" si="66"/>
        <v/>
      </c>
      <c r="R398" s="8" t="str">
        <f t="shared" si="67"/>
        <v/>
      </c>
      <c r="S398" s="28">
        <f>IFERROR('Quality Portfolio'!$G$8,"")</f>
        <v>3</v>
      </c>
      <c r="T398" s="28">
        <f>IFERROR('Quality Portfolio'!$W$8,"")</f>
        <v>4</v>
      </c>
      <c r="U398" s="28">
        <f>IFERROR('Quality Portfolio'!$X$8,"")</f>
        <v>5</v>
      </c>
      <c r="V398" s="28">
        <f>IFERROR('Quality Portfolio'!$Y$8,"")</f>
        <v>5</v>
      </c>
      <c r="W398" s="7" t="s">
        <v>5819</v>
      </c>
      <c r="X398" s="7" t="s">
        <v>5820</v>
      </c>
      <c r="Y398" s="7" t="s">
        <v>5844</v>
      </c>
      <c r="Z398" s="7">
        <f>IFERROR('Quality Portfolio'!$U$8,"")</f>
        <v>0</v>
      </c>
      <c r="AA398" s="7"/>
      <c r="AB398" s="29"/>
      <c r="AC398" s="7"/>
      <c r="AD398" s="48" t="str">
        <f>IF($B398="Yes",IFERROR(SUMIFS(_TECH_Crisis_Model!$D$5:$D$191,_TECH_Crisis_Model!$A$5:$A$191,'Crisis Simulator'!$B$4,_TECH_Crisis_Model!$B$5:$B$191,$C398),1),"")</f>
        <v/>
      </c>
      <c r="AE398" s="48" t="str">
        <f t="shared" si="68"/>
        <v/>
      </c>
      <c r="AF398" s="48" t="str">
        <f>IFERROR(INDEX(_TECH_Crisis_Model!$E$5:$E$191,MATCH('Crisis Simulator'!$B$4&amp;"|"&amp;$C398,_TECH_Crisis_Model!$I$5:$I$191,0)),"")</f>
        <v>Portfolio discipline and benefits realization determine whether scarce resources are focused on the right actions.</v>
      </c>
      <c r="AG398" s="48" t="str">
        <f>IFERROR(INDEX(_TECH_Crisis_Model!$G$5:$G$191,MATCH('Crisis Simulator'!$B$4&amp;"|"&amp;$C398,_TECH_Crisis_Model!$I$5:$I$191,0)),"")</f>
        <v>Prioritize crisis initiatives by value, risk reduction, dependencies and implementation waves.</v>
      </c>
      <c r="AH398" s="48" t="str">
        <f>IFERROR(INDEX(_TECH_Initiative_Library!$A$5:$A$76,MATCH(1,INDEX((_TECH_Initiative_Library!$B$5:$B$76=$C398)*(_TECH_Initiative_Library!$C$5:$C$76=$D398),0),0)),"")</f>
        <v>INI-069</v>
      </c>
      <c r="AI398" s="48" t="str">
        <f>IFERROR(INDEX(_TECH_Initiative_Library!$F$5:$F$76,MATCH(1,INDEX((_TECH_Initiative_Library!$B$5:$B$76=$C398)*(_TECH_Initiative_Library!$C$5:$C$76=$D398),0),0)),"")</f>
        <v>Build process ownership, SOP and continuous-improvement model</v>
      </c>
      <c r="AJ398" s="48" t="str">
        <f ca="1">IFERROR(INDEX(_TECH_Initiative_Library!$AC$5:$AC$76,MATCH(1,INDEX((_TECH_Initiative_Library!$B$5:$B$76=$C398)*(_TECH_Initiative_Library!$C$5:$C$76=$D398),0),0)),"")</f>
        <v/>
      </c>
      <c r="AK398" s="48" t="str">
        <f ca="1">IFERROR(INDEX(_TECH_Initiative_Library!$AE$5:$AE$76,MATCH(1,INDEX((_TECH_Initiative_Library!$B$5:$B$76=$C398)*(_TECH_Initiative_Library!$C$5:$C$76=$D398),0),0)),"")</f>
        <v/>
      </c>
      <c r="AL398" s="48" t="str">
        <f>IF($B398="Yes",IFERROR(SUMIFS(_TECH_Industry_Templates!$E:$E,_TECH_Industry_Templates!$A:$A,'Company Profile'!$B$9,_TECH_Industry_Templates!$B:$B,$C398),1),"")</f>
        <v/>
      </c>
      <c r="AM398" s="48" t="str">
        <f t="shared" si="69"/>
        <v/>
      </c>
      <c r="AN398" s="48" t="str">
        <f>IF($AM398="","",RANK.EQ($AM398,$AM$8:$AM$414,0)+COUNTIF($AM$8:$AM398,$AM398)-1)</f>
        <v/>
      </c>
    </row>
    <row r="399" spans="1:40" ht="71.25">
      <c r="A399" s="28" t="str">
        <f>IF($AM399="","",RANK.EQ($AM399,$AM$8:$AM$414,0)+COUNTIF($AM$8:$AM399,$AM399)-1)</f>
        <v/>
      </c>
      <c r="B399" s="7" t="str">
        <f t="shared" si="60"/>
        <v/>
      </c>
      <c r="C399" s="7" t="s">
        <v>94</v>
      </c>
      <c r="D399" s="7" t="s">
        <v>1636</v>
      </c>
      <c r="E399" s="7" t="s">
        <v>5852</v>
      </c>
      <c r="F399" s="7" t="s">
        <v>5853</v>
      </c>
      <c r="G399" s="28" t="str">
        <f>IF(OR(COUNTA('Quality Portfolio'!$H$9)=0,'Quality Portfolio'!$H$9="N/A"),"",VALUE('Quality Portfolio'!$H$9))</f>
        <v/>
      </c>
      <c r="H399" s="7" t="str">
        <f t="shared" si="61"/>
        <v/>
      </c>
      <c r="I399" s="7" t="str">
        <f>IF($G399="","",IFERROR(IF('Quality Portfolio'!$L$9="",IF($G399&lt;=1,"Critical",IF($G399=2,"High",IF($G399=3,"Medium",IF($G399=4,"Low","Optimized")))),'Quality Portfolio'!$L$9),IF($G399&lt;=1,"Critical",IF($G399=2,"High",IF($G399=3,"Medium",IF($G399=4,"Low","Optimized"))))))</f>
        <v/>
      </c>
      <c r="J399" s="7" t="str">
        <f>IF($G399="","",IFERROR(INDEX('Recommendation Matrix'!$E$5:$J$411,MATCH($E399,'Recommendation Matrix'!$A$5:$A$411,0),$G399+1),""))</f>
        <v/>
      </c>
      <c r="K399" s="7" t="str">
        <f>IF($G399="","",IFERROR(VLOOKUP($E399,'Recommendation Matrix'!$A$5:$K$411,11,FALSE),""))</f>
        <v/>
      </c>
      <c r="L399" s="28" t="str">
        <f t="shared" si="62"/>
        <v/>
      </c>
      <c r="M399" s="28" t="str">
        <f>IF($G399="","",IFERROR(INDEX('Recommendation Matrix'!$L$5:$Q$411,MATCH($E399,'Recommendation Matrix'!$A$5:$A$411,0),$G399+1),""))</f>
        <v/>
      </c>
      <c r="N399" s="28" t="str">
        <f t="shared" si="63"/>
        <v/>
      </c>
      <c r="O399" s="28" t="str">
        <f t="shared" si="64"/>
        <v/>
      </c>
      <c r="P399" s="28" t="str">
        <f t="shared" si="65"/>
        <v/>
      </c>
      <c r="Q399" s="28" t="str">
        <f t="shared" si="66"/>
        <v/>
      </c>
      <c r="R399" s="8" t="str">
        <f t="shared" si="67"/>
        <v/>
      </c>
      <c r="S399" s="28">
        <f>IFERROR('Quality Portfolio'!$G$9,"")</f>
        <v>3</v>
      </c>
      <c r="T399" s="28">
        <f>IFERROR('Quality Portfolio'!$W$9,"")</f>
        <v>4</v>
      </c>
      <c r="U399" s="28">
        <f>IFERROR('Quality Portfolio'!$X$9,"")</f>
        <v>5</v>
      </c>
      <c r="V399" s="28">
        <f>IFERROR('Quality Portfolio'!$Y$9,"")</f>
        <v>5</v>
      </c>
      <c r="W399" s="7" t="s">
        <v>5819</v>
      </c>
      <c r="X399" s="7" t="s">
        <v>5820</v>
      </c>
      <c r="Y399" s="7" t="s">
        <v>5854</v>
      </c>
      <c r="Z399" s="7">
        <f>IFERROR('Quality Portfolio'!$U$9,"")</f>
        <v>0</v>
      </c>
      <c r="AA399" s="7"/>
      <c r="AB399" s="29"/>
      <c r="AC399" s="7"/>
      <c r="AD399" s="48" t="str">
        <f>IF($B399="Yes",IFERROR(SUMIFS(_TECH_Crisis_Model!$D$5:$D$191,_TECH_Crisis_Model!$A$5:$A$191,'Crisis Simulator'!$B$4,_TECH_Crisis_Model!$B$5:$B$191,$C399),1),"")</f>
        <v/>
      </c>
      <c r="AE399" s="48" t="str">
        <f t="shared" si="68"/>
        <v/>
      </c>
      <c r="AF399" s="48" t="str">
        <f>IFERROR(INDEX(_TECH_Crisis_Model!$E$5:$E$191,MATCH('Crisis Simulator'!$B$4&amp;"|"&amp;$C399,_TECH_Crisis_Model!$I$5:$I$191,0)),"")</f>
        <v>Portfolio discipline and benefits realization determine whether scarce resources are focused on the right actions.</v>
      </c>
      <c r="AG399" s="48" t="str">
        <f>IFERROR(INDEX(_TECH_Crisis_Model!$G$5:$G$191,MATCH('Crisis Simulator'!$B$4&amp;"|"&amp;$C399,_TECH_Crisis_Model!$I$5:$I$191,0)),"")</f>
        <v>Prioritize crisis initiatives by value, risk reduction, dependencies and implementation waves.</v>
      </c>
      <c r="AH399" s="48" t="str">
        <f>IFERROR(INDEX(_TECH_Initiative_Library!$A$5:$A$76,MATCH(1,INDEX((_TECH_Initiative_Library!$B$5:$B$76=$C399)*(_TECH_Initiative_Library!$C$5:$C$76=$D399),0),0)),"")</f>
        <v>INI-069</v>
      </c>
      <c r="AI399" s="48" t="str">
        <f>IFERROR(INDEX(_TECH_Initiative_Library!$F$5:$F$76,MATCH(1,INDEX((_TECH_Initiative_Library!$B$5:$B$76=$C399)*(_TECH_Initiative_Library!$C$5:$C$76=$D399),0),0)),"")</f>
        <v>Build process ownership, SOP and continuous-improvement model</v>
      </c>
      <c r="AJ399" s="48" t="str">
        <f ca="1">IFERROR(INDEX(_TECH_Initiative_Library!$AC$5:$AC$76,MATCH(1,INDEX((_TECH_Initiative_Library!$B$5:$B$76=$C399)*(_TECH_Initiative_Library!$C$5:$C$76=$D399),0),0)),"")</f>
        <v/>
      </c>
      <c r="AK399" s="48" t="str">
        <f ca="1">IFERROR(INDEX(_TECH_Initiative_Library!$AE$5:$AE$76,MATCH(1,INDEX((_TECH_Initiative_Library!$B$5:$B$76=$C399)*(_TECH_Initiative_Library!$C$5:$C$76=$D399),0),0)),"")</f>
        <v/>
      </c>
      <c r="AL399" s="48" t="str">
        <f>IF($B399="Yes",IFERROR(SUMIFS(_TECH_Industry_Templates!$E:$E,_TECH_Industry_Templates!$A:$A,'Company Profile'!$B$9,_TECH_Industry_Templates!$B:$B,$C399),1),"")</f>
        <v/>
      </c>
      <c r="AM399" s="48" t="str">
        <f t="shared" si="69"/>
        <v/>
      </c>
      <c r="AN399" s="48" t="str">
        <f>IF($AM399="","",RANK.EQ($AM399,$AM$8:$AM$414,0)+COUNTIF($AM$8:$AM399,$AM399)-1)</f>
        <v/>
      </c>
    </row>
    <row r="400" spans="1:40" ht="71.25">
      <c r="A400" s="28" t="str">
        <f>IF($AM400="","",RANK.EQ($AM400,$AM$8:$AM$414,0)+COUNTIF($AM$8:$AM400,$AM400)-1)</f>
        <v/>
      </c>
      <c r="B400" s="7" t="str">
        <f t="shared" si="60"/>
        <v/>
      </c>
      <c r="C400" s="7" t="s">
        <v>94</v>
      </c>
      <c r="D400" s="7" t="s">
        <v>1647</v>
      </c>
      <c r="E400" s="7" t="s">
        <v>5862</v>
      </c>
      <c r="F400" s="7" t="s">
        <v>5863</v>
      </c>
      <c r="G400" s="28" t="str">
        <f>IF(OR(COUNTA('Quality Portfolio'!$H$10)=0,'Quality Portfolio'!$H$10="N/A"),"",VALUE('Quality Portfolio'!$H$10))</f>
        <v/>
      </c>
      <c r="H400" s="7" t="str">
        <f t="shared" si="61"/>
        <v/>
      </c>
      <c r="I400" s="7" t="str">
        <f>IF($G400="","",IFERROR(IF('Quality Portfolio'!$L$10="",IF($G400&lt;=1,"Critical",IF($G400=2,"High",IF($G400=3,"Medium",IF($G400=4,"Low","Optimized")))),'Quality Portfolio'!$L$10),IF($G400&lt;=1,"Critical",IF($G400=2,"High",IF($G400=3,"Medium",IF($G400=4,"Low","Optimized"))))))</f>
        <v/>
      </c>
      <c r="J400" s="7" t="str">
        <f>IF($G400="","",IFERROR(INDEX('Recommendation Matrix'!$E$5:$J$411,MATCH($E400,'Recommendation Matrix'!$A$5:$A$411,0),$G400+1),""))</f>
        <v/>
      </c>
      <c r="K400" s="7" t="str">
        <f>IF($G400="","",IFERROR(VLOOKUP($E400,'Recommendation Matrix'!$A$5:$K$411,11,FALSE),""))</f>
        <v/>
      </c>
      <c r="L400" s="28" t="str">
        <f t="shared" si="62"/>
        <v/>
      </c>
      <c r="M400" s="28" t="str">
        <f>IF($G400="","",IFERROR(INDEX('Recommendation Matrix'!$L$5:$Q$411,MATCH($E400,'Recommendation Matrix'!$A$5:$A$411,0),$G400+1),""))</f>
        <v/>
      </c>
      <c r="N400" s="28" t="str">
        <f t="shared" si="63"/>
        <v/>
      </c>
      <c r="O400" s="28" t="str">
        <f t="shared" si="64"/>
        <v/>
      </c>
      <c r="P400" s="28" t="str">
        <f t="shared" si="65"/>
        <v/>
      </c>
      <c r="Q400" s="28" t="str">
        <f t="shared" si="66"/>
        <v/>
      </c>
      <c r="R400" s="8" t="str">
        <f t="shared" si="67"/>
        <v/>
      </c>
      <c r="S400" s="28">
        <f>IFERROR('Quality Portfolio'!$G$10,"")</f>
        <v>4</v>
      </c>
      <c r="T400" s="28">
        <f>IFERROR('Quality Portfolio'!$W$10,"")</f>
        <v>4</v>
      </c>
      <c r="U400" s="28">
        <f>IFERROR('Quality Portfolio'!$X$10,"")</f>
        <v>5</v>
      </c>
      <c r="V400" s="28">
        <f>IFERROR('Quality Portfolio'!$Y$10,"")</f>
        <v>5</v>
      </c>
      <c r="W400" s="7" t="s">
        <v>5819</v>
      </c>
      <c r="X400" s="7" t="s">
        <v>5820</v>
      </c>
      <c r="Y400" s="7" t="s">
        <v>5864</v>
      </c>
      <c r="Z400" s="7">
        <f>IFERROR('Quality Portfolio'!$U$10,"")</f>
        <v>0</v>
      </c>
      <c r="AA400" s="7"/>
      <c r="AB400" s="29"/>
      <c r="AC400" s="7"/>
      <c r="AD400" s="48" t="str">
        <f>IF($B400="Yes",IFERROR(SUMIFS(_TECH_Crisis_Model!$D$5:$D$191,_TECH_Crisis_Model!$A$5:$A$191,'Crisis Simulator'!$B$4,_TECH_Crisis_Model!$B$5:$B$191,$C400),1),"")</f>
        <v/>
      </c>
      <c r="AE400" s="48" t="str">
        <f t="shared" si="68"/>
        <v/>
      </c>
      <c r="AF400" s="48" t="str">
        <f>IFERROR(INDEX(_TECH_Crisis_Model!$E$5:$E$191,MATCH('Crisis Simulator'!$B$4&amp;"|"&amp;$C400,_TECH_Crisis_Model!$I$5:$I$191,0)),"")</f>
        <v>Portfolio discipline and benefits realization determine whether scarce resources are focused on the right actions.</v>
      </c>
      <c r="AG400" s="48" t="str">
        <f>IFERROR(INDEX(_TECH_Crisis_Model!$G$5:$G$191,MATCH('Crisis Simulator'!$B$4&amp;"|"&amp;$C400,_TECH_Crisis_Model!$I$5:$I$191,0)),"")</f>
        <v>Prioritize crisis initiatives by value, risk reduction, dependencies and implementation waves.</v>
      </c>
      <c r="AH400" s="48" t="str">
        <f>IFERROR(INDEX(_TECH_Initiative_Library!$A$5:$A$76,MATCH(1,INDEX((_TECH_Initiative_Library!$B$5:$B$76=$C400)*(_TECH_Initiative_Library!$C$5:$C$76=$D400),0),0)),"")</f>
        <v>INI-070</v>
      </c>
      <c r="AI400" s="48" t="str">
        <f>IFERROR(INDEX(_TECH_Initiative_Library!$F$5:$F$76,MATCH(1,INDEX((_TECH_Initiative_Library!$B$5:$B$76=$C400)*(_TECH_Initiative_Library!$C$5:$C$76=$D400),0),0)),"")</f>
        <v>Strengthen quality management and audit readiness</v>
      </c>
      <c r="AJ400" s="48" t="str">
        <f ca="1">IFERROR(INDEX(_TECH_Initiative_Library!$AC$5:$AC$76,MATCH(1,INDEX((_TECH_Initiative_Library!$B$5:$B$76=$C400)*(_TECH_Initiative_Library!$C$5:$C$76=$D400),0),0)),"")</f>
        <v/>
      </c>
      <c r="AK400" s="48" t="str">
        <f ca="1">IFERROR(INDEX(_TECH_Initiative_Library!$AE$5:$AE$76,MATCH(1,INDEX((_TECH_Initiative_Library!$B$5:$B$76=$C400)*(_TECH_Initiative_Library!$C$5:$C$76=$D400),0),0)),"")</f>
        <v/>
      </c>
      <c r="AL400" s="48" t="str">
        <f>IF($B400="Yes",IFERROR(SUMIFS(_TECH_Industry_Templates!$E:$E,_TECH_Industry_Templates!$A:$A,'Company Profile'!$B$9,_TECH_Industry_Templates!$B:$B,$C400),1),"")</f>
        <v/>
      </c>
      <c r="AM400" s="48" t="str">
        <f t="shared" si="69"/>
        <v/>
      </c>
      <c r="AN400" s="48" t="str">
        <f>IF($AM400="","",RANK.EQ($AM400,$AM$8:$AM$414,0)+COUNTIF($AM$8:$AM400,$AM400)-1)</f>
        <v/>
      </c>
    </row>
    <row r="401" spans="1:40" ht="71.25">
      <c r="A401" s="28" t="str">
        <f>IF($AM401="","",RANK.EQ($AM401,$AM$8:$AM$414,0)+COUNTIF($AM$8:$AM401,$AM401)-1)</f>
        <v/>
      </c>
      <c r="B401" s="7" t="str">
        <f t="shared" si="60"/>
        <v/>
      </c>
      <c r="C401" s="7" t="s">
        <v>94</v>
      </c>
      <c r="D401" s="7" t="s">
        <v>1647</v>
      </c>
      <c r="E401" s="7" t="s">
        <v>5872</v>
      </c>
      <c r="F401" s="7" t="s">
        <v>5873</v>
      </c>
      <c r="G401" s="28" t="str">
        <f>IF(OR(COUNTA('Quality Portfolio'!$H$11)=0,'Quality Portfolio'!$H$11="N/A"),"",VALUE('Quality Portfolio'!$H$11))</f>
        <v/>
      </c>
      <c r="H401" s="7" t="str">
        <f t="shared" si="61"/>
        <v/>
      </c>
      <c r="I401" s="7" t="str">
        <f>IF($G401="","",IFERROR(IF('Quality Portfolio'!$L$11="",IF($G401&lt;=1,"Critical",IF($G401=2,"High",IF($G401=3,"Medium",IF($G401=4,"Low","Optimized")))),'Quality Portfolio'!$L$11),IF($G401&lt;=1,"Critical",IF($G401=2,"High",IF($G401=3,"Medium",IF($G401=4,"Low","Optimized"))))))</f>
        <v/>
      </c>
      <c r="J401" s="7" t="str">
        <f>IF($G401="","",IFERROR(INDEX('Recommendation Matrix'!$E$5:$J$411,MATCH($E401,'Recommendation Matrix'!$A$5:$A$411,0),$G401+1),""))</f>
        <v/>
      </c>
      <c r="K401" s="7" t="str">
        <f>IF($G401="","",IFERROR(VLOOKUP($E401,'Recommendation Matrix'!$A$5:$K$411,11,FALSE),""))</f>
        <v/>
      </c>
      <c r="L401" s="28" t="str">
        <f t="shared" si="62"/>
        <v/>
      </c>
      <c r="M401" s="28" t="str">
        <f>IF($G401="","",IFERROR(INDEX('Recommendation Matrix'!$L$5:$Q$411,MATCH($E401,'Recommendation Matrix'!$A$5:$A$411,0),$G401+1),""))</f>
        <v/>
      </c>
      <c r="N401" s="28" t="str">
        <f t="shared" si="63"/>
        <v/>
      </c>
      <c r="O401" s="28" t="str">
        <f t="shared" si="64"/>
        <v/>
      </c>
      <c r="P401" s="28" t="str">
        <f t="shared" si="65"/>
        <v/>
      </c>
      <c r="Q401" s="28" t="str">
        <f t="shared" si="66"/>
        <v/>
      </c>
      <c r="R401" s="8" t="str">
        <f t="shared" si="67"/>
        <v/>
      </c>
      <c r="S401" s="28">
        <f>IFERROR('Quality Portfolio'!$G$11,"")</f>
        <v>3</v>
      </c>
      <c r="T401" s="28">
        <f>IFERROR('Quality Portfolio'!$W$11,"")</f>
        <v>4</v>
      </c>
      <c r="U401" s="28">
        <f>IFERROR('Quality Portfolio'!$X$11,"")</f>
        <v>5</v>
      </c>
      <c r="V401" s="28">
        <f>IFERROR('Quality Portfolio'!$Y$11,"")</f>
        <v>5</v>
      </c>
      <c r="W401" s="7" t="s">
        <v>5819</v>
      </c>
      <c r="X401" s="7" t="s">
        <v>5820</v>
      </c>
      <c r="Y401" s="7" t="s">
        <v>5874</v>
      </c>
      <c r="Z401" s="7">
        <f>IFERROR('Quality Portfolio'!$U$11,"")</f>
        <v>0</v>
      </c>
      <c r="AA401" s="7"/>
      <c r="AB401" s="29"/>
      <c r="AC401" s="7"/>
      <c r="AD401" s="48" t="str">
        <f>IF($B401="Yes",IFERROR(SUMIFS(_TECH_Crisis_Model!$D$5:$D$191,_TECH_Crisis_Model!$A$5:$A$191,'Crisis Simulator'!$B$4,_TECH_Crisis_Model!$B$5:$B$191,$C401),1),"")</f>
        <v/>
      </c>
      <c r="AE401" s="48" t="str">
        <f t="shared" si="68"/>
        <v/>
      </c>
      <c r="AF401" s="48" t="str">
        <f>IFERROR(INDEX(_TECH_Crisis_Model!$E$5:$E$191,MATCH('Crisis Simulator'!$B$4&amp;"|"&amp;$C401,_TECH_Crisis_Model!$I$5:$I$191,0)),"")</f>
        <v>Portfolio discipline and benefits realization determine whether scarce resources are focused on the right actions.</v>
      </c>
      <c r="AG401" s="48" t="str">
        <f>IFERROR(INDEX(_TECH_Crisis_Model!$G$5:$G$191,MATCH('Crisis Simulator'!$B$4&amp;"|"&amp;$C401,_TECH_Crisis_Model!$I$5:$I$191,0)),"")</f>
        <v>Prioritize crisis initiatives by value, risk reduction, dependencies and implementation waves.</v>
      </c>
      <c r="AH401" s="48" t="str">
        <f>IFERROR(INDEX(_TECH_Initiative_Library!$A$5:$A$76,MATCH(1,INDEX((_TECH_Initiative_Library!$B$5:$B$76=$C401)*(_TECH_Initiative_Library!$C$5:$C$76=$D401),0),0)),"")</f>
        <v>INI-070</v>
      </c>
      <c r="AI401" s="48" t="str">
        <f>IFERROR(INDEX(_TECH_Initiative_Library!$F$5:$F$76,MATCH(1,INDEX((_TECH_Initiative_Library!$B$5:$B$76=$C401)*(_TECH_Initiative_Library!$C$5:$C$76=$D401),0),0)),"")</f>
        <v>Strengthen quality management and audit readiness</v>
      </c>
      <c r="AJ401" s="48" t="str">
        <f ca="1">IFERROR(INDEX(_TECH_Initiative_Library!$AC$5:$AC$76,MATCH(1,INDEX((_TECH_Initiative_Library!$B$5:$B$76=$C401)*(_TECH_Initiative_Library!$C$5:$C$76=$D401),0),0)),"")</f>
        <v/>
      </c>
      <c r="AK401" s="48" t="str">
        <f ca="1">IFERROR(INDEX(_TECH_Initiative_Library!$AE$5:$AE$76,MATCH(1,INDEX((_TECH_Initiative_Library!$B$5:$B$76=$C401)*(_TECH_Initiative_Library!$C$5:$C$76=$D401),0),0)),"")</f>
        <v/>
      </c>
      <c r="AL401" s="48" t="str">
        <f>IF($B401="Yes",IFERROR(SUMIFS(_TECH_Industry_Templates!$E:$E,_TECH_Industry_Templates!$A:$A,'Company Profile'!$B$9,_TECH_Industry_Templates!$B:$B,$C401),1),"")</f>
        <v/>
      </c>
      <c r="AM401" s="48" t="str">
        <f t="shared" si="69"/>
        <v/>
      </c>
      <c r="AN401" s="48" t="str">
        <f>IF($AM401="","",RANK.EQ($AM401,$AM$8:$AM$414,0)+COUNTIF($AM$8:$AM401,$AM401)-1)</f>
        <v/>
      </c>
    </row>
    <row r="402" spans="1:40" ht="71.25">
      <c r="A402" s="28" t="str">
        <f>IF($AM402="","",RANK.EQ($AM402,$AM$8:$AM$414,0)+COUNTIF($AM$8:$AM402,$AM402)-1)</f>
        <v/>
      </c>
      <c r="B402" s="7" t="str">
        <f t="shared" si="60"/>
        <v/>
      </c>
      <c r="C402" s="7" t="s">
        <v>94</v>
      </c>
      <c r="D402" s="7" t="s">
        <v>1647</v>
      </c>
      <c r="E402" s="7" t="s">
        <v>5882</v>
      </c>
      <c r="F402" s="7" t="s">
        <v>5883</v>
      </c>
      <c r="G402" s="28" t="str">
        <f>IF(OR(COUNTA('Quality Portfolio'!$H$12)=0,'Quality Portfolio'!$H$12="N/A"),"",VALUE('Quality Portfolio'!$H$12))</f>
        <v/>
      </c>
      <c r="H402" s="7" t="str">
        <f t="shared" si="61"/>
        <v/>
      </c>
      <c r="I402" s="7" t="str">
        <f>IF($G402="","",IFERROR(IF('Quality Portfolio'!$L$12="",IF($G402&lt;=1,"Critical",IF($G402=2,"High",IF($G402=3,"Medium",IF($G402=4,"Low","Optimized")))),'Quality Portfolio'!$L$12),IF($G402&lt;=1,"Critical",IF($G402=2,"High",IF($G402=3,"Medium",IF($G402=4,"Low","Optimized"))))))</f>
        <v/>
      </c>
      <c r="J402" s="7" t="str">
        <f>IF($G402="","",IFERROR(INDEX('Recommendation Matrix'!$E$5:$J$411,MATCH($E402,'Recommendation Matrix'!$A$5:$A$411,0),$G402+1),""))</f>
        <v/>
      </c>
      <c r="K402" s="7" t="str">
        <f>IF($G402="","",IFERROR(VLOOKUP($E402,'Recommendation Matrix'!$A$5:$K$411,11,FALSE),""))</f>
        <v/>
      </c>
      <c r="L402" s="28" t="str">
        <f t="shared" si="62"/>
        <v/>
      </c>
      <c r="M402" s="28" t="str">
        <f>IF($G402="","",IFERROR(INDEX('Recommendation Matrix'!$L$5:$Q$411,MATCH($E402,'Recommendation Matrix'!$A$5:$A$411,0),$G402+1),""))</f>
        <v/>
      </c>
      <c r="N402" s="28" t="str">
        <f t="shared" si="63"/>
        <v/>
      </c>
      <c r="O402" s="28" t="str">
        <f t="shared" si="64"/>
        <v/>
      </c>
      <c r="P402" s="28" t="str">
        <f t="shared" si="65"/>
        <v/>
      </c>
      <c r="Q402" s="28" t="str">
        <f t="shared" si="66"/>
        <v/>
      </c>
      <c r="R402" s="8" t="str">
        <f t="shared" si="67"/>
        <v/>
      </c>
      <c r="S402" s="28">
        <f>IFERROR('Quality Portfolio'!$G$12,"")</f>
        <v>5</v>
      </c>
      <c r="T402" s="28">
        <f>IFERROR('Quality Portfolio'!$W$12,"")</f>
        <v>4</v>
      </c>
      <c r="U402" s="28">
        <f>IFERROR('Quality Portfolio'!$X$12,"")</f>
        <v>5</v>
      </c>
      <c r="V402" s="28">
        <f>IFERROR('Quality Portfolio'!$Y$12,"")</f>
        <v>5</v>
      </c>
      <c r="W402" s="7" t="s">
        <v>5819</v>
      </c>
      <c r="X402" s="7" t="s">
        <v>5820</v>
      </c>
      <c r="Y402" s="7" t="s">
        <v>5884</v>
      </c>
      <c r="Z402" s="7">
        <f>IFERROR('Quality Portfolio'!$U$12,"")</f>
        <v>0</v>
      </c>
      <c r="AA402" s="7"/>
      <c r="AB402" s="29"/>
      <c r="AC402" s="7"/>
      <c r="AD402" s="48" t="str">
        <f>IF($B402="Yes",IFERROR(SUMIFS(_TECH_Crisis_Model!$D$5:$D$191,_TECH_Crisis_Model!$A$5:$A$191,'Crisis Simulator'!$B$4,_TECH_Crisis_Model!$B$5:$B$191,$C402),1),"")</f>
        <v/>
      </c>
      <c r="AE402" s="48" t="str">
        <f t="shared" si="68"/>
        <v/>
      </c>
      <c r="AF402" s="48" t="str">
        <f>IFERROR(INDEX(_TECH_Crisis_Model!$E$5:$E$191,MATCH('Crisis Simulator'!$B$4&amp;"|"&amp;$C402,_TECH_Crisis_Model!$I$5:$I$191,0)),"")</f>
        <v>Portfolio discipline and benefits realization determine whether scarce resources are focused on the right actions.</v>
      </c>
      <c r="AG402" s="48" t="str">
        <f>IFERROR(INDEX(_TECH_Crisis_Model!$G$5:$G$191,MATCH('Crisis Simulator'!$B$4&amp;"|"&amp;$C402,_TECH_Crisis_Model!$I$5:$I$191,0)),"")</f>
        <v>Prioritize crisis initiatives by value, risk reduction, dependencies and implementation waves.</v>
      </c>
      <c r="AH402" s="48" t="str">
        <f>IFERROR(INDEX(_TECH_Initiative_Library!$A$5:$A$76,MATCH(1,INDEX((_TECH_Initiative_Library!$B$5:$B$76=$C402)*(_TECH_Initiative_Library!$C$5:$C$76=$D402),0),0)),"")</f>
        <v>INI-070</v>
      </c>
      <c r="AI402" s="48" t="str">
        <f>IFERROR(INDEX(_TECH_Initiative_Library!$F$5:$F$76,MATCH(1,INDEX((_TECH_Initiative_Library!$B$5:$B$76=$C402)*(_TECH_Initiative_Library!$C$5:$C$76=$D402),0),0)),"")</f>
        <v>Strengthen quality management and audit readiness</v>
      </c>
      <c r="AJ402" s="48" t="str">
        <f ca="1">IFERROR(INDEX(_TECH_Initiative_Library!$AC$5:$AC$76,MATCH(1,INDEX((_TECH_Initiative_Library!$B$5:$B$76=$C402)*(_TECH_Initiative_Library!$C$5:$C$76=$D402),0),0)),"")</f>
        <v/>
      </c>
      <c r="AK402" s="48" t="str">
        <f ca="1">IFERROR(INDEX(_TECH_Initiative_Library!$AE$5:$AE$76,MATCH(1,INDEX((_TECH_Initiative_Library!$B$5:$B$76=$C402)*(_TECH_Initiative_Library!$C$5:$C$76=$D402),0),0)),"")</f>
        <v/>
      </c>
      <c r="AL402" s="48" t="str">
        <f>IF($B402="Yes",IFERROR(SUMIFS(_TECH_Industry_Templates!$E:$E,_TECH_Industry_Templates!$A:$A,'Company Profile'!$B$9,_TECH_Industry_Templates!$B:$B,$C402),1),"")</f>
        <v/>
      </c>
      <c r="AM402" s="48" t="str">
        <f t="shared" si="69"/>
        <v/>
      </c>
      <c r="AN402" s="48" t="str">
        <f>IF($AM402="","",RANK.EQ($AM402,$AM$8:$AM$414,0)+COUNTIF($AM$8:$AM402,$AM402)-1)</f>
        <v/>
      </c>
    </row>
    <row r="403" spans="1:40" ht="57">
      <c r="A403" s="28" t="str">
        <f>IF($AM403="","",RANK.EQ($AM403,$AM$8:$AM$414,0)+COUNTIF($AM$8:$AM403,$AM403)-1)</f>
        <v/>
      </c>
      <c r="B403" s="7" t="str">
        <f t="shared" si="60"/>
        <v/>
      </c>
      <c r="C403" s="7" t="s">
        <v>94</v>
      </c>
      <c r="D403" s="7" t="s">
        <v>1647</v>
      </c>
      <c r="E403" s="7" t="s">
        <v>5892</v>
      </c>
      <c r="F403" s="7" t="s">
        <v>5893</v>
      </c>
      <c r="G403" s="28" t="str">
        <f>IF(OR(COUNTA('Quality Portfolio'!$H$13)=0,'Quality Portfolio'!$H$13="N/A"),"",VALUE('Quality Portfolio'!$H$13))</f>
        <v/>
      </c>
      <c r="H403" s="7" t="str">
        <f t="shared" si="61"/>
        <v/>
      </c>
      <c r="I403" s="7" t="str">
        <f>IF($G403="","",IFERROR(IF('Quality Portfolio'!$L$13="",IF($G403&lt;=1,"Critical",IF($G403=2,"High",IF($G403=3,"Medium",IF($G403=4,"Low","Optimized")))),'Quality Portfolio'!$L$13),IF($G403&lt;=1,"Critical",IF($G403=2,"High",IF($G403=3,"Medium",IF($G403=4,"Low","Optimized"))))))</f>
        <v/>
      </c>
      <c r="J403" s="7" t="str">
        <f>IF($G403="","",IFERROR(INDEX('Recommendation Matrix'!$E$5:$J$411,MATCH($E403,'Recommendation Matrix'!$A$5:$A$411,0),$G403+1),""))</f>
        <v/>
      </c>
      <c r="K403" s="7" t="str">
        <f>IF($G403="","",IFERROR(VLOOKUP($E403,'Recommendation Matrix'!$A$5:$K$411,11,FALSE),""))</f>
        <v/>
      </c>
      <c r="L403" s="28" t="str">
        <f t="shared" si="62"/>
        <v/>
      </c>
      <c r="M403" s="28" t="str">
        <f>IF($G403="","",IFERROR(INDEX('Recommendation Matrix'!$L$5:$Q$411,MATCH($E403,'Recommendation Matrix'!$A$5:$A$411,0),$G403+1),""))</f>
        <v/>
      </c>
      <c r="N403" s="28" t="str">
        <f t="shared" si="63"/>
        <v/>
      </c>
      <c r="O403" s="28" t="str">
        <f t="shared" si="64"/>
        <v/>
      </c>
      <c r="P403" s="28" t="str">
        <f t="shared" si="65"/>
        <v/>
      </c>
      <c r="Q403" s="28" t="str">
        <f t="shared" si="66"/>
        <v/>
      </c>
      <c r="R403" s="8" t="str">
        <f t="shared" si="67"/>
        <v/>
      </c>
      <c r="S403" s="28">
        <f>IFERROR('Quality Portfolio'!$G$13,"")</f>
        <v>3</v>
      </c>
      <c r="T403" s="28">
        <f>IFERROR('Quality Portfolio'!$W$13,"")</f>
        <v>4</v>
      </c>
      <c r="U403" s="28">
        <f>IFERROR('Quality Portfolio'!$X$13,"")</f>
        <v>5</v>
      </c>
      <c r="V403" s="28">
        <f>IFERROR('Quality Portfolio'!$Y$13,"")</f>
        <v>5</v>
      </c>
      <c r="W403" s="7" t="s">
        <v>5819</v>
      </c>
      <c r="X403" s="7" t="s">
        <v>5820</v>
      </c>
      <c r="Y403" s="7" t="s">
        <v>5894</v>
      </c>
      <c r="Z403" s="7">
        <f>IFERROR('Quality Portfolio'!$U$13,"")</f>
        <v>0</v>
      </c>
      <c r="AA403" s="7"/>
      <c r="AB403" s="29"/>
      <c r="AC403" s="7"/>
      <c r="AD403" s="48" t="str">
        <f>IF($B403="Yes",IFERROR(SUMIFS(_TECH_Crisis_Model!$D$5:$D$191,_TECH_Crisis_Model!$A$5:$A$191,'Crisis Simulator'!$B$4,_TECH_Crisis_Model!$B$5:$B$191,$C403),1),"")</f>
        <v/>
      </c>
      <c r="AE403" s="48" t="str">
        <f t="shared" si="68"/>
        <v/>
      </c>
      <c r="AF403" s="48" t="str">
        <f>IFERROR(INDEX(_TECH_Crisis_Model!$E$5:$E$191,MATCH('Crisis Simulator'!$B$4&amp;"|"&amp;$C403,_TECH_Crisis_Model!$I$5:$I$191,0)),"")</f>
        <v>Portfolio discipline and benefits realization determine whether scarce resources are focused on the right actions.</v>
      </c>
      <c r="AG403" s="48" t="str">
        <f>IFERROR(INDEX(_TECH_Crisis_Model!$G$5:$G$191,MATCH('Crisis Simulator'!$B$4&amp;"|"&amp;$C403,_TECH_Crisis_Model!$I$5:$I$191,0)),"")</f>
        <v>Prioritize crisis initiatives by value, risk reduction, dependencies and implementation waves.</v>
      </c>
      <c r="AH403" s="48" t="str">
        <f>IFERROR(INDEX(_TECH_Initiative_Library!$A$5:$A$76,MATCH(1,INDEX((_TECH_Initiative_Library!$B$5:$B$76=$C403)*(_TECH_Initiative_Library!$C$5:$C$76=$D403),0),0)),"")</f>
        <v>INI-070</v>
      </c>
      <c r="AI403" s="48" t="str">
        <f>IFERROR(INDEX(_TECH_Initiative_Library!$F$5:$F$76,MATCH(1,INDEX((_TECH_Initiative_Library!$B$5:$B$76=$C403)*(_TECH_Initiative_Library!$C$5:$C$76=$D403),0),0)),"")</f>
        <v>Strengthen quality management and audit readiness</v>
      </c>
      <c r="AJ403" s="48" t="str">
        <f ca="1">IFERROR(INDEX(_TECH_Initiative_Library!$AC$5:$AC$76,MATCH(1,INDEX((_TECH_Initiative_Library!$B$5:$B$76=$C403)*(_TECH_Initiative_Library!$C$5:$C$76=$D403),0),0)),"")</f>
        <v/>
      </c>
      <c r="AK403" s="48" t="str">
        <f ca="1">IFERROR(INDEX(_TECH_Initiative_Library!$AE$5:$AE$76,MATCH(1,INDEX((_TECH_Initiative_Library!$B$5:$B$76=$C403)*(_TECH_Initiative_Library!$C$5:$C$76=$D403),0),0)),"")</f>
        <v/>
      </c>
      <c r="AL403" s="48" t="str">
        <f>IF($B403="Yes",IFERROR(SUMIFS(_TECH_Industry_Templates!$E:$E,_TECH_Industry_Templates!$A:$A,'Company Profile'!$B$9,_TECH_Industry_Templates!$B:$B,$C403),1),"")</f>
        <v/>
      </c>
      <c r="AM403" s="48" t="str">
        <f t="shared" si="69"/>
        <v/>
      </c>
      <c r="AN403" s="48" t="str">
        <f>IF($AM403="","",RANK.EQ($AM403,$AM$8:$AM$414,0)+COUNTIF($AM$8:$AM403,$AM403)-1)</f>
        <v/>
      </c>
    </row>
    <row r="404" spans="1:40" ht="57">
      <c r="A404" s="28" t="str">
        <f>IF($AM404="","",RANK.EQ($AM404,$AM$8:$AM$414,0)+COUNTIF($AM$8:$AM404,$AM404)-1)</f>
        <v/>
      </c>
      <c r="B404" s="7" t="str">
        <f t="shared" si="60"/>
        <v/>
      </c>
      <c r="C404" s="7" t="s">
        <v>94</v>
      </c>
      <c r="D404" s="7" t="s">
        <v>1647</v>
      </c>
      <c r="E404" s="7" t="s">
        <v>5902</v>
      </c>
      <c r="F404" s="7" t="s">
        <v>5903</v>
      </c>
      <c r="G404" s="28" t="str">
        <f>IF(OR(COUNTA('Quality Portfolio'!$H$14)=0,'Quality Portfolio'!$H$14="N/A"),"",VALUE('Quality Portfolio'!$H$14))</f>
        <v/>
      </c>
      <c r="H404" s="7" t="str">
        <f t="shared" si="61"/>
        <v/>
      </c>
      <c r="I404" s="7" t="str">
        <f>IF($G404="","",IFERROR(IF('Quality Portfolio'!$L$14="",IF($G404&lt;=1,"Critical",IF($G404=2,"High",IF($G404=3,"Medium",IF($G404=4,"Low","Optimized")))),'Quality Portfolio'!$L$14),IF($G404&lt;=1,"Critical",IF($G404=2,"High",IF($G404=3,"Medium",IF($G404=4,"Low","Optimized"))))))</f>
        <v/>
      </c>
      <c r="J404" s="7" t="str">
        <f>IF($G404="","",IFERROR(INDEX('Recommendation Matrix'!$E$5:$J$411,MATCH($E404,'Recommendation Matrix'!$A$5:$A$411,0),$G404+1),""))</f>
        <v/>
      </c>
      <c r="K404" s="7" t="str">
        <f>IF($G404="","",IFERROR(VLOOKUP($E404,'Recommendation Matrix'!$A$5:$K$411,11,FALSE),""))</f>
        <v/>
      </c>
      <c r="L404" s="28" t="str">
        <f t="shared" si="62"/>
        <v/>
      </c>
      <c r="M404" s="28" t="str">
        <f>IF($G404="","",IFERROR(INDEX('Recommendation Matrix'!$L$5:$Q$411,MATCH($E404,'Recommendation Matrix'!$A$5:$A$411,0),$G404+1),""))</f>
        <v/>
      </c>
      <c r="N404" s="28" t="str">
        <f t="shared" si="63"/>
        <v/>
      </c>
      <c r="O404" s="28" t="str">
        <f t="shared" si="64"/>
        <v/>
      </c>
      <c r="P404" s="28" t="str">
        <f t="shared" si="65"/>
        <v/>
      </c>
      <c r="Q404" s="28" t="str">
        <f t="shared" si="66"/>
        <v/>
      </c>
      <c r="R404" s="8" t="str">
        <f t="shared" si="67"/>
        <v/>
      </c>
      <c r="S404" s="28">
        <f>IFERROR('Quality Portfolio'!$G$14,"")</f>
        <v>4</v>
      </c>
      <c r="T404" s="28">
        <f>IFERROR('Quality Portfolio'!$W$14,"")</f>
        <v>4</v>
      </c>
      <c r="U404" s="28">
        <f>IFERROR('Quality Portfolio'!$X$14,"")</f>
        <v>5</v>
      </c>
      <c r="V404" s="28">
        <f>IFERROR('Quality Portfolio'!$Y$14,"")</f>
        <v>5</v>
      </c>
      <c r="W404" s="7" t="s">
        <v>5819</v>
      </c>
      <c r="X404" s="7" t="s">
        <v>5820</v>
      </c>
      <c r="Y404" s="7" t="s">
        <v>5904</v>
      </c>
      <c r="Z404" s="7">
        <f>IFERROR('Quality Portfolio'!$U$14,"")</f>
        <v>0</v>
      </c>
      <c r="AA404" s="7"/>
      <c r="AB404" s="29"/>
      <c r="AC404" s="7"/>
      <c r="AD404" s="48" t="str">
        <f>IF($B404="Yes",IFERROR(SUMIFS(_TECH_Crisis_Model!$D$5:$D$191,_TECH_Crisis_Model!$A$5:$A$191,'Crisis Simulator'!$B$4,_TECH_Crisis_Model!$B$5:$B$191,$C404),1),"")</f>
        <v/>
      </c>
      <c r="AE404" s="48" t="str">
        <f t="shared" si="68"/>
        <v/>
      </c>
      <c r="AF404" s="48" t="str">
        <f>IFERROR(INDEX(_TECH_Crisis_Model!$E$5:$E$191,MATCH('Crisis Simulator'!$B$4&amp;"|"&amp;$C404,_TECH_Crisis_Model!$I$5:$I$191,0)),"")</f>
        <v>Portfolio discipline and benefits realization determine whether scarce resources are focused on the right actions.</v>
      </c>
      <c r="AG404" s="48" t="str">
        <f>IFERROR(INDEX(_TECH_Crisis_Model!$G$5:$G$191,MATCH('Crisis Simulator'!$B$4&amp;"|"&amp;$C404,_TECH_Crisis_Model!$I$5:$I$191,0)),"")</f>
        <v>Prioritize crisis initiatives by value, risk reduction, dependencies and implementation waves.</v>
      </c>
      <c r="AH404" s="48" t="str">
        <f>IFERROR(INDEX(_TECH_Initiative_Library!$A$5:$A$76,MATCH(1,INDEX((_TECH_Initiative_Library!$B$5:$B$76=$C404)*(_TECH_Initiative_Library!$C$5:$C$76=$D404),0),0)),"")</f>
        <v>INI-070</v>
      </c>
      <c r="AI404" s="48" t="str">
        <f>IFERROR(INDEX(_TECH_Initiative_Library!$F$5:$F$76,MATCH(1,INDEX((_TECH_Initiative_Library!$B$5:$B$76=$C404)*(_TECH_Initiative_Library!$C$5:$C$76=$D404),0),0)),"")</f>
        <v>Strengthen quality management and audit readiness</v>
      </c>
      <c r="AJ404" s="48" t="str">
        <f ca="1">IFERROR(INDEX(_TECH_Initiative_Library!$AC$5:$AC$76,MATCH(1,INDEX((_TECH_Initiative_Library!$B$5:$B$76=$C404)*(_TECH_Initiative_Library!$C$5:$C$76=$D404),0),0)),"")</f>
        <v/>
      </c>
      <c r="AK404" s="48" t="str">
        <f ca="1">IFERROR(INDEX(_TECH_Initiative_Library!$AE$5:$AE$76,MATCH(1,INDEX((_TECH_Initiative_Library!$B$5:$B$76=$C404)*(_TECH_Initiative_Library!$C$5:$C$76=$D404),0),0)),"")</f>
        <v/>
      </c>
      <c r="AL404" s="48" t="str">
        <f>IF($B404="Yes",IFERROR(SUMIFS(_TECH_Industry_Templates!$E:$E,_TECH_Industry_Templates!$A:$A,'Company Profile'!$B$9,_TECH_Industry_Templates!$B:$B,$C404),1),"")</f>
        <v/>
      </c>
      <c r="AM404" s="48" t="str">
        <f t="shared" si="69"/>
        <v/>
      </c>
      <c r="AN404" s="48" t="str">
        <f>IF($AM404="","",RANK.EQ($AM404,$AM$8:$AM$414,0)+COUNTIF($AM$8:$AM404,$AM404)-1)</f>
        <v/>
      </c>
    </row>
    <row r="405" spans="1:40" ht="71.25">
      <c r="A405" s="28" t="str">
        <f>IF($AM405="","",RANK.EQ($AM405,$AM$8:$AM$414,0)+COUNTIF($AM$8:$AM405,$AM405)-1)</f>
        <v/>
      </c>
      <c r="B405" s="7" t="str">
        <f t="shared" si="60"/>
        <v/>
      </c>
      <c r="C405" s="7" t="s">
        <v>94</v>
      </c>
      <c r="D405" s="7" t="s">
        <v>1655</v>
      </c>
      <c r="E405" s="7" t="s">
        <v>5912</v>
      </c>
      <c r="F405" s="7" t="s">
        <v>5913</v>
      </c>
      <c r="G405" s="28" t="str">
        <f>IF(OR(COUNTA('Quality Portfolio'!$H$15)=0,'Quality Portfolio'!$H$15="N/A"),"",VALUE('Quality Portfolio'!$H$15))</f>
        <v/>
      </c>
      <c r="H405" s="7" t="str">
        <f t="shared" si="61"/>
        <v/>
      </c>
      <c r="I405" s="7" t="str">
        <f>IF($G405="","",IFERROR(IF('Quality Portfolio'!$L$15="",IF($G405&lt;=1,"Critical",IF($G405=2,"High",IF($G405=3,"Medium",IF($G405=4,"Low","Optimized")))),'Quality Portfolio'!$L$15),IF($G405&lt;=1,"Critical",IF($G405=2,"High",IF($G405=3,"Medium",IF($G405=4,"Low","Optimized"))))))</f>
        <v/>
      </c>
      <c r="J405" s="7" t="str">
        <f>IF($G405="","",IFERROR(INDEX('Recommendation Matrix'!$E$5:$J$411,MATCH($E405,'Recommendation Matrix'!$A$5:$A$411,0),$G405+1),""))</f>
        <v/>
      </c>
      <c r="K405" s="7" t="str">
        <f>IF($G405="","",IFERROR(VLOOKUP($E405,'Recommendation Matrix'!$A$5:$K$411,11,FALSE),""))</f>
        <v/>
      </c>
      <c r="L405" s="28" t="str">
        <f t="shared" si="62"/>
        <v/>
      </c>
      <c r="M405" s="28" t="str">
        <f>IF($G405="","",IFERROR(INDEX('Recommendation Matrix'!$L$5:$Q$411,MATCH($E405,'Recommendation Matrix'!$A$5:$A$411,0),$G405+1),""))</f>
        <v/>
      </c>
      <c r="N405" s="28" t="str">
        <f t="shared" si="63"/>
        <v/>
      </c>
      <c r="O405" s="28" t="str">
        <f t="shared" si="64"/>
        <v/>
      </c>
      <c r="P405" s="28" t="str">
        <f t="shared" si="65"/>
        <v/>
      </c>
      <c r="Q405" s="28" t="str">
        <f t="shared" si="66"/>
        <v/>
      </c>
      <c r="R405" s="8" t="str">
        <f t="shared" si="67"/>
        <v/>
      </c>
      <c r="S405" s="28">
        <f>IFERROR('Quality Portfolio'!$G$15,"")</f>
        <v>4</v>
      </c>
      <c r="T405" s="28">
        <f>IFERROR('Quality Portfolio'!$W$15,"")</f>
        <v>4</v>
      </c>
      <c r="U405" s="28">
        <f>IFERROR('Quality Portfolio'!$X$15,"")</f>
        <v>5</v>
      </c>
      <c r="V405" s="28">
        <f>IFERROR('Quality Portfolio'!$Y$15,"")</f>
        <v>5</v>
      </c>
      <c r="W405" s="7" t="s">
        <v>5819</v>
      </c>
      <c r="X405" s="7" t="s">
        <v>5820</v>
      </c>
      <c r="Y405" s="7" t="s">
        <v>5914</v>
      </c>
      <c r="Z405" s="7">
        <f>IFERROR('Quality Portfolio'!$U$15,"")</f>
        <v>0</v>
      </c>
      <c r="AA405" s="7"/>
      <c r="AB405" s="29"/>
      <c r="AC405" s="7"/>
      <c r="AD405" s="48" t="str">
        <f>IF($B405="Yes",IFERROR(SUMIFS(_TECH_Crisis_Model!$D$5:$D$191,_TECH_Crisis_Model!$A$5:$A$191,'Crisis Simulator'!$B$4,_TECH_Crisis_Model!$B$5:$B$191,$C405),1),"")</f>
        <v/>
      </c>
      <c r="AE405" s="48" t="str">
        <f t="shared" si="68"/>
        <v/>
      </c>
      <c r="AF405" s="48" t="str">
        <f>IFERROR(INDEX(_TECH_Crisis_Model!$E$5:$E$191,MATCH('Crisis Simulator'!$B$4&amp;"|"&amp;$C405,_TECH_Crisis_Model!$I$5:$I$191,0)),"")</f>
        <v>Portfolio discipline and benefits realization determine whether scarce resources are focused on the right actions.</v>
      </c>
      <c r="AG405" s="48" t="str">
        <f>IFERROR(INDEX(_TECH_Crisis_Model!$G$5:$G$191,MATCH('Crisis Simulator'!$B$4&amp;"|"&amp;$C405,_TECH_Crisis_Model!$I$5:$I$191,0)),"")</f>
        <v>Prioritize crisis initiatives by value, risk reduction, dependencies and implementation waves.</v>
      </c>
      <c r="AH405" s="48" t="str">
        <f>IFERROR(INDEX(_TECH_Initiative_Library!$A$5:$A$76,MATCH(1,INDEX((_TECH_Initiative_Library!$B$5:$B$76=$C405)*(_TECH_Initiative_Library!$C$5:$C$76=$D405),0),0)),"")</f>
        <v>INI-071</v>
      </c>
      <c r="AI405" s="48" t="str">
        <f>IFERROR(INDEX(_TECH_Initiative_Library!$F$5:$F$76,MATCH(1,INDEX((_TECH_Initiative_Library!$B$5:$B$76=$C405)*(_TECH_Initiative_Library!$C$5:$C$76=$D405),0),0)),"")</f>
        <v>Implement portfolio governance, prioritization and change control</v>
      </c>
      <c r="AJ405" s="48" t="str">
        <f ca="1">IFERROR(INDEX(_TECH_Initiative_Library!$AC$5:$AC$76,MATCH(1,INDEX((_TECH_Initiative_Library!$B$5:$B$76=$C405)*(_TECH_Initiative_Library!$C$5:$C$76=$D405),0),0)),"")</f>
        <v/>
      </c>
      <c r="AK405" s="48" t="str">
        <f ca="1">IFERROR(INDEX(_TECH_Initiative_Library!$AE$5:$AE$76,MATCH(1,INDEX((_TECH_Initiative_Library!$B$5:$B$76=$C405)*(_TECH_Initiative_Library!$C$5:$C$76=$D405),0),0)),"")</f>
        <v/>
      </c>
      <c r="AL405" s="48" t="str">
        <f>IF($B405="Yes",IFERROR(SUMIFS(_TECH_Industry_Templates!$E:$E,_TECH_Industry_Templates!$A:$A,'Company Profile'!$B$9,_TECH_Industry_Templates!$B:$B,$C405),1),"")</f>
        <v/>
      </c>
      <c r="AM405" s="48" t="str">
        <f t="shared" si="69"/>
        <v/>
      </c>
      <c r="AN405" s="48" t="str">
        <f>IF($AM405="","",RANK.EQ($AM405,$AM$8:$AM$414,0)+COUNTIF($AM$8:$AM405,$AM405)-1)</f>
        <v/>
      </c>
    </row>
    <row r="406" spans="1:40" ht="71.25">
      <c r="A406" s="28" t="str">
        <f>IF($AM406="","",RANK.EQ($AM406,$AM$8:$AM$414,0)+COUNTIF($AM$8:$AM406,$AM406)-1)</f>
        <v/>
      </c>
      <c r="B406" s="7" t="str">
        <f t="shared" si="60"/>
        <v/>
      </c>
      <c r="C406" s="7" t="s">
        <v>94</v>
      </c>
      <c r="D406" s="7" t="s">
        <v>1655</v>
      </c>
      <c r="E406" s="7" t="s">
        <v>5922</v>
      </c>
      <c r="F406" s="7" t="s">
        <v>5923</v>
      </c>
      <c r="G406" s="28" t="str">
        <f>IF(OR(COUNTA('Quality Portfolio'!$H$16)=0,'Quality Portfolio'!$H$16="N/A"),"",VALUE('Quality Portfolio'!$H$16))</f>
        <v/>
      </c>
      <c r="H406" s="7" t="str">
        <f t="shared" si="61"/>
        <v/>
      </c>
      <c r="I406" s="7" t="str">
        <f>IF($G406="","",IFERROR(IF('Quality Portfolio'!$L$16="",IF($G406&lt;=1,"Critical",IF($G406=2,"High",IF($G406=3,"Medium",IF($G406=4,"Low","Optimized")))),'Quality Portfolio'!$L$16),IF($G406&lt;=1,"Critical",IF($G406=2,"High",IF($G406=3,"Medium",IF($G406=4,"Low","Optimized"))))))</f>
        <v/>
      </c>
      <c r="J406" s="7" t="str">
        <f>IF($G406="","",IFERROR(INDEX('Recommendation Matrix'!$E$5:$J$411,MATCH($E406,'Recommendation Matrix'!$A$5:$A$411,0),$G406+1),""))</f>
        <v/>
      </c>
      <c r="K406" s="7" t="str">
        <f>IF($G406="","",IFERROR(VLOOKUP($E406,'Recommendation Matrix'!$A$5:$K$411,11,FALSE),""))</f>
        <v/>
      </c>
      <c r="L406" s="28" t="str">
        <f t="shared" si="62"/>
        <v/>
      </c>
      <c r="M406" s="28" t="str">
        <f>IF($G406="","",IFERROR(INDEX('Recommendation Matrix'!$L$5:$Q$411,MATCH($E406,'Recommendation Matrix'!$A$5:$A$411,0),$G406+1),""))</f>
        <v/>
      </c>
      <c r="N406" s="28" t="str">
        <f t="shared" si="63"/>
        <v/>
      </c>
      <c r="O406" s="28" t="str">
        <f t="shared" si="64"/>
        <v/>
      </c>
      <c r="P406" s="28" t="str">
        <f t="shared" si="65"/>
        <v/>
      </c>
      <c r="Q406" s="28" t="str">
        <f t="shared" si="66"/>
        <v/>
      </c>
      <c r="R406" s="8" t="str">
        <f t="shared" si="67"/>
        <v/>
      </c>
      <c r="S406" s="28">
        <f>IFERROR('Quality Portfolio'!$G$16,"")</f>
        <v>5</v>
      </c>
      <c r="T406" s="28">
        <f>IFERROR('Quality Portfolio'!$W$16,"")</f>
        <v>4</v>
      </c>
      <c r="U406" s="28">
        <f>IFERROR('Quality Portfolio'!$X$16,"")</f>
        <v>5</v>
      </c>
      <c r="V406" s="28">
        <f>IFERROR('Quality Portfolio'!$Y$16,"")</f>
        <v>5</v>
      </c>
      <c r="W406" s="7" t="s">
        <v>5819</v>
      </c>
      <c r="X406" s="7" t="s">
        <v>5820</v>
      </c>
      <c r="Y406" s="7" t="s">
        <v>5924</v>
      </c>
      <c r="Z406" s="7">
        <f>IFERROR('Quality Portfolio'!$U$16,"")</f>
        <v>0</v>
      </c>
      <c r="AA406" s="7"/>
      <c r="AB406" s="29"/>
      <c r="AC406" s="7"/>
      <c r="AD406" s="48" t="str">
        <f>IF($B406="Yes",IFERROR(SUMIFS(_TECH_Crisis_Model!$D$5:$D$191,_TECH_Crisis_Model!$A$5:$A$191,'Crisis Simulator'!$B$4,_TECH_Crisis_Model!$B$5:$B$191,$C406),1),"")</f>
        <v/>
      </c>
      <c r="AE406" s="48" t="str">
        <f t="shared" si="68"/>
        <v/>
      </c>
      <c r="AF406" s="48" t="str">
        <f>IFERROR(INDEX(_TECH_Crisis_Model!$E$5:$E$191,MATCH('Crisis Simulator'!$B$4&amp;"|"&amp;$C406,_TECH_Crisis_Model!$I$5:$I$191,0)),"")</f>
        <v>Portfolio discipline and benefits realization determine whether scarce resources are focused on the right actions.</v>
      </c>
      <c r="AG406" s="48" t="str">
        <f>IFERROR(INDEX(_TECH_Crisis_Model!$G$5:$G$191,MATCH('Crisis Simulator'!$B$4&amp;"|"&amp;$C406,_TECH_Crisis_Model!$I$5:$I$191,0)),"")</f>
        <v>Prioritize crisis initiatives by value, risk reduction, dependencies and implementation waves.</v>
      </c>
      <c r="AH406" s="48" t="str">
        <f>IFERROR(INDEX(_TECH_Initiative_Library!$A$5:$A$76,MATCH(1,INDEX((_TECH_Initiative_Library!$B$5:$B$76=$C406)*(_TECH_Initiative_Library!$C$5:$C$76=$D406),0),0)),"")</f>
        <v>INI-071</v>
      </c>
      <c r="AI406" s="48" t="str">
        <f>IFERROR(INDEX(_TECH_Initiative_Library!$F$5:$F$76,MATCH(1,INDEX((_TECH_Initiative_Library!$B$5:$B$76=$C406)*(_TECH_Initiative_Library!$C$5:$C$76=$D406),0),0)),"")</f>
        <v>Implement portfolio governance, prioritization and change control</v>
      </c>
      <c r="AJ406" s="48" t="str">
        <f ca="1">IFERROR(INDEX(_TECH_Initiative_Library!$AC$5:$AC$76,MATCH(1,INDEX((_TECH_Initiative_Library!$B$5:$B$76=$C406)*(_TECH_Initiative_Library!$C$5:$C$76=$D406),0),0)),"")</f>
        <v/>
      </c>
      <c r="AK406" s="48" t="str">
        <f ca="1">IFERROR(INDEX(_TECH_Initiative_Library!$AE$5:$AE$76,MATCH(1,INDEX((_TECH_Initiative_Library!$B$5:$B$76=$C406)*(_TECH_Initiative_Library!$C$5:$C$76=$D406),0),0)),"")</f>
        <v/>
      </c>
      <c r="AL406" s="48" t="str">
        <f>IF($B406="Yes",IFERROR(SUMIFS(_TECH_Industry_Templates!$E:$E,_TECH_Industry_Templates!$A:$A,'Company Profile'!$B$9,_TECH_Industry_Templates!$B:$B,$C406),1),"")</f>
        <v/>
      </c>
      <c r="AM406" s="48" t="str">
        <f t="shared" si="69"/>
        <v/>
      </c>
      <c r="AN406" s="48" t="str">
        <f>IF($AM406="","",RANK.EQ($AM406,$AM$8:$AM$414,0)+COUNTIF($AM$8:$AM406,$AM406)-1)</f>
        <v/>
      </c>
    </row>
    <row r="407" spans="1:40" ht="71.25">
      <c r="A407" s="28" t="str">
        <f>IF($AM407="","",RANK.EQ($AM407,$AM$8:$AM$414,0)+COUNTIF($AM$8:$AM407,$AM407)-1)</f>
        <v/>
      </c>
      <c r="B407" s="7" t="str">
        <f t="shared" si="60"/>
        <v/>
      </c>
      <c r="C407" s="7" t="s">
        <v>94</v>
      </c>
      <c r="D407" s="7" t="s">
        <v>1655</v>
      </c>
      <c r="E407" s="7" t="s">
        <v>5932</v>
      </c>
      <c r="F407" s="7" t="s">
        <v>5933</v>
      </c>
      <c r="G407" s="28" t="str">
        <f>IF(OR(COUNTA('Quality Portfolio'!$H$17)=0,'Quality Portfolio'!$H$17="N/A"),"",VALUE('Quality Portfolio'!$H$17))</f>
        <v/>
      </c>
      <c r="H407" s="7" t="str">
        <f t="shared" si="61"/>
        <v/>
      </c>
      <c r="I407" s="7" t="str">
        <f>IF($G407="","",IFERROR(IF('Quality Portfolio'!$L$17="",IF($G407&lt;=1,"Critical",IF($G407=2,"High",IF($G407=3,"Medium",IF($G407=4,"Low","Optimized")))),'Quality Portfolio'!$L$17),IF($G407&lt;=1,"Critical",IF($G407=2,"High",IF($G407=3,"Medium",IF($G407=4,"Low","Optimized"))))))</f>
        <v/>
      </c>
      <c r="J407" s="7" t="str">
        <f>IF($G407="","",IFERROR(INDEX('Recommendation Matrix'!$E$5:$J$411,MATCH($E407,'Recommendation Matrix'!$A$5:$A$411,0),$G407+1),""))</f>
        <v/>
      </c>
      <c r="K407" s="7" t="str">
        <f>IF($G407="","",IFERROR(VLOOKUP($E407,'Recommendation Matrix'!$A$5:$K$411,11,FALSE),""))</f>
        <v/>
      </c>
      <c r="L407" s="28" t="str">
        <f t="shared" si="62"/>
        <v/>
      </c>
      <c r="M407" s="28" t="str">
        <f>IF($G407="","",IFERROR(INDEX('Recommendation Matrix'!$L$5:$Q$411,MATCH($E407,'Recommendation Matrix'!$A$5:$A$411,0),$G407+1),""))</f>
        <v/>
      </c>
      <c r="N407" s="28" t="str">
        <f t="shared" si="63"/>
        <v/>
      </c>
      <c r="O407" s="28" t="str">
        <f t="shared" si="64"/>
        <v/>
      </c>
      <c r="P407" s="28" t="str">
        <f t="shared" si="65"/>
        <v/>
      </c>
      <c r="Q407" s="28" t="str">
        <f t="shared" si="66"/>
        <v/>
      </c>
      <c r="R407" s="8" t="str">
        <f t="shared" si="67"/>
        <v/>
      </c>
      <c r="S407" s="28">
        <f>IFERROR('Quality Portfolio'!$G$17,"")</f>
        <v>3</v>
      </c>
      <c r="T407" s="28">
        <f>IFERROR('Quality Portfolio'!$W$17,"")</f>
        <v>4</v>
      </c>
      <c r="U407" s="28">
        <f>IFERROR('Quality Portfolio'!$X$17,"")</f>
        <v>5</v>
      </c>
      <c r="V407" s="28">
        <f>IFERROR('Quality Portfolio'!$Y$17,"")</f>
        <v>5</v>
      </c>
      <c r="W407" s="7" t="s">
        <v>5819</v>
      </c>
      <c r="X407" s="7" t="s">
        <v>5820</v>
      </c>
      <c r="Y407" s="7" t="s">
        <v>5934</v>
      </c>
      <c r="Z407" s="7">
        <f>IFERROR('Quality Portfolio'!$U$17,"")</f>
        <v>0</v>
      </c>
      <c r="AA407" s="7"/>
      <c r="AB407" s="29"/>
      <c r="AC407" s="7"/>
      <c r="AD407" s="48" t="str">
        <f>IF($B407="Yes",IFERROR(SUMIFS(_TECH_Crisis_Model!$D$5:$D$191,_TECH_Crisis_Model!$A$5:$A$191,'Crisis Simulator'!$B$4,_TECH_Crisis_Model!$B$5:$B$191,$C407),1),"")</f>
        <v/>
      </c>
      <c r="AE407" s="48" t="str">
        <f t="shared" si="68"/>
        <v/>
      </c>
      <c r="AF407" s="48" t="str">
        <f>IFERROR(INDEX(_TECH_Crisis_Model!$E$5:$E$191,MATCH('Crisis Simulator'!$B$4&amp;"|"&amp;$C407,_TECH_Crisis_Model!$I$5:$I$191,0)),"")</f>
        <v>Portfolio discipline and benefits realization determine whether scarce resources are focused on the right actions.</v>
      </c>
      <c r="AG407" s="48" t="str">
        <f>IFERROR(INDEX(_TECH_Crisis_Model!$G$5:$G$191,MATCH('Crisis Simulator'!$B$4&amp;"|"&amp;$C407,_TECH_Crisis_Model!$I$5:$I$191,0)),"")</f>
        <v>Prioritize crisis initiatives by value, risk reduction, dependencies and implementation waves.</v>
      </c>
      <c r="AH407" s="48" t="str">
        <f>IFERROR(INDEX(_TECH_Initiative_Library!$A$5:$A$76,MATCH(1,INDEX((_TECH_Initiative_Library!$B$5:$B$76=$C407)*(_TECH_Initiative_Library!$C$5:$C$76=$D407),0),0)),"")</f>
        <v>INI-071</v>
      </c>
      <c r="AI407" s="48" t="str">
        <f>IFERROR(INDEX(_TECH_Initiative_Library!$F$5:$F$76,MATCH(1,INDEX((_TECH_Initiative_Library!$B$5:$B$76=$C407)*(_TECH_Initiative_Library!$C$5:$C$76=$D407),0),0)),"")</f>
        <v>Implement portfolio governance, prioritization and change control</v>
      </c>
      <c r="AJ407" s="48" t="str">
        <f ca="1">IFERROR(INDEX(_TECH_Initiative_Library!$AC$5:$AC$76,MATCH(1,INDEX((_TECH_Initiative_Library!$B$5:$B$76=$C407)*(_TECH_Initiative_Library!$C$5:$C$76=$D407),0),0)),"")</f>
        <v/>
      </c>
      <c r="AK407" s="48" t="str">
        <f ca="1">IFERROR(INDEX(_TECH_Initiative_Library!$AE$5:$AE$76,MATCH(1,INDEX((_TECH_Initiative_Library!$B$5:$B$76=$C407)*(_TECH_Initiative_Library!$C$5:$C$76=$D407),0),0)),"")</f>
        <v/>
      </c>
      <c r="AL407" s="48" t="str">
        <f>IF($B407="Yes",IFERROR(SUMIFS(_TECH_Industry_Templates!$E:$E,_TECH_Industry_Templates!$A:$A,'Company Profile'!$B$9,_TECH_Industry_Templates!$B:$B,$C407),1),"")</f>
        <v/>
      </c>
      <c r="AM407" s="48" t="str">
        <f t="shared" si="69"/>
        <v/>
      </c>
      <c r="AN407" s="48" t="str">
        <f>IF($AM407="","",RANK.EQ($AM407,$AM$8:$AM$414,0)+COUNTIF($AM$8:$AM407,$AM407)-1)</f>
        <v/>
      </c>
    </row>
    <row r="408" spans="1:40" ht="85.5">
      <c r="A408" s="28" t="str">
        <f>IF($AM408="","",RANK.EQ($AM408,$AM$8:$AM$414,0)+COUNTIF($AM$8:$AM408,$AM408)-1)</f>
        <v/>
      </c>
      <c r="B408" s="7" t="str">
        <f t="shared" si="60"/>
        <v/>
      </c>
      <c r="C408" s="7" t="s">
        <v>94</v>
      </c>
      <c r="D408" s="7" t="s">
        <v>1655</v>
      </c>
      <c r="E408" s="7" t="s">
        <v>5942</v>
      </c>
      <c r="F408" s="7" t="s">
        <v>5943</v>
      </c>
      <c r="G408" s="28" t="str">
        <f>IF(OR(COUNTA('Quality Portfolio'!$H$18)=0,'Quality Portfolio'!$H$18="N/A"),"",VALUE('Quality Portfolio'!$H$18))</f>
        <v/>
      </c>
      <c r="H408" s="7" t="str">
        <f t="shared" si="61"/>
        <v/>
      </c>
      <c r="I408" s="7" t="str">
        <f>IF($G408="","",IFERROR(IF('Quality Portfolio'!$L$18="",IF($G408&lt;=1,"Critical",IF($G408=2,"High",IF($G408=3,"Medium",IF($G408=4,"Low","Optimized")))),'Quality Portfolio'!$L$18),IF($G408&lt;=1,"Critical",IF($G408=2,"High",IF($G408=3,"Medium",IF($G408=4,"Low","Optimized"))))))</f>
        <v/>
      </c>
      <c r="J408" s="7" t="str">
        <f>IF($G408="","",IFERROR(INDEX('Recommendation Matrix'!$E$5:$J$411,MATCH($E408,'Recommendation Matrix'!$A$5:$A$411,0),$G408+1),""))</f>
        <v/>
      </c>
      <c r="K408" s="7" t="str">
        <f>IF($G408="","",IFERROR(VLOOKUP($E408,'Recommendation Matrix'!$A$5:$K$411,11,FALSE),""))</f>
        <v/>
      </c>
      <c r="L408" s="28" t="str">
        <f t="shared" si="62"/>
        <v/>
      </c>
      <c r="M408" s="28" t="str">
        <f>IF($G408="","",IFERROR(INDEX('Recommendation Matrix'!$L$5:$Q$411,MATCH($E408,'Recommendation Matrix'!$A$5:$A$411,0),$G408+1),""))</f>
        <v/>
      </c>
      <c r="N408" s="28" t="str">
        <f t="shared" si="63"/>
        <v/>
      </c>
      <c r="O408" s="28" t="str">
        <f t="shared" si="64"/>
        <v/>
      </c>
      <c r="P408" s="28" t="str">
        <f t="shared" si="65"/>
        <v/>
      </c>
      <c r="Q408" s="28" t="str">
        <f t="shared" si="66"/>
        <v/>
      </c>
      <c r="R408" s="8" t="str">
        <f t="shared" si="67"/>
        <v/>
      </c>
      <c r="S408" s="28">
        <f>IFERROR('Quality Portfolio'!$G$18,"")</f>
        <v>3</v>
      </c>
      <c r="T408" s="28">
        <f>IFERROR('Quality Portfolio'!$W$18,"")</f>
        <v>4</v>
      </c>
      <c r="U408" s="28">
        <f>IFERROR('Quality Portfolio'!$X$18,"")</f>
        <v>5</v>
      </c>
      <c r="V408" s="28">
        <f>IFERROR('Quality Portfolio'!$Y$18,"")</f>
        <v>5</v>
      </c>
      <c r="W408" s="7" t="s">
        <v>5819</v>
      </c>
      <c r="X408" s="7" t="s">
        <v>5820</v>
      </c>
      <c r="Y408" s="7" t="s">
        <v>5944</v>
      </c>
      <c r="Z408" s="7">
        <f>IFERROR('Quality Portfolio'!$U$18,"")</f>
        <v>0</v>
      </c>
      <c r="AA408" s="7"/>
      <c r="AB408" s="29"/>
      <c r="AC408" s="7"/>
      <c r="AD408" s="48" t="str">
        <f>IF($B408="Yes",IFERROR(SUMIFS(_TECH_Crisis_Model!$D$5:$D$191,_TECH_Crisis_Model!$A$5:$A$191,'Crisis Simulator'!$B$4,_TECH_Crisis_Model!$B$5:$B$191,$C408),1),"")</f>
        <v/>
      </c>
      <c r="AE408" s="48" t="str">
        <f t="shared" si="68"/>
        <v/>
      </c>
      <c r="AF408" s="48" t="str">
        <f>IFERROR(INDEX(_TECH_Crisis_Model!$E$5:$E$191,MATCH('Crisis Simulator'!$B$4&amp;"|"&amp;$C408,_TECH_Crisis_Model!$I$5:$I$191,0)),"")</f>
        <v>Portfolio discipline and benefits realization determine whether scarce resources are focused on the right actions.</v>
      </c>
      <c r="AG408" s="48" t="str">
        <f>IFERROR(INDEX(_TECH_Crisis_Model!$G$5:$G$191,MATCH('Crisis Simulator'!$B$4&amp;"|"&amp;$C408,_TECH_Crisis_Model!$I$5:$I$191,0)),"")</f>
        <v>Prioritize crisis initiatives by value, risk reduction, dependencies and implementation waves.</v>
      </c>
      <c r="AH408" s="48" t="str">
        <f>IFERROR(INDEX(_TECH_Initiative_Library!$A$5:$A$76,MATCH(1,INDEX((_TECH_Initiative_Library!$B$5:$B$76=$C408)*(_TECH_Initiative_Library!$C$5:$C$76=$D408),0),0)),"")</f>
        <v>INI-071</v>
      </c>
      <c r="AI408" s="48" t="str">
        <f>IFERROR(INDEX(_TECH_Initiative_Library!$F$5:$F$76,MATCH(1,INDEX((_TECH_Initiative_Library!$B$5:$B$76=$C408)*(_TECH_Initiative_Library!$C$5:$C$76=$D408),0),0)),"")</f>
        <v>Implement portfolio governance, prioritization and change control</v>
      </c>
      <c r="AJ408" s="48" t="str">
        <f ca="1">IFERROR(INDEX(_TECH_Initiative_Library!$AC$5:$AC$76,MATCH(1,INDEX((_TECH_Initiative_Library!$B$5:$B$76=$C408)*(_TECH_Initiative_Library!$C$5:$C$76=$D408),0),0)),"")</f>
        <v/>
      </c>
      <c r="AK408" s="48" t="str">
        <f ca="1">IFERROR(INDEX(_TECH_Initiative_Library!$AE$5:$AE$76,MATCH(1,INDEX((_TECH_Initiative_Library!$B$5:$B$76=$C408)*(_TECH_Initiative_Library!$C$5:$C$76=$D408),0),0)),"")</f>
        <v/>
      </c>
      <c r="AL408" s="48" t="str">
        <f>IF($B408="Yes",IFERROR(SUMIFS(_TECH_Industry_Templates!$E:$E,_TECH_Industry_Templates!$A:$A,'Company Profile'!$B$9,_TECH_Industry_Templates!$B:$B,$C408),1),"")</f>
        <v/>
      </c>
      <c r="AM408" s="48" t="str">
        <f t="shared" si="69"/>
        <v/>
      </c>
      <c r="AN408" s="48" t="str">
        <f>IF($AM408="","",RANK.EQ($AM408,$AM$8:$AM$414,0)+COUNTIF($AM$8:$AM408,$AM408)-1)</f>
        <v/>
      </c>
    </row>
    <row r="409" spans="1:40" ht="71.25">
      <c r="A409" s="28" t="str">
        <f>IF($AM409="","",RANK.EQ($AM409,$AM$8:$AM$414,0)+COUNTIF($AM$8:$AM409,$AM409)-1)</f>
        <v/>
      </c>
      <c r="B409" s="7" t="str">
        <f t="shared" si="60"/>
        <v/>
      </c>
      <c r="C409" s="7" t="s">
        <v>94</v>
      </c>
      <c r="D409" s="7" t="s">
        <v>1655</v>
      </c>
      <c r="E409" s="7" t="s">
        <v>5952</v>
      </c>
      <c r="F409" s="7" t="s">
        <v>5953</v>
      </c>
      <c r="G409" s="28" t="str">
        <f>IF(OR(COUNTA('Quality Portfolio'!$H$19)=0,'Quality Portfolio'!$H$19="N/A"),"",VALUE('Quality Portfolio'!$H$19))</f>
        <v/>
      </c>
      <c r="H409" s="7" t="str">
        <f t="shared" si="61"/>
        <v/>
      </c>
      <c r="I409" s="7" t="str">
        <f>IF($G409="","",IFERROR(IF('Quality Portfolio'!$L$19="",IF($G409&lt;=1,"Critical",IF($G409=2,"High",IF($G409=3,"Medium",IF($G409=4,"Low","Optimized")))),'Quality Portfolio'!$L$19),IF($G409&lt;=1,"Critical",IF($G409=2,"High",IF($G409=3,"Medium",IF($G409=4,"Low","Optimized"))))))</f>
        <v/>
      </c>
      <c r="J409" s="7" t="str">
        <f>IF($G409="","",IFERROR(INDEX('Recommendation Matrix'!$E$5:$J$411,MATCH($E409,'Recommendation Matrix'!$A$5:$A$411,0),$G409+1),""))</f>
        <v/>
      </c>
      <c r="K409" s="7" t="str">
        <f>IF($G409="","",IFERROR(VLOOKUP($E409,'Recommendation Matrix'!$A$5:$K$411,11,FALSE),""))</f>
        <v/>
      </c>
      <c r="L409" s="28" t="str">
        <f t="shared" si="62"/>
        <v/>
      </c>
      <c r="M409" s="28" t="str">
        <f>IF($G409="","",IFERROR(INDEX('Recommendation Matrix'!$L$5:$Q$411,MATCH($E409,'Recommendation Matrix'!$A$5:$A$411,0),$G409+1),""))</f>
        <v/>
      </c>
      <c r="N409" s="28" t="str">
        <f t="shared" si="63"/>
        <v/>
      </c>
      <c r="O409" s="28" t="str">
        <f t="shared" si="64"/>
        <v/>
      </c>
      <c r="P409" s="28" t="str">
        <f t="shared" si="65"/>
        <v/>
      </c>
      <c r="Q409" s="28" t="str">
        <f t="shared" si="66"/>
        <v/>
      </c>
      <c r="R409" s="8" t="str">
        <f t="shared" si="67"/>
        <v/>
      </c>
      <c r="S409" s="28">
        <f>IFERROR('Quality Portfolio'!$G$19,"")</f>
        <v>5</v>
      </c>
      <c r="T409" s="28">
        <f>IFERROR('Quality Portfolio'!$W$19,"")</f>
        <v>4</v>
      </c>
      <c r="U409" s="28">
        <f>IFERROR('Quality Portfolio'!$X$19,"")</f>
        <v>5</v>
      </c>
      <c r="V409" s="28">
        <f>IFERROR('Quality Portfolio'!$Y$19,"")</f>
        <v>5</v>
      </c>
      <c r="W409" s="7" t="s">
        <v>5819</v>
      </c>
      <c r="X409" s="7" t="s">
        <v>5820</v>
      </c>
      <c r="Y409" s="7" t="s">
        <v>5954</v>
      </c>
      <c r="Z409" s="7">
        <f>IFERROR('Quality Portfolio'!$U$19,"")</f>
        <v>0</v>
      </c>
      <c r="AA409" s="7"/>
      <c r="AB409" s="29"/>
      <c r="AC409" s="7"/>
      <c r="AD409" s="48" t="str">
        <f>IF($B409="Yes",IFERROR(SUMIFS(_TECH_Crisis_Model!$D$5:$D$191,_TECH_Crisis_Model!$A$5:$A$191,'Crisis Simulator'!$B$4,_TECH_Crisis_Model!$B$5:$B$191,$C409),1),"")</f>
        <v/>
      </c>
      <c r="AE409" s="48" t="str">
        <f t="shared" si="68"/>
        <v/>
      </c>
      <c r="AF409" s="48" t="str">
        <f>IFERROR(INDEX(_TECH_Crisis_Model!$E$5:$E$191,MATCH('Crisis Simulator'!$B$4&amp;"|"&amp;$C409,_TECH_Crisis_Model!$I$5:$I$191,0)),"")</f>
        <v>Portfolio discipline and benefits realization determine whether scarce resources are focused on the right actions.</v>
      </c>
      <c r="AG409" s="48" t="str">
        <f>IFERROR(INDEX(_TECH_Crisis_Model!$G$5:$G$191,MATCH('Crisis Simulator'!$B$4&amp;"|"&amp;$C409,_TECH_Crisis_Model!$I$5:$I$191,0)),"")</f>
        <v>Prioritize crisis initiatives by value, risk reduction, dependencies and implementation waves.</v>
      </c>
      <c r="AH409" s="48" t="str">
        <f>IFERROR(INDEX(_TECH_Initiative_Library!$A$5:$A$76,MATCH(1,INDEX((_TECH_Initiative_Library!$B$5:$B$76=$C409)*(_TECH_Initiative_Library!$C$5:$C$76=$D409),0),0)),"")</f>
        <v>INI-071</v>
      </c>
      <c r="AI409" s="48" t="str">
        <f>IFERROR(INDEX(_TECH_Initiative_Library!$F$5:$F$76,MATCH(1,INDEX((_TECH_Initiative_Library!$B$5:$B$76=$C409)*(_TECH_Initiative_Library!$C$5:$C$76=$D409),0),0)),"")</f>
        <v>Implement portfolio governance, prioritization and change control</v>
      </c>
      <c r="AJ409" s="48" t="str">
        <f ca="1">IFERROR(INDEX(_TECH_Initiative_Library!$AC$5:$AC$76,MATCH(1,INDEX((_TECH_Initiative_Library!$B$5:$B$76=$C409)*(_TECH_Initiative_Library!$C$5:$C$76=$D409),0),0)),"")</f>
        <v/>
      </c>
      <c r="AK409" s="48" t="str">
        <f ca="1">IFERROR(INDEX(_TECH_Initiative_Library!$AE$5:$AE$76,MATCH(1,INDEX((_TECH_Initiative_Library!$B$5:$B$76=$C409)*(_TECH_Initiative_Library!$C$5:$C$76=$D409),0),0)),"")</f>
        <v/>
      </c>
      <c r="AL409" s="48" t="str">
        <f>IF($B409="Yes",IFERROR(SUMIFS(_TECH_Industry_Templates!$E:$E,_TECH_Industry_Templates!$A:$A,'Company Profile'!$B$9,_TECH_Industry_Templates!$B:$B,$C409),1),"")</f>
        <v/>
      </c>
      <c r="AM409" s="48" t="str">
        <f t="shared" si="69"/>
        <v/>
      </c>
      <c r="AN409" s="48" t="str">
        <f>IF($AM409="","",RANK.EQ($AM409,$AM$8:$AM$414,0)+COUNTIF($AM$8:$AM409,$AM409)-1)</f>
        <v/>
      </c>
    </row>
    <row r="410" spans="1:40" ht="71.25">
      <c r="A410" s="28" t="str">
        <f>IF($AM410="","",RANK.EQ($AM410,$AM$8:$AM$414,0)+COUNTIF($AM$8:$AM410,$AM410)-1)</f>
        <v/>
      </c>
      <c r="B410" s="7" t="str">
        <f t="shared" si="60"/>
        <v/>
      </c>
      <c r="C410" s="7" t="s">
        <v>94</v>
      </c>
      <c r="D410" s="7" t="s">
        <v>1663</v>
      </c>
      <c r="E410" s="7" t="s">
        <v>5962</v>
      </c>
      <c r="F410" s="7" t="s">
        <v>5963</v>
      </c>
      <c r="G410" s="28" t="str">
        <f>IF(OR(COUNTA('Quality Portfolio'!$H$20)=0,'Quality Portfolio'!$H$20="N/A"),"",VALUE('Quality Portfolio'!$H$20))</f>
        <v/>
      </c>
      <c r="H410" s="7" t="str">
        <f t="shared" si="61"/>
        <v/>
      </c>
      <c r="I410" s="7" t="str">
        <f>IF($G410="","",IFERROR(IF('Quality Portfolio'!$L$20="",IF($G410&lt;=1,"Critical",IF($G410=2,"High",IF($G410=3,"Medium",IF($G410=4,"Low","Optimized")))),'Quality Portfolio'!$L$20),IF($G410&lt;=1,"Critical",IF($G410=2,"High",IF($G410=3,"Medium",IF($G410=4,"Low","Optimized"))))))</f>
        <v/>
      </c>
      <c r="J410" s="7" t="str">
        <f>IF($G410="","",IFERROR(INDEX('Recommendation Matrix'!$E$5:$J$411,MATCH($E410,'Recommendation Matrix'!$A$5:$A$411,0),$G410+1),""))</f>
        <v/>
      </c>
      <c r="K410" s="7" t="str">
        <f>IF($G410="","",IFERROR(VLOOKUP($E410,'Recommendation Matrix'!$A$5:$K$411,11,FALSE),""))</f>
        <v/>
      </c>
      <c r="L410" s="28" t="str">
        <f t="shared" si="62"/>
        <v/>
      </c>
      <c r="M410" s="28" t="str">
        <f>IF($G410="","",IFERROR(INDEX('Recommendation Matrix'!$L$5:$Q$411,MATCH($E410,'Recommendation Matrix'!$A$5:$A$411,0),$G410+1),""))</f>
        <v/>
      </c>
      <c r="N410" s="28" t="str">
        <f t="shared" si="63"/>
        <v/>
      </c>
      <c r="O410" s="28" t="str">
        <f t="shared" si="64"/>
        <v/>
      </c>
      <c r="P410" s="28" t="str">
        <f t="shared" si="65"/>
        <v/>
      </c>
      <c r="Q410" s="28" t="str">
        <f t="shared" si="66"/>
        <v/>
      </c>
      <c r="R410" s="8" t="str">
        <f t="shared" si="67"/>
        <v/>
      </c>
      <c r="S410" s="28">
        <f>IFERROR('Quality Portfolio'!$G$20,"")</f>
        <v>5</v>
      </c>
      <c r="T410" s="28">
        <f>IFERROR('Quality Portfolio'!$W$20,"")</f>
        <v>4</v>
      </c>
      <c r="U410" s="28">
        <f>IFERROR('Quality Portfolio'!$X$20,"")</f>
        <v>5</v>
      </c>
      <c r="V410" s="28">
        <f>IFERROR('Quality Portfolio'!$Y$20,"")</f>
        <v>5</v>
      </c>
      <c r="W410" s="7" t="s">
        <v>5819</v>
      </c>
      <c r="X410" s="7" t="s">
        <v>5820</v>
      </c>
      <c r="Y410" s="7" t="s">
        <v>5964</v>
      </c>
      <c r="Z410" s="7">
        <f>IFERROR('Quality Portfolio'!$U$20,"")</f>
        <v>0</v>
      </c>
      <c r="AA410" s="7"/>
      <c r="AB410" s="29"/>
      <c r="AC410" s="7"/>
      <c r="AD410" s="48" t="str">
        <f>IF($B410="Yes",IFERROR(SUMIFS(_TECH_Crisis_Model!$D$5:$D$191,_TECH_Crisis_Model!$A$5:$A$191,'Crisis Simulator'!$B$4,_TECH_Crisis_Model!$B$5:$B$191,$C410),1),"")</f>
        <v/>
      </c>
      <c r="AE410" s="48" t="str">
        <f t="shared" si="68"/>
        <v/>
      </c>
      <c r="AF410" s="48" t="str">
        <f>IFERROR(INDEX(_TECH_Crisis_Model!$E$5:$E$191,MATCH('Crisis Simulator'!$B$4&amp;"|"&amp;$C410,_TECH_Crisis_Model!$I$5:$I$191,0)),"")</f>
        <v>Portfolio discipline and benefits realization determine whether scarce resources are focused on the right actions.</v>
      </c>
      <c r="AG410" s="48" t="str">
        <f>IFERROR(INDEX(_TECH_Crisis_Model!$G$5:$G$191,MATCH('Crisis Simulator'!$B$4&amp;"|"&amp;$C410,_TECH_Crisis_Model!$I$5:$I$191,0)),"")</f>
        <v>Prioritize crisis initiatives by value, risk reduction, dependencies and implementation waves.</v>
      </c>
      <c r="AH410" s="48" t="str">
        <f>IFERROR(INDEX(_TECH_Initiative_Library!$A$5:$A$76,MATCH(1,INDEX((_TECH_Initiative_Library!$B$5:$B$76=$C410)*(_TECH_Initiative_Library!$C$5:$C$76=$D410),0),0)),"")</f>
        <v>INI-072</v>
      </c>
      <c r="AI410" s="48" t="str">
        <f>IFERROR(INDEX(_TECH_Initiative_Library!$F$5:$F$76,MATCH(1,INDEX((_TECH_Initiative_Library!$B$5:$B$76=$C410)*(_TECH_Initiative_Library!$C$5:$C$76=$D410),0),0)),"")</f>
        <v>Integrate management system, KPIs and continual improvement cycle</v>
      </c>
      <c r="AJ410" s="48" t="str">
        <f ca="1">IFERROR(INDEX(_TECH_Initiative_Library!$AC$5:$AC$76,MATCH(1,INDEX((_TECH_Initiative_Library!$B$5:$B$76=$C410)*(_TECH_Initiative_Library!$C$5:$C$76=$D410),0),0)),"")</f>
        <v/>
      </c>
      <c r="AK410" s="48" t="str">
        <f ca="1">IFERROR(INDEX(_TECH_Initiative_Library!$AE$5:$AE$76,MATCH(1,INDEX((_TECH_Initiative_Library!$B$5:$B$76=$C410)*(_TECH_Initiative_Library!$C$5:$C$76=$D410),0),0)),"")</f>
        <v/>
      </c>
      <c r="AL410" s="48" t="str">
        <f>IF($B410="Yes",IFERROR(SUMIFS(_TECH_Industry_Templates!$E:$E,_TECH_Industry_Templates!$A:$A,'Company Profile'!$B$9,_TECH_Industry_Templates!$B:$B,$C410),1),"")</f>
        <v/>
      </c>
      <c r="AM410" s="48" t="str">
        <f t="shared" si="69"/>
        <v/>
      </c>
      <c r="AN410" s="48" t="str">
        <f>IF($AM410="","",RANK.EQ($AM410,$AM$8:$AM$414,0)+COUNTIF($AM$8:$AM410,$AM410)-1)</f>
        <v/>
      </c>
    </row>
    <row r="411" spans="1:40" ht="85.5">
      <c r="A411" s="28" t="str">
        <f>IF($AM411="","",RANK.EQ($AM411,$AM$8:$AM$414,0)+COUNTIF($AM$8:$AM411,$AM411)-1)</f>
        <v/>
      </c>
      <c r="B411" s="7" t="str">
        <f t="shared" si="60"/>
        <v/>
      </c>
      <c r="C411" s="7" t="s">
        <v>94</v>
      </c>
      <c r="D411" s="7" t="s">
        <v>1663</v>
      </c>
      <c r="E411" s="7" t="s">
        <v>5972</v>
      </c>
      <c r="F411" s="7" t="s">
        <v>5973</v>
      </c>
      <c r="G411" s="28" t="str">
        <f>IF(OR(COUNTA('Quality Portfolio'!$H$21)=0,'Quality Portfolio'!$H$21="N/A"),"",VALUE('Quality Portfolio'!$H$21))</f>
        <v/>
      </c>
      <c r="H411" s="7" t="str">
        <f t="shared" si="61"/>
        <v/>
      </c>
      <c r="I411" s="7" t="str">
        <f>IF($G411="","",IFERROR(IF('Quality Portfolio'!$L$21="",IF($G411&lt;=1,"Critical",IF($G411=2,"High",IF($G411=3,"Medium",IF($G411=4,"Low","Optimized")))),'Quality Portfolio'!$L$21),IF($G411&lt;=1,"Critical",IF($G411=2,"High",IF($G411=3,"Medium",IF($G411=4,"Low","Optimized"))))))</f>
        <v/>
      </c>
      <c r="J411" s="7" t="str">
        <f>IF($G411="","",IFERROR(INDEX('Recommendation Matrix'!$E$5:$J$411,MATCH($E411,'Recommendation Matrix'!$A$5:$A$411,0),$G411+1),""))</f>
        <v/>
      </c>
      <c r="K411" s="7" t="str">
        <f>IF($G411="","",IFERROR(VLOOKUP($E411,'Recommendation Matrix'!$A$5:$K$411,11,FALSE),""))</f>
        <v/>
      </c>
      <c r="L411" s="28" t="str">
        <f t="shared" si="62"/>
        <v/>
      </c>
      <c r="M411" s="28" t="str">
        <f>IF($G411="","",IFERROR(INDEX('Recommendation Matrix'!$L$5:$Q$411,MATCH($E411,'Recommendation Matrix'!$A$5:$A$411,0),$G411+1),""))</f>
        <v/>
      </c>
      <c r="N411" s="28" t="str">
        <f t="shared" si="63"/>
        <v/>
      </c>
      <c r="O411" s="28" t="str">
        <f t="shared" si="64"/>
        <v/>
      </c>
      <c r="P411" s="28" t="str">
        <f t="shared" si="65"/>
        <v/>
      </c>
      <c r="Q411" s="28" t="str">
        <f t="shared" si="66"/>
        <v/>
      </c>
      <c r="R411" s="8" t="str">
        <f t="shared" si="67"/>
        <v/>
      </c>
      <c r="S411" s="28">
        <f>IFERROR('Quality Portfolio'!$G$21,"")</f>
        <v>5</v>
      </c>
      <c r="T411" s="28">
        <f>IFERROR('Quality Portfolio'!$W$21,"")</f>
        <v>4</v>
      </c>
      <c r="U411" s="28">
        <f>IFERROR('Quality Portfolio'!$X$21,"")</f>
        <v>5</v>
      </c>
      <c r="V411" s="28">
        <f>IFERROR('Quality Portfolio'!$Y$21,"")</f>
        <v>5</v>
      </c>
      <c r="W411" s="7" t="s">
        <v>5819</v>
      </c>
      <c r="X411" s="7" t="s">
        <v>5820</v>
      </c>
      <c r="Y411" s="7" t="s">
        <v>5974</v>
      </c>
      <c r="Z411" s="7">
        <f>IFERROR('Quality Portfolio'!$U$21,"")</f>
        <v>0</v>
      </c>
      <c r="AA411" s="7"/>
      <c r="AB411" s="29"/>
      <c r="AC411" s="7"/>
      <c r="AD411" s="48" t="str">
        <f>IF($B411="Yes",IFERROR(SUMIFS(_TECH_Crisis_Model!$D$5:$D$191,_TECH_Crisis_Model!$A$5:$A$191,'Crisis Simulator'!$B$4,_TECH_Crisis_Model!$B$5:$B$191,$C411),1),"")</f>
        <v/>
      </c>
      <c r="AE411" s="48" t="str">
        <f t="shared" si="68"/>
        <v/>
      </c>
      <c r="AF411" s="48" t="str">
        <f>IFERROR(INDEX(_TECH_Crisis_Model!$E$5:$E$191,MATCH('Crisis Simulator'!$B$4&amp;"|"&amp;$C411,_TECH_Crisis_Model!$I$5:$I$191,0)),"")</f>
        <v>Portfolio discipline and benefits realization determine whether scarce resources are focused on the right actions.</v>
      </c>
      <c r="AG411" s="48" t="str">
        <f>IFERROR(INDEX(_TECH_Crisis_Model!$G$5:$G$191,MATCH('Crisis Simulator'!$B$4&amp;"|"&amp;$C411,_TECH_Crisis_Model!$I$5:$I$191,0)),"")</f>
        <v>Prioritize crisis initiatives by value, risk reduction, dependencies and implementation waves.</v>
      </c>
      <c r="AH411" s="48" t="str">
        <f>IFERROR(INDEX(_TECH_Initiative_Library!$A$5:$A$76,MATCH(1,INDEX((_TECH_Initiative_Library!$B$5:$B$76=$C411)*(_TECH_Initiative_Library!$C$5:$C$76=$D411),0),0)),"")</f>
        <v>INI-072</v>
      </c>
      <c r="AI411" s="48" t="str">
        <f>IFERROR(INDEX(_TECH_Initiative_Library!$F$5:$F$76,MATCH(1,INDEX((_TECH_Initiative_Library!$B$5:$B$76=$C411)*(_TECH_Initiative_Library!$C$5:$C$76=$D411),0),0)),"")</f>
        <v>Integrate management system, KPIs and continual improvement cycle</v>
      </c>
      <c r="AJ411" s="48" t="str">
        <f ca="1">IFERROR(INDEX(_TECH_Initiative_Library!$AC$5:$AC$76,MATCH(1,INDEX((_TECH_Initiative_Library!$B$5:$B$76=$C411)*(_TECH_Initiative_Library!$C$5:$C$76=$D411),0),0)),"")</f>
        <v/>
      </c>
      <c r="AK411" s="48" t="str">
        <f ca="1">IFERROR(INDEX(_TECH_Initiative_Library!$AE$5:$AE$76,MATCH(1,INDEX((_TECH_Initiative_Library!$B$5:$B$76=$C411)*(_TECH_Initiative_Library!$C$5:$C$76=$D411),0),0)),"")</f>
        <v/>
      </c>
      <c r="AL411" s="48" t="str">
        <f>IF($B411="Yes",IFERROR(SUMIFS(_TECH_Industry_Templates!$E:$E,_TECH_Industry_Templates!$A:$A,'Company Profile'!$B$9,_TECH_Industry_Templates!$B:$B,$C411),1),"")</f>
        <v/>
      </c>
      <c r="AM411" s="48" t="str">
        <f t="shared" si="69"/>
        <v/>
      </c>
      <c r="AN411" s="48" t="str">
        <f>IF($AM411="","",RANK.EQ($AM411,$AM$8:$AM$414,0)+COUNTIF($AM$8:$AM411,$AM411)-1)</f>
        <v/>
      </c>
    </row>
    <row r="412" spans="1:40" ht="71.25">
      <c r="A412" s="28" t="str">
        <f>IF($AM412="","",RANK.EQ($AM412,$AM$8:$AM$414,0)+COUNTIF($AM$8:$AM412,$AM412)-1)</f>
        <v/>
      </c>
      <c r="B412" s="7" t="str">
        <f t="shared" si="60"/>
        <v/>
      </c>
      <c r="C412" s="7" t="s">
        <v>94</v>
      </c>
      <c r="D412" s="7" t="s">
        <v>1663</v>
      </c>
      <c r="E412" s="7" t="s">
        <v>5982</v>
      </c>
      <c r="F412" s="7" t="s">
        <v>5983</v>
      </c>
      <c r="G412" s="28" t="str">
        <f>IF(OR(COUNTA('Quality Portfolio'!$H$22)=0,'Quality Portfolio'!$H$22="N/A"),"",VALUE('Quality Portfolio'!$H$22))</f>
        <v/>
      </c>
      <c r="H412" s="7" t="str">
        <f t="shared" si="61"/>
        <v/>
      </c>
      <c r="I412" s="7" t="str">
        <f>IF($G412="","",IFERROR(IF('Quality Portfolio'!$L$22="",IF($G412&lt;=1,"Critical",IF($G412=2,"High",IF($G412=3,"Medium",IF($G412=4,"Low","Optimized")))),'Quality Portfolio'!$L$22),IF($G412&lt;=1,"Critical",IF($G412=2,"High",IF($G412=3,"Medium",IF($G412=4,"Low","Optimized"))))))</f>
        <v/>
      </c>
      <c r="J412" s="7" t="str">
        <f>IF($G412="","",IFERROR(INDEX('Recommendation Matrix'!$E$5:$J$411,MATCH($E412,'Recommendation Matrix'!$A$5:$A$411,0),$G412+1),""))</f>
        <v/>
      </c>
      <c r="K412" s="7" t="str">
        <f>IF($G412="","",IFERROR(VLOOKUP($E412,'Recommendation Matrix'!$A$5:$K$411,11,FALSE),""))</f>
        <v/>
      </c>
      <c r="L412" s="28" t="str">
        <f t="shared" si="62"/>
        <v/>
      </c>
      <c r="M412" s="28" t="str">
        <f>IF($G412="","",IFERROR(INDEX('Recommendation Matrix'!$L$5:$Q$411,MATCH($E412,'Recommendation Matrix'!$A$5:$A$411,0),$G412+1),""))</f>
        <v/>
      </c>
      <c r="N412" s="28" t="str">
        <f t="shared" si="63"/>
        <v/>
      </c>
      <c r="O412" s="28" t="str">
        <f t="shared" si="64"/>
        <v/>
      </c>
      <c r="P412" s="28" t="str">
        <f t="shared" si="65"/>
        <v/>
      </c>
      <c r="Q412" s="28" t="str">
        <f t="shared" si="66"/>
        <v/>
      </c>
      <c r="R412" s="8" t="str">
        <f t="shared" si="67"/>
        <v/>
      </c>
      <c r="S412" s="28">
        <f>IFERROR('Quality Portfolio'!$G$22,"")</f>
        <v>4</v>
      </c>
      <c r="T412" s="28">
        <f>IFERROR('Quality Portfolio'!$W$22,"")</f>
        <v>4</v>
      </c>
      <c r="U412" s="28">
        <f>IFERROR('Quality Portfolio'!$X$22,"")</f>
        <v>5</v>
      </c>
      <c r="V412" s="28">
        <f>IFERROR('Quality Portfolio'!$Y$22,"")</f>
        <v>5</v>
      </c>
      <c r="W412" s="7" t="s">
        <v>5819</v>
      </c>
      <c r="X412" s="7" t="s">
        <v>5820</v>
      </c>
      <c r="Y412" s="7" t="s">
        <v>5984</v>
      </c>
      <c r="Z412" s="7">
        <f>IFERROR('Quality Portfolio'!$U$22,"")</f>
        <v>0</v>
      </c>
      <c r="AA412" s="7"/>
      <c r="AB412" s="29"/>
      <c r="AC412" s="7"/>
      <c r="AD412" s="48" t="str">
        <f>IF($B412="Yes",IFERROR(SUMIFS(_TECH_Crisis_Model!$D$5:$D$191,_TECH_Crisis_Model!$A$5:$A$191,'Crisis Simulator'!$B$4,_TECH_Crisis_Model!$B$5:$B$191,$C412),1),"")</f>
        <v/>
      </c>
      <c r="AE412" s="48" t="str">
        <f t="shared" si="68"/>
        <v/>
      </c>
      <c r="AF412" s="48" t="str">
        <f>IFERROR(INDEX(_TECH_Crisis_Model!$E$5:$E$191,MATCH('Crisis Simulator'!$B$4&amp;"|"&amp;$C412,_TECH_Crisis_Model!$I$5:$I$191,0)),"")</f>
        <v>Portfolio discipline and benefits realization determine whether scarce resources are focused on the right actions.</v>
      </c>
      <c r="AG412" s="48" t="str">
        <f>IFERROR(INDEX(_TECH_Crisis_Model!$G$5:$G$191,MATCH('Crisis Simulator'!$B$4&amp;"|"&amp;$C412,_TECH_Crisis_Model!$I$5:$I$191,0)),"")</f>
        <v>Prioritize crisis initiatives by value, risk reduction, dependencies and implementation waves.</v>
      </c>
      <c r="AH412" s="48" t="str">
        <f>IFERROR(INDEX(_TECH_Initiative_Library!$A$5:$A$76,MATCH(1,INDEX((_TECH_Initiative_Library!$B$5:$B$76=$C412)*(_TECH_Initiative_Library!$C$5:$C$76=$D412),0),0)),"")</f>
        <v>INI-072</v>
      </c>
      <c r="AI412" s="48" t="str">
        <f>IFERROR(INDEX(_TECH_Initiative_Library!$F$5:$F$76,MATCH(1,INDEX((_TECH_Initiative_Library!$B$5:$B$76=$C412)*(_TECH_Initiative_Library!$C$5:$C$76=$D412),0),0)),"")</f>
        <v>Integrate management system, KPIs and continual improvement cycle</v>
      </c>
      <c r="AJ412" s="48" t="str">
        <f ca="1">IFERROR(INDEX(_TECH_Initiative_Library!$AC$5:$AC$76,MATCH(1,INDEX((_TECH_Initiative_Library!$B$5:$B$76=$C412)*(_TECH_Initiative_Library!$C$5:$C$76=$D412),0),0)),"")</f>
        <v/>
      </c>
      <c r="AK412" s="48" t="str">
        <f ca="1">IFERROR(INDEX(_TECH_Initiative_Library!$AE$5:$AE$76,MATCH(1,INDEX((_TECH_Initiative_Library!$B$5:$B$76=$C412)*(_TECH_Initiative_Library!$C$5:$C$76=$D412),0),0)),"")</f>
        <v/>
      </c>
      <c r="AL412" s="48" t="str">
        <f>IF($B412="Yes",IFERROR(SUMIFS(_TECH_Industry_Templates!$E:$E,_TECH_Industry_Templates!$A:$A,'Company Profile'!$B$9,_TECH_Industry_Templates!$B:$B,$C412),1),"")</f>
        <v/>
      </c>
      <c r="AM412" s="48" t="str">
        <f t="shared" si="69"/>
        <v/>
      </c>
      <c r="AN412" s="48" t="str">
        <f>IF($AM412="","",RANK.EQ($AM412,$AM$8:$AM$414,0)+COUNTIF($AM$8:$AM412,$AM412)-1)</f>
        <v/>
      </c>
    </row>
    <row r="413" spans="1:40" ht="71.25">
      <c r="A413" s="28" t="str">
        <f>IF($AM413="","",RANK.EQ($AM413,$AM$8:$AM$414,0)+COUNTIF($AM$8:$AM413,$AM413)-1)</f>
        <v/>
      </c>
      <c r="B413" s="7" t="str">
        <f t="shared" si="60"/>
        <v/>
      </c>
      <c r="C413" s="7" t="s">
        <v>94</v>
      </c>
      <c r="D413" s="7" t="s">
        <v>1663</v>
      </c>
      <c r="E413" s="7" t="s">
        <v>5992</v>
      </c>
      <c r="F413" s="7" t="s">
        <v>5993</v>
      </c>
      <c r="G413" s="28" t="str">
        <f>IF(OR(COUNTA('Quality Portfolio'!$H$23)=0,'Quality Portfolio'!$H$23="N/A"),"",VALUE('Quality Portfolio'!$H$23))</f>
        <v/>
      </c>
      <c r="H413" s="7" t="str">
        <f t="shared" si="61"/>
        <v/>
      </c>
      <c r="I413" s="7" t="str">
        <f>IF($G413="","",IFERROR(IF('Quality Portfolio'!$L$23="",IF($G413&lt;=1,"Critical",IF($G413=2,"High",IF($G413=3,"Medium",IF($G413=4,"Low","Optimized")))),'Quality Portfolio'!$L$23),IF($G413&lt;=1,"Critical",IF($G413=2,"High",IF($G413=3,"Medium",IF($G413=4,"Low","Optimized"))))))</f>
        <v/>
      </c>
      <c r="J413" s="7" t="str">
        <f>IF($G413="","",IFERROR(INDEX('Recommendation Matrix'!$E$5:$J$411,MATCH($E413,'Recommendation Matrix'!$A$5:$A$411,0),$G413+1),""))</f>
        <v/>
      </c>
      <c r="K413" s="7" t="str">
        <f>IF($G413="","",IFERROR(VLOOKUP($E413,'Recommendation Matrix'!$A$5:$K$411,11,FALSE),""))</f>
        <v/>
      </c>
      <c r="L413" s="28" t="str">
        <f t="shared" si="62"/>
        <v/>
      </c>
      <c r="M413" s="28" t="str">
        <f>IF($G413="","",IFERROR(INDEX('Recommendation Matrix'!$L$5:$Q$411,MATCH($E413,'Recommendation Matrix'!$A$5:$A$411,0),$G413+1),""))</f>
        <v/>
      </c>
      <c r="N413" s="28" t="str">
        <f t="shared" si="63"/>
        <v/>
      </c>
      <c r="O413" s="28" t="str">
        <f t="shared" si="64"/>
        <v/>
      </c>
      <c r="P413" s="28" t="str">
        <f t="shared" si="65"/>
        <v/>
      </c>
      <c r="Q413" s="28" t="str">
        <f t="shared" si="66"/>
        <v/>
      </c>
      <c r="R413" s="8" t="str">
        <f t="shared" si="67"/>
        <v/>
      </c>
      <c r="S413" s="28">
        <f>IFERROR('Quality Portfolio'!$G$23,"")</f>
        <v>5</v>
      </c>
      <c r="T413" s="28">
        <f>IFERROR('Quality Portfolio'!$W$23,"")</f>
        <v>4</v>
      </c>
      <c r="U413" s="28">
        <f>IFERROR('Quality Portfolio'!$X$23,"")</f>
        <v>5</v>
      </c>
      <c r="V413" s="28">
        <f>IFERROR('Quality Portfolio'!$Y$23,"")</f>
        <v>5</v>
      </c>
      <c r="W413" s="7" t="s">
        <v>5819</v>
      </c>
      <c r="X413" s="7" t="s">
        <v>5820</v>
      </c>
      <c r="Y413" s="7" t="s">
        <v>5994</v>
      </c>
      <c r="Z413" s="7">
        <f>IFERROR('Quality Portfolio'!$U$23,"")</f>
        <v>0</v>
      </c>
      <c r="AA413" s="7"/>
      <c r="AB413" s="29"/>
      <c r="AC413" s="7"/>
      <c r="AD413" s="48" t="str">
        <f>IF($B413="Yes",IFERROR(SUMIFS(_TECH_Crisis_Model!$D$5:$D$191,_TECH_Crisis_Model!$A$5:$A$191,'Crisis Simulator'!$B$4,_TECH_Crisis_Model!$B$5:$B$191,$C413),1),"")</f>
        <v/>
      </c>
      <c r="AE413" s="48" t="str">
        <f t="shared" si="68"/>
        <v/>
      </c>
      <c r="AF413" s="48" t="str">
        <f>IFERROR(INDEX(_TECH_Crisis_Model!$E$5:$E$191,MATCH('Crisis Simulator'!$B$4&amp;"|"&amp;$C413,_TECH_Crisis_Model!$I$5:$I$191,0)),"")</f>
        <v>Portfolio discipline and benefits realization determine whether scarce resources are focused on the right actions.</v>
      </c>
      <c r="AG413" s="48" t="str">
        <f>IFERROR(INDEX(_TECH_Crisis_Model!$G$5:$G$191,MATCH('Crisis Simulator'!$B$4&amp;"|"&amp;$C413,_TECH_Crisis_Model!$I$5:$I$191,0)),"")</f>
        <v>Prioritize crisis initiatives by value, risk reduction, dependencies and implementation waves.</v>
      </c>
      <c r="AH413" s="48" t="str">
        <f>IFERROR(INDEX(_TECH_Initiative_Library!$A$5:$A$76,MATCH(1,INDEX((_TECH_Initiative_Library!$B$5:$B$76=$C413)*(_TECH_Initiative_Library!$C$5:$C$76=$D413),0),0)),"")</f>
        <v>INI-072</v>
      </c>
      <c r="AI413" s="48" t="str">
        <f>IFERROR(INDEX(_TECH_Initiative_Library!$F$5:$F$76,MATCH(1,INDEX((_TECH_Initiative_Library!$B$5:$B$76=$C413)*(_TECH_Initiative_Library!$C$5:$C$76=$D413),0),0)),"")</f>
        <v>Integrate management system, KPIs and continual improvement cycle</v>
      </c>
      <c r="AJ413" s="48" t="str">
        <f ca="1">IFERROR(INDEX(_TECH_Initiative_Library!$AC$5:$AC$76,MATCH(1,INDEX((_TECH_Initiative_Library!$B$5:$B$76=$C413)*(_TECH_Initiative_Library!$C$5:$C$76=$D413),0),0)),"")</f>
        <v/>
      </c>
      <c r="AK413" s="48" t="str">
        <f ca="1">IFERROR(INDEX(_TECH_Initiative_Library!$AE$5:$AE$76,MATCH(1,INDEX((_TECH_Initiative_Library!$B$5:$B$76=$C413)*(_TECH_Initiative_Library!$C$5:$C$76=$D413),0),0)),"")</f>
        <v/>
      </c>
      <c r="AL413" s="48" t="str">
        <f>IF($B413="Yes",IFERROR(SUMIFS(_TECH_Industry_Templates!$E:$E,_TECH_Industry_Templates!$A:$A,'Company Profile'!$B$9,_TECH_Industry_Templates!$B:$B,$C413),1),"")</f>
        <v/>
      </c>
      <c r="AM413" s="48" t="str">
        <f t="shared" si="69"/>
        <v/>
      </c>
      <c r="AN413" s="48" t="str">
        <f>IF($AM413="","",RANK.EQ($AM413,$AM$8:$AM$414,0)+COUNTIF($AM$8:$AM413,$AM413)-1)</f>
        <v/>
      </c>
    </row>
    <row r="414" spans="1:40" ht="71.25">
      <c r="A414" s="28" t="str">
        <f>IF($AM414="","",RANK.EQ($AM414,$AM$8:$AM$414,0)+COUNTIF($AM$8:$AM414,$AM414)-1)</f>
        <v/>
      </c>
      <c r="B414" s="7" t="str">
        <f t="shared" si="60"/>
        <v/>
      </c>
      <c r="C414" s="7" t="s">
        <v>94</v>
      </c>
      <c r="D414" s="7" t="s">
        <v>1663</v>
      </c>
      <c r="E414" s="7" t="s">
        <v>6002</v>
      </c>
      <c r="F414" s="7" t="s">
        <v>6003</v>
      </c>
      <c r="G414" s="28" t="str">
        <f>IF(OR(COUNTA('Quality Portfolio'!$H$24)=0,'Quality Portfolio'!$H$24="N/A"),"",VALUE('Quality Portfolio'!$H$24))</f>
        <v/>
      </c>
      <c r="H414" s="7" t="str">
        <f t="shared" si="61"/>
        <v/>
      </c>
      <c r="I414" s="7" t="str">
        <f>IF($G414="","",IFERROR(IF('Quality Portfolio'!$L$24="",IF($G414&lt;=1,"Critical",IF($G414=2,"High",IF($G414=3,"Medium",IF($G414=4,"Low","Optimized")))),'Quality Portfolio'!$L$24),IF($G414&lt;=1,"Critical",IF($G414=2,"High",IF($G414=3,"Medium",IF($G414=4,"Low","Optimized"))))))</f>
        <v/>
      </c>
      <c r="J414" s="7" t="str">
        <f>IF($G414="","",IFERROR(INDEX('Recommendation Matrix'!$E$5:$J$411,MATCH($E414,'Recommendation Matrix'!$A$5:$A$411,0),$G414+1),""))</f>
        <v/>
      </c>
      <c r="K414" s="7" t="str">
        <f>IF($G414="","",IFERROR(VLOOKUP($E414,'Recommendation Matrix'!$A$5:$K$411,11,FALSE),""))</f>
        <v/>
      </c>
      <c r="L414" s="28" t="str">
        <f t="shared" si="62"/>
        <v/>
      </c>
      <c r="M414" s="28" t="str">
        <f>IF($G414="","",IFERROR(INDEX('Recommendation Matrix'!$L$5:$Q$411,MATCH($E414,'Recommendation Matrix'!$A$5:$A$411,0),$G414+1),""))</f>
        <v/>
      </c>
      <c r="N414" s="28" t="str">
        <f t="shared" si="63"/>
        <v/>
      </c>
      <c r="O414" s="28" t="str">
        <f t="shared" si="64"/>
        <v/>
      </c>
      <c r="P414" s="28" t="str">
        <f t="shared" si="65"/>
        <v/>
      </c>
      <c r="Q414" s="28" t="str">
        <f t="shared" si="66"/>
        <v/>
      </c>
      <c r="R414" s="8" t="str">
        <f t="shared" si="67"/>
        <v/>
      </c>
      <c r="S414" s="28">
        <f>IFERROR('Quality Portfolio'!$G$24,"")</f>
        <v>3</v>
      </c>
      <c r="T414" s="28">
        <f>IFERROR('Quality Portfolio'!$W$24,"")</f>
        <v>4</v>
      </c>
      <c r="U414" s="28">
        <f>IFERROR('Quality Portfolio'!$X$24,"")</f>
        <v>5</v>
      </c>
      <c r="V414" s="28">
        <f>IFERROR('Quality Portfolio'!$Y$24,"")</f>
        <v>5</v>
      </c>
      <c r="W414" s="7" t="s">
        <v>5819</v>
      </c>
      <c r="X414" s="7" t="s">
        <v>5820</v>
      </c>
      <c r="Y414" s="7" t="s">
        <v>6004</v>
      </c>
      <c r="Z414" s="7">
        <f>IFERROR('Quality Portfolio'!$U$24,"")</f>
        <v>0</v>
      </c>
      <c r="AA414" s="7"/>
      <c r="AB414" s="29"/>
      <c r="AC414" s="7"/>
      <c r="AD414" s="48" t="str">
        <f>IF($B414="Yes",IFERROR(SUMIFS(_TECH_Crisis_Model!$D$5:$D$191,_TECH_Crisis_Model!$A$5:$A$191,'Crisis Simulator'!$B$4,_TECH_Crisis_Model!$B$5:$B$191,$C414),1),"")</f>
        <v/>
      </c>
      <c r="AE414" s="48" t="str">
        <f t="shared" si="68"/>
        <v/>
      </c>
      <c r="AF414" s="48" t="str">
        <f>IFERROR(INDEX(_TECH_Crisis_Model!$E$5:$E$191,MATCH('Crisis Simulator'!$B$4&amp;"|"&amp;$C414,_TECH_Crisis_Model!$I$5:$I$191,0)),"")</f>
        <v>Portfolio discipline and benefits realization determine whether scarce resources are focused on the right actions.</v>
      </c>
      <c r="AG414" s="48" t="str">
        <f>IFERROR(INDEX(_TECH_Crisis_Model!$G$5:$G$191,MATCH('Crisis Simulator'!$B$4&amp;"|"&amp;$C414,_TECH_Crisis_Model!$I$5:$I$191,0)),"")</f>
        <v>Prioritize crisis initiatives by value, risk reduction, dependencies and implementation waves.</v>
      </c>
      <c r="AH414" s="48" t="str">
        <f>IFERROR(INDEX(_TECH_Initiative_Library!$A$5:$A$76,MATCH(1,INDEX((_TECH_Initiative_Library!$B$5:$B$76=$C414)*(_TECH_Initiative_Library!$C$5:$C$76=$D414),0),0)),"")</f>
        <v>INI-072</v>
      </c>
      <c r="AI414" s="48" t="str">
        <f>IFERROR(INDEX(_TECH_Initiative_Library!$F$5:$F$76,MATCH(1,INDEX((_TECH_Initiative_Library!$B$5:$B$76=$C414)*(_TECH_Initiative_Library!$C$5:$C$76=$D414),0),0)),"")</f>
        <v>Integrate management system, KPIs and continual improvement cycle</v>
      </c>
      <c r="AJ414" s="48" t="str">
        <f ca="1">IFERROR(INDEX(_TECH_Initiative_Library!$AC$5:$AC$76,MATCH(1,INDEX((_TECH_Initiative_Library!$B$5:$B$76=$C414)*(_TECH_Initiative_Library!$C$5:$C$76=$D414),0),0)),"")</f>
        <v/>
      </c>
      <c r="AK414" s="48" t="str">
        <f ca="1">IFERROR(INDEX(_TECH_Initiative_Library!$AE$5:$AE$76,MATCH(1,INDEX((_TECH_Initiative_Library!$B$5:$B$76=$C414)*(_TECH_Initiative_Library!$C$5:$C$76=$D414),0),0)),"")</f>
        <v/>
      </c>
      <c r="AL414" s="48" t="str">
        <f>IF($B414="Yes",IFERROR(SUMIFS(_TECH_Industry_Templates!$E:$E,_TECH_Industry_Templates!$A:$A,'Company Profile'!$B$9,_TECH_Industry_Templates!$B:$B,$C414),1),"")</f>
        <v/>
      </c>
      <c r="AM414" s="48" t="str">
        <f t="shared" si="69"/>
        <v/>
      </c>
      <c r="AN414" s="48" t="str">
        <f>IF($AM414="","",RANK.EQ($AM414,$AM$8:$AM$414,0)+COUNTIF($AM$8:$AM414,$AM414)-1)</f>
        <v/>
      </c>
    </row>
  </sheetData>
  <mergeCells count="2">
    <mergeCell ref="A2:AC2"/>
    <mergeCell ref="A1:AC1"/>
  </mergeCells>
  <conditionalFormatting sqref="I8:I414">
    <cfRule type="expression" dxfId="11" priority="2">
      <formula>$I8="Critical"</formula>
    </cfRule>
    <cfRule type="expression" dxfId="10" priority="3">
      <formula>$I8="High"</formula>
    </cfRule>
  </conditionalFormatting>
  <conditionalFormatting sqref="R8:R414">
    <cfRule type="colorScale" priority="1">
      <colorScale>
        <cfvo type="min"/>
        <cfvo type="percentile" val="50"/>
        <cfvo type="max"/>
        <color rgb="FFFCE4D6"/>
        <color rgb="FFFFF2CC"/>
        <color rgb="FFD9EAD3"/>
      </colorScale>
    </cfRule>
  </conditionalFormatting>
  <dataValidations count="1">
    <dataValidation type="list" sqref="AC8:AC414" ns2:uid="{00000000-0002-0000-2600-000000000000}">
      <formula1>"Not started,Planned,In progress,Done,Deferred"</formula1>
    </dataValidation>
  </dataValidation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tableParts count="1">
    <tablePart r:id="rId1"/>
  </tableParts>
</worksheet>
</file>

<file path=xl/worksheets/sheet40.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700-000000000000}">
  <sheetPr>
    <tabColor rgb="FF548235"/>
  </sheetPr>
  <dimension ref="A1:BA414"/>
  <sheetViews>
    <sheetView workbookViewId="0">
      <pane ySplit="7" topLeftCell="A8" activePane="bottomLeft" state="frozen"/>
      <selection pane="bottomLeft" sqref="A1:AE1"/>
    </sheetView>
  </sheetViews>
  <sheetFormatPr defaultRowHeight="14.25"/>
  <cols>
    <col min="1" max="1" width="8" customWidth="1"/>
    <col min="2" max="2" width="11" customWidth="1"/>
    <col min="3" max="3" width="22" customWidth="1"/>
    <col min="4" max="4" width="26" customWidth="1"/>
    <col min="5" max="5" width="12" customWidth="1"/>
    <col min="6" max="6" width="30" customWidth="1"/>
    <col min="7" max="7" width="55" customWidth="1"/>
    <col min="8" max="12" width="12" customWidth="1"/>
    <col min="13" max="13" width="14" customWidth="1"/>
    <col min="14" max="14" width="15" customWidth="1"/>
    <col min="15" max="17" width="12" customWidth="1"/>
    <col min="18" max="18" width="15" customWidth="1"/>
    <col min="19" max="19" width="10" customWidth="1"/>
    <col min="20" max="20" width="55" customWidth="1"/>
    <col min="21" max="21" width="11" customWidth="1"/>
    <col min="22" max="22" width="14" customWidth="1"/>
    <col min="23" max="23" width="13" customWidth="1"/>
    <col min="24" max="24" width="16" customWidth="1"/>
    <col min="25" max="25" width="30" customWidth="1"/>
    <col min="26" max="26" width="20" customWidth="1"/>
    <col min="27" max="27" width="45" customWidth="1"/>
    <col min="28" max="28" width="32" customWidth="1"/>
    <col min="29" max="29" width="18" customWidth="1"/>
    <col min="30" max="30" width="14" customWidth="1"/>
    <col min="31" max="31" width="16" customWidth="1"/>
    <col min="32" max="32" width="55" customWidth="1"/>
    <col min="34" max="34" width="24" customWidth="1"/>
    <col min="35" max="41" width="18" customWidth="1"/>
    <col min="42" max="42" width="20" customWidth="1"/>
    <col min="43" max="43" width="18" customWidth="1"/>
    <col min="44" max="45" width="44" customWidth="1"/>
    <col min="46" max="49" width="22" customWidth="1"/>
    <col min="50" max="52" width="20" customWidth="1"/>
    <col min="53" max="53" width="18" customWidth="1"/>
  </cols>
  <sheetData>
    <row r="1" spans="1:53" ht="27.95" customHeight="1">
      <c r="A1" s="196" t="s">
        <v>8993</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row>
    <row r="2" spans="1:53">
      <c r="A2" s="197" t="s">
        <v>8994</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row>
    <row r="4" spans="1:53" ht="30">
      <c r="A4" s="33" t="s">
        <v>180</v>
      </c>
      <c r="B4" s="33" t="s">
        <v>8971</v>
      </c>
      <c r="C4" s="33" t="s">
        <v>8995</v>
      </c>
      <c r="D4" s="33" t="s">
        <v>8996</v>
      </c>
      <c r="E4" s="33" t="s">
        <v>752</v>
      </c>
      <c r="F4" s="33" t="s">
        <v>146</v>
      </c>
      <c r="G4" s="33" t="s">
        <v>8975</v>
      </c>
      <c r="H4" s="33" t="s">
        <v>8997</v>
      </c>
      <c r="AH4" s="31" t="s">
        <v>36</v>
      </c>
      <c r="AI4" s="31" t="s">
        <v>180</v>
      </c>
      <c r="AJ4" s="31" t="s">
        <v>1840</v>
      </c>
      <c r="AK4" s="31" t="s">
        <v>8998</v>
      </c>
      <c r="AL4" s="31" t="s">
        <v>8999</v>
      </c>
      <c r="AM4" s="31" t="s">
        <v>9000</v>
      </c>
      <c r="AN4" s="31" t="s">
        <v>9001</v>
      </c>
    </row>
    <row r="5" spans="1:53" ht="15.75">
      <c r="A5" s="34">
        <f>COUNTIF($B$8:$B$414,"Yes")</f>
        <v>0</v>
      </c>
      <c r="B5" s="34">
        <f>COUNTIFS($B$8:$B$414,"Yes",$I$8:$I$414,"Critical")+COUNTIFS($B$8:$B$414,"Yes",$I$8:$I$414,"High")</f>
        <v>0</v>
      </c>
      <c r="C5" s="35" t="str">
        <f>IFERROR(ROUND(AVERAGEIFS($L$8:$L$414,$B$8:$B$414,"Yes"),1),"")</f>
        <v/>
      </c>
      <c r="D5" s="34">
        <f>IFERROR(MAX($L$8:$L$414),"")</f>
        <v>0</v>
      </c>
      <c r="E5" s="35" t="str">
        <f>IFERROR(ROUND(AVERAGEIFS($S$8:$S$414,$B$8:$B$414,"Yes"),2),"")</f>
        <v/>
      </c>
      <c r="F5" s="35">
        <f>IFERROR(MAX($S$8:$S$414),"")</f>
        <v>0</v>
      </c>
      <c r="G5" s="34">
        <f>COUNT($H$8:$H$414)</f>
        <v>0</v>
      </c>
      <c r="H5" s="34">
        <f>ROWS($H$8:$H$414)-COUNT($H$8:$H$414)</f>
        <v>407</v>
      </c>
      <c r="AH5" s="36" t="s">
        <v>54</v>
      </c>
      <c r="AI5" s="36">
        <f t="shared" ref="AI5:AI21" si="0">COUNTIFS($C$8:$C$414,AH5,$B$8:$B$414,"Yes")</f>
        <v>0</v>
      </c>
      <c r="AJ5" s="36">
        <f t="shared" ref="AJ5:AJ21" si="1">COUNTIFS($C$8:$C$414,AH5,$B$8:$B$414,"Yes",$I$8:$I$414,"Critical")+COUNTIFS($C$8:$C$414,AH5,$B$8:$B$414,"Yes",$I$8:$I$414,"High")</f>
        <v>0</v>
      </c>
      <c r="AK5" s="36" t="str">
        <f t="shared" ref="AK5:AK21" si="2">IFERROR(ROUND(AVERAGEIFS($L$8:$L$414,$C$8:$C$414,AH5,$B$8:$B$414,"Yes"),1),"")</f>
        <v/>
      </c>
      <c r="AL5" s="36" t="str">
        <f ca="1">IFERROR(MAXIFS($L$8:$L$414,$C$8:$C$414,AH5,$B$8:$B$414,"Yes"),"")</f>
        <v/>
      </c>
      <c r="AM5" s="36" t="str">
        <f t="shared" ref="AM5:AM21" si="3">IFERROR(ROUND(AVERAGEIFS($S$8:$S$414,$C$8:$C$414,AH5,$B$8:$B$414,"Yes"),2),"")</f>
        <v/>
      </c>
      <c r="AN5" s="36">
        <f t="shared" ref="AN5:AN21" si="4">COUNTIFS($C$8:$C$414,AH5,$H$8:$H$414,"")</f>
        <v>20</v>
      </c>
    </row>
    <row r="6" spans="1:53">
      <c r="AH6" s="36" t="s">
        <v>57</v>
      </c>
      <c r="AI6" s="36">
        <f t="shared" si="0"/>
        <v>0</v>
      </c>
      <c r="AJ6" s="36">
        <f t="shared" si="1"/>
        <v>0</v>
      </c>
      <c r="AK6" s="36" t="str">
        <f t="shared" si="2"/>
        <v/>
      </c>
      <c r="AL6" s="36" t="str">
        <f ca="1">IFERROR(MAXIFS($L$8:$L$414,$C$8:$C$414,AH6,$B$8:$B$414,"Yes"),"")</f>
        <v/>
      </c>
      <c r="AM6" s="36" t="str">
        <f t="shared" si="3"/>
        <v/>
      </c>
      <c r="AN6" s="36">
        <f t="shared" si="4"/>
        <v>24</v>
      </c>
    </row>
    <row r="7" spans="1:53" ht="42" customHeight="1">
      <c r="A7" s="31" t="s">
        <v>196</v>
      </c>
      <c r="B7" s="31" t="s">
        <v>8976</v>
      </c>
      <c r="C7" s="31" t="s">
        <v>36</v>
      </c>
      <c r="D7" s="31" t="s">
        <v>759</v>
      </c>
      <c r="E7" s="31" t="s">
        <v>6037</v>
      </c>
      <c r="F7" s="31" t="s">
        <v>9002</v>
      </c>
      <c r="G7" s="31" t="s">
        <v>9003</v>
      </c>
      <c r="H7" s="31" t="s">
        <v>8977</v>
      </c>
      <c r="I7" s="31" t="s">
        <v>222</v>
      </c>
      <c r="J7" s="31" t="s">
        <v>9004</v>
      </c>
      <c r="K7" s="31" t="s">
        <v>9005</v>
      </c>
      <c r="L7" s="31" t="s">
        <v>347</v>
      </c>
      <c r="M7" s="31" t="s">
        <v>9006</v>
      </c>
      <c r="N7" s="31" t="s">
        <v>327</v>
      </c>
      <c r="O7" s="31" t="s">
        <v>761</v>
      </c>
      <c r="P7" s="31" t="s">
        <v>762</v>
      </c>
      <c r="Q7" s="31" t="s">
        <v>763</v>
      </c>
      <c r="R7" s="31" t="s">
        <v>764</v>
      </c>
      <c r="S7" s="31" t="s">
        <v>329</v>
      </c>
      <c r="T7" s="31" t="s">
        <v>9007</v>
      </c>
      <c r="U7" s="31" t="s">
        <v>8980</v>
      </c>
      <c r="V7" s="31" t="s">
        <v>8981</v>
      </c>
      <c r="W7" s="31" t="s">
        <v>8982</v>
      </c>
      <c r="X7" s="31" t="s">
        <v>8983</v>
      </c>
      <c r="Y7" s="31" t="s">
        <v>6051</v>
      </c>
      <c r="Z7" s="31" t="s">
        <v>1832</v>
      </c>
      <c r="AA7" s="31" t="s">
        <v>1822</v>
      </c>
      <c r="AB7" s="31" t="s">
        <v>1833</v>
      </c>
      <c r="AC7" s="31" t="s">
        <v>9008</v>
      </c>
      <c r="AD7" s="31" t="s">
        <v>8985</v>
      </c>
      <c r="AE7" s="31" t="s">
        <v>781</v>
      </c>
      <c r="AF7" s="31" t="s">
        <v>9009</v>
      </c>
      <c r="AH7" s="36" t="s">
        <v>60</v>
      </c>
      <c r="AI7" s="36">
        <f t="shared" si="0"/>
        <v>0</v>
      </c>
      <c r="AJ7" s="36">
        <f t="shared" si="1"/>
        <v>0</v>
      </c>
      <c r="AK7" s="36" t="str">
        <f t="shared" si="2"/>
        <v/>
      </c>
      <c r="AL7" s="36" t="str">
        <f ca="1">IFERROR(MAXIFS($L$8:$L$414,$C$8:$C$414,AH7,$B$8:$B$414,"Yes"),"")</f>
        <v/>
      </c>
      <c r="AM7" s="36" t="str">
        <f t="shared" si="3"/>
        <v/>
      </c>
      <c r="AN7" s="36">
        <f t="shared" si="4"/>
        <v>19</v>
      </c>
      <c r="AO7" s="49" t="s">
        <v>8986</v>
      </c>
      <c r="AP7" s="49" t="s">
        <v>9010</v>
      </c>
      <c r="AQ7" s="49" t="s">
        <v>8987</v>
      </c>
      <c r="AR7" s="49" t="s">
        <v>709</v>
      </c>
      <c r="AS7" s="49" t="s">
        <v>8988</v>
      </c>
      <c r="AT7" s="50" t="s">
        <v>8989</v>
      </c>
      <c r="AU7" s="50" t="s">
        <v>8990</v>
      </c>
      <c r="AV7" s="50" t="s">
        <v>8991</v>
      </c>
      <c r="AW7" s="50" t="s">
        <v>8992</v>
      </c>
      <c r="AX7" s="50" t="s">
        <v>1846</v>
      </c>
      <c r="AY7" s="50" t="s">
        <v>9011</v>
      </c>
      <c r="AZ7" s="50" t="s">
        <v>994</v>
      </c>
      <c r="BA7" s="50" t="s">
        <v>739</v>
      </c>
    </row>
    <row r="8" spans="1:53" ht="69.95" customHeight="1">
      <c r="A8" s="36" t="str">
        <f>IF($AZ8="","",RANK.EQ($AZ8,$AZ$8:$AZ$414,0)+COUNTIF($AZ$8:$AZ8,$AZ8)-1)</f>
        <v/>
      </c>
      <c r="B8" s="36" t="str">
        <f t="shared" ref="B8:B71" si="5">IF($H8="","",IF($H8&lt;5,"Yes","Maintain"))</f>
        <v/>
      </c>
      <c r="C8" s="36" t="s">
        <v>54</v>
      </c>
      <c r="D8" s="36" t="s">
        <v>998</v>
      </c>
      <c r="E8" s="36" t="s">
        <v>1851</v>
      </c>
      <c r="F8" s="36" t="s">
        <v>183</v>
      </c>
      <c r="G8" s="36" t="str">
        <f>IF($H8="","",IFERROR(INDEX('Risk Library'!$H$5:$M$411,MATCH($E8,'Risk Library'!$A$5:$A$411,0),$H8+1),""))</f>
        <v/>
      </c>
      <c r="H8" s="37" t="str">
        <f>IF(OR(COUNTA('Company Geography'!$H$5)=0,'Company Geography'!$H$5="N/A"),"",VALUE('Company Geography'!$H$5))</f>
        <v/>
      </c>
      <c r="I8" s="36" t="str">
        <f>IF($H8="","",IFERROR(IF('Company Geography'!$L$5="",IF($H8&lt;=1,"Critical",IF($H8=2,"High",IF($H8=3,"Medium",IF($H8=4,"Low","Resilient")))),'Company Geography'!$L$5),IF($H8&lt;=1,"Critical",IF($H8=2,"High",IF($H8=3,"Medium",IF($H8=4,"Low","Resilient"))))))</f>
        <v/>
      </c>
      <c r="J8" s="37" t="str">
        <f t="shared" ref="J8:J71" si="6">IF($H8="","",MAX(1,6-$H8))</f>
        <v/>
      </c>
      <c r="K8" s="37" t="str">
        <f t="shared" ref="K8:K71" si="7">IF($H8="","",MAX(1,MIN(5,ROUNDUP(($U8*0.45)+($W8*0.35)+($X8*0.2),0))))</f>
        <v/>
      </c>
      <c r="L8" s="37" t="str">
        <f t="shared" ref="L8:L71" si="8">IF($H8="","",$J8*$K8)</f>
        <v/>
      </c>
      <c r="M8" s="37" t="str">
        <f t="shared" ref="M8:M71" si="9">IF($H8="","",MAX(1,MIN(5,ROUNDUP($L8/5,0))))</f>
        <v/>
      </c>
      <c r="N8" s="37" t="str">
        <f>IF($H8="","",IFERROR(INDEX('Risk Library'!$T$5:$Y$411,MATCH($E8,'Risk Library'!$A$5:$A$411,0),$H8+1),""))</f>
        <v/>
      </c>
      <c r="O8" s="37" t="str">
        <f t="shared" ref="O8:O71" si="10">IF($H8="","",MAX(1,MIN(5,ROUND(($U8+$V8+$X8)/3,0))))</f>
        <v/>
      </c>
      <c r="P8" s="37" t="str">
        <f t="shared" ref="P8:P71" si="11">IF($H8="","",IF($I8="Critical",5,IF($I8="High",4,IF($I8="Medium",3,IF($I8="Low",2,1)))))</f>
        <v/>
      </c>
      <c r="Q8" s="37" t="str">
        <f t="shared" ref="Q8:Q71" si="12">IF($H8="","",MAX(1,MIN(5,ROUNDUP(((5-$H8)*0.65)+($W8*0.35),0))))</f>
        <v/>
      </c>
      <c r="R8" s="37" t="str">
        <f t="shared" ref="R8:R71" si="13">IF($H8="","",MAX(1,MIN(5,ROUND(($V8+$X8)/2,0))))</f>
        <v/>
      </c>
      <c r="S8" s="38" t="str">
        <f t="shared" ref="S8:S71" si="14">IF($H8="","",ROUND(($O8+$P8+$Q8+$R8)/$N8,2))</f>
        <v/>
      </c>
      <c r="T8" s="36" t="str">
        <f>IF($H8="","",IFERROR(INDEX('Risk Library'!$N$5:$S$411,MATCH($E8,'Risk Library'!$A$5:$A$411,0),$H8+1),""))</f>
        <v/>
      </c>
      <c r="U8" s="37">
        <f>IFERROR('Company Geography'!$G$5,"")</f>
        <v>3</v>
      </c>
      <c r="V8" s="37">
        <f>IFERROR('Company Geography'!$W$5,"")</f>
        <v>4</v>
      </c>
      <c r="W8" s="37">
        <f>IFERROR('Company Geography'!$X$5,"")</f>
        <v>5</v>
      </c>
      <c r="X8" s="37">
        <f>IFERROR('Company Geography'!$Y$5,"")</f>
        <v>5</v>
      </c>
      <c r="Y8" s="36" t="s">
        <v>1862</v>
      </c>
      <c r="Z8" s="36" t="s">
        <v>1863</v>
      </c>
      <c r="AA8" s="36" t="s">
        <v>1855</v>
      </c>
      <c r="AB8" s="36">
        <f>IFERROR('Company Geography'!$U$5,"")</f>
        <v>0</v>
      </c>
      <c r="AC8" s="36"/>
      <c r="AD8" s="36"/>
      <c r="AE8" s="36"/>
      <c r="AF8" s="36" t="s">
        <v>1852</v>
      </c>
      <c r="AH8" s="36" t="s">
        <v>63</v>
      </c>
      <c r="AI8" s="36">
        <f t="shared" si="0"/>
        <v>0</v>
      </c>
      <c r="AJ8" s="36">
        <f t="shared" si="1"/>
        <v>0</v>
      </c>
      <c r="AK8" s="36" t="str">
        <f t="shared" si="2"/>
        <v/>
      </c>
      <c r="AL8" s="36" t="str">
        <f ca="1">IFERROR(MAXIFS($L$8:$L$414,$C$8:$C$414,AH8,$B$8:$B$414,"Yes"),"")</f>
        <v/>
      </c>
      <c r="AM8" s="36" t="str">
        <f t="shared" si="3"/>
        <v/>
      </c>
      <c r="AN8" s="36">
        <f t="shared" si="4"/>
        <v>24</v>
      </c>
      <c r="AO8" s="48" t="str">
        <f>IF($B8="Yes",IFERROR(SUMIFS(_TECH_Crisis_Model!$D$5:$D$191,_TECH_Crisis_Model!$A$5:$A$191,'Crisis Simulator'!$B$4,_TECH_Crisis_Model!$B$5:$B$191,$C8),1),"")</f>
        <v/>
      </c>
      <c r="AP8" s="48" t="str">
        <f t="shared" ref="AP8:AP71" si="15">IF(AO8="","",ROUND($L8*AO8,1))</f>
        <v/>
      </c>
      <c r="AQ8" s="48" t="str">
        <f t="shared" ref="AQ8:AQ71" si="16">IF(AO8="","",ROUND($S8*(0.7+0.3*AO8),2))</f>
        <v/>
      </c>
      <c r="AR8" s="48" t="str">
        <f>IFERROR(INDEX(_TECH_Crisis_Model!$E$5:$E$191,MATCH('Crisis Simulator'!$B$4&amp;"|"&amp;$C8,_TECH_Crisis_Model!$I$5:$I$191,0)),"")</f>
        <v>Geographic concentration, legal entity exposure and site dependency can amplify crisis impact.</v>
      </c>
      <c r="AS8" s="48" t="str">
        <f>IFERROR(INDEX(_TECH_Crisis_Model!$G$5:$G$191,MATCH('Crisis Simulator'!$B$4&amp;"|"&amp;$C8,_TECH_Crisis_Model!$I$5:$I$191,0)),"")</f>
        <v>Map entities, locations, markets, revenue exposure and alternate operating options.</v>
      </c>
      <c r="AT8" s="48" t="str">
        <f>IFERROR(INDEX(_TECH_Initiative_Library!$A$5:$A$76,MATCH(1,INDEX((_TECH_Initiative_Library!$B$5:$B$76=$C8)*(_TECH_Initiative_Library!$C$5:$C$76=$D8),0),0)),"")</f>
        <v>INI-001</v>
      </c>
      <c r="AU8" s="48" t="str">
        <f>IFERROR(INDEX(_TECH_Initiative_Library!$F$5:$F$76,MATCH(1,INDEX((_TECH_Initiative_Library!$B$5:$B$76=$C8)*(_TECH_Initiative_Library!$C$5:$C$76=$D8),0),0)),"")</f>
        <v>Create company context, entity and operating model register</v>
      </c>
      <c r="AV8" s="48" t="str">
        <f ca="1">IFERROR(INDEX(_TECH_Initiative_Library!$AC$5:$AC$76,MATCH(1,INDEX((_TECH_Initiative_Library!$B$5:$B$76=$C8)*(_TECH_Initiative_Library!$C$5:$C$76=$D8),0),0)),"")</f>
        <v/>
      </c>
      <c r="AW8" s="48" t="str">
        <f ca="1">IFERROR(INDEX(_TECH_Initiative_Library!$AE$5:$AE$76,MATCH(1,INDEX((_TECH_Initiative_Library!$B$5:$B$76=$C8)*(_TECH_Initiative_Library!$C$5:$C$76=$D8),0),0)),"")</f>
        <v/>
      </c>
      <c r="AX8" s="48" t="str">
        <f>IF($B8="Yes",IFERROR(SUMIFS(_TECH_Industry_Templates!$E:$E,_TECH_Industry_Templates!$A:$A,'Company Profile'!$B$9,_TECH_Industry_Templates!$B:$B,$C8),1),"")</f>
        <v/>
      </c>
      <c r="AY8" s="48" t="str">
        <f t="shared" ref="AY8:AY71" si="17">IF($L8="","",ROUND(IF($AP8="",$L8,$AP8)*$AX8,2))</f>
        <v/>
      </c>
      <c r="AZ8" s="48" t="str">
        <f t="shared" ref="AZ8:AZ71" si="18">IF($S8="","",ROUND(IF($AQ8="",$S8,$AQ8)*$AX8,2))</f>
        <v/>
      </c>
      <c r="BA8" s="48" t="str">
        <f>IF($AZ8="","",RANK.EQ($AZ8,$AZ$8:$AZ$414,0)+COUNTIF($AZ$8:$AZ8,$AZ8)-1)</f>
        <v/>
      </c>
    </row>
    <row r="9" spans="1:53" ht="69.95" customHeight="1">
      <c r="A9" s="36" t="str">
        <f>IF($AZ9="","",RANK.EQ($AZ9,$AZ$8:$AZ$414,0)+COUNTIF($AZ$8:$AZ9,$AZ9)-1)</f>
        <v/>
      </c>
      <c r="B9" s="36" t="str">
        <f t="shared" si="5"/>
        <v/>
      </c>
      <c r="C9" s="36" t="s">
        <v>54</v>
      </c>
      <c r="D9" s="36" t="s">
        <v>998</v>
      </c>
      <c r="E9" s="36" t="s">
        <v>1865</v>
      </c>
      <c r="F9" s="36" t="s">
        <v>183</v>
      </c>
      <c r="G9" s="36" t="str">
        <f>IF($H9="","",IFERROR(INDEX('Risk Library'!$H$5:$M$411,MATCH($E9,'Risk Library'!$A$5:$A$411,0),$H9+1),""))</f>
        <v/>
      </c>
      <c r="H9" s="37" t="str">
        <f>IF(OR(COUNTA('Company Geography'!$H$6)=0,'Company Geography'!$H$6="N/A"),"",VALUE('Company Geography'!$H$6))</f>
        <v/>
      </c>
      <c r="I9" s="36" t="str">
        <f>IF($H9="","",IFERROR(IF('Company Geography'!$L$6="",IF($H9&lt;=1,"Critical",IF($H9=2,"High",IF($H9=3,"Medium",IF($H9=4,"Low","Resilient")))),'Company Geography'!$L$6),IF($H9&lt;=1,"Critical",IF($H9=2,"High",IF($H9=3,"Medium",IF($H9=4,"Low","Resilient"))))))</f>
        <v/>
      </c>
      <c r="J9" s="37" t="str">
        <f t="shared" si="6"/>
        <v/>
      </c>
      <c r="K9" s="37" t="str">
        <f t="shared" si="7"/>
        <v/>
      </c>
      <c r="L9" s="37" t="str">
        <f t="shared" si="8"/>
        <v/>
      </c>
      <c r="M9" s="37" t="str">
        <f t="shared" si="9"/>
        <v/>
      </c>
      <c r="N9" s="37" t="str">
        <f>IF($H9="","",IFERROR(INDEX('Risk Library'!$T$5:$Y$411,MATCH($E9,'Risk Library'!$A$5:$A$411,0),$H9+1),""))</f>
        <v/>
      </c>
      <c r="O9" s="37" t="str">
        <f t="shared" si="10"/>
        <v/>
      </c>
      <c r="P9" s="37" t="str">
        <f t="shared" si="11"/>
        <v/>
      </c>
      <c r="Q9" s="37" t="str">
        <f t="shared" si="12"/>
        <v/>
      </c>
      <c r="R9" s="37" t="str">
        <f t="shared" si="13"/>
        <v/>
      </c>
      <c r="S9" s="38" t="str">
        <f t="shared" si="14"/>
        <v/>
      </c>
      <c r="T9" s="36" t="str">
        <f>IF($H9="","",IFERROR(INDEX('Risk Library'!$N$5:$S$411,MATCH($E9,'Risk Library'!$A$5:$A$411,0),$H9+1),""))</f>
        <v/>
      </c>
      <c r="U9" s="37">
        <f>IFERROR('Company Geography'!$G$6,"")</f>
        <v>5</v>
      </c>
      <c r="V9" s="37">
        <f>IFERROR('Company Geography'!$W$6,"")</f>
        <v>4</v>
      </c>
      <c r="W9" s="37">
        <f>IFERROR('Company Geography'!$X$6,"")</f>
        <v>5</v>
      </c>
      <c r="X9" s="37">
        <f>IFERROR('Company Geography'!$Y$6,"")</f>
        <v>5</v>
      </c>
      <c r="Y9" s="36" t="s">
        <v>1862</v>
      </c>
      <c r="Z9" s="36" t="s">
        <v>1863</v>
      </c>
      <c r="AA9" s="36" t="s">
        <v>1867</v>
      </c>
      <c r="AB9" s="36">
        <f>IFERROR('Company Geography'!$U$6,"")</f>
        <v>0</v>
      </c>
      <c r="AC9" s="36"/>
      <c r="AD9" s="36"/>
      <c r="AE9" s="36"/>
      <c r="AF9" s="36" t="s">
        <v>1866</v>
      </c>
      <c r="AH9" s="36" t="s">
        <v>66</v>
      </c>
      <c r="AI9" s="36">
        <f t="shared" si="0"/>
        <v>0</v>
      </c>
      <c r="AJ9" s="36">
        <f t="shared" si="1"/>
        <v>0</v>
      </c>
      <c r="AK9" s="36" t="str">
        <f t="shared" si="2"/>
        <v/>
      </c>
      <c r="AL9" s="36" t="str">
        <f ca="1">IFERROR(MAXIFS($L$8:$L$414,$C$8:$C$414,AH9,$B$8:$B$414,"Yes"),"")</f>
        <v/>
      </c>
      <c r="AM9" s="36" t="str">
        <f t="shared" si="3"/>
        <v/>
      </c>
      <c r="AN9" s="36">
        <f t="shared" si="4"/>
        <v>24</v>
      </c>
      <c r="AO9" s="48" t="str">
        <f>IF($B9="Yes",IFERROR(SUMIFS(_TECH_Crisis_Model!$D$5:$D$191,_TECH_Crisis_Model!$A$5:$A$191,'Crisis Simulator'!$B$4,_TECH_Crisis_Model!$B$5:$B$191,$C9),1),"")</f>
        <v/>
      </c>
      <c r="AP9" s="48" t="str">
        <f t="shared" si="15"/>
        <v/>
      </c>
      <c r="AQ9" s="48" t="str">
        <f t="shared" si="16"/>
        <v/>
      </c>
      <c r="AR9" s="48" t="str">
        <f>IFERROR(INDEX(_TECH_Crisis_Model!$E$5:$E$191,MATCH('Crisis Simulator'!$B$4&amp;"|"&amp;$C9,_TECH_Crisis_Model!$I$5:$I$191,0)),"")</f>
        <v>Geographic concentration, legal entity exposure and site dependency can amplify crisis impact.</v>
      </c>
      <c r="AS9" s="48" t="str">
        <f>IFERROR(INDEX(_TECH_Crisis_Model!$G$5:$G$191,MATCH('Crisis Simulator'!$B$4&amp;"|"&amp;$C9,_TECH_Crisis_Model!$I$5:$I$191,0)),"")</f>
        <v>Map entities, locations, markets, revenue exposure and alternate operating options.</v>
      </c>
      <c r="AT9" s="48" t="str">
        <f>IFERROR(INDEX(_TECH_Initiative_Library!$A$5:$A$76,MATCH(1,INDEX((_TECH_Initiative_Library!$B$5:$B$76=$C9)*(_TECH_Initiative_Library!$C$5:$C$76=$D9),0),0)),"")</f>
        <v>INI-001</v>
      </c>
      <c r="AU9" s="48" t="str">
        <f>IFERROR(INDEX(_TECH_Initiative_Library!$F$5:$F$76,MATCH(1,INDEX((_TECH_Initiative_Library!$B$5:$B$76=$C9)*(_TECH_Initiative_Library!$C$5:$C$76=$D9),0),0)),"")</f>
        <v>Create company context, entity and operating model register</v>
      </c>
      <c r="AV9" s="48" t="str">
        <f ca="1">IFERROR(INDEX(_TECH_Initiative_Library!$AC$5:$AC$76,MATCH(1,INDEX((_TECH_Initiative_Library!$B$5:$B$76=$C9)*(_TECH_Initiative_Library!$C$5:$C$76=$D9),0),0)),"")</f>
        <v/>
      </c>
      <c r="AW9" s="48" t="str">
        <f ca="1">IFERROR(INDEX(_TECH_Initiative_Library!$AE$5:$AE$76,MATCH(1,INDEX((_TECH_Initiative_Library!$B$5:$B$76=$C9)*(_TECH_Initiative_Library!$C$5:$C$76=$D9),0),0)),"")</f>
        <v/>
      </c>
      <c r="AX9" s="48" t="str">
        <f>IF($B9="Yes",IFERROR(SUMIFS(_TECH_Industry_Templates!$E:$E,_TECH_Industry_Templates!$A:$A,'Company Profile'!$B$9,_TECH_Industry_Templates!$B:$B,$C9),1),"")</f>
        <v/>
      </c>
      <c r="AY9" s="48" t="str">
        <f t="shared" si="17"/>
        <v/>
      </c>
      <c r="AZ9" s="48" t="str">
        <f t="shared" si="18"/>
        <v/>
      </c>
      <c r="BA9" s="48" t="str">
        <f>IF($AZ9="","",RANK.EQ($AZ9,$AZ$8:$AZ$414,0)+COUNTIF($AZ$8:$AZ9,$AZ9)-1)</f>
        <v/>
      </c>
    </row>
    <row r="10" spans="1:53" ht="69.95" customHeight="1">
      <c r="A10" s="36" t="str">
        <f>IF($AZ10="","",RANK.EQ($AZ10,$AZ$8:$AZ$414,0)+COUNTIF($AZ$8:$AZ10,$AZ10)-1)</f>
        <v/>
      </c>
      <c r="B10" s="36" t="str">
        <f t="shared" si="5"/>
        <v/>
      </c>
      <c r="C10" s="36" t="s">
        <v>54</v>
      </c>
      <c r="D10" s="36" t="s">
        <v>998</v>
      </c>
      <c r="E10" s="36" t="s">
        <v>1875</v>
      </c>
      <c r="F10" s="36" t="s">
        <v>183</v>
      </c>
      <c r="G10" s="36" t="str">
        <f>IF($H10="","",IFERROR(INDEX('Risk Library'!$H$5:$M$411,MATCH($E10,'Risk Library'!$A$5:$A$411,0),$H10+1),""))</f>
        <v/>
      </c>
      <c r="H10" s="37" t="str">
        <f>IF(OR(COUNTA('Company Geography'!$H$7)=0,'Company Geography'!$H$7="N/A"),"",VALUE('Company Geography'!$H$7))</f>
        <v/>
      </c>
      <c r="I10" s="36" t="str">
        <f>IF($H10="","",IFERROR(IF('Company Geography'!$L$7="",IF($H10&lt;=1,"Critical",IF($H10=2,"High",IF($H10=3,"Medium",IF($H10=4,"Low","Resilient")))),'Company Geography'!$L$7),IF($H10&lt;=1,"Critical",IF($H10=2,"High",IF($H10=3,"Medium",IF($H10=4,"Low","Resilient"))))))</f>
        <v/>
      </c>
      <c r="J10" s="37" t="str">
        <f t="shared" si="6"/>
        <v/>
      </c>
      <c r="K10" s="37" t="str">
        <f t="shared" si="7"/>
        <v/>
      </c>
      <c r="L10" s="37" t="str">
        <f t="shared" si="8"/>
        <v/>
      </c>
      <c r="M10" s="37" t="str">
        <f t="shared" si="9"/>
        <v/>
      </c>
      <c r="N10" s="37" t="str">
        <f>IF($H10="","",IFERROR(INDEX('Risk Library'!$T$5:$Y$411,MATCH($E10,'Risk Library'!$A$5:$A$411,0),$H10+1),""))</f>
        <v/>
      </c>
      <c r="O10" s="37" t="str">
        <f t="shared" si="10"/>
        <v/>
      </c>
      <c r="P10" s="37" t="str">
        <f t="shared" si="11"/>
        <v/>
      </c>
      <c r="Q10" s="37" t="str">
        <f t="shared" si="12"/>
        <v/>
      </c>
      <c r="R10" s="37" t="str">
        <f t="shared" si="13"/>
        <v/>
      </c>
      <c r="S10" s="38" t="str">
        <f t="shared" si="14"/>
        <v/>
      </c>
      <c r="T10" s="36" t="str">
        <f>IF($H10="","",IFERROR(INDEX('Risk Library'!$N$5:$S$411,MATCH($E10,'Risk Library'!$A$5:$A$411,0),$H10+1),""))</f>
        <v/>
      </c>
      <c r="U10" s="37">
        <f>IFERROR('Company Geography'!$G$7,"")</f>
        <v>5</v>
      </c>
      <c r="V10" s="37">
        <f>IFERROR('Company Geography'!$W$7,"")</f>
        <v>4</v>
      </c>
      <c r="W10" s="37">
        <f>IFERROR('Company Geography'!$X$7,"")</f>
        <v>5</v>
      </c>
      <c r="X10" s="37">
        <f>IFERROR('Company Geography'!$Y$7,"")</f>
        <v>5</v>
      </c>
      <c r="Y10" s="36" t="s">
        <v>1862</v>
      </c>
      <c r="Z10" s="36" t="s">
        <v>1863</v>
      </c>
      <c r="AA10" s="36" t="s">
        <v>1877</v>
      </c>
      <c r="AB10" s="36">
        <f>IFERROR('Company Geography'!$U$7,"")</f>
        <v>0</v>
      </c>
      <c r="AC10" s="36"/>
      <c r="AD10" s="36"/>
      <c r="AE10" s="36"/>
      <c r="AF10" s="36" t="s">
        <v>1876</v>
      </c>
      <c r="AH10" s="36" t="s">
        <v>69</v>
      </c>
      <c r="AI10" s="36">
        <f t="shared" si="0"/>
        <v>0</v>
      </c>
      <c r="AJ10" s="36">
        <f t="shared" si="1"/>
        <v>0</v>
      </c>
      <c r="AK10" s="36" t="str">
        <f t="shared" si="2"/>
        <v/>
      </c>
      <c r="AL10" s="36" t="str">
        <f ca="1">IFERROR(MAXIFS($L$8:$L$414,$C$8:$C$414,AH10,$B$8:$B$414,"Yes"),"")</f>
        <v/>
      </c>
      <c r="AM10" s="36" t="str">
        <f t="shared" si="3"/>
        <v/>
      </c>
      <c r="AN10" s="36">
        <f t="shared" si="4"/>
        <v>20</v>
      </c>
      <c r="AO10" s="48" t="str">
        <f>IF($B10="Yes",IFERROR(SUMIFS(_TECH_Crisis_Model!$D$5:$D$191,_TECH_Crisis_Model!$A$5:$A$191,'Crisis Simulator'!$B$4,_TECH_Crisis_Model!$B$5:$B$191,$C10),1),"")</f>
        <v/>
      </c>
      <c r="AP10" s="48" t="str">
        <f t="shared" si="15"/>
        <v/>
      </c>
      <c r="AQ10" s="48" t="str">
        <f t="shared" si="16"/>
        <v/>
      </c>
      <c r="AR10" s="48" t="str">
        <f>IFERROR(INDEX(_TECH_Crisis_Model!$E$5:$E$191,MATCH('Crisis Simulator'!$B$4&amp;"|"&amp;$C10,_TECH_Crisis_Model!$I$5:$I$191,0)),"")</f>
        <v>Geographic concentration, legal entity exposure and site dependency can amplify crisis impact.</v>
      </c>
      <c r="AS10" s="48" t="str">
        <f>IFERROR(INDEX(_TECH_Crisis_Model!$G$5:$G$191,MATCH('Crisis Simulator'!$B$4&amp;"|"&amp;$C10,_TECH_Crisis_Model!$I$5:$I$191,0)),"")</f>
        <v>Map entities, locations, markets, revenue exposure and alternate operating options.</v>
      </c>
      <c r="AT10" s="48" t="str">
        <f>IFERROR(INDEX(_TECH_Initiative_Library!$A$5:$A$76,MATCH(1,INDEX((_TECH_Initiative_Library!$B$5:$B$76=$C10)*(_TECH_Initiative_Library!$C$5:$C$76=$D10),0),0)),"")</f>
        <v>INI-001</v>
      </c>
      <c r="AU10" s="48" t="str">
        <f>IFERROR(INDEX(_TECH_Initiative_Library!$F$5:$F$76,MATCH(1,INDEX((_TECH_Initiative_Library!$B$5:$B$76=$C10)*(_TECH_Initiative_Library!$C$5:$C$76=$D10),0),0)),"")</f>
        <v>Create company context, entity and operating model register</v>
      </c>
      <c r="AV10" s="48" t="str">
        <f ca="1">IFERROR(INDEX(_TECH_Initiative_Library!$AC$5:$AC$76,MATCH(1,INDEX((_TECH_Initiative_Library!$B$5:$B$76=$C10)*(_TECH_Initiative_Library!$C$5:$C$76=$D10),0),0)),"")</f>
        <v/>
      </c>
      <c r="AW10" s="48" t="str">
        <f ca="1">IFERROR(INDEX(_TECH_Initiative_Library!$AE$5:$AE$76,MATCH(1,INDEX((_TECH_Initiative_Library!$B$5:$B$76=$C10)*(_TECH_Initiative_Library!$C$5:$C$76=$D10),0),0)),"")</f>
        <v/>
      </c>
      <c r="AX10" s="48" t="str">
        <f>IF($B10="Yes",IFERROR(SUMIFS(_TECH_Industry_Templates!$E:$E,_TECH_Industry_Templates!$A:$A,'Company Profile'!$B$9,_TECH_Industry_Templates!$B:$B,$C10),1),"")</f>
        <v/>
      </c>
      <c r="AY10" s="48" t="str">
        <f t="shared" si="17"/>
        <v/>
      </c>
      <c r="AZ10" s="48" t="str">
        <f t="shared" si="18"/>
        <v/>
      </c>
      <c r="BA10" s="48" t="str">
        <f>IF($AZ10="","",RANK.EQ($AZ10,$AZ$8:$AZ$414,0)+COUNTIF($AZ$8:$AZ10,$AZ10)-1)</f>
        <v/>
      </c>
    </row>
    <row r="11" spans="1:53" ht="69.95" customHeight="1">
      <c r="A11" s="36" t="str">
        <f>IF($AZ11="","",RANK.EQ($AZ11,$AZ$8:$AZ$414,0)+COUNTIF($AZ$8:$AZ11,$AZ11)-1)</f>
        <v/>
      </c>
      <c r="B11" s="36" t="str">
        <f t="shared" si="5"/>
        <v/>
      </c>
      <c r="C11" s="36" t="s">
        <v>54</v>
      </c>
      <c r="D11" s="36" t="s">
        <v>998</v>
      </c>
      <c r="E11" s="36" t="s">
        <v>1885</v>
      </c>
      <c r="F11" s="36" t="s">
        <v>183</v>
      </c>
      <c r="G11" s="36" t="str">
        <f>IF($H11="","",IFERROR(INDEX('Risk Library'!$H$5:$M$411,MATCH($E11,'Risk Library'!$A$5:$A$411,0),$H11+1),""))</f>
        <v/>
      </c>
      <c r="H11" s="37" t="str">
        <f>IF(OR(COUNTA('Company Geography'!$H$8)=0,'Company Geography'!$H$8="N/A"),"",VALUE('Company Geography'!$H$8))</f>
        <v/>
      </c>
      <c r="I11" s="36" t="str">
        <f>IF($H11="","",IFERROR(IF('Company Geography'!$L$8="",IF($H11&lt;=1,"Critical",IF($H11=2,"High",IF($H11=3,"Medium",IF($H11=4,"Low","Resilient")))),'Company Geography'!$L$8),IF($H11&lt;=1,"Critical",IF($H11=2,"High",IF($H11=3,"Medium",IF($H11=4,"Low","Resilient"))))))</f>
        <v/>
      </c>
      <c r="J11" s="37" t="str">
        <f t="shared" si="6"/>
        <v/>
      </c>
      <c r="K11" s="37" t="str">
        <f t="shared" si="7"/>
        <v/>
      </c>
      <c r="L11" s="37" t="str">
        <f t="shared" si="8"/>
        <v/>
      </c>
      <c r="M11" s="37" t="str">
        <f t="shared" si="9"/>
        <v/>
      </c>
      <c r="N11" s="37" t="str">
        <f>IF($H11="","",IFERROR(INDEX('Risk Library'!$T$5:$Y$411,MATCH($E11,'Risk Library'!$A$5:$A$411,0),$H11+1),""))</f>
        <v/>
      </c>
      <c r="O11" s="37" t="str">
        <f t="shared" si="10"/>
        <v/>
      </c>
      <c r="P11" s="37" t="str">
        <f t="shared" si="11"/>
        <v/>
      </c>
      <c r="Q11" s="37" t="str">
        <f t="shared" si="12"/>
        <v/>
      </c>
      <c r="R11" s="37" t="str">
        <f t="shared" si="13"/>
        <v/>
      </c>
      <c r="S11" s="38" t="str">
        <f t="shared" si="14"/>
        <v/>
      </c>
      <c r="T11" s="36" t="str">
        <f>IF($H11="","",IFERROR(INDEX('Risk Library'!$N$5:$S$411,MATCH($E11,'Risk Library'!$A$5:$A$411,0),$H11+1),""))</f>
        <v/>
      </c>
      <c r="U11" s="37">
        <f>IFERROR('Company Geography'!$G$8,"")</f>
        <v>4</v>
      </c>
      <c r="V11" s="37">
        <f>IFERROR('Company Geography'!$W$8,"")</f>
        <v>4</v>
      </c>
      <c r="W11" s="37">
        <f>IFERROR('Company Geography'!$X$8,"")</f>
        <v>5</v>
      </c>
      <c r="X11" s="37">
        <f>IFERROR('Company Geography'!$Y$8,"")</f>
        <v>5</v>
      </c>
      <c r="Y11" s="36" t="s">
        <v>1862</v>
      </c>
      <c r="Z11" s="36" t="s">
        <v>1863</v>
      </c>
      <c r="AA11" s="36" t="s">
        <v>1887</v>
      </c>
      <c r="AB11" s="36">
        <f>IFERROR('Company Geography'!$U$8,"")</f>
        <v>0</v>
      </c>
      <c r="AC11" s="36"/>
      <c r="AD11" s="36"/>
      <c r="AE11" s="36"/>
      <c r="AF11" s="36" t="s">
        <v>1886</v>
      </c>
      <c r="AH11" s="36" t="s">
        <v>72</v>
      </c>
      <c r="AI11" s="36">
        <f t="shared" si="0"/>
        <v>0</v>
      </c>
      <c r="AJ11" s="36">
        <f t="shared" si="1"/>
        <v>0</v>
      </c>
      <c r="AK11" s="36" t="str">
        <f t="shared" si="2"/>
        <v/>
      </c>
      <c r="AL11" s="36" t="str">
        <f ca="1">IFERROR(MAXIFS($L$8:$L$414,$C$8:$C$414,AH11,$B$8:$B$414,"Yes"),"")</f>
        <v/>
      </c>
      <c r="AM11" s="36" t="str">
        <f t="shared" si="3"/>
        <v/>
      </c>
      <c r="AN11" s="36">
        <f t="shared" si="4"/>
        <v>28</v>
      </c>
      <c r="AO11" s="48" t="str">
        <f>IF($B11="Yes",IFERROR(SUMIFS(_TECH_Crisis_Model!$D$5:$D$191,_TECH_Crisis_Model!$A$5:$A$191,'Crisis Simulator'!$B$4,_TECH_Crisis_Model!$B$5:$B$191,$C11),1),"")</f>
        <v/>
      </c>
      <c r="AP11" s="48" t="str">
        <f t="shared" si="15"/>
        <v/>
      </c>
      <c r="AQ11" s="48" t="str">
        <f t="shared" si="16"/>
        <v/>
      </c>
      <c r="AR11" s="48" t="str">
        <f>IFERROR(INDEX(_TECH_Crisis_Model!$E$5:$E$191,MATCH('Crisis Simulator'!$B$4&amp;"|"&amp;$C11,_TECH_Crisis_Model!$I$5:$I$191,0)),"")</f>
        <v>Geographic concentration, legal entity exposure and site dependency can amplify crisis impact.</v>
      </c>
      <c r="AS11" s="48" t="str">
        <f>IFERROR(INDEX(_TECH_Crisis_Model!$G$5:$G$191,MATCH('Crisis Simulator'!$B$4&amp;"|"&amp;$C11,_TECH_Crisis_Model!$I$5:$I$191,0)),"")</f>
        <v>Map entities, locations, markets, revenue exposure and alternate operating options.</v>
      </c>
      <c r="AT11" s="48" t="str">
        <f>IFERROR(INDEX(_TECH_Initiative_Library!$A$5:$A$76,MATCH(1,INDEX((_TECH_Initiative_Library!$B$5:$B$76=$C11)*(_TECH_Initiative_Library!$C$5:$C$76=$D11),0),0)),"")</f>
        <v>INI-001</v>
      </c>
      <c r="AU11" s="48" t="str">
        <f>IFERROR(INDEX(_TECH_Initiative_Library!$F$5:$F$76,MATCH(1,INDEX((_TECH_Initiative_Library!$B$5:$B$76=$C11)*(_TECH_Initiative_Library!$C$5:$C$76=$D11),0),0)),"")</f>
        <v>Create company context, entity and operating model register</v>
      </c>
      <c r="AV11" s="48" t="str">
        <f ca="1">IFERROR(INDEX(_TECH_Initiative_Library!$AC$5:$AC$76,MATCH(1,INDEX((_TECH_Initiative_Library!$B$5:$B$76=$C11)*(_TECH_Initiative_Library!$C$5:$C$76=$D11),0),0)),"")</f>
        <v/>
      </c>
      <c r="AW11" s="48" t="str">
        <f ca="1">IFERROR(INDEX(_TECH_Initiative_Library!$AE$5:$AE$76,MATCH(1,INDEX((_TECH_Initiative_Library!$B$5:$B$76=$C11)*(_TECH_Initiative_Library!$C$5:$C$76=$D11),0),0)),"")</f>
        <v/>
      </c>
      <c r="AX11" s="48" t="str">
        <f>IF($B11="Yes",IFERROR(SUMIFS(_TECH_Industry_Templates!$E:$E,_TECH_Industry_Templates!$A:$A,'Company Profile'!$B$9,_TECH_Industry_Templates!$B:$B,$C11),1),"")</f>
        <v/>
      </c>
      <c r="AY11" s="48" t="str">
        <f t="shared" si="17"/>
        <v/>
      </c>
      <c r="AZ11" s="48" t="str">
        <f t="shared" si="18"/>
        <v/>
      </c>
      <c r="BA11" s="48" t="str">
        <f>IF($AZ11="","",RANK.EQ($AZ11,$AZ$8:$AZ$414,0)+COUNTIF($AZ$8:$AZ11,$AZ11)-1)</f>
        <v/>
      </c>
    </row>
    <row r="12" spans="1:53" ht="69.95" customHeight="1">
      <c r="A12" s="36" t="str">
        <f>IF($AZ12="","",RANK.EQ($AZ12,$AZ$8:$AZ$414,0)+COUNTIF($AZ$8:$AZ12,$AZ12)-1)</f>
        <v/>
      </c>
      <c r="B12" s="36" t="str">
        <f t="shared" si="5"/>
        <v/>
      </c>
      <c r="C12" s="36" t="s">
        <v>54</v>
      </c>
      <c r="D12" s="36" t="s">
        <v>998</v>
      </c>
      <c r="E12" s="36" t="s">
        <v>1895</v>
      </c>
      <c r="F12" s="36" t="s">
        <v>183</v>
      </c>
      <c r="G12" s="36" t="str">
        <f>IF($H12="","",IFERROR(INDEX('Risk Library'!$H$5:$M$411,MATCH($E12,'Risk Library'!$A$5:$A$411,0),$H12+1),""))</f>
        <v/>
      </c>
      <c r="H12" s="37" t="str">
        <f>IF(OR(COUNTA('Company Geography'!$H$9)=0,'Company Geography'!$H$9="N/A"),"",VALUE('Company Geography'!$H$9))</f>
        <v/>
      </c>
      <c r="I12" s="36" t="str">
        <f>IF($H12="","",IFERROR(IF('Company Geography'!$L$9="",IF($H12&lt;=1,"Critical",IF($H12=2,"High",IF($H12=3,"Medium",IF($H12=4,"Low","Resilient")))),'Company Geography'!$L$9),IF($H12&lt;=1,"Critical",IF($H12=2,"High",IF($H12=3,"Medium",IF($H12=4,"Low","Resilient"))))))</f>
        <v/>
      </c>
      <c r="J12" s="37" t="str">
        <f t="shared" si="6"/>
        <v/>
      </c>
      <c r="K12" s="37" t="str">
        <f t="shared" si="7"/>
        <v/>
      </c>
      <c r="L12" s="37" t="str">
        <f t="shared" si="8"/>
        <v/>
      </c>
      <c r="M12" s="37" t="str">
        <f t="shared" si="9"/>
        <v/>
      </c>
      <c r="N12" s="37" t="str">
        <f>IF($H12="","",IFERROR(INDEX('Risk Library'!$T$5:$Y$411,MATCH($E12,'Risk Library'!$A$5:$A$411,0),$H12+1),""))</f>
        <v/>
      </c>
      <c r="O12" s="37" t="str">
        <f t="shared" si="10"/>
        <v/>
      </c>
      <c r="P12" s="37" t="str">
        <f t="shared" si="11"/>
        <v/>
      </c>
      <c r="Q12" s="37" t="str">
        <f t="shared" si="12"/>
        <v/>
      </c>
      <c r="R12" s="37" t="str">
        <f t="shared" si="13"/>
        <v/>
      </c>
      <c r="S12" s="38" t="str">
        <f t="shared" si="14"/>
        <v/>
      </c>
      <c r="T12" s="36" t="str">
        <f>IF($H12="","",IFERROR(INDEX('Risk Library'!$N$5:$S$411,MATCH($E12,'Risk Library'!$A$5:$A$411,0),$H12+1),""))</f>
        <v/>
      </c>
      <c r="U12" s="37">
        <f>IFERROR('Company Geography'!$G$9,"")</f>
        <v>5</v>
      </c>
      <c r="V12" s="37">
        <f>IFERROR('Company Geography'!$W$9,"")</f>
        <v>5</v>
      </c>
      <c r="W12" s="37">
        <f>IFERROR('Company Geography'!$X$9,"")</f>
        <v>5</v>
      </c>
      <c r="X12" s="37">
        <f>IFERROR('Company Geography'!$Y$9,"")</f>
        <v>5</v>
      </c>
      <c r="Y12" s="36" t="s">
        <v>1862</v>
      </c>
      <c r="Z12" s="36" t="s">
        <v>1863</v>
      </c>
      <c r="AA12" s="36" t="s">
        <v>1897</v>
      </c>
      <c r="AB12" s="36">
        <f>IFERROR('Company Geography'!$U$9,"")</f>
        <v>0</v>
      </c>
      <c r="AC12" s="36"/>
      <c r="AD12" s="36"/>
      <c r="AE12" s="36"/>
      <c r="AF12" s="36" t="s">
        <v>1896</v>
      </c>
      <c r="AH12" s="36" t="s">
        <v>75</v>
      </c>
      <c r="AI12" s="36">
        <f t="shared" si="0"/>
        <v>0</v>
      </c>
      <c r="AJ12" s="36">
        <f t="shared" si="1"/>
        <v>0</v>
      </c>
      <c r="AK12" s="36" t="str">
        <f t="shared" si="2"/>
        <v/>
      </c>
      <c r="AL12" s="36" t="str">
        <f ca="1">IFERROR(MAXIFS($L$8:$L$414,$C$8:$C$414,AH12,$B$8:$B$414,"Yes"),"")</f>
        <v/>
      </c>
      <c r="AM12" s="36" t="str">
        <f t="shared" si="3"/>
        <v/>
      </c>
      <c r="AN12" s="36">
        <f t="shared" si="4"/>
        <v>24</v>
      </c>
      <c r="AO12" s="48" t="str">
        <f>IF($B12="Yes",IFERROR(SUMIFS(_TECH_Crisis_Model!$D$5:$D$191,_TECH_Crisis_Model!$A$5:$A$191,'Crisis Simulator'!$B$4,_TECH_Crisis_Model!$B$5:$B$191,$C12),1),"")</f>
        <v/>
      </c>
      <c r="AP12" s="48" t="str">
        <f t="shared" si="15"/>
        <v/>
      </c>
      <c r="AQ12" s="48" t="str">
        <f t="shared" si="16"/>
        <v/>
      </c>
      <c r="AR12" s="48" t="str">
        <f>IFERROR(INDEX(_TECH_Crisis_Model!$E$5:$E$191,MATCH('Crisis Simulator'!$B$4&amp;"|"&amp;$C12,_TECH_Crisis_Model!$I$5:$I$191,0)),"")</f>
        <v>Geographic concentration, legal entity exposure and site dependency can amplify crisis impact.</v>
      </c>
      <c r="AS12" s="48" t="str">
        <f>IFERROR(INDEX(_TECH_Crisis_Model!$G$5:$G$191,MATCH('Crisis Simulator'!$B$4&amp;"|"&amp;$C12,_TECH_Crisis_Model!$I$5:$I$191,0)),"")</f>
        <v>Map entities, locations, markets, revenue exposure and alternate operating options.</v>
      </c>
      <c r="AT12" s="48" t="str">
        <f>IFERROR(INDEX(_TECH_Initiative_Library!$A$5:$A$76,MATCH(1,INDEX((_TECH_Initiative_Library!$B$5:$B$76=$C12)*(_TECH_Initiative_Library!$C$5:$C$76=$D12),0),0)),"")</f>
        <v>INI-001</v>
      </c>
      <c r="AU12" s="48" t="str">
        <f>IFERROR(INDEX(_TECH_Initiative_Library!$F$5:$F$76,MATCH(1,INDEX((_TECH_Initiative_Library!$B$5:$B$76=$C12)*(_TECH_Initiative_Library!$C$5:$C$76=$D12),0),0)),"")</f>
        <v>Create company context, entity and operating model register</v>
      </c>
      <c r="AV12" s="48" t="str">
        <f ca="1">IFERROR(INDEX(_TECH_Initiative_Library!$AC$5:$AC$76,MATCH(1,INDEX((_TECH_Initiative_Library!$B$5:$B$76=$C12)*(_TECH_Initiative_Library!$C$5:$C$76=$D12),0),0)),"")</f>
        <v/>
      </c>
      <c r="AW12" s="48" t="str">
        <f ca="1">IFERROR(INDEX(_TECH_Initiative_Library!$AE$5:$AE$76,MATCH(1,INDEX((_TECH_Initiative_Library!$B$5:$B$76=$C12)*(_TECH_Initiative_Library!$C$5:$C$76=$D12),0),0)),"")</f>
        <v/>
      </c>
      <c r="AX12" s="48" t="str">
        <f>IF($B12="Yes",IFERROR(SUMIFS(_TECH_Industry_Templates!$E:$E,_TECH_Industry_Templates!$A:$A,'Company Profile'!$B$9,_TECH_Industry_Templates!$B:$B,$C12),1),"")</f>
        <v/>
      </c>
      <c r="AY12" s="48" t="str">
        <f t="shared" si="17"/>
        <v/>
      </c>
      <c r="AZ12" s="48" t="str">
        <f t="shared" si="18"/>
        <v/>
      </c>
      <c r="BA12" s="48" t="str">
        <f>IF($AZ12="","",RANK.EQ($AZ12,$AZ$8:$AZ$414,0)+COUNTIF($AZ$8:$AZ12,$AZ12)-1)</f>
        <v/>
      </c>
    </row>
    <row r="13" spans="1:53" ht="69.95" customHeight="1">
      <c r="A13" s="36" t="str">
        <f>IF($AZ13="","",RANK.EQ($AZ13,$AZ$8:$AZ$414,0)+COUNTIF($AZ$8:$AZ13,$AZ13)-1)</f>
        <v/>
      </c>
      <c r="B13" s="36" t="str">
        <f t="shared" si="5"/>
        <v/>
      </c>
      <c r="C13" s="36" t="s">
        <v>54</v>
      </c>
      <c r="D13" s="36" t="s">
        <v>998</v>
      </c>
      <c r="E13" s="36" t="s">
        <v>1905</v>
      </c>
      <c r="F13" s="36" t="s">
        <v>183</v>
      </c>
      <c r="G13" s="36" t="str">
        <f>IF($H13="","",IFERROR(INDEX('Risk Library'!$H$5:$M$411,MATCH($E13,'Risk Library'!$A$5:$A$411,0),$H13+1),""))</f>
        <v/>
      </c>
      <c r="H13" s="37" t="str">
        <f>IF(OR(COUNTA('Company Geography'!$H$10)=0,'Company Geography'!$H$10="N/A"),"",VALUE('Company Geography'!$H$10))</f>
        <v/>
      </c>
      <c r="I13" s="36" t="str">
        <f>IF($H13="","",IFERROR(IF('Company Geography'!$L$10="",IF($H13&lt;=1,"Critical",IF($H13=2,"High",IF($H13=3,"Medium",IF($H13=4,"Low","Resilient")))),'Company Geography'!$L$10),IF($H13&lt;=1,"Critical",IF($H13=2,"High",IF($H13=3,"Medium",IF($H13=4,"Low","Resilient"))))))</f>
        <v/>
      </c>
      <c r="J13" s="37" t="str">
        <f t="shared" si="6"/>
        <v/>
      </c>
      <c r="K13" s="37" t="str">
        <f t="shared" si="7"/>
        <v/>
      </c>
      <c r="L13" s="37" t="str">
        <f t="shared" si="8"/>
        <v/>
      </c>
      <c r="M13" s="37" t="str">
        <f t="shared" si="9"/>
        <v/>
      </c>
      <c r="N13" s="37" t="str">
        <f>IF($H13="","",IFERROR(INDEX('Risk Library'!$T$5:$Y$411,MATCH($E13,'Risk Library'!$A$5:$A$411,0),$H13+1),""))</f>
        <v/>
      </c>
      <c r="O13" s="37" t="str">
        <f t="shared" si="10"/>
        <v/>
      </c>
      <c r="P13" s="37" t="str">
        <f t="shared" si="11"/>
        <v/>
      </c>
      <c r="Q13" s="37" t="str">
        <f t="shared" si="12"/>
        <v/>
      </c>
      <c r="R13" s="37" t="str">
        <f t="shared" si="13"/>
        <v/>
      </c>
      <c r="S13" s="38" t="str">
        <f t="shared" si="14"/>
        <v/>
      </c>
      <c r="T13" s="36" t="str">
        <f>IF($H13="","",IFERROR(INDEX('Risk Library'!$N$5:$S$411,MATCH($E13,'Risk Library'!$A$5:$A$411,0),$H13+1),""))</f>
        <v/>
      </c>
      <c r="U13" s="37">
        <f>IFERROR('Company Geography'!$G$10,"")</f>
        <v>4</v>
      </c>
      <c r="V13" s="37">
        <f>IFERROR('Company Geography'!$W$10,"")</f>
        <v>4</v>
      </c>
      <c r="W13" s="37">
        <f>IFERROR('Company Geography'!$X$10,"")</f>
        <v>5</v>
      </c>
      <c r="X13" s="37">
        <f>IFERROR('Company Geography'!$Y$10,"")</f>
        <v>5</v>
      </c>
      <c r="Y13" s="36" t="s">
        <v>1862</v>
      </c>
      <c r="Z13" s="36" t="s">
        <v>1863</v>
      </c>
      <c r="AA13" s="36" t="s">
        <v>1907</v>
      </c>
      <c r="AB13" s="36">
        <f>IFERROR('Company Geography'!$U$10,"")</f>
        <v>0</v>
      </c>
      <c r="AC13" s="36"/>
      <c r="AD13" s="36"/>
      <c r="AE13" s="36"/>
      <c r="AF13" s="36" t="s">
        <v>1906</v>
      </c>
      <c r="AH13" s="36" t="s">
        <v>78</v>
      </c>
      <c r="AI13" s="36">
        <f t="shared" si="0"/>
        <v>0</v>
      </c>
      <c r="AJ13" s="36">
        <f t="shared" si="1"/>
        <v>0</v>
      </c>
      <c r="AK13" s="36" t="str">
        <f t="shared" si="2"/>
        <v/>
      </c>
      <c r="AL13" s="36" t="str">
        <f ca="1">IFERROR(MAXIFS($L$8:$L$414,$C$8:$C$414,AH13,$B$8:$B$414,"Yes"),"")</f>
        <v/>
      </c>
      <c r="AM13" s="36" t="str">
        <f t="shared" si="3"/>
        <v/>
      </c>
      <c r="AN13" s="36">
        <f t="shared" si="4"/>
        <v>25</v>
      </c>
      <c r="AO13" s="48" t="str">
        <f>IF($B13="Yes",IFERROR(SUMIFS(_TECH_Crisis_Model!$D$5:$D$191,_TECH_Crisis_Model!$A$5:$A$191,'Crisis Simulator'!$B$4,_TECH_Crisis_Model!$B$5:$B$191,$C13),1),"")</f>
        <v/>
      </c>
      <c r="AP13" s="48" t="str">
        <f t="shared" si="15"/>
        <v/>
      </c>
      <c r="AQ13" s="48" t="str">
        <f t="shared" si="16"/>
        <v/>
      </c>
      <c r="AR13" s="48" t="str">
        <f>IFERROR(INDEX(_TECH_Crisis_Model!$E$5:$E$191,MATCH('Crisis Simulator'!$B$4&amp;"|"&amp;$C13,_TECH_Crisis_Model!$I$5:$I$191,0)),"")</f>
        <v>Geographic concentration, legal entity exposure and site dependency can amplify crisis impact.</v>
      </c>
      <c r="AS13" s="48" t="str">
        <f>IFERROR(INDEX(_TECH_Crisis_Model!$G$5:$G$191,MATCH('Crisis Simulator'!$B$4&amp;"|"&amp;$C13,_TECH_Crisis_Model!$I$5:$I$191,0)),"")</f>
        <v>Map entities, locations, markets, revenue exposure and alternate operating options.</v>
      </c>
      <c r="AT13" s="48" t="str">
        <f>IFERROR(INDEX(_TECH_Initiative_Library!$A$5:$A$76,MATCH(1,INDEX((_TECH_Initiative_Library!$B$5:$B$76=$C13)*(_TECH_Initiative_Library!$C$5:$C$76=$D13),0),0)),"")</f>
        <v>INI-001</v>
      </c>
      <c r="AU13" s="48" t="str">
        <f>IFERROR(INDEX(_TECH_Initiative_Library!$F$5:$F$76,MATCH(1,INDEX((_TECH_Initiative_Library!$B$5:$B$76=$C13)*(_TECH_Initiative_Library!$C$5:$C$76=$D13),0),0)),"")</f>
        <v>Create company context, entity and operating model register</v>
      </c>
      <c r="AV13" s="48" t="str">
        <f ca="1">IFERROR(INDEX(_TECH_Initiative_Library!$AC$5:$AC$76,MATCH(1,INDEX((_TECH_Initiative_Library!$B$5:$B$76=$C13)*(_TECH_Initiative_Library!$C$5:$C$76=$D13),0),0)),"")</f>
        <v/>
      </c>
      <c r="AW13" s="48" t="str">
        <f ca="1">IFERROR(INDEX(_TECH_Initiative_Library!$AE$5:$AE$76,MATCH(1,INDEX((_TECH_Initiative_Library!$B$5:$B$76=$C13)*(_TECH_Initiative_Library!$C$5:$C$76=$D13),0),0)),"")</f>
        <v/>
      </c>
      <c r="AX13" s="48" t="str">
        <f>IF($B13="Yes",IFERROR(SUMIFS(_TECH_Industry_Templates!$E:$E,_TECH_Industry_Templates!$A:$A,'Company Profile'!$B$9,_TECH_Industry_Templates!$B:$B,$C13),1),"")</f>
        <v/>
      </c>
      <c r="AY13" s="48" t="str">
        <f t="shared" si="17"/>
        <v/>
      </c>
      <c r="AZ13" s="48" t="str">
        <f t="shared" si="18"/>
        <v/>
      </c>
      <c r="BA13" s="48" t="str">
        <f>IF($AZ13="","",RANK.EQ($AZ13,$AZ$8:$AZ$414,0)+COUNTIF($AZ$8:$AZ13,$AZ13)-1)</f>
        <v/>
      </c>
    </row>
    <row r="14" spans="1:53" ht="69.95" customHeight="1">
      <c r="A14" s="36" t="str">
        <f>IF($AZ14="","",RANK.EQ($AZ14,$AZ$8:$AZ$414,0)+COUNTIF($AZ$8:$AZ14,$AZ14)-1)</f>
        <v/>
      </c>
      <c r="B14" s="36" t="str">
        <f t="shared" si="5"/>
        <v/>
      </c>
      <c r="C14" s="36" t="s">
        <v>54</v>
      </c>
      <c r="D14" s="36" t="s">
        <v>998</v>
      </c>
      <c r="E14" s="36" t="s">
        <v>1915</v>
      </c>
      <c r="F14" s="36" t="s">
        <v>183</v>
      </c>
      <c r="G14" s="36" t="str">
        <f>IF($H14="","",IFERROR(INDEX('Risk Library'!$H$5:$M$411,MATCH($E14,'Risk Library'!$A$5:$A$411,0),$H14+1),""))</f>
        <v/>
      </c>
      <c r="H14" s="37" t="str">
        <f>IF(OR(COUNTA('Company Geography'!$H$11)=0,'Company Geography'!$H$11="N/A"),"",VALUE('Company Geography'!$H$11))</f>
        <v/>
      </c>
      <c r="I14" s="36" t="str">
        <f>IF($H14="","",IFERROR(IF('Company Geography'!$L$11="",IF($H14&lt;=1,"Critical",IF($H14=2,"High",IF($H14=3,"Medium",IF($H14=4,"Low","Resilient")))),'Company Geography'!$L$11),IF($H14&lt;=1,"Critical",IF($H14=2,"High",IF($H14=3,"Medium",IF($H14=4,"Low","Resilient"))))))</f>
        <v/>
      </c>
      <c r="J14" s="37" t="str">
        <f t="shared" si="6"/>
        <v/>
      </c>
      <c r="K14" s="37" t="str">
        <f t="shared" si="7"/>
        <v/>
      </c>
      <c r="L14" s="37" t="str">
        <f t="shared" si="8"/>
        <v/>
      </c>
      <c r="M14" s="37" t="str">
        <f t="shared" si="9"/>
        <v/>
      </c>
      <c r="N14" s="37" t="str">
        <f>IF($H14="","",IFERROR(INDEX('Risk Library'!$T$5:$Y$411,MATCH($E14,'Risk Library'!$A$5:$A$411,0),$H14+1),""))</f>
        <v/>
      </c>
      <c r="O14" s="37" t="str">
        <f t="shared" si="10"/>
        <v/>
      </c>
      <c r="P14" s="37" t="str">
        <f t="shared" si="11"/>
        <v/>
      </c>
      <c r="Q14" s="37" t="str">
        <f t="shared" si="12"/>
        <v/>
      </c>
      <c r="R14" s="37" t="str">
        <f t="shared" si="13"/>
        <v/>
      </c>
      <c r="S14" s="38" t="str">
        <f t="shared" si="14"/>
        <v/>
      </c>
      <c r="T14" s="36" t="str">
        <f>IF($H14="","",IFERROR(INDEX('Risk Library'!$N$5:$S$411,MATCH($E14,'Risk Library'!$A$5:$A$411,0),$H14+1),""))</f>
        <v/>
      </c>
      <c r="U14" s="37">
        <f>IFERROR('Company Geography'!$G$11,"")</f>
        <v>5</v>
      </c>
      <c r="V14" s="37">
        <f>IFERROR('Company Geography'!$W$11,"")</f>
        <v>5</v>
      </c>
      <c r="W14" s="37">
        <f>IFERROR('Company Geography'!$X$11,"")</f>
        <v>5</v>
      </c>
      <c r="X14" s="37">
        <f>IFERROR('Company Geography'!$Y$11,"")</f>
        <v>5</v>
      </c>
      <c r="Y14" s="36" t="s">
        <v>1862</v>
      </c>
      <c r="Z14" s="36" t="s">
        <v>1863</v>
      </c>
      <c r="AA14" s="36" t="s">
        <v>1917</v>
      </c>
      <c r="AB14" s="36">
        <f>IFERROR('Company Geography'!$U$11,"")</f>
        <v>0</v>
      </c>
      <c r="AC14" s="36"/>
      <c r="AD14" s="36"/>
      <c r="AE14" s="36"/>
      <c r="AF14" s="36" t="s">
        <v>1916</v>
      </c>
      <c r="AH14" s="36" t="s">
        <v>81</v>
      </c>
      <c r="AI14" s="36">
        <f t="shared" si="0"/>
        <v>0</v>
      </c>
      <c r="AJ14" s="36">
        <f t="shared" si="1"/>
        <v>0</v>
      </c>
      <c r="AK14" s="36" t="str">
        <f t="shared" si="2"/>
        <v/>
      </c>
      <c r="AL14" s="36" t="str">
        <f ca="1">IFERROR(MAXIFS($L$8:$L$414,$C$8:$C$414,AH14,$B$8:$B$414,"Yes"),"")</f>
        <v/>
      </c>
      <c r="AM14" s="36" t="str">
        <f t="shared" si="3"/>
        <v/>
      </c>
      <c r="AN14" s="36">
        <f t="shared" si="4"/>
        <v>28</v>
      </c>
      <c r="AO14" s="48" t="str">
        <f>IF($B14="Yes",IFERROR(SUMIFS(_TECH_Crisis_Model!$D$5:$D$191,_TECH_Crisis_Model!$A$5:$A$191,'Crisis Simulator'!$B$4,_TECH_Crisis_Model!$B$5:$B$191,$C14),1),"")</f>
        <v/>
      </c>
      <c r="AP14" s="48" t="str">
        <f t="shared" si="15"/>
        <v/>
      </c>
      <c r="AQ14" s="48" t="str">
        <f t="shared" si="16"/>
        <v/>
      </c>
      <c r="AR14" s="48" t="str">
        <f>IFERROR(INDEX(_TECH_Crisis_Model!$E$5:$E$191,MATCH('Crisis Simulator'!$B$4&amp;"|"&amp;$C14,_TECH_Crisis_Model!$I$5:$I$191,0)),"")</f>
        <v>Geographic concentration, legal entity exposure and site dependency can amplify crisis impact.</v>
      </c>
      <c r="AS14" s="48" t="str">
        <f>IFERROR(INDEX(_TECH_Crisis_Model!$G$5:$G$191,MATCH('Crisis Simulator'!$B$4&amp;"|"&amp;$C14,_TECH_Crisis_Model!$I$5:$I$191,0)),"")</f>
        <v>Map entities, locations, markets, revenue exposure and alternate operating options.</v>
      </c>
      <c r="AT14" s="48" t="str">
        <f>IFERROR(INDEX(_TECH_Initiative_Library!$A$5:$A$76,MATCH(1,INDEX((_TECH_Initiative_Library!$B$5:$B$76=$C14)*(_TECH_Initiative_Library!$C$5:$C$76=$D14),0),0)),"")</f>
        <v>INI-001</v>
      </c>
      <c r="AU14" s="48" t="str">
        <f>IFERROR(INDEX(_TECH_Initiative_Library!$F$5:$F$76,MATCH(1,INDEX((_TECH_Initiative_Library!$B$5:$B$76=$C14)*(_TECH_Initiative_Library!$C$5:$C$76=$D14),0),0)),"")</f>
        <v>Create company context, entity and operating model register</v>
      </c>
      <c r="AV14" s="48" t="str">
        <f ca="1">IFERROR(INDEX(_TECH_Initiative_Library!$AC$5:$AC$76,MATCH(1,INDEX((_TECH_Initiative_Library!$B$5:$B$76=$C14)*(_TECH_Initiative_Library!$C$5:$C$76=$D14),0),0)),"")</f>
        <v/>
      </c>
      <c r="AW14" s="48" t="str">
        <f ca="1">IFERROR(INDEX(_TECH_Initiative_Library!$AE$5:$AE$76,MATCH(1,INDEX((_TECH_Initiative_Library!$B$5:$B$76=$C14)*(_TECH_Initiative_Library!$C$5:$C$76=$D14),0),0)),"")</f>
        <v/>
      </c>
      <c r="AX14" s="48" t="str">
        <f>IF($B14="Yes",IFERROR(SUMIFS(_TECH_Industry_Templates!$E:$E,_TECH_Industry_Templates!$A:$A,'Company Profile'!$B$9,_TECH_Industry_Templates!$B:$B,$C14),1),"")</f>
        <v/>
      </c>
      <c r="AY14" s="48" t="str">
        <f t="shared" si="17"/>
        <v/>
      </c>
      <c r="AZ14" s="48" t="str">
        <f t="shared" si="18"/>
        <v/>
      </c>
      <c r="BA14" s="48" t="str">
        <f>IF($AZ14="","",RANK.EQ($AZ14,$AZ$8:$AZ$414,0)+COUNTIF($AZ$8:$AZ14,$AZ14)-1)</f>
        <v/>
      </c>
    </row>
    <row r="15" spans="1:53" ht="69.95" customHeight="1">
      <c r="A15" s="36" t="str">
        <f>IF($AZ15="","",RANK.EQ($AZ15,$AZ$8:$AZ$414,0)+COUNTIF($AZ$8:$AZ15,$AZ15)-1)</f>
        <v/>
      </c>
      <c r="B15" s="36" t="str">
        <f t="shared" si="5"/>
        <v/>
      </c>
      <c r="C15" s="36" t="s">
        <v>54</v>
      </c>
      <c r="D15" s="36" t="s">
        <v>1016</v>
      </c>
      <c r="E15" s="36" t="s">
        <v>1925</v>
      </c>
      <c r="F15" s="36" t="s">
        <v>183</v>
      </c>
      <c r="G15" s="36" t="str">
        <f>IF($H15="","",IFERROR(INDEX('Risk Library'!$H$5:$M$411,MATCH($E15,'Risk Library'!$A$5:$A$411,0),$H15+1),""))</f>
        <v/>
      </c>
      <c r="H15" s="37" t="str">
        <f>IF(OR(COUNTA('Company Geography'!$H$12)=0,'Company Geography'!$H$12="N/A"),"",VALUE('Company Geography'!$H$12))</f>
        <v/>
      </c>
      <c r="I15" s="36" t="str">
        <f>IF($H15="","",IFERROR(IF('Company Geography'!$L$12="",IF($H15&lt;=1,"Critical",IF($H15=2,"High",IF($H15=3,"Medium",IF($H15=4,"Low","Resilient")))),'Company Geography'!$L$12),IF($H15&lt;=1,"Critical",IF($H15=2,"High",IF($H15=3,"Medium",IF($H15=4,"Low","Resilient"))))))</f>
        <v/>
      </c>
      <c r="J15" s="37" t="str">
        <f t="shared" si="6"/>
        <v/>
      </c>
      <c r="K15" s="37" t="str">
        <f t="shared" si="7"/>
        <v/>
      </c>
      <c r="L15" s="37" t="str">
        <f t="shared" si="8"/>
        <v/>
      </c>
      <c r="M15" s="37" t="str">
        <f t="shared" si="9"/>
        <v/>
      </c>
      <c r="N15" s="37" t="str">
        <f>IF($H15="","",IFERROR(INDEX('Risk Library'!$T$5:$Y$411,MATCH($E15,'Risk Library'!$A$5:$A$411,0),$H15+1),""))</f>
        <v/>
      </c>
      <c r="O15" s="37" t="str">
        <f t="shared" si="10"/>
        <v/>
      </c>
      <c r="P15" s="37" t="str">
        <f t="shared" si="11"/>
        <v/>
      </c>
      <c r="Q15" s="37" t="str">
        <f t="shared" si="12"/>
        <v/>
      </c>
      <c r="R15" s="37" t="str">
        <f t="shared" si="13"/>
        <v/>
      </c>
      <c r="S15" s="38" t="str">
        <f t="shared" si="14"/>
        <v/>
      </c>
      <c r="T15" s="36" t="str">
        <f>IF($H15="","",IFERROR(INDEX('Risk Library'!$N$5:$S$411,MATCH($E15,'Risk Library'!$A$5:$A$411,0),$H15+1),""))</f>
        <v/>
      </c>
      <c r="U15" s="37">
        <f>IFERROR('Company Geography'!$G$12,"")</f>
        <v>5</v>
      </c>
      <c r="V15" s="37">
        <f>IFERROR('Company Geography'!$W$12,"")</f>
        <v>4</v>
      </c>
      <c r="W15" s="37">
        <f>IFERROR('Company Geography'!$X$12,"")</f>
        <v>5</v>
      </c>
      <c r="X15" s="37">
        <f>IFERROR('Company Geography'!$Y$12,"")</f>
        <v>5</v>
      </c>
      <c r="Y15" s="36" t="s">
        <v>1862</v>
      </c>
      <c r="Z15" s="36" t="s">
        <v>1863</v>
      </c>
      <c r="AA15" s="36" t="s">
        <v>1927</v>
      </c>
      <c r="AB15" s="36">
        <f>IFERROR('Company Geography'!$U$12,"")</f>
        <v>0</v>
      </c>
      <c r="AC15" s="36"/>
      <c r="AD15" s="36"/>
      <c r="AE15" s="36"/>
      <c r="AF15" s="36" t="s">
        <v>1926</v>
      </c>
      <c r="AH15" s="36" t="s">
        <v>84</v>
      </c>
      <c r="AI15" s="36">
        <f t="shared" si="0"/>
        <v>0</v>
      </c>
      <c r="AJ15" s="36">
        <f t="shared" si="1"/>
        <v>0</v>
      </c>
      <c r="AK15" s="36" t="str">
        <f t="shared" si="2"/>
        <v/>
      </c>
      <c r="AL15" s="36" t="str">
        <f ca="1">IFERROR(MAXIFS($L$8:$L$414,$C$8:$C$414,AH15,$B$8:$B$414,"Yes"),"")</f>
        <v/>
      </c>
      <c r="AM15" s="36" t="str">
        <f t="shared" si="3"/>
        <v/>
      </c>
      <c r="AN15" s="36">
        <f t="shared" si="4"/>
        <v>21</v>
      </c>
      <c r="AO15" s="48" t="str">
        <f>IF($B15="Yes",IFERROR(SUMIFS(_TECH_Crisis_Model!$D$5:$D$191,_TECH_Crisis_Model!$A$5:$A$191,'Crisis Simulator'!$B$4,_TECH_Crisis_Model!$B$5:$B$191,$C15),1),"")</f>
        <v/>
      </c>
      <c r="AP15" s="48" t="str">
        <f t="shared" si="15"/>
        <v/>
      </c>
      <c r="AQ15" s="48" t="str">
        <f t="shared" si="16"/>
        <v/>
      </c>
      <c r="AR15" s="48" t="str">
        <f>IFERROR(INDEX(_TECH_Crisis_Model!$E$5:$E$191,MATCH('Crisis Simulator'!$B$4&amp;"|"&amp;$C15,_TECH_Crisis_Model!$I$5:$I$191,0)),"")</f>
        <v>Geographic concentration, legal entity exposure and site dependency can amplify crisis impact.</v>
      </c>
      <c r="AS15" s="48" t="str">
        <f>IFERROR(INDEX(_TECH_Crisis_Model!$G$5:$G$191,MATCH('Crisis Simulator'!$B$4&amp;"|"&amp;$C15,_TECH_Crisis_Model!$I$5:$I$191,0)),"")</f>
        <v>Map entities, locations, markets, revenue exposure and alternate operating options.</v>
      </c>
      <c r="AT15" s="48" t="str">
        <f>IFERROR(INDEX(_TECH_Initiative_Library!$A$5:$A$76,MATCH(1,INDEX((_TECH_Initiative_Library!$B$5:$B$76=$C15)*(_TECH_Initiative_Library!$C$5:$C$76=$D15),0),0)),"")</f>
        <v>INI-002</v>
      </c>
      <c r="AU15" s="48" t="str">
        <f>IFERROR(INDEX(_TECH_Initiative_Library!$F$5:$F$76,MATCH(1,INDEX((_TECH_Initiative_Library!$B$5:$B$76=$C15)*(_TECH_Initiative_Library!$C$5:$C$76=$D15),0),0)),"")</f>
        <v>Build geographic exposure and site continuity model</v>
      </c>
      <c r="AV15" s="48" t="str">
        <f ca="1">IFERROR(INDEX(_TECH_Initiative_Library!$AC$5:$AC$76,MATCH(1,INDEX((_TECH_Initiative_Library!$B$5:$B$76=$C15)*(_TECH_Initiative_Library!$C$5:$C$76=$D15),0),0)),"")</f>
        <v/>
      </c>
      <c r="AW15" s="48" t="str">
        <f ca="1">IFERROR(INDEX(_TECH_Initiative_Library!$AE$5:$AE$76,MATCH(1,INDEX((_TECH_Initiative_Library!$B$5:$B$76=$C15)*(_TECH_Initiative_Library!$C$5:$C$76=$D15),0),0)),"")</f>
        <v/>
      </c>
      <c r="AX15" s="48" t="str">
        <f>IF($B15="Yes",IFERROR(SUMIFS(_TECH_Industry_Templates!$E:$E,_TECH_Industry_Templates!$A:$A,'Company Profile'!$B$9,_TECH_Industry_Templates!$B:$B,$C15),1),"")</f>
        <v/>
      </c>
      <c r="AY15" s="48" t="str">
        <f t="shared" si="17"/>
        <v/>
      </c>
      <c r="AZ15" s="48" t="str">
        <f t="shared" si="18"/>
        <v/>
      </c>
      <c r="BA15" s="48" t="str">
        <f>IF($AZ15="","",RANK.EQ($AZ15,$AZ$8:$AZ$414,0)+COUNTIF($AZ$8:$AZ15,$AZ15)-1)</f>
        <v/>
      </c>
    </row>
    <row r="16" spans="1:53" ht="69.95" customHeight="1">
      <c r="A16" s="36" t="str">
        <f>IF($AZ16="","",RANK.EQ($AZ16,$AZ$8:$AZ$414,0)+COUNTIF($AZ$8:$AZ16,$AZ16)-1)</f>
        <v/>
      </c>
      <c r="B16" s="36" t="str">
        <f t="shared" si="5"/>
        <v/>
      </c>
      <c r="C16" s="36" t="s">
        <v>54</v>
      </c>
      <c r="D16" s="36" t="s">
        <v>1016</v>
      </c>
      <c r="E16" s="36" t="s">
        <v>1935</v>
      </c>
      <c r="F16" s="36" t="s">
        <v>183</v>
      </c>
      <c r="G16" s="36" t="str">
        <f>IF($H16="","",IFERROR(INDEX('Risk Library'!$H$5:$M$411,MATCH($E16,'Risk Library'!$A$5:$A$411,0),$H16+1),""))</f>
        <v/>
      </c>
      <c r="H16" s="37" t="str">
        <f>IF(OR(COUNTA('Company Geography'!$H$13)=0,'Company Geography'!$H$13="N/A"),"",VALUE('Company Geography'!$H$13))</f>
        <v/>
      </c>
      <c r="I16" s="36" t="str">
        <f>IF($H16="","",IFERROR(IF('Company Geography'!$L$13="",IF($H16&lt;=1,"Critical",IF($H16=2,"High",IF($H16=3,"Medium",IF($H16=4,"Low","Resilient")))),'Company Geography'!$L$13),IF($H16&lt;=1,"Critical",IF($H16=2,"High",IF($H16=3,"Medium",IF($H16=4,"Low","Resilient"))))))</f>
        <v/>
      </c>
      <c r="J16" s="37" t="str">
        <f t="shared" si="6"/>
        <v/>
      </c>
      <c r="K16" s="37" t="str">
        <f t="shared" si="7"/>
        <v/>
      </c>
      <c r="L16" s="37" t="str">
        <f t="shared" si="8"/>
        <v/>
      </c>
      <c r="M16" s="37" t="str">
        <f t="shared" si="9"/>
        <v/>
      </c>
      <c r="N16" s="37" t="str">
        <f>IF($H16="","",IFERROR(INDEX('Risk Library'!$T$5:$Y$411,MATCH($E16,'Risk Library'!$A$5:$A$411,0),$H16+1),""))</f>
        <v/>
      </c>
      <c r="O16" s="37" t="str">
        <f t="shared" si="10"/>
        <v/>
      </c>
      <c r="P16" s="37" t="str">
        <f t="shared" si="11"/>
        <v/>
      </c>
      <c r="Q16" s="37" t="str">
        <f t="shared" si="12"/>
        <v/>
      </c>
      <c r="R16" s="37" t="str">
        <f t="shared" si="13"/>
        <v/>
      </c>
      <c r="S16" s="38" t="str">
        <f t="shared" si="14"/>
        <v/>
      </c>
      <c r="T16" s="36" t="str">
        <f>IF($H16="","",IFERROR(INDEX('Risk Library'!$N$5:$S$411,MATCH($E16,'Risk Library'!$A$5:$A$411,0),$H16+1),""))</f>
        <v/>
      </c>
      <c r="U16" s="37">
        <f>IFERROR('Company Geography'!$G$13,"")</f>
        <v>5</v>
      </c>
      <c r="V16" s="37">
        <f>IFERROR('Company Geography'!$W$13,"")</f>
        <v>5</v>
      </c>
      <c r="W16" s="37">
        <f>IFERROR('Company Geography'!$X$13,"")</f>
        <v>5</v>
      </c>
      <c r="X16" s="37">
        <f>IFERROR('Company Geography'!$Y$13,"")</f>
        <v>5</v>
      </c>
      <c r="Y16" s="36" t="s">
        <v>1862</v>
      </c>
      <c r="Z16" s="36" t="s">
        <v>1863</v>
      </c>
      <c r="AA16" s="36" t="s">
        <v>1937</v>
      </c>
      <c r="AB16" s="36">
        <f>IFERROR('Company Geography'!$U$13,"")</f>
        <v>0</v>
      </c>
      <c r="AC16" s="36"/>
      <c r="AD16" s="36"/>
      <c r="AE16" s="36"/>
      <c r="AF16" s="36" t="s">
        <v>1936</v>
      </c>
      <c r="AH16" s="36" t="s">
        <v>87</v>
      </c>
      <c r="AI16" s="36">
        <f t="shared" si="0"/>
        <v>0</v>
      </c>
      <c r="AJ16" s="36">
        <f t="shared" si="1"/>
        <v>0</v>
      </c>
      <c r="AK16" s="36" t="str">
        <f t="shared" si="2"/>
        <v/>
      </c>
      <c r="AL16" s="36" t="str">
        <f ca="1">IFERROR(MAXIFS($L$8:$L$414,$C$8:$C$414,AH16,$B$8:$B$414,"Yes"),"")</f>
        <v/>
      </c>
      <c r="AM16" s="36" t="str">
        <f t="shared" si="3"/>
        <v/>
      </c>
      <c r="AN16" s="36">
        <f t="shared" si="4"/>
        <v>17</v>
      </c>
      <c r="AO16" s="48" t="str">
        <f>IF($B16="Yes",IFERROR(SUMIFS(_TECH_Crisis_Model!$D$5:$D$191,_TECH_Crisis_Model!$A$5:$A$191,'Crisis Simulator'!$B$4,_TECH_Crisis_Model!$B$5:$B$191,$C16),1),"")</f>
        <v/>
      </c>
      <c r="AP16" s="48" t="str">
        <f t="shared" si="15"/>
        <v/>
      </c>
      <c r="AQ16" s="48" t="str">
        <f t="shared" si="16"/>
        <v/>
      </c>
      <c r="AR16" s="48" t="str">
        <f>IFERROR(INDEX(_TECH_Crisis_Model!$E$5:$E$191,MATCH('Crisis Simulator'!$B$4&amp;"|"&amp;$C16,_TECH_Crisis_Model!$I$5:$I$191,0)),"")</f>
        <v>Geographic concentration, legal entity exposure and site dependency can amplify crisis impact.</v>
      </c>
      <c r="AS16" s="48" t="str">
        <f>IFERROR(INDEX(_TECH_Crisis_Model!$G$5:$G$191,MATCH('Crisis Simulator'!$B$4&amp;"|"&amp;$C16,_TECH_Crisis_Model!$I$5:$I$191,0)),"")</f>
        <v>Map entities, locations, markets, revenue exposure and alternate operating options.</v>
      </c>
      <c r="AT16" s="48" t="str">
        <f>IFERROR(INDEX(_TECH_Initiative_Library!$A$5:$A$76,MATCH(1,INDEX((_TECH_Initiative_Library!$B$5:$B$76=$C16)*(_TECH_Initiative_Library!$C$5:$C$76=$D16),0),0)),"")</f>
        <v>INI-002</v>
      </c>
      <c r="AU16" s="48" t="str">
        <f>IFERROR(INDEX(_TECH_Initiative_Library!$F$5:$F$76,MATCH(1,INDEX((_TECH_Initiative_Library!$B$5:$B$76=$C16)*(_TECH_Initiative_Library!$C$5:$C$76=$D16),0),0)),"")</f>
        <v>Build geographic exposure and site continuity model</v>
      </c>
      <c r="AV16" s="48" t="str">
        <f ca="1">IFERROR(INDEX(_TECH_Initiative_Library!$AC$5:$AC$76,MATCH(1,INDEX((_TECH_Initiative_Library!$B$5:$B$76=$C16)*(_TECH_Initiative_Library!$C$5:$C$76=$D16),0),0)),"")</f>
        <v/>
      </c>
      <c r="AW16" s="48" t="str">
        <f ca="1">IFERROR(INDEX(_TECH_Initiative_Library!$AE$5:$AE$76,MATCH(1,INDEX((_TECH_Initiative_Library!$B$5:$B$76=$C16)*(_TECH_Initiative_Library!$C$5:$C$76=$D16),0),0)),"")</f>
        <v/>
      </c>
      <c r="AX16" s="48" t="str">
        <f>IF($B16="Yes",IFERROR(SUMIFS(_TECH_Industry_Templates!$E:$E,_TECH_Industry_Templates!$A:$A,'Company Profile'!$B$9,_TECH_Industry_Templates!$B:$B,$C16),1),"")</f>
        <v/>
      </c>
      <c r="AY16" s="48" t="str">
        <f t="shared" si="17"/>
        <v/>
      </c>
      <c r="AZ16" s="48" t="str">
        <f t="shared" si="18"/>
        <v/>
      </c>
      <c r="BA16" s="48" t="str">
        <f>IF($AZ16="","",RANK.EQ($AZ16,$AZ$8:$AZ$414,0)+COUNTIF($AZ$8:$AZ16,$AZ16)-1)</f>
        <v/>
      </c>
    </row>
    <row r="17" spans="1:53" ht="69.95" customHeight="1">
      <c r="A17" s="36" t="str">
        <f>IF($AZ17="","",RANK.EQ($AZ17,$AZ$8:$AZ$414,0)+COUNTIF($AZ$8:$AZ17,$AZ17)-1)</f>
        <v/>
      </c>
      <c r="B17" s="36" t="str">
        <f t="shared" si="5"/>
        <v/>
      </c>
      <c r="C17" s="36" t="s">
        <v>54</v>
      </c>
      <c r="D17" s="36" t="s">
        <v>1016</v>
      </c>
      <c r="E17" s="36" t="s">
        <v>1945</v>
      </c>
      <c r="F17" s="36" t="s">
        <v>183</v>
      </c>
      <c r="G17" s="36" t="str">
        <f>IF($H17="","",IFERROR(INDEX('Risk Library'!$H$5:$M$411,MATCH($E17,'Risk Library'!$A$5:$A$411,0),$H17+1),""))</f>
        <v/>
      </c>
      <c r="H17" s="37" t="str">
        <f>IF(OR(COUNTA('Company Geography'!$H$14)=0,'Company Geography'!$H$14="N/A"),"",VALUE('Company Geography'!$H$14))</f>
        <v/>
      </c>
      <c r="I17" s="36" t="str">
        <f>IF($H17="","",IFERROR(IF('Company Geography'!$L$14="",IF($H17&lt;=1,"Critical",IF($H17=2,"High",IF($H17=3,"Medium",IF($H17=4,"Low","Resilient")))),'Company Geography'!$L$14),IF($H17&lt;=1,"Critical",IF($H17=2,"High",IF($H17=3,"Medium",IF($H17=4,"Low","Resilient"))))))</f>
        <v/>
      </c>
      <c r="J17" s="37" t="str">
        <f t="shared" si="6"/>
        <v/>
      </c>
      <c r="K17" s="37" t="str">
        <f t="shared" si="7"/>
        <v/>
      </c>
      <c r="L17" s="37" t="str">
        <f t="shared" si="8"/>
        <v/>
      </c>
      <c r="M17" s="37" t="str">
        <f t="shared" si="9"/>
        <v/>
      </c>
      <c r="N17" s="37" t="str">
        <f>IF($H17="","",IFERROR(INDEX('Risk Library'!$T$5:$Y$411,MATCH($E17,'Risk Library'!$A$5:$A$411,0),$H17+1),""))</f>
        <v/>
      </c>
      <c r="O17" s="37" t="str">
        <f t="shared" si="10"/>
        <v/>
      </c>
      <c r="P17" s="37" t="str">
        <f t="shared" si="11"/>
        <v/>
      </c>
      <c r="Q17" s="37" t="str">
        <f t="shared" si="12"/>
        <v/>
      </c>
      <c r="R17" s="37" t="str">
        <f t="shared" si="13"/>
        <v/>
      </c>
      <c r="S17" s="38" t="str">
        <f t="shared" si="14"/>
        <v/>
      </c>
      <c r="T17" s="36" t="str">
        <f>IF($H17="","",IFERROR(INDEX('Risk Library'!$N$5:$S$411,MATCH($E17,'Risk Library'!$A$5:$A$411,0),$H17+1),""))</f>
        <v/>
      </c>
      <c r="U17" s="37">
        <f>IFERROR('Company Geography'!$G$14,"")</f>
        <v>4</v>
      </c>
      <c r="V17" s="37">
        <f>IFERROR('Company Geography'!$W$14,"")</f>
        <v>4</v>
      </c>
      <c r="W17" s="37">
        <f>IFERROR('Company Geography'!$X$14,"")</f>
        <v>5</v>
      </c>
      <c r="X17" s="37">
        <f>IFERROR('Company Geography'!$Y$14,"")</f>
        <v>5</v>
      </c>
      <c r="Y17" s="36" t="s">
        <v>1862</v>
      </c>
      <c r="Z17" s="36" t="s">
        <v>1863</v>
      </c>
      <c r="AA17" s="36" t="s">
        <v>1947</v>
      </c>
      <c r="AB17" s="36">
        <f>IFERROR('Company Geography'!$U$14,"")</f>
        <v>0</v>
      </c>
      <c r="AC17" s="36"/>
      <c r="AD17" s="36"/>
      <c r="AE17" s="36"/>
      <c r="AF17" s="36" t="s">
        <v>1946</v>
      </c>
      <c r="AH17" s="36" t="s">
        <v>90</v>
      </c>
      <c r="AI17" s="36">
        <f t="shared" si="0"/>
        <v>0</v>
      </c>
      <c r="AJ17" s="36">
        <f t="shared" si="1"/>
        <v>0</v>
      </c>
      <c r="AK17" s="36" t="str">
        <f t="shared" si="2"/>
        <v/>
      </c>
      <c r="AL17" s="36" t="str">
        <f ca="1">IFERROR(MAXIFS($L$8:$L$414,$C$8:$C$414,AH17,$B$8:$B$414,"Yes"),"")</f>
        <v/>
      </c>
      <c r="AM17" s="36" t="str">
        <f t="shared" si="3"/>
        <v/>
      </c>
      <c r="AN17" s="36">
        <f t="shared" si="4"/>
        <v>29</v>
      </c>
      <c r="AO17" s="48" t="str">
        <f>IF($B17="Yes",IFERROR(SUMIFS(_TECH_Crisis_Model!$D$5:$D$191,_TECH_Crisis_Model!$A$5:$A$191,'Crisis Simulator'!$B$4,_TECH_Crisis_Model!$B$5:$B$191,$C17),1),"")</f>
        <v/>
      </c>
      <c r="AP17" s="48" t="str">
        <f t="shared" si="15"/>
        <v/>
      </c>
      <c r="AQ17" s="48" t="str">
        <f t="shared" si="16"/>
        <v/>
      </c>
      <c r="AR17" s="48" t="str">
        <f>IFERROR(INDEX(_TECH_Crisis_Model!$E$5:$E$191,MATCH('Crisis Simulator'!$B$4&amp;"|"&amp;$C17,_TECH_Crisis_Model!$I$5:$I$191,0)),"")</f>
        <v>Geographic concentration, legal entity exposure and site dependency can amplify crisis impact.</v>
      </c>
      <c r="AS17" s="48" t="str">
        <f>IFERROR(INDEX(_TECH_Crisis_Model!$G$5:$G$191,MATCH('Crisis Simulator'!$B$4&amp;"|"&amp;$C17,_TECH_Crisis_Model!$I$5:$I$191,0)),"")</f>
        <v>Map entities, locations, markets, revenue exposure and alternate operating options.</v>
      </c>
      <c r="AT17" s="48" t="str">
        <f>IFERROR(INDEX(_TECH_Initiative_Library!$A$5:$A$76,MATCH(1,INDEX((_TECH_Initiative_Library!$B$5:$B$76=$C17)*(_TECH_Initiative_Library!$C$5:$C$76=$D17),0),0)),"")</f>
        <v>INI-002</v>
      </c>
      <c r="AU17" s="48" t="str">
        <f>IFERROR(INDEX(_TECH_Initiative_Library!$F$5:$F$76,MATCH(1,INDEX((_TECH_Initiative_Library!$B$5:$B$76=$C17)*(_TECH_Initiative_Library!$C$5:$C$76=$D17),0),0)),"")</f>
        <v>Build geographic exposure and site continuity model</v>
      </c>
      <c r="AV17" s="48" t="str">
        <f ca="1">IFERROR(INDEX(_TECH_Initiative_Library!$AC$5:$AC$76,MATCH(1,INDEX((_TECH_Initiative_Library!$B$5:$B$76=$C17)*(_TECH_Initiative_Library!$C$5:$C$76=$D17),0),0)),"")</f>
        <v/>
      </c>
      <c r="AW17" s="48" t="str">
        <f ca="1">IFERROR(INDEX(_TECH_Initiative_Library!$AE$5:$AE$76,MATCH(1,INDEX((_TECH_Initiative_Library!$B$5:$B$76=$C17)*(_TECH_Initiative_Library!$C$5:$C$76=$D17),0),0)),"")</f>
        <v/>
      </c>
      <c r="AX17" s="48" t="str">
        <f>IF($B17="Yes",IFERROR(SUMIFS(_TECH_Industry_Templates!$E:$E,_TECH_Industry_Templates!$A:$A,'Company Profile'!$B$9,_TECH_Industry_Templates!$B:$B,$C17),1),"")</f>
        <v/>
      </c>
      <c r="AY17" s="48" t="str">
        <f t="shared" si="17"/>
        <v/>
      </c>
      <c r="AZ17" s="48" t="str">
        <f t="shared" si="18"/>
        <v/>
      </c>
      <c r="BA17" s="48" t="str">
        <f>IF($AZ17="","",RANK.EQ($AZ17,$AZ$8:$AZ$414,0)+COUNTIF($AZ$8:$AZ17,$AZ17)-1)</f>
        <v/>
      </c>
    </row>
    <row r="18" spans="1:53" ht="69.95" customHeight="1">
      <c r="A18" s="36" t="str">
        <f>IF($AZ18="","",RANK.EQ($AZ18,$AZ$8:$AZ$414,0)+COUNTIF($AZ$8:$AZ18,$AZ18)-1)</f>
        <v/>
      </c>
      <c r="B18" s="36" t="str">
        <f t="shared" si="5"/>
        <v/>
      </c>
      <c r="C18" s="36" t="s">
        <v>54</v>
      </c>
      <c r="D18" s="36" t="s">
        <v>1016</v>
      </c>
      <c r="E18" s="36" t="s">
        <v>1955</v>
      </c>
      <c r="F18" s="36" t="s">
        <v>183</v>
      </c>
      <c r="G18" s="36" t="str">
        <f>IF($H18="","",IFERROR(INDEX('Risk Library'!$H$5:$M$411,MATCH($E18,'Risk Library'!$A$5:$A$411,0),$H18+1),""))</f>
        <v/>
      </c>
      <c r="H18" s="37" t="str">
        <f>IF(OR(COUNTA('Company Geography'!$H$15)=0,'Company Geography'!$H$15="N/A"),"",VALUE('Company Geography'!$H$15))</f>
        <v/>
      </c>
      <c r="I18" s="36" t="str">
        <f>IF($H18="","",IFERROR(IF('Company Geography'!$L$15="",IF($H18&lt;=1,"Critical",IF($H18=2,"High",IF($H18=3,"Medium",IF($H18=4,"Low","Resilient")))),'Company Geography'!$L$15),IF($H18&lt;=1,"Critical",IF($H18=2,"High",IF($H18=3,"Medium",IF($H18=4,"Low","Resilient"))))))</f>
        <v/>
      </c>
      <c r="J18" s="37" t="str">
        <f t="shared" si="6"/>
        <v/>
      </c>
      <c r="K18" s="37" t="str">
        <f t="shared" si="7"/>
        <v/>
      </c>
      <c r="L18" s="37" t="str">
        <f t="shared" si="8"/>
        <v/>
      </c>
      <c r="M18" s="37" t="str">
        <f t="shared" si="9"/>
        <v/>
      </c>
      <c r="N18" s="37" t="str">
        <f>IF($H18="","",IFERROR(INDEX('Risk Library'!$T$5:$Y$411,MATCH($E18,'Risk Library'!$A$5:$A$411,0),$H18+1),""))</f>
        <v/>
      </c>
      <c r="O18" s="37" t="str">
        <f t="shared" si="10"/>
        <v/>
      </c>
      <c r="P18" s="37" t="str">
        <f t="shared" si="11"/>
        <v/>
      </c>
      <c r="Q18" s="37" t="str">
        <f t="shared" si="12"/>
        <v/>
      </c>
      <c r="R18" s="37" t="str">
        <f t="shared" si="13"/>
        <v/>
      </c>
      <c r="S18" s="38" t="str">
        <f t="shared" si="14"/>
        <v/>
      </c>
      <c r="T18" s="36" t="str">
        <f>IF($H18="","",IFERROR(INDEX('Risk Library'!$N$5:$S$411,MATCH($E18,'Risk Library'!$A$5:$A$411,0),$H18+1),""))</f>
        <v/>
      </c>
      <c r="U18" s="37">
        <f>IFERROR('Company Geography'!$G$15,"")</f>
        <v>5</v>
      </c>
      <c r="V18" s="37">
        <f>IFERROR('Company Geography'!$W$15,"")</f>
        <v>4</v>
      </c>
      <c r="W18" s="37">
        <f>IFERROR('Company Geography'!$X$15,"")</f>
        <v>5</v>
      </c>
      <c r="X18" s="37">
        <f>IFERROR('Company Geography'!$Y$15,"")</f>
        <v>5</v>
      </c>
      <c r="Y18" s="36" t="s">
        <v>1862</v>
      </c>
      <c r="Z18" s="36" t="s">
        <v>1863</v>
      </c>
      <c r="AA18" s="36" t="s">
        <v>1957</v>
      </c>
      <c r="AB18" s="36">
        <f>IFERROR('Company Geography'!$U$15,"")</f>
        <v>0</v>
      </c>
      <c r="AC18" s="36"/>
      <c r="AD18" s="36"/>
      <c r="AE18" s="36"/>
      <c r="AF18" s="36" t="s">
        <v>1956</v>
      </c>
      <c r="AH18" s="36" t="s">
        <v>91</v>
      </c>
      <c r="AI18" s="36">
        <f t="shared" si="0"/>
        <v>0</v>
      </c>
      <c r="AJ18" s="36">
        <f t="shared" si="1"/>
        <v>0</v>
      </c>
      <c r="AK18" s="36" t="str">
        <f t="shared" si="2"/>
        <v/>
      </c>
      <c r="AL18" s="36" t="str">
        <f ca="1">IFERROR(MAXIFS($L$8:$L$414,$C$8:$C$414,AH18,$B$8:$B$414,"Yes"),"")</f>
        <v/>
      </c>
      <c r="AM18" s="36" t="str">
        <f t="shared" si="3"/>
        <v/>
      </c>
      <c r="AN18" s="36">
        <f t="shared" si="4"/>
        <v>23</v>
      </c>
      <c r="AO18" s="48" t="str">
        <f>IF($B18="Yes",IFERROR(SUMIFS(_TECH_Crisis_Model!$D$5:$D$191,_TECH_Crisis_Model!$A$5:$A$191,'Crisis Simulator'!$B$4,_TECH_Crisis_Model!$B$5:$B$191,$C18),1),"")</f>
        <v/>
      </c>
      <c r="AP18" s="48" t="str">
        <f t="shared" si="15"/>
        <v/>
      </c>
      <c r="AQ18" s="48" t="str">
        <f t="shared" si="16"/>
        <v/>
      </c>
      <c r="AR18" s="48" t="str">
        <f>IFERROR(INDEX(_TECH_Crisis_Model!$E$5:$E$191,MATCH('Crisis Simulator'!$B$4&amp;"|"&amp;$C18,_TECH_Crisis_Model!$I$5:$I$191,0)),"")</f>
        <v>Geographic concentration, legal entity exposure and site dependency can amplify crisis impact.</v>
      </c>
      <c r="AS18" s="48" t="str">
        <f>IFERROR(INDEX(_TECH_Crisis_Model!$G$5:$G$191,MATCH('Crisis Simulator'!$B$4&amp;"|"&amp;$C18,_TECH_Crisis_Model!$I$5:$I$191,0)),"")</f>
        <v>Map entities, locations, markets, revenue exposure and alternate operating options.</v>
      </c>
      <c r="AT18" s="48" t="str">
        <f>IFERROR(INDEX(_TECH_Initiative_Library!$A$5:$A$76,MATCH(1,INDEX((_TECH_Initiative_Library!$B$5:$B$76=$C18)*(_TECH_Initiative_Library!$C$5:$C$76=$D18),0),0)),"")</f>
        <v>INI-002</v>
      </c>
      <c r="AU18" s="48" t="str">
        <f>IFERROR(INDEX(_TECH_Initiative_Library!$F$5:$F$76,MATCH(1,INDEX((_TECH_Initiative_Library!$B$5:$B$76=$C18)*(_TECH_Initiative_Library!$C$5:$C$76=$D18),0),0)),"")</f>
        <v>Build geographic exposure and site continuity model</v>
      </c>
      <c r="AV18" s="48" t="str">
        <f ca="1">IFERROR(INDEX(_TECH_Initiative_Library!$AC$5:$AC$76,MATCH(1,INDEX((_TECH_Initiative_Library!$B$5:$B$76=$C18)*(_TECH_Initiative_Library!$C$5:$C$76=$D18),0),0)),"")</f>
        <v/>
      </c>
      <c r="AW18" s="48" t="str">
        <f ca="1">IFERROR(INDEX(_TECH_Initiative_Library!$AE$5:$AE$76,MATCH(1,INDEX((_TECH_Initiative_Library!$B$5:$B$76=$C18)*(_TECH_Initiative_Library!$C$5:$C$76=$D18),0),0)),"")</f>
        <v/>
      </c>
      <c r="AX18" s="48" t="str">
        <f>IF($B18="Yes",IFERROR(SUMIFS(_TECH_Industry_Templates!$E:$E,_TECH_Industry_Templates!$A:$A,'Company Profile'!$B$9,_TECH_Industry_Templates!$B:$B,$C18),1),"")</f>
        <v/>
      </c>
      <c r="AY18" s="48" t="str">
        <f t="shared" si="17"/>
        <v/>
      </c>
      <c r="AZ18" s="48" t="str">
        <f t="shared" si="18"/>
        <v/>
      </c>
      <c r="BA18" s="48" t="str">
        <f>IF($AZ18="","",RANK.EQ($AZ18,$AZ$8:$AZ$414,0)+COUNTIF($AZ$8:$AZ18,$AZ18)-1)</f>
        <v/>
      </c>
    </row>
    <row r="19" spans="1:53" ht="69.95" customHeight="1">
      <c r="A19" s="36" t="str">
        <f>IF($AZ19="","",RANK.EQ($AZ19,$AZ$8:$AZ$414,0)+COUNTIF($AZ$8:$AZ19,$AZ19)-1)</f>
        <v/>
      </c>
      <c r="B19" s="36" t="str">
        <f t="shared" si="5"/>
        <v/>
      </c>
      <c r="C19" s="36" t="s">
        <v>54</v>
      </c>
      <c r="D19" s="36" t="s">
        <v>1016</v>
      </c>
      <c r="E19" s="36" t="s">
        <v>1965</v>
      </c>
      <c r="F19" s="36" t="s">
        <v>183</v>
      </c>
      <c r="G19" s="36" t="str">
        <f>IF($H19="","",IFERROR(INDEX('Risk Library'!$H$5:$M$411,MATCH($E19,'Risk Library'!$A$5:$A$411,0),$H19+1),""))</f>
        <v/>
      </c>
      <c r="H19" s="37" t="str">
        <f>IF(OR(COUNTA('Company Geography'!$H$16)=0,'Company Geography'!$H$16="N/A"),"",VALUE('Company Geography'!$H$16))</f>
        <v/>
      </c>
      <c r="I19" s="36" t="str">
        <f>IF($H19="","",IFERROR(IF('Company Geography'!$L$16="",IF($H19&lt;=1,"Critical",IF($H19=2,"High",IF($H19=3,"Medium",IF($H19=4,"Low","Resilient")))),'Company Geography'!$L$16),IF($H19&lt;=1,"Critical",IF($H19=2,"High",IF($H19=3,"Medium",IF($H19=4,"Low","Resilient"))))))</f>
        <v/>
      </c>
      <c r="J19" s="37" t="str">
        <f t="shared" si="6"/>
        <v/>
      </c>
      <c r="K19" s="37" t="str">
        <f t="shared" si="7"/>
        <v/>
      </c>
      <c r="L19" s="37" t="str">
        <f t="shared" si="8"/>
        <v/>
      </c>
      <c r="M19" s="37" t="str">
        <f t="shared" si="9"/>
        <v/>
      </c>
      <c r="N19" s="37" t="str">
        <f>IF($H19="","",IFERROR(INDEX('Risk Library'!$T$5:$Y$411,MATCH($E19,'Risk Library'!$A$5:$A$411,0),$H19+1),""))</f>
        <v/>
      </c>
      <c r="O19" s="37" t="str">
        <f t="shared" si="10"/>
        <v/>
      </c>
      <c r="P19" s="37" t="str">
        <f t="shared" si="11"/>
        <v/>
      </c>
      <c r="Q19" s="37" t="str">
        <f t="shared" si="12"/>
        <v/>
      </c>
      <c r="R19" s="37" t="str">
        <f t="shared" si="13"/>
        <v/>
      </c>
      <c r="S19" s="38" t="str">
        <f t="shared" si="14"/>
        <v/>
      </c>
      <c r="T19" s="36" t="str">
        <f>IF($H19="","",IFERROR(INDEX('Risk Library'!$N$5:$S$411,MATCH($E19,'Risk Library'!$A$5:$A$411,0),$H19+1),""))</f>
        <v/>
      </c>
      <c r="U19" s="37">
        <f>IFERROR('Company Geography'!$G$16,"")</f>
        <v>5</v>
      </c>
      <c r="V19" s="37">
        <f>IFERROR('Company Geography'!$W$16,"")</f>
        <v>4</v>
      </c>
      <c r="W19" s="37">
        <f>IFERROR('Company Geography'!$X$16,"")</f>
        <v>5</v>
      </c>
      <c r="X19" s="37">
        <f>IFERROR('Company Geography'!$Y$16,"")</f>
        <v>5</v>
      </c>
      <c r="Y19" s="36" t="s">
        <v>1862</v>
      </c>
      <c r="Z19" s="36" t="s">
        <v>1863</v>
      </c>
      <c r="AA19" s="36" t="s">
        <v>1967</v>
      </c>
      <c r="AB19" s="36">
        <f>IFERROR('Company Geography'!$U$16,"")</f>
        <v>0</v>
      </c>
      <c r="AC19" s="36"/>
      <c r="AD19" s="36"/>
      <c r="AE19" s="36"/>
      <c r="AF19" s="36" t="s">
        <v>1966</v>
      </c>
      <c r="AH19" s="36" t="s">
        <v>92</v>
      </c>
      <c r="AI19" s="36">
        <f t="shared" si="0"/>
        <v>0</v>
      </c>
      <c r="AJ19" s="36">
        <f t="shared" si="1"/>
        <v>0</v>
      </c>
      <c r="AK19" s="36" t="str">
        <f t="shared" si="2"/>
        <v/>
      </c>
      <c r="AL19" s="36" t="str">
        <f ca="1">IFERROR(MAXIFS($L$8:$L$414,$C$8:$C$414,AH19,$B$8:$B$414,"Yes"),"")</f>
        <v/>
      </c>
      <c r="AM19" s="36" t="str">
        <f t="shared" si="3"/>
        <v/>
      </c>
      <c r="AN19" s="36">
        <f t="shared" si="4"/>
        <v>27</v>
      </c>
      <c r="AO19" s="48" t="str">
        <f>IF($B19="Yes",IFERROR(SUMIFS(_TECH_Crisis_Model!$D$5:$D$191,_TECH_Crisis_Model!$A$5:$A$191,'Crisis Simulator'!$B$4,_TECH_Crisis_Model!$B$5:$B$191,$C19),1),"")</f>
        <v/>
      </c>
      <c r="AP19" s="48" t="str">
        <f t="shared" si="15"/>
        <v/>
      </c>
      <c r="AQ19" s="48" t="str">
        <f t="shared" si="16"/>
        <v/>
      </c>
      <c r="AR19" s="48" t="str">
        <f>IFERROR(INDEX(_TECH_Crisis_Model!$E$5:$E$191,MATCH('Crisis Simulator'!$B$4&amp;"|"&amp;$C19,_TECH_Crisis_Model!$I$5:$I$191,0)),"")</f>
        <v>Geographic concentration, legal entity exposure and site dependency can amplify crisis impact.</v>
      </c>
      <c r="AS19" s="48" t="str">
        <f>IFERROR(INDEX(_TECH_Crisis_Model!$G$5:$G$191,MATCH('Crisis Simulator'!$B$4&amp;"|"&amp;$C19,_TECH_Crisis_Model!$I$5:$I$191,0)),"")</f>
        <v>Map entities, locations, markets, revenue exposure and alternate operating options.</v>
      </c>
      <c r="AT19" s="48" t="str">
        <f>IFERROR(INDEX(_TECH_Initiative_Library!$A$5:$A$76,MATCH(1,INDEX((_TECH_Initiative_Library!$B$5:$B$76=$C19)*(_TECH_Initiative_Library!$C$5:$C$76=$D19),0),0)),"")</f>
        <v>INI-002</v>
      </c>
      <c r="AU19" s="48" t="str">
        <f>IFERROR(INDEX(_TECH_Initiative_Library!$F$5:$F$76,MATCH(1,INDEX((_TECH_Initiative_Library!$B$5:$B$76=$C19)*(_TECH_Initiative_Library!$C$5:$C$76=$D19),0),0)),"")</f>
        <v>Build geographic exposure and site continuity model</v>
      </c>
      <c r="AV19" s="48" t="str">
        <f ca="1">IFERROR(INDEX(_TECH_Initiative_Library!$AC$5:$AC$76,MATCH(1,INDEX((_TECH_Initiative_Library!$B$5:$B$76=$C19)*(_TECH_Initiative_Library!$C$5:$C$76=$D19),0),0)),"")</f>
        <v/>
      </c>
      <c r="AW19" s="48" t="str">
        <f ca="1">IFERROR(INDEX(_TECH_Initiative_Library!$AE$5:$AE$76,MATCH(1,INDEX((_TECH_Initiative_Library!$B$5:$B$76=$C19)*(_TECH_Initiative_Library!$C$5:$C$76=$D19),0),0)),"")</f>
        <v/>
      </c>
      <c r="AX19" s="48" t="str">
        <f>IF($B19="Yes",IFERROR(SUMIFS(_TECH_Industry_Templates!$E:$E,_TECH_Industry_Templates!$A:$A,'Company Profile'!$B$9,_TECH_Industry_Templates!$B:$B,$C19),1),"")</f>
        <v/>
      </c>
      <c r="AY19" s="48" t="str">
        <f t="shared" si="17"/>
        <v/>
      </c>
      <c r="AZ19" s="48" t="str">
        <f t="shared" si="18"/>
        <v/>
      </c>
      <c r="BA19" s="48" t="str">
        <f>IF($AZ19="","",RANK.EQ($AZ19,$AZ$8:$AZ$414,0)+COUNTIF($AZ$8:$AZ19,$AZ19)-1)</f>
        <v/>
      </c>
    </row>
    <row r="20" spans="1:53" ht="69.95" customHeight="1">
      <c r="A20" s="36" t="str">
        <f>IF($AZ20="","",RANK.EQ($AZ20,$AZ$8:$AZ$414,0)+COUNTIF($AZ$8:$AZ20,$AZ20)-1)</f>
        <v/>
      </c>
      <c r="B20" s="36" t="str">
        <f t="shared" si="5"/>
        <v/>
      </c>
      <c r="C20" s="36" t="s">
        <v>54</v>
      </c>
      <c r="D20" s="36" t="s">
        <v>1016</v>
      </c>
      <c r="E20" s="36" t="s">
        <v>1975</v>
      </c>
      <c r="F20" s="36" t="s">
        <v>183</v>
      </c>
      <c r="G20" s="36" t="str">
        <f>IF($H20="","",IFERROR(INDEX('Risk Library'!$H$5:$M$411,MATCH($E20,'Risk Library'!$A$5:$A$411,0),$H20+1),""))</f>
        <v/>
      </c>
      <c r="H20" s="37" t="str">
        <f>IF(OR(COUNTA('Company Geography'!$H$17)=0,'Company Geography'!$H$17="N/A"),"",VALUE('Company Geography'!$H$17))</f>
        <v/>
      </c>
      <c r="I20" s="36" t="str">
        <f>IF($H20="","",IFERROR(IF('Company Geography'!$L$17="",IF($H20&lt;=1,"Critical",IF($H20=2,"High",IF($H20=3,"Medium",IF($H20=4,"Low","Resilient")))),'Company Geography'!$L$17),IF($H20&lt;=1,"Critical",IF($H20=2,"High",IF($H20=3,"Medium",IF($H20=4,"Low","Resilient"))))))</f>
        <v/>
      </c>
      <c r="J20" s="37" t="str">
        <f t="shared" si="6"/>
        <v/>
      </c>
      <c r="K20" s="37" t="str">
        <f t="shared" si="7"/>
        <v/>
      </c>
      <c r="L20" s="37" t="str">
        <f t="shared" si="8"/>
        <v/>
      </c>
      <c r="M20" s="37" t="str">
        <f t="shared" si="9"/>
        <v/>
      </c>
      <c r="N20" s="37" t="str">
        <f>IF($H20="","",IFERROR(INDEX('Risk Library'!$T$5:$Y$411,MATCH($E20,'Risk Library'!$A$5:$A$411,0),$H20+1),""))</f>
        <v/>
      </c>
      <c r="O20" s="37" t="str">
        <f t="shared" si="10"/>
        <v/>
      </c>
      <c r="P20" s="37" t="str">
        <f t="shared" si="11"/>
        <v/>
      </c>
      <c r="Q20" s="37" t="str">
        <f t="shared" si="12"/>
        <v/>
      </c>
      <c r="R20" s="37" t="str">
        <f t="shared" si="13"/>
        <v/>
      </c>
      <c r="S20" s="38" t="str">
        <f t="shared" si="14"/>
        <v/>
      </c>
      <c r="T20" s="36" t="str">
        <f>IF($H20="","",IFERROR(INDEX('Risk Library'!$N$5:$S$411,MATCH($E20,'Risk Library'!$A$5:$A$411,0),$H20+1),""))</f>
        <v/>
      </c>
      <c r="U20" s="37">
        <f>IFERROR('Company Geography'!$G$17,"")</f>
        <v>4</v>
      </c>
      <c r="V20" s="37">
        <f>IFERROR('Company Geography'!$W$17,"")</f>
        <v>4</v>
      </c>
      <c r="W20" s="37">
        <f>IFERROR('Company Geography'!$X$17,"")</f>
        <v>5</v>
      </c>
      <c r="X20" s="37">
        <f>IFERROR('Company Geography'!$Y$17,"")</f>
        <v>5</v>
      </c>
      <c r="Y20" s="36" t="s">
        <v>1862</v>
      </c>
      <c r="Z20" s="36" t="s">
        <v>1863</v>
      </c>
      <c r="AA20" s="36" t="s">
        <v>1977</v>
      </c>
      <c r="AB20" s="36">
        <f>IFERROR('Company Geography'!$U$17,"")</f>
        <v>0</v>
      </c>
      <c r="AC20" s="36"/>
      <c r="AD20" s="36"/>
      <c r="AE20" s="36"/>
      <c r="AF20" s="36" t="s">
        <v>1976</v>
      </c>
      <c r="AH20" s="36" t="s">
        <v>93</v>
      </c>
      <c r="AI20" s="36">
        <f t="shared" si="0"/>
        <v>0</v>
      </c>
      <c r="AJ20" s="36">
        <f t="shared" si="1"/>
        <v>0</v>
      </c>
      <c r="AK20" s="36" t="str">
        <f t="shared" si="2"/>
        <v/>
      </c>
      <c r="AL20" s="36" t="str">
        <f ca="1">IFERROR(MAXIFS($L$8:$L$414,$C$8:$C$414,AH20,$B$8:$B$414,"Yes"),"")</f>
        <v/>
      </c>
      <c r="AM20" s="36" t="str">
        <f t="shared" si="3"/>
        <v/>
      </c>
      <c r="AN20" s="36">
        <f t="shared" si="4"/>
        <v>34</v>
      </c>
      <c r="AO20" s="48" t="str">
        <f>IF($B20="Yes",IFERROR(SUMIFS(_TECH_Crisis_Model!$D$5:$D$191,_TECH_Crisis_Model!$A$5:$A$191,'Crisis Simulator'!$B$4,_TECH_Crisis_Model!$B$5:$B$191,$C20),1),"")</f>
        <v/>
      </c>
      <c r="AP20" s="48" t="str">
        <f t="shared" si="15"/>
        <v/>
      </c>
      <c r="AQ20" s="48" t="str">
        <f t="shared" si="16"/>
        <v/>
      </c>
      <c r="AR20" s="48" t="str">
        <f>IFERROR(INDEX(_TECH_Crisis_Model!$E$5:$E$191,MATCH('Crisis Simulator'!$B$4&amp;"|"&amp;$C20,_TECH_Crisis_Model!$I$5:$I$191,0)),"")</f>
        <v>Geographic concentration, legal entity exposure and site dependency can amplify crisis impact.</v>
      </c>
      <c r="AS20" s="48" t="str">
        <f>IFERROR(INDEX(_TECH_Crisis_Model!$G$5:$G$191,MATCH('Crisis Simulator'!$B$4&amp;"|"&amp;$C20,_TECH_Crisis_Model!$I$5:$I$191,0)),"")</f>
        <v>Map entities, locations, markets, revenue exposure and alternate operating options.</v>
      </c>
      <c r="AT20" s="48" t="str">
        <f>IFERROR(INDEX(_TECH_Initiative_Library!$A$5:$A$76,MATCH(1,INDEX((_TECH_Initiative_Library!$B$5:$B$76=$C20)*(_TECH_Initiative_Library!$C$5:$C$76=$D20),0),0)),"")</f>
        <v>INI-002</v>
      </c>
      <c r="AU20" s="48" t="str">
        <f>IFERROR(INDEX(_TECH_Initiative_Library!$F$5:$F$76,MATCH(1,INDEX((_TECH_Initiative_Library!$B$5:$B$76=$C20)*(_TECH_Initiative_Library!$C$5:$C$76=$D20),0),0)),"")</f>
        <v>Build geographic exposure and site continuity model</v>
      </c>
      <c r="AV20" s="48" t="str">
        <f ca="1">IFERROR(INDEX(_TECH_Initiative_Library!$AC$5:$AC$76,MATCH(1,INDEX((_TECH_Initiative_Library!$B$5:$B$76=$C20)*(_TECH_Initiative_Library!$C$5:$C$76=$D20),0),0)),"")</f>
        <v/>
      </c>
      <c r="AW20" s="48" t="str">
        <f ca="1">IFERROR(INDEX(_TECH_Initiative_Library!$AE$5:$AE$76,MATCH(1,INDEX((_TECH_Initiative_Library!$B$5:$B$76=$C20)*(_TECH_Initiative_Library!$C$5:$C$76=$D20),0),0)),"")</f>
        <v/>
      </c>
      <c r="AX20" s="48" t="str">
        <f>IF($B20="Yes",IFERROR(SUMIFS(_TECH_Industry_Templates!$E:$E,_TECH_Industry_Templates!$A:$A,'Company Profile'!$B$9,_TECH_Industry_Templates!$B:$B,$C20),1),"")</f>
        <v/>
      </c>
      <c r="AY20" s="48" t="str">
        <f t="shared" si="17"/>
        <v/>
      </c>
      <c r="AZ20" s="48" t="str">
        <f t="shared" si="18"/>
        <v/>
      </c>
      <c r="BA20" s="48" t="str">
        <f>IF($AZ20="","",RANK.EQ($AZ20,$AZ$8:$AZ$414,0)+COUNTIF($AZ$8:$AZ20,$AZ20)-1)</f>
        <v/>
      </c>
    </row>
    <row r="21" spans="1:53" ht="69.95" customHeight="1">
      <c r="A21" s="36" t="str">
        <f>IF($AZ21="","",RANK.EQ($AZ21,$AZ$8:$AZ$414,0)+COUNTIF($AZ$8:$AZ21,$AZ21)-1)</f>
        <v/>
      </c>
      <c r="B21" s="36" t="str">
        <f t="shared" si="5"/>
        <v/>
      </c>
      <c r="C21" s="36" t="s">
        <v>54</v>
      </c>
      <c r="D21" s="36" t="s">
        <v>1016</v>
      </c>
      <c r="E21" s="36" t="s">
        <v>1985</v>
      </c>
      <c r="F21" s="36" t="s">
        <v>183</v>
      </c>
      <c r="G21" s="36" t="str">
        <f>IF($H21="","",IFERROR(INDEX('Risk Library'!$H$5:$M$411,MATCH($E21,'Risk Library'!$A$5:$A$411,0),$H21+1),""))</f>
        <v/>
      </c>
      <c r="H21" s="37" t="str">
        <f>IF(OR(COUNTA('Company Geography'!$H$18)=0,'Company Geography'!$H$18="N/A"),"",VALUE('Company Geography'!$H$18))</f>
        <v/>
      </c>
      <c r="I21" s="36" t="str">
        <f>IF($H21="","",IFERROR(IF('Company Geography'!$L$18="",IF($H21&lt;=1,"Critical",IF($H21=2,"High",IF($H21=3,"Medium",IF($H21=4,"Low","Resilient")))),'Company Geography'!$L$18),IF($H21&lt;=1,"Critical",IF($H21=2,"High",IF($H21=3,"Medium",IF($H21=4,"Low","Resilient"))))))</f>
        <v/>
      </c>
      <c r="J21" s="37" t="str">
        <f t="shared" si="6"/>
        <v/>
      </c>
      <c r="K21" s="37" t="str">
        <f t="shared" si="7"/>
        <v/>
      </c>
      <c r="L21" s="37" t="str">
        <f t="shared" si="8"/>
        <v/>
      </c>
      <c r="M21" s="37" t="str">
        <f t="shared" si="9"/>
        <v/>
      </c>
      <c r="N21" s="37" t="str">
        <f>IF($H21="","",IFERROR(INDEX('Risk Library'!$T$5:$Y$411,MATCH($E21,'Risk Library'!$A$5:$A$411,0),$H21+1),""))</f>
        <v/>
      </c>
      <c r="O21" s="37" t="str">
        <f t="shared" si="10"/>
        <v/>
      </c>
      <c r="P21" s="37" t="str">
        <f t="shared" si="11"/>
        <v/>
      </c>
      <c r="Q21" s="37" t="str">
        <f t="shared" si="12"/>
        <v/>
      </c>
      <c r="R21" s="37" t="str">
        <f t="shared" si="13"/>
        <v/>
      </c>
      <c r="S21" s="38" t="str">
        <f t="shared" si="14"/>
        <v/>
      </c>
      <c r="T21" s="36" t="str">
        <f>IF($H21="","",IFERROR(INDEX('Risk Library'!$N$5:$S$411,MATCH($E21,'Risk Library'!$A$5:$A$411,0),$H21+1),""))</f>
        <v/>
      </c>
      <c r="U21" s="37">
        <f>IFERROR('Company Geography'!$G$18,"")</f>
        <v>5</v>
      </c>
      <c r="V21" s="37">
        <f>IFERROR('Company Geography'!$W$18,"")</f>
        <v>4</v>
      </c>
      <c r="W21" s="37">
        <f>IFERROR('Company Geography'!$X$18,"")</f>
        <v>5</v>
      </c>
      <c r="X21" s="37">
        <f>IFERROR('Company Geography'!$Y$18,"")</f>
        <v>5</v>
      </c>
      <c r="Y21" s="36" t="s">
        <v>1862</v>
      </c>
      <c r="Z21" s="36" t="s">
        <v>1863</v>
      </c>
      <c r="AA21" s="36" t="s">
        <v>1987</v>
      </c>
      <c r="AB21" s="36">
        <f>IFERROR('Company Geography'!$U$18,"")</f>
        <v>0</v>
      </c>
      <c r="AC21" s="36"/>
      <c r="AD21" s="36"/>
      <c r="AE21" s="36"/>
      <c r="AF21" s="36" t="s">
        <v>1986</v>
      </c>
      <c r="AH21" s="36" t="s">
        <v>94</v>
      </c>
      <c r="AI21" s="36">
        <f t="shared" si="0"/>
        <v>0</v>
      </c>
      <c r="AJ21" s="36">
        <f t="shared" si="1"/>
        <v>0</v>
      </c>
      <c r="AK21" s="36" t="str">
        <f t="shared" si="2"/>
        <v/>
      </c>
      <c r="AL21" s="36" t="str">
        <f ca="1">IFERROR(MAXIFS($L$8:$L$414,$C$8:$C$414,AH21,$B$8:$B$414,"Yes"),"")</f>
        <v/>
      </c>
      <c r="AM21" s="36" t="str">
        <f t="shared" si="3"/>
        <v/>
      </c>
      <c r="AN21" s="36">
        <f t="shared" si="4"/>
        <v>20</v>
      </c>
      <c r="AO21" s="48" t="str">
        <f>IF($B21="Yes",IFERROR(SUMIFS(_TECH_Crisis_Model!$D$5:$D$191,_TECH_Crisis_Model!$A$5:$A$191,'Crisis Simulator'!$B$4,_TECH_Crisis_Model!$B$5:$B$191,$C21),1),"")</f>
        <v/>
      </c>
      <c r="AP21" s="48" t="str">
        <f t="shared" si="15"/>
        <v/>
      </c>
      <c r="AQ21" s="48" t="str">
        <f t="shared" si="16"/>
        <v/>
      </c>
      <c r="AR21" s="48" t="str">
        <f>IFERROR(INDEX(_TECH_Crisis_Model!$E$5:$E$191,MATCH('Crisis Simulator'!$B$4&amp;"|"&amp;$C21,_TECH_Crisis_Model!$I$5:$I$191,0)),"")</f>
        <v>Geographic concentration, legal entity exposure and site dependency can amplify crisis impact.</v>
      </c>
      <c r="AS21" s="48" t="str">
        <f>IFERROR(INDEX(_TECH_Crisis_Model!$G$5:$G$191,MATCH('Crisis Simulator'!$B$4&amp;"|"&amp;$C21,_TECH_Crisis_Model!$I$5:$I$191,0)),"")</f>
        <v>Map entities, locations, markets, revenue exposure and alternate operating options.</v>
      </c>
      <c r="AT21" s="48" t="str">
        <f>IFERROR(INDEX(_TECH_Initiative_Library!$A$5:$A$76,MATCH(1,INDEX((_TECH_Initiative_Library!$B$5:$B$76=$C21)*(_TECH_Initiative_Library!$C$5:$C$76=$D21),0),0)),"")</f>
        <v>INI-002</v>
      </c>
      <c r="AU21" s="48" t="str">
        <f>IFERROR(INDEX(_TECH_Initiative_Library!$F$5:$F$76,MATCH(1,INDEX((_TECH_Initiative_Library!$B$5:$B$76=$C21)*(_TECH_Initiative_Library!$C$5:$C$76=$D21),0),0)),"")</f>
        <v>Build geographic exposure and site continuity model</v>
      </c>
      <c r="AV21" s="48" t="str">
        <f ca="1">IFERROR(INDEX(_TECH_Initiative_Library!$AC$5:$AC$76,MATCH(1,INDEX((_TECH_Initiative_Library!$B$5:$B$76=$C21)*(_TECH_Initiative_Library!$C$5:$C$76=$D21),0),0)),"")</f>
        <v/>
      </c>
      <c r="AW21" s="48" t="str">
        <f ca="1">IFERROR(INDEX(_TECH_Initiative_Library!$AE$5:$AE$76,MATCH(1,INDEX((_TECH_Initiative_Library!$B$5:$B$76=$C21)*(_TECH_Initiative_Library!$C$5:$C$76=$D21),0),0)),"")</f>
        <v/>
      </c>
      <c r="AX21" s="48" t="str">
        <f>IF($B21="Yes",IFERROR(SUMIFS(_TECH_Industry_Templates!$E:$E,_TECH_Industry_Templates!$A:$A,'Company Profile'!$B$9,_TECH_Industry_Templates!$B:$B,$C21),1),"")</f>
        <v/>
      </c>
      <c r="AY21" s="48" t="str">
        <f t="shared" si="17"/>
        <v/>
      </c>
      <c r="AZ21" s="48" t="str">
        <f t="shared" si="18"/>
        <v/>
      </c>
      <c r="BA21" s="48" t="str">
        <f>IF($AZ21="","",RANK.EQ($AZ21,$AZ$8:$AZ$414,0)+COUNTIF($AZ$8:$AZ21,$AZ21)-1)</f>
        <v/>
      </c>
    </row>
    <row r="22" spans="1:53" ht="69.95" customHeight="1">
      <c r="A22" s="36" t="str">
        <f>IF($AZ22="","",RANK.EQ($AZ22,$AZ$8:$AZ$414,0)+COUNTIF($AZ$8:$AZ22,$AZ22)-1)</f>
        <v/>
      </c>
      <c r="B22" s="36" t="str">
        <f t="shared" si="5"/>
        <v/>
      </c>
      <c r="C22" s="36" t="s">
        <v>54</v>
      </c>
      <c r="D22" s="36" t="s">
        <v>1024</v>
      </c>
      <c r="E22" s="36" t="s">
        <v>1995</v>
      </c>
      <c r="F22" s="36" t="s">
        <v>183</v>
      </c>
      <c r="G22" s="36" t="str">
        <f>IF($H22="","",IFERROR(INDEX('Risk Library'!$H$5:$M$411,MATCH($E22,'Risk Library'!$A$5:$A$411,0),$H22+1),""))</f>
        <v/>
      </c>
      <c r="H22" s="37" t="str">
        <f>IF(OR(COUNTA('Company Geography'!$H$19)=0,'Company Geography'!$H$19="N/A"),"",VALUE('Company Geography'!$H$19))</f>
        <v/>
      </c>
      <c r="I22" s="36" t="str">
        <f>IF($H22="","",IFERROR(IF('Company Geography'!$L$19="",IF($H22&lt;=1,"Critical",IF($H22=2,"High",IF($H22=3,"Medium",IF($H22=4,"Low","Resilient")))),'Company Geography'!$L$19),IF($H22&lt;=1,"Critical",IF($H22=2,"High",IF($H22=3,"Medium",IF($H22=4,"Low","Resilient"))))))</f>
        <v/>
      </c>
      <c r="J22" s="37" t="str">
        <f t="shared" si="6"/>
        <v/>
      </c>
      <c r="K22" s="37" t="str">
        <f t="shared" si="7"/>
        <v/>
      </c>
      <c r="L22" s="37" t="str">
        <f t="shared" si="8"/>
        <v/>
      </c>
      <c r="M22" s="37" t="str">
        <f t="shared" si="9"/>
        <v/>
      </c>
      <c r="N22" s="37" t="str">
        <f>IF($H22="","",IFERROR(INDEX('Risk Library'!$T$5:$Y$411,MATCH($E22,'Risk Library'!$A$5:$A$411,0),$H22+1),""))</f>
        <v/>
      </c>
      <c r="O22" s="37" t="str">
        <f t="shared" si="10"/>
        <v/>
      </c>
      <c r="P22" s="37" t="str">
        <f t="shared" si="11"/>
        <v/>
      </c>
      <c r="Q22" s="37" t="str">
        <f t="shared" si="12"/>
        <v/>
      </c>
      <c r="R22" s="37" t="str">
        <f t="shared" si="13"/>
        <v/>
      </c>
      <c r="S22" s="38" t="str">
        <f t="shared" si="14"/>
        <v/>
      </c>
      <c r="T22" s="36" t="str">
        <f>IF($H22="","",IFERROR(INDEX('Risk Library'!$N$5:$S$411,MATCH($E22,'Risk Library'!$A$5:$A$411,0),$H22+1),""))</f>
        <v/>
      </c>
      <c r="U22" s="37">
        <f>IFERROR('Company Geography'!$G$19,"")</f>
        <v>5</v>
      </c>
      <c r="V22" s="37">
        <f>IFERROR('Company Geography'!$W$19,"")</f>
        <v>4</v>
      </c>
      <c r="W22" s="37">
        <f>IFERROR('Company Geography'!$X$19,"")</f>
        <v>5</v>
      </c>
      <c r="X22" s="37">
        <f>IFERROR('Company Geography'!$Y$19,"")</f>
        <v>5</v>
      </c>
      <c r="Y22" s="36" t="s">
        <v>1862</v>
      </c>
      <c r="Z22" s="36" t="s">
        <v>1863</v>
      </c>
      <c r="AA22" s="36" t="s">
        <v>1997</v>
      </c>
      <c r="AB22" s="36">
        <f>IFERROR('Company Geography'!$U$19,"")</f>
        <v>0</v>
      </c>
      <c r="AC22" s="36"/>
      <c r="AD22" s="36"/>
      <c r="AE22" s="36"/>
      <c r="AF22" s="36" t="s">
        <v>1996</v>
      </c>
      <c r="AO22" s="48" t="str">
        <f>IF($B22="Yes",IFERROR(SUMIFS(_TECH_Crisis_Model!$D$5:$D$191,_TECH_Crisis_Model!$A$5:$A$191,'Crisis Simulator'!$B$4,_TECH_Crisis_Model!$B$5:$B$191,$C22),1),"")</f>
        <v/>
      </c>
      <c r="AP22" s="48" t="str">
        <f t="shared" si="15"/>
        <v/>
      </c>
      <c r="AQ22" s="48" t="str">
        <f t="shared" si="16"/>
        <v/>
      </c>
      <c r="AR22" s="48" t="str">
        <f>IFERROR(INDEX(_TECH_Crisis_Model!$E$5:$E$191,MATCH('Crisis Simulator'!$B$4&amp;"|"&amp;$C22,_TECH_Crisis_Model!$I$5:$I$191,0)),"")</f>
        <v>Geographic concentration, legal entity exposure and site dependency can amplify crisis impact.</v>
      </c>
      <c r="AS22" s="48" t="str">
        <f>IFERROR(INDEX(_TECH_Crisis_Model!$G$5:$G$191,MATCH('Crisis Simulator'!$B$4&amp;"|"&amp;$C22,_TECH_Crisis_Model!$I$5:$I$191,0)),"")</f>
        <v>Map entities, locations, markets, revenue exposure and alternate operating options.</v>
      </c>
      <c r="AT22" s="48" t="str">
        <f>IFERROR(INDEX(_TECH_Initiative_Library!$A$5:$A$76,MATCH(1,INDEX((_TECH_Initiative_Library!$B$5:$B$76=$C22)*(_TECH_Initiative_Library!$C$5:$C$76=$D22),0),0)),"")</f>
        <v>INI-003</v>
      </c>
      <c r="AU22" s="48" t="str">
        <f>IFERROR(INDEX(_TECH_Initiative_Library!$F$5:$F$76,MATCH(1,INDEX((_TECH_Initiative_Library!$B$5:$B$76=$C22)*(_TECH_Initiative_Library!$C$5:$C$76=$D22),0),0)),"")</f>
        <v>Map critical business dependencies and external exposures</v>
      </c>
      <c r="AV22" s="48" t="str">
        <f ca="1">IFERROR(INDEX(_TECH_Initiative_Library!$AC$5:$AC$76,MATCH(1,INDEX((_TECH_Initiative_Library!$B$5:$B$76=$C22)*(_TECH_Initiative_Library!$C$5:$C$76=$D22),0),0)),"")</f>
        <v/>
      </c>
      <c r="AW22" s="48" t="str">
        <f ca="1">IFERROR(INDEX(_TECH_Initiative_Library!$AE$5:$AE$76,MATCH(1,INDEX((_TECH_Initiative_Library!$B$5:$B$76=$C22)*(_TECH_Initiative_Library!$C$5:$C$76=$D22),0),0)),"")</f>
        <v/>
      </c>
      <c r="AX22" s="48" t="str">
        <f>IF($B22="Yes",IFERROR(SUMIFS(_TECH_Industry_Templates!$E:$E,_TECH_Industry_Templates!$A:$A,'Company Profile'!$B$9,_TECH_Industry_Templates!$B:$B,$C22),1),"")</f>
        <v/>
      </c>
      <c r="AY22" s="48" t="str">
        <f t="shared" si="17"/>
        <v/>
      </c>
      <c r="AZ22" s="48" t="str">
        <f t="shared" si="18"/>
        <v/>
      </c>
      <c r="BA22" s="48" t="str">
        <f>IF($AZ22="","",RANK.EQ($AZ22,$AZ$8:$AZ$414,0)+COUNTIF($AZ$8:$AZ22,$AZ22)-1)</f>
        <v/>
      </c>
    </row>
    <row r="23" spans="1:53" ht="69.95" customHeight="1">
      <c r="A23" s="36" t="str">
        <f>IF($AZ23="","",RANK.EQ($AZ23,$AZ$8:$AZ$414,0)+COUNTIF($AZ$8:$AZ23,$AZ23)-1)</f>
        <v/>
      </c>
      <c r="B23" s="36" t="str">
        <f t="shared" si="5"/>
        <v/>
      </c>
      <c r="C23" s="36" t="s">
        <v>54</v>
      </c>
      <c r="D23" s="36" t="s">
        <v>1024</v>
      </c>
      <c r="E23" s="36" t="s">
        <v>2005</v>
      </c>
      <c r="F23" s="36" t="s">
        <v>183</v>
      </c>
      <c r="G23" s="36" t="str">
        <f>IF($H23="","",IFERROR(INDEX('Risk Library'!$H$5:$M$411,MATCH($E23,'Risk Library'!$A$5:$A$411,0),$H23+1),""))</f>
        <v/>
      </c>
      <c r="H23" s="37" t="str">
        <f>IF(OR(COUNTA('Company Geography'!$H$20)=0,'Company Geography'!$H$20="N/A"),"",VALUE('Company Geography'!$H$20))</f>
        <v/>
      </c>
      <c r="I23" s="36" t="str">
        <f>IF($H23="","",IFERROR(IF('Company Geography'!$L$20="",IF($H23&lt;=1,"Critical",IF($H23=2,"High",IF($H23=3,"Medium",IF($H23=4,"Low","Resilient")))),'Company Geography'!$L$20),IF($H23&lt;=1,"Critical",IF($H23=2,"High",IF($H23=3,"Medium",IF($H23=4,"Low","Resilient"))))))</f>
        <v/>
      </c>
      <c r="J23" s="37" t="str">
        <f t="shared" si="6"/>
        <v/>
      </c>
      <c r="K23" s="37" t="str">
        <f t="shared" si="7"/>
        <v/>
      </c>
      <c r="L23" s="37" t="str">
        <f t="shared" si="8"/>
        <v/>
      </c>
      <c r="M23" s="37" t="str">
        <f t="shared" si="9"/>
        <v/>
      </c>
      <c r="N23" s="37" t="str">
        <f>IF($H23="","",IFERROR(INDEX('Risk Library'!$T$5:$Y$411,MATCH($E23,'Risk Library'!$A$5:$A$411,0),$H23+1),""))</f>
        <v/>
      </c>
      <c r="O23" s="37" t="str">
        <f t="shared" si="10"/>
        <v/>
      </c>
      <c r="P23" s="37" t="str">
        <f t="shared" si="11"/>
        <v/>
      </c>
      <c r="Q23" s="37" t="str">
        <f t="shared" si="12"/>
        <v/>
      </c>
      <c r="R23" s="37" t="str">
        <f t="shared" si="13"/>
        <v/>
      </c>
      <c r="S23" s="38" t="str">
        <f t="shared" si="14"/>
        <v/>
      </c>
      <c r="T23" s="36" t="str">
        <f>IF($H23="","",IFERROR(INDEX('Risk Library'!$N$5:$S$411,MATCH($E23,'Risk Library'!$A$5:$A$411,0),$H23+1),""))</f>
        <v/>
      </c>
      <c r="U23" s="37">
        <f>IFERROR('Company Geography'!$G$20,"")</f>
        <v>5</v>
      </c>
      <c r="V23" s="37">
        <f>IFERROR('Company Geography'!$W$20,"")</f>
        <v>4</v>
      </c>
      <c r="W23" s="37">
        <f>IFERROR('Company Geography'!$X$20,"")</f>
        <v>5</v>
      </c>
      <c r="X23" s="37">
        <f>IFERROR('Company Geography'!$Y$20,"")</f>
        <v>5</v>
      </c>
      <c r="Y23" s="36" t="s">
        <v>1862</v>
      </c>
      <c r="Z23" s="36" t="s">
        <v>1863</v>
      </c>
      <c r="AA23" s="36" t="s">
        <v>2007</v>
      </c>
      <c r="AB23" s="36">
        <f>IFERROR('Company Geography'!$U$20,"")</f>
        <v>0</v>
      </c>
      <c r="AC23" s="36"/>
      <c r="AD23" s="36"/>
      <c r="AE23" s="36"/>
      <c r="AF23" s="36" t="s">
        <v>2006</v>
      </c>
      <c r="AO23" s="48" t="str">
        <f>IF($B23="Yes",IFERROR(SUMIFS(_TECH_Crisis_Model!$D$5:$D$191,_TECH_Crisis_Model!$A$5:$A$191,'Crisis Simulator'!$B$4,_TECH_Crisis_Model!$B$5:$B$191,$C23),1),"")</f>
        <v/>
      </c>
      <c r="AP23" s="48" t="str">
        <f t="shared" si="15"/>
        <v/>
      </c>
      <c r="AQ23" s="48" t="str">
        <f t="shared" si="16"/>
        <v/>
      </c>
      <c r="AR23" s="48" t="str">
        <f>IFERROR(INDEX(_TECH_Crisis_Model!$E$5:$E$191,MATCH('Crisis Simulator'!$B$4&amp;"|"&amp;$C23,_TECH_Crisis_Model!$I$5:$I$191,0)),"")</f>
        <v>Geographic concentration, legal entity exposure and site dependency can amplify crisis impact.</v>
      </c>
      <c r="AS23" s="48" t="str">
        <f>IFERROR(INDEX(_TECH_Crisis_Model!$G$5:$G$191,MATCH('Crisis Simulator'!$B$4&amp;"|"&amp;$C23,_TECH_Crisis_Model!$I$5:$I$191,0)),"")</f>
        <v>Map entities, locations, markets, revenue exposure and alternate operating options.</v>
      </c>
      <c r="AT23" s="48" t="str">
        <f>IFERROR(INDEX(_TECH_Initiative_Library!$A$5:$A$76,MATCH(1,INDEX((_TECH_Initiative_Library!$B$5:$B$76=$C23)*(_TECH_Initiative_Library!$C$5:$C$76=$D23),0),0)),"")</f>
        <v>INI-003</v>
      </c>
      <c r="AU23" s="48" t="str">
        <f>IFERROR(INDEX(_TECH_Initiative_Library!$F$5:$F$76,MATCH(1,INDEX((_TECH_Initiative_Library!$B$5:$B$76=$C23)*(_TECH_Initiative_Library!$C$5:$C$76=$D23),0),0)),"")</f>
        <v>Map critical business dependencies and external exposures</v>
      </c>
      <c r="AV23" s="48" t="str">
        <f ca="1">IFERROR(INDEX(_TECH_Initiative_Library!$AC$5:$AC$76,MATCH(1,INDEX((_TECH_Initiative_Library!$B$5:$B$76=$C23)*(_TECH_Initiative_Library!$C$5:$C$76=$D23),0),0)),"")</f>
        <v/>
      </c>
      <c r="AW23" s="48" t="str">
        <f ca="1">IFERROR(INDEX(_TECH_Initiative_Library!$AE$5:$AE$76,MATCH(1,INDEX((_TECH_Initiative_Library!$B$5:$B$76=$C23)*(_TECH_Initiative_Library!$C$5:$C$76=$D23),0),0)),"")</f>
        <v/>
      </c>
      <c r="AX23" s="48" t="str">
        <f>IF($B23="Yes",IFERROR(SUMIFS(_TECH_Industry_Templates!$E:$E,_TECH_Industry_Templates!$A:$A,'Company Profile'!$B$9,_TECH_Industry_Templates!$B:$B,$C23),1),"")</f>
        <v/>
      </c>
      <c r="AY23" s="48" t="str">
        <f t="shared" si="17"/>
        <v/>
      </c>
      <c r="AZ23" s="48" t="str">
        <f t="shared" si="18"/>
        <v/>
      </c>
      <c r="BA23" s="48" t="str">
        <f>IF($AZ23="","",RANK.EQ($AZ23,$AZ$8:$AZ$414,0)+COUNTIF($AZ$8:$AZ23,$AZ23)-1)</f>
        <v/>
      </c>
    </row>
    <row r="24" spans="1:53" ht="69.95" customHeight="1">
      <c r="A24" s="36" t="str">
        <f>IF($AZ24="","",RANK.EQ($AZ24,$AZ$8:$AZ$414,0)+COUNTIF($AZ$8:$AZ24,$AZ24)-1)</f>
        <v/>
      </c>
      <c r="B24" s="36" t="str">
        <f t="shared" si="5"/>
        <v/>
      </c>
      <c r="C24" s="36" t="s">
        <v>54</v>
      </c>
      <c r="D24" s="36" t="s">
        <v>1024</v>
      </c>
      <c r="E24" s="36" t="s">
        <v>2015</v>
      </c>
      <c r="F24" s="36" t="s">
        <v>183</v>
      </c>
      <c r="G24" s="36" t="str">
        <f>IF($H24="","",IFERROR(INDEX('Risk Library'!$H$5:$M$411,MATCH($E24,'Risk Library'!$A$5:$A$411,0),$H24+1),""))</f>
        <v/>
      </c>
      <c r="H24" s="37" t="str">
        <f>IF(OR(COUNTA('Company Geography'!$H$21)=0,'Company Geography'!$H$21="N/A"),"",VALUE('Company Geography'!$H$21))</f>
        <v/>
      </c>
      <c r="I24" s="36" t="str">
        <f>IF($H24="","",IFERROR(IF('Company Geography'!$L$21="",IF($H24&lt;=1,"Critical",IF($H24=2,"High",IF($H24=3,"Medium",IF($H24=4,"Low","Resilient")))),'Company Geography'!$L$21),IF($H24&lt;=1,"Critical",IF($H24=2,"High",IF($H24=3,"Medium",IF($H24=4,"Low","Resilient"))))))</f>
        <v/>
      </c>
      <c r="J24" s="37" t="str">
        <f t="shared" si="6"/>
        <v/>
      </c>
      <c r="K24" s="37" t="str">
        <f t="shared" si="7"/>
        <v/>
      </c>
      <c r="L24" s="37" t="str">
        <f t="shared" si="8"/>
        <v/>
      </c>
      <c r="M24" s="37" t="str">
        <f t="shared" si="9"/>
        <v/>
      </c>
      <c r="N24" s="37" t="str">
        <f>IF($H24="","",IFERROR(INDEX('Risk Library'!$T$5:$Y$411,MATCH($E24,'Risk Library'!$A$5:$A$411,0),$H24+1),""))</f>
        <v/>
      </c>
      <c r="O24" s="37" t="str">
        <f t="shared" si="10"/>
        <v/>
      </c>
      <c r="P24" s="37" t="str">
        <f t="shared" si="11"/>
        <v/>
      </c>
      <c r="Q24" s="37" t="str">
        <f t="shared" si="12"/>
        <v/>
      </c>
      <c r="R24" s="37" t="str">
        <f t="shared" si="13"/>
        <v/>
      </c>
      <c r="S24" s="38" t="str">
        <f t="shared" si="14"/>
        <v/>
      </c>
      <c r="T24" s="36" t="str">
        <f>IF($H24="","",IFERROR(INDEX('Risk Library'!$N$5:$S$411,MATCH($E24,'Risk Library'!$A$5:$A$411,0),$H24+1),""))</f>
        <v/>
      </c>
      <c r="U24" s="37">
        <f>IFERROR('Company Geography'!$G$21,"")</f>
        <v>3</v>
      </c>
      <c r="V24" s="37">
        <f>IFERROR('Company Geography'!$W$21,"")</f>
        <v>4</v>
      </c>
      <c r="W24" s="37">
        <f>IFERROR('Company Geography'!$X$21,"")</f>
        <v>5</v>
      </c>
      <c r="X24" s="37">
        <f>IFERROR('Company Geography'!$Y$21,"")</f>
        <v>5</v>
      </c>
      <c r="Y24" s="36" t="s">
        <v>1862</v>
      </c>
      <c r="Z24" s="36" t="s">
        <v>1863</v>
      </c>
      <c r="AA24" s="36" t="s">
        <v>2017</v>
      </c>
      <c r="AB24" s="36">
        <f>IFERROR('Company Geography'!$U$21,"")</f>
        <v>0</v>
      </c>
      <c r="AC24" s="36"/>
      <c r="AD24" s="36"/>
      <c r="AE24" s="36"/>
      <c r="AF24" s="36" t="s">
        <v>2016</v>
      </c>
      <c r="AO24" s="48" t="str">
        <f>IF($B24="Yes",IFERROR(SUMIFS(_TECH_Crisis_Model!$D$5:$D$191,_TECH_Crisis_Model!$A$5:$A$191,'Crisis Simulator'!$B$4,_TECH_Crisis_Model!$B$5:$B$191,$C24),1),"")</f>
        <v/>
      </c>
      <c r="AP24" s="48" t="str">
        <f t="shared" si="15"/>
        <v/>
      </c>
      <c r="AQ24" s="48" t="str">
        <f t="shared" si="16"/>
        <v/>
      </c>
      <c r="AR24" s="48" t="str">
        <f>IFERROR(INDEX(_TECH_Crisis_Model!$E$5:$E$191,MATCH('Crisis Simulator'!$B$4&amp;"|"&amp;$C24,_TECH_Crisis_Model!$I$5:$I$191,0)),"")</f>
        <v>Geographic concentration, legal entity exposure and site dependency can amplify crisis impact.</v>
      </c>
      <c r="AS24" s="48" t="str">
        <f>IFERROR(INDEX(_TECH_Crisis_Model!$G$5:$G$191,MATCH('Crisis Simulator'!$B$4&amp;"|"&amp;$C24,_TECH_Crisis_Model!$I$5:$I$191,0)),"")</f>
        <v>Map entities, locations, markets, revenue exposure and alternate operating options.</v>
      </c>
      <c r="AT24" s="48" t="str">
        <f>IFERROR(INDEX(_TECH_Initiative_Library!$A$5:$A$76,MATCH(1,INDEX((_TECH_Initiative_Library!$B$5:$B$76=$C24)*(_TECH_Initiative_Library!$C$5:$C$76=$D24),0),0)),"")</f>
        <v>INI-003</v>
      </c>
      <c r="AU24" s="48" t="str">
        <f>IFERROR(INDEX(_TECH_Initiative_Library!$F$5:$F$76,MATCH(1,INDEX((_TECH_Initiative_Library!$B$5:$B$76=$C24)*(_TECH_Initiative_Library!$C$5:$C$76=$D24),0),0)),"")</f>
        <v>Map critical business dependencies and external exposures</v>
      </c>
      <c r="AV24" s="48" t="str">
        <f ca="1">IFERROR(INDEX(_TECH_Initiative_Library!$AC$5:$AC$76,MATCH(1,INDEX((_TECH_Initiative_Library!$B$5:$B$76=$C24)*(_TECH_Initiative_Library!$C$5:$C$76=$D24),0),0)),"")</f>
        <v/>
      </c>
      <c r="AW24" s="48" t="str">
        <f ca="1">IFERROR(INDEX(_TECH_Initiative_Library!$AE$5:$AE$76,MATCH(1,INDEX((_TECH_Initiative_Library!$B$5:$B$76=$C24)*(_TECH_Initiative_Library!$C$5:$C$76=$D24),0),0)),"")</f>
        <v/>
      </c>
      <c r="AX24" s="48" t="str">
        <f>IF($B24="Yes",IFERROR(SUMIFS(_TECH_Industry_Templates!$E:$E,_TECH_Industry_Templates!$A:$A,'Company Profile'!$B$9,_TECH_Industry_Templates!$B:$B,$C24),1),"")</f>
        <v/>
      </c>
      <c r="AY24" s="48" t="str">
        <f t="shared" si="17"/>
        <v/>
      </c>
      <c r="AZ24" s="48" t="str">
        <f t="shared" si="18"/>
        <v/>
      </c>
      <c r="BA24" s="48" t="str">
        <f>IF($AZ24="","",RANK.EQ($AZ24,$AZ$8:$AZ$414,0)+COUNTIF($AZ$8:$AZ24,$AZ24)-1)</f>
        <v/>
      </c>
    </row>
    <row r="25" spans="1:53" ht="69.95" customHeight="1">
      <c r="A25" s="36" t="str">
        <f>IF($AZ25="","",RANK.EQ($AZ25,$AZ$8:$AZ$414,0)+COUNTIF($AZ$8:$AZ25,$AZ25)-1)</f>
        <v/>
      </c>
      <c r="B25" s="36" t="str">
        <f t="shared" si="5"/>
        <v/>
      </c>
      <c r="C25" s="36" t="s">
        <v>54</v>
      </c>
      <c r="D25" s="36" t="s">
        <v>1024</v>
      </c>
      <c r="E25" s="36" t="s">
        <v>2025</v>
      </c>
      <c r="F25" s="36" t="s">
        <v>183</v>
      </c>
      <c r="G25" s="36" t="str">
        <f>IF($H25="","",IFERROR(INDEX('Risk Library'!$H$5:$M$411,MATCH($E25,'Risk Library'!$A$5:$A$411,0),$H25+1),""))</f>
        <v/>
      </c>
      <c r="H25" s="37" t="str">
        <f>IF(OR(COUNTA('Company Geography'!$H$22)=0,'Company Geography'!$H$22="N/A"),"",VALUE('Company Geography'!$H$22))</f>
        <v/>
      </c>
      <c r="I25" s="36" t="str">
        <f>IF($H25="","",IFERROR(IF('Company Geography'!$L$22="",IF($H25&lt;=1,"Critical",IF($H25=2,"High",IF($H25=3,"Medium",IF($H25=4,"Low","Resilient")))),'Company Geography'!$L$22),IF($H25&lt;=1,"Critical",IF($H25=2,"High",IF($H25=3,"Medium",IF($H25=4,"Low","Resilient"))))))</f>
        <v/>
      </c>
      <c r="J25" s="37" t="str">
        <f t="shared" si="6"/>
        <v/>
      </c>
      <c r="K25" s="37" t="str">
        <f t="shared" si="7"/>
        <v/>
      </c>
      <c r="L25" s="37" t="str">
        <f t="shared" si="8"/>
        <v/>
      </c>
      <c r="M25" s="37" t="str">
        <f t="shared" si="9"/>
        <v/>
      </c>
      <c r="N25" s="37" t="str">
        <f>IF($H25="","",IFERROR(INDEX('Risk Library'!$T$5:$Y$411,MATCH($E25,'Risk Library'!$A$5:$A$411,0),$H25+1),""))</f>
        <v/>
      </c>
      <c r="O25" s="37" t="str">
        <f t="shared" si="10"/>
        <v/>
      </c>
      <c r="P25" s="37" t="str">
        <f t="shared" si="11"/>
        <v/>
      </c>
      <c r="Q25" s="37" t="str">
        <f t="shared" si="12"/>
        <v/>
      </c>
      <c r="R25" s="37" t="str">
        <f t="shared" si="13"/>
        <v/>
      </c>
      <c r="S25" s="38" t="str">
        <f t="shared" si="14"/>
        <v/>
      </c>
      <c r="T25" s="36" t="str">
        <f>IF($H25="","",IFERROR(INDEX('Risk Library'!$N$5:$S$411,MATCH($E25,'Risk Library'!$A$5:$A$411,0),$H25+1),""))</f>
        <v/>
      </c>
      <c r="U25" s="37">
        <f>IFERROR('Company Geography'!$G$22,"")</f>
        <v>4</v>
      </c>
      <c r="V25" s="37">
        <f>IFERROR('Company Geography'!$W$22,"")</f>
        <v>5</v>
      </c>
      <c r="W25" s="37">
        <f>IFERROR('Company Geography'!$X$22,"")</f>
        <v>5</v>
      </c>
      <c r="X25" s="37">
        <f>IFERROR('Company Geography'!$Y$22,"")</f>
        <v>5</v>
      </c>
      <c r="Y25" s="36" t="s">
        <v>1862</v>
      </c>
      <c r="Z25" s="36" t="s">
        <v>1863</v>
      </c>
      <c r="AA25" s="36" t="s">
        <v>2027</v>
      </c>
      <c r="AB25" s="36">
        <f>IFERROR('Company Geography'!$U$22,"")</f>
        <v>0</v>
      </c>
      <c r="AC25" s="36"/>
      <c r="AD25" s="36"/>
      <c r="AE25" s="36"/>
      <c r="AF25" s="36" t="s">
        <v>2026</v>
      </c>
      <c r="AO25" s="48" t="str">
        <f>IF($B25="Yes",IFERROR(SUMIFS(_TECH_Crisis_Model!$D$5:$D$191,_TECH_Crisis_Model!$A$5:$A$191,'Crisis Simulator'!$B$4,_TECH_Crisis_Model!$B$5:$B$191,$C25),1),"")</f>
        <v/>
      </c>
      <c r="AP25" s="48" t="str">
        <f t="shared" si="15"/>
        <v/>
      </c>
      <c r="AQ25" s="48" t="str">
        <f t="shared" si="16"/>
        <v/>
      </c>
      <c r="AR25" s="48" t="str">
        <f>IFERROR(INDEX(_TECH_Crisis_Model!$E$5:$E$191,MATCH('Crisis Simulator'!$B$4&amp;"|"&amp;$C25,_TECH_Crisis_Model!$I$5:$I$191,0)),"")</f>
        <v>Geographic concentration, legal entity exposure and site dependency can amplify crisis impact.</v>
      </c>
      <c r="AS25" s="48" t="str">
        <f>IFERROR(INDEX(_TECH_Crisis_Model!$G$5:$G$191,MATCH('Crisis Simulator'!$B$4&amp;"|"&amp;$C25,_TECH_Crisis_Model!$I$5:$I$191,0)),"")</f>
        <v>Map entities, locations, markets, revenue exposure and alternate operating options.</v>
      </c>
      <c r="AT25" s="48" t="str">
        <f>IFERROR(INDEX(_TECH_Initiative_Library!$A$5:$A$76,MATCH(1,INDEX((_TECH_Initiative_Library!$B$5:$B$76=$C25)*(_TECH_Initiative_Library!$C$5:$C$76=$D25),0),0)),"")</f>
        <v>INI-003</v>
      </c>
      <c r="AU25" s="48" t="str">
        <f>IFERROR(INDEX(_TECH_Initiative_Library!$F$5:$F$76,MATCH(1,INDEX((_TECH_Initiative_Library!$B$5:$B$76=$C25)*(_TECH_Initiative_Library!$C$5:$C$76=$D25),0),0)),"")</f>
        <v>Map critical business dependencies and external exposures</v>
      </c>
      <c r="AV25" s="48" t="str">
        <f ca="1">IFERROR(INDEX(_TECH_Initiative_Library!$AC$5:$AC$76,MATCH(1,INDEX((_TECH_Initiative_Library!$B$5:$B$76=$C25)*(_TECH_Initiative_Library!$C$5:$C$76=$D25),0),0)),"")</f>
        <v/>
      </c>
      <c r="AW25" s="48" t="str">
        <f ca="1">IFERROR(INDEX(_TECH_Initiative_Library!$AE$5:$AE$76,MATCH(1,INDEX((_TECH_Initiative_Library!$B$5:$B$76=$C25)*(_TECH_Initiative_Library!$C$5:$C$76=$D25),0),0)),"")</f>
        <v/>
      </c>
      <c r="AX25" s="48" t="str">
        <f>IF($B25="Yes",IFERROR(SUMIFS(_TECH_Industry_Templates!$E:$E,_TECH_Industry_Templates!$A:$A,'Company Profile'!$B$9,_TECH_Industry_Templates!$B:$B,$C25),1),"")</f>
        <v/>
      </c>
      <c r="AY25" s="48" t="str">
        <f t="shared" si="17"/>
        <v/>
      </c>
      <c r="AZ25" s="48" t="str">
        <f t="shared" si="18"/>
        <v/>
      </c>
      <c r="BA25" s="48" t="str">
        <f>IF($AZ25="","",RANK.EQ($AZ25,$AZ$8:$AZ$414,0)+COUNTIF($AZ$8:$AZ25,$AZ25)-1)</f>
        <v/>
      </c>
    </row>
    <row r="26" spans="1:53" ht="69.95" customHeight="1">
      <c r="A26" s="36" t="str">
        <f>IF($AZ26="","",RANK.EQ($AZ26,$AZ$8:$AZ$414,0)+COUNTIF($AZ$8:$AZ26,$AZ26)-1)</f>
        <v/>
      </c>
      <c r="B26" s="36" t="str">
        <f t="shared" si="5"/>
        <v/>
      </c>
      <c r="C26" s="36" t="s">
        <v>54</v>
      </c>
      <c r="D26" s="36" t="s">
        <v>1024</v>
      </c>
      <c r="E26" s="36" t="s">
        <v>2035</v>
      </c>
      <c r="F26" s="36" t="s">
        <v>183</v>
      </c>
      <c r="G26" s="36" t="str">
        <f>IF($H26="","",IFERROR(INDEX('Risk Library'!$H$5:$M$411,MATCH($E26,'Risk Library'!$A$5:$A$411,0),$H26+1),""))</f>
        <v/>
      </c>
      <c r="H26" s="37" t="str">
        <f>IF(OR(COUNTA('Company Geography'!$H$23)=0,'Company Geography'!$H$23="N/A"),"",VALUE('Company Geography'!$H$23))</f>
        <v/>
      </c>
      <c r="I26" s="36" t="str">
        <f>IF($H26="","",IFERROR(IF('Company Geography'!$L$23="",IF($H26&lt;=1,"Critical",IF($H26=2,"High",IF($H26=3,"Medium",IF($H26=4,"Low","Resilient")))),'Company Geography'!$L$23),IF($H26&lt;=1,"Critical",IF($H26=2,"High",IF($H26=3,"Medium",IF($H26=4,"Low","Resilient"))))))</f>
        <v/>
      </c>
      <c r="J26" s="37" t="str">
        <f t="shared" si="6"/>
        <v/>
      </c>
      <c r="K26" s="37" t="str">
        <f t="shared" si="7"/>
        <v/>
      </c>
      <c r="L26" s="37" t="str">
        <f t="shared" si="8"/>
        <v/>
      </c>
      <c r="M26" s="37" t="str">
        <f t="shared" si="9"/>
        <v/>
      </c>
      <c r="N26" s="37" t="str">
        <f>IF($H26="","",IFERROR(INDEX('Risk Library'!$T$5:$Y$411,MATCH($E26,'Risk Library'!$A$5:$A$411,0),$H26+1),""))</f>
        <v/>
      </c>
      <c r="O26" s="37" t="str">
        <f t="shared" si="10"/>
        <v/>
      </c>
      <c r="P26" s="37" t="str">
        <f t="shared" si="11"/>
        <v/>
      </c>
      <c r="Q26" s="37" t="str">
        <f t="shared" si="12"/>
        <v/>
      </c>
      <c r="R26" s="37" t="str">
        <f t="shared" si="13"/>
        <v/>
      </c>
      <c r="S26" s="38" t="str">
        <f t="shared" si="14"/>
        <v/>
      </c>
      <c r="T26" s="36" t="str">
        <f>IF($H26="","",IFERROR(INDEX('Risk Library'!$N$5:$S$411,MATCH($E26,'Risk Library'!$A$5:$A$411,0),$H26+1),""))</f>
        <v/>
      </c>
      <c r="U26" s="37">
        <f>IFERROR('Company Geography'!$G$23,"")</f>
        <v>4</v>
      </c>
      <c r="V26" s="37">
        <f>IFERROR('Company Geography'!$W$23,"")</f>
        <v>4</v>
      </c>
      <c r="W26" s="37">
        <f>IFERROR('Company Geography'!$X$23,"")</f>
        <v>5</v>
      </c>
      <c r="X26" s="37">
        <f>IFERROR('Company Geography'!$Y$23,"")</f>
        <v>5</v>
      </c>
      <c r="Y26" s="36" t="s">
        <v>1862</v>
      </c>
      <c r="Z26" s="36" t="s">
        <v>1863</v>
      </c>
      <c r="AA26" s="36" t="s">
        <v>2037</v>
      </c>
      <c r="AB26" s="36">
        <f>IFERROR('Company Geography'!$U$23,"")</f>
        <v>0</v>
      </c>
      <c r="AC26" s="36"/>
      <c r="AD26" s="36"/>
      <c r="AE26" s="36"/>
      <c r="AF26" s="36" t="s">
        <v>2036</v>
      </c>
      <c r="AO26" s="48" t="str">
        <f>IF($B26="Yes",IFERROR(SUMIFS(_TECH_Crisis_Model!$D$5:$D$191,_TECH_Crisis_Model!$A$5:$A$191,'Crisis Simulator'!$B$4,_TECH_Crisis_Model!$B$5:$B$191,$C26),1),"")</f>
        <v/>
      </c>
      <c r="AP26" s="48" t="str">
        <f t="shared" si="15"/>
        <v/>
      </c>
      <c r="AQ26" s="48" t="str">
        <f t="shared" si="16"/>
        <v/>
      </c>
      <c r="AR26" s="48" t="str">
        <f>IFERROR(INDEX(_TECH_Crisis_Model!$E$5:$E$191,MATCH('Crisis Simulator'!$B$4&amp;"|"&amp;$C26,_TECH_Crisis_Model!$I$5:$I$191,0)),"")</f>
        <v>Geographic concentration, legal entity exposure and site dependency can amplify crisis impact.</v>
      </c>
      <c r="AS26" s="48" t="str">
        <f>IFERROR(INDEX(_TECH_Crisis_Model!$G$5:$G$191,MATCH('Crisis Simulator'!$B$4&amp;"|"&amp;$C26,_TECH_Crisis_Model!$I$5:$I$191,0)),"")</f>
        <v>Map entities, locations, markets, revenue exposure and alternate operating options.</v>
      </c>
      <c r="AT26" s="48" t="str">
        <f>IFERROR(INDEX(_TECH_Initiative_Library!$A$5:$A$76,MATCH(1,INDEX((_TECH_Initiative_Library!$B$5:$B$76=$C26)*(_TECH_Initiative_Library!$C$5:$C$76=$D26),0),0)),"")</f>
        <v>INI-003</v>
      </c>
      <c r="AU26" s="48" t="str">
        <f>IFERROR(INDEX(_TECH_Initiative_Library!$F$5:$F$76,MATCH(1,INDEX((_TECH_Initiative_Library!$B$5:$B$76=$C26)*(_TECH_Initiative_Library!$C$5:$C$76=$D26),0),0)),"")</f>
        <v>Map critical business dependencies and external exposures</v>
      </c>
      <c r="AV26" s="48" t="str">
        <f ca="1">IFERROR(INDEX(_TECH_Initiative_Library!$AC$5:$AC$76,MATCH(1,INDEX((_TECH_Initiative_Library!$B$5:$B$76=$C26)*(_TECH_Initiative_Library!$C$5:$C$76=$D26),0),0)),"")</f>
        <v/>
      </c>
      <c r="AW26" s="48" t="str">
        <f ca="1">IFERROR(INDEX(_TECH_Initiative_Library!$AE$5:$AE$76,MATCH(1,INDEX((_TECH_Initiative_Library!$B$5:$B$76=$C26)*(_TECH_Initiative_Library!$C$5:$C$76=$D26),0),0)),"")</f>
        <v/>
      </c>
      <c r="AX26" s="48" t="str">
        <f>IF($B26="Yes",IFERROR(SUMIFS(_TECH_Industry_Templates!$E:$E,_TECH_Industry_Templates!$A:$A,'Company Profile'!$B$9,_TECH_Industry_Templates!$B:$B,$C26),1),"")</f>
        <v/>
      </c>
      <c r="AY26" s="48" t="str">
        <f t="shared" si="17"/>
        <v/>
      </c>
      <c r="AZ26" s="48" t="str">
        <f t="shared" si="18"/>
        <v/>
      </c>
      <c r="BA26" s="48" t="str">
        <f>IF($AZ26="","",RANK.EQ($AZ26,$AZ$8:$AZ$414,0)+COUNTIF($AZ$8:$AZ26,$AZ26)-1)</f>
        <v/>
      </c>
    </row>
    <row r="27" spans="1:53" ht="69.95" customHeight="1">
      <c r="A27" s="36" t="str">
        <f>IF($AZ27="","",RANK.EQ($AZ27,$AZ$8:$AZ$414,0)+COUNTIF($AZ$8:$AZ27,$AZ27)-1)</f>
        <v/>
      </c>
      <c r="B27" s="36" t="str">
        <f t="shared" si="5"/>
        <v/>
      </c>
      <c r="C27" s="36" t="s">
        <v>54</v>
      </c>
      <c r="D27" s="36" t="s">
        <v>1024</v>
      </c>
      <c r="E27" s="36" t="s">
        <v>2045</v>
      </c>
      <c r="F27" s="36" t="s">
        <v>183</v>
      </c>
      <c r="G27" s="36" t="str">
        <f>IF($H27="","",IFERROR(INDEX('Risk Library'!$H$5:$M$411,MATCH($E27,'Risk Library'!$A$5:$A$411,0),$H27+1),""))</f>
        <v/>
      </c>
      <c r="H27" s="37" t="str">
        <f>IF(OR(COUNTA('Company Geography'!$H$24)=0,'Company Geography'!$H$24="N/A"),"",VALUE('Company Geography'!$H$24))</f>
        <v/>
      </c>
      <c r="I27" s="36" t="str">
        <f>IF($H27="","",IFERROR(IF('Company Geography'!$L$24="",IF($H27&lt;=1,"Critical",IF($H27=2,"High",IF($H27=3,"Medium",IF($H27=4,"Low","Resilient")))),'Company Geography'!$L$24),IF($H27&lt;=1,"Critical",IF($H27=2,"High",IF($H27=3,"Medium",IF($H27=4,"Low","Resilient"))))))</f>
        <v/>
      </c>
      <c r="J27" s="37" t="str">
        <f t="shared" si="6"/>
        <v/>
      </c>
      <c r="K27" s="37" t="str">
        <f t="shared" si="7"/>
        <v/>
      </c>
      <c r="L27" s="37" t="str">
        <f t="shared" si="8"/>
        <v/>
      </c>
      <c r="M27" s="37" t="str">
        <f t="shared" si="9"/>
        <v/>
      </c>
      <c r="N27" s="37" t="str">
        <f>IF($H27="","",IFERROR(INDEX('Risk Library'!$T$5:$Y$411,MATCH($E27,'Risk Library'!$A$5:$A$411,0),$H27+1),""))</f>
        <v/>
      </c>
      <c r="O27" s="37" t="str">
        <f t="shared" si="10"/>
        <v/>
      </c>
      <c r="P27" s="37" t="str">
        <f t="shared" si="11"/>
        <v/>
      </c>
      <c r="Q27" s="37" t="str">
        <f t="shared" si="12"/>
        <v/>
      </c>
      <c r="R27" s="37" t="str">
        <f t="shared" si="13"/>
        <v/>
      </c>
      <c r="S27" s="38" t="str">
        <f t="shared" si="14"/>
        <v/>
      </c>
      <c r="T27" s="36" t="str">
        <f>IF($H27="","",IFERROR(INDEX('Risk Library'!$N$5:$S$411,MATCH($E27,'Risk Library'!$A$5:$A$411,0),$H27+1),""))</f>
        <v/>
      </c>
      <c r="U27" s="37">
        <f>IFERROR('Company Geography'!$G$24,"")</f>
        <v>5</v>
      </c>
      <c r="V27" s="37">
        <f>IFERROR('Company Geography'!$W$24,"")</f>
        <v>4</v>
      </c>
      <c r="W27" s="37">
        <f>IFERROR('Company Geography'!$X$24,"")</f>
        <v>5</v>
      </c>
      <c r="X27" s="37">
        <f>IFERROR('Company Geography'!$Y$24,"")</f>
        <v>5</v>
      </c>
      <c r="Y27" s="36" t="s">
        <v>1862</v>
      </c>
      <c r="Z27" s="36" t="s">
        <v>1863</v>
      </c>
      <c r="AA27" s="36" t="s">
        <v>2047</v>
      </c>
      <c r="AB27" s="36">
        <f>IFERROR('Company Geography'!$U$24,"")</f>
        <v>0</v>
      </c>
      <c r="AC27" s="36"/>
      <c r="AD27" s="36"/>
      <c r="AE27" s="36"/>
      <c r="AF27" s="36" t="s">
        <v>2046</v>
      </c>
      <c r="AO27" s="48" t="str">
        <f>IF($B27="Yes",IFERROR(SUMIFS(_TECH_Crisis_Model!$D$5:$D$191,_TECH_Crisis_Model!$A$5:$A$191,'Crisis Simulator'!$B$4,_TECH_Crisis_Model!$B$5:$B$191,$C27),1),"")</f>
        <v/>
      </c>
      <c r="AP27" s="48" t="str">
        <f t="shared" si="15"/>
        <v/>
      </c>
      <c r="AQ27" s="48" t="str">
        <f t="shared" si="16"/>
        <v/>
      </c>
      <c r="AR27" s="48" t="str">
        <f>IFERROR(INDEX(_TECH_Crisis_Model!$E$5:$E$191,MATCH('Crisis Simulator'!$B$4&amp;"|"&amp;$C27,_TECH_Crisis_Model!$I$5:$I$191,0)),"")</f>
        <v>Geographic concentration, legal entity exposure and site dependency can amplify crisis impact.</v>
      </c>
      <c r="AS27" s="48" t="str">
        <f>IFERROR(INDEX(_TECH_Crisis_Model!$G$5:$G$191,MATCH('Crisis Simulator'!$B$4&amp;"|"&amp;$C27,_TECH_Crisis_Model!$I$5:$I$191,0)),"")</f>
        <v>Map entities, locations, markets, revenue exposure and alternate operating options.</v>
      </c>
      <c r="AT27" s="48" t="str">
        <f>IFERROR(INDEX(_TECH_Initiative_Library!$A$5:$A$76,MATCH(1,INDEX((_TECH_Initiative_Library!$B$5:$B$76=$C27)*(_TECH_Initiative_Library!$C$5:$C$76=$D27),0),0)),"")</f>
        <v>INI-003</v>
      </c>
      <c r="AU27" s="48" t="str">
        <f>IFERROR(INDEX(_TECH_Initiative_Library!$F$5:$F$76,MATCH(1,INDEX((_TECH_Initiative_Library!$B$5:$B$76=$C27)*(_TECH_Initiative_Library!$C$5:$C$76=$D27),0),0)),"")</f>
        <v>Map critical business dependencies and external exposures</v>
      </c>
      <c r="AV27" s="48" t="str">
        <f ca="1">IFERROR(INDEX(_TECH_Initiative_Library!$AC$5:$AC$76,MATCH(1,INDEX((_TECH_Initiative_Library!$B$5:$B$76=$C27)*(_TECH_Initiative_Library!$C$5:$C$76=$D27),0),0)),"")</f>
        <v/>
      </c>
      <c r="AW27" s="48" t="str">
        <f ca="1">IFERROR(INDEX(_TECH_Initiative_Library!$AE$5:$AE$76,MATCH(1,INDEX((_TECH_Initiative_Library!$B$5:$B$76=$C27)*(_TECH_Initiative_Library!$C$5:$C$76=$D27),0),0)),"")</f>
        <v/>
      </c>
      <c r="AX27" s="48" t="str">
        <f>IF($B27="Yes",IFERROR(SUMIFS(_TECH_Industry_Templates!$E:$E,_TECH_Industry_Templates!$A:$A,'Company Profile'!$B$9,_TECH_Industry_Templates!$B:$B,$C27),1),"")</f>
        <v/>
      </c>
      <c r="AY27" s="48" t="str">
        <f t="shared" si="17"/>
        <v/>
      </c>
      <c r="AZ27" s="48" t="str">
        <f t="shared" si="18"/>
        <v/>
      </c>
      <c r="BA27" s="48" t="str">
        <f>IF($AZ27="","",RANK.EQ($AZ27,$AZ$8:$AZ$414,0)+COUNTIF($AZ$8:$AZ27,$AZ27)-1)</f>
        <v/>
      </c>
    </row>
    <row r="28" spans="1:53" ht="69.95" customHeight="1">
      <c r="A28" s="36" t="str">
        <f>IF($AZ28="","",RANK.EQ($AZ28,$AZ$8:$AZ$414,0)+COUNTIF($AZ$8:$AZ28,$AZ28)-1)</f>
        <v/>
      </c>
      <c r="B28" s="36" t="str">
        <f t="shared" si="5"/>
        <v/>
      </c>
      <c r="C28" s="36" t="s">
        <v>57</v>
      </c>
      <c r="D28" s="36" t="s">
        <v>1032</v>
      </c>
      <c r="E28" s="36" t="s">
        <v>2057</v>
      </c>
      <c r="F28" s="36" t="s">
        <v>184</v>
      </c>
      <c r="G28" s="36" t="str">
        <f>IF($H28="","",IFERROR(INDEX('Risk Library'!$H$5:$M$411,MATCH($E28,'Risk Library'!$A$5:$A$411,0),$H28+1),""))</f>
        <v/>
      </c>
      <c r="H28" s="37" t="str">
        <f>IF(OR(COUNTA('Strategy GTM'!$H$5)=0,'Strategy GTM'!$H$5="N/A"),"",VALUE('Strategy GTM'!$H$5))</f>
        <v/>
      </c>
      <c r="I28" s="36" t="str">
        <f>IF($H28="","",IFERROR(IF('Strategy GTM'!$L$5="",IF($H28&lt;=1,"Critical",IF($H28=2,"High",IF($H28=3,"Medium",IF($H28=4,"Low","Resilient")))),'Strategy GTM'!$L$5),IF($H28&lt;=1,"Critical",IF($H28=2,"High",IF($H28=3,"Medium",IF($H28=4,"Low","Resilient"))))))</f>
        <v/>
      </c>
      <c r="J28" s="37" t="str">
        <f t="shared" si="6"/>
        <v/>
      </c>
      <c r="K28" s="37" t="str">
        <f t="shared" si="7"/>
        <v/>
      </c>
      <c r="L28" s="37" t="str">
        <f t="shared" si="8"/>
        <v/>
      </c>
      <c r="M28" s="37" t="str">
        <f t="shared" si="9"/>
        <v/>
      </c>
      <c r="N28" s="37" t="str">
        <f>IF($H28="","",IFERROR(INDEX('Risk Library'!$T$5:$Y$411,MATCH($E28,'Risk Library'!$A$5:$A$411,0),$H28+1),""))</f>
        <v/>
      </c>
      <c r="O28" s="37" t="str">
        <f t="shared" si="10"/>
        <v/>
      </c>
      <c r="P28" s="37" t="str">
        <f t="shared" si="11"/>
        <v/>
      </c>
      <c r="Q28" s="37" t="str">
        <f t="shared" si="12"/>
        <v/>
      </c>
      <c r="R28" s="37" t="str">
        <f t="shared" si="13"/>
        <v/>
      </c>
      <c r="S28" s="38" t="str">
        <f t="shared" si="14"/>
        <v/>
      </c>
      <c r="T28" s="36" t="str">
        <f>IF($H28="","",IFERROR(INDEX('Risk Library'!$N$5:$S$411,MATCH($E28,'Risk Library'!$A$5:$A$411,0),$H28+1),""))</f>
        <v/>
      </c>
      <c r="U28" s="37">
        <f>IFERROR('Strategy GTM'!$G$5,"")</f>
        <v>4</v>
      </c>
      <c r="V28" s="37">
        <f>IFERROR('Strategy GTM'!$W$5,"")</f>
        <v>4</v>
      </c>
      <c r="W28" s="37">
        <f>IFERROR('Strategy GTM'!$X$5,"")</f>
        <v>5</v>
      </c>
      <c r="X28" s="37">
        <f>IFERROR('Strategy GTM'!$Y$5,"")</f>
        <v>5</v>
      </c>
      <c r="Y28" s="36" t="s">
        <v>2068</v>
      </c>
      <c r="Z28" s="36" t="s">
        <v>2069</v>
      </c>
      <c r="AA28" s="36" t="s">
        <v>2061</v>
      </c>
      <c r="AB28" s="36">
        <f>IFERROR('Strategy GTM'!$U$5,"")</f>
        <v>0</v>
      </c>
      <c r="AC28" s="36"/>
      <c r="AD28" s="36"/>
      <c r="AE28" s="36"/>
      <c r="AF28" s="36" t="s">
        <v>2058</v>
      </c>
      <c r="AO28" s="48" t="str">
        <f>IF($B28="Yes",IFERROR(SUMIFS(_TECH_Crisis_Model!$D$5:$D$191,_TECH_Crisis_Model!$A$5:$A$191,'Crisis Simulator'!$B$4,_TECH_Crisis_Model!$B$5:$B$191,$C28),1),"")</f>
        <v/>
      </c>
      <c r="AP28" s="48" t="str">
        <f t="shared" si="15"/>
        <v/>
      </c>
      <c r="AQ28" s="48" t="str">
        <f t="shared" si="16"/>
        <v/>
      </c>
      <c r="AR28" s="48" t="str">
        <f>IFERROR(INDEX(_TECH_Crisis_Model!$E$5:$E$191,MATCH('Crisis Simulator'!$B$4&amp;"|"&amp;$C28,_TECH_Crisis_Model!$I$5:$I$191,0)),"")</f>
        <v>Market positioning, ICP clarity and offer structure determine whether the company can adapt revenue during crisis.</v>
      </c>
      <c r="AS28" s="48" t="str">
        <f>IFERROR(INDEX(_TECH_Crisis_Model!$G$5:$G$191,MATCH('Crisis Simulator'!$B$4&amp;"|"&amp;$C28,_TECH_Crisis_Model!$I$5:$I$191,0)),"")</f>
        <v>Stress-test ICP, offering, pricing, channels and market focus under the selected crisis.</v>
      </c>
      <c r="AT28" s="48" t="str">
        <f>IFERROR(INDEX(_TECH_Initiative_Library!$A$5:$A$76,MATCH(1,INDEX((_TECH_Initiative_Library!$B$5:$B$76=$C28)*(_TECH_Initiative_Library!$C$5:$C$76=$D28),0),0)),"")</f>
        <v>INI-004</v>
      </c>
      <c r="AU28" s="48" t="str">
        <f>IFERROR(INDEX(_TECH_Initiative_Library!$F$5:$F$76,MATCH(1,INDEX((_TECH_Initiative_Library!$B$5:$B$76=$C28)*(_TECH_Initiative_Library!$C$5:$C$76=$D28),0),0)),"")</f>
        <v>Stress-test corporate strategy and decision assumptions</v>
      </c>
      <c r="AV28" s="48" t="str">
        <f ca="1">IFERROR(INDEX(_TECH_Initiative_Library!$AC$5:$AC$76,MATCH(1,INDEX((_TECH_Initiative_Library!$B$5:$B$76=$C28)*(_TECH_Initiative_Library!$C$5:$C$76=$D28),0),0)),"")</f>
        <v/>
      </c>
      <c r="AW28" s="48" t="str">
        <f ca="1">IFERROR(INDEX(_TECH_Initiative_Library!$AE$5:$AE$76,MATCH(1,INDEX((_TECH_Initiative_Library!$B$5:$B$76=$C28)*(_TECH_Initiative_Library!$C$5:$C$76=$D28),0),0)),"")</f>
        <v/>
      </c>
      <c r="AX28" s="48" t="str">
        <f>IF($B28="Yes",IFERROR(SUMIFS(_TECH_Industry_Templates!$E:$E,_TECH_Industry_Templates!$A:$A,'Company Profile'!$B$9,_TECH_Industry_Templates!$B:$B,$C28),1),"")</f>
        <v/>
      </c>
      <c r="AY28" s="48" t="str">
        <f t="shared" si="17"/>
        <v/>
      </c>
      <c r="AZ28" s="48" t="str">
        <f t="shared" si="18"/>
        <v/>
      </c>
      <c r="BA28" s="48" t="str">
        <f>IF($AZ28="","",RANK.EQ($AZ28,$AZ$8:$AZ$414,0)+COUNTIF($AZ$8:$AZ28,$AZ28)-1)</f>
        <v/>
      </c>
    </row>
    <row r="29" spans="1:53" ht="69.95" customHeight="1">
      <c r="A29" s="36" t="str">
        <f>IF($AZ29="","",RANK.EQ($AZ29,$AZ$8:$AZ$414,0)+COUNTIF($AZ$8:$AZ29,$AZ29)-1)</f>
        <v/>
      </c>
      <c r="B29" s="36" t="str">
        <f t="shared" si="5"/>
        <v/>
      </c>
      <c r="C29" s="36" t="s">
        <v>57</v>
      </c>
      <c r="D29" s="36" t="s">
        <v>1032</v>
      </c>
      <c r="E29" s="36" t="s">
        <v>2071</v>
      </c>
      <c r="F29" s="36" t="s">
        <v>184</v>
      </c>
      <c r="G29" s="36" t="str">
        <f>IF($H29="","",IFERROR(INDEX('Risk Library'!$H$5:$M$411,MATCH($E29,'Risk Library'!$A$5:$A$411,0),$H29+1),""))</f>
        <v/>
      </c>
      <c r="H29" s="37" t="str">
        <f>IF(OR(COUNTA('Strategy GTM'!$H$6)=0,'Strategy GTM'!$H$6="N/A"),"",VALUE('Strategy GTM'!$H$6))</f>
        <v/>
      </c>
      <c r="I29" s="36" t="str">
        <f>IF($H29="","",IFERROR(IF('Strategy GTM'!$L$6="",IF($H29&lt;=1,"Critical",IF($H29=2,"High",IF($H29=3,"Medium",IF($H29=4,"Low","Resilient")))),'Strategy GTM'!$L$6),IF($H29&lt;=1,"Critical",IF($H29=2,"High",IF($H29=3,"Medium",IF($H29=4,"Low","Resilient"))))))</f>
        <v/>
      </c>
      <c r="J29" s="37" t="str">
        <f t="shared" si="6"/>
        <v/>
      </c>
      <c r="K29" s="37" t="str">
        <f t="shared" si="7"/>
        <v/>
      </c>
      <c r="L29" s="37" t="str">
        <f t="shared" si="8"/>
        <v/>
      </c>
      <c r="M29" s="37" t="str">
        <f t="shared" si="9"/>
        <v/>
      </c>
      <c r="N29" s="37" t="str">
        <f>IF($H29="","",IFERROR(INDEX('Risk Library'!$T$5:$Y$411,MATCH($E29,'Risk Library'!$A$5:$A$411,0),$H29+1),""))</f>
        <v/>
      </c>
      <c r="O29" s="37" t="str">
        <f t="shared" si="10"/>
        <v/>
      </c>
      <c r="P29" s="37" t="str">
        <f t="shared" si="11"/>
        <v/>
      </c>
      <c r="Q29" s="37" t="str">
        <f t="shared" si="12"/>
        <v/>
      </c>
      <c r="R29" s="37" t="str">
        <f t="shared" si="13"/>
        <v/>
      </c>
      <c r="S29" s="38" t="str">
        <f t="shared" si="14"/>
        <v/>
      </c>
      <c r="T29" s="36" t="str">
        <f>IF($H29="","",IFERROR(INDEX('Risk Library'!$N$5:$S$411,MATCH($E29,'Risk Library'!$A$5:$A$411,0),$H29+1),""))</f>
        <v/>
      </c>
      <c r="U29" s="37">
        <f>IFERROR('Strategy GTM'!$G$6,"")</f>
        <v>3</v>
      </c>
      <c r="V29" s="37">
        <f>IFERROR('Strategy GTM'!$W$6,"")</f>
        <v>4</v>
      </c>
      <c r="W29" s="37">
        <f>IFERROR('Strategy GTM'!$X$6,"")</f>
        <v>5</v>
      </c>
      <c r="X29" s="37">
        <f>IFERROR('Strategy GTM'!$Y$6,"")</f>
        <v>5</v>
      </c>
      <c r="Y29" s="36" t="s">
        <v>2068</v>
      </c>
      <c r="Z29" s="36" t="s">
        <v>2069</v>
      </c>
      <c r="AA29" s="36" t="s">
        <v>2073</v>
      </c>
      <c r="AB29" s="36">
        <f>IFERROR('Strategy GTM'!$U$6,"")</f>
        <v>0</v>
      </c>
      <c r="AC29" s="36"/>
      <c r="AD29" s="36"/>
      <c r="AE29" s="36"/>
      <c r="AF29" s="36" t="s">
        <v>2072</v>
      </c>
      <c r="AO29" s="48" t="str">
        <f>IF($B29="Yes",IFERROR(SUMIFS(_TECH_Crisis_Model!$D$5:$D$191,_TECH_Crisis_Model!$A$5:$A$191,'Crisis Simulator'!$B$4,_TECH_Crisis_Model!$B$5:$B$191,$C29),1),"")</f>
        <v/>
      </c>
      <c r="AP29" s="48" t="str">
        <f t="shared" si="15"/>
        <v/>
      </c>
      <c r="AQ29" s="48" t="str">
        <f t="shared" si="16"/>
        <v/>
      </c>
      <c r="AR29" s="48" t="str">
        <f>IFERROR(INDEX(_TECH_Crisis_Model!$E$5:$E$191,MATCH('Crisis Simulator'!$B$4&amp;"|"&amp;$C29,_TECH_Crisis_Model!$I$5:$I$191,0)),"")</f>
        <v>Market positioning, ICP clarity and offer structure determine whether the company can adapt revenue during crisis.</v>
      </c>
      <c r="AS29" s="48" t="str">
        <f>IFERROR(INDEX(_TECH_Crisis_Model!$G$5:$G$191,MATCH('Crisis Simulator'!$B$4&amp;"|"&amp;$C29,_TECH_Crisis_Model!$I$5:$I$191,0)),"")</f>
        <v>Stress-test ICP, offering, pricing, channels and market focus under the selected crisis.</v>
      </c>
      <c r="AT29" s="48" t="str">
        <f>IFERROR(INDEX(_TECH_Initiative_Library!$A$5:$A$76,MATCH(1,INDEX((_TECH_Initiative_Library!$B$5:$B$76=$C29)*(_TECH_Initiative_Library!$C$5:$C$76=$D29),0),0)),"")</f>
        <v>INI-004</v>
      </c>
      <c r="AU29" s="48" t="str">
        <f>IFERROR(INDEX(_TECH_Initiative_Library!$F$5:$F$76,MATCH(1,INDEX((_TECH_Initiative_Library!$B$5:$B$76=$C29)*(_TECH_Initiative_Library!$C$5:$C$76=$D29),0),0)),"")</f>
        <v>Stress-test corporate strategy and decision assumptions</v>
      </c>
      <c r="AV29" s="48" t="str">
        <f ca="1">IFERROR(INDEX(_TECH_Initiative_Library!$AC$5:$AC$76,MATCH(1,INDEX((_TECH_Initiative_Library!$B$5:$B$76=$C29)*(_TECH_Initiative_Library!$C$5:$C$76=$D29),0),0)),"")</f>
        <v/>
      </c>
      <c r="AW29" s="48" t="str">
        <f ca="1">IFERROR(INDEX(_TECH_Initiative_Library!$AE$5:$AE$76,MATCH(1,INDEX((_TECH_Initiative_Library!$B$5:$B$76=$C29)*(_TECH_Initiative_Library!$C$5:$C$76=$D29),0),0)),"")</f>
        <v/>
      </c>
      <c r="AX29" s="48" t="str">
        <f>IF($B29="Yes",IFERROR(SUMIFS(_TECH_Industry_Templates!$E:$E,_TECH_Industry_Templates!$A:$A,'Company Profile'!$B$9,_TECH_Industry_Templates!$B:$B,$C29),1),"")</f>
        <v/>
      </c>
      <c r="AY29" s="48" t="str">
        <f t="shared" si="17"/>
        <v/>
      </c>
      <c r="AZ29" s="48" t="str">
        <f t="shared" si="18"/>
        <v/>
      </c>
      <c r="BA29" s="48" t="str">
        <f>IF($AZ29="","",RANK.EQ($AZ29,$AZ$8:$AZ$414,0)+COUNTIF($AZ$8:$AZ29,$AZ29)-1)</f>
        <v/>
      </c>
    </row>
    <row r="30" spans="1:53" ht="69.95" customHeight="1">
      <c r="A30" s="36" t="str">
        <f>IF($AZ30="","",RANK.EQ($AZ30,$AZ$8:$AZ$414,0)+COUNTIF($AZ$8:$AZ30,$AZ30)-1)</f>
        <v/>
      </c>
      <c r="B30" s="36" t="str">
        <f t="shared" si="5"/>
        <v/>
      </c>
      <c r="C30" s="36" t="s">
        <v>57</v>
      </c>
      <c r="D30" s="36" t="s">
        <v>1032</v>
      </c>
      <c r="E30" s="36" t="s">
        <v>2081</v>
      </c>
      <c r="F30" s="36" t="s">
        <v>184</v>
      </c>
      <c r="G30" s="36" t="str">
        <f>IF($H30="","",IFERROR(INDEX('Risk Library'!$H$5:$M$411,MATCH($E30,'Risk Library'!$A$5:$A$411,0),$H30+1),""))</f>
        <v/>
      </c>
      <c r="H30" s="37" t="str">
        <f>IF(OR(COUNTA('Strategy GTM'!$H$7)=0,'Strategy GTM'!$H$7="N/A"),"",VALUE('Strategy GTM'!$H$7))</f>
        <v/>
      </c>
      <c r="I30" s="36" t="str">
        <f>IF($H30="","",IFERROR(IF('Strategy GTM'!$L$7="",IF($H30&lt;=1,"Critical",IF($H30=2,"High",IF($H30=3,"Medium",IF($H30=4,"Low","Resilient")))),'Strategy GTM'!$L$7),IF($H30&lt;=1,"Critical",IF($H30=2,"High",IF($H30=3,"Medium",IF($H30=4,"Low","Resilient"))))))</f>
        <v/>
      </c>
      <c r="J30" s="37" t="str">
        <f t="shared" si="6"/>
        <v/>
      </c>
      <c r="K30" s="37" t="str">
        <f t="shared" si="7"/>
        <v/>
      </c>
      <c r="L30" s="37" t="str">
        <f t="shared" si="8"/>
        <v/>
      </c>
      <c r="M30" s="37" t="str">
        <f t="shared" si="9"/>
        <v/>
      </c>
      <c r="N30" s="37" t="str">
        <f>IF($H30="","",IFERROR(INDEX('Risk Library'!$T$5:$Y$411,MATCH($E30,'Risk Library'!$A$5:$A$411,0),$H30+1),""))</f>
        <v/>
      </c>
      <c r="O30" s="37" t="str">
        <f t="shared" si="10"/>
        <v/>
      </c>
      <c r="P30" s="37" t="str">
        <f t="shared" si="11"/>
        <v/>
      </c>
      <c r="Q30" s="37" t="str">
        <f t="shared" si="12"/>
        <v/>
      </c>
      <c r="R30" s="37" t="str">
        <f t="shared" si="13"/>
        <v/>
      </c>
      <c r="S30" s="38" t="str">
        <f t="shared" si="14"/>
        <v/>
      </c>
      <c r="T30" s="36" t="str">
        <f>IF($H30="","",IFERROR(INDEX('Risk Library'!$N$5:$S$411,MATCH($E30,'Risk Library'!$A$5:$A$411,0),$H30+1),""))</f>
        <v/>
      </c>
      <c r="U30" s="37">
        <f>IFERROR('Strategy GTM'!$G$7,"")</f>
        <v>5</v>
      </c>
      <c r="V30" s="37">
        <f>IFERROR('Strategy GTM'!$W$7,"")</f>
        <v>4</v>
      </c>
      <c r="W30" s="37">
        <f>IFERROR('Strategy GTM'!$X$7,"")</f>
        <v>5</v>
      </c>
      <c r="X30" s="37">
        <f>IFERROR('Strategy GTM'!$Y$7,"")</f>
        <v>5</v>
      </c>
      <c r="Y30" s="36" t="s">
        <v>2068</v>
      </c>
      <c r="Z30" s="36" t="s">
        <v>2069</v>
      </c>
      <c r="AA30" s="36" t="s">
        <v>2083</v>
      </c>
      <c r="AB30" s="36">
        <f>IFERROR('Strategy GTM'!$U$7,"")</f>
        <v>0</v>
      </c>
      <c r="AC30" s="36"/>
      <c r="AD30" s="36"/>
      <c r="AE30" s="36"/>
      <c r="AF30" s="36" t="s">
        <v>2082</v>
      </c>
      <c r="AO30" s="48" t="str">
        <f>IF($B30="Yes",IFERROR(SUMIFS(_TECH_Crisis_Model!$D$5:$D$191,_TECH_Crisis_Model!$A$5:$A$191,'Crisis Simulator'!$B$4,_TECH_Crisis_Model!$B$5:$B$191,$C30),1),"")</f>
        <v/>
      </c>
      <c r="AP30" s="48" t="str">
        <f t="shared" si="15"/>
        <v/>
      </c>
      <c r="AQ30" s="48" t="str">
        <f t="shared" si="16"/>
        <v/>
      </c>
      <c r="AR30" s="48" t="str">
        <f>IFERROR(INDEX(_TECH_Crisis_Model!$E$5:$E$191,MATCH('Crisis Simulator'!$B$4&amp;"|"&amp;$C30,_TECH_Crisis_Model!$I$5:$I$191,0)),"")</f>
        <v>Market positioning, ICP clarity and offer structure determine whether the company can adapt revenue during crisis.</v>
      </c>
      <c r="AS30" s="48" t="str">
        <f>IFERROR(INDEX(_TECH_Crisis_Model!$G$5:$G$191,MATCH('Crisis Simulator'!$B$4&amp;"|"&amp;$C30,_TECH_Crisis_Model!$I$5:$I$191,0)),"")</f>
        <v>Stress-test ICP, offering, pricing, channels and market focus under the selected crisis.</v>
      </c>
      <c r="AT30" s="48" t="str">
        <f>IFERROR(INDEX(_TECH_Initiative_Library!$A$5:$A$76,MATCH(1,INDEX((_TECH_Initiative_Library!$B$5:$B$76=$C30)*(_TECH_Initiative_Library!$C$5:$C$76=$D30),0),0)),"")</f>
        <v>INI-004</v>
      </c>
      <c r="AU30" s="48" t="str">
        <f>IFERROR(INDEX(_TECH_Initiative_Library!$F$5:$F$76,MATCH(1,INDEX((_TECH_Initiative_Library!$B$5:$B$76=$C30)*(_TECH_Initiative_Library!$C$5:$C$76=$D30),0),0)),"")</f>
        <v>Stress-test corporate strategy and decision assumptions</v>
      </c>
      <c r="AV30" s="48" t="str">
        <f ca="1">IFERROR(INDEX(_TECH_Initiative_Library!$AC$5:$AC$76,MATCH(1,INDEX((_TECH_Initiative_Library!$B$5:$B$76=$C30)*(_TECH_Initiative_Library!$C$5:$C$76=$D30),0),0)),"")</f>
        <v/>
      </c>
      <c r="AW30" s="48" t="str">
        <f ca="1">IFERROR(INDEX(_TECH_Initiative_Library!$AE$5:$AE$76,MATCH(1,INDEX((_TECH_Initiative_Library!$B$5:$B$76=$C30)*(_TECH_Initiative_Library!$C$5:$C$76=$D30),0),0)),"")</f>
        <v/>
      </c>
      <c r="AX30" s="48" t="str">
        <f>IF($B30="Yes",IFERROR(SUMIFS(_TECH_Industry_Templates!$E:$E,_TECH_Industry_Templates!$A:$A,'Company Profile'!$B$9,_TECH_Industry_Templates!$B:$B,$C30),1),"")</f>
        <v/>
      </c>
      <c r="AY30" s="48" t="str">
        <f t="shared" si="17"/>
        <v/>
      </c>
      <c r="AZ30" s="48" t="str">
        <f t="shared" si="18"/>
        <v/>
      </c>
      <c r="BA30" s="48" t="str">
        <f>IF($AZ30="","",RANK.EQ($AZ30,$AZ$8:$AZ$414,0)+COUNTIF($AZ$8:$AZ30,$AZ30)-1)</f>
        <v/>
      </c>
    </row>
    <row r="31" spans="1:53" ht="69.95" customHeight="1">
      <c r="A31" s="36" t="str">
        <f>IF($AZ31="","",RANK.EQ($AZ31,$AZ$8:$AZ$414,0)+COUNTIF($AZ$8:$AZ31,$AZ31)-1)</f>
        <v/>
      </c>
      <c r="B31" s="36" t="str">
        <f t="shared" si="5"/>
        <v/>
      </c>
      <c r="C31" s="36" t="s">
        <v>57</v>
      </c>
      <c r="D31" s="36" t="s">
        <v>1032</v>
      </c>
      <c r="E31" s="36" t="s">
        <v>2091</v>
      </c>
      <c r="F31" s="36" t="s">
        <v>184</v>
      </c>
      <c r="G31" s="36" t="str">
        <f>IF($H31="","",IFERROR(INDEX('Risk Library'!$H$5:$M$411,MATCH($E31,'Risk Library'!$A$5:$A$411,0),$H31+1),""))</f>
        <v/>
      </c>
      <c r="H31" s="37" t="str">
        <f>IF(OR(COUNTA('Strategy GTM'!$H$8)=0,'Strategy GTM'!$H$8="N/A"),"",VALUE('Strategy GTM'!$H$8))</f>
        <v/>
      </c>
      <c r="I31" s="36" t="str">
        <f>IF($H31="","",IFERROR(IF('Strategy GTM'!$L$8="",IF($H31&lt;=1,"Critical",IF($H31=2,"High",IF($H31=3,"Medium",IF($H31=4,"Low","Resilient")))),'Strategy GTM'!$L$8),IF($H31&lt;=1,"Critical",IF($H31=2,"High",IF($H31=3,"Medium",IF($H31=4,"Low","Resilient"))))))</f>
        <v/>
      </c>
      <c r="J31" s="37" t="str">
        <f t="shared" si="6"/>
        <v/>
      </c>
      <c r="K31" s="37" t="str">
        <f t="shared" si="7"/>
        <v/>
      </c>
      <c r="L31" s="37" t="str">
        <f t="shared" si="8"/>
        <v/>
      </c>
      <c r="M31" s="37" t="str">
        <f t="shared" si="9"/>
        <v/>
      </c>
      <c r="N31" s="37" t="str">
        <f>IF($H31="","",IFERROR(INDEX('Risk Library'!$T$5:$Y$411,MATCH($E31,'Risk Library'!$A$5:$A$411,0),$H31+1),""))</f>
        <v/>
      </c>
      <c r="O31" s="37" t="str">
        <f t="shared" si="10"/>
        <v/>
      </c>
      <c r="P31" s="37" t="str">
        <f t="shared" si="11"/>
        <v/>
      </c>
      <c r="Q31" s="37" t="str">
        <f t="shared" si="12"/>
        <v/>
      </c>
      <c r="R31" s="37" t="str">
        <f t="shared" si="13"/>
        <v/>
      </c>
      <c r="S31" s="38" t="str">
        <f t="shared" si="14"/>
        <v/>
      </c>
      <c r="T31" s="36" t="str">
        <f>IF($H31="","",IFERROR(INDEX('Risk Library'!$N$5:$S$411,MATCH($E31,'Risk Library'!$A$5:$A$411,0),$H31+1),""))</f>
        <v/>
      </c>
      <c r="U31" s="37">
        <f>IFERROR('Strategy GTM'!$G$8,"")</f>
        <v>4</v>
      </c>
      <c r="V31" s="37">
        <f>IFERROR('Strategy GTM'!$W$8,"")</f>
        <v>4</v>
      </c>
      <c r="W31" s="37">
        <f>IFERROR('Strategy GTM'!$X$8,"")</f>
        <v>5</v>
      </c>
      <c r="X31" s="37">
        <f>IFERROR('Strategy GTM'!$Y$8,"")</f>
        <v>5</v>
      </c>
      <c r="Y31" s="36" t="s">
        <v>2068</v>
      </c>
      <c r="Z31" s="36" t="s">
        <v>2069</v>
      </c>
      <c r="AA31" s="36" t="s">
        <v>2093</v>
      </c>
      <c r="AB31" s="36">
        <f>IFERROR('Strategy GTM'!$U$8,"")</f>
        <v>0</v>
      </c>
      <c r="AC31" s="36"/>
      <c r="AD31" s="36"/>
      <c r="AE31" s="36"/>
      <c r="AF31" s="36" t="s">
        <v>2092</v>
      </c>
      <c r="AO31" s="48" t="str">
        <f>IF($B31="Yes",IFERROR(SUMIFS(_TECH_Crisis_Model!$D$5:$D$191,_TECH_Crisis_Model!$A$5:$A$191,'Crisis Simulator'!$B$4,_TECH_Crisis_Model!$B$5:$B$191,$C31),1),"")</f>
        <v/>
      </c>
      <c r="AP31" s="48" t="str">
        <f t="shared" si="15"/>
        <v/>
      </c>
      <c r="AQ31" s="48" t="str">
        <f t="shared" si="16"/>
        <v/>
      </c>
      <c r="AR31" s="48" t="str">
        <f>IFERROR(INDEX(_TECH_Crisis_Model!$E$5:$E$191,MATCH('Crisis Simulator'!$B$4&amp;"|"&amp;$C31,_TECH_Crisis_Model!$I$5:$I$191,0)),"")</f>
        <v>Market positioning, ICP clarity and offer structure determine whether the company can adapt revenue during crisis.</v>
      </c>
      <c r="AS31" s="48" t="str">
        <f>IFERROR(INDEX(_TECH_Crisis_Model!$G$5:$G$191,MATCH('Crisis Simulator'!$B$4&amp;"|"&amp;$C31,_TECH_Crisis_Model!$I$5:$I$191,0)),"")</f>
        <v>Stress-test ICP, offering, pricing, channels and market focus under the selected crisis.</v>
      </c>
      <c r="AT31" s="48" t="str">
        <f>IFERROR(INDEX(_TECH_Initiative_Library!$A$5:$A$76,MATCH(1,INDEX((_TECH_Initiative_Library!$B$5:$B$76=$C31)*(_TECH_Initiative_Library!$C$5:$C$76=$D31),0),0)),"")</f>
        <v>INI-004</v>
      </c>
      <c r="AU31" s="48" t="str">
        <f>IFERROR(INDEX(_TECH_Initiative_Library!$F$5:$F$76,MATCH(1,INDEX((_TECH_Initiative_Library!$B$5:$B$76=$C31)*(_TECH_Initiative_Library!$C$5:$C$76=$D31),0),0)),"")</f>
        <v>Stress-test corporate strategy and decision assumptions</v>
      </c>
      <c r="AV31" s="48" t="str">
        <f ca="1">IFERROR(INDEX(_TECH_Initiative_Library!$AC$5:$AC$76,MATCH(1,INDEX((_TECH_Initiative_Library!$B$5:$B$76=$C31)*(_TECH_Initiative_Library!$C$5:$C$76=$D31),0),0)),"")</f>
        <v/>
      </c>
      <c r="AW31" s="48" t="str">
        <f ca="1">IFERROR(INDEX(_TECH_Initiative_Library!$AE$5:$AE$76,MATCH(1,INDEX((_TECH_Initiative_Library!$B$5:$B$76=$C31)*(_TECH_Initiative_Library!$C$5:$C$76=$D31),0),0)),"")</f>
        <v/>
      </c>
      <c r="AX31" s="48" t="str">
        <f>IF($B31="Yes",IFERROR(SUMIFS(_TECH_Industry_Templates!$E:$E,_TECH_Industry_Templates!$A:$A,'Company Profile'!$B$9,_TECH_Industry_Templates!$B:$B,$C31),1),"")</f>
        <v/>
      </c>
      <c r="AY31" s="48" t="str">
        <f t="shared" si="17"/>
        <v/>
      </c>
      <c r="AZ31" s="48" t="str">
        <f t="shared" si="18"/>
        <v/>
      </c>
      <c r="BA31" s="48" t="str">
        <f>IF($AZ31="","",RANK.EQ($AZ31,$AZ$8:$AZ$414,0)+COUNTIF($AZ$8:$AZ31,$AZ31)-1)</f>
        <v/>
      </c>
    </row>
    <row r="32" spans="1:53" ht="69.95" customHeight="1">
      <c r="A32" s="36" t="str">
        <f>IF($AZ32="","",RANK.EQ($AZ32,$AZ$8:$AZ$414,0)+COUNTIF($AZ$8:$AZ32,$AZ32)-1)</f>
        <v/>
      </c>
      <c r="B32" s="36" t="str">
        <f t="shared" si="5"/>
        <v/>
      </c>
      <c r="C32" s="36" t="s">
        <v>57</v>
      </c>
      <c r="D32" s="36" t="s">
        <v>1032</v>
      </c>
      <c r="E32" s="36" t="s">
        <v>2101</v>
      </c>
      <c r="F32" s="36" t="s">
        <v>184</v>
      </c>
      <c r="G32" s="36" t="str">
        <f>IF($H32="","",IFERROR(INDEX('Risk Library'!$H$5:$M$411,MATCH($E32,'Risk Library'!$A$5:$A$411,0),$H32+1),""))</f>
        <v/>
      </c>
      <c r="H32" s="37" t="str">
        <f>IF(OR(COUNTA('Strategy GTM'!$H$9)=0,'Strategy GTM'!$H$9="N/A"),"",VALUE('Strategy GTM'!$H$9))</f>
        <v/>
      </c>
      <c r="I32" s="36" t="str">
        <f>IF($H32="","",IFERROR(IF('Strategy GTM'!$L$9="",IF($H32&lt;=1,"Critical",IF($H32=2,"High",IF($H32=3,"Medium",IF($H32=4,"Low","Resilient")))),'Strategy GTM'!$L$9),IF($H32&lt;=1,"Critical",IF($H32=2,"High",IF($H32=3,"Medium",IF($H32=4,"Low","Resilient"))))))</f>
        <v/>
      </c>
      <c r="J32" s="37" t="str">
        <f t="shared" si="6"/>
        <v/>
      </c>
      <c r="K32" s="37" t="str">
        <f t="shared" si="7"/>
        <v/>
      </c>
      <c r="L32" s="37" t="str">
        <f t="shared" si="8"/>
        <v/>
      </c>
      <c r="M32" s="37" t="str">
        <f t="shared" si="9"/>
        <v/>
      </c>
      <c r="N32" s="37" t="str">
        <f>IF($H32="","",IFERROR(INDEX('Risk Library'!$T$5:$Y$411,MATCH($E32,'Risk Library'!$A$5:$A$411,0),$H32+1),""))</f>
        <v/>
      </c>
      <c r="O32" s="37" t="str">
        <f t="shared" si="10"/>
        <v/>
      </c>
      <c r="P32" s="37" t="str">
        <f t="shared" si="11"/>
        <v/>
      </c>
      <c r="Q32" s="37" t="str">
        <f t="shared" si="12"/>
        <v/>
      </c>
      <c r="R32" s="37" t="str">
        <f t="shared" si="13"/>
        <v/>
      </c>
      <c r="S32" s="38" t="str">
        <f t="shared" si="14"/>
        <v/>
      </c>
      <c r="T32" s="36" t="str">
        <f>IF($H32="","",IFERROR(INDEX('Risk Library'!$N$5:$S$411,MATCH($E32,'Risk Library'!$A$5:$A$411,0),$H32+1),""))</f>
        <v/>
      </c>
      <c r="U32" s="37">
        <f>IFERROR('Strategy GTM'!$G$9,"")</f>
        <v>5</v>
      </c>
      <c r="V32" s="37">
        <f>IFERROR('Strategy GTM'!$W$9,"")</f>
        <v>4</v>
      </c>
      <c r="W32" s="37">
        <f>IFERROR('Strategy GTM'!$X$9,"")</f>
        <v>5</v>
      </c>
      <c r="X32" s="37">
        <f>IFERROR('Strategy GTM'!$Y$9,"")</f>
        <v>5</v>
      </c>
      <c r="Y32" s="36" t="s">
        <v>2068</v>
      </c>
      <c r="Z32" s="36" t="s">
        <v>2069</v>
      </c>
      <c r="AA32" s="36" t="s">
        <v>2103</v>
      </c>
      <c r="AB32" s="36">
        <f>IFERROR('Strategy GTM'!$U$9,"")</f>
        <v>0</v>
      </c>
      <c r="AC32" s="36"/>
      <c r="AD32" s="36"/>
      <c r="AE32" s="36"/>
      <c r="AF32" s="36" t="s">
        <v>2102</v>
      </c>
      <c r="AO32" s="48" t="str">
        <f>IF($B32="Yes",IFERROR(SUMIFS(_TECH_Crisis_Model!$D$5:$D$191,_TECH_Crisis_Model!$A$5:$A$191,'Crisis Simulator'!$B$4,_TECH_Crisis_Model!$B$5:$B$191,$C32),1),"")</f>
        <v/>
      </c>
      <c r="AP32" s="48" t="str">
        <f t="shared" si="15"/>
        <v/>
      </c>
      <c r="AQ32" s="48" t="str">
        <f t="shared" si="16"/>
        <v/>
      </c>
      <c r="AR32" s="48" t="str">
        <f>IFERROR(INDEX(_TECH_Crisis_Model!$E$5:$E$191,MATCH('Crisis Simulator'!$B$4&amp;"|"&amp;$C32,_TECH_Crisis_Model!$I$5:$I$191,0)),"")</f>
        <v>Market positioning, ICP clarity and offer structure determine whether the company can adapt revenue during crisis.</v>
      </c>
      <c r="AS32" s="48" t="str">
        <f>IFERROR(INDEX(_TECH_Crisis_Model!$G$5:$G$191,MATCH('Crisis Simulator'!$B$4&amp;"|"&amp;$C32,_TECH_Crisis_Model!$I$5:$I$191,0)),"")</f>
        <v>Stress-test ICP, offering, pricing, channels and market focus under the selected crisis.</v>
      </c>
      <c r="AT32" s="48" t="str">
        <f>IFERROR(INDEX(_TECH_Initiative_Library!$A$5:$A$76,MATCH(1,INDEX((_TECH_Initiative_Library!$B$5:$B$76=$C32)*(_TECH_Initiative_Library!$C$5:$C$76=$D32),0),0)),"")</f>
        <v>INI-004</v>
      </c>
      <c r="AU32" s="48" t="str">
        <f>IFERROR(INDEX(_TECH_Initiative_Library!$F$5:$F$76,MATCH(1,INDEX((_TECH_Initiative_Library!$B$5:$B$76=$C32)*(_TECH_Initiative_Library!$C$5:$C$76=$D32),0),0)),"")</f>
        <v>Stress-test corporate strategy and decision assumptions</v>
      </c>
      <c r="AV32" s="48" t="str">
        <f ca="1">IFERROR(INDEX(_TECH_Initiative_Library!$AC$5:$AC$76,MATCH(1,INDEX((_TECH_Initiative_Library!$B$5:$B$76=$C32)*(_TECH_Initiative_Library!$C$5:$C$76=$D32),0),0)),"")</f>
        <v/>
      </c>
      <c r="AW32" s="48" t="str">
        <f ca="1">IFERROR(INDEX(_TECH_Initiative_Library!$AE$5:$AE$76,MATCH(1,INDEX((_TECH_Initiative_Library!$B$5:$B$76=$C32)*(_TECH_Initiative_Library!$C$5:$C$76=$D32),0),0)),"")</f>
        <v/>
      </c>
      <c r="AX32" s="48" t="str">
        <f>IF($B32="Yes",IFERROR(SUMIFS(_TECH_Industry_Templates!$E:$E,_TECH_Industry_Templates!$A:$A,'Company Profile'!$B$9,_TECH_Industry_Templates!$B:$B,$C32),1),"")</f>
        <v/>
      </c>
      <c r="AY32" s="48" t="str">
        <f t="shared" si="17"/>
        <v/>
      </c>
      <c r="AZ32" s="48" t="str">
        <f t="shared" si="18"/>
        <v/>
      </c>
      <c r="BA32" s="48" t="str">
        <f>IF($AZ32="","",RANK.EQ($AZ32,$AZ$8:$AZ$414,0)+COUNTIF($AZ$8:$AZ32,$AZ32)-1)</f>
        <v/>
      </c>
    </row>
    <row r="33" spans="1:53" ht="69.95" customHeight="1">
      <c r="A33" s="36" t="str">
        <f>IF($AZ33="","",RANK.EQ($AZ33,$AZ$8:$AZ$414,0)+COUNTIF($AZ$8:$AZ33,$AZ33)-1)</f>
        <v/>
      </c>
      <c r="B33" s="36" t="str">
        <f t="shared" si="5"/>
        <v/>
      </c>
      <c r="C33" s="36" t="s">
        <v>57</v>
      </c>
      <c r="D33" s="36" t="s">
        <v>1032</v>
      </c>
      <c r="E33" s="36" t="s">
        <v>2111</v>
      </c>
      <c r="F33" s="36" t="s">
        <v>184</v>
      </c>
      <c r="G33" s="36" t="str">
        <f>IF($H33="","",IFERROR(INDEX('Risk Library'!$H$5:$M$411,MATCH($E33,'Risk Library'!$A$5:$A$411,0),$H33+1),""))</f>
        <v/>
      </c>
      <c r="H33" s="37" t="str">
        <f>IF(OR(COUNTA('Strategy GTM'!$H$10)=0,'Strategy GTM'!$H$10="N/A"),"",VALUE('Strategy GTM'!$H$10))</f>
        <v/>
      </c>
      <c r="I33" s="36" t="str">
        <f>IF($H33="","",IFERROR(IF('Strategy GTM'!$L$10="",IF($H33&lt;=1,"Critical",IF($H33=2,"High",IF($H33=3,"Medium",IF($H33=4,"Low","Resilient")))),'Strategy GTM'!$L$10),IF($H33&lt;=1,"Critical",IF($H33=2,"High",IF($H33=3,"Medium",IF($H33=4,"Low","Resilient"))))))</f>
        <v/>
      </c>
      <c r="J33" s="37" t="str">
        <f t="shared" si="6"/>
        <v/>
      </c>
      <c r="K33" s="37" t="str">
        <f t="shared" si="7"/>
        <v/>
      </c>
      <c r="L33" s="37" t="str">
        <f t="shared" si="8"/>
        <v/>
      </c>
      <c r="M33" s="37" t="str">
        <f t="shared" si="9"/>
        <v/>
      </c>
      <c r="N33" s="37" t="str">
        <f>IF($H33="","",IFERROR(INDEX('Risk Library'!$T$5:$Y$411,MATCH($E33,'Risk Library'!$A$5:$A$411,0),$H33+1),""))</f>
        <v/>
      </c>
      <c r="O33" s="37" t="str">
        <f t="shared" si="10"/>
        <v/>
      </c>
      <c r="P33" s="37" t="str">
        <f t="shared" si="11"/>
        <v/>
      </c>
      <c r="Q33" s="37" t="str">
        <f t="shared" si="12"/>
        <v/>
      </c>
      <c r="R33" s="37" t="str">
        <f t="shared" si="13"/>
        <v/>
      </c>
      <c r="S33" s="38" t="str">
        <f t="shared" si="14"/>
        <v/>
      </c>
      <c r="T33" s="36" t="str">
        <f>IF($H33="","",IFERROR(INDEX('Risk Library'!$N$5:$S$411,MATCH($E33,'Risk Library'!$A$5:$A$411,0),$H33+1),""))</f>
        <v/>
      </c>
      <c r="U33" s="37">
        <f>IFERROR('Strategy GTM'!$G$10,"")</f>
        <v>4</v>
      </c>
      <c r="V33" s="37">
        <f>IFERROR('Strategy GTM'!$W$10,"")</f>
        <v>4</v>
      </c>
      <c r="W33" s="37">
        <f>IFERROR('Strategy GTM'!$X$10,"")</f>
        <v>5</v>
      </c>
      <c r="X33" s="37">
        <f>IFERROR('Strategy GTM'!$Y$10,"")</f>
        <v>5</v>
      </c>
      <c r="Y33" s="36" t="s">
        <v>2068</v>
      </c>
      <c r="Z33" s="36" t="s">
        <v>2069</v>
      </c>
      <c r="AA33" s="36" t="s">
        <v>2113</v>
      </c>
      <c r="AB33" s="36">
        <f>IFERROR('Strategy GTM'!$U$10,"")</f>
        <v>0</v>
      </c>
      <c r="AC33" s="36"/>
      <c r="AD33" s="36"/>
      <c r="AE33" s="36"/>
      <c r="AF33" s="36" t="s">
        <v>2112</v>
      </c>
      <c r="AO33" s="48" t="str">
        <f>IF($B33="Yes",IFERROR(SUMIFS(_TECH_Crisis_Model!$D$5:$D$191,_TECH_Crisis_Model!$A$5:$A$191,'Crisis Simulator'!$B$4,_TECH_Crisis_Model!$B$5:$B$191,$C33),1),"")</f>
        <v/>
      </c>
      <c r="AP33" s="48" t="str">
        <f t="shared" si="15"/>
        <v/>
      </c>
      <c r="AQ33" s="48" t="str">
        <f t="shared" si="16"/>
        <v/>
      </c>
      <c r="AR33" s="48" t="str">
        <f>IFERROR(INDEX(_TECH_Crisis_Model!$E$5:$E$191,MATCH('Crisis Simulator'!$B$4&amp;"|"&amp;$C33,_TECH_Crisis_Model!$I$5:$I$191,0)),"")</f>
        <v>Market positioning, ICP clarity and offer structure determine whether the company can adapt revenue during crisis.</v>
      </c>
      <c r="AS33" s="48" t="str">
        <f>IFERROR(INDEX(_TECH_Crisis_Model!$G$5:$G$191,MATCH('Crisis Simulator'!$B$4&amp;"|"&amp;$C33,_TECH_Crisis_Model!$I$5:$I$191,0)),"")</f>
        <v>Stress-test ICP, offering, pricing, channels and market focus under the selected crisis.</v>
      </c>
      <c r="AT33" s="48" t="str">
        <f>IFERROR(INDEX(_TECH_Initiative_Library!$A$5:$A$76,MATCH(1,INDEX((_TECH_Initiative_Library!$B$5:$B$76=$C33)*(_TECH_Initiative_Library!$C$5:$C$76=$D33),0),0)),"")</f>
        <v>INI-004</v>
      </c>
      <c r="AU33" s="48" t="str">
        <f>IFERROR(INDEX(_TECH_Initiative_Library!$F$5:$F$76,MATCH(1,INDEX((_TECH_Initiative_Library!$B$5:$B$76=$C33)*(_TECH_Initiative_Library!$C$5:$C$76=$D33),0),0)),"")</f>
        <v>Stress-test corporate strategy and decision assumptions</v>
      </c>
      <c r="AV33" s="48" t="str">
        <f ca="1">IFERROR(INDEX(_TECH_Initiative_Library!$AC$5:$AC$76,MATCH(1,INDEX((_TECH_Initiative_Library!$B$5:$B$76=$C33)*(_TECH_Initiative_Library!$C$5:$C$76=$D33),0),0)),"")</f>
        <v/>
      </c>
      <c r="AW33" s="48" t="str">
        <f ca="1">IFERROR(INDEX(_TECH_Initiative_Library!$AE$5:$AE$76,MATCH(1,INDEX((_TECH_Initiative_Library!$B$5:$B$76=$C33)*(_TECH_Initiative_Library!$C$5:$C$76=$D33),0),0)),"")</f>
        <v/>
      </c>
      <c r="AX33" s="48" t="str">
        <f>IF($B33="Yes",IFERROR(SUMIFS(_TECH_Industry_Templates!$E:$E,_TECH_Industry_Templates!$A:$A,'Company Profile'!$B$9,_TECH_Industry_Templates!$B:$B,$C33),1),"")</f>
        <v/>
      </c>
      <c r="AY33" s="48" t="str">
        <f t="shared" si="17"/>
        <v/>
      </c>
      <c r="AZ33" s="48" t="str">
        <f t="shared" si="18"/>
        <v/>
      </c>
      <c r="BA33" s="48" t="str">
        <f>IF($AZ33="","",RANK.EQ($AZ33,$AZ$8:$AZ$414,0)+COUNTIF($AZ$8:$AZ33,$AZ33)-1)</f>
        <v/>
      </c>
    </row>
    <row r="34" spans="1:53" ht="69.95" customHeight="1">
      <c r="A34" s="36" t="str">
        <f>IF($AZ34="","",RANK.EQ($AZ34,$AZ$8:$AZ$414,0)+COUNTIF($AZ$8:$AZ34,$AZ34)-1)</f>
        <v/>
      </c>
      <c r="B34" s="36" t="str">
        <f t="shared" si="5"/>
        <v/>
      </c>
      <c r="C34" s="36" t="s">
        <v>57</v>
      </c>
      <c r="D34" s="36" t="s">
        <v>1048</v>
      </c>
      <c r="E34" s="36" t="s">
        <v>2121</v>
      </c>
      <c r="F34" s="36" t="s">
        <v>184</v>
      </c>
      <c r="G34" s="36" t="str">
        <f>IF($H34="","",IFERROR(INDEX('Risk Library'!$H$5:$M$411,MATCH($E34,'Risk Library'!$A$5:$A$411,0),$H34+1),""))</f>
        <v/>
      </c>
      <c r="H34" s="37" t="str">
        <f>IF(OR(COUNTA('Strategy GTM'!$H$11)=0,'Strategy GTM'!$H$11="N/A"),"",VALUE('Strategy GTM'!$H$11))</f>
        <v/>
      </c>
      <c r="I34" s="36" t="str">
        <f>IF($H34="","",IFERROR(IF('Strategy GTM'!$L$11="",IF($H34&lt;=1,"Critical",IF($H34=2,"High",IF($H34=3,"Medium",IF($H34=4,"Low","Resilient")))),'Strategy GTM'!$L$11),IF($H34&lt;=1,"Critical",IF($H34=2,"High",IF($H34=3,"Medium",IF($H34=4,"Low","Resilient"))))))</f>
        <v/>
      </c>
      <c r="J34" s="37" t="str">
        <f t="shared" si="6"/>
        <v/>
      </c>
      <c r="K34" s="37" t="str">
        <f t="shared" si="7"/>
        <v/>
      </c>
      <c r="L34" s="37" t="str">
        <f t="shared" si="8"/>
        <v/>
      </c>
      <c r="M34" s="37" t="str">
        <f t="shared" si="9"/>
        <v/>
      </c>
      <c r="N34" s="37" t="str">
        <f>IF($H34="","",IFERROR(INDEX('Risk Library'!$T$5:$Y$411,MATCH($E34,'Risk Library'!$A$5:$A$411,0),$H34+1),""))</f>
        <v/>
      </c>
      <c r="O34" s="37" t="str">
        <f t="shared" si="10"/>
        <v/>
      </c>
      <c r="P34" s="37" t="str">
        <f t="shared" si="11"/>
        <v/>
      </c>
      <c r="Q34" s="37" t="str">
        <f t="shared" si="12"/>
        <v/>
      </c>
      <c r="R34" s="37" t="str">
        <f t="shared" si="13"/>
        <v/>
      </c>
      <c r="S34" s="38" t="str">
        <f t="shared" si="14"/>
        <v/>
      </c>
      <c r="T34" s="36" t="str">
        <f>IF($H34="","",IFERROR(INDEX('Risk Library'!$N$5:$S$411,MATCH($E34,'Risk Library'!$A$5:$A$411,0),$H34+1),""))</f>
        <v/>
      </c>
      <c r="U34" s="37">
        <f>IFERROR('Strategy GTM'!$G$11,"")</f>
        <v>4</v>
      </c>
      <c r="V34" s="37">
        <f>IFERROR('Strategy GTM'!$W$11,"")</f>
        <v>4</v>
      </c>
      <c r="W34" s="37">
        <f>IFERROR('Strategy GTM'!$X$11,"")</f>
        <v>5</v>
      </c>
      <c r="X34" s="37">
        <f>IFERROR('Strategy GTM'!$Y$11,"")</f>
        <v>5</v>
      </c>
      <c r="Y34" s="36" t="s">
        <v>2068</v>
      </c>
      <c r="Z34" s="36" t="s">
        <v>2069</v>
      </c>
      <c r="AA34" s="36" t="s">
        <v>2123</v>
      </c>
      <c r="AB34" s="36">
        <f>IFERROR('Strategy GTM'!$U$11,"")</f>
        <v>0</v>
      </c>
      <c r="AC34" s="36"/>
      <c r="AD34" s="36"/>
      <c r="AE34" s="36"/>
      <c r="AF34" s="36" t="s">
        <v>2122</v>
      </c>
      <c r="AO34" s="48" t="str">
        <f>IF($B34="Yes",IFERROR(SUMIFS(_TECH_Crisis_Model!$D$5:$D$191,_TECH_Crisis_Model!$A$5:$A$191,'Crisis Simulator'!$B$4,_TECH_Crisis_Model!$B$5:$B$191,$C34),1),"")</f>
        <v/>
      </c>
      <c r="AP34" s="48" t="str">
        <f t="shared" si="15"/>
        <v/>
      </c>
      <c r="AQ34" s="48" t="str">
        <f t="shared" si="16"/>
        <v/>
      </c>
      <c r="AR34" s="48" t="str">
        <f>IFERROR(INDEX(_TECH_Crisis_Model!$E$5:$E$191,MATCH('Crisis Simulator'!$B$4&amp;"|"&amp;$C34,_TECH_Crisis_Model!$I$5:$I$191,0)),"")</f>
        <v>Market positioning, ICP clarity and offer structure determine whether the company can adapt revenue during crisis.</v>
      </c>
      <c r="AS34" s="48" t="str">
        <f>IFERROR(INDEX(_TECH_Crisis_Model!$G$5:$G$191,MATCH('Crisis Simulator'!$B$4&amp;"|"&amp;$C34,_TECH_Crisis_Model!$I$5:$I$191,0)),"")</f>
        <v>Stress-test ICP, offering, pricing, channels and market focus under the selected crisis.</v>
      </c>
      <c r="AT34" s="48" t="str">
        <f>IFERROR(INDEX(_TECH_Initiative_Library!$A$5:$A$76,MATCH(1,INDEX((_TECH_Initiative_Library!$B$5:$B$76=$C34)*(_TECH_Initiative_Library!$C$5:$C$76=$D34),0),0)),"")</f>
        <v>INI-005</v>
      </c>
      <c r="AU34" s="48" t="str">
        <f>IFERROR(INDEX(_TECH_Initiative_Library!$F$5:$F$76,MATCH(1,INDEX((_TECH_Initiative_Library!$B$5:$B$76=$C34)*(_TECH_Initiative_Library!$C$5:$C$76=$D34),0),0)),"")</f>
        <v>Define crisis-adjusted ICP, market segments and demand exposure</v>
      </c>
      <c r="AV34" s="48" t="str">
        <f ca="1">IFERROR(INDEX(_TECH_Initiative_Library!$AC$5:$AC$76,MATCH(1,INDEX((_TECH_Initiative_Library!$B$5:$B$76=$C34)*(_TECH_Initiative_Library!$C$5:$C$76=$D34),0),0)),"")</f>
        <v/>
      </c>
      <c r="AW34" s="48" t="str">
        <f ca="1">IFERROR(INDEX(_TECH_Initiative_Library!$AE$5:$AE$76,MATCH(1,INDEX((_TECH_Initiative_Library!$B$5:$B$76=$C34)*(_TECH_Initiative_Library!$C$5:$C$76=$D34),0),0)),"")</f>
        <v/>
      </c>
      <c r="AX34" s="48" t="str">
        <f>IF($B34="Yes",IFERROR(SUMIFS(_TECH_Industry_Templates!$E:$E,_TECH_Industry_Templates!$A:$A,'Company Profile'!$B$9,_TECH_Industry_Templates!$B:$B,$C34),1),"")</f>
        <v/>
      </c>
      <c r="AY34" s="48" t="str">
        <f t="shared" si="17"/>
        <v/>
      </c>
      <c r="AZ34" s="48" t="str">
        <f t="shared" si="18"/>
        <v/>
      </c>
      <c r="BA34" s="48" t="str">
        <f>IF($AZ34="","",RANK.EQ($AZ34,$AZ$8:$AZ$414,0)+COUNTIF($AZ$8:$AZ34,$AZ34)-1)</f>
        <v/>
      </c>
    </row>
    <row r="35" spans="1:53" ht="69.95" customHeight="1">
      <c r="A35" s="36" t="str">
        <f>IF($AZ35="","",RANK.EQ($AZ35,$AZ$8:$AZ$414,0)+COUNTIF($AZ$8:$AZ35,$AZ35)-1)</f>
        <v/>
      </c>
      <c r="B35" s="36" t="str">
        <f t="shared" si="5"/>
        <v/>
      </c>
      <c r="C35" s="36" t="s">
        <v>57</v>
      </c>
      <c r="D35" s="36" t="s">
        <v>1048</v>
      </c>
      <c r="E35" s="36" t="s">
        <v>2131</v>
      </c>
      <c r="F35" s="36" t="s">
        <v>184</v>
      </c>
      <c r="G35" s="36" t="str">
        <f>IF($H35="","",IFERROR(INDEX('Risk Library'!$H$5:$M$411,MATCH($E35,'Risk Library'!$A$5:$A$411,0),$H35+1),""))</f>
        <v/>
      </c>
      <c r="H35" s="37" t="str">
        <f>IF(OR(COUNTA('Strategy GTM'!$H$12)=0,'Strategy GTM'!$H$12="N/A"),"",VALUE('Strategy GTM'!$H$12))</f>
        <v/>
      </c>
      <c r="I35" s="36" t="str">
        <f>IF($H35="","",IFERROR(IF('Strategy GTM'!$L$12="",IF($H35&lt;=1,"Critical",IF($H35=2,"High",IF($H35=3,"Medium",IF($H35=4,"Low","Resilient")))),'Strategy GTM'!$L$12),IF($H35&lt;=1,"Critical",IF($H35=2,"High",IF($H35=3,"Medium",IF($H35=4,"Low","Resilient"))))))</f>
        <v/>
      </c>
      <c r="J35" s="37" t="str">
        <f t="shared" si="6"/>
        <v/>
      </c>
      <c r="K35" s="37" t="str">
        <f t="shared" si="7"/>
        <v/>
      </c>
      <c r="L35" s="37" t="str">
        <f t="shared" si="8"/>
        <v/>
      </c>
      <c r="M35" s="37" t="str">
        <f t="shared" si="9"/>
        <v/>
      </c>
      <c r="N35" s="37" t="str">
        <f>IF($H35="","",IFERROR(INDEX('Risk Library'!$T$5:$Y$411,MATCH($E35,'Risk Library'!$A$5:$A$411,0),$H35+1),""))</f>
        <v/>
      </c>
      <c r="O35" s="37" t="str">
        <f t="shared" si="10"/>
        <v/>
      </c>
      <c r="P35" s="37" t="str">
        <f t="shared" si="11"/>
        <v/>
      </c>
      <c r="Q35" s="37" t="str">
        <f t="shared" si="12"/>
        <v/>
      </c>
      <c r="R35" s="37" t="str">
        <f t="shared" si="13"/>
        <v/>
      </c>
      <c r="S35" s="38" t="str">
        <f t="shared" si="14"/>
        <v/>
      </c>
      <c r="T35" s="36" t="str">
        <f>IF($H35="","",IFERROR(INDEX('Risk Library'!$N$5:$S$411,MATCH($E35,'Risk Library'!$A$5:$A$411,0),$H35+1),""))</f>
        <v/>
      </c>
      <c r="U35" s="37">
        <f>IFERROR('Strategy GTM'!$G$12,"")</f>
        <v>3</v>
      </c>
      <c r="V35" s="37">
        <f>IFERROR('Strategy GTM'!$W$12,"")</f>
        <v>4</v>
      </c>
      <c r="W35" s="37">
        <f>IFERROR('Strategy GTM'!$X$12,"")</f>
        <v>5</v>
      </c>
      <c r="X35" s="37">
        <f>IFERROR('Strategy GTM'!$Y$12,"")</f>
        <v>5</v>
      </c>
      <c r="Y35" s="36" t="s">
        <v>2068</v>
      </c>
      <c r="Z35" s="36" t="s">
        <v>2069</v>
      </c>
      <c r="AA35" s="36" t="s">
        <v>2133</v>
      </c>
      <c r="AB35" s="36">
        <f>IFERROR('Strategy GTM'!$U$12,"")</f>
        <v>0</v>
      </c>
      <c r="AC35" s="36"/>
      <c r="AD35" s="36"/>
      <c r="AE35" s="36"/>
      <c r="AF35" s="36" t="s">
        <v>2132</v>
      </c>
      <c r="AO35" s="48" t="str">
        <f>IF($B35="Yes",IFERROR(SUMIFS(_TECH_Crisis_Model!$D$5:$D$191,_TECH_Crisis_Model!$A$5:$A$191,'Crisis Simulator'!$B$4,_TECH_Crisis_Model!$B$5:$B$191,$C35),1),"")</f>
        <v/>
      </c>
      <c r="AP35" s="48" t="str">
        <f t="shared" si="15"/>
        <v/>
      </c>
      <c r="AQ35" s="48" t="str">
        <f t="shared" si="16"/>
        <v/>
      </c>
      <c r="AR35" s="48" t="str">
        <f>IFERROR(INDEX(_TECH_Crisis_Model!$E$5:$E$191,MATCH('Crisis Simulator'!$B$4&amp;"|"&amp;$C35,_TECH_Crisis_Model!$I$5:$I$191,0)),"")</f>
        <v>Market positioning, ICP clarity and offer structure determine whether the company can adapt revenue during crisis.</v>
      </c>
      <c r="AS35" s="48" t="str">
        <f>IFERROR(INDEX(_TECH_Crisis_Model!$G$5:$G$191,MATCH('Crisis Simulator'!$B$4&amp;"|"&amp;$C35,_TECH_Crisis_Model!$I$5:$I$191,0)),"")</f>
        <v>Stress-test ICP, offering, pricing, channels and market focus under the selected crisis.</v>
      </c>
      <c r="AT35" s="48" t="str">
        <f>IFERROR(INDEX(_TECH_Initiative_Library!$A$5:$A$76,MATCH(1,INDEX((_TECH_Initiative_Library!$B$5:$B$76=$C35)*(_TECH_Initiative_Library!$C$5:$C$76=$D35),0),0)),"")</f>
        <v>INI-005</v>
      </c>
      <c r="AU35" s="48" t="str">
        <f>IFERROR(INDEX(_TECH_Initiative_Library!$F$5:$F$76,MATCH(1,INDEX((_TECH_Initiative_Library!$B$5:$B$76=$C35)*(_TECH_Initiative_Library!$C$5:$C$76=$D35),0),0)),"")</f>
        <v>Define crisis-adjusted ICP, market segments and demand exposure</v>
      </c>
      <c r="AV35" s="48" t="str">
        <f ca="1">IFERROR(INDEX(_TECH_Initiative_Library!$AC$5:$AC$76,MATCH(1,INDEX((_TECH_Initiative_Library!$B$5:$B$76=$C35)*(_TECH_Initiative_Library!$C$5:$C$76=$D35),0),0)),"")</f>
        <v/>
      </c>
      <c r="AW35" s="48" t="str">
        <f ca="1">IFERROR(INDEX(_TECH_Initiative_Library!$AE$5:$AE$76,MATCH(1,INDEX((_TECH_Initiative_Library!$B$5:$B$76=$C35)*(_TECH_Initiative_Library!$C$5:$C$76=$D35),0),0)),"")</f>
        <v/>
      </c>
      <c r="AX35" s="48" t="str">
        <f>IF($B35="Yes",IFERROR(SUMIFS(_TECH_Industry_Templates!$E:$E,_TECH_Industry_Templates!$A:$A,'Company Profile'!$B$9,_TECH_Industry_Templates!$B:$B,$C35),1),"")</f>
        <v/>
      </c>
      <c r="AY35" s="48" t="str">
        <f t="shared" si="17"/>
        <v/>
      </c>
      <c r="AZ35" s="48" t="str">
        <f t="shared" si="18"/>
        <v/>
      </c>
      <c r="BA35" s="48" t="str">
        <f>IF($AZ35="","",RANK.EQ($AZ35,$AZ$8:$AZ$414,0)+COUNTIF($AZ$8:$AZ35,$AZ35)-1)</f>
        <v/>
      </c>
    </row>
    <row r="36" spans="1:53" ht="69.95" customHeight="1">
      <c r="A36" s="36" t="str">
        <f>IF($AZ36="","",RANK.EQ($AZ36,$AZ$8:$AZ$414,0)+COUNTIF($AZ$8:$AZ36,$AZ36)-1)</f>
        <v/>
      </c>
      <c r="B36" s="36" t="str">
        <f t="shared" si="5"/>
        <v/>
      </c>
      <c r="C36" s="36" t="s">
        <v>57</v>
      </c>
      <c r="D36" s="36" t="s">
        <v>1048</v>
      </c>
      <c r="E36" s="36" t="s">
        <v>2141</v>
      </c>
      <c r="F36" s="36" t="s">
        <v>184</v>
      </c>
      <c r="G36" s="36" t="str">
        <f>IF($H36="","",IFERROR(INDEX('Risk Library'!$H$5:$M$411,MATCH($E36,'Risk Library'!$A$5:$A$411,0),$H36+1),""))</f>
        <v/>
      </c>
      <c r="H36" s="37" t="str">
        <f>IF(OR(COUNTA('Strategy GTM'!$H$13)=0,'Strategy GTM'!$H$13="N/A"),"",VALUE('Strategy GTM'!$H$13))</f>
        <v/>
      </c>
      <c r="I36" s="36" t="str">
        <f>IF($H36="","",IFERROR(IF('Strategy GTM'!$L$13="",IF($H36&lt;=1,"Critical",IF($H36=2,"High",IF($H36=3,"Medium",IF($H36=4,"Low","Resilient")))),'Strategy GTM'!$L$13),IF($H36&lt;=1,"Critical",IF($H36=2,"High",IF($H36=3,"Medium",IF($H36=4,"Low","Resilient"))))))</f>
        <v/>
      </c>
      <c r="J36" s="37" t="str">
        <f t="shared" si="6"/>
        <v/>
      </c>
      <c r="K36" s="37" t="str">
        <f t="shared" si="7"/>
        <v/>
      </c>
      <c r="L36" s="37" t="str">
        <f t="shared" si="8"/>
        <v/>
      </c>
      <c r="M36" s="37" t="str">
        <f t="shared" si="9"/>
        <v/>
      </c>
      <c r="N36" s="37" t="str">
        <f>IF($H36="","",IFERROR(INDEX('Risk Library'!$T$5:$Y$411,MATCH($E36,'Risk Library'!$A$5:$A$411,0),$H36+1),""))</f>
        <v/>
      </c>
      <c r="O36" s="37" t="str">
        <f t="shared" si="10"/>
        <v/>
      </c>
      <c r="P36" s="37" t="str">
        <f t="shared" si="11"/>
        <v/>
      </c>
      <c r="Q36" s="37" t="str">
        <f t="shared" si="12"/>
        <v/>
      </c>
      <c r="R36" s="37" t="str">
        <f t="shared" si="13"/>
        <v/>
      </c>
      <c r="S36" s="38" t="str">
        <f t="shared" si="14"/>
        <v/>
      </c>
      <c r="T36" s="36" t="str">
        <f>IF($H36="","",IFERROR(INDEX('Risk Library'!$N$5:$S$411,MATCH($E36,'Risk Library'!$A$5:$A$411,0),$H36+1),""))</f>
        <v/>
      </c>
      <c r="U36" s="37">
        <f>IFERROR('Strategy GTM'!$G$13,"")</f>
        <v>4</v>
      </c>
      <c r="V36" s="37">
        <f>IFERROR('Strategy GTM'!$W$13,"")</f>
        <v>4</v>
      </c>
      <c r="W36" s="37">
        <f>IFERROR('Strategy GTM'!$X$13,"")</f>
        <v>5</v>
      </c>
      <c r="X36" s="37">
        <f>IFERROR('Strategy GTM'!$Y$13,"")</f>
        <v>5</v>
      </c>
      <c r="Y36" s="36" t="s">
        <v>2068</v>
      </c>
      <c r="Z36" s="36" t="s">
        <v>2069</v>
      </c>
      <c r="AA36" s="36" t="s">
        <v>2143</v>
      </c>
      <c r="AB36" s="36">
        <f>IFERROR('Strategy GTM'!$U$13,"")</f>
        <v>0</v>
      </c>
      <c r="AC36" s="36"/>
      <c r="AD36" s="36"/>
      <c r="AE36" s="36"/>
      <c r="AF36" s="36" t="s">
        <v>2142</v>
      </c>
      <c r="AO36" s="48" t="str">
        <f>IF($B36="Yes",IFERROR(SUMIFS(_TECH_Crisis_Model!$D$5:$D$191,_TECH_Crisis_Model!$A$5:$A$191,'Crisis Simulator'!$B$4,_TECH_Crisis_Model!$B$5:$B$191,$C36),1),"")</f>
        <v/>
      </c>
      <c r="AP36" s="48" t="str">
        <f t="shared" si="15"/>
        <v/>
      </c>
      <c r="AQ36" s="48" t="str">
        <f t="shared" si="16"/>
        <v/>
      </c>
      <c r="AR36" s="48" t="str">
        <f>IFERROR(INDEX(_TECH_Crisis_Model!$E$5:$E$191,MATCH('Crisis Simulator'!$B$4&amp;"|"&amp;$C36,_TECH_Crisis_Model!$I$5:$I$191,0)),"")</f>
        <v>Market positioning, ICP clarity and offer structure determine whether the company can adapt revenue during crisis.</v>
      </c>
      <c r="AS36" s="48" t="str">
        <f>IFERROR(INDEX(_TECH_Crisis_Model!$G$5:$G$191,MATCH('Crisis Simulator'!$B$4&amp;"|"&amp;$C36,_TECH_Crisis_Model!$I$5:$I$191,0)),"")</f>
        <v>Stress-test ICP, offering, pricing, channels and market focus under the selected crisis.</v>
      </c>
      <c r="AT36" s="48" t="str">
        <f>IFERROR(INDEX(_TECH_Initiative_Library!$A$5:$A$76,MATCH(1,INDEX((_TECH_Initiative_Library!$B$5:$B$76=$C36)*(_TECH_Initiative_Library!$C$5:$C$76=$D36),0),0)),"")</f>
        <v>INI-005</v>
      </c>
      <c r="AU36" s="48" t="str">
        <f>IFERROR(INDEX(_TECH_Initiative_Library!$F$5:$F$76,MATCH(1,INDEX((_TECH_Initiative_Library!$B$5:$B$76=$C36)*(_TECH_Initiative_Library!$C$5:$C$76=$D36),0),0)),"")</f>
        <v>Define crisis-adjusted ICP, market segments and demand exposure</v>
      </c>
      <c r="AV36" s="48" t="str">
        <f ca="1">IFERROR(INDEX(_TECH_Initiative_Library!$AC$5:$AC$76,MATCH(1,INDEX((_TECH_Initiative_Library!$B$5:$B$76=$C36)*(_TECH_Initiative_Library!$C$5:$C$76=$D36),0),0)),"")</f>
        <v/>
      </c>
      <c r="AW36" s="48" t="str">
        <f ca="1">IFERROR(INDEX(_TECH_Initiative_Library!$AE$5:$AE$76,MATCH(1,INDEX((_TECH_Initiative_Library!$B$5:$B$76=$C36)*(_TECH_Initiative_Library!$C$5:$C$76=$D36),0),0)),"")</f>
        <v/>
      </c>
      <c r="AX36" s="48" t="str">
        <f>IF($B36="Yes",IFERROR(SUMIFS(_TECH_Industry_Templates!$E:$E,_TECH_Industry_Templates!$A:$A,'Company Profile'!$B$9,_TECH_Industry_Templates!$B:$B,$C36),1),"")</f>
        <v/>
      </c>
      <c r="AY36" s="48" t="str">
        <f t="shared" si="17"/>
        <v/>
      </c>
      <c r="AZ36" s="48" t="str">
        <f t="shared" si="18"/>
        <v/>
      </c>
      <c r="BA36" s="48" t="str">
        <f>IF($AZ36="","",RANK.EQ($AZ36,$AZ$8:$AZ$414,0)+COUNTIF($AZ$8:$AZ36,$AZ36)-1)</f>
        <v/>
      </c>
    </row>
    <row r="37" spans="1:53" ht="69.95" customHeight="1">
      <c r="A37" s="36" t="str">
        <f>IF($AZ37="","",RANK.EQ($AZ37,$AZ$8:$AZ$414,0)+COUNTIF($AZ$8:$AZ37,$AZ37)-1)</f>
        <v/>
      </c>
      <c r="B37" s="36" t="str">
        <f t="shared" si="5"/>
        <v/>
      </c>
      <c r="C37" s="36" t="s">
        <v>57</v>
      </c>
      <c r="D37" s="36" t="s">
        <v>1048</v>
      </c>
      <c r="E37" s="36" t="s">
        <v>2151</v>
      </c>
      <c r="F37" s="36" t="s">
        <v>184</v>
      </c>
      <c r="G37" s="36" t="str">
        <f>IF($H37="","",IFERROR(INDEX('Risk Library'!$H$5:$M$411,MATCH($E37,'Risk Library'!$A$5:$A$411,0),$H37+1),""))</f>
        <v/>
      </c>
      <c r="H37" s="37" t="str">
        <f>IF(OR(COUNTA('Strategy GTM'!$H$14)=0,'Strategy GTM'!$H$14="N/A"),"",VALUE('Strategy GTM'!$H$14))</f>
        <v/>
      </c>
      <c r="I37" s="36" t="str">
        <f>IF($H37="","",IFERROR(IF('Strategy GTM'!$L$14="",IF($H37&lt;=1,"Critical",IF($H37=2,"High",IF($H37=3,"Medium",IF($H37=4,"Low","Resilient")))),'Strategy GTM'!$L$14),IF($H37&lt;=1,"Critical",IF($H37=2,"High",IF($H37=3,"Medium",IF($H37=4,"Low","Resilient"))))))</f>
        <v/>
      </c>
      <c r="J37" s="37" t="str">
        <f t="shared" si="6"/>
        <v/>
      </c>
      <c r="K37" s="37" t="str">
        <f t="shared" si="7"/>
        <v/>
      </c>
      <c r="L37" s="37" t="str">
        <f t="shared" si="8"/>
        <v/>
      </c>
      <c r="M37" s="37" t="str">
        <f t="shared" si="9"/>
        <v/>
      </c>
      <c r="N37" s="37" t="str">
        <f>IF($H37="","",IFERROR(INDEX('Risk Library'!$T$5:$Y$411,MATCH($E37,'Risk Library'!$A$5:$A$411,0),$H37+1),""))</f>
        <v/>
      </c>
      <c r="O37" s="37" t="str">
        <f t="shared" si="10"/>
        <v/>
      </c>
      <c r="P37" s="37" t="str">
        <f t="shared" si="11"/>
        <v/>
      </c>
      <c r="Q37" s="37" t="str">
        <f t="shared" si="12"/>
        <v/>
      </c>
      <c r="R37" s="37" t="str">
        <f t="shared" si="13"/>
        <v/>
      </c>
      <c r="S37" s="38" t="str">
        <f t="shared" si="14"/>
        <v/>
      </c>
      <c r="T37" s="36" t="str">
        <f>IF($H37="","",IFERROR(INDEX('Risk Library'!$N$5:$S$411,MATCH($E37,'Risk Library'!$A$5:$A$411,0),$H37+1),""))</f>
        <v/>
      </c>
      <c r="U37" s="37">
        <f>IFERROR('Strategy GTM'!$G$14,"")</f>
        <v>5</v>
      </c>
      <c r="V37" s="37">
        <f>IFERROR('Strategy GTM'!$W$14,"")</f>
        <v>4</v>
      </c>
      <c r="W37" s="37">
        <f>IFERROR('Strategy GTM'!$X$14,"")</f>
        <v>5</v>
      </c>
      <c r="X37" s="37">
        <f>IFERROR('Strategy GTM'!$Y$14,"")</f>
        <v>5</v>
      </c>
      <c r="Y37" s="36" t="s">
        <v>2068</v>
      </c>
      <c r="Z37" s="36" t="s">
        <v>2069</v>
      </c>
      <c r="AA37" s="36" t="s">
        <v>2153</v>
      </c>
      <c r="AB37" s="36">
        <f>IFERROR('Strategy GTM'!$U$14,"")</f>
        <v>0</v>
      </c>
      <c r="AC37" s="36"/>
      <c r="AD37" s="36"/>
      <c r="AE37" s="36"/>
      <c r="AF37" s="36" t="s">
        <v>2152</v>
      </c>
      <c r="AO37" s="48" t="str">
        <f>IF($B37="Yes",IFERROR(SUMIFS(_TECH_Crisis_Model!$D$5:$D$191,_TECH_Crisis_Model!$A$5:$A$191,'Crisis Simulator'!$B$4,_TECH_Crisis_Model!$B$5:$B$191,$C37),1),"")</f>
        <v/>
      </c>
      <c r="AP37" s="48" t="str">
        <f t="shared" si="15"/>
        <v/>
      </c>
      <c r="AQ37" s="48" t="str">
        <f t="shared" si="16"/>
        <v/>
      </c>
      <c r="AR37" s="48" t="str">
        <f>IFERROR(INDEX(_TECH_Crisis_Model!$E$5:$E$191,MATCH('Crisis Simulator'!$B$4&amp;"|"&amp;$C37,_TECH_Crisis_Model!$I$5:$I$191,0)),"")</f>
        <v>Market positioning, ICP clarity and offer structure determine whether the company can adapt revenue during crisis.</v>
      </c>
      <c r="AS37" s="48" t="str">
        <f>IFERROR(INDEX(_TECH_Crisis_Model!$G$5:$G$191,MATCH('Crisis Simulator'!$B$4&amp;"|"&amp;$C37,_TECH_Crisis_Model!$I$5:$I$191,0)),"")</f>
        <v>Stress-test ICP, offering, pricing, channels and market focus under the selected crisis.</v>
      </c>
      <c r="AT37" s="48" t="str">
        <f>IFERROR(INDEX(_TECH_Initiative_Library!$A$5:$A$76,MATCH(1,INDEX((_TECH_Initiative_Library!$B$5:$B$76=$C37)*(_TECH_Initiative_Library!$C$5:$C$76=$D37),0),0)),"")</f>
        <v>INI-005</v>
      </c>
      <c r="AU37" s="48" t="str">
        <f>IFERROR(INDEX(_TECH_Initiative_Library!$F$5:$F$76,MATCH(1,INDEX((_TECH_Initiative_Library!$B$5:$B$76=$C37)*(_TECH_Initiative_Library!$C$5:$C$76=$D37),0),0)),"")</f>
        <v>Define crisis-adjusted ICP, market segments and demand exposure</v>
      </c>
      <c r="AV37" s="48" t="str">
        <f ca="1">IFERROR(INDEX(_TECH_Initiative_Library!$AC$5:$AC$76,MATCH(1,INDEX((_TECH_Initiative_Library!$B$5:$B$76=$C37)*(_TECH_Initiative_Library!$C$5:$C$76=$D37),0),0)),"")</f>
        <v/>
      </c>
      <c r="AW37" s="48" t="str">
        <f ca="1">IFERROR(INDEX(_TECH_Initiative_Library!$AE$5:$AE$76,MATCH(1,INDEX((_TECH_Initiative_Library!$B$5:$B$76=$C37)*(_TECH_Initiative_Library!$C$5:$C$76=$D37),0),0)),"")</f>
        <v/>
      </c>
      <c r="AX37" s="48" t="str">
        <f>IF($B37="Yes",IFERROR(SUMIFS(_TECH_Industry_Templates!$E:$E,_TECH_Industry_Templates!$A:$A,'Company Profile'!$B$9,_TECH_Industry_Templates!$B:$B,$C37),1),"")</f>
        <v/>
      </c>
      <c r="AY37" s="48" t="str">
        <f t="shared" si="17"/>
        <v/>
      </c>
      <c r="AZ37" s="48" t="str">
        <f t="shared" si="18"/>
        <v/>
      </c>
      <c r="BA37" s="48" t="str">
        <f>IF($AZ37="","",RANK.EQ($AZ37,$AZ$8:$AZ$414,0)+COUNTIF($AZ$8:$AZ37,$AZ37)-1)</f>
        <v/>
      </c>
    </row>
    <row r="38" spans="1:53" ht="69.95" customHeight="1">
      <c r="A38" s="36" t="str">
        <f>IF($AZ38="","",RANK.EQ($AZ38,$AZ$8:$AZ$414,0)+COUNTIF($AZ$8:$AZ38,$AZ38)-1)</f>
        <v/>
      </c>
      <c r="B38" s="36" t="str">
        <f t="shared" si="5"/>
        <v/>
      </c>
      <c r="C38" s="36" t="s">
        <v>57</v>
      </c>
      <c r="D38" s="36" t="s">
        <v>1048</v>
      </c>
      <c r="E38" s="36" t="s">
        <v>2161</v>
      </c>
      <c r="F38" s="36" t="s">
        <v>184</v>
      </c>
      <c r="G38" s="36" t="str">
        <f>IF($H38="","",IFERROR(INDEX('Risk Library'!$H$5:$M$411,MATCH($E38,'Risk Library'!$A$5:$A$411,0),$H38+1),""))</f>
        <v/>
      </c>
      <c r="H38" s="37" t="str">
        <f>IF(OR(COUNTA('Strategy GTM'!$H$15)=0,'Strategy GTM'!$H$15="N/A"),"",VALUE('Strategy GTM'!$H$15))</f>
        <v/>
      </c>
      <c r="I38" s="36" t="str">
        <f>IF($H38="","",IFERROR(IF('Strategy GTM'!$L$15="",IF($H38&lt;=1,"Critical",IF($H38=2,"High",IF($H38=3,"Medium",IF($H38=4,"Low","Resilient")))),'Strategy GTM'!$L$15),IF($H38&lt;=1,"Critical",IF($H38=2,"High",IF($H38=3,"Medium",IF($H38=4,"Low","Resilient"))))))</f>
        <v/>
      </c>
      <c r="J38" s="37" t="str">
        <f t="shared" si="6"/>
        <v/>
      </c>
      <c r="K38" s="37" t="str">
        <f t="shared" si="7"/>
        <v/>
      </c>
      <c r="L38" s="37" t="str">
        <f t="shared" si="8"/>
        <v/>
      </c>
      <c r="M38" s="37" t="str">
        <f t="shared" si="9"/>
        <v/>
      </c>
      <c r="N38" s="37" t="str">
        <f>IF($H38="","",IFERROR(INDEX('Risk Library'!$T$5:$Y$411,MATCH($E38,'Risk Library'!$A$5:$A$411,0),$H38+1),""))</f>
        <v/>
      </c>
      <c r="O38" s="37" t="str">
        <f t="shared" si="10"/>
        <v/>
      </c>
      <c r="P38" s="37" t="str">
        <f t="shared" si="11"/>
        <v/>
      </c>
      <c r="Q38" s="37" t="str">
        <f t="shared" si="12"/>
        <v/>
      </c>
      <c r="R38" s="37" t="str">
        <f t="shared" si="13"/>
        <v/>
      </c>
      <c r="S38" s="38" t="str">
        <f t="shared" si="14"/>
        <v/>
      </c>
      <c r="T38" s="36" t="str">
        <f>IF($H38="","",IFERROR(INDEX('Risk Library'!$N$5:$S$411,MATCH($E38,'Risk Library'!$A$5:$A$411,0),$H38+1),""))</f>
        <v/>
      </c>
      <c r="U38" s="37">
        <f>IFERROR('Strategy GTM'!$G$15,"")</f>
        <v>3</v>
      </c>
      <c r="V38" s="37">
        <f>IFERROR('Strategy GTM'!$W$15,"")</f>
        <v>4</v>
      </c>
      <c r="W38" s="37">
        <f>IFERROR('Strategy GTM'!$X$15,"")</f>
        <v>5</v>
      </c>
      <c r="X38" s="37">
        <f>IFERROR('Strategy GTM'!$Y$15,"")</f>
        <v>5</v>
      </c>
      <c r="Y38" s="36" t="s">
        <v>2068</v>
      </c>
      <c r="Z38" s="36" t="s">
        <v>2069</v>
      </c>
      <c r="AA38" s="36" t="s">
        <v>2163</v>
      </c>
      <c r="AB38" s="36">
        <f>IFERROR('Strategy GTM'!$U$15,"")</f>
        <v>0</v>
      </c>
      <c r="AC38" s="36"/>
      <c r="AD38" s="36"/>
      <c r="AE38" s="36"/>
      <c r="AF38" s="36" t="s">
        <v>2162</v>
      </c>
      <c r="AO38" s="48" t="str">
        <f>IF($B38="Yes",IFERROR(SUMIFS(_TECH_Crisis_Model!$D$5:$D$191,_TECH_Crisis_Model!$A$5:$A$191,'Crisis Simulator'!$B$4,_TECH_Crisis_Model!$B$5:$B$191,$C38),1),"")</f>
        <v/>
      </c>
      <c r="AP38" s="48" t="str">
        <f t="shared" si="15"/>
        <v/>
      </c>
      <c r="AQ38" s="48" t="str">
        <f t="shared" si="16"/>
        <v/>
      </c>
      <c r="AR38" s="48" t="str">
        <f>IFERROR(INDEX(_TECH_Crisis_Model!$E$5:$E$191,MATCH('Crisis Simulator'!$B$4&amp;"|"&amp;$C38,_TECH_Crisis_Model!$I$5:$I$191,0)),"")</f>
        <v>Market positioning, ICP clarity and offer structure determine whether the company can adapt revenue during crisis.</v>
      </c>
      <c r="AS38" s="48" t="str">
        <f>IFERROR(INDEX(_TECH_Crisis_Model!$G$5:$G$191,MATCH('Crisis Simulator'!$B$4&amp;"|"&amp;$C38,_TECH_Crisis_Model!$I$5:$I$191,0)),"")</f>
        <v>Stress-test ICP, offering, pricing, channels and market focus under the selected crisis.</v>
      </c>
      <c r="AT38" s="48" t="str">
        <f>IFERROR(INDEX(_TECH_Initiative_Library!$A$5:$A$76,MATCH(1,INDEX((_TECH_Initiative_Library!$B$5:$B$76=$C38)*(_TECH_Initiative_Library!$C$5:$C$76=$D38),0),0)),"")</f>
        <v>INI-005</v>
      </c>
      <c r="AU38" s="48" t="str">
        <f>IFERROR(INDEX(_TECH_Initiative_Library!$F$5:$F$76,MATCH(1,INDEX((_TECH_Initiative_Library!$B$5:$B$76=$C38)*(_TECH_Initiative_Library!$C$5:$C$76=$D38),0),0)),"")</f>
        <v>Define crisis-adjusted ICP, market segments and demand exposure</v>
      </c>
      <c r="AV38" s="48" t="str">
        <f ca="1">IFERROR(INDEX(_TECH_Initiative_Library!$AC$5:$AC$76,MATCH(1,INDEX((_TECH_Initiative_Library!$B$5:$B$76=$C38)*(_TECH_Initiative_Library!$C$5:$C$76=$D38),0),0)),"")</f>
        <v/>
      </c>
      <c r="AW38" s="48" t="str">
        <f ca="1">IFERROR(INDEX(_TECH_Initiative_Library!$AE$5:$AE$76,MATCH(1,INDEX((_TECH_Initiative_Library!$B$5:$B$76=$C38)*(_TECH_Initiative_Library!$C$5:$C$76=$D38),0),0)),"")</f>
        <v/>
      </c>
      <c r="AX38" s="48" t="str">
        <f>IF($B38="Yes",IFERROR(SUMIFS(_TECH_Industry_Templates!$E:$E,_TECH_Industry_Templates!$A:$A,'Company Profile'!$B$9,_TECH_Industry_Templates!$B:$B,$C38),1),"")</f>
        <v/>
      </c>
      <c r="AY38" s="48" t="str">
        <f t="shared" si="17"/>
        <v/>
      </c>
      <c r="AZ38" s="48" t="str">
        <f t="shared" si="18"/>
        <v/>
      </c>
      <c r="BA38" s="48" t="str">
        <f>IF($AZ38="","",RANK.EQ($AZ38,$AZ$8:$AZ$414,0)+COUNTIF($AZ$8:$AZ38,$AZ38)-1)</f>
        <v/>
      </c>
    </row>
    <row r="39" spans="1:53" ht="69.95" customHeight="1">
      <c r="A39" s="36" t="str">
        <f>IF($AZ39="","",RANK.EQ($AZ39,$AZ$8:$AZ$414,0)+COUNTIF($AZ$8:$AZ39,$AZ39)-1)</f>
        <v/>
      </c>
      <c r="B39" s="36" t="str">
        <f t="shared" si="5"/>
        <v/>
      </c>
      <c r="C39" s="36" t="s">
        <v>57</v>
      </c>
      <c r="D39" s="36" t="s">
        <v>1048</v>
      </c>
      <c r="E39" s="36" t="s">
        <v>2171</v>
      </c>
      <c r="F39" s="36" t="s">
        <v>184</v>
      </c>
      <c r="G39" s="36" t="str">
        <f>IF($H39="","",IFERROR(INDEX('Risk Library'!$H$5:$M$411,MATCH($E39,'Risk Library'!$A$5:$A$411,0),$H39+1),""))</f>
        <v/>
      </c>
      <c r="H39" s="37" t="str">
        <f>IF(OR(COUNTA('Strategy GTM'!$H$16)=0,'Strategy GTM'!$H$16="N/A"),"",VALUE('Strategy GTM'!$H$16))</f>
        <v/>
      </c>
      <c r="I39" s="36" t="str">
        <f>IF($H39="","",IFERROR(IF('Strategy GTM'!$L$16="",IF($H39&lt;=1,"Critical",IF($H39=2,"High",IF($H39=3,"Medium",IF($H39=4,"Low","Resilient")))),'Strategy GTM'!$L$16),IF($H39&lt;=1,"Critical",IF($H39=2,"High",IF($H39=3,"Medium",IF($H39=4,"Low","Resilient"))))))</f>
        <v/>
      </c>
      <c r="J39" s="37" t="str">
        <f t="shared" si="6"/>
        <v/>
      </c>
      <c r="K39" s="37" t="str">
        <f t="shared" si="7"/>
        <v/>
      </c>
      <c r="L39" s="37" t="str">
        <f t="shared" si="8"/>
        <v/>
      </c>
      <c r="M39" s="37" t="str">
        <f t="shared" si="9"/>
        <v/>
      </c>
      <c r="N39" s="37" t="str">
        <f>IF($H39="","",IFERROR(INDEX('Risk Library'!$T$5:$Y$411,MATCH($E39,'Risk Library'!$A$5:$A$411,0),$H39+1),""))</f>
        <v/>
      </c>
      <c r="O39" s="37" t="str">
        <f t="shared" si="10"/>
        <v/>
      </c>
      <c r="P39" s="37" t="str">
        <f t="shared" si="11"/>
        <v/>
      </c>
      <c r="Q39" s="37" t="str">
        <f t="shared" si="12"/>
        <v/>
      </c>
      <c r="R39" s="37" t="str">
        <f t="shared" si="13"/>
        <v/>
      </c>
      <c r="S39" s="38" t="str">
        <f t="shared" si="14"/>
        <v/>
      </c>
      <c r="T39" s="36" t="str">
        <f>IF($H39="","",IFERROR(INDEX('Risk Library'!$N$5:$S$411,MATCH($E39,'Risk Library'!$A$5:$A$411,0),$H39+1),""))</f>
        <v/>
      </c>
      <c r="U39" s="37">
        <f>IFERROR('Strategy GTM'!$G$16,"")</f>
        <v>4</v>
      </c>
      <c r="V39" s="37">
        <f>IFERROR('Strategy GTM'!$W$16,"")</f>
        <v>4</v>
      </c>
      <c r="W39" s="37">
        <f>IFERROR('Strategy GTM'!$X$16,"")</f>
        <v>5</v>
      </c>
      <c r="X39" s="37">
        <f>IFERROR('Strategy GTM'!$Y$16,"")</f>
        <v>5</v>
      </c>
      <c r="Y39" s="36" t="s">
        <v>2068</v>
      </c>
      <c r="Z39" s="36" t="s">
        <v>2069</v>
      </c>
      <c r="AA39" s="36" t="s">
        <v>2173</v>
      </c>
      <c r="AB39" s="36">
        <f>IFERROR('Strategy GTM'!$U$16,"")</f>
        <v>0</v>
      </c>
      <c r="AC39" s="36"/>
      <c r="AD39" s="36"/>
      <c r="AE39" s="36"/>
      <c r="AF39" s="36" t="s">
        <v>2172</v>
      </c>
      <c r="AO39" s="48" t="str">
        <f>IF($B39="Yes",IFERROR(SUMIFS(_TECH_Crisis_Model!$D$5:$D$191,_TECH_Crisis_Model!$A$5:$A$191,'Crisis Simulator'!$B$4,_TECH_Crisis_Model!$B$5:$B$191,$C39),1),"")</f>
        <v/>
      </c>
      <c r="AP39" s="48" t="str">
        <f t="shared" si="15"/>
        <v/>
      </c>
      <c r="AQ39" s="48" t="str">
        <f t="shared" si="16"/>
        <v/>
      </c>
      <c r="AR39" s="48" t="str">
        <f>IFERROR(INDEX(_TECH_Crisis_Model!$E$5:$E$191,MATCH('Crisis Simulator'!$B$4&amp;"|"&amp;$C39,_TECH_Crisis_Model!$I$5:$I$191,0)),"")</f>
        <v>Market positioning, ICP clarity and offer structure determine whether the company can adapt revenue during crisis.</v>
      </c>
      <c r="AS39" s="48" t="str">
        <f>IFERROR(INDEX(_TECH_Crisis_Model!$G$5:$G$191,MATCH('Crisis Simulator'!$B$4&amp;"|"&amp;$C39,_TECH_Crisis_Model!$I$5:$I$191,0)),"")</f>
        <v>Stress-test ICP, offering, pricing, channels and market focus under the selected crisis.</v>
      </c>
      <c r="AT39" s="48" t="str">
        <f>IFERROR(INDEX(_TECH_Initiative_Library!$A$5:$A$76,MATCH(1,INDEX((_TECH_Initiative_Library!$B$5:$B$76=$C39)*(_TECH_Initiative_Library!$C$5:$C$76=$D39),0),0)),"")</f>
        <v>INI-005</v>
      </c>
      <c r="AU39" s="48" t="str">
        <f>IFERROR(INDEX(_TECH_Initiative_Library!$F$5:$F$76,MATCH(1,INDEX((_TECH_Initiative_Library!$B$5:$B$76=$C39)*(_TECH_Initiative_Library!$C$5:$C$76=$D39),0),0)),"")</f>
        <v>Define crisis-adjusted ICP, market segments and demand exposure</v>
      </c>
      <c r="AV39" s="48" t="str">
        <f ca="1">IFERROR(INDEX(_TECH_Initiative_Library!$AC$5:$AC$76,MATCH(1,INDEX((_TECH_Initiative_Library!$B$5:$B$76=$C39)*(_TECH_Initiative_Library!$C$5:$C$76=$D39),0),0)),"")</f>
        <v/>
      </c>
      <c r="AW39" s="48" t="str">
        <f ca="1">IFERROR(INDEX(_TECH_Initiative_Library!$AE$5:$AE$76,MATCH(1,INDEX((_TECH_Initiative_Library!$B$5:$B$76=$C39)*(_TECH_Initiative_Library!$C$5:$C$76=$D39),0),0)),"")</f>
        <v/>
      </c>
      <c r="AX39" s="48" t="str">
        <f>IF($B39="Yes",IFERROR(SUMIFS(_TECH_Industry_Templates!$E:$E,_TECH_Industry_Templates!$A:$A,'Company Profile'!$B$9,_TECH_Industry_Templates!$B:$B,$C39),1),"")</f>
        <v/>
      </c>
      <c r="AY39" s="48" t="str">
        <f t="shared" si="17"/>
        <v/>
      </c>
      <c r="AZ39" s="48" t="str">
        <f t="shared" si="18"/>
        <v/>
      </c>
      <c r="BA39" s="48" t="str">
        <f>IF($AZ39="","",RANK.EQ($AZ39,$AZ$8:$AZ$414,0)+COUNTIF($AZ$8:$AZ39,$AZ39)-1)</f>
        <v/>
      </c>
    </row>
    <row r="40" spans="1:53" ht="69.95" customHeight="1">
      <c r="A40" s="36" t="str">
        <f>IF($AZ40="","",RANK.EQ($AZ40,$AZ$8:$AZ$414,0)+COUNTIF($AZ$8:$AZ40,$AZ40)-1)</f>
        <v/>
      </c>
      <c r="B40" s="36" t="str">
        <f t="shared" si="5"/>
        <v/>
      </c>
      <c r="C40" s="36" t="s">
        <v>57</v>
      </c>
      <c r="D40" s="36" t="s">
        <v>1059</v>
      </c>
      <c r="E40" s="36" t="s">
        <v>2181</v>
      </c>
      <c r="F40" s="36" t="s">
        <v>184</v>
      </c>
      <c r="G40" s="36" t="str">
        <f>IF($H40="","",IFERROR(INDEX('Risk Library'!$H$5:$M$411,MATCH($E40,'Risk Library'!$A$5:$A$411,0),$H40+1),""))</f>
        <v/>
      </c>
      <c r="H40" s="37" t="str">
        <f>IF(OR(COUNTA('Strategy GTM'!$H$17)=0,'Strategy GTM'!$H$17="N/A"),"",VALUE('Strategy GTM'!$H$17))</f>
        <v/>
      </c>
      <c r="I40" s="36" t="str">
        <f>IF($H40="","",IFERROR(IF('Strategy GTM'!$L$17="",IF($H40&lt;=1,"Critical",IF($H40=2,"High",IF($H40=3,"Medium",IF($H40=4,"Low","Resilient")))),'Strategy GTM'!$L$17),IF($H40&lt;=1,"Critical",IF($H40=2,"High",IF($H40=3,"Medium",IF($H40=4,"Low","Resilient"))))))</f>
        <v/>
      </c>
      <c r="J40" s="37" t="str">
        <f t="shared" si="6"/>
        <v/>
      </c>
      <c r="K40" s="37" t="str">
        <f t="shared" si="7"/>
        <v/>
      </c>
      <c r="L40" s="37" t="str">
        <f t="shared" si="8"/>
        <v/>
      </c>
      <c r="M40" s="37" t="str">
        <f t="shared" si="9"/>
        <v/>
      </c>
      <c r="N40" s="37" t="str">
        <f>IF($H40="","",IFERROR(INDEX('Risk Library'!$T$5:$Y$411,MATCH($E40,'Risk Library'!$A$5:$A$411,0),$H40+1),""))</f>
        <v/>
      </c>
      <c r="O40" s="37" t="str">
        <f t="shared" si="10"/>
        <v/>
      </c>
      <c r="P40" s="37" t="str">
        <f t="shared" si="11"/>
        <v/>
      </c>
      <c r="Q40" s="37" t="str">
        <f t="shared" si="12"/>
        <v/>
      </c>
      <c r="R40" s="37" t="str">
        <f t="shared" si="13"/>
        <v/>
      </c>
      <c r="S40" s="38" t="str">
        <f t="shared" si="14"/>
        <v/>
      </c>
      <c r="T40" s="36" t="str">
        <f>IF($H40="","",IFERROR(INDEX('Risk Library'!$N$5:$S$411,MATCH($E40,'Risk Library'!$A$5:$A$411,0),$H40+1),""))</f>
        <v/>
      </c>
      <c r="U40" s="37">
        <f>IFERROR('Strategy GTM'!$G$17,"")</f>
        <v>5</v>
      </c>
      <c r="V40" s="37">
        <f>IFERROR('Strategy GTM'!$W$17,"")</f>
        <v>4</v>
      </c>
      <c r="W40" s="37">
        <f>IFERROR('Strategy GTM'!$X$17,"")</f>
        <v>5</v>
      </c>
      <c r="X40" s="37">
        <f>IFERROR('Strategy GTM'!$Y$17,"")</f>
        <v>5</v>
      </c>
      <c r="Y40" s="36" t="s">
        <v>2068</v>
      </c>
      <c r="Z40" s="36" t="s">
        <v>2069</v>
      </c>
      <c r="AA40" s="36" t="s">
        <v>2183</v>
      </c>
      <c r="AB40" s="36">
        <f>IFERROR('Strategy GTM'!$U$17,"")</f>
        <v>0</v>
      </c>
      <c r="AC40" s="36"/>
      <c r="AD40" s="36"/>
      <c r="AE40" s="36"/>
      <c r="AF40" s="36" t="s">
        <v>2182</v>
      </c>
      <c r="AO40" s="48" t="str">
        <f>IF($B40="Yes",IFERROR(SUMIFS(_TECH_Crisis_Model!$D$5:$D$191,_TECH_Crisis_Model!$A$5:$A$191,'Crisis Simulator'!$B$4,_TECH_Crisis_Model!$B$5:$B$191,$C40),1),"")</f>
        <v/>
      </c>
      <c r="AP40" s="48" t="str">
        <f t="shared" si="15"/>
        <v/>
      </c>
      <c r="AQ40" s="48" t="str">
        <f t="shared" si="16"/>
        <v/>
      </c>
      <c r="AR40" s="48" t="str">
        <f>IFERROR(INDEX(_TECH_Crisis_Model!$E$5:$E$191,MATCH('Crisis Simulator'!$B$4&amp;"|"&amp;$C40,_TECH_Crisis_Model!$I$5:$I$191,0)),"")</f>
        <v>Market positioning, ICP clarity and offer structure determine whether the company can adapt revenue during crisis.</v>
      </c>
      <c r="AS40" s="48" t="str">
        <f>IFERROR(INDEX(_TECH_Crisis_Model!$G$5:$G$191,MATCH('Crisis Simulator'!$B$4&amp;"|"&amp;$C40,_TECH_Crisis_Model!$I$5:$I$191,0)),"")</f>
        <v>Stress-test ICP, offering, pricing, channels and market focus under the selected crisis.</v>
      </c>
      <c r="AT40" s="48" t="str">
        <f>IFERROR(INDEX(_TECH_Initiative_Library!$A$5:$A$76,MATCH(1,INDEX((_TECH_Initiative_Library!$B$5:$B$76=$C40)*(_TECH_Initiative_Library!$C$5:$C$76=$D40),0),0)),"")</f>
        <v>INI-006</v>
      </c>
      <c r="AU40" s="48" t="str">
        <f>IFERROR(INDEX(_TECH_Initiative_Library!$F$5:$F$76,MATCH(1,INDEX((_TECH_Initiative_Library!$B$5:$B$76=$C40)*(_TECH_Initiative_Library!$C$5:$C$76=$D40),0),0)),"")</f>
        <v>Standardize offering architecture and crisis-proof value proposition</v>
      </c>
      <c r="AV40" s="48" t="str">
        <f ca="1">IFERROR(INDEX(_TECH_Initiative_Library!$AC$5:$AC$76,MATCH(1,INDEX((_TECH_Initiative_Library!$B$5:$B$76=$C40)*(_TECH_Initiative_Library!$C$5:$C$76=$D40),0),0)),"")</f>
        <v/>
      </c>
      <c r="AW40" s="48" t="str">
        <f ca="1">IFERROR(INDEX(_TECH_Initiative_Library!$AE$5:$AE$76,MATCH(1,INDEX((_TECH_Initiative_Library!$B$5:$B$76=$C40)*(_TECH_Initiative_Library!$C$5:$C$76=$D40),0),0)),"")</f>
        <v/>
      </c>
      <c r="AX40" s="48" t="str">
        <f>IF($B40="Yes",IFERROR(SUMIFS(_TECH_Industry_Templates!$E:$E,_TECH_Industry_Templates!$A:$A,'Company Profile'!$B$9,_TECH_Industry_Templates!$B:$B,$C40),1),"")</f>
        <v/>
      </c>
      <c r="AY40" s="48" t="str">
        <f t="shared" si="17"/>
        <v/>
      </c>
      <c r="AZ40" s="48" t="str">
        <f t="shared" si="18"/>
        <v/>
      </c>
      <c r="BA40" s="48" t="str">
        <f>IF($AZ40="","",RANK.EQ($AZ40,$AZ$8:$AZ$414,0)+COUNTIF($AZ$8:$AZ40,$AZ40)-1)</f>
        <v/>
      </c>
    </row>
    <row r="41" spans="1:53" ht="69.95" customHeight="1">
      <c r="A41" s="36" t="str">
        <f>IF($AZ41="","",RANK.EQ($AZ41,$AZ$8:$AZ$414,0)+COUNTIF($AZ$8:$AZ41,$AZ41)-1)</f>
        <v/>
      </c>
      <c r="B41" s="36" t="str">
        <f t="shared" si="5"/>
        <v/>
      </c>
      <c r="C41" s="36" t="s">
        <v>57</v>
      </c>
      <c r="D41" s="36" t="s">
        <v>1059</v>
      </c>
      <c r="E41" s="36" t="s">
        <v>2191</v>
      </c>
      <c r="F41" s="36" t="s">
        <v>184</v>
      </c>
      <c r="G41" s="36" t="str">
        <f>IF($H41="","",IFERROR(INDEX('Risk Library'!$H$5:$M$411,MATCH($E41,'Risk Library'!$A$5:$A$411,0),$H41+1),""))</f>
        <v/>
      </c>
      <c r="H41" s="37" t="str">
        <f>IF(OR(COUNTA('Strategy GTM'!$H$18)=0,'Strategy GTM'!$H$18="N/A"),"",VALUE('Strategy GTM'!$H$18))</f>
        <v/>
      </c>
      <c r="I41" s="36" t="str">
        <f>IF($H41="","",IFERROR(IF('Strategy GTM'!$L$18="",IF($H41&lt;=1,"Critical",IF($H41=2,"High",IF($H41=3,"Medium",IF($H41=4,"Low","Resilient")))),'Strategy GTM'!$L$18),IF($H41&lt;=1,"Critical",IF($H41=2,"High",IF($H41=3,"Medium",IF($H41=4,"Low","Resilient"))))))</f>
        <v/>
      </c>
      <c r="J41" s="37" t="str">
        <f t="shared" si="6"/>
        <v/>
      </c>
      <c r="K41" s="37" t="str">
        <f t="shared" si="7"/>
        <v/>
      </c>
      <c r="L41" s="37" t="str">
        <f t="shared" si="8"/>
        <v/>
      </c>
      <c r="M41" s="37" t="str">
        <f t="shared" si="9"/>
        <v/>
      </c>
      <c r="N41" s="37" t="str">
        <f>IF($H41="","",IFERROR(INDEX('Risk Library'!$T$5:$Y$411,MATCH($E41,'Risk Library'!$A$5:$A$411,0),$H41+1),""))</f>
        <v/>
      </c>
      <c r="O41" s="37" t="str">
        <f t="shared" si="10"/>
        <v/>
      </c>
      <c r="P41" s="37" t="str">
        <f t="shared" si="11"/>
        <v/>
      </c>
      <c r="Q41" s="37" t="str">
        <f t="shared" si="12"/>
        <v/>
      </c>
      <c r="R41" s="37" t="str">
        <f t="shared" si="13"/>
        <v/>
      </c>
      <c r="S41" s="38" t="str">
        <f t="shared" si="14"/>
        <v/>
      </c>
      <c r="T41" s="36" t="str">
        <f>IF($H41="","",IFERROR(INDEX('Risk Library'!$N$5:$S$411,MATCH($E41,'Risk Library'!$A$5:$A$411,0),$H41+1),""))</f>
        <v/>
      </c>
      <c r="U41" s="37">
        <f>IFERROR('Strategy GTM'!$G$18,"")</f>
        <v>3</v>
      </c>
      <c r="V41" s="37">
        <f>IFERROR('Strategy GTM'!$W$18,"")</f>
        <v>4</v>
      </c>
      <c r="W41" s="37">
        <f>IFERROR('Strategy GTM'!$X$18,"")</f>
        <v>5</v>
      </c>
      <c r="X41" s="37">
        <f>IFERROR('Strategy GTM'!$Y$18,"")</f>
        <v>5</v>
      </c>
      <c r="Y41" s="36" t="s">
        <v>2068</v>
      </c>
      <c r="Z41" s="36" t="s">
        <v>2069</v>
      </c>
      <c r="AA41" s="36" t="s">
        <v>2193</v>
      </c>
      <c r="AB41" s="36">
        <f>IFERROR('Strategy GTM'!$U$18,"")</f>
        <v>0</v>
      </c>
      <c r="AC41" s="36"/>
      <c r="AD41" s="36"/>
      <c r="AE41" s="36"/>
      <c r="AF41" s="36" t="s">
        <v>2192</v>
      </c>
      <c r="AO41" s="48" t="str">
        <f>IF($B41="Yes",IFERROR(SUMIFS(_TECH_Crisis_Model!$D$5:$D$191,_TECH_Crisis_Model!$A$5:$A$191,'Crisis Simulator'!$B$4,_TECH_Crisis_Model!$B$5:$B$191,$C41),1),"")</f>
        <v/>
      </c>
      <c r="AP41" s="48" t="str">
        <f t="shared" si="15"/>
        <v/>
      </c>
      <c r="AQ41" s="48" t="str">
        <f t="shared" si="16"/>
        <v/>
      </c>
      <c r="AR41" s="48" t="str">
        <f>IFERROR(INDEX(_TECH_Crisis_Model!$E$5:$E$191,MATCH('Crisis Simulator'!$B$4&amp;"|"&amp;$C41,_TECH_Crisis_Model!$I$5:$I$191,0)),"")</f>
        <v>Market positioning, ICP clarity and offer structure determine whether the company can adapt revenue during crisis.</v>
      </c>
      <c r="AS41" s="48" t="str">
        <f>IFERROR(INDEX(_TECH_Crisis_Model!$G$5:$G$191,MATCH('Crisis Simulator'!$B$4&amp;"|"&amp;$C41,_TECH_Crisis_Model!$I$5:$I$191,0)),"")</f>
        <v>Stress-test ICP, offering, pricing, channels and market focus under the selected crisis.</v>
      </c>
      <c r="AT41" s="48" t="str">
        <f>IFERROR(INDEX(_TECH_Initiative_Library!$A$5:$A$76,MATCH(1,INDEX((_TECH_Initiative_Library!$B$5:$B$76=$C41)*(_TECH_Initiative_Library!$C$5:$C$76=$D41),0),0)),"")</f>
        <v>INI-006</v>
      </c>
      <c r="AU41" s="48" t="str">
        <f>IFERROR(INDEX(_TECH_Initiative_Library!$F$5:$F$76,MATCH(1,INDEX((_TECH_Initiative_Library!$B$5:$B$76=$C41)*(_TECH_Initiative_Library!$C$5:$C$76=$D41),0),0)),"")</f>
        <v>Standardize offering architecture and crisis-proof value proposition</v>
      </c>
      <c r="AV41" s="48" t="str">
        <f ca="1">IFERROR(INDEX(_TECH_Initiative_Library!$AC$5:$AC$76,MATCH(1,INDEX((_TECH_Initiative_Library!$B$5:$B$76=$C41)*(_TECH_Initiative_Library!$C$5:$C$76=$D41),0),0)),"")</f>
        <v/>
      </c>
      <c r="AW41" s="48" t="str">
        <f ca="1">IFERROR(INDEX(_TECH_Initiative_Library!$AE$5:$AE$76,MATCH(1,INDEX((_TECH_Initiative_Library!$B$5:$B$76=$C41)*(_TECH_Initiative_Library!$C$5:$C$76=$D41),0),0)),"")</f>
        <v/>
      </c>
      <c r="AX41" s="48" t="str">
        <f>IF($B41="Yes",IFERROR(SUMIFS(_TECH_Industry_Templates!$E:$E,_TECH_Industry_Templates!$A:$A,'Company Profile'!$B$9,_TECH_Industry_Templates!$B:$B,$C41),1),"")</f>
        <v/>
      </c>
      <c r="AY41" s="48" t="str">
        <f t="shared" si="17"/>
        <v/>
      </c>
      <c r="AZ41" s="48" t="str">
        <f t="shared" si="18"/>
        <v/>
      </c>
      <c r="BA41" s="48" t="str">
        <f>IF($AZ41="","",RANK.EQ($AZ41,$AZ$8:$AZ$414,0)+COUNTIF($AZ$8:$AZ41,$AZ41)-1)</f>
        <v/>
      </c>
    </row>
    <row r="42" spans="1:53" ht="69.95" customHeight="1">
      <c r="A42" s="36" t="str">
        <f>IF($AZ42="","",RANK.EQ($AZ42,$AZ$8:$AZ$414,0)+COUNTIF($AZ$8:$AZ42,$AZ42)-1)</f>
        <v/>
      </c>
      <c r="B42" s="36" t="str">
        <f t="shared" si="5"/>
        <v/>
      </c>
      <c r="C42" s="36" t="s">
        <v>57</v>
      </c>
      <c r="D42" s="36" t="s">
        <v>1059</v>
      </c>
      <c r="E42" s="36" t="s">
        <v>2201</v>
      </c>
      <c r="F42" s="36" t="s">
        <v>184</v>
      </c>
      <c r="G42" s="36" t="str">
        <f>IF($H42="","",IFERROR(INDEX('Risk Library'!$H$5:$M$411,MATCH($E42,'Risk Library'!$A$5:$A$411,0),$H42+1),""))</f>
        <v/>
      </c>
      <c r="H42" s="37" t="str">
        <f>IF(OR(COUNTA('Strategy GTM'!$H$19)=0,'Strategy GTM'!$H$19="N/A"),"",VALUE('Strategy GTM'!$H$19))</f>
        <v/>
      </c>
      <c r="I42" s="36" t="str">
        <f>IF($H42="","",IFERROR(IF('Strategy GTM'!$L$19="",IF($H42&lt;=1,"Critical",IF($H42=2,"High",IF($H42=3,"Medium",IF($H42=4,"Low","Resilient")))),'Strategy GTM'!$L$19),IF($H42&lt;=1,"Critical",IF($H42=2,"High",IF($H42=3,"Medium",IF($H42=4,"Low","Resilient"))))))</f>
        <v/>
      </c>
      <c r="J42" s="37" t="str">
        <f t="shared" si="6"/>
        <v/>
      </c>
      <c r="K42" s="37" t="str">
        <f t="shared" si="7"/>
        <v/>
      </c>
      <c r="L42" s="37" t="str">
        <f t="shared" si="8"/>
        <v/>
      </c>
      <c r="M42" s="37" t="str">
        <f t="shared" si="9"/>
        <v/>
      </c>
      <c r="N42" s="37" t="str">
        <f>IF($H42="","",IFERROR(INDEX('Risk Library'!$T$5:$Y$411,MATCH($E42,'Risk Library'!$A$5:$A$411,0),$H42+1),""))</f>
        <v/>
      </c>
      <c r="O42" s="37" t="str">
        <f t="shared" si="10"/>
        <v/>
      </c>
      <c r="P42" s="37" t="str">
        <f t="shared" si="11"/>
        <v/>
      </c>
      <c r="Q42" s="37" t="str">
        <f t="shared" si="12"/>
        <v/>
      </c>
      <c r="R42" s="37" t="str">
        <f t="shared" si="13"/>
        <v/>
      </c>
      <c r="S42" s="38" t="str">
        <f t="shared" si="14"/>
        <v/>
      </c>
      <c r="T42" s="36" t="str">
        <f>IF($H42="","",IFERROR(INDEX('Risk Library'!$N$5:$S$411,MATCH($E42,'Risk Library'!$A$5:$A$411,0),$H42+1),""))</f>
        <v/>
      </c>
      <c r="U42" s="37">
        <f>IFERROR('Strategy GTM'!$G$19,"")</f>
        <v>5</v>
      </c>
      <c r="V42" s="37">
        <f>IFERROR('Strategy GTM'!$W$19,"")</f>
        <v>4</v>
      </c>
      <c r="W42" s="37">
        <f>IFERROR('Strategy GTM'!$X$19,"")</f>
        <v>5</v>
      </c>
      <c r="X42" s="37">
        <f>IFERROR('Strategy GTM'!$Y$19,"")</f>
        <v>5</v>
      </c>
      <c r="Y42" s="36" t="s">
        <v>2068</v>
      </c>
      <c r="Z42" s="36" t="s">
        <v>2069</v>
      </c>
      <c r="AA42" s="36" t="s">
        <v>2203</v>
      </c>
      <c r="AB42" s="36">
        <f>IFERROR('Strategy GTM'!$U$19,"")</f>
        <v>0</v>
      </c>
      <c r="AC42" s="36"/>
      <c r="AD42" s="36"/>
      <c r="AE42" s="36"/>
      <c r="AF42" s="36" t="s">
        <v>2202</v>
      </c>
      <c r="AO42" s="48" t="str">
        <f>IF($B42="Yes",IFERROR(SUMIFS(_TECH_Crisis_Model!$D$5:$D$191,_TECH_Crisis_Model!$A$5:$A$191,'Crisis Simulator'!$B$4,_TECH_Crisis_Model!$B$5:$B$191,$C42),1),"")</f>
        <v/>
      </c>
      <c r="AP42" s="48" t="str">
        <f t="shared" si="15"/>
        <v/>
      </c>
      <c r="AQ42" s="48" t="str">
        <f t="shared" si="16"/>
        <v/>
      </c>
      <c r="AR42" s="48" t="str">
        <f>IFERROR(INDEX(_TECH_Crisis_Model!$E$5:$E$191,MATCH('Crisis Simulator'!$B$4&amp;"|"&amp;$C42,_TECH_Crisis_Model!$I$5:$I$191,0)),"")</f>
        <v>Market positioning, ICP clarity and offer structure determine whether the company can adapt revenue during crisis.</v>
      </c>
      <c r="AS42" s="48" t="str">
        <f>IFERROR(INDEX(_TECH_Crisis_Model!$G$5:$G$191,MATCH('Crisis Simulator'!$B$4&amp;"|"&amp;$C42,_TECH_Crisis_Model!$I$5:$I$191,0)),"")</f>
        <v>Stress-test ICP, offering, pricing, channels and market focus under the selected crisis.</v>
      </c>
      <c r="AT42" s="48" t="str">
        <f>IFERROR(INDEX(_TECH_Initiative_Library!$A$5:$A$76,MATCH(1,INDEX((_TECH_Initiative_Library!$B$5:$B$76=$C42)*(_TECH_Initiative_Library!$C$5:$C$76=$D42),0),0)),"")</f>
        <v>INI-006</v>
      </c>
      <c r="AU42" s="48" t="str">
        <f>IFERROR(INDEX(_TECH_Initiative_Library!$F$5:$F$76,MATCH(1,INDEX((_TECH_Initiative_Library!$B$5:$B$76=$C42)*(_TECH_Initiative_Library!$C$5:$C$76=$D42),0),0)),"")</f>
        <v>Standardize offering architecture and crisis-proof value proposition</v>
      </c>
      <c r="AV42" s="48" t="str">
        <f ca="1">IFERROR(INDEX(_TECH_Initiative_Library!$AC$5:$AC$76,MATCH(1,INDEX((_TECH_Initiative_Library!$B$5:$B$76=$C42)*(_TECH_Initiative_Library!$C$5:$C$76=$D42),0),0)),"")</f>
        <v/>
      </c>
      <c r="AW42" s="48" t="str">
        <f ca="1">IFERROR(INDEX(_TECH_Initiative_Library!$AE$5:$AE$76,MATCH(1,INDEX((_TECH_Initiative_Library!$B$5:$B$76=$C42)*(_TECH_Initiative_Library!$C$5:$C$76=$D42),0),0)),"")</f>
        <v/>
      </c>
      <c r="AX42" s="48" t="str">
        <f>IF($B42="Yes",IFERROR(SUMIFS(_TECH_Industry_Templates!$E:$E,_TECH_Industry_Templates!$A:$A,'Company Profile'!$B$9,_TECH_Industry_Templates!$B:$B,$C42),1),"")</f>
        <v/>
      </c>
      <c r="AY42" s="48" t="str">
        <f t="shared" si="17"/>
        <v/>
      </c>
      <c r="AZ42" s="48" t="str">
        <f t="shared" si="18"/>
        <v/>
      </c>
      <c r="BA42" s="48" t="str">
        <f>IF($AZ42="","",RANK.EQ($AZ42,$AZ$8:$AZ$414,0)+COUNTIF($AZ$8:$AZ42,$AZ42)-1)</f>
        <v/>
      </c>
    </row>
    <row r="43" spans="1:53" ht="69.95" customHeight="1">
      <c r="A43" s="36" t="str">
        <f>IF($AZ43="","",RANK.EQ($AZ43,$AZ$8:$AZ$414,0)+COUNTIF($AZ$8:$AZ43,$AZ43)-1)</f>
        <v/>
      </c>
      <c r="B43" s="36" t="str">
        <f t="shared" si="5"/>
        <v/>
      </c>
      <c r="C43" s="36" t="s">
        <v>57</v>
      </c>
      <c r="D43" s="36" t="s">
        <v>1059</v>
      </c>
      <c r="E43" s="36" t="s">
        <v>2211</v>
      </c>
      <c r="F43" s="36" t="s">
        <v>184</v>
      </c>
      <c r="G43" s="36" t="str">
        <f>IF($H43="","",IFERROR(INDEX('Risk Library'!$H$5:$M$411,MATCH($E43,'Risk Library'!$A$5:$A$411,0),$H43+1),""))</f>
        <v/>
      </c>
      <c r="H43" s="37" t="str">
        <f>IF(OR(COUNTA('Strategy GTM'!$H$20)=0,'Strategy GTM'!$H$20="N/A"),"",VALUE('Strategy GTM'!$H$20))</f>
        <v/>
      </c>
      <c r="I43" s="36" t="str">
        <f>IF($H43="","",IFERROR(IF('Strategy GTM'!$L$20="",IF($H43&lt;=1,"Critical",IF($H43=2,"High",IF($H43=3,"Medium",IF($H43=4,"Low","Resilient")))),'Strategy GTM'!$L$20),IF($H43&lt;=1,"Critical",IF($H43=2,"High",IF($H43=3,"Medium",IF($H43=4,"Low","Resilient"))))))</f>
        <v/>
      </c>
      <c r="J43" s="37" t="str">
        <f t="shared" si="6"/>
        <v/>
      </c>
      <c r="K43" s="37" t="str">
        <f t="shared" si="7"/>
        <v/>
      </c>
      <c r="L43" s="37" t="str">
        <f t="shared" si="8"/>
        <v/>
      </c>
      <c r="M43" s="37" t="str">
        <f t="shared" si="9"/>
        <v/>
      </c>
      <c r="N43" s="37" t="str">
        <f>IF($H43="","",IFERROR(INDEX('Risk Library'!$T$5:$Y$411,MATCH($E43,'Risk Library'!$A$5:$A$411,0),$H43+1),""))</f>
        <v/>
      </c>
      <c r="O43" s="37" t="str">
        <f t="shared" si="10"/>
        <v/>
      </c>
      <c r="P43" s="37" t="str">
        <f t="shared" si="11"/>
        <v/>
      </c>
      <c r="Q43" s="37" t="str">
        <f t="shared" si="12"/>
        <v/>
      </c>
      <c r="R43" s="37" t="str">
        <f t="shared" si="13"/>
        <v/>
      </c>
      <c r="S43" s="38" t="str">
        <f t="shared" si="14"/>
        <v/>
      </c>
      <c r="T43" s="36" t="str">
        <f>IF($H43="","",IFERROR(INDEX('Risk Library'!$N$5:$S$411,MATCH($E43,'Risk Library'!$A$5:$A$411,0),$H43+1),""))</f>
        <v/>
      </c>
      <c r="U43" s="37">
        <f>IFERROR('Strategy GTM'!$G$20,"")</f>
        <v>5</v>
      </c>
      <c r="V43" s="37">
        <f>IFERROR('Strategy GTM'!$W$20,"")</f>
        <v>4</v>
      </c>
      <c r="W43" s="37">
        <f>IFERROR('Strategy GTM'!$X$20,"")</f>
        <v>5</v>
      </c>
      <c r="X43" s="37">
        <f>IFERROR('Strategy GTM'!$Y$20,"")</f>
        <v>5</v>
      </c>
      <c r="Y43" s="36" t="s">
        <v>2068</v>
      </c>
      <c r="Z43" s="36" t="s">
        <v>2069</v>
      </c>
      <c r="AA43" s="36" t="s">
        <v>2213</v>
      </c>
      <c r="AB43" s="36">
        <f>IFERROR('Strategy GTM'!$U$20,"")</f>
        <v>0</v>
      </c>
      <c r="AC43" s="36"/>
      <c r="AD43" s="36"/>
      <c r="AE43" s="36"/>
      <c r="AF43" s="36" t="s">
        <v>2212</v>
      </c>
      <c r="AO43" s="48" t="str">
        <f>IF($B43="Yes",IFERROR(SUMIFS(_TECH_Crisis_Model!$D$5:$D$191,_TECH_Crisis_Model!$A$5:$A$191,'Crisis Simulator'!$B$4,_TECH_Crisis_Model!$B$5:$B$191,$C43),1),"")</f>
        <v/>
      </c>
      <c r="AP43" s="48" t="str">
        <f t="shared" si="15"/>
        <v/>
      </c>
      <c r="AQ43" s="48" t="str">
        <f t="shared" si="16"/>
        <v/>
      </c>
      <c r="AR43" s="48" t="str">
        <f>IFERROR(INDEX(_TECH_Crisis_Model!$E$5:$E$191,MATCH('Crisis Simulator'!$B$4&amp;"|"&amp;$C43,_TECH_Crisis_Model!$I$5:$I$191,0)),"")</f>
        <v>Market positioning, ICP clarity and offer structure determine whether the company can adapt revenue during crisis.</v>
      </c>
      <c r="AS43" s="48" t="str">
        <f>IFERROR(INDEX(_TECH_Crisis_Model!$G$5:$G$191,MATCH('Crisis Simulator'!$B$4&amp;"|"&amp;$C43,_TECH_Crisis_Model!$I$5:$I$191,0)),"")</f>
        <v>Stress-test ICP, offering, pricing, channels and market focus under the selected crisis.</v>
      </c>
      <c r="AT43" s="48" t="str">
        <f>IFERROR(INDEX(_TECH_Initiative_Library!$A$5:$A$76,MATCH(1,INDEX((_TECH_Initiative_Library!$B$5:$B$76=$C43)*(_TECH_Initiative_Library!$C$5:$C$76=$D43),0),0)),"")</f>
        <v>INI-006</v>
      </c>
      <c r="AU43" s="48" t="str">
        <f>IFERROR(INDEX(_TECH_Initiative_Library!$F$5:$F$76,MATCH(1,INDEX((_TECH_Initiative_Library!$B$5:$B$76=$C43)*(_TECH_Initiative_Library!$C$5:$C$76=$D43),0),0)),"")</f>
        <v>Standardize offering architecture and crisis-proof value proposition</v>
      </c>
      <c r="AV43" s="48" t="str">
        <f ca="1">IFERROR(INDEX(_TECH_Initiative_Library!$AC$5:$AC$76,MATCH(1,INDEX((_TECH_Initiative_Library!$B$5:$B$76=$C43)*(_TECH_Initiative_Library!$C$5:$C$76=$D43),0),0)),"")</f>
        <v/>
      </c>
      <c r="AW43" s="48" t="str">
        <f ca="1">IFERROR(INDEX(_TECH_Initiative_Library!$AE$5:$AE$76,MATCH(1,INDEX((_TECH_Initiative_Library!$B$5:$B$76=$C43)*(_TECH_Initiative_Library!$C$5:$C$76=$D43),0),0)),"")</f>
        <v/>
      </c>
      <c r="AX43" s="48" t="str">
        <f>IF($B43="Yes",IFERROR(SUMIFS(_TECH_Industry_Templates!$E:$E,_TECH_Industry_Templates!$A:$A,'Company Profile'!$B$9,_TECH_Industry_Templates!$B:$B,$C43),1),"")</f>
        <v/>
      </c>
      <c r="AY43" s="48" t="str">
        <f t="shared" si="17"/>
        <v/>
      </c>
      <c r="AZ43" s="48" t="str">
        <f t="shared" si="18"/>
        <v/>
      </c>
      <c r="BA43" s="48" t="str">
        <f>IF($AZ43="","",RANK.EQ($AZ43,$AZ$8:$AZ$414,0)+COUNTIF($AZ$8:$AZ43,$AZ43)-1)</f>
        <v/>
      </c>
    </row>
    <row r="44" spans="1:53" ht="69.95" customHeight="1">
      <c r="A44" s="36" t="str">
        <f>IF($AZ44="","",RANK.EQ($AZ44,$AZ$8:$AZ$414,0)+COUNTIF($AZ$8:$AZ44,$AZ44)-1)</f>
        <v/>
      </c>
      <c r="B44" s="36" t="str">
        <f t="shared" si="5"/>
        <v/>
      </c>
      <c r="C44" s="36" t="s">
        <v>57</v>
      </c>
      <c r="D44" s="36" t="s">
        <v>1059</v>
      </c>
      <c r="E44" s="36" t="s">
        <v>2221</v>
      </c>
      <c r="F44" s="36" t="s">
        <v>184</v>
      </c>
      <c r="G44" s="36" t="str">
        <f>IF($H44="","",IFERROR(INDEX('Risk Library'!$H$5:$M$411,MATCH($E44,'Risk Library'!$A$5:$A$411,0),$H44+1),""))</f>
        <v/>
      </c>
      <c r="H44" s="37" t="str">
        <f>IF(OR(COUNTA('Strategy GTM'!$H$21)=0,'Strategy GTM'!$H$21="N/A"),"",VALUE('Strategy GTM'!$H$21))</f>
        <v/>
      </c>
      <c r="I44" s="36" t="str">
        <f>IF($H44="","",IFERROR(IF('Strategy GTM'!$L$21="",IF($H44&lt;=1,"Critical",IF($H44=2,"High",IF($H44=3,"Medium",IF($H44=4,"Low","Resilient")))),'Strategy GTM'!$L$21),IF($H44&lt;=1,"Critical",IF($H44=2,"High",IF($H44=3,"Medium",IF($H44=4,"Low","Resilient"))))))</f>
        <v/>
      </c>
      <c r="J44" s="37" t="str">
        <f t="shared" si="6"/>
        <v/>
      </c>
      <c r="K44" s="37" t="str">
        <f t="shared" si="7"/>
        <v/>
      </c>
      <c r="L44" s="37" t="str">
        <f t="shared" si="8"/>
        <v/>
      </c>
      <c r="M44" s="37" t="str">
        <f t="shared" si="9"/>
        <v/>
      </c>
      <c r="N44" s="37" t="str">
        <f>IF($H44="","",IFERROR(INDEX('Risk Library'!$T$5:$Y$411,MATCH($E44,'Risk Library'!$A$5:$A$411,0),$H44+1),""))</f>
        <v/>
      </c>
      <c r="O44" s="37" t="str">
        <f t="shared" si="10"/>
        <v/>
      </c>
      <c r="P44" s="37" t="str">
        <f t="shared" si="11"/>
        <v/>
      </c>
      <c r="Q44" s="37" t="str">
        <f t="shared" si="12"/>
        <v/>
      </c>
      <c r="R44" s="37" t="str">
        <f t="shared" si="13"/>
        <v/>
      </c>
      <c r="S44" s="38" t="str">
        <f t="shared" si="14"/>
        <v/>
      </c>
      <c r="T44" s="36" t="str">
        <f>IF($H44="","",IFERROR(INDEX('Risk Library'!$N$5:$S$411,MATCH($E44,'Risk Library'!$A$5:$A$411,0),$H44+1),""))</f>
        <v/>
      </c>
      <c r="U44" s="37">
        <f>IFERROR('Strategy GTM'!$G$21,"")</f>
        <v>5</v>
      </c>
      <c r="V44" s="37">
        <f>IFERROR('Strategy GTM'!$W$21,"")</f>
        <v>4</v>
      </c>
      <c r="W44" s="37">
        <f>IFERROR('Strategy GTM'!$X$21,"")</f>
        <v>5</v>
      </c>
      <c r="X44" s="37">
        <f>IFERROR('Strategy GTM'!$Y$21,"")</f>
        <v>5</v>
      </c>
      <c r="Y44" s="36" t="s">
        <v>2068</v>
      </c>
      <c r="Z44" s="36" t="s">
        <v>2069</v>
      </c>
      <c r="AA44" s="36" t="s">
        <v>2223</v>
      </c>
      <c r="AB44" s="36">
        <f>IFERROR('Strategy GTM'!$U$21,"")</f>
        <v>0</v>
      </c>
      <c r="AC44" s="36"/>
      <c r="AD44" s="36"/>
      <c r="AE44" s="36"/>
      <c r="AF44" s="36" t="s">
        <v>2222</v>
      </c>
      <c r="AO44" s="48" t="str">
        <f>IF($B44="Yes",IFERROR(SUMIFS(_TECH_Crisis_Model!$D$5:$D$191,_TECH_Crisis_Model!$A$5:$A$191,'Crisis Simulator'!$B$4,_TECH_Crisis_Model!$B$5:$B$191,$C44),1),"")</f>
        <v/>
      </c>
      <c r="AP44" s="48" t="str">
        <f t="shared" si="15"/>
        <v/>
      </c>
      <c r="AQ44" s="48" t="str">
        <f t="shared" si="16"/>
        <v/>
      </c>
      <c r="AR44" s="48" t="str">
        <f>IFERROR(INDEX(_TECH_Crisis_Model!$E$5:$E$191,MATCH('Crisis Simulator'!$B$4&amp;"|"&amp;$C44,_TECH_Crisis_Model!$I$5:$I$191,0)),"")</f>
        <v>Market positioning, ICP clarity and offer structure determine whether the company can adapt revenue during crisis.</v>
      </c>
      <c r="AS44" s="48" t="str">
        <f>IFERROR(INDEX(_TECH_Crisis_Model!$G$5:$G$191,MATCH('Crisis Simulator'!$B$4&amp;"|"&amp;$C44,_TECH_Crisis_Model!$I$5:$I$191,0)),"")</f>
        <v>Stress-test ICP, offering, pricing, channels and market focus under the selected crisis.</v>
      </c>
      <c r="AT44" s="48" t="str">
        <f>IFERROR(INDEX(_TECH_Initiative_Library!$A$5:$A$76,MATCH(1,INDEX((_TECH_Initiative_Library!$B$5:$B$76=$C44)*(_TECH_Initiative_Library!$C$5:$C$76=$D44),0),0)),"")</f>
        <v>INI-006</v>
      </c>
      <c r="AU44" s="48" t="str">
        <f>IFERROR(INDEX(_TECH_Initiative_Library!$F$5:$F$76,MATCH(1,INDEX((_TECH_Initiative_Library!$B$5:$B$76=$C44)*(_TECH_Initiative_Library!$C$5:$C$76=$D44),0),0)),"")</f>
        <v>Standardize offering architecture and crisis-proof value proposition</v>
      </c>
      <c r="AV44" s="48" t="str">
        <f ca="1">IFERROR(INDEX(_TECH_Initiative_Library!$AC$5:$AC$76,MATCH(1,INDEX((_TECH_Initiative_Library!$B$5:$B$76=$C44)*(_TECH_Initiative_Library!$C$5:$C$76=$D44),0),0)),"")</f>
        <v/>
      </c>
      <c r="AW44" s="48" t="str">
        <f ca="1">IFERROR(INDEX(_TECH_Initiative_Library!$AE$5:$AE$76,MATCH(1,INDEX((_TECH_Initiative_Library!$B$5:$B$76=$C44)*(_TECH_Initiative_Library!$C$5:$C$76=$D44),0),0)),"")</f>
        <v/>
      </c>
      <c r="AX44" s="48" t="str">
        <f>IF($B44="Yes",IFERROR(SUMIFS(_TECH_Industry_Templates!$E:$E,_TECH_Industry_Templates!$A:$A,'Company Profile'!$B$9,_TECH_Industry_Templates!$B:$B,$C44),1),"")</f>
        <v/>
      </c>
      <c r="AY44" s="48" t="str">
        <f t="shared" si="17"/>
        <v/>
      </c>
      <c r="AZ44" s="48" t="str">
        <f t="shared" si="18"/>
        <v/>
      </c>
      <c r="BA44" s="48" t="str">
        <f>IF($AZ44="","",RANK.EQ($AZ44,$AZ$8:$AZ$414,0)+COUNTIF($AZ$8:$AZ44,$AZ44)-1)</f>
        <v/>
      </c>
    </row>
    <row r="45" spans="1:53" ht="69.95" customHeight="1">
      <c r="A45" s="36" t="str">
        <f>IF($AZ45="","",RANK.EQ($AZ45,$AZ$8:$AZ$414,0)+COUNTIF($AZ$8:$AZ45,$AZ45)-1)</f>
        <v/>
      </c>
      <c r="B45" s="36" t="str">
        <f t="shared" si="5"/>
        <v/>
      </c>
      <c r="C45" s="36" t="s">
        <v>57</v>
      </c>
      <c r="D45" s="36" t="s">
        <v>1059</v>
      </c>
      <c r="E45" s="36" t="s">
        <v>2231</v>
      </c>
      <c r="F45" s="36" t="s">
        <v>184</v>
      </c>
      <c r="G45" s="36" t="str">
        <f>IF($H45="","",IFERROR(INDEX('Risk Library'!$H$5:$M$411,MATCH($E45,'Risk Library'!$A$5:$A$411,0),$H45+1),""))</f>
        <v/>
      </c>
      <c r="H45" s="37" t="str">
        <f>IF(OR(COUNTA('Strategy GTM'!$H$22)=0,'Strategy GTM'!$H$22="N/A"),"",VALUE('Strategy GTM'!$H$22))</f>
        <v/>
      </c>
      <c r="I45" s="36" t="str">
        <f>IF($H45="","",IFERROR(IF('Strategy GTM'!$L$22="",IF($H45&lt;=1,"Critical",IF($H45=2,"High",IF($H45=3,"Medium",IF($H45=4,"Low","Resilient")))),'Strategy GTM'!$L$22),IF($H45&lt;=1,"Critical",IF($H45=2,"High",IF($H45=3,"Medium",IF($H45=4,"Low","Resilient"))))))</f>
        <v/>
      </c>
      <c r="J45" s="37" t="str">
        <f t="shared" si="6"/>
        <v/>
      </c>
      <c r="K45" s="37" t="str">
        <f t="shared" si="7"/>
        <v/>
      </c>
      <c r="L45" s="37" t="str">
        <f t="shared" si="8"/>
        <v/>
      </c>
      <c r="M45" s="37" t="str">
        <f t="shared" si="9"/>
        <v/>
      </c>
      <c r="N45" s="37" t="str">
        <f>IF($H45="","",IFERROR(INDEX('Risk Library'!$T$5:$Y$411,MATCH($E45,'Risk Library'!$A$5:$A$411,0),$H45+1),""))</f>
        <v/>
      </c>
      <c r="O45" s="37" t="str">
        <f t="shared" si="10"/>
        <v/>
      </c>
      <c r="P45" s="37" t="str">
        <f t="shared" si="11"/>
        <v/>
      </c>
      <c r="Q45" s="37" t="str">
        <f t="shared" si="12"/>
        <v/>
      </c>
      <c r="R45" s="37" t="str">
        <f t="shared" si="13"/>
        <v/>
      </c>
      <c r="S45" s="38" t="str">
        <f t="shared" si="14"/>
        <v/>
      </c>
      <c r="T45" s="36" t="str">
        <f>IF($H45="","",IFERROR(INDEX('Risk Library'!$N$5:$S$411,MATCH($E45,'Risk Library'!$A$5:$A$411,0),$H45+1),""))</f>
        <v/>
      </c>
      <c r="U45" s="37">
        <f>IFERROR('Strategy GTM'!$G$22,"")</f>
        <v>5</v>
      </c>
      <c r="V45" s="37">
        <f>IFERROR('Strategy GTM'!$W$22,"")</f>
        <v>4</v>
      </c>
      <c r="W45" s="37">
        <f>IFERROR('Strategy GTM'!$X$22,"")</f>
        <v>5</v>
      </c>
      <c r="X45" s="37">
        <f>IFERROR('Strategy GTM'!$Y$22,"")</f>
        <v>5</v>
      </c>
      <c r="Y45" s="36" t="s">
        <v>2068</v>
      </c>
      <c r="Z45" s="36" t="s">
        <v>2069</v>
      </c>
      <c r="AA45" s="36" t="s">
        <v>2233</v>
      </c>
      <c r="AB45" s="36">
        <f>IFERROR('Strategy GTM'!$U$22,"")</f>
        <v>0</v>
      </c>
      <c r="AC45" s="36"/>
      <c r="AD45" s="36"/>
      <c r="AE45" s="36"/>
      <c r="AF45" s="36" t="s">
        <v>2232</v>
      </c>
      <c r="AO45" s="48" t="str">
        <f>IF($B45="Yes",IFERROR(SUMIFS(_TECH_Crisis_Model!$D$5:$D$191,_TECH_Crisis_Model!$A$5:$A$191,'Crisis Simulator'!$B$4,_TECH_Crisis_Model!$B$5:$B$191,$C45),1),"")</f>
        <v/>
      </c>
      <c r="AP45" s="48" t="str">
        <f t="shared" si="15"/>
        <v/>
      </c>
      <c r="AQ45" s="48" t="str">
        <f t="shared" si="16"/>
        <v/>
      </c>
      <c r="AR45" s="48" t="str">
        <f>IFERROR(INDEX(_TECH_Crisis_Model!$E$5:$E$191,MATCH('Crisis Simulator'!$B$4&amp;"|"&amp;$C45,_TECH_Crisis_Model!$I$5:$I$191,0)),"")</f>
        <v>Market positioning, ICP clarity and offer structure determine whether the company can adapt revenue during crisis.</v>
      </c>
      <c r="AS45" s="48" t="str">
        <f>IFERROR(INDEX(_TECH_Crisis_Model!$G$5:$G$191,MATCH('Crisis Simulator'!$B$4&amp;"|"&amp;$C45,_TECH_Crisis_Model!$I$5:$I$191,0)),"")</f>
        <v>Stress-test ICP, offering, pricing, channels and market focus under the selected crisis.</v>
      </c>
      <c r="AT45" s="48" t="str">
        <f>IFERROR(INDEX(_TECH_Initiative_Library!$A$5:$A$76,MATCH(1,INDEX((_TECH_Initiative_Library!$B$5:$B$76=$C45)*(_TECH_Initiative_Library!$C$5:$C$76=$D45),0),0)),"")</f>
        <v>INI-006</v>
      </c>
      <c r="AU45" s="48" t="str">
        <f>IFERROR(INDEX(_TECH_Initiative_Library!$F$5:$F$76,MATCH(1,INDEX((_TECH_Initiative_Library!$B$5:$B$76=$C45)*(_TECH_Initiative_Library!$C$5:$C$76=$D45),0),0)),"")</f>
        <v>Standardize offering architecture and crisis-proof value proposition</v>
      </c>
      <c r="AV45" s="48" t="str">
        <f ca="1">IFERROR(INDEX(_TECH_Initiative_Library!$AC$5:$AC$76,MATCH(1,INDEX((_TECH_Initiative_Library!$B$5:$B$76=$C45)*(_TECH_Initiative_Library!$C$5:$C$76=$D45),0),0)),"")</f>
        <v/>
      </c>
      <c r="AW45" s="48" t="str">
        <f ca="1">IFERROR(INDEX(_TECH_Initiative_Library!$AE$5:$AE$76,MATCH(1,INDEX((_TECH_Initiative_Library!$B$5:$B$76=$C45)*(_TECH_Initiative_Library!$C$5:$C$76=$D45),0),0)),"")</f>
        <v/>
      </c>
      <c r="AX45" s="48" t="str">
        <f>IF($B45="Yes",IFERROR(SUMIFS(_TECH_Industry_Templates!$E:$E,_TECH_Industry_Templates!$A:$A,'Company Profile'!$B$9,_TECH_Industry_Templates!$B:$B,$C45),1),"")</f>
        <v/>
      </c>
      <c r="AY45" s="48" t="str">
        <f t="shared" si="17"/>
        <v/>
      </c>
      <c r="AZ45" s="48" t="str">
        <f t="shared" si="18"/>
        <v/>
      </c>
      <c r="BA45" s="48" t="str">
        <f>IF($AZ45="","",RANK.EQ($AZ45,$AZ$8:$AZ$414,0)+COUNTIF($AZ$8:$AZ45,$AZ45)-1)</f>
        <v/>
      </c>
    </row>
    <row r="46" spans="1:53" ht="69.95" customHeight="1">
      <c r="A46" s="36" t="str">
        <f>IF($AZ46="","",RANK.EQ($AZ46,$AZ$8:$AZ$414,0)+COUNTIF($AZ$8:$AZ46,$AZ46)-1)</f>
        <v/>
      </c>
      <c r="B46" s="36" t="str">
        <f t="shared" si="5"/>
        <v/>
      </c>
      <c r="C46" s="36" t="s">
        <v>57</v>
      </c>
      <c r="D46" s="36" t="s">
        <v>1067</v>
      </c>
      <c r="E46" s="36" t="s">
        <v>2241</v>
      </c>
      <c r="F46" s="36" t="s">
        <v>184</v>
      </c>
      <c r="G46" s="36" t="str">
        <f>IF($H46="","",IFERROR(INDEX('Risk Library'!$H$5:$M$411,MATCH($E46,'Risk Library'!$A$5:$A$411,0),$H46+1),""))</f>
        <v/>
      </c>
      <c r="H46" s="37" t="str">
        <f>IF(OR(COUNTA('Strategy GTM'!$H$23)=0,'Strategy GTM'!$H$23="N/A"),"",VALUE('Strategy GTM'!$H$23))</f>
        <v/>
      </c>
      <c r="I46" s="36" t="str">
        <f>IF($H46="","",IFERROR(IF('Strategy GTM'!$L$23="",IF($H46&lt;=1,"Critical",IF($H46=2,"High",IF($H46=3,"Medium",IF($H46=4,"Low","Resilient")))),'Strategy GTM'!$L$23),IF($H46&lt;=1,"Critical",IF($H46=2,"High",IF($H46=3,"Medium",IF($H46=4,"Low","Resilient"))))))</f>
        <v/>
      </c>
      <c r="J46" s="37" t="str">
        <f t="shared" si="6"/>
        <v/>
      </c>
      <c r="K46" s="37" t="str">
        <f t="shared" si="7"/>
        <v/>
      </c>
      <c r="L46" s="37" t="str">
        <f t="shared" si="8"/>
        <v/>
      </c>
      <c r="M46" s="37" t="str">
        <f t="shared" si="9"/>
        <v/>
      </c>
      <c r="N46" s="37" t="str">
        <f>IF($H46="","",IFERROR(INDEX('Risk Library'!$T$5:$Y$411,MATCH($E46,'Risk Library'!$A$5:$A$411,0),$H46+1),""))</f>
        <v/>
      </c>
      <c r="O46" s="37" t="str">
        <f t="shared" si="10"/>
        <v/>
      </c>
      <c r="P46" s="37" t="str">
        <f t="shared" si="11"/>
        <v/>
      </c>
      <c r="Q46" s="37" t="str">
        <f t="shared" si="12"/>
        <v/>
      </c>
      <c r="R46" s="37" t="str">
        <f t="shared" si="13"/>
        <v/>
      </c>
      <c r="S46" s="38" t="str">
        <f t="shared" si="14"/>
        <v/>
      </c>
      <c r="T46" s="36" t="str">
        <f>IF($H46="","",IFERROR(INDEX('Risk Library'!$N$5:$S$411,MATCH($E46,'Risk Library'!$A$5:$A$411,0),$H46+1),""))</f>
        <v/>
      </c>
      <c r="U46" s="37">
        <f>IFERROR('Strategy GTM'!$G$23,"")</f>
        <v>5</v>
      </c>
      <c r="V46" s="37">
        <f>IFERROR('Strategy GTM'!$W$23,"")</f>
        <v>4</v>
      </c>
      <c r="W46" s="37">
        <f>IFERROR('Strategy GTM'!$X$23,"")</f>
        <v>5</v>
      </c>
      <c r="X46" s="37">
        <f>IFERROR('Strategy GTM'!$Y$23,"")</f>
        <v>5</v>
      </c>
      <c r="Y46" s="36" t="s">
        <v>2068</v>
      </c>
      <c r="Z46" s="36" t="s">
        <v>2069</v>
      </c>
      <c r="AA46" s="36" t="s">
        <v>2243</v>
      </c>
      <c r="AB46" s="36">
        <f>IFERROR('Strategy GTM'!$U$23,"")</f>
        <v>0</v>
      </c>
      <c r="AC46" s="36"/>
      <c r="AD46" s="36"/>
      <c r="AE46" s="36"/>
      <c r="AF46" s="36" t="s">
        <v>2242</v>
      </c>
      <c r="AO46" s="48" t="str">
        <f>IF($B46="Yes",IFERROR(SUMIFS(_TECH_Crisis_Model!$D$5:$D$191,_TECH_Crisis_Model!$A$5:$A$191,'Crisis Simulator'!$B$4,_TECH_Crisis_Model!$B$5:$B$191,$C46),1),"")</f>
        <v/>
      </c>
      <c r="AP46" s="48" t="str">
        <f t="shared" si="15"/>
        <v/>
      </c>
      <c r="AQ46" s="48" t="str">
        <f t="shared" si="16"/>
        <v/>
      </c>
      <c r="AR46" s="48" t="str">
        <f>IFERROR(INDEX(_TECH_Crisis_Model!$E$5:$E$191,MATCH('Crisis Simulator'!$B$4&amp;"|"&amp;$C46,_TECH_Crisis_Model!$I$5:$I$191,0)),"")</f>
        <v>Market positioning, ICP clarity and offer structure determine whether the company can adapt revenue during crisis.</v>
      </c>
      <c r="AS46" s="48" t="str">
        <f>IFERROR(INDEX(_TECH_Crisis_Model!$G$5:$G$191,MATCH('Crisis Simulator'!$B$4&amp;"|"&amp;$C46,_TECH_Crisis_Model!$I$5:$I$191,0)),"")</f>
        <v>Stress-test ICP, offering, pricing, channels and market focus under the selected crisis.</v>
      </c>
      <c r="AT46" s="48" t="str">
        <f>IFERROR(INDEX(_TECH_Initiative_Library!$A$5:$A$76,MATCH(1,INDEX((_TECH_Initiative_Library!$B$5:$B$76=$C46)*(_TECH_Initiative_Library!$C$5:$C$76=$D46),0),0)),"")</f>
        <v>INI-007</v>
      </c>
      <c r="AU46" s="48" t="str">
        <f>IFERROR(INDEX(_TECH_Initiative_Library!$F$5:$F$76,MATCH(1,INDEX((_TECH_Initiative_Library!$B$5:$B$76=$C46)*(_TECH_Initiative_Library!$C$5:$C$76=$D46),0),0)),"")</f>
        <v>Build resilient GTM execution cadence and channel plan</v>
      </c>
      <c r="AV46" s="48" t="str">
        <f ca="1">IFERROR(INDEX(_TECH_Initiative_Library!$AC$5:$AC$76,MATCH(1,INDEX((_TECH_Initiative_Library!$B$5:$B$76=$C46)*(_TECH_Initiative_Library!$C$5:$C$76=$D46),0),0)),"")</f>
        <v/>
      </c>
      <c r="AW46" s="48" t="str">
        <f ca="1">IFERROR(INDEX(_TECH_Initiative_Library!$AE$5:$AE$76,MATCH(1,INDEX((_TECH_Initiative_Library!$B$5:$B$76=$C46)*(_TECH_Initiative_Library!$C$5:$C$76=$D46),0),0)),"")</f>
        <v/>
      </c>
      <c r="AX46" s="48" t="str">
        <f>IF($B46="Yes",IFERROR(SUMIFS(_TECH_Industry_Templates!$E:$E,_TECH_Industry_Templates!$A:$A,'Company Profile'!$B$9,_TECH_Industry_Templates!$B:$B,$C46),1),"")</f>
        <v/>
      </c>
      <c r="AY46" s="48" t="str">
        <f t="shared" si="17"/>
        <v/>
      </c>
      <c r="AZ46" s="48" t="str">
        <f t="shared" si="18"/>
        <v/>
      </c>
      <c r="BA46" s="48" t="str">
        <f>IF($AZ46="","",RANK.EQ($AZ46,$AZ$8:$AZ$414,0)+COUNTIF($AZ$8:$AZ46,$AZ46)-1)</f>
        <v/>
      </c>
    </row>
    <row r="47" spans="1:53" ht="69.95" customHeight="1">
      <c r="A47" s="36" t="str">
        <f>IF($AZ47="","",RANK.EQ($AZ47,$AZ$8:$AZ$414,0)+COUNTIF($AZ$8:$AZ47,$AZ47)-1)</f>
        <v/>
      </c>
      <c r="B47" s="36" t="str">
        <f t="shared" si="5"/>
        <v/>
      </c>
      <c r="C47" s="36" t="s">
        <v>57</v>
      </c>
      <c r="D47" s="36" t="s">
        <v>1067</v>
      </c>
      <c r="E47" s="36" t="s">
        <v>2251</v>
      </c>
      <c r="F47" s="36" t="s">
        <v>184</v>
      </c>
      <c r="G47" s="36" t="str">
        <f>IF($H47="","",IFERROR(INDEX('Risk Library'!$H$5:$M$411,MATCH($E47,'Risk Library'!$A$5:$A$411,0),$H47+1),""))</f>
        <v/>
      </c>
      <c r="H47" s="37" t="str">
        <f>IF(OR(COUNTA('Strategy GTM'!$H$24)=0,'Strategy GTM'!$H$24="N/A"),"",VALUE('Strategy GTM'!$H$24))</f>
        <v/>
      </c>
      <c r="I47" s="36" t="str">
        <f>IF($H47="","",IFERROR(IF('Strategy GTM'!$L$24="",IF($H47&lt;=1,"Critical",IF($H47=2,"High",IF($H47=3,"Medium",IF($H47=4,"Low","Resilient")))),'Strategy GTM'!$L$24),IF($H47&lt;=1,"Critical",IF($H47=2,"High",IF($H47=3,"Medium",IF($H47=4,"Low","Resilient"))))))</f>
        <v/>
      </c>
      <c r="J47" s="37" t="str">
        <f t="shared" si="6"/>
        <v/>
      </c>
      <c r="K47" s="37" t="str">
        <f t="shared" si="7"/>
        <v/>
      </c>
      <c r="L47" s="37" t="str">
        <f t="shared" si="8"/>
        <v/>
      </c>
      <c r="M47" s="37" t="str">
        <f t="shared" si="9"/>
        <v/>
      </c>
      <c r="N47" s="37" t="str">
        <f>IF($H47="","",IFERROR(INDEX('Risk Library'!$T$5:$Y$411,MATCH($E47,'Risk Library'!$A$5:$A$411,0),$H47+1),""))</f>
        <v/>
      </c>
      <c r="O47" s="37" t="str">
        <f t="shared" si="10"/>
        <v/>
      </c>
      <c r="P47" s="37" t="str">
        <f t="shared" si="11"/>
        <v/>
      </c>
      <c r="Q47" s="37" t="str">
        <f t="shared" si="12"/>
        <v/>
      </c>
      <c r="R47" s="37" t="str">
        <f t="shared" si="13"/>
        <v/>
      </c>
      <c r="S47" s="38" t="str">
        <f t="shared" si="14"/>
        <v/>
      </c>
      <c r="T47" s="36" t="str">
        <f>IF($H47="","",IFERROR(INDEX('Risk Library'!$N$5:$S$411,MATCH($E47,'Risk Library'!$A$5:$A$411,0),$H47+1),""))</f>
        <v/>
      </c>
      <c r="U47" s="37">
        <f>IFERROR('Strategy GTM'!$G$24,"")</f>
        <v>4</v>
      </c>
      <c r="V47" s="37">
        <f>IFERROR('Strategy GTM'!$W$24,"")</f>
        <v>5</v>
      </c>
      <c r="W47" s="37">
        <f>IFERROR('Strategy GTM'!$X$24,"")</f>
        <v>5</v>
      </c>
      <c r="X47" s="37">
        <f>IFERROR('Strategy GTM'!$Y$24,"")</f>
        <v>5</v>
      </c>
      <c r="Y47" s="36" t="s">
        <v>2068</v>
      </c>
      <c r="Z47" s="36" t="s">
        <v>2069</v>
      </c>
      <c r="AA47" s="36" t="s">
        <v>2253</v>
      </c>
      <c r="AB47" s="36">
        <f>IFERROR('Strategy GTM'!$U$24,"")</f>
        <v>0</v>
      </c>
      <c r="AC47" s="36"/>
      <c r="AD47" s="36"/>
      <c r="AE47" s="36"/>
      <c r="AF47" s="36" t="s">
        <v>2252</v>
      </c>
      <c r="AO47" s="48" t="str">
        <f>IF($B47="Yes",IFERROR(SUMIFS(_TECH_Crisis_Model!$D$5:$D$191,_TECH_Crisis_Model!$A$5:$A$191,'Crisis Simulator'!$B$4,_TECH_Crisis_Model!$B$5:$B$191,$C47),1),"")</f>
        <v/>
      </c>
      <c r="AP47" s="48" t="str">
        <f t="shared" si="15"/>
        <v/>
      </c>
      <c r="AQ47" s="48" t="str">
        <f t="shared" si="16"/>
        <v/>
      </c>
      <c r="AR47" s="48" t="str">
        <f>IFERROR(INDEX(_TECH_Crisis_Model!$E$5:$E$191,MATCH('Crisis Simulator'!$B$4&amp;"|"&amp;$C47,_TECH_Crisis_Model!$I$5:$I$191,0)),"")</f>
        <v>Market positioning, ICP clarity and offer structure determine whether the company can adapt revenue during crisis.</v>
      </c>
      <c r="AS47" s="48" t="str">
        <f>IFERROR(INDEX(_TECH_Crisis_Model!$G$5:$G$191,MATCH('Crisis Simulator'!$B$4&amp;"|"&amp;$C47,_TECH_Crisis_Model!$I$5:$I$191,0)),"")</f>
        <v>Stress-test ICP, offering, pricing, channels and market focus under the selected crisis.</v>
      </c>
      <c r="AT47" s="48" t="str">
        <f>IFERROR(INDEX(_TECH_Initiative_Library!$A$5:$A$76,MATCH(1,INDEX((_TECH_Initiative_Library!$B$5:$B$76=$C47)*(_TECH_Initiative_Library!$C$5:$C$76=$D47),0),0)),"")</f>
        <v>INI-007</v>
      </c>
      <c r="AU47" s="48" t="str">
        <f>IFERROR(INDEX(_TECH_Initiative_Library!$F$5:$F$76,MATCH(1,INDEX((_TECH_Initiative_Library!$B$5:$B$76=$C47)*(_TECH_Initiative_Library!$C$5:$C$76=$D47),0),0)),"")</f>
        <v>Build resilient GTM execution cadence and channel plan</v>
      </c>
      <c r="AV47" s="48" t="str">
        <f ca="1">IFERROR(INDEX(_TECH_Initiative_Library!$AC$5:$AC$76,MATCH(1,INDEX((_TECH_Initiative_Library!$B$5:$B$76=$C47)*(_TECH_Initiative_Library!$C$5:$C$76=$D47),0),0)),"")</f>
        <v/>
      </c>
      <c r="AW47" s="48" t="str">
        <f ca="1">IFERROR(INDEX(_TECH_Initiative_Library!$AE$5:$AE$76,MATCH(1,INDEX((_TECH_Initiative_Library!$B$5:$B$76=$C47)*(_TECH_Initiative_Library!$C$5:$C$76=$D47),0),0)),"")</f>
        <v/>
      </c>
      <c r="AX47" s="48" t="str">
        <f>IF($B47="Yes",IFERROR(SUMIFS(_TECH_Industry_Templates!$E:$E,_TECH_Industry_Templates!$A:$A,'Company Profile'!$B$9,_TECH_Industry_Templates!$B:$B,$C47),1),"")</f>
        <v/>
      </c>
      <c r="AY47" s="48" t="str">
        <f t="shared" si="17"/>
        <v/>
      </c>
      <c r="AZ47" s="48" t="str">
        <f t="shared" si="18"/>
        <v/>
      </c>
      <c r="BA47" s="48" t="str">
        <f>IF($AZ47="","",RANK.EQ($AZ47,$AZ$8:$AZ$414,0)+COUNTIF($AZ$8:$AZ47,$AZ47)-1)</f>
        <v/>
      </c>
    </row>
    <row r="48" spans="1:53" ht="69.95" customHeight="1">
      <c r="A48" s="36" t="str">
        <f>IF($AZ48="","",RANK.EQ($AZ48,$AZ$8:$AZ$414,0)+COUNTIF($AZ$8:$AZ48,$AZ48)-1)</f>
        <v/>
      </c>
      <c r="B48" s="36" t="str">
        <f t="shared" si="5"/>
        <v/>
      </c>
      <c r="C48" s="36" t="s">
        <v>57</v>
      </c>
      <c r="D48" s="36" t="s">
        <v>1067</v>
      </c>
      <c r="E48" s="36" t="s">
        <v>2261</v>
      </c>
      <c r="F48" s="36" t="s">
        <v>184</v>
      </c>
      <c r="G48" s="36" t="str">
        <f>IF($H48="","",IFERROR(INDEX('Risk Library'!$H$5:$M$411,MATCH($E48,'Risk Library'!$A$5:$A$411,0),$H48+1),""))</f>
        <v/>
      </c>
      <c r="H48" s="37" t="str">
        <f>IF(OR(COUNTA('Strategy GTM'!$H$25)=0,'Strategy GTM'!$H$25="N/A"),"",VALUE('Strategy GTM'!$H$25))</f>
        <v/>
      </c>
      <c r="I48" s="36" t="str">
        <f>IF($H48="","",IFERROR(IF('Strategy GTM'!$L$25="",IF($H48&lt;=1,"Critical",IF($H48=2,"High",IF($H48=3,"Medium",IF($H48=4,"Low","Resilient")))),'Strategy GTM'!$L$25),IF($H48&lt;=1,"Critical",IF($H48=2,"High",IF($H48=3,"Medium",IF($H48=4,"Low","Resilient"))))))</f>
        <v/>
      </c>
      <c r="J48" s="37" t="str">
        <f t="shared" si="6"/>
        <v/>
      </c>
      <c r="K48" s="37" t="str">
        <f t="shared" si="7"/>
        <v/>
      </c>
      <c r="L48" s="37" t="str">
        <f t="shared" si="8"/>
        <v/>
      </c>
      <c r="M48" s="37" t="str">
        <f t="shared" si="9"/>
        <v/>
      </c>
      <c r="N48" s="37" t="str">
        <f>IF($H48="","",IFERROR(INDEX('Risk Library'!$T$5:$Y$411,MATCH($E48,'Risk Library'!$A$5:$A$411,0),$H48+1),""))</f>
        <v/>
      </c>
      <c r="O48" s="37" t="str">
        <f t="shared" si="10"/>
        <v/>
      </c>
      <c r="P48" s="37" t="str">
        <f t="shared" si="11"/>
        <v/>
      </c>
      <c r="Q48" s="37" t="str">
        <f t="shared" si="12"/>
        <v/>
      </c>
      <c r="R48" s="37" t="str">
        <f t="shared" si="13"/>
        <v/>
      </c>
      <c r="S48" s="38" t="str">
        <f t="shared" si="14"/>
        <v/>
      </c>
      <c r="T48" s="36" t="str">
        <f>IF($H48="","",IFERROR(INDEX('Risk Library'!$N$5:$S$411,MATCH($E48,'Risk Library'!$A$5:$A$411,0),$H48+1),""))</f>
        <v/>
      </c>
      <c r="U48" s="37">
        <f>IFERROR('Strategy GTM'!$G$25,"")</f>
        <v>4</v>
      </c>
      <c r="V48" s="37">
        <f>IFERROR('Strategy GTM'!$W$25,"")</f>
        <v>4</v>
      </c>
      <c r="W48" s="37">
        <f>IFERROR('Strategy GTM'!$X$25,"")</f>
        <v>5</v>
      </c>
      <c r="X48" s="37">
        <f>IFERROR('Strategy GTM'!$Y$25,"")</f>
        <v>5</v>
      </c>
      <c r="Y48" s="36" t="s">
        <v>2068</v>
      </c>
      <c r="Z48" s="36" t="s">
        <v>2069</v>
      </c>
      <c r="AA48" s="36" t="s">
        <v>2263</v>
      </c>
      <c r="AB48" s="36">
        <f>IFERROR('Strategy GTM'!$U$25,"")</f>
        <v>0</v>
      </c>
      <c r="AC48" s="36"/>
      <c r="AD48" s="36"/>
      <c r="AE48" s="36"/>
      <c r="AF48" s="36" t="s">
        <v>2262</v>
      </c>
      <c r="AO48" s="48" t="str">
        <f>IF($B48="Yes",IFERROR(SUMIFS(_TECH_Crisis_Model!$D$5:$D$191,_TECH_Crisis_Model!$A$5:$A$191,'Crisis Simulator'!$B$4,_TECH_Crisis_Model!$B$5:$B$191,$C48),1),"")</f>
        <v/>
      </c>
      <c r="AP48" s="48" t="str">
        <f t="shared" si="15"/>
        <v/>
      </c>
      <c r="AQ48" s="48" t="str">
        <f t="shared" si="16"/>
        <v/>
      </c>
      <c r="AR48" s="48" t="str">
        <f>IFERROR(INDEX(_TECH_Crisis_Model!$E$5:$E$191,MATCH('Crisis Simulator'!$B$4&amp;"|"&amp;$C48,_TECH_Crisis_Model!$I$5:$I$191,0)),"")</f>
        <v>Market positioning, ICP clarity and offer structure determine whether the company can adapt revenue during crisis.</v>
      </c>
      <c r="AS48" s="48" t="str">
        <f>IFERROR(INDEX(_TECH_Crisis_Model!$G$5:$G$191,MATCH('Crisis Simulator'!$B$4&amp;"|"&amp;$C48,_TECH_Crisis_Model!$I$5:$I$191,0)),"")</f>
        <v>Stress-test ICP, offering, pricing, channels and market focus under the selected crisis.</v>
      </c>
      <c r="AT48" s="48" t="str">
        <f>IFERROR(INDEX(_TECH_Initiative_Library!$A$5:$A$76,MATCH(1,INDEX((_TECH_Initiative_Library!$B$5:$B$76=$C48)*(_TECH_Initiative_Library!$C$5:$C$76=$D48),0),0)),"")</f>
        <v>INI-007</v>
      </c>
      <c r="AU48" s="48" t="str">
        <f>IFERROR(INDEX(_TECH_Initiative_Library!$F$5:$F$76,MATCH(1,INDEX((_TECH_Initiative_Library!$B$5:$B$76=$C48)*(_TECH_Initiative_Library!$C$5:$C$76=$D48),0),0)),"")</f>
        <v>Build resilient GTM execution cadence and channel plan</v>
      </c>
      <c r="AV48" s="48" t="str">
        <f ca="1">IFERROR(INDEX(_TECH_Initiative_Library!$AC$5:$AC$76,MATCH(1,INDEX((_TECH_Initiative_Library!$B$5:$B$76=$C48)*(_TECH_Initiative_Library!$C$5:$C$76=$D48),0),0)),"")</f>
        <v/>
      </c>
      <c r="AW48" s="48" t="str">
        <f ca="1">IFERROR(INDEX(_TECH_Initiative_Library!$AE$5:$AE$76,MATCH(1,INDEX((_TECH_Initiative_Library!$B$5:$B$76=$C48)*(_TECH_Initiative_Library!$C$5:$C$76=$D48),0),0)),"")</f>
        <v/>
      </c>
      <c r="AX48" s="48" t="str">
        <f>IF($B48="Yes",IFERROR(SUMIFS(_TECH_Industry_Templates!$E:$E,_TECH_Industry_Templates!$A:$A,'Company Profile'!$B$9,_TECH_Industry_Templates!$B:$B,$C48),1),"")</f>
        <v/>
      </c>
      <c r="AY48" s="48" t="str">
        <f t="shared" si="17"/>
        <v/>
      </c>
      <c r="AZ48" s="48" t="str">
        <f t="shared" si="18"/>
        <v/>
      </c>
      <c r="BA48" s="48" t="str">
        <f>IF($AZ48="","",RANK.EQ($AZ48,$AZ$8:$AZ$414,0)+COUNTIF($AZ$8:$AZ48,$AZ48)-1)</f>
        <v/>
      </c>
    </row>
    <row r="49" spans="1:53" ht="69.95" customHeight="1">
      <c r="A49" s="36" t="str">
        <f>IF($AZ49="","",RANK.EQ($AZ49,$AZ$8:$AZ$414,0)+COUNTIF($AZ$8:$AZ49,$AZ49)-1)</f>
        <v/>
      </c>
      <c r="B49" s="36" t="str">
        <f t="shared" si="5"/>
        <v/>
      </c>
      <c r="C49" s="36" t="s">
        <v>57</v>
      </c>
      <c r="D49" s="36" t="s">
        <v>1067</v>
      </c>
      <c r="E49" s="36" t="s">
        <v>2271</v>
      </c>
      <c r="F49" s="36" t="s">
        <v>184</v>
      </c>
      <c r="G49" s="36" t="str">
        <f>IF($H49="","",IFERROR(INDEX('Risk Library'!$H$5:$M$411,MATCH($E49,'Risk Library'!$A$5:$A$411,0),$H49+1),""))</f>
        <v/>
      </c>
      <c r="H49" s="37" t="str">
        <f>IF(OR(COUNTA('Strategy GTM'!$H$26)=0,'Strategy GTM'!$H$26="N/A"),"",VALUE('Strategy GTM'!$H$26))</f>
        <v/>
      </c>
      <c r="I49" s="36" t="str">
        <f>IF($H49="","",IFERROR(IF('Strategy GTM'!$L$26="",IF($H49&lt;=1,"Critical",IF($H49=2,"High",IF($H49=3,"Medium",IF($H49=4,"Low","Resilient")))),'Strategy GTM'!$L$26),IF($H49&lt;=1,"Critical",IF($H49=2,"High",IF($H49=3,"Medium",IF($H49=4,"Low","Resilient"))))))</f>
        <v/>
      </c>
      <c r="J49" s="37" t="str">
        <f t="shared" si="6"/>
        <v/>
      </c>
      <c r="K49" s="37" t="str">
        <f t="shared" si="7"/>
        <v/>
      </c>
      <c r="L49" s="37" t="str">
        <f t="shared" si="8"/>
        <v/>
      </c>
      <c r="M49" s="37" t="str">
        <f t="shared" si="9"/>
        <v/>
      </c>
      <c r="N49" s="37" t="str">
        <f>IF($H49="","",IFERROR(INDEX('Risk Library'!$T$5:$Y$411,MATCH($E49,'Risk Library'!$A$5:$A$411,0),$H49+1),""))</f>
        <v/>
      </c>
      <c r="O49" s="37" t="str">
        <f t="shared" si="10"/>
        <v/>
      </c>
      <c r="P49" s="37" t="str">
        <f t="shared" si="11"/>
        <v/>
      </c>
      <c r="Q49" s="37" t="str">
        <f t="shared" si="12"/>
        <v/>
      </c>
      <c r="R49" s="37" t="str">
        <f t="shared" si="13"/>
        <v/>
      </c>
      <c r="S49" s="38" t="str">
        <f t="shared" si="14"/>
        <v/>
      </c>
      <c r="T49" s="36" t="str">
        <f>IF($H49="","",IFERROR(INDEX('Risk Library'!$N$5:$S$411,MATCH($E49,'Risk Library'!$A$5:$A$411,0),$H49+1),""))</f>
        <v/>
      </c>
      <c r="U49" s="37">
        <f>IFERROR('Strategy GTM'!$G$26,"")</f>
        <v>5</v>
      </c>
      <c r="V49" s="37">
        <f>IFERROR('Strategy GTM'!$W$26,"")</f>
        <v>4</v>
      </c>
      <c r="W49" s="37">
        <f>IFERROR('Strategy GTM'!$X$26,"")</f>
        <v>5</v>
      </c>
      <c r="X49" s="37">
        <f>IFERROR('Strategy GTM'!$Y$26,"")</f>
        <v>5</v>
      </c>
      <c r="Y49" s="36" t="s">
        <v>2068</v>
      </c>
      <c r="Z49" s="36" t="s">
        <v>2069</v>
      </c>
      <c r="AA49" s="36" t="s">
        <v>2273</v>
      </c>
      <c r="AB49" s="36">
        <f>IFERROR('Strategy GTM'!$U$26,"")</f>
        <v>0</v>
      </c>
      <c r="AC49" s="36"/>
      <c r="AD49" s="36"/>
      <c r="AE49" s="36"/>
      <c r="AF49" s="36" t="s">
        <v>2272</v>
      </c>
      <c r="AO49" s="48" t="str">
        <f>IF($B49="Yes",IFERROR(SUMIFS(_TECH_Crisis_Model!$D$5:$D$191,_TECH_Crisis_Model!$A$5:$A$191,'Crisis Simulator'!$B$4,_TECH_Crisis_Model!$B$5:$B$191,$C49),1),"")</f>
        <v/>
      </c>
      <c r="AP49" s="48" t="str">
        <f t="shared" si="15"/>
        <v/>
      </c>
      <c r="AQ49" s="48" t="str">
        <f t="shared" si="16"/>
        <v/>
      </c>
      <c r="AR49" s="48" t="str">
        <f>IFERROR(INDEX(_TECH_Crisis_Model!$E$5:$E$191,MATCH('Crisis Simulator'!$B$4&amp;"|"&amp;$C49,_TECH_Crisis_Model!$I$5:$I$191,0)),"")</f>
        <v>Market positioning, ICP clarity and offer structure determine whether the company can adapt revenue during crisis.</v>
      </c>
      <c r="AS49" s="48" t="str">
        <f>IFERROR(INDEX(_TECH_Crisis_Model!$G$5:$G$191,MATCH('Crisis Simulator'!$B$4&amp;"|"&amp;$C49,_TECH_Crisis_Model!$I$5:$I$191,0)),"")</f>
        <v>Stress-test ICP, offering, pricing, channels and market focus under the selected crisis.</v>
      </c>
      <c r="AT49" s="48" t="str">
        <f>IFERROR(INDEX(_TECH_Initiative_Library!$A$5:$A$76,MATCH(1,INDEX((_TECH_Initiative_Library!$B$5:$B$76=$C49)*(_TECH_Initiative_Library!$C$5:$C$76=$D49),0),0)),"")</f>
        <v>INI-007</v>
      </c>
      <c r="AU49" s="48" t="str">
        <f>IFERROR(INDEX(_TECH_Initiative_Library!$F$5:$F$76,MATCH(1,INDEX((_TECH_Initiative_Library!$B$5:$B$76=$C49)*(_TECH_Initiative_Library!$C$5:$C$76=$D49),0),0)),"")</f>
        <v>Build resilient GTM execution cadence and channel plan</v>
      </c>
      <c r="AV49" s="48" t="str">
        <f ca="1">IFERROR(INDEX(_TECH_Initiative_Library!$AC$5:$AC$76,MATCH(1,INDEX((_TECH_Initiative_Library!$B$5:$B$76=$C49)*(_TECH_Initiative_Library!$C$5:$C$76=$D49),0),0)),"")</f>
        <v/>
      </c>
      <c r="AW49" s="48" t="str">
        <f ca="1">IFERROR(INDEX(_TECH_Initiative_Library!$AE$5:$AE$76,MATCH(1,INDEX((_TECH_Initiative_Library!$B$5:$B$76=$C49)*(_TECH_Initiative_Library!$C$5:$C$76=$D49),0),0)),"")</f>
        <v/>
      </c>
      <c r="AX49" s="48" t="str">
        <f>IF($B49="Yes",IFERROR(SUMIFS(_TECH_Industry_Templates!$E:$E,_TECH_Industry_Templates!$A:$A,'Company Profile'!$B$9,_TECH_Industry_Templates!$B:$B,$C49),1),"")</f>
        <v/>
      </c>
      <c r="AY49" s="48" t="str">
        <f t="shared" si="17"/>
        <v/>
      </c>
      <c r="AZ49" s="48" t="str">
        <f t="shared" si="18"/>
        <v/>
      </c>
      <c r="BA49" s="48" t="str">
        <f>IF($AZ49="","",RANK.EQ($AZ49,$AZ$8:$AZ$414,0)+COUNTIF($AZ$8:$AZ49,$AZ49)-1)</f>
        <v/>
      </c>
    </row>
    <row r="50" spans="1:53" ht="69.95" customHeight="1">
      <c r="A50" s="36" t="str">
        <f>IF($AZ50="","",RANK.EQ($AZ50,$AZ$8:$AZ$414,0)+COUNTIF($AZ$8:$AZ50,$AZ50)-1)</f>
        <v/>
      </c>
      <c r="B50" s="36" t="str">
        <f t="shared" si="5"/>
        <v/>
      </c>
      <c r="C50" s="36" t="s">
        <v>57</v>
      </c>
      <c r="D50" s="36" t="s">
        <v>1067</v>
      </c>
      <c r="E50" s="36" t="s">
        <v>2281</v>
      </c>
      <c r="F50" s="36" t="s">
        <v>184</v>
      </c>
      <c r="G50" s="36" t="str">
        <f>IF($H50="","",IFERROR(INDEX('Risk Library'!$H$5:$M$411,MATCH($E50,'Risk Library'!$A$5:$A$411,0),$H50+1),""))</f>
        <v/>
      </c>
      <c r="H50" s="37" t="str">
        <f>IF(OR(COUNTA('Strategy GTM'!$H$27)=0,'Strategy GTM'!$H$27="N/A"),"",VALUE('Strategy GTM'!$H$27))</f>
        <v/>
      </c>
      <c r="I50" s="36" t="str">
        <f>IF($H50="","",IFERROR(IF('Strategy GTM'!$L$27="",IF($H50&lt;=1,"Critical",IF($H50=2,"High",IF($H50=3,"Medium",IF($H50=4,"Low","Resilient")))),'Strategy GTM'!$L$27),IF($H50&lt;=1,"Critical",IF($H50=2,"High",IF($H50=3,"Medium",IF($H50=4,"Low","Resilient"))))))</f>
        <v/>
      </c>
      <c r="J50" s="37" t="str">
        <f t="shared" si="6"/>
        <v/>
      </c>
      <c r="K50" s="37" t="str">
        <f t="shared" si="7"/>
        <v/>
      </c>
      <c r="L50" s="37" t="str">
        <f t="shared" si="8"/>
        <v/>
      </c>
      <c r="M50" s="37" t="str">
        <f t="shared" si="9"/>
        <v/>
      </c>
      <c r="N50" s="37" t="str">
        <f>IF($H50="","",IFERROR(INDEX('Risk Library'!$T$5:$Y$411,MATCH($E50,'Risk Library'!$A$5:$A$411,0),$H50+1),""))</f>
        <v/>
      </c>
      <c r="O50" s="37" t="str">
        <f t="shared" si="10"/>
        <v/>
      </c>
      <c r="P50" s="37" t="str">
        <f t="shared" si="11"/>
        <v/>
      </c>
      <c r="Q50" s="37" t="str">
        <f t="shared" si="12"/>
        <v/>
      </c>
      <c r="R50" s="37" t="str">
        <f t="shared" si="13"/>
        <v/>
      </c>
      <c r="S50" s="38" t="str">
        <f t="shared" si="14"/>
        <v/>
      </c>
      <c r="T50" s="36" t="str">
        <f>IF($H50="","",IFERROR(INDEX('Risk Library'!$N$5:$S$411,MATCH($E50,'Risk Library'!$A$5:$A$411,0),$H50+1),""))</f>
        <v/>
      </c>
      <c r="U50" s="37">
        <f>IFERROR('Strategy GTM'!$G$27,"")</f>
        <v>4</v>
      </c>
      <c r="V50" s="37">
        <f>IFERROR('Strategy GTM'!$W$27,"")</f>
        <v>4</v>
      </c>
      <c r="W50" s="37">
        <f>IFERROR('Strategy GTM'!$X$27,"")</f>
        <v>5</v>
      </c>
      <c r="X50" s="37">
        <f>IFERROR('Strategy GTM'!$Y$27,"")</f>
        <v>5</v>
      </c>
      <c r="Y50" s="36" t="s">
        <v>2068</v>
      </c>
      <c r="Z50" s="36" t="s">
        <v>2069</v>
      </c>
      <c r="AA50" s="36" t="s">
        <v>2283</v>
      </c>
      <c r="AB50" s="36">
        <f>IFERROR('Strategy GTM'!$U$27,"")</f>
        <v>0</v>
      </c>
      <c r="AC50" s="36"/>
      <c r="AD50" s="36"/>
      <c r="AE50" s="36"/>
      <c r="AF50" s="36" t="s">
        <v>2282</v>
      </c>
      <c r="AO50" s="48" t="str">
        <f>IF($B50="Yes",IFERROR(SUMIFS(_TECH_Crisis_Model!$D$5:$D$191,_TECH_Crisis_Model!$A$5:$A$191,'Crisis Simulator'!$B$4,_TECH_Crisis_Model!$B$5:$B$191,$C50),1),"")</f>
        <v/>
      </c>
      <c r="AP50" s="48" t="str">
        <f t="shared" si="15"/>
        <v/>
      </c>
      <c r="AQ50" s="48" t="str">
        <f t="shared" si="16"/>
        <v/>
      </c>
      <c r="AR50" s="48" t="str">
        <f>IFERROR(INDEX(_TECH_Crisis_Model!$E$5:$E$191,MATCH('Crisis Simulator'!$B$4&amp;"|"&amp;$C50,_TECH_Crisis_Model!$I$5:$I$191,0)),"")</f>
        <v>Market positioning, ICP clarity and offer structure determine whether the company can adapt revenue during crisis.</v>
      </c>
      <c r="AS50" s="48" t="str">
        <f>IFERROR(INDEX(_TECH_Crisis_Model!$G$5:$G$191,MATCH('Crisis Simulator'!$B$4&amp;"|"&amp;$C50,_TECH_Crisis_Model!$I$5:$I$191,0)),"")</f>
        <v>Stress-test ICP, offering, pricing, channels and market focus under the selected crisis.</v>
      </c>
      <c r="AT50" s="48" t="str">
        <f>IFERROR(INDEX(_TECH_Initiative_Library!$A$5:$A$76,MATCH(1,INDEX((_TECH_Initiative_Library!$B$5:$B$76=$C50)*(_TECH_Initiative_Library!$C$5:$C$76=$D50),0),0)),"")</f>
        <v>INI-007</v>
      </c>
      <c r="AU50" s="48" t="str">
        <f>IFERROR(INDEX(_TECH_Initiative_Library!$F$5:$F$76,MATCH(1,INDEX((_TECH_Initiative_Library!$B$5:$B$76=$C50)*(_TECH_Initiative_Library!$C$5:$C$76=$D50),0),0)),"")</f>
        <v>Build resilient GTM execution cadence and channel plan</v>
      </c>
      <c r="AV50" s="48" t="str">
        <f ca="1">IFERROR(INDEX(_TECH_Initiative_Library!$AC$5:$AC$76,MATCH(1,INDEX((_TECH_Initiative_Library!$B$5:$B$76=$C50)*(_TECH_Initiative_Library!$C$5:$C$76=$D50),0),0)),"")</f>
        <v/>
      </c>
      <c r="AW50" s="48" t="str">
        <f ca="1">IFERROR(INDEX(_TECH_Initiative_Library!$AE$5:$AE$76,MATCH(1,INDEX((_TECH_Initiative_Library!$B$5:$B$76=$C50)*(_TECH_Initiative_Library!$C$5:$C$76=$D50),0),0)),"")</f>
        <v/>
      </c>
      <c r="AX50" s="48" t="str">
        <f>IF($B50="Yes",IFERROR(SUMIFS(_TECH_Industry_Templates!$E:$E,_TECH_Industry_Templates!$A:$A,'Company Profile'!$B$9,_TECH_Industry_Templates!$B:$B,$C50),1),"")</f>
        <v/>
      </c>
      <c r="AY50" s="48" t="str">
        <f t="shared" si="17"/>
        <v/>
      </c>
      <c r="AZ50" s="48" t="str">
        <f t="shared" si="18"/>
        <v/>
      </c>
      <c r="BA50" s="48" t="str">
        <f>IF($AZ50="","",RANK.EQ($AZ50,$AZ$8:$AZ$414,0)+COUNTIF($AZ$8:$AZ50,$AZ50)-1)</f>
        <v/>
      </c>
    </row>
    <row r="51" spans="1:53" ht="69.95" customHeight="1">
      <c r="A51" s="36" t="str">
        <f>IF($AZ51="","",RANK.EQ($AZ51,$AZ$8:$AZ$414,0)+COUNTIF($AZ$8:$AZ51,$AZ51)-1)</f>
        <v/>
      </c>
      <c r="B51" s="36" t="str">
        <f t="shared" si="5"/>
        <v/>
      </c>
      <c r="C51" s="36" t="s">
        <v>57</v>
      </c>
      <c r="D51" s="36" t="s">
        <v>1067</v>
      </c>
      <c r="E51" s="36" t="s">
        <v>2291</v>
      </c>
      <c r="F51" s="36" t="s">
        <v>184</v>
      </c>
      <c r="G51" s="36" t="str">
        <f>IF($H51="","",IFERROR(INDEX('Risk Library'!$H$5:$M$411,MATCH($E51,'Risk Library'!$A$5:$A$411,0),$H51+1),""))</f>
        <v/>
      </c>
      <c r="H51" s="37" t="str">
        <f>IF(OR(COUNTA('Strategy GTM'!$H$28)=0,'Strategy GTM'!$H$28="N/A"),"",VALUE('Strategy GTM'!$H$28))</f>
        <v/>
      </c>
      <c r="I51" s="36" t="str">
        <f>IF($H51="","",IFERROR(IF('Strategy GTM'!$L$28="",IF($H51&lt;=1,"Critical",IF($H51=2,"High",IF($H51=3,"Medium",IF($H51=4,"Low","Resilient")))),'Strategy GTM'!$L$28),IF($H51&lt;=1,"Critical",IF($H51=2,"High",IF($H51=3,"Medium",IF($H51=4,"Low","Resilient"))))))</f>
        <v/>
      </c>
      <c r="J51" s="37" t="str">
        <f t="shared" si="6"/>
        <v/>
      </c>
      <c r="K51" s="37" t="str">
        <f t="shared" si="7"/>
        <v/>
      </c>
      <c r="L51" s="37" t="str">
        <f t="shared" si="8"/>
        <v/>
      </c>
      <c r="M51" s="37" t="str">
        <f t="shared" si="9"/>
        <v/>
      </c>
      <c r="N51" s="37" t="str">
        <f>IF($H51="","",IFERROR(INDEX('Risk Library'!$T$5:$Y$411,MATCH($E51,'Risk Library'!$A$5:$A$411,0),$H51+1),""))</f>
        <v/>
      </c>
      <c r="O51" s="37" t="str">
        <f t="shared" si="10"/>
        <v/>
      </c>
      <c r="P51" s="37" t="str">
        <f t="shared" si="11"/>
        <v/>
      </c>
      <c r="Q51" s="37" t="str">
        <f t="shared" si="12"/>
        <v/>
      </c>
      <c r="R51" s="37" t="str">
        <f t="shared" si="13"/>
        <v/>
      </c>
      <c r="S51" s="38" t="str">
        <f t="shared" si="14"/>
        <v/>
      </c>
      <c r="T51" s="36" t="str">
        <f>IF($H51="","",IFERROR(INDEX('Risk Library'!$N$5:$S$411,MATCH($E51,'Risk Library'!$A$5:$A$411,0),$H51+1),""))</f>
        <v/>
      </c>
      <c r="U51" s="37">
        <f>IFERROR('Strategy GTM'!$G$28,"")</f>
        <v>4</v>
      </c>
      <c r="V51" s="37">
        <f>IFERROR('Strategy GTM'!$W$28,"")</f>
        <v>4</v>
      </c>
      <c r="W51" s="37">
        <f>IFERROR('Strategy GTM'!$X$28,"")</f>
        <v>5</v>
      </c>
      <c r="X51" s="37">
        <f>IFERROR('Strategy GTM'!$Y$28,"")</f>
        <v>5</v>
      </c>
      <c r="Y51" s="36" t="s">
        <v>2068</v>
      </c>
      <c r="Z51" s="36" t="s">
        <v>2069</v>
      </c>
      <c r="AA51" s="36" t="s">
        <v>2293</v>
      </c>
      <c r="AB51" s="36">
        <f>IFERROR('Strategy GTM'!$U$28,"")</f>
        <v>0</v>
      </c>
      <c r="AC51" s="36"/>
      <c r="AD51" s="36"/>
      <c r="AE51" s="36"/>
      <c r="AF51" s="36" t="s">
        <v>2292</v>
      </c>
      <c r="AO51" s="48" t="str">
        <f>IF($B51="Yes",IFERROR(SUMIFS(_TECH_Crisis_Model!$D$5:$D$191,_TECH_Crisis_Model!$A$5:$A$191,'Crisis Simulator'!$B$4,_TECH_Crisis_Model!$B$5:$B$191,$C51),1),"")</f>
        <v/>
      </c>
      <c r="AP51" s="48" t="str">
        <f t="shared" si="15"/>
        <v/>
      </c>
      <c r="AQ51" s="48" t="str">
        <f t="shared" si="16"/>
        <v/>
      </c>
      <c r="AR51" s="48" t="str">
        <f>IFERROR(INDEX(_TECH_Crisis_Model!$E$5:$E$191,MATCH('Crisis Simulator'!$B$4&amp;"|"&amp;$C51,_TECH_Crisis_Model!$I$5:$I$191,0)),"")</f>
        <v>Market positioning, ICP clarity and offer structure determine whether the company can adapt revenue during crisis.</v>
      </c>
      <c r="AS51" s="48" t="str">
        <f>IFERROR(INDEX(_TECH_Crisis_Model!$G$5:$G$191,MATCH('Crisis Simulator'!$B$4&amp;"|"&amp;$C51,_TECH_Crisis_Model!$I$5:$I$191,0)),"")</f>
        <v>Stress-test ICP, offering, pricing, channels and market focus under the selected crisis.</v>
      </c>
      <c r="AT51" s="48" t="str">
        <f>IFERROR(INDEX(_TECH_Initiative_Library!$A$5:$A$76,MATCH(1,INDEX((_TECH_Initiative_Library!$B$5:$B$76=$C51)*(_TECH_Initiative_Library!$C$5:$C$76=$D51),0),0)),"")</f>
        <v>INI-007</v>
      </c>
      <c r="AU51" s="48" t="str">
        <f>IFERROR(INDEX(_TECH_Initiative_Library!$F$5:$F$76,MATCH(1,INDEX((_TECH_Initiative_Library!$B$5:$B$76=$C51)*(_TECH_Initiative_Library!$C$5:$C$76=$D51),0),0)),"")</f>
        <v>Build resilient GTM execution cadence and channel plan</v>
      </c>
      <c r="AV51" s="48" t="str">
        <f ca="1">IFERROR(INDEX(_TECH_Initiative_Library!$AC$5:$AC$76,MATCH(1,INDEX((_TECH_Initiative_Library!$B$5:$B$76=$C51)*(_TECH_Initiative_Library!$C$5:$C$76=$D51),0),0)),"")</f>
        <v/>
      </c>
      <c r="AW51" s="48" t="str">
        <f ca="1">IFERROR(INDEX(_TECH_Initiative_Library!$AE$5:$AE$76,MATCH(1,INDEX((_TECH_Initiative_Library!$B$5:$B$76=$C51)*(_TECH_Initiative_Library!$C$5:$C$76=$D51),0),0)),"")</f>
        <v/>
      </c>
      <c r="AX51" s="48" t="str">
        <f>IF($B51="Yes",IFERROR(SUMIFS(_TECH_Industry_Templates!$E:$E,_TECH_Industry_Templates!$A:$A,'Company Profile'!$B$9,_TECH_Industry_Templates!$B:$B,$C51),1),"")</f>
        <v/>
      </c>
      <c r="AY51" s="48" t="str">
        <f t="shared" si="17"/>
        <v/>
      </c>
      <c r="AZ51" s="48" t="str">
        <f t="shared" si="18"/>
        <v/>
      </c>
      <c r="BA51" s="48" t="str">
        <f>IF($AZ51="","",RANK.EQ($AZ51,$AZ$8:$AZ$414,0)+COUNTIF($AZ$8:$AZ51,$AZ51)-1)</f>
        <v/>
      </c>
    </row>
    <row r="52" spans="1:53" ht="69.95" customHeight="1">
      <c r="A52" s="36" t="str">
        <f>IF($AZ52="","",RANK.EQ($AZ52,$AZ$8:$AZ$414,0)+COUNTIF($AZ$8:$AZ52,$AZ52)-1)</f>
        <v/>
      </c>
      <c r="B52" s="36" t="str">
        <f t="shared" si="5"/>
        <v/>
      </c>
      <c r="C52" s="36" t="s">
        <v>60</v>
      </c>
      <c r="D52" s="36" t="s">
        <v>1075</v>
      </c>
      <c r="E52" s="36" t="s">
        <v>2303</v>
      </c>
      <c r="F52" s="36" t="s">
        <v>185</v>
      </c>
      <c r="G52" s="36" t="str">
        <f>IF($H52="","",IFERROR(INDEX('Risk Library'!$H$5:$M$411,MATCH($E52,'Risk Library'!$A$5:$A$411,0),$H52+1),""))</f>
        <v/>
      </c>
      <c r="H52" s="37" t="str">
        <f>IF(OR(COUNTA('Governance Crisis'!$H$5)=0,'Governance Crisis'!$H$5="N/A"),"",VALUE('Governance Crisis'!$H$5))</f>
        <v/>
      </c>
      <c r="I52" s="36" t="str">
        <f>IF($H52="","",IFERROR(IF('Governance Crisis'!$L$5="",IF($H52&lt;=1,"Critical",IF($H52=2,"High",IF($H52=3,"Medium",IF($H52=4,"Low","Resilient")))),'Governance Crisis'!$L$5),IF($H52&lt;=1,"Critical",IF($H52=2,"High",IF($H52=3,"Medium",IF($H52=4,"Low","Resilient"))))))</f>
        <v/>
      </c>
      <c r="J52" s="37" t="str">
        <f t="shared" si="6"/>
        <v/>
      </c>
      <c r="K52" s="37" t="str">
        <f t="shared" si="7"/>
        <v/>
      </c>
      <c r="L52" s="37" t="str">
        <f t="shared" si="8"/>
        <v/>
      </c>
      <c r="M52" s="37" t="str">
        <f t="shared" si="9"/>
        <v/>
      </c>
      <c r="N52" s="37" t="str">
        <f>IF($H52="","",IFERROR(INDEX('Risk Library'!$T$5:$Y$411,MATCH($E52,'Risk Library'!$A$5:$A$411,0),$H52+1),""))</f>
        <v/>
      </c>
      <c r="O52" s="37" t="str">
        <f t="shared" si="10"/>
        <v/>
      </c>
      <c r="P52" s="37" t="str">
        <f t="shared" si="11"/>
        <v/>
      </c>
      <c r="Q52" s="37" t="str">
        <f t="shared" si="12"/>
        <v/>
      </c>
      <c r="R52" s="37" t="str">
        <f t="shared" si="13"/>
        <v/>
      </c>
      <c r="S52" s="38" t="str">
        <f t="shared" si="14"/>
        <v/>
      </c>
      <c r="T52" s="36" t="str">
        <f>IF($H52="","",IFERROR(INDEX('Risk Library'!$N$5:$S$411,MATCH($E52,'Risk Library'!$A$5:$A$411,0),$H52+1),""))</f>
        <v/>
      </c>
      <c r="U52" s="37">
        <f>IFERROR('Governance Crisis'!$G$5,"")</f>
        <v>5</v>
      </c>
      <c r="V52" s="37">
        <f>IFERROR('Governance Crisis'!$W$5,"")</f>
        <v>4</v>
      </c>
      <c r="W52" s="37">
        <f>IFERROR('Governance Crisis'!$X$5,"")</f>
        <v>5</v>
      </c>
      <c r="X52" s="37">
        <f>IFERROR('Governance Crisis'!$Y$5,"")</f>
        <v>5</v>
      </c>
      <c r="Y52" s="36" t="s">
        <v>2314</v>
      </c>
      <c r="Z52" s="36" t="s">
        <v>1863</v>
      </c>
      <c r="AA52" s="36" t="s">
        <v>2307</v>
      </c>
      <c r="AB52" s="36">
        <f>IFERROR('Governance Crisis'!$U$5,"")</f>
        <v>0</v>
      </c>
      <c r="AC52" s="36"/>
      <c r="AD52" s="36"/>
      <c r="AE52" s="36"/>
      <c r="AF52" s="36" t="s">
        <v>2304</v>
      </c>
      <c r="AO52" s="48" t="str">
        <f>IF($B52="Yes",IFERROR(SUMIFS(_TECH_Crisis_Model!$D$5:$D$191,_TECH_Crisis_Model!$A$5:$A$191,'Crisis Simulator'!$B$4,_TECH_Crisis_Model!$B$5:$B$191,$C52),1),"")</f>
        <v/>
      </c>
      <c r="AP52" s="48" t="str">
        <f t="shared" si="15"/>
        <v/>
      </c>
      <c r="AQ52" s="48" t="str">
        <f t="shared" si="16"/>
        <v/>
      </c>
      <c r="AR52" s="48" t="str">
        <f>IFERROR(INDEX(_TECH_Crisis_Model!$E$5:$E$191,MATCH('Crisis Simulator'!$B$4&amp;"|"&amp;$C52,_TECH_Crisis_Model!$I$5:$I$191,0)),"")</f>
        <v>Decision rights, escalation and crisis governance determine response speed under pressure.</v>
      </c>
      <c r="AS52" s="48" t="str">
        <f>IFERROR(INDEX(_TECH_Crisis_Model!$G$5:$G$191,MATCH('Crisis Simulator'!$B$4&amp;"|"&amp;$C52,_TECH_Crisis_Model!$I$5:$I$191,0)),"")</f>
        <v>Define crisis roles, escalation path, decision cadence and management war room routines.</v>
      </c>
      <c r="AT52" s="48" t="str">
        <f>IFERROR(INDEX(_TECH_Initiative_Library!$A$5:$A$76,MATCH(1,INDEX((_TECH_Initiative_Library!$B$5:$B$76=$C52)*(_TECH_Initiative_Library!$C$5:$C$76=$D52),0),0)),"")</f>
        <v>INI-008</v>
      </c>
      <c r="AU52" s="48" t="str">
        <f>IFERROR(INDEX(_TECH_Initiative_Library!$F$5:$F$76,MATCH(1,INDEX((_TECH_Initiative_Library!$B$5:$B$76=$C52)*(_TECH_Initiative_Library!$C$5:$C$76=$D52),0),0)),"")</f>
        <v>Implement crisis governance, roles and escalation model</v>
      </c>
      <c r="AV52" s="48" t="str">
        <f ca="1">IFERROR(INDEX(_TECH_Initiative_Library!$AC$5:$AC$76,MATCH(1,INDEX((_TECH_Initiative_Library!$B$5:$B$76=$C52)*(_TECH_Initiative_Library!$C$5:$C$76=$D52),0),0)),"")</f>
        <v/>
      </c>
      <c r="AW52" s="48" t="str">
        <f ca="1">IFERROR(INDEX(_TECH_Initiative_Library!$AE$5:$AE$76,MATCH(1,INDEX((_TECH_Initiative_Library!$B$5:$B$76=$C52)*(_TECH_Initiative_Library!$C$5:$C$76=$D52),0),0)),"")</f>
        <v/>
      </c>
      <c r="AX52" s="48" t="str">
        <f>IF($B52="Yes",IFERROR(SUMIFS(_TECH_Industry_Templates!$E:$E,_TECH_Industry_Templates!$A:$A,'Company Profile'!$B$9,_TECH_Industry_Templates!$B:$B,$C52),1),"")</f>
        <v/>
      </c>
      <c r="AY52" s="48" t="str">
        <f t="shared" si="17"/>
        <v/>
      </c>
      <c r="AZ52" s="48" t="str">
        <f t="shared" si="18"/>
        <v/>
      </c>
      <c r="BA52" s="48" t="str">
        <f>IF($AZ52="","",RANK.EQ($AZ52,$AZ$8:$AZ$414,0)+COUNTIF($AZ$8:$AZ52,$AZ52)-1)</f>
        <v/>
      </c>
    </row>
    <row r="53" spans="1:53" ht="69.95" customHeight="1">
      <c r="A53" s="36" t="str">
        <f>IF($AZ53="","",RANK.EQ($AZ53,$AZ$8:$AZ$414,0)+COUNTIF($AZ$8:$AZ53,$AZ53)-1)</f>
        <v/>
      </c>
      <c r="B53" s="36" t="str">
        <f t="shared" si="5"/>
        <v/>
      </c>
      <c r="C53" s="36" t="s">
        <v>60</v>
      </c>
      <c r="D53" s="36" t="s">
        <v>1075</v>
      </c>
      <c r="E53" s="36" t="s">
        <v>2316</v>
      </c>
      <c r="F53" s="36" t="s">
        <v>185</v>
      </c>
      <c r="G53" s="36" t="str">
        <f>IF($H53="","",IFERROR(INDEX('Risk Library'!$H$5:$M$411,MATCH($E53,'Risk Library'!$A$5:$A$411,0),$H53+1),""))</f>
        <v/>
      </c>
      <c r="H53" s="37" t="str">
        <f>IF(OR(COUNTA('Governance Crisis'!$H$6)=0,'Governance Crisis'!$H$6="N/A"),"",VALUE('Governance Crisis'!$H$6))</f>
        <v/>
      </c>
      <c r="I53" s="36" t="str">
        <f>IF($H53="","",IFERROR(IF('Governance Crisis'!$L$6="",IF($H53&lt;=1,"Critical",IF($H53=2,"High",IF($H53=3,"Medium",IF($H53=4,"Low","Resilient")))),'Governance Crisis'!$L$6),IF($H53&lt;=1,"Critical",IF($H53=2,"High",IF($H53=3,"Medium",IF($H53=4,"Low","Resilient"))))))</f>
        <v/>
      </c>
      <c r="J53" s="37" t="str">
        <f t="shared" si="6"/>
        <v/>
      </c>
      <c r="K53" s="37" t="str">
        <f t="shared" si="7"/>
        <v/>
      </c>
      <c r="L53" s="37" t="str">
        <f t="shared" si="8"/>
        <v/>
      </c>
      <c r="M53" s="37" t="str">
        <f t="shared" si="9"/>
        <v/>
      </c>
      <c r="N53" s="37" t="str">
        <f>IF($H53="","",IFERROR(INDEX('Risk Library'!$T$5:$Y$411,MATCH($E53,'Risk Library'!$A$5:$A$411,0),$H53+1),""))</f>
        <v/>
      </c>
      <c r="O53" s="37" t="str">
        <f t="shared" si="10"/>
        <v/>
      </c>
      <c r="P53" s="37" t="str">
        <f t="shared" si="11"/>
        <v/>
      </c>
      <c r="Q53" s="37" t="str">
        <f t="shared" si="12"/>
        <v/>
      </c>
      <c r="R53" s="37" t="str">
        <f t="shared" si="13"/>
        <v/>
      </c>
      <c r="S53" s="38" t="str">
        <f t="shared" si="14"/>
        <v/>
      </c>
      <c r="T53" s="36" t="str">
        <f>IF($H53="","",IFERROR(INDEX('Risk Library'!$N$5:$S$411,MATCH($E53,'Risk Library'!$A$5:$A$411,0),$H53+1),""))</f>
        <v/>
      </c>
      <c r="U53" s="37">
        <f>IFERROR('Governance Crisis'!$G$6,"")</f>
        <v>5</v>
      </c>
      <c r="V53" s="37">
        <f>IFERROR('Governance Crisis'!$W$6,"")</f>
        <v>4</v>
      </c>
      <c r="W53" s="37">
        <f>IFERROR('Governance Crisis'!$X$6,"")</f>
        <v>5</v>
      </c>
      <c r="X53" s="37">
        <f>IFERROR('Governance Crisis'!$Y$6,"")</f>
        <v>5</v>
      </c>
      <c r="Y53" s="36" t="s">
        <v>2314</v>
      </c>
      <c r="Z53" s="36" t="s">
        <v>1863</v>
      </c>
      <c r="AA53" s="36" t="s">
        <v>2318</v>
      </c>
      <c r="AB53" s="36">
        <f>IFERROR('Governance Crisis'!$U$6,"")</f>
        <v>0</v>
      </c>
      <c r="AC53" s="36"/>
      <c r="AD53" s="36"/>
      <c r="AE53" s="36"/>
      <c r="AF53" s="36" t="s">
        <v>2317</v>
      </c>
      <c r="AO53" s="48" t="str">
        <f>IF($B53="Yes",IFERROR(SUMIFS(_TECH_Crisis_Model!$D$5:$D$191,_TECH_Crisis_Model!$A$5:$A$191,'Crisis Simulator'!$B$4,_TECH_Crisis_Model!$B$5:$B$191,$C53),1),"")</f>
        <v/>
      </c>
      <c r="AP53" s="48" t="str">
        <f t="shared" si="15"/>
        <v/>
      </c>
      <c r="AQ53" s="48" t="str">
        <f t="shared" si="16"/>
        <v/>
      </c>
      <c r="AR53" s="48" t="str">
        <f>IFERROR(INDEX(_TECH_Crisis_Model!$E$5:$E$191,MATCH('Crisis Simulator'!$B$4&amp;"|"&amp;$C53,_TECH_Crisis_Model!$I$5:$I$191,0)),"")</f>
        <v>Decision rights, escalation and crisis governance determine response speed under pressure.</v>
      </c>
      <c r="AS53" s="48" t="str">
        <f>IFERROR(INDEX(_TECH_Crisis_Model!$G$5:$G$191,MATCH('Crisis Simulator'!$B$4&amp;"|"&amp;$C53,_TECH_Crisis_Model!$I$5:$I$191,0)),"")</f>
        <v>Define crisis roles, escalation path, decision cadence and management war room routines.</v>
      </c>
      <c r="AT53" s="48" t="str">
        <f>IFERROR(INDEX(_TECH_Initiative_Library!$A$5:$A$76,MATCH(1,INDEX((_TECH_Initiative_Library!$B$5:$B$76=$C53)*(_TECH_Initiative_Library!$C$5:$C$76=$D53),0),0)),"")</f>
        <v>INI-008</v>
      </c>
      <c r="AU53" s="48" t="str">
        <f>IFERROR(INDEX(_TECH_Initiative_Library!$F$5:$F$76,MATCH(1,INDEX((_TECH_Initiative_Library!$B$5:$B$76=$C53)*(_TECH_Initiative_Library!$C$5:$C$76=$D53),0),0)),"")</f>
        <v>Implement crisis governance, roles and escalation model</v>
      </c>
      <c r="AV53" s="48" t="str">
        <f ca="1">IFERROR(INDEX(_TECH_Initiative_Library!$AC$5:$AC$76,MATCH(1,INDEX((_TECH_Initiative_Library!$B$5:$B$76=$C53)*(_TECH_Initiative_Library!$C$5:$C$76=$D53),0),0)),"")</f>
        <v/>
      </c>
      <c r="AW53" s="48" t="str">
        <f ca="1">IFERROR(INDEX(_TECH_Initiative_Library!$AE$5:$AE$76,MATCH(1,INDEX((_TECH_Initiative_Library!$B$5:$B$76=$C53)*(_TECH_Initiative_Library!$C$5:$C$76=$D53),0),0)),"")</f>
        <v/>
      </c>
      <c r="AX53" s="48" t="str">
        <f>IF($B53="Yes",IFERROR(SUMIFS(_TECH_Industry_Templates!$E:$E,_TECH_Industry_Templates!$A:$A,'Company Profile'!$B$9,_TECH_Industry_Templates!$B:$B,$C53),1),"")</f>
        <v/>
      </c>
      <c r="AY53" s="48" t="str">
        <f t="shared" si="17"/>
        <v/>
      </c>
      <c r="AZ53" s="48" t="str">
        <f t="shared" si="18"/>
        <v/>
      </c>
      <c r="BA53" s="48" t="str">
        <f>IF($AZ53="","",RANK.EQ($AZ53,$AZ$8:$AZ$414,0)+COUNTIF($AZ$8:$AZ53,$AZ53)-1)</f>
        <v/>
      </c>
    </row>
    <row r="54" spans="1:53" ht="69.95" customHeight="1">
      <c r="A54" s="36" t="str">
        <f>IF($AZ54="","",RANK.EQ($AZ54,$AZ$8:$AZ$414,0)+COUNTIF($AZ$8:$AZ54,$AZ54)-1)</f>
        <v/>
      </c>
      <c r="B54" s="36" t="str">
        <f t="shared" si="5"/>
        <v/>
      </c>
      <c r="C54" s="36" t="s">
        <v>60</v>
      </c>
      <c r="D54" s="36" t="s">
        <v>1075</v>
      </c>
      <c r="E54" s="36" t="s">
        <v>2326</v>
      </c>
      <c r="F54" s="36" t="s">
        <v>185</v>
      </c>
      <c r="G54" s="36" t="str">
        <f>IF($H54="","",IFERROR(INDEX('Risk Library'!$H$5:$M$411,MATCH($E54,'Risk Library'!$A$5:$A$411,0),$H54+1),""))</f>
        <v/>
      </c>
      <c r="H54" s="37" t="str">
        <f>IF(OR(COUNTA('Governance Crisis'!$H$7)=0,'Governance Crisis'!$H$7="N/A"),"",VALUE('Governance Crisis'!$H$7))</f>
        <v/>
      </c>
      <c r="I54" s="36" t="str">
        <f>IF($H54="","",IFERROR(IF('Governance Crisis'!$L$7="",IF($H54&lt;=1,"Critical",IF($H54=2,"High",IF($H54=3,"Medium",IF($H54=4,"Low","Resilient")))),'Governance Crisis'!$L$7),IF($H54&lt;=1,"Critical",IF($H54=2,"High",IF($H54=3,"Medium",IF($H54=4,"Low","Resilient"))))))</f>
        <v/>
      </c>
      <c r="J54" s="37" t="str">
        <f t="shared" si="6"/>
        <v/>
      </c>
      <c r="K54" s="37" t="str">
        <f t="shared" si="7"/>
        <v/>
      </c>
      <c r="L54" s="37" t="str">
        <f t="shared" si="8"/>
        <v/>
      </c>
      <c r="M54" s="37" t="str">
        <f t="shared" si="9"/>
        <v/>
      </c>
      <c r="N54" s="37" t="str">
        <f>IF($H54="","",IFERROR(INDEX('Risk Library'!$T$5:$Y$411,MATCH($E54,'Risk Library'!$A$5:$A$411,0),$H54+1),""))</f>
        <v/>
      </c>
      <c r="O54" s="37" t="str">
        <f t="shared" si="10"/>
        <v/>
      </c>
      <c r="P54" s="37" t="str">
        <f t="shared" si="11"/>
        <v/>
      </c>
      <c r="Q54" s="37" t="str">
        <f t="shared" si="12"/>
        <v/>
      </c>
      <c r="R54" s="37" t="str">
        <f t="shared" si="13"/>
        <v/>
      </c>
      <c r="S54" s="38" t="str">
        <f t="shared" si="14"/>
        <v/>
      </c>
      <c r="T54" s="36" t="str">
        <f>IF($H54="","",IFERROR(INDEX('Risk Library'!$N$5:$S$411,MATCH($E54,'Risk Library'!$A$5:$A$411,0),$H54+1),""))</f>
        <v/>
      </c>
      <c r="U54" s="37">
        <f>IFERROR('Governance Crisis'!$G$7,"")</f>
        <v>5</v>
      </c>
      <c r="V54" s="37">
        <f>IFERROR('Governance Crisis'!$W$7,"")</f>
        <v>4</v>
      </c>
      <c r="W54" s="37">
        <f>IFERROR('Governance Crisis'!$X$7,"")</f>
        <v>5</v>
      </c>
      <c r="X54" s="37">
        <f>IFERROR('Governance Crisis'!$Y$7,"")</f>
        <v>5</v>
      </c>
      <c r="Y54" s="36" t="s">
        <v>2314</v>
      </c>
      <c r="Z54" s="36" t="s">
        <v>1863</v>
      </c>
      <c r="AA54" s="36" t="s">
        <v>2328</v>
      </c>
      <c r="AB54" s="36">
        <f>IFERROR('Governance Crisis'!$U$7,"")</f>
        <v>0</v>
      </c>
      <c r="AC54" s="36"/>
      <c r="AD54" s="36"/>
      <c r="AE54" s="36"/>
      <c r="AF54" s="36" t="s">
        <v>2327</v>
      </c>
      <c r="AO54" s="48" t="str">
        <f>IF($B54="Yes",IFERROR(SUMIFS(_TECH_Crisis_Model!$D$5:$D$191,_TECH_Crisis_Model!$A$5:$A$191,'Crisis Simulator'!$B$4,_TECH_Crisis_Model!$B$5:$B$191,$C54),1),"")</f>
        <v/>
      </c>
      <c r="AP54" s="48" t="str">
        <f t="shared" si="15"/>
        <v/>
      </c>
      <c r="AQ54" s="48" t="str">
        <f t="shared" si="16"/>
        <v/>
      </c>
      <c r="AR54" s="48" t="str">
        <f>IFERROR(INDEX(_TECH_Crisis_Model!$E$5:$E$191,MATCH('Crisis Simulator'!$B$4&amp;"|"&amp;$C54,_TECH_Crisis_Model!$I$5:$I$191,0)),"")</f>
        <v>Decision rights, escalation and crisis governance determine response speed under pressure.</v>
      </c>
      <c r="AS54" s="48" t="str">
        <f>IFERROR(INDEX(_TECH_Crisis_Model!$G$5:$G$191,MATCH('Crisis Simulator'!$B$4&amp;"|"&amp;$C54,_TECH_Crisis_Model!$I$5:$I$191,0)),"")</f>
        <v>Define crisis roles, escalation path, decision cadence and management war room routines.</v>
      </c>
      <c r="AT54" s="48" t="str">
        <f>IFERROR(INDEX(_TECH_Initiative_Library!$A$5:$A$76,MATCH(1,INDEX((_TECH_Initiative_Library!$B$5:$B$76=$C54)*(_TECH_Initiative_Library!$C$5:$C$76=$D54),0),0)),"")</f>
        <v>INI-008</v>
      </c>
      <c r="AU54" s="48" t="str">
        <f>IFERROR(INDEX(_TECH_Initiative_Library!$F$5:$F$76,MATCH(1,INDEX((_TECH_Initiative_Library!$B$5:$B$76=$C54)*(_TECH_Initiative_Library!$C$5:$C$76=$D54),0),0)),"")</f>
        <v>Implement crisis governance, roles and escalation model</v>
      </c>
      <c r="AV54" s="48" t="str">
        <f ca="1">IFERROR(INDEX(_TECH_Initiative_Library!$AC$5:$AC$76,MATCH(1,INDEX((_TECH_Initiative_Library!$B$5:$B$76=$C54)*(_TECH_Initiative_Library!$C$5:$C$76=$D54),0),0)),"")</f>
        <v/>
      </c>
      <c r="AW54" s="48" t="str">
        <f ca="1">IFERROR(INDEX(_TECH_Initiative_Library!$AE$5:$AE$76,MATCH(1,INDEX((_TECH_Initiative_Library!$B$5:$B$76=$C54)*(_TECH_Initiative_Library!$C$5:$C$76=$D54),0),0)),"")</f>
        <v/>
      </c>
      <c r="AX54" s="48" t="str">
        <f>IF($B54="Yes",IFERROR(SUMIFS(_TECH_Industry_Templates!$E:$E,_TECH_Industry_Templates!$A:$A,'Company Profile'!$B$9,_TECH_Industry_Templates!$B:$B,$C54),1),"")</f>
        <v/>
      </c>
      <c r="AY54" s="48" t="str">
        <f t="shared" si="17"/>
        <v/>
      </c>
      <c r="AZ54" s="48" t="str">
        <f t="shared" si="18"/>
        <v/>
      </c>
      <c r="BA54" s="48" t="str">
        <f>IF($AZ54="","",RANK.EQ($AZ54,$AZ$8:$AZ$414,0)+COUNTIF($AZ$8:$AZ54,$AZ54)-1)</f>
        <v/>
      </c>
    </row>
    <row r="55" spans="1:53" ht="69.95" customHeight="1">
      <c r="A55" s="36" t="str">
        <f>IF($AZ55="","",RANK.EQ($AZ55,$AZ$8:$AZ$414,0)+COUNTIF($AZ$8:$AZ55,$AZ55)-1)</f>
        <v/>
      </c>
      <c r="B55" s="36" t="str">
        <f t="shared" si="5"/>
        <v/>
      </c>
      <c r="C55" s="36" t="s">
        <v>60</v>
      </c>
      <c r="D55" s="36" t="s">
        <v>1075</v>
      </c>
      <c r="E55" s="36" t="s">
        <v>2336</v>
      </c>
      <c r="F55" s="36" t="s">
        <v>185</v>
      </c>
      <c r="G55" s="36" t="str">
        <f>IF($H55="","",IFERROR(INDEX('Risk Library'!$H$5:$M$411,MATCH($E55,'Risk Library'!$A$5:$A$411,0),$H55+1),""))</f>
        <v/>
      </c>
      <c r="H55" s="37" t="str">
        <f>IF(OR(COUNTA('Governance Crisis'!$H$8)=0,'Governance Crisis'!$H$8="N/A"),"",VALUE('Governance Crisis'!$H$8))</f>
        <v/>
      </c>
      <c r="I55" s="36" t="str">
        <f>IF($H55="","",IFERROR(IF('Governance Crisis'!$L$8="",IF($H55&lt;=1,"Critical",IF($H55=2,"High",IF($H55=3,"Medium",IF($H55=4,"Low","Resilient")))),'Governance Crisis'!$L$8),IF($H55&lt;=1,"Critical",IF($H55=2,"High",IF($H55=3,"Medium",IF($H55=4,"Low","Resilient"))))))</f>
        <v/>
      </c>
      <c r="J55" s="37" t="str">
        <f t="shared" si="6"/>
        <v/>
      </c>
      <c r="K55" s="37" t="str">
        <f t="shared" si="7"/>
        <v/>
      </c>
      <c r="L55" s="37" t="str">
        <f t="shared" si="8"/>
        <v/>
      </c>
      <c r="M55" s="37" t="str">
        <f t="shared" si="9"/>
        <v/>
      </c>
      <c r="N55" s="37" t="str">
        <f>IF($H55="","",IFERROR(INDEX('Risk Library'!$T$5:$Y$411,MATCH($E55,'Risk Library'!$A$5:$A$411,0),$H55+1),""))</f>
        <v/>
      </c>
      <c r="O55" s="37" t="str">
        <f t="shared" si="10"/>
        <v/>
      </c>
      <c r="P55" s="37" t="str">
        <f t="shared" si="11"/>
        <v/>
      </c>
      <c r="Q55" s="37" t="str">
        <f t="shared" si="12"/>
        <v/>
      </c>
      <c r="R55" s="37" t="str">
        <f t="shared" si="13"/>
        <v/>
      </c>
      <c r="S55" s="38" t="str">
        <f t="shared" si="14"/>
        <v/>
      </c>
      <c r="T55" s="36" t="str">
        <f>IF($H55="","",IFERROR(INDEX('Risk Library'!$N$5:$S$411,MATCH($E55,'Risk Library'!$A$5:$A$411,0),$H55+1),""))</f>
        <v/>
      </c>
      <c r="U55" s="37">
        <f>IFERROR('Governance Crisis'!$G$8,"")</f>
        <v>5</v>
      </c>
      <c r="V55" s="37">
        <f>IFERROR('Governance Crisis'!$W$8,"")</f>
        <v>4</v>
      </c>
      <c r="W55" s="37">
        <f>IFERROR('Governance Crisis'!$X$8,"")</f>
        <v>5</v>
      </c>
      <c r="X55" s="37">
        <f>IFERROR('Governance Crisis'!$Y$8,"")</f>
        <v>5</v>
      </c>
      <c r="Y55" s="36" t="s">
        <v>2314</v>
      </c>
      <c r="Z55" s="36" t="s">
        <v>1863</v>
      </c>
      <c r="AA55" s="36" t="s">
        <v>2338</v>
      </c>
      <c r="AB55" s="36">
        <f>IFERROR('Governance Crisis'!$U$8,"")</f>
        <v>0</v>
      </c>
      <c r="AC55" s="36"/>
      <c r="AD55" s="36"/>
      <c r="AE55" s="36"/>
      <c r="AF55" s="36" t="s">
        <v>2337</v>
      </c>
      <c r="AO55" s="48" t="str">
        <f>IF($B55="Yes",IFERROR(SUMIFS(_TECH_Crisis_Model!$D$5:$D$191,_TECH_Crisis_Model!$A$5:$A$191,'Crisis Simulator'!$B$4,_TECH_Crisis_Model!$B$5:$B$191,$C55),1),"")</f>
        <v/>
      </c>
      <c r="AP55" s="48" t="str">
        <f t="shared" si="15"/>
        <v/>
      </c>
      <c r="AQ55" s="48" t="str">
        <f t="shared" si="16"/>
        <v/>
      </c>
      <c r="AR55" s="48" t="str">
        <f>IFERROR(INDEX(_TECH_Crisis_Model!$E$5:$E$191,MATCH('Crisis Simulator'!$B$4&amp;"|"&amp;$C55,_TECH_Crisis_Model!$I$5:$I$191,0)),"")</f>
        <v>Decision rights, escalation and crisis governance determine response speed under pressure.</v>
      </c>
      <c r="AS55" s="48" t="str">
        <f>IFERROR(INDEX(_TECH_Crisis_Model!$G$5:$G$191,MATCH('Crisis Simulator'!$B$4&amp;"|"&amp;$C55,_TECH_Crisis_Model!$I$5:$I$191,0)),"")</f>
        <v>Define crisis roles, escalation path, decision cadence and management war room routines.</v>
      </c>
      <c r="AT55" s="48" t="str">
        <f>IFERROR(INDEX(_TECH_Initiative_Library!$A$5:$A$76,MATCH(1,INDEX((_TECH_Initiative_Library!$B$5:$B$76=$C55)*(_TECH_Initiative_Library!$C$5:$C$76=$D55),0),0)),"")</f>
        <v>INI-008</v>
      </c>
      <c r="AU55" s="48" t="str">
        <f>IFERROR(INDEX(_TECH_Initiative_Library!$F$5:$F$76,MATCH(1,INDEX((_TECH_Initiative_Library!$B$5:$B$76=$C55)*(_TECH_Initiative_Library!$C$5:$C$76=$D55),0),0)),"")</f>
        <v>Implement crisis governance, roles and escalation model</v>
      </c>
      <c r="AV55" s="48" t="str">
        <f ca="1">IFERROR(INDEX(_TECH_Initiative_Library!$AC$5:$AC$76,MATCH(1,INDEX((_TECH_Initiative_Library!$B$5:$B$76=$C55)*(_TECH_Initiative_Library!$C$5:$C$76=$D55),0),0)),"")</f>
        <v/>
      </c>
      <c r="AW55" s="48" t="str">
        <f ca="1">IFERROR(INDEX(_TECH_Initiative_Library!$AE$5:$AE$76,MATCH(1,INDEX((_TECH_Initiative_Library!$B$5:$B$76=$C55)*(_TECH_Initiative_Library!$C$5:$C$76=$D55),0),0)),"")</f>
        <v/>
      </c>
      <c r="AX55" s="48" t="str">
        <f>IF($B55="Yes",IFERROR(SUMIFS(_TECH_Industry_Templates!$E:$E,_TECH_Industry_Templates!$A:$A,'Company Profile'!$B$9,_TECH_Industry_Templates!$B:$B,$C55),1),"")</f>
        <v/>
      </c>
      <c r="AY55" s="48" t="str">
        <f t="shared" si="17"/>
        <v/>
      </c>
      <c r="AZ55" s="48" t="str">
        <f t="shared" si="18"/>
        <v/>
      </c>
      <c r="BA55" s="48" t="str">
        <f>IF($AZ55="","",RANK.EQ($AZ55,$AZ$8:$AZ$414,0)+COUNTIF($AZ$8:$AZ55,$AZ55)-1)</f>
        <v/>
      </c>
    </row>
    <row r="56" spans="1:53" ht="69.95" customHeight="1">
      <c r="A56" s="36" t="str">
        <f>IF($AZ56="","",RANK.EQ($AZ56,$AZ$8:$AZ$414,0)+COUNTIF($AZ$8:$AZ56,$AZ56)-1)</f>
        <v/>
      </c>
      <c r="B56" s="36" t="str">
        <f t="shared" si="5"/>
        <v/>
      </c>
      <c r="C56" s="36" t="s">
        <v>60</v>
      </c>
      <c r="D56" s="36" t="s">
        <v>1075</v>
      </c>
      <c r="E56" s="36" t="s">
        <v>2346</v>
      </c>
      <c r="F56" s="36" t="s">
        <v>185</v>
      </c>
      <c r="G56" s="36" t="str">
        <f>IF($H56="","",IFERROR(INDEX('Risk Library'!$H$5:$M$411,MATCH($E56,'Risk Library'!$A$5:$A$411,0),$H56+1),""))</f>
        <v/>
      </c>
      <c r="H56" s="37" t="str">
        <f>IF(OR(COUNTA('Governance Crisis'!$H$9)=0,'Governance Crisis'!$H$9="N/A"),"",VALUE('Governance Crisis'!$H$9))</f>
        <v/>
      </c>
      <c r="I56" s="36" t="str">
        <f>IF($H56="","",IFERROR(IF('Governance Crisis'!$L$9="",IF($H56&lt;=1,"Critical",IF($H56=2,"High",IF($H56=3,"Medium",IF($H56=4,"Low","Resilient")))),'Governance Crisis'!$L$9),IF($H56&lt;=1,"Critical",IF($H56=2,"High",IF($H56=3,"Medium",IF($H56=4,"Low","Resilient"))))))</f>
        <v/>
      </c>
      <c r="J56" s="37" t="str">
        <f t="shared" si="6"/>
        <v/>
      </c>
      <c r="K56" s="37" t="str">
        <f t="shared" si="7"/>
        <v/>
      </c>
      <c r="L56" s="37" t="str">
        <f t="shared" si="8"/>
        <v/>
      </c>
      <c r="M56" s="37" t="str">
        <f t="shared" si="9"/>
        <v/>
      </c>
      <c r="N56" s="37" t="str">
        <f>IF($H56="","",IFERROR(INDEX('Risk Library'!$T$5:$Y$411,MATCH($E56,'Risk Library'!$A$5:$A$411,0),$H56+1),""))</f>
        <v/>
      </c>
      <c r="O56" s="37" t="str">
        <f t="shared" si="10"/>
        <v/>
      </c>
      <c r="P56" s="37" t="str">
        <f t="shared" si="11"/>
        <v/>
      </c>
      <c r="Q56" s="37" t="str">
        <f t="shared" si="12"/>
        <v/>
      </c>
      <c r="R56" s="37" t="str">
        <f t="shared" si="13"/>
        <v/>
      </c>
      <c r="S56" s="38" t="str">
        <f t="shared" si="14"/>
        <v/>
      </c>
      <c r="T56" s="36" t="str">
        <f>IF($H56="","",IFERROR(INDEX('Risk Library'!$N$5:$S$411,MATCH($E56,'Risk Library'!$A$5:$A$411,0),$H56+1),""))</f>
        <v/>
      </c>
      <c r="U56" s="37">
        <f>IFERROR('Governance Crisis'!$G$9,"")</f>
        <v>5</v>
      </c>
      <c r="V56" s="37">
        <f>IFERROR('Governance Crisis'!$W$9,"")</f>
        <v>4</v>
      </c>
      <c r="W56" s="37">
        <f>IFERROR('Governance Crisis'!$X$9,"")</f>
        <v>5</v>
      </c>
      <c r="X56" s="37">
        <f>IFERROR('Governance Crisis'!$Y$9,"")</f>
        <v>5</v>
      </c>
      <c r="Y56" s="36" t="s">
        <v>2314</v>
      </c>
      <c r="Z56" s="36" t="s">
        <v>1863</v>
      </c>
      <c r="AA56" s="36" t="s">
        <v>2348</v>
      </c>
      <c r="AB56" s="36">
        <f>IFERROR('Governance Crisis'!$U$9,"")</f>
        <v>0</v>
      </c>
      <c r="AC56" s="36"/>
      <c r="AD56" s="36"/>
      <c r="AE56" s="36"/>
      <c r="AF56" s="36" t="s">
        <v>2347</v>
      </c>
      <c r="AO56" s="48" t="str">
        <f>IF($B56="Yes",IFERROR(SUMIFS(_TECH_Crisis_Model!$D$5:$D$191,_TECH_Crisis_Model!$A$5:$A$191,'Crisis Simulator'!$B$4,_TECH_Crisis_Model!$B$5:$B$191,$C56),1),"")</f>
        <v/>
      </c>
      <c r="AP56" s="48" t="str">
        <f t="shared" si="15"/>
        <v/>
      </c>
      <c r="AQ56" s="48" t="str">
        <f t="shared" si="16"/>
        <v/>
      </c>
      <c r="AR56" s="48" t="str">
        <f>IFERROR(INDEX(_TECH_Crisis_Model!$E$5:$E$191,MATCH('Crisis Simulator'!$B$4&amp;"|"&amp;$C56,_TECH_Crisis_Model!$I$5:$I$191,0)),"")</f>
        <v>Decision rights, escalation and crisis governance determine response speed under pressure.</v>
      </c>
      <c r="AS56" s="48" t="str">
        <f>IFERROR(INDEX(_TECH_Crisis_Model!$G$5:$G$191,MATCH('Crisis Simulator'!$B$4&amp;"|"&amp;$C56,_TECH_Crisis_Model!$I$5:$I$191,0)),"")</f>
        <v>Define crisis roles, escalation path, decision cadence and management war room routines.</v>
      </c>
      <c r="AT56" s="48" t="str">
        <f>IFERROR(INDEX(_TECH_Initiative_Library!$A$5:$A$76,MATCH(1,INDEX((_TECH_Initiative_Library!$B$5:$B$76=$C56)*(_TECH_Initiative_Library!$C$5:$C$76=$D56),0),0)),"")</f>
        <v>INI-008</v>
      </c>
      <c r="AU56" s="48" t="str">
        <f>IFERROR(INDEX(_TECH_Initiative_Library!$F$5:$F$76,MATCH(1,INDEX((_TECH_Initiative_Library!$B$5:$B$76=$C56)*(_TECH_Initiative_Library!$C$5:$C$76=$D56),0),0)),"")</f>
        <v>Implement crisis governance, roles and escalation model</v>
      </c>
      <c r="AV56" s="48" t="str">
        <f ca="1">IFERROR(INDEX(_TECH_Initiative_Library!$AC$5:$AC$76,MATCH(1,INDEX((_TECH_Initiative_Library!$B$5:$B$76=$C56)*(_TECH_Initiative_Library!$C$5:$C$76=$D56),0),0)),"")</f>
        <v/>
      </c>
      <c r="AW56" s="48" t="str">
        <f ca="1">IFERROR(INDEX(_TECH_Initiative_Library!$AE$5:$AE$76,MATCH(1,INDEX((_TECH_Initiative_Library!$B$5:$B$76=$C56)*(_TECH_Initiative_Library!$C$5:$C$76=$D56),0),0)),"")</f>
        <v/>
      </c>
      <c r="AX56" s="48" t="str">
        <f>IF($B56="Yes",IFERROR(SUMIFS(_TECH_Industry_Templates!$E:$E,_TECH_Industry_Templates!$A:$A,'Company Profile'!$B$9,_TECH_Industry_Templates!$B:$B,$C56),1),"")</f>
        <v/>
      </c>
      <c r="AY56" s="48" t="str">
        <f t="shared" si="17"/>
        <v/>
      </c>
      <c r="AZ56" s="48" t="str">
        <f t="shared" si="18"/>
        <v/>
      </c>
      <c r="BA56" s="48" t="str">
        <f>IF($AZ56="","",RANK.EQ($AZ56,$AZ$8:$AZ$414,0)+COUNTIF($AZ$8:$AZ56,$AZ56)-1)</f>
        <v/>
      </c>
    </row>
    <row r="57" spans="1:53" ht="69.95" customHeight="1">
      <c r="A57" s="36" t="str">
        <f>IF($AZ57="","",RANK.EQ($AZ57,$AZ$8:$AZ$414,0)+COUNTIF($AZ$8:$AZ57,$AZ57)-1)</f>
        <v/>
      </c>
      <c r="B57" s="36" t="str">
        <f t="shared" si="5"/>
        <v/>
      </c>
      <c r="C57" s="36" t="s">
        <v>60</v>
      </c>
      <c r="D57" s="36" t="s">
        <v>1075</v>
      </c>
      <c r="E57" s="36" t="s">
        <v>2356</v>
      </c>
      <c r="F57" s="36" t="s">
        <v>185</v>
      </c>
      <c r="G57" s="36" t="str">
        <f>IF($H57="","",IFERROR(INDEX('Risk Library'!$H$5:$M$411,MATCH($E57,'Risk Library'!$A$5:$A$411,0),$H57+1),""))</f>
        <v/>
      </c>
      <c r="H57" s="37" t="str">
        <f>IF(OR(COUNTA('Governance Crisis'!$H$10)=0,'Governance Crisis'!$H$10="N/A"),"",VALUE('Governance Crisis'!$H$10))</f>
        <v/>
      </c>
      <c r="I57" s="36" t="str">
        <f>IF($H57="","",IFERROR(IF('Governance Crisis'!$L$10="",IF($H57&lt;=1,"Critical",IF($H57=2,"High",IF($H57=3,"Medium",IF($H57=4,"Low","Resilient")))),'Governance Crisis'!$L$10),IF($H57&lt;=1,"Critical",IF($H57=2,"High",IF($H57=3,"Medium",IF($H57=4,"Low","Resilient"))))))</f>
        <v/>
      </c>
      <c r="J57" s="37" t="str">
        <f t="shared" si="6"/>
        <v/>
      </c>
      <c r="K57" s="37" t="str">
        <f t="shared" si="7"/>
        <v/>
      </c>
      <c r="L57" s="37" t="str">
        <f t="shared" si="8"/>
        <v/>
      </c>
      <c r="M57" s="37" t="str">
        <f t="shared" si="9"/>
        <v/>
      </c>
      <c r="N57" s="37" t="str">
        <f>IF($H57="","",IFERROR(INDEX('Risk Library'!$T$5:$Y$411,MATCH($E57,'Risk Library'!$A$5:$A$411,0),$H57+1),""))</f>
        <v/>
      </c>
      <c r="O57" s="37" t="str">
        <f t="shared" si="10"/>
        <v/>
      </c>
      <c r="P57" s="37" t="str">
        <f t="shared" si="11"/>
        <v/>
      </c>
      <c r="Q57" s="37" t="str">
        <f t="shared" si="12"/>
        <v/>
      </c>
      <c r="R57" s="37" t="str">
        <f t="shared" si="13"/>
        <v/>
      </c>
      <c r="S57" s="38" t="str">
        <f t="shared" si="14"/>
        <v/>
      </c>
      <c r="T57" s="36" t="str">
        <f>IF($H57="","",IFERROR(INDEX('Risk Library'!$N$5:$S$411,MATCH($E57,'Risk Library'!$A$5:$A$411,0),$H57+1),""))</f>
        <v/>
      </c>
      <c r="U57" s="37">
        <f>IFERROR('Governance Crisis'!$G$10,"")</f>
        <v>3</v>
      </c>
      <c r="V57" s="37">
        <f>IFERROR('Governance Crisis'!$W$10,"")</f>
        <v>4</v>
      </c>
      <c r="W57" s="37">
        <f>IFERROR('Governance Crisis'!$X$10,"")</f>
        <v>5</v>
      </c>
      <c r="X57" s="37">
        <f>IFERROR('Governance Crisis'!$Y$10,"")</f>
        <v>5</v>
      </c>
      <c r="Y57" s="36" t="s">
        <v>2314</v>
      </c>
      <c r="Z57" s="36" t="s">
        <v>1863</v>
      </c>
      <c r="AA57" s="36" t="s">
        <v>2358</v>
      </c>
      <c r="AB57" s="36">
        <f>IFERROR('Governance Crisis'!$U$10,"")</f>
        <v>0</v>
      </c>
      <c r="AC57" s="36"/>
      <c r="AD57" s="36"/>
      <c r="AE57" s="36"/>
      <c r="AF57" s="36" t="s">
        <v>2357</v>
      </c>
      <c r="AO57" s="48" t="str">
        <f>IF($B57="Yes",IFERROR(SUMIFS(_TECH_Crisis_Model!$D$5:$D$191,_TECH_Crisis_Model!$A$5:$A$191,'Crisis Simulator'!$B$4,_TECH_Crisis_Model!$B$5:$B$191,$C57),1),"")</f>
        <v/>
      </c>
      <c r="AP57" s="48" t="str">
        <f t="shared" si="15"/>
        <v/>
      </c>
      <c r="AQ57" s="48" t="str">
        <f t="shared" si="16"/>
        <v/>
      </c>
      <c r="AR57" s="48" t="str">
        <f>IFERROR(INDEX(_TECH_Crisis_Model!$E$5:$E$191,MATCH('Crisis Simulator'!$B$4&amp;"|"&amp;$C57,_TECH_Crisis_Model!$I$5:$I$191,0)),"")</f>
        <v>Decision rights, escalation and crisis governance determine response speed under pressure.</v>
      </c>
      <c r="AS57" s="48" t="str">
        <f>IFERROR(INDEX(_TECH_Crisis_Model!$G$5:$G$191,MATCH('Crisis Simulator'!$B$4&amp;"|"&amp;$C57,_TECH_Crisis_Model!$I$5:$I$191,0)),"")</f>
        <v>Define crisis roles, escalation path, decision cadence and management war room routines.</v>
      </c>
      <c r="AT57" s="48" t="str">
        <f>IFERROR(INDEX(_TECH_Initiative_Library!$A$5:$A$76,MATCH(1,INDEX((_TECH_Initiative_Library!$B$5:$B$76=$C57)*(_TECH_Initiative_Library!$C$5:$C$76=$D57),0),0)),"")</f>
        <v>INI-008</v>
      </c>
      <c r="AU57" s="48" t="str">
        <f>IFERROR(INDEX(_TECH_Initiative_Library!$F$5:$F$76,MATCH(1,INDEX((_TECH_Initiative_Library!$B$5:$B$76=$C57)*(_TECH_Initiative_Library!$C$5:$C$76=$D57),0),0)),"")</f>
        <v>Implement crisis governance, roles and escalation model</v>
      </c>
      <c r="AV57" s="48" t="str">
        <f ca="1">IFERROR(INDEX(_TECH_Initiative_Library!$AC$5:$AC$76,MATCH(1,INDEX((_TECH_Initiative_Library!$B$5:$B$76=$C57)*(_TECH_Initiative_Library!$C$5:$C$76=$D57),0),0)),"")</f>
        <v/>
      </c>
      <c r="AW57" s="48" t="str">
        <f ca="1">IFERROR(INDEX(_TECH_Initiative_Library!$AE$5:$AE$76,MATCH(1,INDEX((_TECH_Initiative_Library!$B$5:$B$76=$C57)*(_TECH_Initiative_Library!$C$5:$C$76=$D57),0),0)),"")</f>
        <v/>
      </c>
      <c r="AX57" s="48" t="str">
        <f>IF($B57="Yes",IFERROR(SUMIFS(_TECH_Industry_Templates!$E:$E,_TECH_Industry_Templates!$A:$A,'Company Profile'!$B$9,_TECH_Industry_Templates!$B:$B,$C57),1),"")</f>
        <v/>
      </c>
      <c r="AY57" s="48" t="str">
        <f t="shared" si="17"/>
        <v/>
      </c>
      <c r="AZ57" s="48" t="str">
        <f t="shared" si="18"/>
        <v/>
      </c>
      <c r="BA57" s="48" t="str">
        <f>IF($AZ57="","",RANK.EQ($AZ57,$AZ$8:$AZ$414,0)+COUNTIF($AZ$8:$AZ57,$AZ57)-1)</f>
        <v/>
      </c>
    </row>
    <row r="58" spans="1:53" ht="69.95" customHeight="1">
      <c r="A58" s="36" t="str">
        <f>IF($AZ58="","",RANK.EQ($AZ58,$AZ$8:$AZ$414,0)+COUNTIF($AZ$8:$AZ58,$AZ58)-1)</f>
        <v/>
      </c>
      <c r="B58" s="36" t="str">
        <f t="shared" si="5"/>
        <v/>
      </c>
      <c r="C58" s="36" t="s">
        <v>60</v>
      </c>
      <c r="D58" s="36" t="s">
        <v>1084</v>
      </c>
      <c r="E58" s="36" t="s">
        <v>2366</v>
      </c>
      <c r="F58" s="36" t="s">
        <v>185</v>
      </c>
      <c r="G58" s="36" t="str">
        <f>IF($H58="","",IFERROR(INDEX('Risk Library'!$H$5:$M$411,MATCH($E58,'Risk Library'!$A$5:$A$411,0),$H58+1),""))</f>
        <v/>
      </c>
      <c r="H58" s="37" t="str">
        <f>IF(OR(COUNTA('Governance Crisis'!$H$11)=0,'Governance Crisis'!$H$11="N/A"),"",VALUE('Governance Crisis'!$H$11))</f>
        <v/>
      </c>
      <c r="I58" s="36" t="str">
        <f>IF($H58="","",IFERROR(IF('Governance Crisis'!$L$11="",IF($H58&lt;=1,"Critical",IF($H58=2,"High",IF($H58=3,"Medium",IF($H58=4,"Low","Resilient")))),'Governance Crisis'!$L$11),IF($H58&lt;=1,"Critical",IF($H58=2,"High",IF($H58=3,"Medium",IF($H58=4,"Low","Resilient"))))))</f>
        <v/>
      </c>
      <c r="J58" s="37" t="str">
        <f t="shared" si="6"/>
        <v/>
      </c>
      <c r="K58" s="37" t="str">
        <f t="shared" si="7"/>
        <v/>
      </c>
      <c r="L58" s="37" t="str">
        <f t="shared" si="8"/>
        <v/>
      </c>
      <c r="M58" s="37" t="str">
        <f t="shared" si="9"/>
        <v/>
      </c>
      <c r="N58" s="37" t="str">
        <f>IF($H58="","",IFERROR(INDEX('Risk Library'!$T$5:$Y$411,MATCH($E58,'Risk Library'!$A$5:$A$411,0),$H58+1),""))</f>
        <v/>
      </c>
      <c r="O58" s="37" t="str">
        <f t="shared" si="10"/>
        <v/>
      </c>
      <c r="P58" s="37" t="str">
        <f t="shared" si="11"/>
        <v/>
      </c>
      <c r="Q58" s="37" t="str">
        <f t="shared" si="12"/>
        <v/>
      </c>
      <c r="R58" s="37" t="str">
        <f t="shared" si="13"/>
        <v/>
      </c>
      <c r="S58" s="38" t="str">
        <f t="shared" si="14"/>
        <v/>
      </c>
      <c r="T58" s="36" t="str">
        <f>IF($H58="","",IFERROR(INDEX('Risk Library'!$N$5:$S$411,MATCH($E58,'Risk Library'!$A$5:$A$411,0),$H58+1),""))</f>
        <v/>
      </c>
      <c r="U58" s="37">
        <f>IFERROR('Governance Crisis'!$G$11,"")</f>
        <v>5</v>
      </c>
      <c r="V58" s="37">
        <f>IFERROR('Governance Crisis'!$W$11,"")</f>
        <v>4</v>
      </c>
      <c r="W58" s="37">
        <f>IFERROR('Governance Crisis'!$X$11,"")</f>
        <v>5</v>
      </c>
      <c r="X58" s="37">
        <f>IFERROR('Governance Crisis'!$Y$11,"")</f>
        <v>5</v>
      </c>
      <c r="Y58" s="36" t="s">
        <v>2314</v>
      </c>
      <c r="Z58" s="36" t="s">
        <v>1863</v>
      </c>
      <c r="AA58" s="36" t="s">
        <v>2368</v>
      </c>
      <c r="AB58" s="36">
        <f>IFERROR('Governance Crisis'!$U$11,"")</f>
        <v>0</v>
      </c>
      <c r="AC58" s="36"/>
      <c r="AD58" s="36"/>
      <c r="AE58" s="36"/>
      <c r="AF58" s="36" t="s">
        <v>2367</v>
      </c>
      <c r="AO58" s="48" t="str">
        <f>IF($B58="Yes",IFERROR(SUMIFS(_TECH_Crisis_Model!$D$5:$D$191,_TECH_Crisis_Model!$A$5:$A$191,'Crisis Simulator'!$B$4,_TECH_Crisis_Model!$B$5:$B$191,$C58),1),"")</f>
        <v/>
      </c>
      <c r="AP58" s="48" t="str">
        <f t="shared" si="15"/>
        <v/>
      </c>
      <c r="AQ58" s="48" t="str">
        <f t="shared" si="16"/>
        <v/>
      </c>
      <c r="AR58" s="48" t="str">
        <f>IFERROR(INDEX(_TECH_Crisis_Model!$E$5:$E$191,MATCH('Crisis Simulator'!$B$4&amp;"|"&amp;$C58,_TECH_Crisis_Model!$I$5:$I$191,0)),"")</f>
        <v>Decision rights, escalation and crisis governance determine response speed under pressure.</v>
      </c>
      <c r="AS58" s="48" t="str">
        <f>IFERROR(INDEX(_TECH_Crisis_Model!$G$5:$G$191,MATCH('Crisis Simulator'!$B$4&amp;"|"&amp;$C58,_TECH_Crisis_Model!$I$5:$I$191,0)),"")</f>
        <v>Define crisis roles, escalation path, decision cadence and management war room routines.</v>
      </c>
      <c r="AT58" s="48" t="str">
        <f>IFERROR(INDEX(_TECH_Initiative_Library!$A$5:$A$76,MATCH(1,INDEX((_TECH_Initiative_Library!$B$5:$B$76=$C58)*(_TECH_Initiative_Library!$C$5:$C$76=$D58),0),0)),"")</f>
        <v>INI-009</v>
      </c>
      <c r="AU58" s="48" t="str">
        <f>IFERROR(INDEX(_TECH_Initiative_Library!$F$5:$F$76,MATCH(1,INDEX((_TECH_Initiative_Library!$B$5:$B$76=$C58)*(_TECH_Initiative_Library!$C$5:$C$76=$D58),0),0)),"")</f>
        <v>Build integrated risk, continuity and resilience control cycle</v>
      </c>
      <c r="AV58" s="48" t="str">
        <f ca="1">IFERROR(INDEX(_TECH_Initiative_Library!$AC$5:$AC$76,MATCH(1,INDEX((_TECH_Initiative_Library!$B$5:$B$76=$C58)*(_TECH_Initiative_Library!$C$5:$C$76=$D58),0),0)),"")</f>
        <v/>
      </c>
      <c r="AW58" s="48" t="str">
        <f ca="1">IFERROR(INDEX(_TECH_Initiative_Library!$AE$5:$AE$76,MATCH(1,INDEX((_TECH_Initiative_Library!$B$5:$B$76=$C58)*(_TECH_Initiative_Library!$C$5:$C$76=$D58),0),0)),"")</f>
        <v/>
      </c>
      <c r="AX58" s="48" t="str">
        <f>IF($B58="Yes",IFERROR(SUMIFS(_TECH_Industry_Templates!$E:$E,_TECH_Industry_Templates!$A:$A,'Company Profile'!$B$9,_TECH_Industry_Templates!$B:$B,$C58),1),"")</f>
        <v/>
      </c>
      <c r="AY58" s="48" t="str">
        <f t="shared" si="17"/>
        <v/>
      </c>
      <c r="AZ58" s="48" t="str">
        <f t="shared" si="18"/>
        <v/>
      </c>
      <c r="BA58" s="48" t="str">
        <f>IF($AZ58="","",RANK.EQ($AZ58,$AZ$8:$AZ$414,0)+COUNTIF($AZ$8:$AZ58,$AZ58)-1)</f>
        <v/>
      </c>
    </row>
    <row r="59" spans="1:53" ht="69.95" customHeight="1">
      <c r="A59" s="36" t="str">
        <f>IF($AZ59="","",RANK.EQ($AZ59,$AZ$8:$AZ$414,0)+COUNTIF($AZ$8:$AZ59,$AZ59)-1)</f>
        <v/>
      </c>
      <c r="B59" s="36" t="str">
        <f t="shared" si="5"/>
        <v/>
      </c>
      <c r="C59" s="36" t="s">
        <v>60</v>
      </c>
      <c r="D59" s="36" t="s">
        <v>1084</v>
      </c>
      <c r="E59" s="36" t="s">
        <v>2376</v>
      </c>
      <c r="F59" s="36" t="s">
        <v>185</v>
      </c>
      <c r="G59" s="36" t="str">
        <f>IF($H59="","",IFERROR(INDEX('Risk Library'!$H$5:$M$411,MATCH($E59,'Risk Library'!$A$5:$A$411,0),$H59+1),""))</f>
        <v/>
      </c>
      <c r="H59" s="37" t="str">
        <f>IF(OR(COUNTA('Governance Crisis'!$H$12)=0,'Governance Crisis'!$H$12="N/A"),"",VALUE('Governance Crisis'!$H$12))</f>
        <v/>
      </c>
      <c r="I59" s="36" t="str">
        <f>IF($H59="","",IFERROR(IF('Governance Crisis'!$L$12="",IF($H59&lt;=1,"Critical",IF($H59=2,"High",IF($H59=3,"Medium",IF($H59=4,"Low","Resilient")))),'Governance Crisis'!$L$12),IF($H59&lt;=1,"Critical",IF($H59=2,"High",IF($H59=3,"Medium",IF($H59=4,"Low","Resilient"))))))</f>
        <v/>
      </c>
      <c r="J59" s="37" t="str">
        <f t="shared" si="6"/>
        <v/>
      </c>
      <c r="K59" s="37" t="str">
        <f t="shared" si="7"/>
        <v/>
      </c>
      <c r="L59" s="37" t="str">
        <f t="shared" si="8"/>
        <v/>
      </c>
      <c r="M59" s="37" t="str">
        <f t="shared" si="9"/>
        <v/>
      </c>
      <c r="N59" s="37" t="str">
        <f>IF($H59="","",IFERROR(INDEX('Risk Library'!$T$5:$Y$411,MATCH($E59,'Risk Library'!$A$5:$A$411,0),$H59+1),""))</f>
        <v/>
      </c>
      <c r="O59" s="37" t="str">
        <f t="shared" si="10"/>
        <v/>
      </c>
      <c r="P59" s="37" t="str">
        <f t="shared" si="11"/>
        <v/>
      </c>
      <c r="Q59" s="37" t="str">
        <f t="shared" si="12"/>
        <v/>
      </c>
      <c r="R59" s="37" t="str">
        <f t="shared" si="13"/>
        <v/>
      </c>
      <c r="S59" s="38" t="str">
        <f t="shared" si="14"/>
        <v/>
      </c>
      <c r="T59" s="36" t="str">
        <f>IF($H59="","",IFERROR(INDEX('Risk Library'!$N$5:$S$411,MATCH($E59,'Risk Library'!$A$5:$A$411,0),$H59+1),""))</f>
        <v/>
      </c>
      <c r="U59" s="37">
        <f>IFERROR('Governance Crisis'!$G$12,"")</f>
        <v>5</v>
      </c>
      <c r="V59" s="37">
        <f>IFERROR('Governance Crisis'!$W$12,"")</f>
        <v>5</v>
      </c>
      <c r="W59" s="37">
        <f>IFERROR('Governance Crisis'!$X$12,"")</f>
        <v>5</v>
      </c>
      <c r="X59" s="37">
        <f>IFERROR('Governance Crisis'!$Y$12,"")</f>
        <v>5</v>
      </c>
      <c r="Y59" s="36" t="s">
        <v>2314</v>
      </c>
      <c r="Z59" s="36" t="s">
        <v>1863</v>
      </c>
      <c r="AA59" s="36" t="s">
        <v>2378</v>
      </c>
      <c r="AB59" s="36">
        <f>IFERROR('Governance Crisis'!$U$12,"")</f>
        <v>0</v>
      </c>
      <c r="AC59" s="36"/>
      <c r="AD59" s="36"/>
      <c r="AE59" s="36"/>
      <c r="AF59" s="36" t="s">
        <v>2377</v>
      </c>
      <c r="AO59" s="48" t="str">
        <f>IF($B59="Yes",IFERROR(SUMIFS(_TECH_Crisis_Model!$D$5:$D$191,_TECH_Crisis_Model!$A$5:$A$191,'Crisis Simulator'!$B$4,_TECH_Crisis_Model!$B$5:$B$191,$C59),1),"")</f>
        <v/>
      </c>
      <c r="AP59" s="48" t="str">
        <f t="shared" si="15"/>
        <v/>
      </c>
      <c r="AQ59" s="48" t="str">
        <f t="shared" si="16"/>
        <v/>
      </c>
      <c r="AR59" s="48" t="str">
        <f>IFERROR(INDEX(_TECH_Crisis_Model!$E$5:$E$191,MATCH('Crisis Simulator'!$B$4&amp;"|"&amp;$C59,_TECH_Crisis_Model!$I$5:$I$191,0)),"")</f>
        <v>Decision rights, escalation and crisis governance determine response speed under pressure.</v>
      </c>
      <c r="AS59" s="48" t="str">
        <f>IFERROR(INDEX(_TECH_Crisis_Model!$G$5:$G$191,MATCH('Crisis Simulator'!$B$4&amp;"|"&amp;$C59,_TECH_Crisis_Model!$I$5:$I$191,0)),"")</f>
        <v>Define crisis roles, escalation path, decision cadence and management war room routines.</v>
      </c>
      <c r="AT59" s="48" t="str">
        <f>IFERROR(INDEX(_TECH_Initiative_Library!$A$5:$A$76,MATCH(1,INDEX((_TECH_Initiative_Library!$B$5:$B$76=$C59)*(_TECH_Initiative_Library!$C$5:$C$76=$D59),0),0)),"")</f>
        <v>INI-009</v>
      </c>
      <c r="AU59" s="48" t="str">
        <f>IFERROR(INDEX(_TECH_Initiative_Library!$F$5:$F$76,MATCH(1,INDEX((_TECH_Initiative_Library!$B$5:$B$76=$C59)*(_TECH_Initiative_Library!$C$5:$C$76=$D59),0),0)),"")</f>
        <v>Build integrated risk, continuity and resilience control cycle</v>
      </c>
      <c r="AV59" s="48" t="str">
        <f ca="1">IFERROR(INDEX(_TECH_Initiative_Library!$AC$5:$AC$76,MATCH(1,INDEX((_TECH_Initiative_Library!$B$5:$B$76=$C59)*(_TECH_Initiative_Library!$C$5:$C$76=$D59),0),0)),"")</f>
        <v/>
      </c>
      <c r="AW59" s="48" t="str">
        <f ca="1">IFERROR(INDEX(_TECH_Initiative_Library!$AE$5:$AE$76,MATCH(1,INDEX((_TECH_Initiative_Library!$B$5:$B$76=$C59)*(_TECH_Initiative_Library!$C$5:$C$76=$D59),0),0)),"")</f>
        <v/>
      </c>
      <c r="AX59" s="48" t="str">
        <f>IF($B59="Yes",IFERROR(SUMIFS(_TECH_Industry_Templates!$E:$E,_TECH_Industry_Templates!$A:$A,'Company Profile'!$B$9,_TECH_Industry_Templates!$B:$B,$C59),1),"")</f>
        <v/>
      </c>
      <c r="AY59" s="48" t="str">
        <f t="shared" si="17"/>
        <v/>
      </c>
      <c r="AZ59" s="48" t="str">
        <f t="shared" si="18"/>
        <v/>
      </c>
      <c r="BA59" s="48" t="str">
        <f>IF($AZ59="","",RANK.EQ($AZ59,$AZ$8:$AZ$414,0)+COUNTIF($AZ$8:$AZ59,$AZ59)-1)</f>
        <v/>
      </c>
    </row>
    <row r="60" spans="1:53" ht="69.95" customHeight="1">
      <c r="A60" s="36" t="str">
        <f>IF($AZ60="","",RANK.EQ($AZ60,$AZ$8:$AZ$414,0)+COUNTIF($AZ$8:$AZ60,$AZ60)-1)</f>
        <v/>
      </c>
      <c r="B60" s="36" t="str">
        <f t="shared" si="5"/>
        <v/>
      </c>
      <c r="C60" s="36" t="s">
        <v>60</v>
      </c>
      <c r="D60" s="36" t="s">
        <v>1084</v>
      </c>
      <c r="E60" s="36" t="s">
        <v>2386</v>
      </c>
      <c r="F60" s="36" t="s">
        <v>185</v>
      </c>
      <c r="G60" s="36" t="str">
        <f>IF($H60="","",IFERROR(INDEX('Risk Library'!$H$5:$M$411,MATCH($E60,'Risk Library'!$A$5:$A$411,0),$H60+1),""))</f>
        <v/>
      </c>
      <c r="H60" s="37" t="str">
        <f>IF(OR(COUNTA('Governance Crisis'!$H$13)=0,'Governance Crisis'!$H$13="N/A"),"",VALUE('Governance Crisis'!$H$13))</f>
        <v/>
      </c>
      <c r="I60" s="36" t="str">
        <f>IF($H60="","",IFERROR(IF('Governance Crisis'!$L$13="",IF($H60&lt;=1,"Critical",IF($H60=2,"High",IF($H60=3,"Medium",IF($H60=4,"Low","Resilient")))),'Governance Crisis'!$L$13),IF($H60&lt;=1,"Critical",IF($H60=2,"High",IF($H60=3,"Medium",IF($H60=4,"Low","Resilient"))))))</f>
        <v/>
      </c>
      <c r="J60" s="37" t="str">
        <f t="shared" si="6"/>
        <v/>
      </c>
      <c r="K60" s="37" t="str">
        <f t="shared" si="7"/>
        <v/>
      </c>
      <c r="L60" s="37" t="str">
        <f t="shared" si="8"/>
        <v/>
      </c>
      <c r="M60" s="37" t="str">
        <f t="shared" si="9"/>
        <v/>
      </c>
      <c r="N60" s="37" t="str">
        <f>IF($H60="","",IFERROR(INDEX('Risk Library'!$T$5:$Y$411,MATCH($E60,'Risk Library'!$A$5:$A$411,0),$H60+1),""))</f>
        <v/>
      </c>
      <c r="O60" s="37" t="str">
        <f t="shared" si="10"/>
        <v/>
      </c>
      <c r="P60" s="37" t="str">
        <f t="shared" si="11"/>
        <v/>
      </c>
      <c r="Q60" s="37" t="str">
        <f t="shared" si="12"/>
        <v/>
      </c>
      <c r="R60" s="37" t="str">
        <f t="shared" si="13"/>
        <v/>
      </c>
      <c r="S60" s="38" t="str">
        <f t="shared" si="14"/>
        <v/>
      </c>
      <c r="T60" s="36" t="str">
        <f>IF($H60="","",IFERROR(INDEX('Risk Library'!$N$5:$S$411,MATCH($E60,'Risk Library'!$A$5:$A$411,0),$H60+1),""))</f>
        <v/>
      </c>
      <c r="U60" s="37">
        <f>IFERROR('Governance Crisis'!$G$13,"")</f>
        <v>5</v>
      </c>
      <c r="V60" s="37">
        <f>IFERROR('Governance Crisis'!$W$13,"")</f>
        <v>4</v>
      </c>
      <c r="W60" s="37">
        <f>IFERROR('Governance Crisis'!$X$13,"")</f>
        <v>5</v>
      </c>
      <c r="X60" s="37">
        <f>IFERROR('Governance Crisis'!$Y$13,"")</f>
        <v>5</v>
      </c>
      <c r="Y60" s="36" t="s">
        <v>2314</v>
      </c>
      <c r="Z60" s="36" t="s">
        <v>1863</v>
      </c>
      <c r="AA60" s="36" t="s">
        <v>2388</v>
      </c>
      <c r="AB60" s="36">
        <f>IFERROR('Governance Crisis'!$U$13,"")</f>
        <v>0</v>
      </c>
      <c r="AC60" s="36"/>
      <c r="AD60" s="36"/>
      <c r="AE60" s="36"/>
      <c r="AF60" s="36" t="s">
        <v>2387</v>
      </c>
      <c r="AO60" s="48" t="str">
        <f>IF($B60="Yes",IFERROR(SUMIFS(_TECH_Crisis_Model!$D$5:$D$191,_TECH_Crisis_Model!$A$5:$A$191,'Crisis Simulator'!$B$4,_TECH_Crisis_Model!$B$5:$B$191,$C60),1),"")</f>
        <v/>
      </c>
      <c r="AP60" s="48" t="str">
        <f t="shared" si="15"/>
        <v/>
      </c>
      <c r="AQ60" s="48" t="str">
        <f t="shared" si="16"/>
        <v/>
      </c>
      <c r="AR60" s="48" t="str">
        <f>IFERROR(INDEX(_TECH_Crisis_Model!$E$5:$E$191,MATCH('Crisis Simulator'!$B$4&amp;"|"&amp;$C60,_TECH_Crisis_Model!$I$5:$I$191,0)),"")</f>
        <v>Decision rights, escalation and crisis governance determine response speed under pressure.</v>
      </c>
      <c r="AS60" s="48" t="str">
        <f>IFERROR(INDEX(_TECH_Crisis_Model!$G$5:$G$191,MATCH('Crisis Simulator'!$B$4&amp;"|"&amp;$C60,_TECH_Crisis_Model!$I$5:$I$191,0)),"")</f>
        <v>Define crisis roles, escalation path, decision cadence and management war room routines.</v>
      </c>
      <c r="AT60" s="48" t="str">
        <f>IFERROR(INDEX(_TECH_Initiative_Library!$A$5:$A$76,MATCH(1,INDEX((_TECH_Initiative_Library!$B$5:$B$76=$C60)*(_TECH_Initiative_Library!$C$5:$C$76=$D60),0),0)),"")</f>
        <v>INI-009</v>
      </c>
      <c r="AU60" s="48" t="str">
        <f>IFERROR(INDEX(_TECH_Initiative_Library!$F$5:$F$76,MATCH(1,INDEX((_TECH_Initiative_Library!$B$5:$B$76=$C60)*(_TECH_Initiative_Library!$C$5:$C$76=$D60),0),0)),"")</f>
        <v>Build integrated risk, continuity and resilience control cycle</v>
      </c>
      <c r="AV60" s="48" t="str">
        <f ca="1">IFERROR(INDEX(_TECH_Initiative_Library!$AC$5:$AC$76,MATCH(1,INDEX((_TECH_Initiative_Library!$B$5:$B$76=$C60)*(_TECH_Initiative_Library!$C$5:$C$76=$D60),0),0)),"")</f>
        <v/>
      </c>
      <c r="AW60" s="48" t="str">
        <f ca="1">IFERROR(INDEX(_TECH_Initiative_Library!$AE$5:$AE$76,MATCH(1,INDEX((_TECH_Initiative_Library!$B$5:$B$76=$C60)*(_TECH_Initiative_Library!$C$5:$C$76=$D60),0),0)),"")</f>
        <v/>
      </c>
      <c r="AX60" s="48" t="str">
        <f>IF($B60="Yes",IFERROR(SUMIFS(_TECH_Industry_Templates!$E:$E,_TECH_Industry_Templates!$A:$A,'Company Profile'!$B$9,_TECH_Industry_Templates!$B:$B,$C60),1),"")</f>
        <v/>
      </c>
      <c r="AY60" s="48" t="str">
        <f t="shared" si="17"/>
        <v/>
      </c>
      <c r="AZ60" s="48" t="str">
        <f t="shared" si="18"/>
        <v/>
      </c>
      <c r="BA60" s="48" t="str">
        <f>IF($AZ60="","",RANK.EQ($AZ60,$AZ$8:$AZ$414,0)+COUNTIF($AZ$8:$AZ60,$AZ60)-1)</f>
        <v/>
      </c>
    </row>
    <row r="61" spans="1:53" ht="69.95" customHeight="1">
      <c r="A61" s="36" t="str">
        <f>IF($AZ61="","",RANK.EQ($AZ61,$AZ$8:$AZ$414,0)+COUNTIF($AZ$8:$AZ61,$AZ61)-1)</f>
        <v/>
      </c>
      <c r="B61" s="36" t="str">
        <f t="shared" si="5"/>
        <v/>
      </c>
      <c r="C61" s="36" t="s">
        <v>60</v>
      </c>
      <c r="D61" s="36" t="s">
        <v>1084</v>
      </c>
      <c r="E61" s="36" t="s">
        <v>2396</v>
      </c>
      <c r="F61" s="36" t="s">
        <v>185</v>
      </c>
      <c r="G61" s="36" t="str">
        <f>IF($H61="","",IFERROR(INDEX('Risk Library'!$H$5:$M$411,MATCH($E61,'Risk Library'!$A$5:$A$411,0),$H61+1),""))</f>
        <v/>
      </c>
      <c r="H61" s="37" t="str">
        <f>IF(OR(COUNTA('Governance Crisis'!$H$14)=0,'Governance Crisis'!$H$14="N/A"),"",VALUE('Governance Crisis'!$H$14))</f>
        <v/>
      </c>
      <c r="I61" s="36" t="str">
        <f>IF($H61="","",IFERROR(IF('Governance Crisis'!$L$14="",IF($H61&lt;=1,"Critical",IF($H61=2,"High",IF($H61=3,"Medium",IF($H61=4,"Low","Resilient")))),'Governance Crisis'!$L$14),IF($H61&lt;=1,"Critical",IF($H61=2,"High",IF($H61=3,"Medium",IF($H61=4,"Low","Resilient"))))))</f>
        <v/>
      </c>
      <c r="J61" s="37" t="str">
        <f t="shared" si="6"/>
        <v/>
      </c>
      <c r="K61" s="37" t="str">
        <f t="shared" si="7"/>
        <v/>
      </c>
      <c r="L61" s="37" t="str">
        <f t="shared" si="8"/>
        <v/>
      </c>
      <c r="M61" s="37" t="str">
        <f t="shared" si="9"/>
        <v/>
      </c>
      <c r="N61" s="37" t="str">
        <f>IF($H61="","",IFERROR(INDEX('Risk Library'!$T$5:$Y$411,MATCH($E61,'Risk Library'!$A$5:$A$411,0),$H61+1),""))</f>
        <v/>
      </c>
      <c r="O61" s="37" t="str">
        <f t="shared" si="10"/>
        <v/>
      </c>
      <c r="P61" s="37" t="str">
        <f t="shared" si="11"/>
        <v/>
      </c>
      <c r="Q61" s="37" t="str">
        <f t="shared" si="12"/>
        <v/>
      </c>
      <c r="R61" s="37" t="str">
        <f t="shared" si="13"/>
        <v/>
      </c>
      <c r="S61" s="38" t="str">
        <f t="shared" si="14"/>
        <v/>
      </c>
      <c r="T61" s="36" t="str">
        <f>IF($H61="","",IFERROR(INDEX('Risk Library'!$N$5:$S$411,MATCH($E61,'Risk Library'!$A$5:$A$411,0),$H61+1),""))</f>
        <v/>
      </c>
      <c r="U61" s="37">
        <f>IFERROR('Governance Crisis'!$G$14,"")</f>
        <v>5</v>
      </c>
      <c r="V61" s="37">
        <f>IFERROR('Governance Crisis'!$W$14,"")</f>
        <v>4</v>
      </c>
      <c r="W61" s="37">
        <f>IFERROR('Governance Crisis'!$X$14,"")</f>
        <v>5</v>
      </c>
      <c r="X61" s="37">
        <f>IFERROR('Governance Crisis'!$Y$14,"")</f>
        <v>5</v>
      </c>
      <c r="Y61" s="36" t="s">
        <v>2314</v>
      </c>
      <c r="Z61" s="36" t="s">
        <v>1863</v>
      </c>
      <c r="AA61" s="36" t="s">
        <v>2398</v>
      </c>
      <c r="AB61" s="36">
        <f>IFERROR('Governance Crisis'!$U$14,"")</f>
        <v>0</v>
      </c>
      <c r="AC61" s="36"/>
      <c r="AD61" s="36"/>
      <c r="AE61" s="36"/>
      <c r="AF61" s="36" t="s">
        <v>2397</v>
      </c>
      <c r="AO61" s="48" t="str">
        <f>IF($B61="Yes",IFERROR(SUMIFS(_TECH_Crisis_Model!$D$5:$D$191,_TECH_Crisis_Model!$A$5:$A$191,'Crisis Simulator'!$B$4,_TECH_Crisis_Model!$B$5:$B$191,$C61),1),"")</f>
        <v/>
      </c>
      <c r="AP61" s="48" t="str">
        <f t="shared" si="15"/>
        <v/>
      </c>
      <c r="AQ61" s="48" t="str">
        <f t="shared" si="16"/>
        <v/>
      </c>
      <c r="AR61" s="48" t="str">
        <f>IFERROR(INDEX(_TECH_Crisis_Model!$E$5:$E$191,MATCH('Crisis Simulator'!$B$4&amp;"|"&amp;$C61,_TECH_Crisis_Model!$I$5:$I$191,0)),"")</f>
        <v>Decision rights, escalation and crisis governance determine response speed under pressure.</v>
      </c>
      <c r="AS61" s="48" t="str">
        <f>IFERROR(INDEX(_TECH_Crisis_Model!$G$5:$G$191,MATCH('Crisis Simulator'!$B$4&amp;"|"&amp;$C61,_TECH_Crisis_Model!$I$5:$I$191,0)),"")</f>
        <v>Define crisis roles, escalation path, decision cadence and management war room routines.</v>
      </c>
      <c r="AT61" s="48" t="str">
        <f>IFERROR(INDEX(_TECH_Initiative_Library!$A$5:$A$76,MATCH(1,INDEX((_TECH_Initiative_Library!$B$5:$B$76=$C61)*(_TECH_Initiative_Library!$C$5:$C$76=$D61),0),0)),"")</f>
        <v>INI-009</v>
      </c>
      <c r="AU61" s="48" t="str">
        <f>IFERROR(INDEX(_TECH_Initiative_Library!$F$5:$F$76,MATCH(1,INDEX((_TECH_Initiative_Library!$B$5:$B$76=$C61)*(_TECH_Initiative_Library!$C$5:$C$76=$D61),0),0)),"")</f>
        <v>Build integrated risk, continuity and resilience control cycle</v>
      </c>
      <c r="AV61" s="48" t="str">
        <f ca="1">IFERROR(INDEX(_TECH_Initiative_Library!$AC$5:$AC$76,MATCH(1,INDEX((_TECH_Initiative_Library!$B$5:$B$76=$C61)*(_TECH_Initiative_Library!$C$5:$C$76=$D61),0),0)),"")</f>
        <v/>
      </c>
      <c r="AW61" s="48" t="str">
        <f ca="1">IFERROR(INDEX(_TECH_Initiative_Library!$AE$5:$AE$76,MATCH(1,INDEX((_TECH_Initiative_Library!$B$5:$B$76=$C61)*(_TECH_Initiative_Library!$C$5:$C$76=$D61),0),0)),"")</f>
        <v/>
      </c>
      <c r="AX61" s="48" t="str">
        <f>IF($B61="Yes",IFERROR(SUMIFS(_TECH_Industry_Templates!$E:$E,_TECH_Industry_Templates!$A:$A,'Company Profile'!$B$9,_TECH_Industry_Templates!$B:$B,$C61),1),"")</f>
        <v/>
      </c>
      <c r="AY61" s="48" t="str">
        <f t="shared" si="17"/>
        <v/>
      </c>
      <c r="AZ61" s="48" t="str">
        <f t="shared" si="18"/>
        <v/>
      </c>
      <c r="BA61" s="48" t="str">
        <f>IF($AZ61="","",RANK.EQ($AZ61,$AZ$8:$AZ$414,0)+COUNTIF($AZ$8:$AZ61,$AZ61)-1)</f>
        <v/>
      </c>
    </row>
    <row r="62" spans="1:53" ht="69.95" customHeight="1">
      <c r="A62" s="36" t="str">
        <f>IF($AZ62="","",RANK.EQ($AZ62,$AZ$8:$AZ$414,0)+COUNTIF($AZ$8:$AZ62,$AZ62)-1)</f>
        <v/>
      </c>
      <c r="B62" s="36" t="str">
        <f t="shared" si="5"/>
        <v/>
      </c>
      <c r="C62" s="36" t="s">
        <v>60</v>
      </c>
      <c r="D62" s="36" t="s">
        <v>1084</v>
      </c>
      <c r="E62" s="36" t="s">
        <v>2406</v>
      </c>
      <c r="F62" s="36" t="s">
        <v>185</v>
      </c>
      <c r="G62" s="36" t="str">
        <f>IF($H62="","",IFERROR(INDEX('Risk Library'!$H$5:$M$411,MATCH($E62,'Risk Library'!$A$5:$A$411,0),$H62+1),""))</f>
        <v/>
      </c>
      <c r="H62" s="37" t="str">
        <f>IF(OR(COUNTA('Governance Crisis'!$H$15)=0,'Governance Crisis'!$H$15="N/A"),"",VALUE('Governance Crisis'!$H$15))</f>
        <v/>
      </c>
      <c r="I62" s="36" t="str">
        <f>IF($H62="","",IFERROR(IF('Governance Crisis'!$L$15="",IF($H62&lt;=1,"Critical",IF($H62=2,"High",IF($H62=3,"Medium",IF($H62=4,"Low","Resilient")))),'Governance Crisis'!$L$15),IF($H62&lt;=1,"Critical",IF($H62=2,"High",IF($H62=3,"Medium",IF($H62=4,"Low","Resilient"))))))</f>
        <v/>
      </c>
      <c r="J62" s="37" t="str">
        <f t="shared" si="6"/>
        <v/>
      </c>
      <c r="K62" s="37" t="str">
        <f t="shared" si="7"/>
        <v/>
      </c>
      <c r="L62" s="37" t="str">
        <f t="shared" si="8"/>
        <v/>
      </c>
      <c r="M62" s="37" t="str">
        <f t="shared" si="9"/>
        <v/>
      </c>
      <c r="N62" s="37" t="str">
        <f>IF($H62="","",IFERROR(INDEX('Risk Library'!$T$5:$Y$411,MATCH($E62,'Risk Library'!$A$5:$A$411,0),$H62+1),""))</f>
        <v/>
      </c>
      <c r="O62" s="37" t="str">
        <f t="shared" si="10"/>
        <v/>
      </c>
      <c r="P62" s="37" t="str">
        <f t="shared" si="11"/>
        <v/>
      </c>
      <c r="Q62" s="37" t="str">
        <f t="shared" si="12"/>
        <v/>
      </c>
      <c r="R62" s="37" t="str">
        <f t="shared" si="13"/>
        <v/>
      </c>
      <c r="S62" s="38" t="str">
        <f t="shared" si="14"/>
        <v/>
      </c>
      <c r="T62" s="36" t="str">
        <f>IF($H62="","",IFERROR(INDEX('Risk Library'!$N$5:$S$411,MATCH($E62,'Risk Library'!$A$5:$A$411,0),$H62+1),""))</f>
        <v/>
      </c>
      <c r="U62" s="37">
        <f>IFERROR('Governance Crisis'!$G$15,"")</f>
        <v>5</v>
      </c>
      <c r="V62" s="37">
        <f>IFERROR('Governance Crisis'!$W$15,"")</f>
        <v>4</v>
      </c>
      <c r="W62" s="37">
        <f>IFERROR('Governance Crisis'!$X$15,"")</f>
        <v>5</v>
      </c>
      <c r="X62" s="37">
        <f>IFERROR('Governance Crisis'!$Y$15,"")</f>
        <v>5</v>
      </c>
      <c r="Y62" s="36" t="s">
        <v>2314</v>
      </c>
      <c r="Z62" s="36" t="s">
        <v>1863</v>
      </c>
      <c r="AA62" s="36" t="s">
        <v>2408</v>
      </c>
      <c r="AB62" s="36">
        <f>IFERROR('Governance Crisis'!$U$15,"")</f>
        <v>0</v>
      </c>
      <c r="AC62" s="36"/>
      <c r="AD62" s="36"/>
      <c r="AE62" s="36"/>
      <c r="AF62" s="36" t="s">
        <v>2407</v>
      </c>
      <c r="AO62" s="48" t="str">
        <f>IF($B62="Yes",IFERROR(SUMIFS(_TECH_Crisis_Model!$D$5:$D$191,_TECH_Crisis_Model!$A$5:$A$191,'Crisis Simulator'!$B$4,_TECH_Crisis_Model!$B$5:$B$191,$C62),1),"")</f>
        <v/>
      </c>
      <c r="AP62" s="48" t="str">
        <f t="shared" si="15"/>
        <v/>
      </c>
      <c r="AQ62" s="48" t="str">
        <f t="shared" si="16"/>
        <v/>
      </c>
      <c r="AR62" s="48" t="str">
        <f>IFERROR(INDEX(_TECH_Crisis_Model!$E$5:$E$191,MATCH('Crisis Simulator'!$B$4&amp;"|"&amp;$C62,_TECH_Crisis_Model!$I$5:$I$191,0)),"")</f>
        <v>Decision rights, escalation and crisis governance determine response speed under pressure.</v>
      </c>
      <c r="AS62" s="48" t="str">
        <f>IFERROR(INDEX(_TECH_Crisis_Model!$G$5:$G$191,MATCH('Crisis Simulator'!$B$4&amp;"|"&amp;$C62,_TECH_Crisis_Model!$I$5:$I$191,0)),"")</f>
        <v>Define crisis roles, escalation path, decision cadence and management war room routines.</v>
      </c>
      <c r="AT62" s="48" t="str">
        <f>IFERROR(INDEX(_TECH_Initiative_Library!$A$5:$A$76,MATCH(1,INDEX((_TECH_Initiative_Library!$B$5:$B$76=$C62)*(_TECH_Initiative_Library!$C$5:$C$76=$D62),0),0)),"")</f>
        <v>INI-009</v>
      </c>
      <c r="AU62" s="48" t="str">
        <f>IFERROR(INDEX(_TECH_Initiative_Library!$F$5:$F$76,MATCH(1,INDEX((_TECH_Initiative_Library!$B$5:$B$76=$C62)*(_TECH_Initiative_Library!$C$5:$C$76=$D62),0),0)),"")</f>
        <v>Build integrated risk, continuity and resilience control cycle</v>
      </c>
      <c r="AV62" s="48" t="str">
        <f ca="1">IFERROR(INDEX(_TECH_Initiative_Library!$AC$5:$AC$76,MATCH(1,INDEX((_TECH_Initiative_Library!$B$5:$B$76=$C62)*(_TECH_Initiative_Library!$C$5:$C$76=$D62),0),0)),"")</f>
        <v/>
      </c>
      <c r="AW62" s="48" t="str">
        <f ca="1">IFERROR(INDEX(_TECH_Initiative_Library!$AE$5:$AE$76,MATCH(1,INDEX((_TECH_Initiative_Library!$B$5:$B$76=$C62)*(_TECH_Initiative_Library!$C$5:$C$76=$D62),0),0)),"")</f>
        <v/>
      </c>
      <c r="AX62" s="48" t="str">
        <f>IF($B62="Yes",IFERROR(SUMIFS(_TECH_Industry_Templates!$E:$E,_TECH_Industry_Templates!$A:$A,'Company Profile'!$B$9,_TECH_Industry_Templates!$B:$B,$C62),1),"")</f>
        <v/>
      </c>
      <c r="AY62" s="48" t="str">
        <f t="shared" si="17"/>
        <v/>
      </c>
      <c r="AZ62" s="48" t="str">
        <f t="shared" si="18"/>
        <v/>
      </c>
      <c r="BA62" s="48" t="str">
        <f>IF($AZ62="","",RANK.EQ($AZ62,$AZ$8:$AZ$414,0)+COUNTIF($AZ$8:$AZ62,$AZ62)-1)</f>
        <v/>
      </c>
    </row>
    <row r="63" spans="1:53" ht="69.95" customHeight="1">
      <c r="A63" s="36" t="str">
        <f>IF($AZ63="","",RANK.EQ($AZ63,$AZ$8:$AZ$414,0)+COUNTIF($AZ$8:$AZ63,$AZ63)-1)</f>
        <v/>
      </c>
      <c r="B63" s="36" t="str">
        <f t="shared" si="5"/>
        <v/>
      </c>
      <c r="C63" s="36" t="s">
        <v>60</v>
      </c>
      <c r="D63" s="36" t="s">
        <v>1084</v>
      </c>
      <c r="E63" s="36" t="s">
        <v>2416</v>
      </c>
      <c r="F63" s="36" t="s">
        <v>185</v>
      </c>
      <c r="G63" s="36" t="str">
        <f>IF($H63="","",IFERROR(INDEX('Risk Library'!$H$5:$M$411,MATCH($E63,'Risk Library'!$A$5:$A$411,0),$H63+1),""))</f>
        <v/>
      </c>
      <c r="H63" s="37" t="str">
        <f>IF(OR(COUNTA('Governance Crisis'!$H$16)=0,'Governance Crisis'!$H$16="N/A"),"",VALUE('Governance Crisis'!$H$16))</f>
        <v/>
      </c>
      <c r="I63" s="36" t="str">
        <f>IF($H63="","",IFERROR(IF('Governance Crisis'!$L$16="",IF($H63&lt;=1,"Critical",IF($H63=2,"High",IF($H63=3,"Medium",IF($H63=4,"Low","Resilient")))),'Governance Crisis'!$L$16),IF($H63&lt;=1,"Critical",IF($H63=2,"High",IF($H63=3,"Medium",IF($H63=4,"Low","Resilient"))))))</f>
        <v/>
      </c>
      <c r="J63" s="37" t="str">
        <f t="shared" si="6"/>
        <v/>
      </c>
      <c r="K63" s="37" t="str">
        <f t="shared" si="7"/>
        <v/>
      </c>
      <c r="L63" s="37" t="str">
        <f t="shared" si="8"/>
        <v/>
      </c>
      <c r="M63" s="37" t="str">
        <f t="shared" si="9"/>
        <v/>
      </c>
      <c r="N63" s="37" t="str">
        <f>IF($H63="","",IFERROR(INDEX('Risk Library'!$T$5:$Y$411,MATCH($E63,'Risk Library'!$A$5:$A$411,0),$H63+1),""))</f>
        <v/>
      </c>
      <c r="O63" s="37" t="str">
        <f t="shared" si="10"/>
        <v/>
      </c>
      <c r="P63" s="37" t="str">
        <f t="shared" si="11"/>
        <v/>
      </c>
      <c r="Q63" s="37" t="str">
        <f t="shared" si="12"/>
        <v/>
      </c>
      <c r="R63" s="37" t="str">
        <f t="shared" si="13"/>
        <v/>
      </c>
      <c r="S63" s="38" t="str">
        <f t="shared" si="14"/>
        <v/>
      </c>
      <c r="T63" s="36" t="str">
        <f>IF($H63="","",IFERROR(INDEX('Risk Library'!$N$5:$S$411,MATCH($E63,'Risk Library'!$A$5:$A$411,0),$H63+1),""))</f>
        <v/>
      </c>
      <c r="U63" s="37">
        <f>IFERROR('Governance Crisis'!$G$16,"")</f>
        <v>5</v>
      </c>
      <c r="V63" s="37">
        <f>IFERROR('Governance Crisis'!$W$16,"")</f>
        <v>5</v>
      </c>
      <c r="W63" s="37">
        <f>IFERROR('Governance Crisis'!$X$16,"")</f>
        <v>5</v>
      </c>
      <c r="X63" s="37">
        <f>IFERROR('Governance Crisis'!$Y$16,"")</f>
        <v>5</v>
      </c>
      <c r="Y63" s="36" t="s">
        <v>2314</v>
      </c>
      <c r="Z63" s="36" t="s">
        <v>1863</v>
      </c>
      <c r="AA63" s="36" t="s">
        <v>2418</v>
      </c>
      <c r="AB63" s="36">
        <f>IFERROR('Governance Crisis'!$U$16,"")</f>
        <v>0</v>
      </c>
      <c r="AC63" s="36"/>
      <c r="AD63" s="36"/>
      <c r="AE63" s="36"/>
      <c r="AF63" s="36" t="s">
        <v>2417</v>
      </c>
      <c r="AO63" s="48" t="str">
        <f>IF($B63="Yes",IFERROR(SUMIFS(_TECH_Crisis_Model!$D$5:$D$191,_TECH_Crisis_Model!$A$5:$A$191,'Crisis Simulator'!$B$4,_TECH_Crisis_Model!$B$5:$B$191,$C63),1),"")</f>
        <v/>
      </c>
      <c r="AP63" s="48" t="str">
        <f t="shared" si="15"/>
        <v/>
      </c>
      <c r="AQ63" s="48" t="str">
        <f t="shared" si="16"/>
        <v/>
      </c>
      <c r="AR63" s="48" t="str">
        <f>IFERROR(INDEX(_TECH_Crisis_Model!$E$5:$E$191,MATCH('Crisis Simulator'!$B$4&amp;"|"&amp;$C63,_TECH_Crisis_Model!$I$5:$I$191,0)),"")</f>
        <v>Decision rights, escalation and crisis governance determine response speed under pressure.</v>
      </c>
      <c r="AS63" s="48" t="str">
        <f>IFERROR(INDEX(_TECH_Crisis_Model!$G$5:$G$191,MATCH('Crisis Simulator'!$B$4&amp;"|"&amp;$C63,_TECH_Crisis_Model!$I$5:$I$191,0)),"")</f>
        <v>Define crisis roles, escalation path, decision cadence and management war room routines.</v>
      </c>
      <c r="AT63" s="48" t="str">
        <f>IFERROR(INDEX(_TECH_Initiative_Library!$A$5:$A$76,MATCH(1,INDEX((_TECH_Initiative_Library!$B$5:$B$76=$C63)*(_TECH_Initiative_Library!$C$5:$C$76=$D63),0),0)),"")</f>
        <v>INI-009</v>
      </c>
      <c r="AU63" s="48" t="str">
        <f>IFERROR(INDEX(_TECH_Initiative_Library!$F$5:$F$76,MATCH(1,INDEX((_TECH_Initiative_Library!$B$5:$B$76=$C63)*(_TECH_Initiative_Library!$C$5:$C$76=$D63),0),0)),"")</f>
        <v>Build integrated risk, continuity and resilience control cycle</v>
      </c>
      <c r="AV63" s="48" t="str">
        <f ca="1">IFERROR(INDEX(_TECH_Initiative_Library!$AC$5:$AC$76,MATCH(1,INDEX((_TECH_Initiative_Library!$B$5:$B$76=$C63)*(_TECH_Initiative_Library!$C$5:$C$76=$D63),0),0)),"")</f>
        <v/>
      </c>
      <c r="AW63" s="48" t="str">
        <f ca="1">IFERROR(INDEX(_TECH_Initiative_Library!$AE$5:$AE$76,MATCH(1,INDEX((_TECH_Initiative_Library!$B$5:$B$76=$C63)*(_TECH_Initiative_Library!$C$5:$C$76=$D63),0),0)),"")</f>
        <v/>
      </c>
      <c r="AX63" s="48" t="str">
        <f>IF($B63="Yes",IFERROR(SUMIFS(_TECH_Industry_Templates!$E:$E,_TECH_Industry_Templates!$A:$A,'Company Profile'!$B$9,_TECH_Industry_Templates!$B:$B,$C63),1),"")</f>
        <v/>
      </c>
      <c r="AY63" s="48" t="str">
        <f t="shared" si="17"/>
        <v/>
      </c>
      <c r="AZ63" s="48" t="str">
        <f t="shared" si="18"/>
        <v/>
      </c>
      <c r="BA63" s="48" t="str">
        <f>IF($AZ63="","",RANK.EQ($AZ63,$AZ$8:$AZ$414,0)+COUNTIF($AZ$8:$AZ63,$AZ63)-1)</f>
        <v/>
      </c>
    </row>
    <row r="64" spans="1:53" ht="69.95" customHeight="1">
      <c r="A64" s="36" t="str">
        <f>IF($AZ64="","",RANK.EQ($AZ64,$AZ$8:$AZ$414,0)+COUNTIF($AZ$8:$AZ64,$AZ64)-1)</f>
        <v/>
      </c>
      <c r="B64" s="36" t="str">
        <f t="shared" si="5"/>
        <v/>
      </c>
      <c r="C64" s="36" t="s">
        <v>60</v>
      </c>
      <c r="D64" s="36" t="s">
        <v>1084</v>
      </c>
      <c r="E64" s="36" t="s">
        <v>2426</v>
      </c>
      <c r="F64" s="36" t="s">
        <v>185</v>
      </c>
      <c r="G64" s="36" t="str">
        <f>IF($H64="","",IFERROR(INDEX('Risk Library'!$H$5:$M$411,MATCH($E64,'Risk Library'!$A$5:$A$411,0),$H64+1),""))</f>
        <v/>
      </c>
      <c r="H64" s="37" t="str">
        <f>IF(OR(COUNTA('Governance Crisis'!$H$17)=0,'Governance Crisis'!$H$17="N/A"),"",VALUE('Governance Crisis'!$H$17))</f>
        <v/>
      </c>
      <c r="I64" s="36" t="str">
        <f>IF($H64="","",IFERROR(IF('Governance Crisis'!$L$17="",IF($H64&lt;=1,"Critical",IF($H64=2,"High",IF($H64=3,"Medium",IF($H64=4,"Low","Resilient")))),'Governance Crisis'!$L$17),IF($H64&lt;=1,"Critical",IF($H64=2,"High",IF($H64=3,"Medium",IF($H64=4,"Low","Resilient"))))))</f>
        <v/>
      </c>
      <c r="J64" s="37" t="str">
        <f t="shared" si="6"/>
        <v/>
      </c>
      <c r="K64" s="37" t="str">
        <f t="shared" si="7"/>
        <v/>
      </c>
      <c r="L64" s="37" t="str">
        <f t="shared" si="8"/>
        <v/>
      </c>
      <c r="M64" s="37" t="str">
        <f t="shared" si="9"/>
        <v/>
      </c>
      <c r="N64" s="37" t="str">
        <f>IF($H64="","",IFERROR(INDEX('Risk Library'!$T$5:$Y$411,MATCH($E64,'Risk Library'!$A$5:$A$411,0),$H64+1),""))</f>
        <v/>
      </c>
      <c r="O64" s="37" t="str">
        <f t="shared" si="10"/>
        <v/>
      </c>
      <c r="P64" s="37" t="str">
        <f t="shared" si="11"/>
        <v/>
      </c>
      <c r="Q64" s="37" t="str">
        <f t="shared" si="12"/>
        <v/>
      </c>
      <c r="R64" s="37" t="str">
        <f t="shared" si="13"/>
        <v/>
      </c>
      <c r="S64" s="38" t="str">
        <f t="shared" si="14"/>
        <v/>
      </c>
      <c r="T64" s="36" t="str">
        <f>IF($H64="","",IFERROR(INDEX('Risk Library'!$N$5:$S$411,MATCH($E64,'Risk Library'!$A$5:$A$411,0),$H64+1),""))</f>
        <v/>
      </c>
      <c r="U64" s="37">
        <f>IFERROR('Governance Crisis'!$G$17,"")</f>
        <v>5</v>
      </c>
      <c r="V64" s="37">
        <f>IFERROR('Governance Crisis'!$W$17,"")</f>
        <v>4</v>
      </c>
      <c r="W64" s="37">
        <f>IFERROR('Governance Crisis'!$X$17,"")</f>
        <v>5</v>
      </c>
      <c r="X64" s="37">
        <f>IFERROR('Governance Crisis'!$Y$17,"")</f>
        <v>5</v>
      </c>
      <c r="Y64" s="36" t="s">
        <v>2314</v>
      </c>
      <c r="Z64" s="36" t="s">
        <v>1863</v>
      </c>
      <c r="AA64" s="36" t="s">
        <v>2428</v>
      </c>
      <c r="AB64" s="36">
        <f>IFERROR('Governance Crisis'!$U$17,"")</f>
        <v>0</v>
      </c>
      <c r="AC64" s="36"/>
      <c r="AD64" s="36"/>
      <c r="AE64" s="36"/>
      <c r="AF64" s="36" t="s">
        <v>2427</v>
      </c>
      <c r="AO64" s="48" t="str">
        <f>IF($B64="Yes",IFERROR(SUMIFS(_TECH_Crisis_Model!$D$5:$D$191,_TECH_Crisis_Model!$A$5:$A$191,'Crisis Simulator'!$B$4,_TECH_Crisis_Model!$B$5:$B$191,$C64),1),"")</f>
        <v/>
      </c>
      <c r="AP64" s="48" t="str">
        <f t="shared" si="15"/>
        <v/>
      </c>
      <c r="AQ64" s="48" t="str">
        <f t="shared" si="16"/>
        <v/>
      </c>
      <c r="AR64" s="48" t="str">
        <f>IFERROR(INDEX(_TECH_Crisis_Model!$E$5:$E$191,MATCH('Crisis Simulator'!$B$4&amp;"|"&amp;$C64,_TECH_Crisis_Model!$I$5:$I$191,0)),"")</f>
        <v>Decision rights, escalation and crisis governance determine response speed under pressure.</v>
      </c>
      <c r="AS64" s="48" t="str">
        <f>IFERROR(INDEX(_TECH_Crisis_Model!$G$5:$G$191,MATCH('Crisis Simulator'!$B$4&amp;"|"&amp;$C64,_TECH_Crisis_Model!$I$5:$I$191,0)),"")</f>
        <v>Define crisis roles, escalation path, decision cadence and management war room routines.</v>
      </c>
      <c r="AT64" s="48" t="str">
        <f>IFERROR(INDEX(_TECH_Initiative_Library!$A$5:$A$76,MATCH(1,INDEX((_TECH_Initiative_Library!$B$5:$B$76=$C64)*(_TECH_Initiative_Library!$C$5:$C$76=$D64),0),0)),"")</f>
        <v>INI-009</v>
      </c>
      <c r="AU64" s="48" t="str">
        <f>IFERROR(INDEX(_TECH_Initiative_Library!$F$5:$F$76,MATCH(1,INDEX((_TECH_Initiative_Library!$B$5:$B$76=$C64)*(_TECH_Initiative_Library!$C$5:$C$76=$D64),0),0)),"")</f>
        <v>Build integrated risk, continuity and resilience control cycle</v>
      </c>
      <c r="AV64" s="48" t="str">
        <f ca="1">IFERROR(INDEX(_TECH_Initiative_Library!$AC$5:$AC$76,MATCH(1,INDEX((_TECH_Initiative_Library!$B$5:$B$76=$C64)*(_TECH_Initiative_Library!$C$5:$C$76=$D64),0),0)),"")</f>
        <v/>
      </c>
      <c r="AW64" s="48" t="str">
        <f ca="1">IFERROR(INDEX(_TECH_Initiative_Library!$AE$5:$AE$76,MATCH(1,INDEX((_TECH_Initiative_Library!$B$5:$B$76=$C64)*(_TECH_Initiative_Library!$C$5:$C$76=$D64),0),0)),"")</f>
        <v/>
      </c>
      <c r="AX64" s="48" t="str">
        <f>IF($B64="Yes",IFERROR(SUMIFS(_TECH_Industry_Templates!$E:$E,_TECH_Industry_Templates!$A:$A,'Company Profile'!$B$9,_TECH_Industry_Templates!$B:$B,$C64),1),"")</f>
        <v/>
      </c>
      <c r="AY64" s="48" t="str">
        <f t="shared" si="17"/>
        <v/>
      </c>
      <c r="AZ64" s="48" t="str">
        <f t="shared" si="18"/>
        <v/>
      </c>
      <c r="BA64" s="48" t="str">
        <f>IF($AZ64="","",RANK.EQ($AZ64,$AZ$8:$AZ$414,0)+COUNTIF($AZ$8:$AZ64,$AZ64)-1)</f>
        <v/>
      </c>
    </row>
    <row r="65" spans="1:53" ht="69.95" customHeight="1">
      <c r="A65" s="36" t="str">
        <f>IF($AZ65="","",RANK.EQ($AZ65,$AZ$8:$AZ$414,0)+COUNTIF($AZ$8:$AZ65,$AZ65)-1)</f>
        <v/>
      </c>
      <c r="B65" s="36" t="str">
        <f t="shared" si="5"/>
        <v/>
      </c>
      <c r="C65" s="36" t="s">
        <v>60</v>
      </c>
      <c r="D65" s="36" t="s">
        <v>1092</v>
      </c>
      <c r="E65" s="36" t="s">
        <v>2436</v>
      </c>
      <c r="F65" s="36" t="s">
        <v>185</v>
      </c>
      <c r="G65" s="36" t="str">
        <f>IF($H65="","",IFERROR(INDEX('Risk Library'!$H$5:$M$411,MATCH($E65,'Risk Library'!$A$5:$A$411,0),$H65+1),""))</f>
        <v/>
      </c>
      <c r="H65" s="37" t="str">
        <f>IF(OR(COUNTA('Governance Crisis'!$H$18)=0,'Governance Crisis'!$H$18="N/A"),"",VALUE('Governance Crisis'!$H$18))</f>
        <v/>
      </c>
      <c r="I65" s="36" t="str">
        <f>IF($H65="","",IFERROR(IF('Governance Crisis'!$L$18="",IF($H65&lt;=1,"Critical",IF($H65=2,"High",IF($H65=3,"Medium",IF($H65=4,"Low","Resilient")))),'Governance Crisis'!$L$18),IF($H65&lt;=1,"Critical",IF($H65=2,"High",IF($H65=3,"Medium",IF($H65=4,"Low","Resilient"))))))</f>
        <v/>
      </c>
      <c r="J65" s="37" t="str">
        <f t="shared" si="6"/>
        <v/>
      </c>
      <c r="K65" s="37" t="str">
        <f t="shared" si="7"/>
        <v/>
      </c>
      <c r="L65" s="37" t="str">
        <f t="shared" si="8"/>
        <v/>
      </c>
      <c r="M65" s="37" t="str">
        <f t="shared" si="9"/>
        <v/>
      </c>
      <c r="N65" s="37" t="str">
        <f>IF($H65="","",IFERROR(INDEX('Risk Library'!$T$5:$Y$411,MATCH($E65,'Risk Library'!$A$5:$A$411,0),$H65+1),""))</f>
        <v/>
      </c>
      <c r="O65" s="37" t="str">
        <f t="shared" si="10"/>
        <v/>
      </c>
      <c r="P65" s="37" t="str">
        <f t="shared" si="11"/>
        <v/>
      </c>
      <c r="Q65" s="37" t="str">
        <f t="shared" si="12"/>
        <v/>
      </c>
      <c r="R65" s="37" t="str">
        <f t="shared" si="13"/>
        <v/>
      </c>
      <c r="S65" s="38" t="str">
        <f t="shared" si="14"/>
        <v/>
      </c>
      <c r="T65" s="36" t="str">
        <f>IF($H65="","",IFERROR(INDEX('Risk Library'!$N$5:$S$411,MATCH($E65,'Risk Library'!$A$5:$A$411,0),$H65+1),""))</f>
        <v/>
      </c>
      <c r="U65" s="37">
        <f>IFERROR('Governance Crisis'!$G$18,"")</f>
        <v>5</v>
      </c>
      <c r="V65" s="37">
        <f>IFERROR('Governance Crisis'!$W$18,"")</f>
        <v>4</v>
      </c>
      <c r="W65" s="37">
        <f>IFERROR('Governance Crisis'!$X$18,"")</f>
        <v>5</v>
      </c>
      <c r="X65" s="37">
        <f>IFERROR('Governance Crisis'!$Y$18,"")</f>
        <v>5</v>
      </c>
      <c r="Y65" s="36" t="s">
        <v>2314</v>
      </c>
      <c r="Z65" s="36" t="s">
        <v>1863</v>
      </c>
      <c r="AA65" s="36" t="s">
        <v>2438</v>
      </c>
      <c r="AB65" s="36">
        <f>IFERROR('Governance Crisis'!$U$18,"")</f>
        <v>0</v>
      </c>
      <c r="AC65" s="36"/>
      <c r="AD65" s="36"/>
      <c r="AE65" s="36"/>
      <c r="AF65" s="36" t="s">
        <v>2437</v>
      </c>
      <c r="AO65" s="48" t="str">
        <f>IF($B65="Yes",IFERROR(SUMIFS(_TECH_Crisis_Model!$D$5:$D$191,_TECH_Crisis_Model!$A$5:$A$191,'Crisis Simulator'!$B$4,_TECH_Crisis_Model!$B$5:$B$191,$C65),1),"")</f>
        <v/>
      </c>
      <c r="AP65" s="48" t="str">
        <f t="shared" si="15"/>
        <v/>
      </c>
      <c r="AQ65" s="48" t="str">
        <f t="shared" si="16"/>
        <v/>
      </c>
      <c r="AR65" s="48" t="str">
        <f>IFERROR(INDEX(_TECH_Crisis_Model!$E$5:$E$191,MATCH('Crisis Simulator'!$B$4&amp;"|"&amp;$C65,_TECH_Crisis_Model!$I$5:$I$191,0)),"")</f>
        <v>Decision rights, escalation and crisis governance determine response speed under pressure.</v>
      </c>
      <c r="AS65" s="48" t="str">
        <f>IFERROR(INDEX(_TECH_Crisis_Model!$G$5:$G$191,MATCH('Crisis Simulator'!$B$4&amp;"|"&amp;$C65,_TECH_Crisis_Model!$I$5:$I$191,0)),"")</f>
        <v>Define crisis roles, escalation path, decision cadence and management war room routines.</v>
      </c>
      <c r="AT65" s="48" t="str">
        <f>IFERROR(INDEX(_TECH_Initiative_Library!$A$5:$A$76,MATCH(1,INDEX((_TECH_Initiative_Library!$B$5:$B$76=$C65)*(_TECH_Initiative_Library!$C$5:$C$76=$D65),0),0)),"")</f>
        <v>INI-010</v>
      </c>
      <c r="AU65" s="48" t="str">
        <f>IFERROR(INDEX(_TECH_Initiative_Library!$F$5:$F$76,MATCH(1,INDEX((_TECH_Initiative_Library!$B$5:$B$76=$C65)*(_TECH_Initiative_Library!$C$5:$C$76=$D65),0),0)),"")</f>
        <v>Implement incident command, escalation and after-action review</v>
      </c>
      <c r="AV65" s="48" t="str">
        <f ca="1">IFERROR(INDEX(_TECH_Initiative_Library!$AC$5:$AC$76,MATCH(1,INDEX((_TECH_Initiative_Library!$B$5:$B$76=$C65)*(_TECH_Initiative_Library!$C$5:$C$76=$D65),0),0)),"")</f>
        <v/>
      </c>
      <c r="AW65" s="48" t="str">
        <f ca="1">IFERROR(INDEX(_TECH_Initiative_Library!$AE$5:$AE$76,MATCH(1,INDEX((_TECH_Initiative_Library!$B$5:$B$76=$C65)*(_TECH_Initiative_Library!$C$5:$C$76=$D65),0),0)),"")</f>
        <v/>
      </c>
      <c r="AX65" s="48" t="str">
        <f>IF($B65="Yes",IFERROR(SUMIFS(_TECH_Industry_Templates!$E:$E,_TECH_Industry_Templates!$A:$A,'Company Profile'!$B$9,_TECH_Industry_Templates!$B:$B,$C65),1),"")</f>
        <v/>
      </c>
      <c r="AY65" s="48" t="str">
        <f t="shared" si="17"/>
        <v/>
      </c>
      <c r="AZ65" s="48" t="str">
        <f t="shared" si="18"/>
        <v/>
      </c>
      <c r="BA65" s="48" t="str">
        <f>IF($AZ65="","",RANK.EQ($AZ65,$AZ$8:$AZ$414,0)+COUNTIF($AZ$8:$AZ65,$AZ65)-1)</f>
        <v/>
      </c>
    </row>
    <row r="66" spans="1:53" ht="69.95" customHeight="1">
      <c r="A66" s="36" t="str">
        <f>IF($AZ66="","",RANK.EQ($AZ66,$AZ$8:$AZ$414,0)+COUNTIF($AZ$8:$AZ66,$AZ66)-1)</f>
        <v/>
      </c>
      <c r="B66" s="36" t="str">
        <f t="shared" si="5"/>
        <v/>
      </c>
      <c r="C66" s="36" t="s">
        <v>60</v>
      </c>
      <c r="D66" s="36" t="s">
        <v>1092</v>
      </c>
      <c r="E66" s="36" t="s">
        <v>2446</v>
      </c>
      <c r="F66" s="36" t="s">
        <v>185</v>
      </c>
      <c r="G66" s="36" t="str">
        <f>IF($H66="","",IFERROR(INDEX('Risk Library'!$H$5:$M$411,MATCH($E66,'Risk Library'!$A$5:$A$411,0),$H66+1),""))</f>
        <v/>
      </c>
      <c r="H66" s="37" t="str">
        <f>IF(OR(COUNTA('Governance Crisis'!$H$19)=0,'Governance Crisis'!$H$19="N/A"),"",VALUE('Governance Crisis'!$H$19))</f>
        <v/>
      </c>
      <c r="I66" s="36" t="str">
        <f>IF($H66="","",IFERROR(IF('Governance Crisis'!$L$19="",IF($H66&lt;=1,"Critical",IF($H66=2,"High",IF($H66=3,"Medium",IF($H66=4,"Low","Resilient")))),'Governance Crisis'!$L$19),IF($H66&lt;=1,"Critical",IF($H66=2,"High",IF($H66=3,"Medium",IF($H66=4,"Low","Resilient"))))))</f>
        <v/>
      </c>
      <c r="J66" s="37" t="str">
        <f t="shared" si="6"/>
        <v/>
      </c>
      <c r="K66" s="37" t="str">
        <f t="shared" si="7"/>
        <v/>
      </c>
      <c r="L66" s="37" t="str">
        <f t="shared" si="8"/>
        <v/>
      </c>
      <c r="M66" s="37" t="str">
        <f t="shared" si="9"/>
        <v/>
      </c>
      <c r="N66" s="37" t="str">
        <f>IF($H66="","",IFERROR(INDEX('Risk Library'!$T$5:$Y$411,MATCH($E66,'Risk Library'!$A$5:$A$411,0),$H66+1),""))</f>
        <v/>
      </c>
      <c r="O66" s="37" t="str">
        <f t="shared" si="10"/>
        <v/>
      </c>
      <c r="P66" s="37" t="str">
        <f t="shared" si="11"/>
        <v/>
      </c>
      <c r="Q66" s="37" t="str">
        <f t="shared" si="12"/>
        <v/>
      </c>
      <c r="R66" s="37" t="str">
        <f t="shared" si="13"/>
        <v/>
      </c>
      <c r="S66" s="38" t="str">
        <f t="shared" si="14"/>
        <v/>
      </c>
      <c r="T66" s="36" t="str">
        <f>IF($H66="","",IFERROR(INDEX('Risk Library'!$N$5:$S$411,MATCH($E66,'Risk Library'!$A$5:$A$411,0),$H66+1),""))</f>
        <v/>
      </c>
      <c r="U66" s="37">
        <f>IFERROR('Governance Crisis'!$G$19,"")</f>
        <v>5</v>
      </c>
      <c r="V66" s="37">
        <f>IFERROR('Governance Crisis'!$W$19,"")</f>
        <v>4</v>
      </c>
      <c r="W66" s="37">
        <f>IFERROR('Governance Crisis'!$X$19,"")</f>
        <v>5</v>
      </c>
      <c r="X66" s="37">
        <f>IFERROR('Governance Crisis'!$Y$19,"")</f>
        <v>5</v>
      </c>
      <c r="Y66" s="36" t="s">
        <v>2314</v>
      </c>
      <c r="Z66" s="36" t="s">
        <v>1863</v>
      </c>
      <c r="AA66" s="36" t="s">
        <v>2448</v>
      </c>
      <c r="AB66" s="36">
        <f>IFERROR('Governance Crisis'!$U$19,"")</f>
        <v>0</v>
      </c>
      <c r="AC66" s="36"/>
      <c r="AD66" s="36"/>
      <c r="AE66" s="36"/>
      <c r="AF66" s="36" t="s">
        <v>2447</v>
      </c>
      <c r="AO66" s="48" t="str">
        <f>IF($B66="Yes",IFERROR(SUMIFS(_TECH_Crisis_Model!$D$5:$D$191,_TECH_Crisis_Model!$A$5:$A$191,'Crisis Simulator'!$B$4,_TECH_Crisis_Model!$B$5:$B$191,$C66),1),"")</f>
        <v/>
      </c>
      <c r="AP66" s="48" t="str">
        <f t="shared" si="15"/>
        <v/>
      </c>
      <c r="AQ66" s="48" t="str">
        <f t="shared" si="16"/>
        <v/>
      </c>
      <c r="AR66" s="48" t="str">
        <f>IFERROR(INDEX(_TECH_Crisis_Model!$E$5:$E$191,MATCH('Crisis Simulator'!$B$4&amp;"|"&amp;$C66,_TECH_Crisis_Model!$I$5:$I$191,0)),"")</f>
        <v>Decision rights, escalation and crisis governance determine response speed under pressure.</v>
      </c>
      <c r="AS66" s="48" t="str">
        <f>IFERROR(INDEX(_TECH_Crisis_Model!$G$5:$G$191,MATCH('Crisis Simulator'!$B$4&amp;"|"&amp;$C66,_TECH_Crisis_Model!$I$5:$I$191,0)),"")</f>
        <v>Define crisis roles, escalation path, decision cadence and management war room routines.</v>
      </c>
      <c r="AT66" s="48" t="str">
        <f>IFERROR(INDEX(_TECH_Initiative_Library!$A$5:$A$76,MATCH(1,INDEX((_TECH_Initiative_Library!$B$5:$B$76=$C66)*(_TECH_Initiative_Library!$C$5:$C$76=$D66),0),0)),"")</f>
        <v>INI-010</v>
      </c>
      <c r="AU66" s="48" t="str">
        <f>IFERROR(INDEX(_TECH_Initiative_Library!$F$5:$F$76,MATCH(1,INDEX((_TECH_Initiative_Library!$B$5:$B$76=$C66)*(_TECH_Initiative_Library!$C$5:$C$76=$D66),0),0)),"")</f>
        <v>Implement incident command, escalation and after-action review</v>
      </c>
      <c r="AV66" s="48" t="str">
        <f ca="1">IFERROR(INDEX(_TECH_Initiative_Library!$AC$5:$AC$76,MATCH(1,INDEX((_TECH_Initiative_Library!$B$5:$B$76=$C66)*(_TECH_Initiative_Library!$C$5:$C$76=$D66),0),0)),"")</f>
        <v/>
      </c>
      <c r="AW66" s="48" t="str">
        <f ca="1">IFERROR(INDEX(_TECH_Initiative_Library!$AE$5:$AE$76,MATCH(1,INDEX((_TECH_Initiative_Library!$B$5:$B$76=$C66)*(_TECH_Initiative_Library!$C$5:$C$76=$D66),0),0)),"")</f>
        <v/>
      </c>
      <c r="AX66" s="48" t="str">
        <f>IF($B66="Yes",IFERROR(SUMIFS(_TECH_Industry_Templates!$E:$E,_TECH_Industry_Templates!$A:$A,'Company Profile'!$B$9,_TECH_Industry_Templates!$B:$B,$C66),1),"")</f>
        <v/>
      </c>
      <c r="AY66" s="48" t="str">
        <f t="shared" si="17"/>
        <v/>
      </c>
      <c r="AZ66" s="48" t="str">
        <f t="shared" si="18"/>
        <v/>
      </c>
      <c r="BA66" s="48" t="str">
        <f>IF($AZ66="","",RANK.EQ($AZ66,$AZ$8:$AZ$414,0)+COUNTIF($AZ$8:$AZ66,$AZ66)-1)</f>
        <v/>
      </c>
    </row>
    <row r="67" spans="1:53" ht="69.95" customHeight="1">
      <c r="A67" s="36" t="str">
        <f>IF($AZ67="","",RANK.EQ($AZ67,$AZ$8:$AZ$414,0)+COUNTIF($AZ$8:$AZ67,$AZ67)-1)</f>
        <v/>
      </c>
      <c r="B67" s="36" t="str">
        <f t="shared" si="5"/>
        <v/>
      </c>
      <c r="C67" s="36" t="s">
        <v>60</v>
      </c>
      <c r="D67" s="36" t="s">
        <v>1092</v>
      </c>
      <c r="E67" s="36" t="s">
        <v>2456</v>
      </c>
      <c r="F67" s="36" t="s">
        <v>185</v>
      </c>
      <c r="G67" s="36" t="str">
        <f>IF($H67="","",IFERROR(INDEX('Risk Library'!$H$5:$M$411,MATCH($E67,'Risk Library'!$A$5:$A$411,0),$H67+1),""))</f>
        <v/>
      </c>
      <c r="H67" s="37" t="str">
        <f>IF(OR(COUNTA('Governance Crisis'!$H$20)=0,'Governance Crisis'!$H$20="N/A"),"",VALUE('Governance Crisis'!$H$20))</f>
        <v/>
      </c>
      <c r="I67" s="36" t="str">
        <f>IF($H67="","",IFERROR(IF('Governance Crisis'!$L$20="",IF($H67&lt;=1,"Critical",IF($H67=2,"High",IF($H67=3,"Medium",IF($H67=4,"Low","Resilient")))),'Governance Crisis'!$L$20),IF($H67&lt;=1,"Critical",IF($H67=2,"High",IF($H67=3,"Medium",IF($H67=4,"Low","Resilient"))))))</f>
        <v/>
      </c>
      <c r="J67" s="37" t="str">
        <f t="shared" si="6"/>
        <v/>
      </c>
      <c r="K67" s="37" t="str">
        <f t="shared" si="7"/>
        <v/>
      </c>
      <c r="L67" s="37" t="str">
        <f t="shared" si="8"/>
        <v/>
      </c>
      <c r="M67" s="37" t="str">
        <f t="shared" si="9"/>
        <v/>
      </c>
      <c r="N67" s="37" t="str">
        <f>IF($H67="","",IFERROR(INDEX('Risk Library'!$T$5:$Y$411,MATCH($E67,'Risk Library'!$A$5:$A$411,0),$H67+1),""))</f>
        <v/>
      </c>
      <c r="O67" s="37" t="str">
        <f t="shared" si="10"/>
        <v/>
      </c>
      <c r="P67" s="37" t="str">
        <f t="shared" si="11"/>
        <v/>
      </c>
      <c r="Q67" s="37" t="str">
        <f t="shared" si="12"/>
        <v/>
      </c>
      <c r="R67" s="37" t="str">
        <f t="shared" si="13"/>
        <v/>
      </c>
      <c r="S67" s="38" t="str">
        <f t="shared" si="14"/>
        <v/>
      </c>
      <c r="T67" s="36" t="str">
        <f>IF($H67="","",IFERROR(INDEX('Risk Library'!$N$5:$S$411,MATCH($E67,'Risk Library'!$A$5:$A$411,0),$H67+1),""))</f>
        <v/>
      </c>
      <c r="U67" s="37">
        <f>IFERROR('Governance Crisis'!$G$20,"")</f>
        <v>5</v>
      </c>
      <c r="V67" s="37">
        <f>IFERROR('Governance Crisis'!$W$20,"")</f>
        <v>4</v>
      </c>
      <c r="W67" s="37">
        <f>IFERROR('Governance Crisis'!$X$20,"")</f>
        <v>5</v>
      </c>
      <c r="X67" s="37">
        <f>IFERROR('Governance Crisis'!$Y$20,"")</f>
        <v>5</v>
      </c>
      <c r="Y67" s="36" t="s">
        <v>2314</v>
      </c>
      <c r="Z67" s="36" t="s">
        <v>1863</v>
      </c>
      <c r="AA67" s="36" t="s">
        <v>2458</v>
      </c>
      <c r="AB67" s="36">
        <f>IFERROR('Governance Crisis'!$U$20,"")</f>
        <v>0</v>
      </c>
      <c r="AC67" s="36"/>
      <c r="AD67" s="36"/>
      <c r="AE67" s="36"/>
      <c r="AF67" s="36" t="s">
        <v>2457</v>
      </c>
      <c r="AO67" s="48" t="str">
        <f>IF($B67="Yes",IFERROR(SUMIFS(_TECH_Crisis_Model!$D$5:$D$191,_TECH_Crisis_Model!$A$5:$A$191,'Crisis Simulator'!$B$4,_TECH_Crisis_Model!$B$5:$B$191,$C67),1),"")</f>
        <v/>
      </c>
      <c r="AP67" s="48" t="str">
        <f t="shared" si="15"/>
        <v/>
      </c>
      <c r="AQ67" s="48" t="str">
        <f t="shared" si="16"/>
        <v/>
      </c>
      <c r="AR67" s="48" t="str">
        <f>IFERROR(INDEX(_TECH_Crisis_Model!$E$5:$E$191,MATCH('Crisis Simulator'!$B$4&amp;"|"&amp;$C67,_TECH_Crisis_Model!$I$5:$I$191,0)),"")</f>
        <v>Decision rights, escalation and crisis governance determine response speed under pressure.</v>
      </c>
      <c r="AS67" s="48" t="str">
        <f>IFERROR(INDEX(_TECH_Crisis_Model!$G$5:$G$191,MATCH('Crisis Simulator'!$B$4&amp;"|"&amp;$C67,_TECH_Crisis_Model!$I$5:$I$191,0)),"")</f>
        <v>Define crisis roles, escalation path, decision cadence and management war room routines.</v>
      </c>
      <c r="AT67" s="48" t="str">
        <f>IFERROR(INDEX(_TECH_Initiative_Library!$A$5:$A$76,MATCH(1,INDEX((_TECH_Initiative_Library!$B$5:$B$76=$C67)*(_TECH_Initiative_Library!$C$5:$C$76=$D67),0),0)),"")</f>
        <v>INI-010</v>
      </c>
      <c r="AU67" s="48" t="str">
        <f>IFERROR(INDEX(_TECH_Initiative_Library!$F$5:$F$76,MATCH(1,INDEX((_TECH_Initiative_Library!$B$5:$B$76=$C67)*(_TECH_Initiative_Library!$C$5:$C$76=$D67),0),0)),"")</f>
        <v>Implement incident command, escalation and after-action review</v>
      </c>
      <c r="AV67" s="48" t="str">
        <f ca="1">IFERROR(INDEX(_TECH_Initiative_Library!$AC$5:$AC$76,MATCH(1,INDEX((_TECH_Initiative_Library!$B$5:$B$76=$C67)*(_TECH_Initiative_Library!$C$5:$C$76=$D67),0),0)),"")</f>
        <v/>
      </c>
      <c r="AW67" s="48" t="str">
        <f ca="1">IFERROR(INDEX(_TECH_Initiative_Library!$AE$5:$AE$76,MATCH(1,INDEX((_TECH_Initiative_Library!$B$5:$B$76=$C67)*(_TECH_Initiative_Library!$C$5:$C$76=$D67),0),0)),"")</f>
        <v/>
      </c>
      <c r="AX67" s="48" t="str">
        <f>IF($B67="Yes",IFERROR(SUMIFS(_TECH_Industry_Templates!$E:$E,_TECH_Industry_Templates!$A:$A,'Company Profile'!$B$9,_TECH_Industry_Templates!$B:$B,$C67),1),"")</f>
        <v/>
      </c>
      <c r="AY67" s="48" t="str">
        <f t="shared" si="17"/>
        <v/>
      </c>
      <c r="AZ67" s="48" t="str">
        <f t="shared" si="18"/>
        <v/>
      </c>
      <c r="BA67" s="48" t="str">
        <f>IF($AZ67="","",RANK.EQ($AZ67,$AZ$8:$AZ$414,0)+COUNTIF($AZ$8:$AZ67,$AZ67)-1)</f>
        <v/>
      </c>
    </row>
    <row r="68" spans="1:53" ht="69.95" customHeight="1">
      <c r="A68" s="36" t="str">
        <f>IF($AZ68="","",RANK.EQ($AZ68,$AZ$8:$AZ$414,0)+COUNTIF($AZ$8:$AZ68,$AZ68)-1)</f>
        <v/>
      </c>
      <c r="B68" s="36" t="str">
        <f t="shared" si="5"/>
        <v/>
      </c>
      <c r="C68" s="36" t="s">
        <v>60</v>
      </c>
      <c r="D68" s="36" t="s">
        <v>1092</v>
      </c>
      <c r="E68" s="36" t="s">
        <v>2466</v>
      </c>
      <c r="F68" s="36" t="s">
        <v>185</v>
      </c>
      <c r="G68" s="36" t="str">
        <f>IF($H68="","",IFERROR(INDEX('Risk Library'!$H$5:$M$411,MATCH($E68,'Risk Library'!$A$5:$A$411,0),$H68+1),""))</f>
        <v/>
      </c>
      <c r="H68" s="37" t="str">
        <f>IF(OR(COUNTA('Governance Crisis'!$H$21)=0,'Governance Crisis'!$H$21="N/A"),"",VALUE('Governance Crisis'!$H$21))</f>
        <v/>
      </c>
      <c r="I68" s="36" t="str">
        <f>IF($H68="","",IFERROR(IF('Governance Crisis'!$L$21="",IF($H68&lt;=1,"Critical",IF($H68=2,"High",IF($H68=3,"Medium",IF($H68=4,"Low","Resilient")))),'Governance Crisis'!$L$21),IF($H68&lt;=1,"Critical",IF($H68=2,"High",IF($H68=3,"Medium",IF($H68=4,"Low","Resilient"))))))</f>
        <v/>
      </c>
      <c r="J68" s="37" t="str">
        <f t="shared" si="6"/>
        <v/>
      </c>
      <c r="K68" s="37" t="str">
        <f t="shared" si="7"/>
        <v/>
      </c>
      <c r="L68" s="37" t="str">
        <f t="shared" si="8"/>
        <v/>
      </c>
      <c r="M68" s="37" t="str">
        <f t="shared" si="9"/>
        <v/>
      </c>
      <c r="N68" s="37" t="str">
        <f>IF($H68="","",IFERROR(INDEX('Risk Library'!$T$5:$Y$411,MATCH($E68,'Risk Library'!$A$5:$A$411,0),$H68+1),""))</f>
        <v/>
      </c>
      <c r="O68" s="37" t="str">
        <f t="shared" si="10"/>
        <v/>
      </c>
      <c r="P68" s="37" t="str">
        <f t="shared" si="11"/>
        <v/>
      </c>
      <c r="Q68" s="37" t="str">
        <f t="shared" si="12"/>
        <v/>
      </c>
      <c r="R68" s="37" t="str">
        <f t="shared" si="13"/>
        <v/>
      </c>
      <c r="S68" s="38" t="str">
        <f t="shared" si="14"/>
        <v/>
      </c>
      <c r="T68" s="36" t="str">
        <f>IF($H68="","",IFERROR(INDEX('Risk Library'!$N$5:$S$411,MATCH($E68,'Risk Library'!$A$5:$A$411,0),$H68+1),""))</f>
        <v/>
      </c>
      <c r="U68" s="37">
        <f>IFERROR('Governance Crisis'!$G$21,"")</f>
        <v>5</v>
      </c>
      <c r="V68" s="37">
        <f>IFERROR('Governance Crisis'!$W$21,"")</f>
        <v>4</v>
      </c>
      <c r="W68" s="37">
        <f>IFERROR('Governance Crisis'!$X$21,"")</f>
        <v>5</v>
      </c>
      <c r="X68" s="37">
        <f>IFERROR('Governance Crisis'!$Y$21,"")</f>
        <v>5</v>
      </c>
      <c r="Y68" s="36" t="s">
        <v>2314</v>
      </c>
      <c r="Z68" s="36" t="s">
        <v>1863</v>
      </c>
      <c r="AA68" s="36" t="s">
        <v>2468</v>
      </c>
      <c r="AB68" s="36">
        <f>IFERROR('Governance Crisis'!$U$21,"")</f>
        <v>0</v>
      </c>
      <c r="AC68" s="36"/>
      <c r="AD68" s="36"/>
      <c r="AE68" s="36"/>
      <c r="AF68" s="36" t="s">
        <v>2467</v>
      </c>
      <c r="AO68" s="48" t="str">
        <f>IF($B68="Yes",IFERROR(SUMIFS(_TECH_Crisis_Model!$D$5:$D$191,_TECH_Crisis_Model!$A$5:$A$191,'Crisis Simulator'!$B$4,_TECH_Crisis_Model!$B$5:$B$191,$C68),1),"")</f>
        <v/>
      </c>
      <c r="AP68" s="48" t="str">
        <f t="shared" si="15"/>
        <v/>
      </c>
      <c r="AQ68" s="48" t="str">
        <f t="shared" si="16"/>
        <v/>
      </c>
      <c r="AR68" s="48" t="str">
        <f>IFERROR(INDEX(_TECH_Crisis_Model!$E$5:$E$191,MATCH('Crisis Simulator'!$B$4&amp;"|"&amp;$C68,_TECH_Crisis_Model!$I$5:$I$191,0)),"")</f>
        <v>Decision rights, escalation and crisis governance determine response speed under pressure.</v>
      </c>
      <c r="AS68" s="48" t="str">
        <f>IFERROR(INDEX(_TECH_Crisis_Model!$G$5:$G$191,MATCH('Crisis Simulator'!$B$4&amp;"|"&amp;$C68,_TECH_Crisis_Model!$I$5:$I$191,0)),"")</f>
        <v>Define crisis roles, escalation path, decision cadence and management war room routines.</v>
      </c>
      <c r="AT68" s="48" t="str">
        <f>IFERROR(INDEX(_TECH_Initiative_Library!$A$5:$A$76,MATCH(1,INDEX((_TECH_Initiative_Library!$B$5:$B$76=$C68)*(_TECH_Initiative_Library!$C$5:$C$76=$D68),0),0)),"")</f>
        <v>INI-010</v>
      </c>
      <c r="AU68" s="48" t="str">
        <f>IFERROR(INDEX(_TECH_Initiative_Library!$F$5:$F$76,MATCH(1,INDEX((_TECH_Initiative_Library!$B$5:$B$76=$C68)*(_TECH_Initiative_Library!$C$5:$C$76=$D68),0),0)),"")</f>
        <v>Implement incident command, escalation and after-action review</v>
      </c>
      <c r="AV68" s="48" t="str">
        <f ca="1">IFERROR(INDEX(_TECH_Initiative_Library!$AC$5:$AC$76,MATCH(1,INDEX((_TECH_Initiative_Library!$B$5:$B$76=$C68)*(_TECH_Initiative_Library!$C$5:$C$76=$D68),0),0)),"")</f>
        <v/>
      </c>
      <c r="AW68" s="48" t="str">
        <f ca="1">IFERROR(INDEX(_TECH_Initiative_Library!$AE$5:$AE$76,MATCH(1,INDEX((_TECH_Initiative_Library!$B$5:$B$76=$C68)*(_TECH_Initiative_Library!$C$5:$C$76=$D68),0),0)),"")</f>
        <v/>
      </c>
      <c r="AX68" s="48" t="str">
        <f>IF($B68="Yes",IFERROR(SUMIFS(_TECH_Industry_Templates!$E:$E,_TECH_Industry_Templates!$A:$A,'Company Profile'!$B$9,_TECH_Industry_Templates!$B:$B,$C68),1),"")</f>
        <v/>
      </c>
      <c r="AY68" s="48" t="str">
        <f t="shared" si="17"/>
        <v/>
      </c>
      <c r="AZ68" s="48" t="str">
        <f t="shared" si="18"/>
        <v/>
      </c>
      <c r="BA68" s="48" t="str">
        <f>IF($AZ68="","",RANK.EQ($AZ68,$AZ$8:$AZ$414,0)+COUNTIF($AZ$8:$AZ68,$AZ68)-1)</f>
        <v/>
      </c>
    </row>
    <row r="69" spans="1:53" ht="69.95" customHeight="1">
      <c r="A69" s="36" t="str">
        <f>IF($AZ69="","",RANK.EQ($AZ69,$AZ$8:$AZ$414,0)+COUNTIF($AZ$8:$AZ69,$AZ69)-1)</f>
        <v/>
      </c>
      <c r="B69" s="36" t="str">
        <f t="shared" si="5"/>
        <v/>
      </c>
      <c r="C69" s="36" t="s">
        <v>60</v>
      </c>
      <c r="D69" s="36" t="s">
        <v>1092</v>
      </c>
      <c r="E69" s="36" t="s">
        <v>2476</v>
      </c>
      <c r="F69" s="36" t="s">
        <v>185</v>
      </c>
      <c r="G69" s="36" t="str">
        <f>IF($H69="","",IFERROR(INDEX('Risk Library'!$H$5:$M$411,MATCH($E69,'Risk Library'!$A$5:$A$411,0),$H69+1),""))</f>
        <v/>
      </c>
      <c r="H69" s="37" t="str">
        <f>IF(OR(COUNTA('Governance Crisis'!$H$22)=0,'Governance Crisis'!$H$22="N/A"),"",VALUE('Governance Crisis'!$H$22))</f>
        <v/>
      </c>
      <c r="I69" s="36" t="str">
        <f>IF($H69="","",IFERROR(IF('Governance Crisis'!$L$22="",IF($H69&lt;=1,"Critical",IF($H69=2,"High",IF($H69=3,"Medium",IF($H69=4,"Low","Resilient")))),'Governance Crisis'!$L$22),IF($H69&lt;=1,"Critical",IF($H69=2,"High",IF($H69=3,"Medium",IF($H69=4,"Low","Resilient"))))))</f>
        <v/>
      </c>
      <c r="J69" s="37" t="str">
        <f t="shared" si="6"/>
        <v/>
      </c>
      <c r="K69" s="37" t="str">
        <f t="shared" si="7"/>
        <v/>
      </c>
      <c r="L69" s="37" t="str">
        <f t="shared" si="8"/>
        <v/>
      </c>
      <c r="M69" s="37" t="str">
        <f t="shared" si="9"/>
        <v/>
      </c>
      <c r="N69" s="37" t="str">
        <f>IF($H69="","",IFERROR(INDEX('Risk Library'!$T$5:$Y$411,MATCH($E69,'Risk Library'!$A$5:$A$411,0),$H69+1),""))</f>
        <v/>
      </c>
      <c r="O69" s="37" t="str">
        <f t="shared" si="10"/>
        <v/>
      </c>
      <c r="P69" s="37" t="str">
        <f t="shared" si="11"/>
        <v/>
      </c>
      <c r="Q69" s="37" t="str">
        <f t="shared" si="12"/>
        <v/>
      </c>
      <c r="R69" s="37" t="str">
        <f t="shared" si="13"/>
        <v/>
      </c>
      <c r="S69" s="38" t="str">
        <f t="shared" si="14"/>
        <v/>
      </c>
      <c r="T69" s="36" t="str">
        <f>IF($H69="","",IFERROR(INDEX('Risk Library'!$N$5:$S$411,MATCH($E69,'Risk Library'!$A$5:$A$411,0),$H69+1),""))</f>
        <v/>
      </c>
      <c r="U69" s="37">
        <f>IFERROR('Governance Crisis'!$G$22,"")</f>
        <v>3</v>
      </c>
      <c r="V69" s="37">
        <f>IFERROR('Governance Crisis'!$W$22,"")</f>
        <v>4</v>
      </c>
      <c r="W69" s="37">
        <f>IFERROR('Governance Crisis'!$X$22,"")</f>
        <v>5</v>
      </c>
      <c r="X69" s="37">
        <f>IFERROR('Governance Crisis'!$Y$22,"")</f>
        <v>5</v>
      </c>
      <c r="Y69" s="36" t="s">
        <v>2314</v>
      </c>
      <c r="Z69" s="36" t="s">
        <v>1863</v>
      </c>
      <c r="AA69" s="36" t="s">
        <v>2478</v>
      </c>
      <c r="AB69" s="36">
        <f>IFERROR('Governance Crisis'!$U$22,"")</f>
        <v>0</v>
      </c>
      <c r="AC69" s="36"/>
      <c r="AD69" s="36"/>
      <c r="AE69" s="36"/>
      <c r="AF69" s="36" t="s">
        <v>2477</v>
      </c>
      <c r="AO69" s="48" t="str">
        <f>IF($B69="Yes",IFERROR(SUMIFS(_TECH_Crisis_Model!$D$5:$D$191,_TECH_Crisis_Model!$A$5:$A$191,'Crisis Simulator'!$B$4,_TECH_Crisis_Model!$B$5:$B$191,$C69),1),"")</f>
        <v/>
      </c>
      <c r="AP69" s="48" t="str">
        <f t="shared" si="15"/>
        <v/>
      </c>
      <c r="AQ69" s="48" t="str">
        <f t="shared" si="16"/>
        <v/>
      </c>
      <c r="AR69" s="48" t="str">
        <f>IFERROR(INDEX(_TECH_Crisis_Model!$E$5:$E$191,MATCH('Crisis Simulator'!$B$4&amp;"|"&amp;$C69,_TECH_Crisis_Model!$I$5:$I$191,0)),"")</f>
        <v>Decision rights, escalation and crisis governance determine response speed under pressure.</v>
      </c>
      <c r="AS69" s="48" t="str">
        <f>IFERROR(INDEX(_TECH_Crisis_Model!$G$5:$G$191,MATCH('Crisis Simulator'!$B$4&amp;"|"&amp;$C69,_TECH_Crisis_Model!$I$5:$I$191,0)),"")</f>
        <v>Define crisis roles, escalation path, decision cadence and management war room routines.</v>
      </c>
      <c r="AT69" s="48" t="str">
        <f>IFERROR(INDEX(_TECH_Initiative_Library!$A$5:$A$76,MATCH(1,INDEX((_TECH_Initiative_Library!$B$5:$B$76=$C69)*(_TECH_Initiative_Library!$C$5:$C$76=$D69),0),0)),"")</f>
        <v>INI-010</v>
      </c>
      <c r="AU69" s="48" t="str">
        <f>IFERROR(INDEX(_TECH_Initiative_Library!$F$5:$F$76,MATCH(1,INDEX((_TECH_Initiative_Library!$B$5:$B$76=$C69)*(_TECH_Initiative_Library!$C$5:$C$76=$D69),0),0)),"")</f>
        <v>Implement incident command, escalation and after-action review</v>
      </c>
      <c r="AV69" s="48" t="str">
        <f ca="1">IFERROR(INDEX(_TECH_Initiative_Library!$AC$5:$AC$76,MATCH(1,INDEX((_TECH_Initiative_Library!$B$5:$B$76=$C69)*(_TECH_Initiative_Library!$C$5:$C$76=$D69),0),0)),"")</f>
        <v/>
      </c>
      <c r="AW69" s="48" t="str">
        <f ca="1">IFERROR(INDEX(_TECH_Initiative_Library!$AE$5:$AE$76,MATCH(1,INDEX((_TECH_Initiative_Library!$B$5:$B$76=$C69)*(_TECH_Initiative_Library!$C$5:$C$76=$D69),0),0)),"")</f>
        <v/>
      </c>
      <c r="AX69" s="48" t="str">
        <f>IF($B69="Yes",IFERROR(SUMIFS(_TECH_Industry_Templates!$E:$E,_TECH_Industry_Templates!$A:$A,'Company Profile'!$B$9,_TECH_Industry_Templates!$B:$B,$C69),1),"")</f>
        <v/>
      </c>
      <c r="AY69" s="48" t="str">
        <f t="shared" si="17"/>
        <v/>
      </c>
      <c r="AZ69" s="48" t="str">
        <f t="shared" si="18"/>
        <v/>
      </c>
      <c r="BA69" s="48" t="str">
        <f>IF($AZ69="","",RANK.EQ($AZ69,$AZ$8:$AZ$414,0)+COUNTIF($AZ$8:$AZ69,$AZ69)-1)</f>
        <v/>
      </c>
    </row>
    <row r="70" spans="1:53" ht="69.95" customHeight="1">
      <c r="A70" s="36" t="str">
        <f>IF($AZ70="","",RANK.EQ($AZ70,$AZ$8:$AZ$414,0)+COUNTIF($AZ$8:$AZ70,$AZ70)-1)</f>
        <v/>
      </c>
      <c r="B70" s="36" t="str">
        <f t="shared" si="5"/>
        <v/>
      </c>
      <c r="C70" s="36" t="s">
        <v>60</v>
      </c>
      <c r="D70" s="36" t="s">
        <v>1092</v>
      </c>
      <c r="E70" s="36" t="s">
        <v>2486</v>
      </c>
      <c r="F70" s="36" t="s">
        <v>185</v>
      </c>
      <c r="G70" s="36" t="str">
        <f>IF($H70="","",IFERROR(INDEX('Risk Library'!$H$5:$M$411,MATCH($E70,'Risk Library'!$A$5:$A$411,0),$H70+1),""))</f>
        <v/>
      </c>
      <c r="H70" s="37" t="str">
        <f>IF(OR(COUNTA('Governance Crisis'!$H$23)=0,'Governance Crisis'!$H$23="N/A"),"",VALUE('Governance Crisis'!$H$23))</f>
        <v/>
      </c>
      <c r="I70" s="36" t="str">
        <f>IF($H70="","",IFERROR(IF('Governance Crisis'!$L$23="",IF($H70&lt;=1,"Critical",IF($H70=2,"High",IF($H70=3,"Medium",IF($H70=4,"Low","Resilient")))),'Governance Crisis'!$L$23),IF($H70&lt;=1,"Critical",IF($H70=2,"High",IF($H70=3,"Medium",IF($H70=4,"Low","Resilient"))))))</f>
        <v/>
      </c>
      <c r="J70" s="37" t="str">
        <f t="shared" si="6"/>
        <v/>
      </c>
      <c r="K70" s="37" t="str">
        <f t="shared" si="7"/>
        <v/>
      </c>
      <c r="L70" s="37" t="str">
        <f t="shared" si="8"/>
        <v/>
      </c>
      <c r="M70" s="37" t="str">
        <f t="shared" si="9"/>
        <v/>
      </c>
      <c r="N70" s="37" t="str">
        <f>IF($H70="","",IFERROR(INDEX('Risk Library'!$T$5:$Y$411,MATCH($E70,'Risk Library'!$A$5:$A$411,0),$H70+1),""))</f>
        <v/>
      </c>
      <c r="O70" s="37" t="str">
        <f t="shared" si="10"/>
        <v/>
      </c>
      <c r="P70" s="37" t="str">
        <f t="shared" si="11"/>
        <v/>
      </c>
      <c r="Q70" s="37" t="str">
        <f t="shared" si="12"/>
        <v/>
      </c>
      <c r="R70" s="37" t="str">
        <f t="shared" si="13"/>
        <v/>
      </c>
      <c r="S70" s="38" t="str">
        <f t="shared" si="14"/>
        <v/>
      </c>
      <c r="T70" s="36" t="str">
        <f>IF($H70="","",IFERROR(INDEX('Risk Library'!$N$5:$S$411,MATCH($E70,'Risk Library'!$A$5:$A$411,0),$H70+1),""))</f>
        <v/>
      </c>
      <c r="U70" s="37">
        <f>IFERROR('Governance Crisis'!$G$23,"")</f>
        <v>5</v>
      </c>
      <c r="V70" s="37">
        <f>IFERROR('Governance Crisis'!$W$23,"")</f>
        <v>4</v>
      </c>
      <c r="W70" s="37">
        <f>IFERROR('Governance Crisis'!$X$23,"")</f>
        <v>5</v>
      </c>
      <c r="X70" s="37">
        <f>IFERROR('Governance Crisis'!$Y$23,"")</f>
        <v>5</v>
      </c>
      <c r="Y70" s="36" t="s">
        <v>2314</v>
      </c>
      <c r="Z70" s="36" t="s">
        <v>1863</v>
      </c>
      <c r="AA70" s="36" t="s">
        <v>2488</v>
      </c>
      <c r="AB70" s="36">
        <f>IFERROR('Governance Crisis'!$U$23,"")</f>
        <v>0</v>
      </c>
      <c r="AC70" s="36"/>
      <c r="AD70" s="36"/>
      <c r="AE70" s="36"/>
      <c r="AF70" s="36" t="s">
        <v>2487</v>
      </c>
      <c r="AO70" s="48" t="str">
        <f>IF($B70="Yes",IFERROR(SUMIFS(_TECH_Crisis_Model!$D$5:$D$191,_TECH_Crisis_Model!$A$5:$A$191,'Crisis Simulator'!$B$4,_TECH_Crisis_Model!$B$5:$B$191,$C70),1),"")</f>
        <v/>
      </c>
      <c r="AP70" s="48" t="str">
        <f t="shared" si="15"/>
        <v/>
      </c>
      <c r="AQ70" s="48" t="str">
        <f t="shared" si="16"/>
        <v/>
      </c>
      <c r="AR70" s="48" t="str">
        <f>IFERROR(INDEX(_TECH_Crisis_Model!$E$5:$E$191,MATCH('Crisis Simulator'!$B$4&amp;"|"&amp;$C70,_TECH_Crisis_Model!$I$5:$I$191,0)),"")</f>
        <v>Decision rights, escalation and crisis governance determine response speed under pressure.</v>
      </c>
      <c r="AS70" s="48" t="str">
        <f>IFERROR(INDEX(_TECH_Crisis_Model!$G$5:$G$191,MATCH('Crisis Simulator'!$B$4&amp;"|"&amp;$C70,_TECH_Crisis_Model!$I$5:$I$191,0)),"")</f>
        <v>Define crisis roles, escalation path, decision cadence and management war room routines.</v>
      </c>
      <c r="AT70" s="48" t="str">
        <f>IFERROR(INDEX(_TECH_Initiative_Library!$A$5:$A$76,MATCH(1,INDEX((_TECH_Initiative_Library!$B$5:$B$76=$C70)*(_TECH_Initiative_Library!$C$5:$C$76=$D70),0),0)),"")</f>
        <v>INI-010</v>
      </c>
      <c r="AU70" s="48" t="str">
        <f>IFERROR(INDEX(_TECH_Initiative_Library!$F$5:$F$76,MATCH(1,INDEX((_TECH_Initiative_Library!$B$5:$B$76=$C70)*(_TECH_Initiative_Library!$C$5:$C$76=$D70),0),0)),"")</f>
        <v>Implement incident command, escalation and after-action review</v>
      </c>
      <c r="AV70" s="48" t="str">
        <f ca="1">IFERROR(INDEX(_TECH_Initiative_Library!$AC$5:$AC$76,MATCH(1,INDEX((_TECH_Initiative_Library!$B$5:$B$76=$C70)*(_TECH_Initiative_Library!$C$5:$C$76=$D70),0),0)),"")</f>
        <v/>
      </c>
      <c r="AW70" s="48" t="str">
        <f ca="1">IFERROR(INDEX(_TECH_Initiative_Library!$AE$5:$AE$76,MATCH(1,INDEX((_TECH_Initiative_Library!$B$5:$B$76=$C70)*(_TECH_Initiative_Library!$C$5:$C$76=$D70),0),0)),"")</f>
        <v/>
      </c>
      <c r="AX70" s="48" t="str">
        <f>IF($B70="Yes",IFERROR(SUMIFS(_TECH_Industry_Templates!$E:$E,_TECH_Industry_Templates!$A:$A,'Company Profile'!$B$9,_TECH_Industry_Templates!$B:$B,$C70),1),"")</f>
        <v/>
      </c>
      <c r="AY70" s="48" t="str">
        <f t="shared" si="17"/>
        <v/>
      </c>
      <c r="AZ70" s="48" t="str">
        <f t="shared" si="18"/>
        <v/>
      </c>
      <c r="BA70" s="48" t="str">
        <f>IF($AZ70="","",RANK.EQ($AZ70,$AZ$8:$AZ$414,0)+COUNTIF($AZ$8:$AZ70,$AZ70)-1)</f>
        <v/>
      </c>
    </row>
    <row r="71" spans="1:53" ht="69.95" customHeight="1">
      <c r="A71" s="36" t="str">
        <f>IF($AZ71="","",RANK.EQ($AZ71,$AZ$8:$AZ$414,0)+COUNTIF($AZ$8:$AZ71,$AZ71)-1)</f>
        <v/>
      </c>
      <c r="B71" s="36" t="str">
        <f t="shared" si="5"/>
        <v/>
      </c>
      <c r="C71" s="36" t="s">
        <v>63</v>
      </c>
      <c r="D71" s="36" t="s">
        <v>1100</v>
      </c>
      <c r="E71" s="36" t="s">
        <v>2498</v>
      </c>
      <c r="F71" s="36" t="s">
        <v>186</v>
      </c>
      <c r="G71" s="36" t="str">
        <f>IF($H71="","",IFERROR(INDEX('Risk Library'!$H$5:$M$411,MATCH($E71,'Risk Library'!$A$5:$A$411,0),$H71+1),""))</f>
        <v/>
      </c>
      <c r="H71" s="37" t="str">
        <f>IF(OR(COUNTA('HR Workforce'!$H$5)=0,'HR Workforce'!$H$5="N/A"),"",VALUE('HR Workforce'!$H$5))</f>
        <v/>
      </c>
      <c r="I71" s="36" t="str">
        <f>IF($H71="","",IFERROR(IF('HR Workforce'!$L$5="",IF($H71&lt;=1,"Critical",IF($H71=2,"High",IF($H71=3,"Medium",IF($H71=4,"Low","Resilient")))),'HR Workforce'!$L$5),IF($H71&lt;=1,"Critical",IF($H71=2,"High",IF($H71=3,"Medium",IF($H71=4,"Low","Resilient"))))))</f>
        <v/>
      </c>
      <c r="J71" s="37" t="str">
        <f t="shared" si="6"/>
        <v/>
      </c>
      <c r="K71" s="37" t="str">
        <f t="shared" si="7"/>
        <v/>
      </c>
      <c r="L71" s="37" t="str">
        <f t="shared" si="8"/>
        <v/>
      </c>
      <c r="M71" s="37" t="str">
        <f t="shared" si="9"/>
        <v/>
      </c>
      <c r="N71" s="37" t="str">
        <f>IF($H71="","",IFERROR(INDEX('Risk Library'!$T$5:$Y$411,MATCH($E71,'Risk Library'!$A$5:$A$411,0),$H71+1),""))</f>
        <v/>
      </c>
      <c r="O71" s="37" t="str">
        <f t="shared" si="10"/>
        <v/>
      </c>
      <c r="P71" s="37" t="str">
        <f t="shared" si="11"/>
        <v/>
      </c>
      <c r="Q71" s="37" t="str">
        <f t="shared" si="12"/>
        <v/>
      </c>
      <c r="R71" s="37" t="str">
        <f t="shared" si="13"/>
        <v/>
      </c>
      <c r="S71" s="38" t="str">
        <f t="shared" si="14"/>
        <v/>
      </c>
      <c r="T71" s="36" t="str">
        <f>IF($H71="","",IFERROR(INDEX('Risk Library'!$N$5:$S$411,MATCH($E71,'Risk Library'!$A$5:$A$411,0),$H71+1),""))</f>
        <v/>
      </c>
      <c r="U71" s="37">
        <f>IFERROR('HR Workforce'!$G$5,"")</f>
        <v>5</v>
      </c>
      <c r="V71" s="37">
        <f>IFERROR('HR Workforce'!$W$5,"")</f>
        <v>4</v>
      </c>
      <c r="W71" s="37">
        <f>IFERROR('HR Workforce'!$X$5,"")</f>
        <v>5</v>
      </c>
      <c r="X71" s="37">
        <f>IFERROR('HR Workforce'!$Y$5,"")</f>
        <v>5</v>
      </c>
      <c r="Y71" s="36" t="s">
        <v>2509</v>
      </c>
      <c r="Z71" s="36" t="s">
        <v>2510</v>
      </c>
      <c r="AA71" s="36" t="s">
        <v>2502</v>
      </c>
      <c r="AB71" s="36">
        <f>IFERROR('HR Workforce'!$U$5,"")</f>
        <v>0</v>
      </c>
      <c r="AC71" s="36"/>
      <c r="AD71" s="36"/>
      <c r="AE71" s="36"/>
      <c r="AF71" s="36" t="s">
        <v>2499</v>
      </c>
      <c r="AO71" s="48" t="str">
        <f>IF($B71="Yes",IFERROR(SUMIFS(_TECH_Crisis_Model!$D$5:$D$191,_TECH_Crisis_Model!$A$5:$A$191,'Crisis Simulator'!$B$4,_TECH_Crisis_Model!$B$5:$B$191,$C71),1),"")</f>
        <v/>
      </c>
      <c r="AP71" s="48" t="str">
        <f t="shared" si="15"/>
        <v/>
      </c>
      <c r="AQ71" s="48" t="str">
        <f t="shared" si="16"/>
        <v/>
      </c>
      <c r="AR71" s="48" t="str">
        <f>IFERROR(INDEX(_TECH_Crisis_Model!$E$5:$E$191,MATCH('Crisis Simulator'!$B$4&amp;"|"&amp;$C71,_TECH_Crisis_Model!$I$5:$I$191,0)),"")</f>
        <v>Workforce availability, critical people and knowledge continuity determine operational capacity.</v>
      </c>
      <c r="AS71" s="48" t="str">
        <f>IFERROR(INDEX(_TECH_Crisis_Model!$G$5:$G$191,MATCH('Crisis Simulator'!$B$4&amp;"|"&amp;$C71,_TECH_Crisis_Model!$I$5:$I$191,0)),"")</f>
        <v>Create critical role backups, knowledge transfer, cross-training and workforce continuity plans.</v>
      </c>
      <c r="AT71" s="48" t="str">
        <f>IFERROR(INDEX(_TECH_Initiative_Library!$A$5:$A$76,MATCH(1,INDEX((_TECH_Initiative_Library!$B$5:$B$76=$C71)*(_TECH_Initiative_Library!$C$5:$C$76=$D71),0),0)),"")</f>
        <v>INI-011</v>
      </c>
      <c r="AU71" s="48" t="str">
        <f>IFERROR(INDEX(_TECH_Initiative_Library!$F$5:$F$76,MATCH(1,INDEX((_TECH_Initiative_Library!$B$5:$B$76=$C71)*(_TECH_Initiative_Library!$C$5:$C$76=$D71),0),0)),"")</f>
        <v>Create workforce visibility, critical-role and location dashboard</v>
      </c>
      <c r="AV71" s="48" t="str">
        <f ca="1">IFERROR(INDEX(_TECH_Initiative_Library!$AC$5:$AC$76,MATCH(1,INDEX((_TECH_Initiative_Library!$B$5:$B$76=$C71)*(_TECH_Initiative_Library!$C$5:$C$76=$D71),0),0)),"")</f>
        <v/>
      </c>
      <c r="AW71" s="48" t="str">
        <f ca="1">IFERROR(INDEX(_TECH_Initiative_Library!$AE$5:$AE$76,MATCH(1,INDEX((_TECH_Initiative_Library!$B$5:$B$76=$C71)*(_TECH_Initiative_Library!$C$5:$C$76=$D71),0),0)),"")</f>
        <v/>
      </c>
      <c r="AX71" s="48" t="str">
        <f>IF($B71="Yes",IFERROR(SUMIFS(_TECH_Industry_Templates!$E:$E,_TECH_Industry_Templates!$A:$A,'Company Profile'!$B$9,_TECH_Industry_Templates!$B:$B,$C71),1),"")</f>
        <v/>
      </c>
      <c r="AY71" s="48" t="str">
        <f t="shared" si="17"/>
        <v/>
      </c>
      <c r="AZ71" s="48" t="str">
        <f t="shared" si="18"/>
        <v/>
      </c>
      <c r="BA71" s="48" t="str">
        <f>IF($AZ71="","",RANK.EQ($AZ71,$AZ$8:$AZ$414,0)+COUNTIF($AZ$8:$AZ71,$AZ71)-1)</f>
        <v/>
      </c>
    </row>
    <row r="72" spans="1:53" ht="69.95" customHeight="1">
      <c r="A72" s="36" t="str">
        <f>IF($AZ72="","",RANK.EQ($AZ72,$AZ$8:$AZ$414,0)+COUNTIF($AZ$8:$AZ72,$AZ72)-1)</f>
        <v/>
      </c>
      <c r="B72" s="36" t="str">
        <f t="shared" ref="B72:B135" si="19">IF($H72="","",IF($H72&lt;5,"Yes","Maintain"))</f>
        <v/>
      </c>
      <c r="C72" s="36" t="s">
        <v>63</v>
      </c>
      <c r="D72" s="36" t="s">
        <v>1100</v>
      </c>
      <c r="E72" s="36" t="s">
        <v>2512</v>
      </c>
      <c r="F72" s="36" t="s">
        <v>186</v>
      </c>
      <c r="G72" s="36" t="str">
        <f>IF($H72="","",IFERROR(INDEX('Risk Library'!$H$5:$M$411,MATCH($E72,'Risk Library'!$A$5:$A$411,0),$H72+1),""))</f>
        <v/>
      </c>
      <c r="H72" s="37" t="str">
        <f>IF(OR(COUNTA('HR Workforce'!$H$6)=0,'HR Workforce'!$H$6="N/A"),"",VALUE('HR Workforce'!$H$6))</f>
        <v/>
      </c>
      <c r="I72" s="36" t="str">
        <f>IF($H72="","",IFERROR(IF('HR Workforce'!$L$6="",IF($H72&lt;=1,"Critical",IF($H72=2,"High",IF($H72=3,"Medium",IF($H72=4,"Low","Resilient")))),'HR Workforce'!$L$6),IF($H72&lt;=1,"Critical",IF($H72=2,"High",IF($H72=3,"Medium",IF($H72=4,"Low","Resilient"))))))</f>
        <v/>
      </c>
      <c r="J72" s="37" t="str">
        <f t="shared" ref="J72:J135" si="20">IF($H72="","",MAX(1,6-$H72))</f>
        <v/>
      </c>
      <c r="K72" s="37" t="str">
        <f t="shared" ref="K72:K135" si="21">IF($H72="","",MAX(1,MIN(5,ROUNDUP(($U72*0.45)+($W72*0.35)+($X72*0.2),0))))</f>
        <v/>
      </c>
      <c r="L72" s="37" t="str">
        <f t="shared" ref="L72:L135" si="22">IF($H72="","",$J72*$K72)</f>
        <v/>
      </c>
      <c r="M72" s="37" t="str">
        <f t="shared" ref="M72:M135" si="23">IF($H72="","",MAX(1,MIN(5,ROUNDUP($L72/5,0))))</f>
        <v/>
      </c>
      <c r="N72" s="37" t="str">
        <f>IF($H72="","",IFERROR(INDEX('Risk Library'!$T$5:$Y$411,MATCH($E72,'Risk Library'!$A$5:$A$411,0),$H72+1),""))</f>
        <v/>
      </c>
      <c r="O72" s="37" t="str">
        <f t="shared" ref="O72:O135" si="24">IF($H72="","",MAX(1,MIN(5,ROUND(($U72+$V72+$X72)/3,0))))</f>
        <v/>
      </c>
      <c r="P72" s="37" t="str">
        <f t="shared" ref="P72:P135" si="25">IF($H72="","",IF($I72="Critical",5,IF($I72="High",4,IF($I72="Medium",3,IF($I72="Low",2,1)))))</f>
        <v/>
      </c>
      <c r="Q72" s="37" t="str">
        <f t="shared" ref="Q72:Q135" si="26">IF($H72="","",MAX(1,MIN(5,ROUNDUP(((5-$H72)*0.65)+($W72*0.35),0))))</f>
        <v/>
      </c>
      <c r="R72" s="37" t="str">
        <f t="shared" ref="R72:R135" si="27">IF($H72="","",MAX(1,MIN(5,ROUND(($V72+$X72)/2,0))))</f>
        <v/>
      </c>
      <c r="S72" s="38" t="str">
        <f t="shared" ref="S72:S135" si="28">IF($H72="","",ROUND(($O72+$P72+$Q72+$R72)/$N72,2))</f>
        <v/>
      </c>
      <c r="T72" s="36" t="str">
        <f>IF($H72="","",IFERROR(INDEX('Risk Library'!$N$5:$S$411,MATCH($E72,'Risk Library'!$A$5:$A$411,0),$H72+1),""))</f>
        <v/>
      </c>
      <c r="U72" s="37">
        <f>IFERROR('HR Workforce'!$G$6,"")</f>
        <v>5</v>
      </c>
      <c r="V72" s="37">
        <f>IFERROR('HR Workforce'!$W$6,"")</f>
        <v>4</v>
      </c>
      <c r="W72" s="37">
        <f>IFERROR('HR Workforce'!$X$6,"")</f>
        <v>5</v>
      </c>
      <c r="X72" s="37">
        <f>IFERROR('HR Workforce'!$Y$6,"")</f>
        <v>5</v>
      </c>
      <c r="Y72" s="36" t="s">
        <v>2509</v>
      </c>
      <c r="Z72" s="36" t="s">
        <v>2510</v>
      </c>
      <c r="AA72" s="36" t="s">
        <v>2514</v>
      </c>
      <c r="AB72" s="36">
        <f>IFERROR('HR Workforce'!$U$6,"")</f>
        <v>0</v>
      </c>
      <c r="AC72" s="36"/>
      <c r="AD72" s="36"/>
      <c r="AE72" s="36"/>
      <c r="AF72" s="36" t="s">
        <v>2513</v>
      </c>
      <c r="AO72" s="48" t="str">
        <f>IF($B72="Yes",IFERROR(SUMIFS(_TECH_Crisis_Model!$D$5:$D$191,_TECH_Crisis_Model!$A$5:$A$191,'Crisis Simulator'!$B$4,_TECH_Crisis_Model!$B$5:$B$191,$C72),1),"")</f>
        <v/>
      </c>
      <c r="AP72" s="48" t="str">
        <f t="shared" ref="AP72:AP135" si="29">IF(AO72="","",ROUND($L72*AO72,1))</f>
        <v/>
      </c>
      <c r="AQ72" s="48" t="str">
        <f t="shared" ref="AQ72:AQ135" si="30">IF(AO72="","",ROUND($S72*(0.7+0.3*AO72),2))</f>
        <v/>
      </c>
      <c r="AR72" s="48" t="str">
        <f>IFERROR(INDEX(_TECH_Crisis_Model!$E$5:$E$191,MATCH('Crisis Simulator'!$B$4&amp;"|"&amp;$C72,_TECH_Crisis_Model!$I$5:$I$191,0)),"")</f>
        <v>Workforce availability, critical people and knowledge continuity determine operational capacity.</v>
      </c>
      <c r="AS72" s="48" t="str">
        <f>IFERROR(INDEX(_TECH_Crisis_Model!$G$5:$G$191,MATCH('Crisis Simulator'!$B$4&amp;"|"&amp;$C72,_TECH_Crisis_Model!$I$5:$I$191,0)),"")</f>
        <v>Create critical role backups, knowledge transfer, cross-training and workforce continuity plans.</v>
      </c>
      <c r="AT72" s="48" t="str">
        <f>IFERROR(INDEX(_TECH_Initiative_Library!$A$5:$A$76,MATCH(1,INDEX((_TECH_Initiative_Library!$B$5:$B$76=$C72)*(_TECH_Initiative_Library!$C$5:$C$76=$D72),0),0)),"")</f>
        <v>INI-011</v>
      </c>
      <c r="AU72" s="48" t="str">
        <f>IFERROR(INDEX(_TECH_Initiative_Library!$F$5:$F$76,MATCH(1,INDEX((_TECH_Initiative_Library!$B$5:$B$76=$C72)*(_TECH_Initiative_Library!$C$5:$C$76=$D72),0),0)),"")</f>
        <v>Create workforce visibility, critical-role and location dashboard</v>
      </c>
      <c r="AV72" s="48" t="str">
        <f ca="1">IFERROR(INDEX(_TECH_Initiative_Library!$AC$5:$AC$76,MATCH(1,INDEX((_TECH_Initiative_Library!$B$5:$B$76=$C72)*(_TECH_Initiative_Library!$C$5:$C$76=$D72),0),0)),"")</f>
        <v/>
      </c>
      <c r="AW72" s="48" t="str">
        <f ca="1">IFERROR(INDEX(_TECH_Initiative_Library!$AE$5:$AE$76,MATCH(1,INDEX((_TECH_Initiative_Library!$B$5:$B$76=$C72)*(_TECH_Initiative_Library!$C$5:$C$76=$D72),0),0)),"")</f>
        <v/>
      </c>
      <c r="AX72" s="48" t="str">
        <f>IF($B72="Yes",IFERROR(SUMIFS(_TECH_Industry_Templates!$E:$E,_TECH_Industry_Templates!$A:$A,'Company Profile'!$B$9,_TECH_Industry_Templates!$B:$B,$C72),1),"")</f>
        <v/>
      </c>
      <c r="AY72" s="48" t="str">
        <f t="shared" ref="AY72:AY135" si="31">IF($L72="","",ROUND(IF($AP72="",$L72,$AP72)*$AX72,2))</f>
        <v/>
      </c>
      <c r="AZ72" s="48" t="str">
        <f t="shared" ref="AZ72:AZ135" si="32">IF($S72="","",ROUND(IF($AQ72="",$S72,$AQ72)*$AX72,2))</f>
        <v/>
      </c>
      <c r="BA72" s="48" t="str">
        <f>IF($AZ72="","",RANK.EQ($AZ72,$AZ$8:$AZ$414,0)+COUNTIF($AZ$8:$AZ72,$AZ72)-1)</f>
        <v/>
      </c>
    </row>
    <row r="73" spans="1:53" ht="69.95" customHeight="1">
      <c r="A73" s="36" t="str">
        <f>IF($AZ73="","",RANK.EQ($AZ73,$AZ$8:$AZ$414,0)+COUNTIF($AZ$8:$AZ73,$AZ73)-1)</f>
        <v/>
      </c>
      <c r="B73" s="36" t="str">
        <f t="shared" si="19"/>
        <v/>
      </c>
      <c r="C73" s="36" t="s">
        <v>63</v>
      </c>
      <c r="D73" s="36" t="s">
        <v>1100</v>
      </c>
      <c r="E73" s="36" t="s">
        <v>2522</v>
      </c>
      <c r="F73" s="36" t="s">
        <v>186</v>
      </c>
      <c r="G73" s="36" t="str">
        <f>IF($H73="","",IFERROR(INDEX('Risk Library'!$H$5:$M$411,MATCH($E73,'Risk Library'!$A$5:$A$411,0),$H73+1),""))</f>
        <v/>
      </c>
      <c r="H73" s="37" t="str">
        <f>IF(OR(COUNTA('HR Workforce'!$H$7)=0,'HR Workforce'!$H$7="N/A"),"",VALUE('HR Workforce'!$H$7))</f>
        <v/>
      </c>
      <c r="I73" s="36" t="str">
        <f>IF($H73="","",IFERROR(IF('HR Workforce'!$L$7="",IF($H73&lt;=1,"Critical",IF($H73=2,"High",IF($H73=3,"Medium",IF($H73=4,"Low","Resilient")))),'HR Workforce'!$L$7),IF($H73&lt;=1,"Critical",IF($H73=2,"High",IF($H73=3,"Medium",IF($H73=4,"Low","Resilient"))))))</f>
        <v/>
      </c>
      <c r="J73" s="37" t="str">
        <f t="shared" si="20"/>
        <v/>
      </c>
      <c r="K73" s="37" t="str">
        <f t="shared" si="21"/>
        <v/>
      </c>
      <c r="L73" s="37" t="str">
        <f t="shared" si="22"/>
        <v/>
      </c>
      <c r="M73" s="37" t="str">
        <f t="shared" si="23"/>
        <v/>
      </c>
      <c r="N73" s="37" t="str">
        <f>IF($H73="","",IFERROR(INDEX('Risk Library'!$T$5:$Y$411,MATCH($E73,'Risk Library'!$A$5:$A$411,0),$H73+1),""))</f>
        <v/>
      </c>
      <c r="O73" s="37" t="str">
        <f t="shared" si="24"/>
        <v/>
      </c>
      <c r="P73" s="37" t="str">
        <f t="shared" si="25"/>
        <v/>
      </c>
      <c r="Q73" s="37" t="str">
        <f t="shared" si="26"/>
        <v/>
      </c>
      <c r="R73" s="37" t="str">
        <f t="shared" si="27"/>
        <v/>
      </c>
      <c r="S73" s="38" t="str">
        <f t="shared" si="28"/>
        <v/>
      </c>
      <c r="T73" s="36" t="str">
        <f>IF($H73="","",IFERROR(INDEX('Risk Library'!$N$5:$S$411,MATCH($E73,'Risk Library'!$A$5:$A$411,0),$H73+1),""))</f>
        <v/>
      </c>
      <c r="U73" s="37">
        <f>IFERROR('HR Workforce'!$G$7,"")</f>
        <v>5</v>
      </c>
      <c r="V73" s="37">
        <f>IFERROR('HR Workforce'!$W$7,"")</f>
        <v>4</v>
      </c>
      <c r="W73" s="37">
        <f>IFERROR('HR Workforce'!$X$7,"")</f>
        <v>5</v>
      </c>
      <c r="X73" s="37">
        <f>IFERROR('HR Workforce'!$Y$7,"")</f>
        <v>5</v>
      </c>
      <c r="Y73" s="36" t="s">
        <v>2509</v>
      </c>
      <c r="Z73" s="36" t="s">
        <v>2510</v>
      </c>
      <c r="AA73" s="36" t="s">
        <v>2524</v>
      </c>
      <c r="AB73" s="36">
        <f>IFERROR('HR Workforce'!$U$7,"")</f>
        <v>0</v>
      </c>
      <c r="AC73" s="36"/>
      <c r="AD73" s="36"/>
      <c r="AE73" s="36"/>
      <c r="AF73" s="36" t="s">
        <v>2523</v>
      </c>
      <c r="AO73" s="48" t="str">
        <f>IF($B73="Yes",IFERROR(SUMIFS(_TECH_Crisis_Model!$D$5:$D$191,_TECH_Crisis_Model!$A$5:$A$191,'Crisis Simulator'!$B$4,_TECH_Crisis_Model!$B$5:$B$191,$C73),1),"")</f>
        <v/>
      </c>
      <c r="AP73" s="48" t="str">
        <f t="shared" si="29"/>
        <v/>
      </c>
      <c r="AQ73" s="48" t="str">
        <f t="shared" si="30"/>
        <v/>
      </c>
      <c r="AR73" s="48" t="str">
        <f>IFERROR(INDEX(_TECH_Crisis_Model!$E$5:$E$191,MATCH('Crisis Simulator'!$B$4&amp;"|"&amp;$C73,_TECH_Crisis_Model!$I$5:$I$191,0)),"")</f>
        <v>Workforce availability, critical people and knowledge continuity determine operational capacity.</v>
      </c>
      <c r="AS73" s="48" t="str">
        <f>IFERROR(INDEX(_TECH_Crisis_Model!$G$5:$G$191,MATCH('Crisis Simulator'!$B$4&amp;"|"&amp;$C73,_TECH_Crisis_Model!$I$5:$I$191,0)),"")</f>
        <v>Create critical role backups, knowledge transfer, cross-training and workforce continuity plans.</v>
      </c>
      <c r="AT73" s="48" t="str">
        <f>IFERROR(INDEX(_TECH_Initiative_Library!$A$5:$A$76,MATCH(1,INDEX((_TECH_Initiative_Library!$B$5:$B$76=$C73)*(_TECH_Initiative_Library!$C$5:$C$76=$D73),0),0)),"")</f>
        <v>INI-011</v>
      </c>
      <c r="AU73" s="48" t="str">
        <f>IFERROR(INDEX(_TECH_Initiative_Library!$F$5:$F$76,MATCH(1,INDEX((_TECH_Initiative_Library!$B$5:$B$76=$C73)*(_TECH_Initiative_Library!$C$5:$C$76=$D73),0),0)),"")</f>
        <v>Create workforce visibility, critical-role and location dashboard</v>
      </c>
      <c r="AV73" s="48" t="str">
        <f ca="1">IFERROR(INDEX(_TECH_Initiative_Library!$AC$5:$AC$76,MATCH(1,INDEX((_TECH_Initiative_Library!$B$5:$B$76=$C73)*(_TECH_Initiative_Library!$C$5:$C$76=$D73),0),0)),"")</f>
        <v/>
      </c>
      <c r="AW73" s="48" t="str">
        <f ca="1">IFERROR(INDEX(_TECH_Initiative_Library!$AE$5:$AE$76,MATCH(1,INDEX((_TECH_Initiative_Library!$B$5:$B$76=$C73)*(_TECH_Initiative_Library!$C$5:$C$76=$D73),0),0)),"")</f>
        <v/>
      </c>
      <c r="AX73" s="48" t="str">
        <f>IF($B73="Yes",IFERROR(SUMIFS(_TECH_Industry_Templates!$E:$E,_TECH_Industry_Templates!$A:$A,'Company Profile'!$B$9,_TECH_Industry_Templates!$B:$B,$C73),1),"")</f>
        <v/>
      </c>
      <c r="AY73" s="48" t="str">
        <f t="shared" si="31"/>
        <v/>
      </c>
      <c r="AZ73" s="48" t="str">
        <f t="shared" si="32"/>
        <v/>
      </c>
      <c r="BA73" s="48" t="str">
        <f>IF($AZ73="","",RANK.EQ($AZ73,$AZ$8:$AZ$414,0)+COUNTIF($AZ$8:$AZ73,$AZ73)-1)</f>
        <v/>
      </c>
    </row>
    <row r="74" spans="1:53" ht="69.95" customHeight="1">
      <c r="A74" s="36" t="str">
        <f>IF($AZ74="","",RANK.EQ($AZ74,$AZ$8:$AZ$414,0)+COUNTIF($AZ$8:$AZ74,$AZ74)-1)</f>
        <v/>
      </c>
      <c r="B74" s="36" t="str">
        <f t="shared" si="19"/>
        <v/>
      </c>
      <c r="C74" s="36" t="s">
        <v>63</v>
      </c>
      <c r="D74" s="36" t="s">
        <v>1100</v>
      </c>
      <c r="E74" s="36" t="s">
        <v>2532</v>
      </c>
      <c r="F74" s="36" t="s">
        <v>186</v>
      </c>
      <c r="G74" s="36" t="str">
        <f>IF($H74="","",IFERROR(INDEX('Risk Library'!$H$5:$M$411,MATCH($E74,'Risk Library'!$A$5:$A$411,0),$H74+1),""))</f>
        <v/>
      </c>
      <c r="H74" s="37" t="str">
        <f>IF(OR(COUNTA('HR Workforce'!$H$8)=0,'HR Workforce'!$H$8="N/A"),"",VALUE('HR Workforce'!$H$8))</f>
        <v/>
      </c>
      <c r="I74" s="36" t="str">
        <f>IF($H74="","",IFERROR(IF('HR Workforce'!$L$8="",IF($H74&lt;=1,"Critical",IF($H74=2,"High",IF($H74=3,"Medium",IF($H74=4,"Low","Resilient")))),'HR Workforce'!$L$8),IF($H74&lt;=1,"Critical",IF($H74=2,"High",IF($H74=3,"Medium",IF($H74=4,"Low","Resilient"))))))</f>
        <v/>
      </c>
      <c r="J74" s="37" t="str">
        <f t="shared" si="20"/>
        <v/>
      </c>
      <c r="K74" s="37" t="str">
        <f t="shared" si="21"/>
        <v/>
      </c>
      <c r="L74" s="37" t="str">
        <f t="shared" si="22"/>
        <v/>
      </c>
      <c r="M74" s="37" t="str">
        <f t="shared" si="23"/>
        <v/>
      </c>
      <c r="N74" s="37" t="str">
        <f>IF($H74="","",IFERROR(INDEX('Risk Library'!$T$5:$Y$411,MATCH($E74,'Risk Library'!$A$5:$A$411,0),$H74+1),""))</f>
        <v/>
      </c>
      <c r="O74" s="37" t="str">
        <f t="shared" si="24"/>
        <v/>
      </c>
      <c r="P74" s="37" t="str">
        <f t="shared" si="25"/>
        <v/>
      </c>
      <c r="Q74" s="37" t="str">
        <f t="shared" si="26"/>
        <v/>
      </c>
      <c r="R74" s="37" t="str">
        <f t="shared" si="27"/>
        <v/>
      </c>
      <c r="S74" s="38" t="str">
        <f t="shared" si="28"/>
        <v/>
      </c>
      <c r="T74" s="36" t="str">
        <f>IF($H74="","",IFERROR(INDEX('Risk Library'!$N$5:$S$411,MATCH($E74,'Risk Library'!$A$5:$A$411,0),$H74+1),""))</f>
        <v/>
      </c>
      <c r="U74" s="37">
        <f>IFERROR('HR Workforce'!$G$8,"")</f>
        <v>5</v>
      </c>
      <c r="V74" s="37">
        <f>IFERROR('HR Workforce'!$W$8,"")</f>
        <v>5</v>
      </c>
      <c r="W74" s="37">
        <f>IFERROR('HR Workforce'!$X$8,"")</f>
        <v>5</v>
      </c>
      <c r="X74" s="37">
        <f>IFERROR('HR Workforce'!$Y$8,"")</f>
        <v>5</v>
      </c>
      <c r="Y74" s="36" t="s">
        <v>2509</v>
      </c>
      <c r="Z74" s="36" t="s">
        <v>2510</v>
      </c>
      <c r="AA74" s="36" t="s">
        <v>2534</v>
      </c>
      <c r="AB74" s="36">
        <f>IFERROR('HR Workforce'!$U$8,"")</f>
        <v>0</v>
      </c>
      <c r="AC74" s="36"/>
      <c r="AD74" s="36"/>
      <c r="AE74" s="36"/>
      <c r="AF74" s="36" t="s">
        <v>2533</v>
      </c>
      <c r="AO74" s="48" t="str">
        <f>IF($B74="Yes",IFERROR(SUMIFS(_TECH_Crisis_Model!$D$5:$D$191,_TECH_Crisis_Model!$A$5:$A$191,'Crisis Simulator'!$B$4,_TECH_Crisis_Model!$B$5:$B$191,$C74),1),"")</f>
        <v/>
      </c>
      <c r="AP74" s="48" t="str">
        <f t="shared" si="29"/>
        <v/>
      </c>
      <c r="AQ74" s="48" t="str">
        <f t="shared" si="30"/>
        <v/>
      </c>
      <c r="AR74" s="48" t="str">
        <f>IFERROR(INDEX(_TECH_Crisis_Model!$E$5:$E$191,MATCH('Crisis Simulator'!$B$4&amp;"|"&amp;$C74,_TECH_Crisis_Model!$I$5:$I$191,0)),"")</f>
        <v>Workforce availability, critical people and knowledge continuity determine operational capacity.</v>
      </c>
      <c r="AS74" s="48" t="str">
        <f>IFERROR(INDEX(_TECH_Crisis_Model!$G$5:$G$191,MATCH('Crisis Simulator'!$B$4&amp;"|"&amp;$C74,_TECH_Crisis_Model!$I$5:$I$191,0)),"")</f>
        <v>Create critical role backups, knowledge transfer, cross-training and workforce continuity plans.</v>
      </c>
      <c r="AT74" s="48" t="str">
        <f>IFERROR(INDEX(_TECH_Initiative_Library!$A$5:$A$76,MATCH(1,INDEX((_TECH_Initiative_Library!$B$5:$B$76=$C74)*(_TECH_Initiative_Library!$C$5:$C$76=$D74),0),0)),"")</f>
        <v>INI-011</v>
      </c>
      <c r="AU74" s="48" t="str">
        <f>IFERROR(INDEX(_TECH_Initiative_Library!$F$5:$F$76,MATCH(1,INDEX((_TECH_Initiative_Library!$B$5:$B$76=$C74)*(_TECH_Initiative_Library!$C$5:$C$76=$D74),0),0)),"")</f>
        <v>Create workforce visibility, critical-role and location dashboard</v>
      </c>
      <c r="AV74" s="48" t="str">
        <f ca="1">IFERROR(INDEX(_TECH_Initiative_Library!$AC$5:$AC$76,MATCH(1,INDEX((_TECH_Initiative_Library!$B$5:$B$76=$C74)*(_TECH_Initiative_Library!$C$5:$C$76=$D74),0),0)),"")</f>
        <v/>
      </c>
      <c r="AW74" s="48" t="str">
        <f ca="1">IFERROR(INDEX(_TECH_Initiative_Library!$AE$5:$AE$76,MATCH(1,INDEX((_TECH_Initiative_Library!$B$5:$B$76=$C74)*(_TECH_Initiative_Library!$C$5:$C$76=$D74),0),0)),"")</f>
        <v/>
      </c>
      <c r="AX74" s="48" t="str">
        <f>IF($B74="Yes",IFERROR(SUMIFS(_TECH_Industry_Templates!$E:$E,_TECH_Industry_Templates!$A:$A,'Company Profile'!$B$9,_TECH_Industry_Templates!$B:$B,$C74),1),"")</f>
        <v/>
      </c>
      <c r="AY74" s="48" t="str">
        <f t="shared" si="31"/>
        <v/>
      </c>
      <c r="AZ74" s="48" t="str">
        <f t="shared" si="32"/>
        <v/>
      </c>
      <c r="BA74" s="48" t="str">
        <f>IF($AZ74="","",RANK.EQ($AZ74,$AZ$8:$AZ$414,0)+COUNTIF($AZ$8:$AZ74,$AZ74)-1)</f>
        <v/>
      </c>
    </row>
    <row r="75" spans="1:53" ht="69.95" customHeight="1">
      <c r="A75" s="36" t="str">
        <f>IF($AZ75="","",RANK.EQ($AZ75,$AZ$8:$AZ$414,0)+COUNTIF($AZ$8:$AZ75,$AZ75)-1)</f>
        <v/>
      </c>
      <c r="B75" s="36" t="str">
        <f t="shared" si="19"/>
        <v/>
      </c>
      <c r="C75" s="36" t="s">
        <v>63</v>
      </c>
      <c r="D75" s="36" t="s">
        <v>1100</v>
      </c>
      <c r="E75" s="36" t="s">
        <v>2542</v>
      </c>
      <c r="F75" s="36" t="s">
        <v>186</v>
      </c>
      <c r="G75" s="36" t="str">
        <f>IF($H75="","",IFERROR(INDEX('Risk Library'!$H$5:$M$411,MATCH($E75,'Risk Library'!$A$5:$A$411,0),$H75+1),""))</f>
        <v/>
      </c>
      <c r="H75" s="37" t="str">
        <f>IF(OR(COUNTA('HR Workforce'!$H$9)=0,'HR Workforce'!$H$9="N/A"),"",VALUE('HR Workforce'!$H$9))</f>
        <v/>
      </c>
      <c r="I75" s="36" t="str">
        <f>IF($H75="","",IFERROR(IF('HR Workforce'!$L$9="",IF($H75&lt;=1,"Critical",IF($H75=2,"High",IF($H75=3,"Medium",IF($H75=4,"Low","Resilient")))),'HR Workforce'!$L$9),IF($H75&lt;=1,"Critical",IF($H75=2,"High",IF($H75=3,"Medium",IF($H75=4,"Low","Resilient"))))))</f>
        <v/>
      </c>
      <c r="J75" s="37" t="str">
        <f t="shared" si="20"/>
        <v/>
      </c>
      <c r="K75" s="37" t="str">
        <f t="shared" si="21"/>
        <v/>
      </c>
      <c r="L75" s="37" t="str">
        <f t="shared" si="22"/>
        <v/>
      </c>
      <c r="M75" s="37" t="str">
        <f t="shared" si="23"/>
        <v/>
      </c>
      <c r="N75" s="37" t="str">
        <f>IF($H75="","",IFERROR(INDEX('Risk Library'!$T$5:$Y$411,MATCH($E75,'Risk Library'!$A$5:$A$411,0),$H75+1),""))</f>
        <v/>
      </c>
      <c r="O75" s="37" t="str">
        <f t="shared" si="24"/>
        <v/>
      </c>
      <c r="P75" s="37" t="str">
        <f t="shared" si="25"/>
        <v/>
      </c>
      <c r="Q75" s="37" t="str">
        <f t="shared" si="26"/>
        <v/>
      </c>
      <c r="R75" s="37" t="str">
        <f t="shared" si="27"/>
        <v/>
      </c>
      <c r="S75" s="38" t="str">
        <f t="shared" si="28"/>
        <v/>
      </c>
      <c r="T75" s="36" t="str">
        <f>IF($H75="","",IFERROR(INDEX('Risk Library'!$N$5:$S$411,MATCH($E75,'Risk Library'!$A$5:$A$411,0),$H75+1),""))</f>
        <v/>
      </c>
      <c r="U75" s="37">
        <f>IFERROR('HR Workforce'!$G$9,"")</f>
        <v>5</v>
      </c>
      <c r="V75" s="37">
        <f>IFERROR('HR Workforce'!$W$9,"")</f>
        <v>4</v>
      </c>
      <c r="W75" s="37">
        <f>IFERROR('HR Workforce'!$X$9,"")</f>
        <v>5</v>
      </c>
      <c r="X75" s="37">
        <f>IFERROR('HR Workforce'!$Y$9,"")</f>
        <v>5</v>
      </c>
      <c r="Y75" s="36" t="s">
        <v>2509</v>
      </c>
      <c r="Z75" s="36" t="s">
        <v>2510</v>
      </c>
      <c r="AA75" s="36" t="s">
        <v>2544</v>
      </c>
      <c r="AB75" s="36">
        <f>IFERROR('HR Workforce'!$U$9,"")</f>
        <v>0</v>
      </c>
      <c r="AC75" s="36"/>
      <c r="AD75" s="36"/>
      <c r="AE75" s="36"/>
      <c r="AF75" s="36" t="s">
        <v>2543</v>
      </c>
      <c r="AO75" s="48" t="str">
        <f>IF($B75="Yes",IFERROR(SUMIFS(_TECH_Crisis_Model!$D$5:$D$191,_TECH_Crisis_Model!$A$5:$A$191,'Crisis Simulator'!$B$4,_TECH_Crisis_Model!$B$5:$B$191,$C75),1),"")</f>
        <v/>
      </c>
      <c r="AP75" s="48" t="str">
        <f t="shared" si="29"/>
        <v/>
      </c>
      <c r="AQ75" s="48" t="str">
        <f t="shared" si="30"/>
        <v/>
      </c>
      <c r="AR75" s="48" t="str">
        <f>IFERROR(INDEX(_TECH_Crisis_Model!$E$5:$E$191,MATCH('Crisis Simulator'!$B$4&amp;"|"&amp;$C75,_TECH_Crisis_Model!$I$5:$I$191,0)),"")</f>
        <v>Workforce availability, critical people and knowledge continuity determine operational capacity.</v>
      </c>
      <c r="AS75" s="48" t="str">
        <f>IFERROR(INDEX(_TECH_Crisis_Model!$G$5:$G$191,MATCH('Crisis Simulator'!$B$4&amp;"|"&amp;$C75,_TECH_Crisis_Model!$I$5:$I$191,0)),"")</f>
        <v>Create critical role backups, knowledge transfer, cross-training and workforce continuity plans.</v>
      </c>
      <c r="AT75" s="48" t="str">
        <f>IFERROR(INDEX(_TECH_Initiative_Library!$A$5:$A$76,MATCH(1,INDEX((_TECH_Initiative_Library!$B$5:$B$76=$C75)*(_TECH_Initiative_Library!$C$5:$C$76=$D75),0),0)),"")</f>
        <v>INI-011</v>
      </c>
      <c r="AU75" s="48" t="str">
        <f>IFERROR(INDEX(_TECH_Initiative_Library!$F$5:$F$76,MATCH(1,INDEX((_TECH_Initiative_Library!$B$5:$B$76=$C75)*(_TECH_Initiative_Library!$C$5:$C$76=$D75),0),0)),"")</f>
        <v>Create workforce visibility, critical-role and location dashboard</v>
      </c>
      <c r="AV75" s="48" t="str">
        <f ca="1">IFERROR(INDEX(_TECH_Initiative_Library!$AC$5:$AC$76,MATCH(1,INDEX((_TECH_Initiative_Library!$B$5:$B$76=$C75)*(_TECH_Initiative_Library!$C$5:$C$76=$D75),0),0)),"")</f>
        <v/>
      </c>
      <c r="AW75" s="48" t="str">
        <f ca="1">IFERROR(INDEX(_TECH_Initiative_Library!$AE$5:$AE$76,MATCH(1,INDEX((_TECH_Initiative_Library!$B$5:$B$76=$C75)*(_TECH_Initiative_Library!$C$5:$C$76=$D75),0),0)),"")</f>
        <v/>
      </c>
      <c r="AX75" s="48" t="str">
        <f>IF($B75="Yes",IFERROR(SUMIFS(_TECH_Industry_Templates!$E:$E,_TECH_Industry_Templates!$A:$A,'Company Profile'!$B$9,_TECH_Industry_Templates!$B:$B,$C75),1),"")</f>
        <v/>
      </c>
      <c r="AY75" s="48" t="str">
        <f t="shared" si="31"/>
        <v/>
      </c>
      <c r="AZ75" s="48" t="str">
        <f t="shared" si="32"/>
        <v/>
      </c>
      <c r="BA75" s="48" t="str">
        <f>IF($AZ75="","",RANK.EQ($AZ75,$AZ$8:$AZ$414,0)+COUNTIF($AZ$8:$AZ75,$AZ75)-1)</f>
        <v/>
      </c>
    </row>
    <row r="76" spans="1:53" ht="69.95" customHeight="1">
      <c r="A76" s="36" t="str">
        <f>IF($AZ76="","",RANK.EQ($AZ76,$AZ$8:$AZ$414,0)+COUNTIF($AZ$8:$AZ76,$AZ76)-1)</f>
        <v/>
      </c>
      <c r="B76" s="36" t="str">
        <f t="shared" si="19"/>
        <v/>
      </c>
      <c r="C76" s="36" t="s">
        <v>63</v>
      </c>
      <c r="D76" s="36" t="s">
        <v>1100</v>
      </c>
      <c r="E76" s="36" t="s">
        <v>2552</v>
      </c>
      <c r="F76" s="36" t="s">
        <v>186</v>
      </c>
      <c r="G76" s="36" t="str">
        <f>IF($H76="","",IFERROR(INDEX('Risk Library'!$H$5:$M$411,MATCH($E76,'Risk Library'!$A$5:$A$411,0),$H76+1),""))</f>
        <v/>
      </c>
      <c r="H76" s="37" t="str">
        <f>IF(OR(COUNTA('HR Workforce'!$H$10)=0,'HR Workforce'!$H$10="N/A"),"",VALUE('HR Workforce'!$H$10))</f>
        <v/>
      </c>
      <c r="I76" s="36" t="str">
        <f>IF($H76="","",IFERROR(IF('HR Workforce'!$L$10="",IF($H76&lt;=1,"Critical",IF($H76=2,"High",IF($H76=3,"Medium",IF($H76=4,"Low","Resilient")))),'HR Workforce'!$L$10),IF($H76&lt;=1,"Critical",IF($H76=2,"High",IF($H76=3,"Medium",IF($H76=4,"Low","Resilient"))))))</f>
        <v/>
      </c>
      <c r="J76" s="37" t="str">
        <f t="shared" si="20"/>
        <v/>
      </c>
      <c r="K76" s="37" t="str">
        <f t="shared" si="21"/>
        <v/>
      </c>
      <c r="L76" s="37" t="str">
        <f t="shared" si="22"/>
        <v/>
      </c>
      <c r="M76" s="37" t="str">
        <f t="shared" si="23"/>
        <v/>
      </c>
      <c r="N76" s="37" t="str">
        <f>IF($H76="","",IFERROR(INDEX('Risk Library'!$T$5:$Y$411,MATCH($E76,'Risk Library'!$A$5:$A$411,0),$H76+1),""))</f>
        <v/>
      </c>
      <c r="O76" s="37" t="str">
        <f t="shared" si="24"/>
        <v/>
      </c>
      <c r="P76" s="37" t="str">
        <f t="shared" si="25"/>
        <v/>
      </c>
      <c r="Q76" s="37" t="str">
        <f t="shared" si="26"/>
        <v/>
      </c>
      <c r="R76" s="37" t="str">
        <f t="shared" si="27"/>
        <v/>
      </c>
      <c r="S76" s="38" t="str">
        <f t="shared" si="28"/>
        <v/>
      </c>
      <c r="T76" s="36" t="str">
        <f>IF($H76="","",IFERROR(INDEX('Risk Library'!$N$5:$S$411,MATCH($E76,'Risk Library'!$A$5:$A$411,0),$H76+1),""))</f>
        <v/>
      </c>
      <c r="U76" s="37">
        <f>IFERROR('HR Workforce'!$G$10,"")</f>
        <v>3</v>
      </c>
      <c r="V76" s="37">
        <f>IFERROR('HR Workforce'!$W$10,"")</f>
        <v>4</v>
      </c>
      <c r="W76" s="37">
        <f>IFERROR('HR Workforce'!$X$10,"")</f>
        <v>5</v>
      </c>
      <c r="X76" s="37">
        <f>IFERROR('HR Workforce'!$Y$10,"")</f>
        <v>5</v>
      </c>
      <c r="Y76" s="36" t="s">
        <v>2509</v>
      </c>
      <c r="Z76" s="36" t="s">
        <v>2510</v>
      </c>
      <c r="AA76" s="36" t="s">
        <v>2554</v>
      </c>
      <c r="AB76" s="36">
        <f>IFERROR('HR Workforce'!$U$10,"")</f>
        <v>0</v>
      </c>
      <c r="AC76" s="36"/>
      <c r="AD76" s="36"/>
      <c r="AE76" s="36"/>
      <c r="AF76" s="36" t="s">
        <v>2553</v>
      </c>
      <c r="AO76" s="48" t="str">
        <f>IF($B76="Yes",IFERROR(SUMIFS(_TECH_Crisis_Model!$D$5:$D$191,_TECH_Crisis_Model!$A$5:$A$191,'Crisis Simulator'!$B$4,_TECH_Crisis_Model!$B$5:$B$191,$C76),1),"")</f>
        <v/>
      </c>
      <c r="AP76" s="48" t="str">
        <f t="shared" si="29"/>
        <v/>
      </c>
      <c r="AQ76" s="48" t="str">
        <f t="shared" si="30"/>
        <v/>
      </c>
      <c r="AR76" s="48" t="str">
        <f>IFERROR(INDEX(_TECH_Crisis_Model!$E$5:$E$191,MATCH('Crisis Simulator'!$B$4&amp;"|"&amp;$C76,_TECH_Crisis_Model!$I$5:$I$191,0)),"")</f>
        <v>Workforce availability, critical people and knowledge continuity determine operational capacity.</v>
      </c>
      <c r="AS76" s="48" t="str">
        <f>IFERROR(INDEX(_TECH_Crisis_Model!$G$5:$G$191,MATCH('Crisis Simulator'!$B$4&amp;"|"&amp;$C76,_TECH_Crisis_Model!$I$5:$I$191,0)),"")</f>
        <v>Create critical role backups, knowledge transfer, cross-training and workforce continuity plans.</v>
      </c>
      <c r="AT76" s="48" t="str">
        <f>IFERROR(INDEX(_TECH_Initiative_Library!$A$5:$A$76,MATCH(1,INDEX((_TECH_Initiative_Library!$B$5:$B$76=$C76)*(_TECH_Initiative_Library!$C$5:$C$76=$D76),0),0)),"")</f>
        <v>INI-011</v>
      </c>
      <c r="AU76" s="48" t="str">
        <f>IFERROR(INDEX(_TECH_Initiative_Library!$F$5:$F$76,MATCH(1,INDEX((_TECH_Initiative_Library!$B$5:$B$76=$C76)*(_TECH_Initiative_Library!$C$5:$C$76=$D76),0),0)),"")</f>
        <v>Create workforce visibility, critical-role and location dashboard</v>
      </c>
      <c r="AV76" s="48" t="str">
        <f ca="1">IFERROR(INDEX(_TECH_Initiative_Library!$AC$5:$AC$76,MATCH(1,INDEX((_TECH_Initiative_Library!$B$5:$B$76=$C76)*(_TECH_Initiative_Library!$C$5:$C$76=$D76),0),0)),"")</f>
        <v/>
      </c>
      <c r="AW76" s="48" t="str">
        <f ca="1">IFERROR(INDEX(_TECH_Initiative_Library!$AE$5:$AE$76,MATCH(1,INDEX((_TECH_Initiative_Library!$B$5:$B$76=$C76)*(_TECH_Initiative_Library!$C$5:$C$76=$D76),0),0)),"")</f>
        <v/>
      </c>
      <c r="AX76" s="48" t="str">
        <f>IF($B76="Yes",IFERROR(SUMIFS(_TECH_Industry_Templates!$E:$E,_TECH_Industry_Templates!$A:$A,'Company Profile'!$B$9,_TECH_Industry_Templates!$B:$B,$C76),1),"")</f>
        <v/>
      </c>
      <c r="AY76" s="48" t="str">
        <f t="shared" si="31"/>
        <v/>
      </c>
      <c r="AZ76" s="48" t="str">
        <f t="shared" si="32"/>
        <v/>
      </c>
      <c r="BA76" s="48" t="str">
        <f>IF($AZ76="","",RANK.EQ($AZ76,$AZ$8:$AZ$414,0)+COUNTIF($AZ$8:$AZ76,$AZ76)-1)</f>
        <v/>
      </c>
    </row>
    <row r="77" spans="1:53" ht="69.95" customHeight="1">
      <c r="A77" s="36" t="str">
        <f>IF($AZ77="","",RANK.EQ($AZ77,$AZ$8:$AZ$414,0)+COUNTIF($AZ$8:$AZ77,$AZ77)-1)</f>
        <v/>
      </c>
      <c r="B77" s="36" t="str">
        <f t="shared" si="19"/>
        <v/>
      </c>
      <c r="C77" s="36" t="s">
        <v>63</v>
      </c>
      <c r="D77" s="36" t="s">
        <v>1113</v>
      </c>
      <c r="E77" s="36" t="s">
        <v>2562</v>
      </c>
      <c r="F77" s="36" t="s">
        <v>186</v>
      </c>
      <c r="G77" s="36" t="str">
        <f>IF($H77="","",IFERROR(INDEX('Risk Library'!$H$5:$M$411,MATCH($E77,'Risk Library'!$A$5:$A$411,0),$H77+1),""))</f>
        <v/>
      </c>
      <c r="H77" s="37" t="str">
        <f>IF(OR(COUNTA('HR Workforce'!$H$11)=0,'HR Workforce'!$H$11="N/A"),"",VALUE('HR Workforce'!$H$11))</f>
        <v/>
      </c>
      <c r="I77" s="36" t="str">
        <f>IF($H77="","",IFERROR(IF('HR Workforce'!$L$11="",IF($H77&lt;=1,"Critical",IF($H77=2,"High",IF($H77=3,"Medium",IF($H77=4,"Low","Resilient")))),'HR Workforce'!$L$11),IF($H77&lt;=1,"Critical",IF($H77=2,"High",IF($H77=3,"Medium",IF($H77=4,"Low","Resilient"))))))</f>
        <v/>
      </c>
      <c r="J77" s="37" t="str">
        <f t="shared" si="20"/>
        <v/>
      </c>
      <c r="K77" s="37" t="str">
        <f t="shared" si="21"/>
        <v/>
      </c>
      <c r="L77" s="37" t="str">
        <f t="shared" si="22"/>
        <v/>
      </c>
      <c r="M77" s="37" t="str">
        <f t="shared" si="23"/>
        <v/>
      </c>
      <c r="N77" s="37" t="str">
        <f>IF($H77="","",IFERROR(INDEX('Risk Library'!$T$5:$Y$411,MATCH($E77,'Risk Library'!$A$5:$A$411,0),$H77+1),""))</f>
        <v/>
      </c>
      <c r="O77" s="37" t="str">
        <f t="shared" si="24"/>
        <v/>
      </c>
      <c r="P77" s="37" t="str">
        <f t="shared" si="25"/>
        <v/>
      </c>
      <c r="Q77" s="37" t="str">
        <f t="shared" si="26"/>
        <v/>
      </c>
      <c r="R77" s="37" t="str">
        <f t="shared" si="27"/>
        <v/>
      </c>
      <c r="S77" s="38" t="str">
        <f t="shared" si="28"/>
        <v/>
      </c>
      <c r="T77" s="36" t="str">
        <f>IF($H77="","",IFERROR(INDEX('Risk Library'!$N$5:$S$411,MATCH($E77,'Risk Library'!$A$5:$A$411,0),$H77+1),""))</f>
        <v/>
      </c>
      <c r="U77" s="37">
        <f>IFERROR('HR Workforce'!$G$11,"")</f>
        <v>5</v>
      </c>
      <c r="V77" s="37">
        <f>IFERROR('HR Workforce'!$W$11,"")</f>
        <v>4</v>
      </c>
      <c r="W77" s="37">
        <f>IFERROR('HR Workforce'!$X$11,"")</f>
        <v>5</v>
      </c>
      <c r="X77" s="37">
        <f>IFERROR('HR Workforce'!$Y$11,"")</f>
        <v>5</v>
      </c>
      <c r="Y77" s="36" t="s">
        <v>2509</v>
      </c>
      <c r="Z77" s="36" t="s">
        <v>2510</v>
      </c>
      <c r="AA77" s="36" t="s">
        <v>2564</v>
      </c>
      <c r="AB77" s="36">
        <f>IFERROR('HR Workforce'!$U$11,"")</f>
        <v>0</v>
      </c>
      <c r="AC77" s="36"/>
      <c r="AD77" s="36"/>
      <c r="AE77" s="36"/>
      <c r="AF77" s="36" t="s">
        <v>2563</v>
      </c>
      <c r="AO77" s="48" t="str">
        <f>IF($B77="Yes",IFERROR(SUMIFS(_TECH_Crisis_Model!$D$5:$D$191,_TECH_Crisis_Model!$A$5:$A$191,'Crisis Simulator'!$B$4,_TECH_Crisis_Model!$B$5:$B$191,$C77),1),"")</f>
        <v/>
      </c>
      <c r="AP77" s="48" t="str">
        <f t="shared" si="29"/>
        <v/>
      </c>
      <c r="AQ77" s="48" t="str">
        <f t="shared" si="30"/>
        <v/>
      </c>
      <c r="AR77" s="48" t="str">
        <f>IFERROR(INDEX(_TECH_Crisis_Model!$E$5:$E$191,MATCH('Crisis Simulator'!$B$4&amp;"|"&amp;$C77,_TECH_Crisis_Model!$I$5:$I$191,0)),"")</f>
        <v>Workforce availability, critical people and knowledge continuity determine operational capacity.</v>
      </c>
      <c r="AS77" s="48" t="str">
        <f>IFERROR(INDEX(_TECH_Crisis_Model!$G$5:$G$191,MATCH('Crisis Simulator'!$B$4&amp;"|"&amp;$C77,_TECH_Crisis_Model!$I$5:$I$191,0)),"")</f>
        <v>Create critical role backups, knowledge transfer, cross-training and workforce continuity plans.</v>
      </c>
      <c r="AT77" s="48" t="str">
        <f>IFERROR(INDEX(_TECH_Initiative_Library!$A$5:$A$76,MATCH(1,INDEX((_TECH_Initiative_Library!$B$5:$B$76=$C77)*(_TECH_Initiative_Library!$C$5:$C$76=$D77),0),0)),"")</f>
        <v>INI-012</v>
      </c>
      <c r="AU77" s="48" t="str">
        <f>IFERROR(INDEX(_TECH_Initiative_Library!$F$5:$F$76,MATCH(1,INDEX((_TECH_Initiative_Library!$B$5:$B$76=$C77)*(_TECH_Initiative_Library!$C$5:$C$76=$D77),0),0)),"")</f>
        <v>Build recruitment, retention and succession resilience plan</v>
      </c>
      <c r="AV77" s="48" t="str">
        <f ca="1">IFERROR(INDEX(_TECH_Initiative_Library!$AC$5:$AC$76,MATCH(1,INDEX((_TECH_Initiative_Library!$B$5:$B$76=$C77)*(_TECH_Initiative_Library!$C$5:$C$76=$D77),0),0)),"")</f>
        <v/>
      </c>
      <c r="AW77" s="48" t="str">
        <f ca="1">IFERROR(INDEX(_TECH_Initiative_Library!$AE$5:$AE$76,MATCH(1,INDEX((_TECH_Initiative_Library!$B$5:$B$76=$C77)*(_TECH_Initiative_Library!$C$5:$C$76=$D77),0),0)),"")</f>
        <v/>
      </c>
      <c r="AX77" s="48" t="str">
        <f>IF($B77="Yes",IFERROR(SUMIFS(_TECH_Industry_Templates!$E:$E,_TECH_Industry_Templates!$A:$A,'Company Profile'!$B$9,_TECH_Industry_Templates!$B:$B,$C77),1),"")</f>
        <v/>
      </c>
      <c r="AY77" s="48" t="str">
        <f t="shared" si="31"/>
        <v/>
      </c>
      <c r="AZ77" s="48" t="str">
        <f t="shared" si="32"/>
        <v/>
      </c>
      <c r="BA77" s="48" t="str">
        <f>IF($AZ77="","",RANK.EQ($AZ77,$AZ$8:$AZ$414,0)+COUNTIF($AZ$8:$AZ77,$AZ77)-1)</f>
        <v/>
      </c>
    </row>
    <row r="78" spans="1:53" ht="69.95" customHeight="1">
      <c r="A78" s="36" t="str">
        <f>IF($AZ78="","",RANK.EQ($AZ78,$AZ$8:$AZ$414,0)+COUNTIF($AZ$8:$AZ78,$AZ78)-1)</f>
        <v/>
      </c>
      <c r="B78" s="36" t="str">
        <f t="shared" si="19"/>
        <v/>
      </c>
      <c r="C78" s="36" t="s">
        <v>63</v>
      </c>
      <c r="D78" s="36" t="s">
        <v>1113</v>
      </c>
      <c r="E78" s="36" t="s">
        <v>2572</v>
      </c>
      <c r="F78" s="36" t="s">
        <v>186</v>
      </c>
      <c r="G78" s="36" t="str">
        <f>IF($H78="","",IFERROR(INDEX('Risk Library'!$H$5:$M$411,MATCH($E78,'Risk Library'!$A$5:$A$411,0),$H78+1),""))</f>
        <v/>
      </c>
      <c r="H78" s="37" t="str">
        <f>IF(OR(COUNTA('HR Workforce'!$H$12)=0,'HR Workforce'!$H$12="N/A"),"",VALUE('HR Workforce'!$H$12))</f>
        <v/>
      </c>
      <c r="I78" s="36" t="str">
        <f>IF($H78="","",IFERROR(IF('HR Workforce'!$L$12="",IF($H78&lt;=1,"Critical",IF($H78=2,"High",IF($H78=3,"Medium",IF($H78=4,"Low","Resilient")))),'HR Workforce'!$L$12),IF($H78&lt;=1,"Critical",IF($H78=2,"High",IF($H78=3,"Medium",IF($H78=4,"Low","Resilient"))))))</f>
        <v/>
      </c>
      <c r="J78" s="37" t="str">
        <f t="shared" si="20"/>
        <v/>
      </c>
      <c r="K78" s="37" t="str">
        <f t="shared" si="21"/>
        <v/>
      </c>
      <c r="L78" s="37" t="str">
        <f t="shared" si="22"/>
        <v/>
      </c>
      <c r="M78" s="37" t="str">
        <f t="shared" si="23"/>
        <v/>
      </c>
      <c r="N78" s="37" t="str">
        <f>IF($H78="","",IFERROR(INDEX('Risk Library'!$T$5:$Y$411,MATCH($E78,'Risk Library'!$A$5:$A$411,0),$H78+1),""))</f>
        <v/>
      </c>
      <c r="O78" s="37" t="str">
        <f t="shared" si="24"/>
        <v/>
      </c>
      <c r="P78" s="37" t="str">
        <f t="shared" si="25"/>
        <v/>
      </c>
      <c r="Q78" s="37" t="str">
        <f t="shared" si="26"/>
        <v/>
      </c>
      <c r="R78" s="37" t="str">
        <f t="shared" si="27"/>
        <v/>
      </c>
      <c r="S78" s="38" t="str">
        <f t="shared" si="28"/>
        <v/>
      </c>
      <c r="T78" s="36" t="str">
        <f>IF($H78="","",IFERROR(INDEX('Risk Library'!$N$5:$S$411,MATCH($E78,'Risk Library'!$A$5:$A$411,0),$H78+1),""))</f>
        <v/>
      </c>
      <c r="U78" s="37">
        <f>IFERROR('HR Workforce'!$G$12,"")</f>
        <v>5</v>
      </c>
      <c r="V78" s="37">
        <f>IFERROR('HR Workforce'!$W$12,"")</f>
        <v>4</v>
      </c>
      <c r="W78" s="37">
        <f>IFERROR('HR Workforce'!$X$12,"")</f>
        <v>5</v>
      </c>
      <c r="X78" s="37">
        <f>IFERROR('HR Workforce'!$Y$12,"")</f>
        <v>5</v>
      </c>
      <c r="Y78" s="36" t="s">
        <v>2509</v>
      </c>
      <c r="Z78" s="36" t="s">
        <v>2510</v>
      </c>
      <c r="AA78" s="36" t="s">
        <v>2574</v>
      </c>
      <c r="AB78" s="36">
        <f>IFERROR('HR Workforce'!$U$12,"")</f>
        <v>0</v>
      </c>
      <c r="AC78" s="36"/>
      <c r="AD78" s="36"/>
      <c r="AE78" s="36"/>
      <c r="AF78" s="36" t="s">
        <v>2573</v>
      </c>
      <c r="AO78" s="48" t="str">
        <f>IF($B78="Yes",IFERROR(SUMIFS(_TECH_Crisis_Model!$D$5:$D$191,_TECH_Crisis_Model!$A$5:$A$191,'Crisis Simulator'!$B$4,_TECH_Crisis_Model!$B$5:$B$191,$C78),1),"")</f>
        <v/>
      </c>
      <c r="AP78" s="48" t="str">
        <f t="shared" si="29"/>
        <v/>
      </c>
      <c r="AQ78" s="48" t="str">
        <f t="shared" si="30"/>
        <v/>
      </c>
      <c r="AR78" s="48" t="str">
        <f>IFERROR(INDEX(_TECH_Crisis_Model!$E$5:$E$191,MATCH('Crisis Simulator'!$B$4&amp;"|"&amp;$C78,_TECH_Crisis_Model!$I$5:$I$191,0)),"")</f>
        <v>Workforce availability, critical people and knowledge continuity determine operational capacity.</v>
      </c>
      <c r="AS78" s="48" t="str">
        <f>IFERROR(INDEX(_TECH_Crisis_Model!$G$5:$G$191,MATCH('Crisis Simulator'!$B$4&amp;"|"&amp;$C78,_TECH_Crisis_Model!$I$5:$I$191,0)),"")</f>
        <v>Create critical role backups, knowledge transfer, cross-training and workforce continuity plans.</v>
      </c>
      <c r="AT78" s="48" t="str">
        <f>IFERROR(INDEX(_TECH_Initiative_Library!$A$5:$A$76,MATCH(1,INDEX((_TECH_Initiative_Library!$B$5:$B$76=$C78)*(_TECH_Initiative_Library!$C$5:$C$76=$D78),0),0)),"")</f>
        <v>INI-012</v>
      </c>
      <c r="AU78" s="48" t="str">
        <f>IFERROR(INDEX(_TECH_Initiative_Library!$F$5:$F$76,MATCH(1,INDEX((_TECH_Initiative_Library!$B$5:$B$76=$C78)*(_TECH_Initiative_Library!$C$5:$C$76=$D78),0),0)),"")</f>
        <v>Build recruitment, retention and succession resilience plan</v>
      </c>
      <c r="AV78" s="48" t="str">
        <f ca="1">IFERROR(INDEX(_TECH_Initiative_Library!$AC$5:$AC$76,MATCH(1,INDEX((_TECH_Initiative_Library!$B$5:$B$76=$C78)*(_TECH_Initiative_Library!$C$5:$C$76=$D78),0),0)),"")</f>
        <v/>
      </c>
      <c r="AW78" s="48" t="str">
        <f ca="1">IFERROR(INDEX(_TECH_Initiative_Library!$AE$5:$AE$76,MATCH(1,INDEX((_TECH_Initiative_Library!$B$5:$B$76=$C78)*(_TECH_Initiative_Library!$C$5:$C$76=$D78),0),0)),"")</f>
        <v/>
      </c>
      <c r="AX78" s="48" t="str">
        <f>IF($B78="Yes",IFERROR(SUMIFS(_TECH_Industry_Templates!$E:$E,_TECH_Industry_Templates!$A:$A,'Company Profile'!$B$9,_TECH_Industry_Templates!$B:$B,$C78),1),"")</f>
        <v/>
      </c>
      <c r="AY78" s="48" t="str">
        <f t="shared" si="31"/>
        <v/>
      </c>
      <c r="AZ78" s="48" t="str">
        <f t="shared" si="32"/>
        <v/>
      </c>
      <c r="BA78" s="48" t="str">
        <f>IF($AZ78="","",RANK.EQ($AZ78,$AZ$8:$AZ$414,0)+COUNTIF($AZ$8:$AZ78,$AZ78)-1)</f>
        <v/>
      </c>
    </row>
    <row r="79" spans="1:53" ht="69.95" customHeight="1">
      <c r="A79" s="36" t="str">
        <f>IF($AZ79="","",RANK.EQ($AZ79,$AZ$8:$AZ$414,0)+COUNTIF($AZ$8:$AZ79,$AZ79)-1)</f>
        <v/>
      </c>
      <c r="B79" s="36" t="str">
        <f t="shared" si="19"/>
        <v/>
      </c>
      <c r="C79" s="36" t="s">
        <v>63</v>
      </c>
      <c r="D79" s="36" t="s">
        <v>1113</v>
      </c>
      <c r="E79" s="36" t="s">
        <v>2582</v>
      </c>
      <c r="F79" s="36" t="s">
        <v>186</v>
      </c>
      <c r="G79" s="36" t="str">
        <f>IF($H79="","",IFERROR(INDEX('Risk Library'!$H$5:$M$411,MATCH($E79,'Risk Library'!$A$5:$A$411,0),$H79+1),""))</f>
        <v/>
      </c>
      <c r="H79" s="37" t="str">
        <f>IF(OR(COUNTA('HR Workforce'!$H$13)=0,'HR Workforce'!$H$13="N/A"),"",VALUE('HR Workforce'!$H$13))</f>
        <v/>
      </c>
      <c r="I79" s="36" t="str">
        <f>IF($H79="","",IFERROR(IF('HR Workforce'!$L$13="",IF($H79&lt;=1,"Critical",IF($H79=2,"High",IF($H79=3,"Medium",IF($H79=4,"Low","Resilient")))),'HR Workforce'!$L$13),IF($H79&lt;=1,"Critical",IF($H79=2,"High",IF($H79=3,"Medium",IF($H79=4,"Low","Resilient"))))))</f>
        <v/>
      </c>
      <c r="J79" s="37" t="str">
        <f t="shared" si="20"/>
        <v/>
      </c>
      <c r="K79" s="37" t="str">
        <f t="shared" si="21"/>
        <v/>
      </c>
      <c r="L79" s="37" t="str">
        <f t="shared" si="22"/>
        <v/>
      </c>
      <c r="M79" s="37" t="str">
        <f t="shared" si="23"/>
        <v/>
      </c>
      <c r="N79" s="37" t="str">
        <f>IF($H79="","",IFERROR(INDEX('Risk Library'!$T$5:$Y$411,MATCH($E79,'Risk Library'!$A$5:$A$411,0),$H79+1),""))</f>
        <v/>
      </c>
      <c r="O79" s="37" t="str">
        <f t="shared" si="24"/>
        <v/>
      </c>
      <c r="P79" s="37" t="str">
        <f t="shared" si="25"/>
        <v/>
      </c>
      <c r="Q79" s="37" t="str">
        <f t="shared" si="26"/>
        <v/>
      </c>
      <c r="R79" s="37" t="str">
        <f t="shared" si="27"/>
        <v/>
      </c>
      <c r="S79" s="38" t="str">
        <f t="shared" si="28"/>
        <v/>
      </c>
      <c r="T79" s="36" t="str">
        <f>IF($H79="","",IFERROR(INDEX('Risk Library'!$N$5:$S$411,MATCH($E79,'Risk Library'!$A$5:$A$411,0),$H79+1),""))</f>
        <v/>
      </c>
      <c r="U79" s="37">
        <f>IFERROR('HR Workforce'!$G$13,"")</f>
        <v>5</v>
      </c>
      <c r="V79" s="37">
        <f>IFERROR('HR Workforce'!$W$13,"")</f>
        <v>4</v>
      </c>
      <c r="W79" s="37">
        <f>IFERROR('HR Workforce'!$X$13,"")</f>
        <v>5</v>
      </c>
      <c r="X79" s="37">
        <f>IFERROR('HR Workforce'!$Y$13,"")</f>
        <v>5</v>
      </c>
      <c r="Y79" s="36" t="s">
        <v>2509</v>
      </c>
      <c r="Z79" s="36" t="s">
        <v>2510</v>
      </c>
      <c r="AA79" s="36" t="s">
        <v>2584</v>
      </c>
      <c r="AB79" s="36">
        <f>IFERROR('HR Workforce'!$U$13,"")</f>
        <v>0</v>
      </c>
      <c r="AC79" s="36"/>
      <c r="AD79" s="36"/>
      <c r="AE79" s="36"/>
      <c r="AF79" s="36" t="s">
        <v>2583</v>
      </c>
      <c r="AO79" s="48" t="str">
        <f>IF($B79="Yes",IFERROR(SUMIFS(_TECH_Crisis_Model!$D$5:$D$191,_TECH_Crisis_Model!$A$5:$A$191,'Crisis Simulator'!$B$4,_TECH_Crisis_Model!$B$5:$B$191,$C79),1),"")</f>
        <v/>
      </c>
      <c r="AP79" s="48" t="str">
        <f t="shared" si="29"/>
        <v/>
      </c>
      <c r="AQ79" s="48" t="str">
        <f t="shared" si="30"/>
        <v/>
      </c>
      <c r="AR79" s="48" t="str">
        <f>IFERROR(INDEX(_TECH_Crisis_Model!$E$5:$E$191,MATCH('Crisis Simulator'!$B$4&amp;"|"&amp;$C79,_TECH_Crisis_Model!$I$5:$I$191,0)),"")</f>
        <v>Workforce availability, critical people and knowledge continuity determine operational capacity.</v>
      </c>
      <c r="AS79" s="48" t="str">
        <f>IFERROR(INDEX(_TECH_Crisis_Model!$G$5:$G$191,MATCH('Crisis Simulator'!$B$4&amp;"|"&amp;$C79,_TECH_Crisis_Model!$I$5:$I$191,0)),"")</f>
        <v>Create critical role backups, knowledge transfer, cross-training and workforce continuity plans.</v>
      </c>
      <c r="AT79" s="48" t="str">
        <f>IFERROR(INDEX(_TECH_Initiative_Library!$A$5:$A$76,MATCH(1,INDEX((_TECH_Initiative_Library!$B$5:$B$76=$C79)*(_TECH_Initiative_Library!$C$5:$C$76=$D79),0),0)),"")</f>
        <v>INI-012</v>
      </c>
      <c r="AU79" s="48" t="str">
        <f>IFERROR(INDEX(_TECH_Initiative_Library!$F$5:$F$76,MATCH(1,INDEX((_TECH_Initiative_Library!$B$5:$B$76=$C79)*(_TECH_Initiative_Library!$C$5:$C$76=$D79),0),0)),"")</f>
        <v>Build recruitment, retention and succession resilience plan</v>
      </c>
      <c r="AV79" s="48" t="str">
        <f ca="1">IFERROR(INDEX(_TECH_Initiative_Library!$AC$5:$AC$76,MATCH(1,INDEX((_TECH_Initiative_Library!$B$5:$B$76=$C79)*(_TECH_Initiative_Library!$C$5:$C$76=$D79),0),0)),"")</f>
        <v/>
      </c>
      <c r="AW79" s="48" t="str">
        <f ca="1">IFERROR(INDEX(_TECH_Initiative_Library!$AE$5:$AE$76,MATCH(1,INDEX((_TECH_Initiative_Library!$B$5:$B$76=$C79)*(_TECH_Initiative_Library!$C$5:$C$76=$D79),0),0)),"")</f>
        <v/>
      </c>
      <c r="AX79" s="48" t="str">
        <f>IF($B79="Yes",IFERROR(SUMIFS(_TECH_Industry_Templates!$E:$E,_TECH_Industry_Templates!$A:$A,'Company Profile'!$B$9,_TECH_Industry_Templates!$B:$B,$C79),1),"")</f>
        <v/>
      </c>
      <c r="AY79" s="48" t="str">
        <f t="shared" si="31"/>
        <v/>
      </c>
      <c r="AZ79" s="48" t="str">
        <f t="shared" si="32"/>
        <v/>
      </c>
      <c r="BA79" s="48" t="str">
        <f>IF($AZ79="","",RANK.EQ($AZ79,$AZ$8:$AZ$414,0)+COUNTIF($AZ$8:$AZ79,$AZ79)-1)</f>
        <v/>
      </c>
    </row>
    <row r="80" spans="1:53" ht="69.95" customHeight="1">
      <c r="A80" s="36" t="str">
        <f>IF($AZ80="","",RANK.EQ($AZ80,$AZ$8:$AZ$414,0)+COUNTIF($AZ$8:$AZ80,$AZ80)-1)</f>
        <v/>
      </c>
      <c r="B80" s="36" t="str">
        <f t="shared" si="19"/>
        <v/>
      </c>
      <c r="C80" s="36" t="s">
        <v>63</v>
      </c>
      <c r="D80" s="36" t="s">
        <v>1113</v>
      </c>
      <c r="E80" s="36" t="s">
        <v>2592</v>
      </c>
      <c r="F80" s="36" t="s">
        <v>186</v>
      </c>
      <c r="G80" s="36" t="str">
        <f>IF($H80="","",IFERROR(INDEX('Risk Library'!$H$5:$M$411,MATCH($E80,'Risk Library'!$A$5:$A$411,0),$H80+1),""))</f>
        <v/>
      </c>
      <c r="H80" s="37" t="str">
        <f>IF(OR(COUNTA('HR Workforce'!$H$14)=0,'HR Workforce'!$H$14="N/A"),"",VALUE('HR Workforce'!$H$14))</f>
        <v/>
      </c>
      <c r="I80" s="36" t="str">
        <f>IF($H80="","",IFERROR(IF('HR Workforce'!$L$14="",IF($H80&lt;=1,"Critical",IF($H80=2,"High",IF($H80=3,"Medium",IF($H80=4,"Low","Resilient")))),'HR Workforce'!$L$14),IF($H80&lt;=1,"Critical",IF($H80=2,"High",IF($H80=3,"Medium",IF($H80=4,"Low","Resilient"))))))</f>
        <v/>
      </c>
      <c r="J80" s="37" t="str">
        <f t="shared" si="20"/>
        <v/>
      </c>
      <c r="K80" s="37" t="str">
        <f t="shared" si="21"/>
        <v/>
      </c>
      <c r="L80" s="37" t="str">
        <f t="shared" si="22"/>
        <v/>
      </c>
      <c r="M80" s="37" t="str">
        <f t="shared" si="23"/>
        <v/>
      </c>
      <c r="N80" s="37" t="str">
        <f>IF($H80="","",IFERROR(INDEX('Risk Library'!$T$5:$Y$411,MATCH($E80,'Risk Library'!$A$5:$A$411,0),$H80+1),""))</f>
        <v/>
      </c>
      <c r="O80" s="37" t="str">
        <f t="shared" si="24"/>
        <v/>
      </c>
      <c r="P80" s="37" t="str">
        <f t="shared" si="25"/>
        <v/>
      </c>
      <c r="Q80" s="37" t="str">
        <f t="shared" si="26"/>
        <v/>
      </c>
      <c r="R80" s="37" t="str">
        <f t="shared" si="27"/>
        <v/>
      </c>
      <c r="S80" s="38" t="str">
        <f t="shared" si="28"/>
        <v/>
      </c>
      <c r="T80" s="36" t="str">
        <f>IF($H80="","",IFERROR(INDEX('Risk Library'!$N$5:$S$411,MATCH($E80,'Risk Library'!$A$5:$A$411,0),$H80+1),""))</f>
        <v/>
      </c>
      <c r="U80" s="37">
        <f>IFERROR('HR Workforce'!$G$14,"")</f>
        <v>5</v>
      </c>
      <c r="V80" s="37">
        <f>IFERROR('HR Workforce'!$W$14,"")</f>
        <v>4</v>
      </c>
      <c r="W80" s="37">
        <f>IFERROR('HR Workforce'!$X$14,"")</f>
        <v>5</v>
      </c>
      <c r="X80" s="37">
        <f>IFERROR('HR Workforce'!$Y$14,"")</f>
        <v>5</v>
      </c>
      <c r="Y80" s="36" t="s">
        <v>2509</v>
      </c>
      <c r="Z80" s="36" t="s">
        <v>2510</v>
      </c>
      <c r="AA80" s="36" t="s">
        <v>2594</v>
      </c>
      <c r="AB80" s="36">
        <f>IFERROR('HR Workforce'!$U$14,"")</f>
        <v>0</v>
      </c>
      <c r="AC80" s="36"/>
      <c r="AD80" s="36"/>
      <c r="AE80" s="36"/>
      <c r="AF80" s="36" t="s">
        <v>2593</v>
      </c>
      <c r="AO80" s="48" t="str">
        <f>IF($B80="Yes",IFERROR(SUMIFS(_TECH_Crisis_Model!$D$5:$D$191,_TECH_Crisis_Model!$A$5:$A$191,'Crisis Simulator'!$B$4,_TECH_Crisis_Model!$B$5:$B$191,$C80),1),"")</f>
        <v/>
      </c>
      <c r="AP80" s="48" t="str">
        <f t="shared" si="29"/>
        <v/>
      </c>
      <c r="AQ80" s="48" t="str">
        <f t="shared" si="30"/>
        <v/>
      </c>
      <c r="AR80" s="48" t="str">
        <f>IFERROR(INDEX(_TECH_Crisis_Model!$E$5:$E$191,MATCH('Crisis Simulator'!$B$4&amp;"|"&amp;$C80,_TECH_Crisis_Model!$I$5:$I$191,0)),"")</f>
        <v>Workforce availability, critical people and knowledge continuity determine operational capacity.</v>
      </c>
      <c r="AS80" s="48" t="str">
        <f>IFERROR(INDEX(_TECH_Crisis_Model!$G$5:$G$191,MATCH('Crisis Simulator'!$B$4&amp;"|"&amp;$C80,_TECH_Crisis_Model!$I$5:$I$191,0)),"")</f>
        <v>Create critical role backups, knowledge transfer, cross-training and workforce continuity plans.</v>
      </c>
      <c r="AT80" s="48" t="str">
        <f>IFERROR(INDEX(_TECH_Initiative_Library!$A$5:$A$76,MATCH(1,INDEX((_TECH_Initiative_Library!$B$5:$B$76=$C80)*(_TECH_Initiative_Library!$C$5:$C$76=$D80),0),0)),"")</f>
        <v>INI-012</v>
      </c>
      <c r="AU80" s="48" t="str">
        <f>IFERROR(INDEX(_TECH_Initiative_Library!$F$5:$F$76,MATCH(1,INDEX((_TECH_Initiative_Library!$B$5:$B$76=$C80)*(_TECH_Initiative_Library!$C$5:$C$76=$D80),0),0)),"")</f>
        <v>Build recruitment, retention and succession resilience plan</v>
      </c>
      <c r="AV80" s="48" t="str">
        <f ca="1">IFERROR(INDEX(_TECH_Initiative_Library!$AC$5:$AC$76,MATCH(1,INDEX((_TECH_Initiative_Library!$B$5:$B$76=$C80)*(_TECH_Initiative_Library!$C$5:$C$76=$D80),0),0)),"")</f>
        <v/>
      </c>
      <c r="AW80" s="48" t="str">
        <f ca="1">IFERROR(INDEX(_TECH_Initiative_Library!$AE$5:$AE$76,MATCH(1,INDEX((_TECH_Initiative_Library!$B$5:$B$76=$C80)*(_TECH_Initiative_Library!$C$5:$C$76=$D80),0),0)),"")</f>
        <v/>
      </c>
      <c r="AX80" s="48" t="str">
        <f>IF($B80="Yes",IFERROR(SUMIFS(_TECH_Industry_Templates!$E:$E,_TECH_Industry_Templates!$A:$A,'Company Profile'!$B$9,_TECH_Industry_Templates!$B:$B,$C80),1),"")</f>
        <v/>
      </c>
      <c r="AY80" s="48" t="str">
        <f t="shared" si="31"/>
        <v/>
      </c>
      <c r="AZ80" s="48" t="str">
        <f t="shared" si="32"/>
        <v/>
      </c>
      <c r="BA80" s="48" t="str">
        <f>IF($AZ80="","",RANK.EQ($AZ80,$AZ$8:$AZ$414,0)+COUNTIF($AZ$8:$AZ80,$AZ80)-1)</f>
        <v/>
      </c>
    </row>
    <row r="81" spans="1:53" ht="69.95" customHeight="1">
      <c r="A81" s="36" t="str">
        <f>IF($AZ81="","",RANK.EQ($AZ81,$AZ$8:$AZ$414,0)+COUNTIF($AZ$8:$AZ81,$AZ81)-1)</f>
        <v/>
      </c>
      <c r="B81" s="36" t="str">
        <f t="shared" si="19"/>
        <v/>
      </c>
      <c r="C81" s="36" t="s">
        <v>63</v>
      </c>
      <c r="D81" s="36" t="s">
        <v>1113</v>
      </c>
      <c r="E81" s="36" t="s">
        <v>2602</v>
      </c>
      <c r="F81" s="36" t="s">
        <v>186</v>
      </c>
      <c r="G81" s="36" t="str">
        <f>IF($H81="","",IFERROR(INDEX('Risk Library'!$H$5:$M$411,MATCH($E81,'Risk Library'!$A$5:$A$411,0),$H81+1),""))</f>
        <v/>
      </c>
      <c r="H81" s="37" t="str">
        <f>IF(OR(COUNTA('HR Workforce'!$H$15)=0,'HR Workforce'!$H$15="N/A"),"",VALUE('HR Workforce'!$H$15))</f>
        <v/>
      </c>
      <c r="I81" s="36" t="str">
        <f>IF($H81="","",IFERROR(IF('HR Workforce'!$L$15="",IF($H81&lt;=1,"Critical",IF($H81=2,"High",IF($H81=3,"Medium",IF($H81=4,"Low","Resilient")))),'HR Workforce'!$L$15),IF($H81&lt;=1,"Critical",IF($H81=2,"High",IF($H81=3,"Medium",IF($H81=4,"Low","Resilient"))))))</f>
        <v/>
      </c>
      <c r="J81" s="37" t="str">
        <f t="shared" si="20"/>
        <v/>
      </c>
      <c r="K81" s="37" t="str">
        <f t="shared" si="21"/>
        <v/>
      </c>
      <c r="L81" s="37" t="str">
        <f t="shared" si="22"/>
        <v/>
      </c>
      <c r="M81" s="37" t="str">
        <f t="shared" si="23"/>
        <v/>
      </c>
      <c r="N81" s="37" t="str">
        <f>IF($H81="","",IFERROR(INDEX('Risk Library'!$T$5:$Y$411,MATCH($E81,'Risk Library'!$A$5:$A$411,0),$H81+1),""))</f>
        <v/>
      </c>
      <c r="O81" s="37" t="str">
        <f t="shared" si="24"/>
        <v/>
      </c>
      <c r="P81" s="37" t="str">
        <f t="shared" si="25"/>
        <v/>
      </c>
      <c r="Q81" s="37" t="str">
        <f t="shared" si="26"/>
        <v/>
      </c>
      <c r="R81" s="37" t="str">
        <f t="shared" si="27"/>
        <v/>
      </c>
      <c r="S81" s="38" t="str">
        <f t="shared" si="28"/>
        <v/>
      </c>
      <c r="T81" s="36" t="str">
        <f>IF($H81="","",IFERROR(INDEX('Risk Library'!$N$5:$S$411,MATCH($E81,'Risk Library'!$A$5:$A$411,0),$H81+1),""))</f>
        <v/>
      </c>
      <c r="U81" s="37">
        <f>IFERROR('HR Workforce'!$G$15,"")</f>
        <v>5</v>
      </c>
      <c r="V81" s="37">
        <f>IFERROR('HR Workforce'!$W$15,"")</f>
        <v>4</v>
      </c>
      <c r="W81" s="37">
        <f>IFERROR('HR Workforce'!$X$15,"")</f>
        <v>5</v>
      </c>
      <c r="X81" s="37">
        <f>IFERROR('HR Workforce'!$Y$15,"")</f>
        <v>5</v>
      </c>
      <c r="Y81" s="36" t="s">
        <v>2509</v>
      </c>
      <c r="Z81" s="36" t="s">
        <v>2510</v>
      </c>
      <c r="AA81" s="36" t="s">
        <v>2604</v>
      </c>
      <c r="AB81" s="36">
        <f>IFERROR('HR Workforce'!$U$15,"")</f>
        <v>0</v>
      </c>
      <c r="AC81" s="36"/>
      <c r="AD81" s="36"/>
      <c r="AE81" s="36"/>
      <c r="AF81" s="36" t="s">
        <v>2603</v>
      </c>
      <c r="AO81" s="48" t="str">
        <f>IF($B81="Yes",IFERROR(SUMIFS(_TECH_Crisis_Model!$D$5:$D$191,_TECH_Crisis_Model!$A$5:$A$191,'Crisis Simulator'!$B$4,_TECH_Crisis_Model!$B$5:$B$191,$C81),1),"")</f>
        <v/>
      </c>
      <c r="AP81" s="48" t="str">
        <f t="shared" si="29"/>
        <v/>
      </c>
      <c r="AQ81" s="48" t="str">
        <f t="shared" si="30"/>
        <v/>
      </c>
      <c r="AR81" s="48" t="str">
        <f>IFERROR(INDEX(_TECH_Crisis_Model!$E$5:$E$191,MATCH('Crisis Simulator'!$B$4&amp;"|"&amp;$C81,_TECH_Crisis_Model!$I$5:$I$191,0)),"")</f>
        <v>Workforce availability, critical people and knowledge continuity determine operational capacity.</v>
      </c>
      <c r="AS81" s="48" t="str">
        <f>IFERROR(INDEX(_TECH_Crisis_Model!$G$5:$G$191,MATCH('Crisis Simulator'!$B$4&amp;"|"&amp;$C81,_TECH_Crisis_Model!$I$5:$I$191,0)),"")</f>
        <v>Create critical role backups, knowledge transfer, cross-training and workforce continuity plans.</v>
      </c>
      <c r="AT81" s="48" t="str">
        <f>IFERROR(INDEX(_TECH_Initiative_Library!$A$5:$A$76,MATCH(1,INDEX((_TECH_Initiative_Library!$B$5:$B$76=$C81)*(_TECH_Initiative_Library!$C$5:$C$76=$D81),0),0)),"")</f>
        <v>INI-012</v>
      </c>
      <c r="AU81" s="48" t="str">
        <f>IFERROR(INDEX(_TECH_Initiative_Library!$F$5:$F$76,MATCH(1,INDEX((_TECH_Initiative_Library!$B$5:$B$76=$C81)*(_TECH_Initiative_Library!$C$5:$C$76=$D81),0),0)),"")</f>
        <v>Build recruitment, retention and succession resilience plan</v>
      </c>
      <c r="AV81" s="48" t="str">
        <f ca="1">IFERROR(INDEX(_TECH_Initiative_Library!$AC$5:$AC$76,MATCH(1,INDEX((_TECH_Initiative_Library!$B$5:$B$76=$C81)*(_TECH_Initiative_Library!$C$5:$C$76=$D81),0),0)),"")</f>
        <v/>
      </c>
      <c r="AW81" s="48" t="str">
        <f ca="1">IFERROR(INDEX(_TECH_Initiative_Library!$AE$5:$AE$76,MATCH(1,INDEX((_TECH_Initiative_Library!$B$5:$B$76=$C81)*(_TECH_Initiative_Library!$C$5:$C$76=$D81),0),0)),"")</f>
        <v/>
      </c>
      <c r="AX81" s="48" t="str">
        <f>IF($B81="Yes",IFERROR(SUMIFS(_TECH_Industry_Templates!$E:$E,_TECH_Industry_Templates!$A:$A,'Company Profile'!$B$9,_TECH_Industry_Templates!$B:$B,$C81),1),"")</f>
        <v/>
      </c>
      <c r="AY81" s="48" t="str">
        <f t="shared" si="31"/>
        <v/>
      </c>
      <c r="AZ81" s="48" t="str">
        <f t="shared" si="32"/>
        <v/>
      </c>
      <c r="BA81" s="48" t="str">
        <f>IF($AZ81="","",RANK.EQ($AZ81,$AZ$8:$AZ$414,0)+COUNTIF($AZ$8:$AZ81,$AZ81)-1)</f>
        <v/>
      </c>
    </row>
    <row r="82" spans="1:53" ht="69.95" customHeight="1">
      <c r="A82" s="36" t="str">
        <f>IF($AZ82="","",RANK.EQ($AZ82,$AZ$8:$AZ$414,0)+COUNTIF($AZ$8:$AZ82,$AZ82)-1)</f>
        <v/>
      </c>
      <c r="B82" s="36" t="str">
        <f t="shared" si="19"/>
        <v/>
      </c>
      <c r="C82" s="36" t="s">
        <v>63</v>
      </c>
      <c r="D82" s="36" t="s">
        <v>1113</v>
      </c>
      <c r="E82" s="36" t="s">
        <v>2612</v>
      </c>
      <c r="F82" s="36" t="s">
        <v>186</v>
      </c>
      <c r="G82" s="36" t="str">
        <f>IF($H82="","",IFERROR(INDEX('Risk Library'!$H$5:$M$411,MATCH($E82,'Risk Library'!$A$5:$A$411,0),$H82+1),""))</f>
        <v/>
      </c>
      <c r="H82" s="37" t="str">
        <f>IF(OR(COUNTA('HR Workforce'!$H$16)=0,'HR Workforce'!$H$16="N/A"),"",VALUE('HR Workforce'!$H$16))</f>
        <v/>
      </c>
      <c r="I82" s="36" t="str">
        <f>IF($H82="","",IFERROR(IF('HR Workforce'!$L$16="",IF($H82&lt;=1,"Critical",IF($H82=2,"High",IF($H82=3,"Medium",IF($H82=4,"Low","Resilient")))),'HR Workforce'!$L$16),IF($H82&lt;=1,"Critical",IF($H82=2,"High",IF($H82=3,"Medium",IF($H82=4,"Low","Resilient"))))))</f>
        <v/>
      </c>
      <c r="J82" s="37" t="str">
        <f t="shared" si="20"/>
        <v/>
      </c>
      <c r="K82" s="37" t="str">
        <f t="shared" si="21"/>
        <v/>
      </c>
      <c r="L82" s="37" t="str">
        <f t="shared" si="22"/>
        <v/>
      </c>
      <c r="M82" s="37" t="str">
        <f t="shared" si="23"/>
        <v/>
      </c>
      <c r="N82" s="37" t="str">
        <f>IF($H82="","",IFERROR(INDEX('Risk Library'!$T$5:$Y$411,MATCH($E82,'Risk Library'!$A$5:$A$411,0),$H82+1),""))</f>
        <v/>
      </c>
      <c r="O82" s="37" t="str">
        <f t="shared" si="24"/>
        <v/>
      </c>
      <c r="P82" s="37" t="str">
        <f t="shared" si="25"/>
        <v/>
      </c>
      <c r="Q82" s="37" t="str">
        <f t="shared" si="26"/>
        <v/>
      </c>
      <c r="R82" s="37" t="str">
        <f t="shared" si="27"/>
        <v/>
      </c>
      <c r="S82" s="38" t="str">
        <f t="shared" si="28"/>
        <v/>
      </c>
      <c r="T82" s="36" t="str">
        <f>IF($H82="","",IFERROR(INDEX('Risk Library'!$N$5:$S$411,MATCH($E82,'Risk Library'!$A$5:$A$411,0),$H82+1),""))</f>
        <v/>
      </c>
      <c r="U82" s="37">
        <f>IFERROR('HR Workforce'!$G$16,"")</f>
        <v>5</v>
      </c>
      <c r="V82" s="37">
        <f>IFERROR('HR Workforce'!$W$16,"")</f>
        <v>4</v>
      </c>
      <c r="W82" s="37">
        <f>IFERROR('HR Workforce'!$X$16,"")</f>
        <v>5</v>
      </c>
      <c r="X82" s="37">
        <f>IFERROR('HR Workforce'!$Y$16,"")</f>
        <v>5</v>
      </c>
      <c r="Y82" s="36" t="s">
        <v>2509</v>
      </c>
      <c r="Z82" s="36" t="s">
        <v>2510</v>
      </c>
      <c r="AA82" s="36" t="s">
        <v>2614</v>
      </c>
      <c r="AB82" s="36">
        <f>IFERROR('HR Workforce'!$U$16,"")</f>
        <v>0</v>
      </c>
      <c r="AC82" s="36"/>
      <c r="AD82" s="36"/>
      <c r="AE82" s="36"/>
      <c r="AF82" s="36" t="s">
        <v>2613</v>
      </c>
      <c r="AO82" s="48" t="str">
        <f>IF($B82="Yes",IFERROR(SUMIFS(_TECH_Crisis_Model!$D$5:$D$191,_TECH_Crisis_Model!$A$5:$A$191,'Crisis Simulator'!$B$4,_TECH_Crisis_Model!$B$5:$B$191,$C82),1),"")</f>
        <v/>
      </c>
      <c r="AP82" s="48" t="str">
        <f t="shared" si="29"/>
        <v/>
      </c>
      <c r="AQ82" s="48" t="str">
        <f t="shared" si="30"/>
        <v/>
      </c>
      <c r="AR82" s="48" t="str">
        <f>IFERROR(INDEX(_TECH_Crisis_Model!$E$5:$E$191,MATCH('Crisis Simulator'!$B$4&amp;"|"&amp;$C82,_TECH_Crisis_Model!$I$5:$I$191,0)),"")</f>
        <v>Workforce availability, critical people and knowledge continuity determine operational capacity.</v>
      </c>
      <c r="AS82" s="48" t="str">
        <f>IFERROR(INDEX(_TECH_Crisis_Model!$G$5:$G$191,MATCH('Crisis Simulator'!$B$4&amp;"|"&amp;$C82,_TECH_Crisis_Model!$I$5:$I$191,0)),"")</f>
        <v>Create critical role backups, knowledge transfer, cross-training and workforce continuity plans.</v>
      </c>
      <c r="AT82" s="48" t="str">
        <f>IFERROR(INDEX(_TECH_Initiative_Library!$A$5:$A$76,MATCH(1,INDEX((_TECH_Initiative_Library!$B$5:$B$76=$C82)*(_TECH_Initiative_Library!$C$5:$C$76=$D82),0),0)),"")</f>
        <v>INI-012</v>
      </c>
      <c r="AU82" s="48" t="str">
        <f>IFERROR(INDEX(_TECH_Initiative_Library!$F$5:$F$76,MATCH(1,INDEX((_TECH_Initiative_Library!$B$5:$B$76=$C82)*(_TECH_Initiative_Library!$C$5:$C$76=$D82),0),0)),"")</f>
        <v>Build recruitment, retention and succession resilience plan</v>
      </c>
      <c r="AV82" s="48" t="str">
        <f ca="1">IFERROR(INDEX(_TECH_Initiative_Library!$AC$5:$AC$76,MATCH(1,INDEX((_TECH_Initiative_Library!$B$5:$B$76=$C82)*(_TECH_Initiative_Library!$C$5:$C$76=$D82),0),0)),"")</f>
        <v/>
      </c>
      <c r="AW82" s="48" t="str">
        <f ca="1">IFERROR(INDEX(_TECH_Initiative_Library!$AE$5:$AE$76,MATCH(1,INDEX((_TECH_Initiative_Library!$B$5:$B$76=$C82)*(_TECH_Initiative_Library!$C$5:$C$76=$D82),0),0)),"")</f>
        <v/>
      </c>
      <c r="AX82" s="48" t="str">
        <f>IF($B82="Yes",IFERROR(SUMIFS(_TECH_Industry_Templates!$E:$E,_TECH_Industry_Templates!$A:$A,'Company Profile'!$B$9,_TECH_Industry_Templates!$B:$B,$C82),1),"")</f>
        <v/>
      </c>
      <c r="AY82" s="48" t="str">
        <f t="shared" si="31"/>
        <v/>
      </c>
      <c r="AZ82" s="48" t="str">
        <f t="shared" si="32"/>
        <v/>
      </c>
      <c r="BA82" s="48" t="str">
        <f>IF($AZ82="","",RANK.EQ($AZ82,$AZ$8:$AZ$414,0)+COUNTIF($AZ$8:$AZ82,$AZ82)-1)</f>
        <v/>
      </c>
    </row>
    <row r="83" spans="1:53" ht="69.95" customHeight="1">
      <c r="A83" s="36" t="str">
        <f>IF($AZ83="","",RANK.EQ($AZ83,$AZ$8:$AZ$414,0)+COUNTIF($AZ$8:$AZ83,$AZ83)-1)</f>
        <v/>
      </c>
      <c r="B83" s="36" t="str">
        <f t="shared" si="19"/>
        <v/>
      </c>
      <c r="C83" s="36" t="s">
        <v>63</v>
      </c>
      <c r="D83" s="36" t="s">
        <v>1121</v>
      </c>
      <c r="E83" s="36" t="s">
        <v>2622</v>
      </c>
      <c r="F83" s="36" t="s">
        <v>186</v>
      </c>
      <c r="G83" s="36" t="str">
        <f>IF($H83="","",IFERROR(INDEX('Risk Library'!$H$5:$M$411,MATCH($E83,'Risk Library'!$A$5:$A$411,0),$H83+1),""))</f>
        <v/>
      </c>
      <c r="H83" s="37" t="str">
        <f>IF(OR(COUNTA('HR Workforce'!$H$17)=0,'HR Workforce'!$H$17="N/A"),"",VALUE('HR Workforce'!$H$17))</f>
        <v/>
      </c>
      <c r="I83" s="36" t="str">
        <f>IF($H83="","",IFERROR(IF('HR Workforce'!$L$17="",IF($H83&lt;=1,"Critical",IF($H83=2,"High",IF($H83=3,"Medium",IF($H83=4,"Low","Resilient")))),'HR Workforce'!$L$17),IF($H83&lt;=1,"Critical",IF($H83=2,"High",IF($H83=3,"Medium",IF($H83=4,"Low","Resilient"))))))</f>
        <v/>
      </c>
      <c r="J83" s="37" t="str">
        <f t="shared" si="20"/>
        <v/>
      </c>
      <c r="K83" s="37" t="str">
        <f t="shared" si="21"/>
        <v/>
      </c>
      <c r="L83" s="37" t="str">
        <f t="shared" si="22"/>
        <v/>
      </c>
      <c r="M83" s="37" t="str">
        <f t="shared" si="23"/>
        <v/>
      </c>
      <c r="N83" s="37" t="str">
        <f>IF($H83="","",IFERROR(INDEX('Risk Library'!$T$5:$Y$411,MATCH($E83,'Risk Library'!$A$5:$A$411,0),$H83+1),""))</f>
        <v/>
      </c>
      <c r="O83" s="37" t="str">
        <f t="shared" si="24"/>
        <v/>
      </c>
      <c r="P83" s="37" t="str">
        <f t="shared" si="25"/>
        <v/>
      </c>
      <c r="Q83" s="37" t="str">
        <f t="shared" si="26"/>
        <v/>
      </c>
      <c r="R83" s="37" t="str">
        <f t="shared" si="27"/>
        <v/>
      </c>
      <c r="S83" s="38" t="str">
        <f t="shared" si="28"/>
        <v/>
      </c>
      <c r="T83" s="36" t="str">
        <f>IF($H83="","",IFERROR(INDEX('Risk Library'!$N$5:$S$411,MATCH($E83,'Risk Library'!$A$5:$A$411,0),$H83+1),""))</f>
        <v/>
      </c>
      <c r="U83" s="37">
        <f>IFERROR('HR Workforce'!$G$17,"")</f>
        <v>4</v>
      </c>
      <c r="V83" s="37">
        <f>IFERROR('HR Workforce'!$W$17,"")</f>
        <v>4</v>
      </c>
      <c r="W83" s="37">
        <f>IFERROR('HR Workforce'!$X$17,"")</f>
        <v>5</v>
      </c>
      <c r="X83" s="37">
        <f>IFERROR('HR Workforce'!$Y$17,"")</f>
        <v>5</v>
      </c>
      <c r="Y83" s="36" t="s">
        <v>2509</v>
      </c>
      <c r="Z83" s="36" t="s">
        <v>2510</v>
      </c>
      <c r="AA83" s="36" t="s">
        <v>2624</v>
      </c>
      <c r="AB83" s="36">
        <f>IFERROR('HR Workforce'!$U$17,"")</f>
        <v>0</v>
      </c>
      <c r="AC83" s="36"/>
      <c r="AD83" s="36"/>
      <c r="AE83" s="36"/>
      <c r="AF83" s="36" t="s">
        <v>2623</v>
      </c>
      <c r="AO83" s="48" t="str">
        <f>IF($B83="Yes",IFERROR(SUMIFS(_TECH_Crisis_Model!$D$5:$D$191,_TECH_Crisis_Model!$A$5:$A$191,'Crisis Simulator'!$B$4,_TECH_Crisis_Model!$B$5:$B$191,$C83),1),"")</f>
        <v/>
      </c>
      <c r="AP83" s="48" t="str">
        <f t="shared" si="29"/>
        <v/>
      </c>
      <c r="AQ83" s="48" t="str">
        <f t="shared" si="30"/>
        <v/>
      </c>
      <c r="AR83" s="48" t="str">
        <f>IFERROR(INDEX(_TECH_Crisis_Model!$E$5:$E$191,MATCH('Crisis Simulator'!$B$4&amp;"|"&amp;$C83,_TECH_Crisis_Model!$I$5:$I$191,0)),"")</f>
        <v>Workforce availability, critical people and knowledge continuity determine operational capacity.</v>
      </c>
      <c r="AS83" s="48" t="str">
        <f>IFERROR(INDEX(_TECH_Crisis_Model!$G$5:$G$191,MATCH('Crisis Simulator'!$B$4&amp;"|"&amp;$C83,_TECH_Crisis_Model!$I$5:$I$191,0)),"")</f>
        <v>Create critical role backups, knowledge transfer, cross-training and workforce continuity plans.</v>
      </c>
      <c r="AT83" s="48" t="str">
        <f>IFERROR(INDEX(_TECH_Initiative_Library!$A$5:$A$76,MATCH(1,INDEX((_TECH_Initiative_Library!$B$5:$B$76=$C83)*(_TECH_Initiative_Library!$C$5:$C$76=$D83),0),0)),"")</f>
        <v>INI-013</v>
      </c>
      <c r="AU83" s="48" t="str">
        <f>IFERROR(INDEX(_TECH_Initiative_Library!$F$5:$F$76,MATCH(1,INDEX((_TECH_Initiative_Library!$B$5:$B$76=$C83)*(_TECH_Initiative_Library!$C$5:$C$76=$D83),0),0)),"")</f>
        <v>Implement workforce continuity, wellbeing and availability playbook</v>
      </c>
      <c r="AV83" s="48" t="str">
        <f ca="1">IFERROR(INDEX(_TECH_Initiative_Library!$AC$5:$AC$76,MATCH(1,INDEX((_TECH_Initiative_Library!$B$5:$B$76=$C83)*(_TECH_Initiative_Library!$C$5:$C$76=$D83),0),0)),"")</f>
        <v/>
      </c>
      <c r="AW83" s="48" t="str">
        <f ca="1">IFERROR(INDEX(_TECH_Initiative_Library!$AE$5:$AE$76,MATCH(1,INDEX((_TECH_Initiative_Library!$B$5:$B$76=$C83)*(_TECH_Initiative_Library!$C$5:$C$76=$D83),0),0)),"")</f>
        <v/>
      </c>
      <c r="AX83" s="48" t="str">
        <f>IF($B83="Yes",IFERROR(SUMIFS(_TECH_Industry_Templates!$E:$E,_TECH_Industry_Templates!$A:$A,'Company Profile'!$B$9,_TECH_Industry_Templates!$B:$B,$C83),1),"")</f>
        <v/>
      </c>
      <c r="AY83" s="48" t="str">
        <f t="shared" si="31"/>
        <v/>
      </c>
      <c r="AZ83" s="48" t="str">
        <f t="shared" si="32"/>
        <v/>
      </c>
      <c r="BA83" s="48" t="str">
        <f>IF($AZ83="","",RANK.EQ($AZ83,$AZ$8:$AZ$414,0)+COUNTIF($AZ$8:$AZ83,$AZ83)-1)</f>
        <v/>
      </c>
    </row>
    <row r="84" spans="1:53" ht="69.95" customHeight="1">
      <c r="A84" s="36" t="str">
        <f>IF($AZ84="","",RANK.EQ($AZ84,$AZ$8:$AZ$414,0)+COUNTIF($AZ$8:$AZ84,$AZ84)-1)</f>
        <v/>
      </c>
      <c r="B84" s="36" t="str">
        <f t="shared" si="19"/>
        <v/>
      </c>
      <c r="C84" s="36" t="s">
        <v>63</v>
      </c>
      <c r="D84" s="36" t="s">
        <v>1121</v>
      </c>
      <c r="E84" s="36" t="s">
        <v>2632</v>
      </c>
      <c r="F84" s="36" t="s">
        <v>186</v>
      </c>
      <c r="G84" s="36" t="str">
        <f>IF($H84="","",IFERROR(INDEX('Risk Library'!$H$5:$M$411,MATCH($E84,'Risk Library'!$A$5:$A$411,0),$H84+1),""))</f>
        <v/>
      </c>
      <c r="H84" s="37" t="str">
        <f>IF(OR(COUNTA('HR Workforce'!$H$18)=0,'HR Workforce'!$H$18="N/A"),"",VALUE('HR Workforce'!$H$18))</f>
        <v/>
      </c>
      <c r="I84" s="36" t="str">
        <f>IF($H84="","",IFERROR(IF('HR Workforce'!$L$18="",IF($H84&lt;=1,"Critical",IF($H84=2,"High",IF($H84=3,"Medium",IF($H84=4,"Low","Resilient")))),'HR Workforce'!$L$18),IF($H84&lt;=1,"Critical",IF($H84=2,"High",IF($H84=3,"Medium",IF($H84=4,"Low","Resilient"))))))</f>
        <v/>
      </c>
      <c r="J84" s="37" t="str">
        <f t="shared" si="20"/>
        <v/>
      </c>
      <c r="K84" s="37" t="str">
        <f t="shared" si="21"/>
        <v/>
      </c>
      <c r="L84" s="37" t="str">
        <f t="shared" si="22"/>
        <v/>
      </c>
      <c r="M84" s="37" t="str">
        <f t="shared" si="23"/>
        <v/>
      </c>
      <c r="N84" s="37" t="str">
        <f>IF($H84="","",IFERROR(INDEX('Risk Library'!$T$5:$Y$411,MATCH($E84,'Risk Library'!$A$5:$A$411,0),$H84+1),""))</f>
        <v/>
      </c>
      <c r="O84" s="37" t="str">
        <f t="shared" si="24"/>
        <v/>
      </c>
      <c r="P84" s="37" t="str">
        <f t="shared" si="25"/>
        <v/>
      </c>
      <c r="Q84" s="37" t="str">
        <f t="shared" si="26"/>
        <v/>
      </c>
      <c r="R84" s="37" t="str">
        <f t="shared" si="27"/>
        <v/>
      </c>
      <c r="S84" s="38" t="str">
        <f t="shared" si="28"/>
        <v/>
      </c>
      <c r="T84" s="36" t="str">
        <f>IF($H84="","",IFERROR(INDEX('Risk Library'!$N$5:$S$411,MATCH($E84,'Risk Library'!$A$5:$A$411,0),$H84+1),""))</f>
        <v/>
      </c>
      <c r="U84" s="37">
        <f>IFERROR('HR Workforce'!$G$18,"")</f>
        <v>4</v>
      </c>
      <c r="V84" s="37">
        <f>IFERROR('HR Workforce'!$W$18,"")</f>
        <v>4</v>
      </c>
      <c r="W84" s="37">
        <f>IFERROR('HR Workforce'!$X$18,"")</f>
        <v>5</v>
      </c>
      <c r="X84" s="37">
        <f>IFERROR('HR Workforce'!$Y$18,"")</f>
        <v>5</v>
      </c>
      <c r="Y84" s="36" t="s">
        <v>2509</v>
      </c>
      <c r="Z84" s="36" t="s">
        <v>2510</v>
      </c>
      <c r="AA84" s="36" t="s">
        <v>2634</v>
      </c>
      <c r="AB84" s="36">
        <f>IFERROR('HR Workforce'!$U$18,"")</f>
        <v>0</v>
      </c>
      <c r="AC84" s="36"/>
      <c r="AD84" s="36"/>
      <c r="AE84" s="36"/>
      <c r="AF84" s="36" t="s">
        <v>2633</v>
      </c>
      <c r="AO84" s="48" t="str">
        <f>IF($B84="Yes",IFERROR(SUMIFS(_TECH_Crisis_Model!$D$5:$D$191,_TECH_Crisis_Model!$A$5:$A$191,'Crisis Simulator'!$B$4,_TECH_Crisis_Model!$B$5:$B$191,$C84),1),"")</f>
        <v/>
      </c>
      <c r="AP84" s="48" t="str">
        <f t="shared" si="29"/>
        <v/>
      </c>
      <c r="AQ84" s="48" t="str">
        <f t="shared" si="30"/>
        <v/>
      </c>
      <c r="AR84" s="48" t="str">
        <f>IFERROR(INDEX(_TECH_Crisis_Model!$E$5:$E$191,MATCH('Crisis Simulator'!$B$4&amp;"|"&amp;$C84,_TECH_Crisis_Model!$I$5:$I$191,0)),"")</f>
        <v>Workforce availability, critical people and knowledge continuity determine operational capacity.</v>
      </c>
      <c r="AS84" s="48" t="str">
        <f>IFERROR(INDEX(_TECH_Crisis_Model!$G$5:$G$191,MATCH('Crisis Simulator'!$B$4&amp;"|"&amp;$C84,_TECH_Crisis_Model!$I$5:$I$191,0)),"")</f>
        <v>Create critical role backups, knowledge transfer, cross-training and workforce continuity plans.</v>
      </c>
      <c r="AT84" s="48" t="str">
        <f>IFERROR(INDEX(_TECH_Initiative_Library!$A$5:$A$76,MATCH(1,INDEX((_TECH_Initiative_Library!$B$5:$B$76=$C84)*(_TECH_Initiative_Library!$C$5:$C$76=$D84),0),0)),"")</f>
        <v>INI-013</v>
      </c>
      <c r="AU84" s="48" t="str">
        <f>IFERROR(INDEX(_TECH_Initiative_Library!$F$5:$F$76,MATCH(1,INDEX((_TECH_Initiative_Library!$B$5:$B$76=$C84)*(_TECH_Initiative_Library!$C$5:$C$76=$D84),0),0)),"")</f>
        <v>Implement workforce continuity, wellbeing and availability playbook</v>
      </c>
      <c r="AV84" s="48" t="str">
        <f ca="1">IFERROR(INDEX(_TECH_Initiative_Library!$AC$5:$AC$76,MATCH(1,INDEX((_TECH_Initiative_Library!$B$5:$B$76=$C84)*(_TECH_Initiative_Library!$C$5:$C$76=$D84),0),0)),"")</f>
        <v/>
      </c>
      <c r="AW84" s="48" t="str">
        <f ca="1">IFERROR(INDEX(_TECH_Initiative_Library!$AE$5:$AE$76,MATCH(1,INDEX((_TECH_Initiative_Library!$B$5:$B$76=$C84)*(_TECH_Initiative_Library!$C$5:$C$76=$D84),0),0)),"")</f>
        <v/>
      </c>
      <c r="AX84" s="48" t="str">
        <f>IF($B84="Yes",IFERROR(SUMIFS(_TECH_Industry_Templates!$E:$E,_TECH_Industry_Templates!$A:$A,'Company Profile'!$B$9,_TECH_Industry_Templates!$B:$B,$C84),1),"")</f>
        <v/>
      </c>
      <c r="AY84" s="48" t="str">
        <f t="shared" si="31"/>
        <v/>
      </c>
      <c r="AZ84" s="48" t="str">
        <f t="shared" si="32"/>
        <v/>
      </c>
      <c r="BA84" s="48" t="str">
        <f>IF($AZ84="","",RANK.EQ($AZ84,$AZ$8:$AZ$414,0)+COUNTIF($AZ$8:$AZ84,$AZ84)-1)</f>
        <v/>
      </c>
    </row>
    <row r="85" spans="1:53" ht="69.95" customHeight="1">
      <c r="A85" s="36" t="str">
        <f>IF($AZ85="","",RANK.EQ($AZ85,$AZ$8:$AZ$414,0)+COUNTIF($AZ$8:$AZ85,$AZ85)-1)</f>
        <v/>
      </c>
      <c r="B85" s="36" t="str">
        <f t="shared" si="19"/>
        <v/>
      </c>
      <c r="C85" s="36" t="s">
        <v>63</v>
      </c>
      <c r="D85" s="36" t="s">
        <v>1121</v>
      </c>
      <c r="E85" s="36" t="s">
        <v>2642</v>
      </c>
      <c r="F85" s="36" t="s">
        <v>186</v>
      </c>
      <c r="G85" s="36" t="str">
        <f>IF($H85="","",IFERROR(INDEX('Risk Library'!$H$5:$M$411,MATCH($E85,'Risk Library'!$A$5:$A$411,0),$H85+1),""))</f>
        <v/>
      </c>
      <c r="H85" s="37" t="str">
        <f>IF(OR(COUNTA('HR Workforce'!$H$19)=0,'HR Workforce'!$H$19="N/A"),"",VALUE('HR Workforce'!$H$19))</f>
        <v/>
      </c>
      <c r="I85" s="36" t="str">
        <f>IF($H85="","",IFERROR(IF('HR Workforce'!$L$19="",IF($H85&lt;=1,"Critical",IF($H85=2,"High",IF($H85=3,"Medium",IF($H85=4,"Low","Resilient")))),'HR Workforce'!$L$19),IF($H85&lt;=1,"Critical",IF($H85=2,"High",IF($H85=3,"Medium",IF($H85=4,"Low","Resilient"))))))</f>
        <v/>
      </c>
      <c r="J85" s="37" t="str">
        <f t="shared" si="20"/>
        <v/>
      </c>
      <c r="K85" s="37" t="str">
        <f t="shared" si="21"/>
        <v/>
      </c>
      <c r="L85" s="37" t="str">
        <f t="shared" si="22"/>
        <v/>
      </c>
      <c r="M85" s="37" t="str">
        <f t="shared" si="23"/>
        <v/>
      </c>
      <c r="N85" s="37" t="str">
        <f>IF($H85="","",IFERROR(INDEX('Risk Library'!$T$5:$Y$411,MATCH($E85,'Risk Library'!$A$5:$A$411,0),$H85+1),""))</f>
        <v/>
      </c>
      <c r="O85" s="37" t="str">
        <f t="shared" si="24"/>
        <v/>
      </c>
      <c r="P85" s="37" t="str">
        <f t="shared" si="25"/>
        <v/>
      </c>
      <c r="Q85" s="37" t="str">
        <f t="shared" si="26"/>
        <v/>
      </c>
      <c r="R85" s="37" t="str">
        <f t="shared" si="27"/>
        <v/>
      </c>
      <c r="S85" s="38" t="str">
        <f t="shared" si="28"/>
        <v/>
      </c>
      <c r="T85" s="36" t="str">
        <f>IF($H85="","",IFERROR(INDEX('Risk Library'!$N$5:$S$411,MATCH($E85,'Risk Library'!$A$5:$A$411,0),$H85+1),""))</f>
        <v/>
      </c>
      <c r="U85" s="37">
        <f>IFERROR('HR Workforce'!$G$19,"")</f>
        <v>5</v>
      </c>
      <c r="V85" s="37">
        <f>IFERROR('HR Workforce'!$W$19,"")</f>
        <v>5</v>
      </c>
      <c r="W85" s="37">
        <f>IFERROR('HR Workforce'!$X$19,"")</f>
        <v>5</v>
      </c>
      <c r="X85" s="37">
        <f>IFERROR('HR Workforce'!$Y$19,"")</f>
        <v>5</v>
      </c>
      <c r="Y85" s="36" t="s">
        <v>2509</v>
      </c>
      <c r="Z85" s="36" t="s">
        <v>2510</v>
      </c>
      <c r="AA85" s="36" t="s">
        <v>2644</v>
      </c>
      <c r="AB85" s="36">
        <f>IFERROR('HR Workforce'!$U$19,"")</f>
        <v>0</v>
      </c>
      <c r="AC85" s="36"/>
      <c r="AD85" s="36"/>
      <c r="AE85" s="36"/>
      <c r="AF85" s="36" t="s">
        <v>2643</v>
      </c>
      <c r="AO85" s="48" t="str">
        <f>IF($B85="Yes",IFERROR(SUMIFS(_TECH_Crisis_Model!$D$5:$D$191,_TECH_Crisis_Model!$A$5:$A$191,'Crisis Simulator'!$B$4,_TECH_Crisis_Model!$B$5:$B$191,$C85),1),"")</f>
        <v/>
      </c>
      <c r="AP85" s="48" t="str">
        <f t="shared" si="29"/>
        <v/>
      </c>
      <c r="AQ85" s="48" t="str">
        <f t="shared" si="30"/>
        <v/>
      </c>
      <c r="AR85" s="48" t="str">
        <f>IFERROR(INDEX(_TECH_Crisis_Model!$E$5:$E$191,MATCH('Crisis Simulator'!$B$4&amp;"|"&amp;$C85,_TECH_Crisis_Model!$I$5:$I$191,0)),"")</f>
        <v>Workforce availability, critical people and knowledge continuity determine operational capacity.</v>
      </c>
      <c r="AS85" s="48" t="str">
        <f>IFERROR(INDEX(_TECH_Crisis_Model!$G$5:$G$191,MATCH('Crisis Simulator'!$B$4&amp;"|"&amp;$C85,_TECH_Crisis_Model!$I$5:$I$191,0)),"")</f>
        <v>Create critical role backups, knowledge transfer, cross-training and workforce continuity plans.</v>
      </c>
      <c r="AT85" s="48" t="str">
        <f>IFERROR(INDEX(_TECH_Initiative_Library!$A$5:$A$76,MATCH(1,INDEX((_TECH_Initiative_Library!$B$5:$B$76=$C85)*(_TECH_Initiative_Library!$C$5:$C$76=$D85),0),0)),"")</f>
        <v>INI-013</v>
      </c>
      <c r="AU85" s="48" t="str">
        <f>IFERROR(INDEX(_TECH_Initiative_Library!$F$5:$F$76,MATCH(1,INDEX((_TECH_Initiative_Library!$B$5:$B$76=$C85)*(_TECH_Initiative_Library!$C$5:$C$76=$D85),0),0)),"")</f>
        <v>Implement workforce continuity, wellbeing and availability playbook</v>
      </c>
      <c r="AV85" s="48" t="str">
        <f ca="1">IFERROR(INDEX(_TECH_Initiative_Library!$AC$5:$AC$76,MATCH(1,INDEX((_TECH_Initiative_Library!$B$5:$B$76=$C85)*(_TECH_Initiative_Library!$C$5:$C$76=$D85),0),0)),"")</f>
        <v/>
      </c>
      <c r="AW85" s="48" t="str">
        <f ca="1">IFERROR(INDEX(_TECH_Initiative_Library!$AE$5:$AE$76,MATCH(1,INDEX((_TECH_Initiative_Library!$B$5:$B$76=$C85)*(_TECH_Initiative_Library!$C$5:$C$76=$D85),0),0)),"")</f>
        <v/>
      </c>
      <c r="AX85" s="48" t="str">
        <f>IF($B85="Yes",IFERROR(SUMIFS(_TECH_Industry_Templates!$E:$E,_TECH_Industry_Templates!$A:$A,'Company Profile'!$B$9,_TECH_Industry_Templates!$B:$B,$C85),1),"")</f>
        <v/>
      </c>
      <c r="AY85" s="48" t="str">
        <f t="shared" si="31"/>
        <v/>
      </c>
      <c r="AZ85" s="48" t="str">
        <f t="shared" si="32"/>
        <v/>
      </c>
      <c r="BA85" s="48" t="str">
        <f>IF($AZ85="","",RANK.EQ($AZ85,$AZ$8:$AZ$414,0)+COUNTIF($AZ$8:$AZ85,$AZ85)-1)</f>
        <v/>
      </c>
    </row>
    <row r="86" spans="1:53" ht="69.95" customHeight="1">
      <c r="A86" s="36" t="str">
        <f>IF($AZ86="","",RANK.EQ($AZ86,$AZ$8:$AZ$414,0)+COUNTIF($AZ$8:$AZ86,$AZ86)-1)</f>
        <v/>
      </c>
      <c r="B86" s="36" t="str">
        <f t="shared" si="19"/>
        <v/>
      </c>
      <c r="C86" s="36" t="s">
        <v>63</v>
      </c>
      <c r="D86" s="36" t="s">
        <v>1121</v>
      </c>
      <c r="E86" s="36" t="s">
        <v>2652</v>
      </c>
      <c r="F86" s="36" t="s">
        <v>186</v>
      </c>
      <c r="G86" s="36" t="str">
        <f>IF($H86="","",IFERROR(INDEX('Risk Library'!$H$5:$M$411,MATCH($E86,'Risk Library'!$A$5:$A$411,0),$H86+1),""))</f>
        <v/>
      </c>
      <c r="H86" s="37" t="str">
        <f>IF(OR(COUNTA('HR Workforce'!$H$20)=0,'HR Workforce'!$H$20="N/A"),"",VALUE('HR Workforce'!$H$20))</f>
        <v/>
      </c>
      <c r="I86" s="36" t="str">
        <f>IF($H86="","",IFERROR(IF('HR Workforce'!$L$20="",IF($H86&lt;=1,"Critical",IF($H86=2,"High",IF($H86=3,"Medium",IF($H86=4,"Low","Resilient")))),'HR Workforce'!$L$20),IF($H86&lt;=1,"Critical",IF($H86=2,"High",IF($H86=3,"Medium",IF($H86=4,"Low","Resilient"))))))</f>
        <v/>
      </c>
      <c r="J86" s="37" t="str">
        <f t="shared" si="20"/>
        <v/>
      </c>
      <c r="K86" s="37" t="str">
        <f t="shared" si="21"/>
        <v/>
      </c>
      <c r="L86" s="37" t="str">
        <f t="shared" si="22"/>
        <v/>
      </c>
      <c r="M86" s="37" t="str">
        <f t="shared" si="23"/>
        <v/>
      </c>
      <c r="N86" s="37" t="str">
        <f>IF($H86="","",IFERROR(INDEX('Risk Library'!$T$5:$Y$411,MATCH($E86,'Risk Library'!$A$5:$A$411,0),$H86+1),""))</f>
        <v/>
      </c>
      <c r="O86" s="37" t="str">
        <f t="shared" si="24"/>
        <v/>
      </c>
      <c r="P86" s="37" t="str">
        <f t="shared" si="25"/>
        <v/>
      </c>
      <c r="Q86" s="37" t="str">
        <f t="shared" si="26"/>
        <v/>
      </c>
      <c r="R86" s="37" t="str">
        <f t="shared" si="27"/>
        <v/>
      </c>
      <c r="S86" s="38" t="str">
        <f t="shared" si="28"/>
        <v/>
      </c>
      <c r="T86" s="36" t="str">
        <f>IF($H86="","",IFERROR(INDEX('Risk Library'!$N$5:$S$411,MATCH($E86,'Risk Library'!$A$5:$A$411,0),$H86+1),""))</f>
        <v/>
      </c>
      <c r="U86" s="37">
        <f>IFERROR('HR Workforce'!$G$20,"")</f>
        <v>5</v>
      </c>
      <c r="V86" s="37">
        <f>IFERROR('HR Workforce'!$W$20,"")</f>
        <v>4</v>
      </c>
      <c r="W86" s="37">
        <f>IFERROR('HR Workforce'!$X$20,"")</f>
        <v>5</v>
      </c>
      <c r="X86" s="37">
        <f>IFERROR('HR Workforce'!$Y$20,"")</f>
        <v>5</v>
      </c>
      <c r="Y86" s="36" t="s">
        <v>2509</v>
      </c>
      <c r="Z86" s="36" t="s">
        <v>2510</v>
      </c>
      <c r="AA86" s="36" t="s">
        <v>2654</v>
      </c>
      <c r="AB86" s="36">
        <f>IFERROR('HR Workforce'!$U$20,"")</f>
        <v>0</v>
      </c>
      <c r="AC86" s="36"/>
      <c r="AD86" s="36"/>
      <c r="AE86" s="36"/>
      <c r="AF86" s="36" t="s">
        <v>2653</v>
      </c>
      <c r="AO86" s="48" t="str">
        <f>IF($B86="Yes",IFERROR(SUMIFS(_TECH_Crisis_Model!$D$5:$D$191,_TECH_Crisis_Model!$A$5:$A$191,'Crisis Simulator'!$B$4,_TECH_Crisis_Model!$B$5:$B$191,$C86),1),"")</f>
        <v/>
      </c>
      <c r="AP86" s="48" t="str">
        <f t="shared" si="29"/>
        <v/>
      </c>
      <c r="AQ86" s="48" t="str">
        <f t="shared" si="30"/>
        <v/>
      </c>
      <c r="AR86" s="48" t="str">
        <f>IFERROR(INDEX(_TECH_Crisis_Model!$E$5:$E$191,MATCH('Crisis Simulator'!$B$4&amp;"|"&amp;$C86,_TECH_Crisis_Model!$I$5:$I$191,0)),"")</f>
        <v>Workforce availability, critical people and knowledge continuity determine operational capacity.</v>
      </c>
      <c r="AS86" s="48" t="str">
        <f>IFERROR(INDEX(_TECH_Crisis_Model!$G$5:$G$191,MATCH('Crisis Simulator'!$B$4&amp;"|"&amp;$C86,_TECH_Crisis_Model!$I$5:$I$191,0)),"")</f>
        <v>Create critical role backups, knowledge transfer, cross-training and workforce continuity plans.</v>
      </c>
      <c r="AT86" s="48" t="str">
        <f>IFERROR(INDEX(_TECH_Initiative_Library!$A$5:$A$76,MATCH(1,INDEX((_TECH_Initiative_Library!$B$5:$B$76=$C86)*(_TECH_Initiative_Library!$C$5:$C$76=$D86),0),0)),"")</f>
        <v>INI-013</v>
      </c>
      <c r="AU86" s="48" t="str">
        <f>IFERROR(INDEX(_TECH_Initiative_Library!$F$5:$F$76,MATCH(1,INDEX((_TECH_Initiative_Library!$B$5:$B$76=$C86)*(_TECH_Initiative_Library!$C$5:$C$76=$D86),0),0)),"")</f>
        <v>Implement workforce continuity, wellbeing and availability playbook</v>
      </c>
      <c r="AV86" s="48" t="str">
        <f ca="1">IFERROR(INDEX(_TECH_Initiative_Library!$AC$5:$AC$76,MATCH(1,INDEX((_TECH_Initiative_Library!$B$5:$B$76=$C86)*(_TECH_Initiative_Library!$C$5:$C$76=$D86),0),0)),"")</f>
        <v/>
      </c>
      <c r="AW86" s="48" t="str">
        <f ca="1">IFERROR(INDEX(_TECH_Initiative_Library!$AE$5:$AE$76,MATCH(1,INDEX((_TECH_Initiative_Library!$B$5:$B$76=$C86)*(_TECH_Initiative_Library!$C$5:$C$76=$D86),0),0)),"")</f>
        <v/>
      </c>
      <c r="AX86" s="48" t="str">
        <f>IF($B86="Yes",IFERROR(SUMIFS(_TECH_Industry_Templates!$E:$E,_TECH_Industry_Templates!$A:$A,'Company Profile'!$B$9,_TECH_Industry_Templates!$B:$B,$C86),1),"")</f>
        <v/>
      </c>
      <c r="AY86" s="48" t="str">
        <f t="shared" si="31"/>
        <v/>
      </c>
      <c r="AZ86" s="48" t="str">
        <f t="shared" si="32"/>
        <v/>
      </c>
      <c r="BA86" s="48" t="str">
        <f>IF($AZ86="","",RANK.EQ($AZ86,$AZ$8:$AZ$414,0)+COUNTIF($AZ$8:$AZ86,$AZ86)-1)</f>
        <v/>
      </c>
    </row>
    <row r="87" spans="1:53" ht="69.95" customHeight="1">
      <c r="A87" s="36" t="str">
        <f>IF($AZ87="","",RANK.EQ($AZ87,$AZ$8:$AZ$414,0)+COUNTIF($AZ$8:$AZ87,$AZ87)-1)</f>
        <v/>
      </c>
      <c r="B87" s="36" t="str">
        <f t="shared" si="19"/>
        <v/>
      </c>
      <c r="C87" s="36" t="s">
        <v>63</v>
      </c>
      <c r="D87" s="36" t="s">
        <v>1121</v>
      </c>
      <c r="E87" s="36" t="s">
        <v>2662</v>
      </c>
      <c r="F87" s="36" t="s">
        <v>186</v>
      </c>
      <c r="G87" s="36" t="str">
        <f>IF($H87="","",IFERROR(INDEX('Risk Library'!$H$5:$M$411,MATCH($E87,'Risk Library'!$A$5:$A$411,0),$H87+1),""))</f>
        <v/>
      </c>
      <c r="H87" s="37" t="str">
        <f>IF(OR(COUNTA('HR Workforce'!$H$21)=0,'HR Workforce'!$H$21="N/A"),"",VALUE('HR Workforce'!$H$21))</f>
        <v/>
      </c>
      <c r="I87" s="36" t="str">
        <f>IF($H87="","",IFERROR(IF('HR Workforce'!$L$21="",IF($H87&lt;=1,"Critical",IF($H87=2,"High",IF($H87=3,"Medium",IF($H87=4,"Low","Resilient")))),'HR Workforce'!$L$21),IF($H87&lt;=1,"Critical",IF($H87=2,"High",IF($H87=3,"Medium",IF($H87=4,"Low","Resilient"))))))</f>
        <v/>
      </c>
      <c r="J87" s="37" t="str">
        <f t="shared" si="20"/>
        <v/>
      </c>
      <c r="K87" s="37" t="str">
        <f t="shared" si="21"/>
        <v/>
      </c>
      <c r="L87" s="37" t="str">
        <f t="shared" si="22"/>
        <v/>
      </c>
      <c r="M87" s="37" t="str">
        <f t="shared" si="23"/>
        <v/>
      </c>
      <c r="N87" s="37" t="str">
        <f>IF($H87="","",IFERROR(INDEX('Risk Library'!$T$5:$Y$411,MATCH($E87,'Risk Library'!$A$5:$A$411,0),$H87+1),""))</f>
        <v/>
      </c>
      <c r="O87" s="37" t="str">
        <f t="shared" si="24"/>
        <v/>
      </c>
      <c r="P87" s="37" t="str">
        <f t="shared" si="25"/>
        <v/>
      </c>
      <c r="Q87" s="37" t="str">
        <f t="shared" si="26"/>
        <v/>
      </c>
      <c r="R87" s="37" t="str">
        <f t="shared" si="27"/>
        <v/>
      </c>
      <c r="S87" s="38" t="str">
        <f t="shared" si="28"/>
        <v/>
      </c>
      <c r="T87" s="36" t="str">
        <f>IF($H87="","",IFERROR(INDEX('Risk Library'!$N$5:$S$411,MATCH($E87,'Risk Library'!$A$5:$A$411,0),$H87+1),""))</f>
        <v/>
      </c>
      <c r="U87" s="37">
        <f>IFERROR('HR Workforce'!$G$21,"")</f>
        <v>5</v>
      </c>
      <c r="V87" s="37">
        <f>IFERROR('HR Workforce'!$W$21,"")</f>
        <v>4</v>
      </c>
      <c r="W87" s="37">
        <f>IFERROR('HR Workforce'!$X$21,"")</f>
        <v>5</v>
      </c>
      <c r="X87" s="37">
        <f>IFERROR('HR Workforce'!$Y$21,"")</f>
        <v>5</v>
      </c>
      <c r="Y87" s="36" t="s">
        <v>2509</v>
      </c>
      <c r="Z87" s="36" t="s">
        <v>2510</v>
      </c>
      <c r="AA87" s="36" t="s">
        <v>2664</v>
      </c>
      <c r="AB87" s="36">
        <f>IFERROR('HR Workforce'!$U$21,"")</f>
        <v>0</v>
      </c>
      <c r="AC87" s="36"/>
      <c r="AD87" s="36"/>
      <c r="AE87" s="36"/>
      <c r="AF87" s="36" t="s">
        <v>2663</v>
      </c>
      <c r="AO87" s="48" t="str">
        <f>IF($B87="Yes",IFERROR(SUMIFS(_TECH_Crisis_Model!$D$5:$D$191,_TECH_Crisis_Model!$A$5:$A$191,'Crisis Simulator'!$B$4,_TECH_Crisis_Model!$B$5:$B$191,$C87),1),"")</f>
        <v/>
      </c>
      <c r="AP87" s="48" t="str">
        <f t="shared" si="29"/>
        <v/>
      </c>
      <c r="AQ87" s="48" t="str">
        <f t="shared" si="30"/>
        <v/>
      </c>
      <c r="AR87" s="48" t="str">
        <f>IFERROR(INDEX(_TECH_Crisis_Model!$E$5:$E$191,MATCH('Crisis Simulator'!$B$4&amp;"|"&amp;$C87,_TECH_Crisis_Model!$I$5:$I$191,0)),"")</f>
        <v>Workforce availability, critical people and knowledge continuity determine operational capacity.</v>
      </c>
      <c r="AS87" s="48" t="str">
        <f>IFERROR(INDEX(_TECH_Crisis_Model!$G$5:$G$191,MATCH('Crisis Simulator'!$B$4&amp;"|"&amp;$C87,_TECH_Crisis_Model!$I$5:$I$191,0)),"")</f>
        <v>Create critical role backups, knowledge transfer, cross-training and workforce continuity plans.</v>
      </c>
      <c r="AT87" s="48" t="str">
        <f>IFERROR(INDEX(_TECH_Initiative_Library!$A$5:$A$76,MATCH(1,INDEX((_TECH_Initiative_Library!$B$5:$B$76=$C87)*(_TECH_Initiative_Library!$C$5:$C$76=$D87),0),0)),"")</f>
        <v>INI-013</v>
      </c>
      <c r="AU87" s="48" t="str">
        <f>IFERROR(INDEX(_TECH_Initiative_Library!$F$5:$F$76,MATCH(1,INDEX((_TECH_Initiative_Library!$B$5:$B$76=$C87)*(_TECH_Initiative_Library!$C$5:$C$76=$D87),0),0)),"")</f>
        <v>Implement workforce continuity, wellbeing and availability playbook</v>
      </c>
      <c r="AV87" s="48" t="str">
        <f ca="1">IFERROR(INDEX(_TECH_Initiative_Library!$AC$5:$AC$76,MATCH(1,INDEX((_TECH_Initiative_Library!$B$5:$B$76=$C87)*(_TECH_Initiative_Library!$C$5:$C$76=$D87),0),0)),"")</f>
        <v/>
      </c>
      <c r="AW87" s="48" t="str">
        <f ca="1">IFERROR(INDEX(_TECH_Initiative_Library!$AE$5:$AE$76,MATCH(1,INDEX((_TECH_Initiative_Library!$B$5:$B$76=$C87)*(_TECH_Initiative_Library!$C$5:$C$76=$D87),0),0)),"")</f>
        <v/>
      </c>
      <c r="AX87" s="48" t="str">
        <f>IF($B87="Yes",IFERROR(SUMIFS(_TECH_Industry_Templates!$E:$E,_TECH_Industry_Templates!$A:$A,'Company Profile'!$B$9,_TECH_Industry_Templates!$B:$B,$C87),1),"")</f>
        <v/>
      </c>
      <c r="AY87" s="48" t="str">
        <f t="shared" si="31"/>
        <v/>
      </c>
      <c r="AZ87" s="48" t="str">
        <f t="shared" si="32"/>
        <v/>
      </c>
      <c r="BA87" s="48" t="str">
        <f>IF($AZ87="","",RANK.EQ($AZ87,$AZ$8:$AZ$414,0)+COUNTIF($AZ$8:$AZ87,$AZ87)-1)</f>
        <v/>
      </c>
    </row>
    <row r="88" spans="1:53" ht="69.95" customHeight="1">
      <c r="A88" s="36" t="str">
        <f>IF($AZ88="","",RANK.EQ($AZ88,$AZ$8:$AZ$414,0)+COUNTIF($AZ$8:$AZ88,$AZ88)-1)</f>
        <v/>
      </c>
      <c r="B88" s="36" t="str">
        <f t="shared" si="19"/>
        <v/>
      </c>
      <c r="C88" s="36" t="s">
        <v>63</v>
      </c>
      <c r="D88" s="36" t="s">
        <v>1121</v>
      </c>
      <c r="E88" s="36" t="s">
        <v>2672</v>
      </c>
      <c r="F88" s="36" t="s">
        <v>186</v>
      </c>
      <c r="G88" s="36" t="str">
        <f>IF($H88="","",IFERROR(INDEX('Risk Library'!$H$5:$M$411,MATCH($E88,'Risk Library'!$A$5:$A$411,0),$H88+1),""))</f>
        <v/>
      </c>
      <c r="H88" s="37" t="str">
        <f>IF(OR(COUNTA('HR Workforce'!$H$22)=0,'HR Workforce'!$H$22="N/A"),"",VALUE('HR Workforce'!$H$22))</f>
        <v/>
      </c>
      <c r="I88" s="36" t="str">
        <f>IF($H88="","",IFERROR(IF('HR Workforce'!$L$22="",IF($H88&lt;=1,"Critical",IF($H88=2,"High",IF($H88=3,"Medium",IF($H88=4,"Low","Resilient")))),'HR Workforce'!$L$22),IF($H88&lt;=1,"Critical",IF($H88=2,"High",IF($H88=3,"Medium",IF($H88=4,"Low","Resilient"))))))</f>
        <v/>
      </c>
      <c r="J88" s="37" t="str">
        <f t="shared" si="20"/>
        <v/>
      </c>
      <c r="K88" s="37" t="str">
        <f t="shared" si="21"/>
        <v/>
      </c>
      <c r="L88" s="37" t="str">
        <f t="shared" si="22"/>
        <v/>
      </c>
      <c r="M88" s="37" t="str">
        <f t="shared" si="23"/>
        <v/>
      </c>
      <c r="N88" s="37" t="str">
        <f>IF($H88="","",IFERROR(INDEX('Risk Library'!$T$5:$Y$411,MATCH($E88,'Risk Library'!$A$5:$A$411,0),$H88+1),""))</f>
        <v/>
      </c>
      <c r="O88" s="37" t="str">
        <f t="shared" si="24"/>
        <v/>
      </c>
      <c r="P88" s="37" t="str">
        <f t="shared" si="25"/>
        <v/>
      </c>
      <c r="Q88" s="37" t="str">
        <f t="shared" si="26"/>
        <v/>
      </c>
      <c r="R88" s="37" t="str">
        <f t="shared" si="27"/>
        <v/>
      </c>
      <c r="S88" s="38" t="str">
        <f t="shared" si="28"/>
        <v/>
      </c>
      <c r="T88" s="36" t="str">
        <f>IF($H88="","",IFERROR(INDEX('Risk Library'!$N$5:$S$411,MATCH($E88,'Risk Library'!$A$5:$A$411,0),$H88+1),""))</f>
        <v/>
      </c>
      <c r="U88" s="37">
        <f>IFERROR('HR Workforce'!$G$22,"")</f>
        <v>3</v>
      </c>
      <c r="V88" s="37">
        <f>IFERROR('HR Workforce'!$W$22,"")</f>
        <v>4</v>
      </c>
      <c r="W88" s="37">
        <f>IFERROR('HR Workforce'!$X$22,"")</f>
        <v>5</v>
      </c>
      <c r="X88" s="37">
        <f>IFERROR('HR Workforce'!$Y$22,"")</f>
        <v>5</v>
      </c>
      <c r="Y88" s="36" t="s">
        <v>2509</v>
      </c>
      <c r="Z88" s="36" t="s">
        <v>2510</v>
      </c>
      <c r="AA88" s="36" t="s">
        <v>2674</v>
      </c>
      <c r="AB88" s="36">
        <f>IFERROR('HR Workforce'!$U$22,"")</f>
        <v>0</v>
      </c>
      <c r="AC88" s="36"/>
      <c r="AD88" s="36"/>
      <c r="AE88" s="36"/>
      <c r="AF88" s="36" t="s">
        <v>2673</v>
      </c>
      <c r="AO88" s="48" t="str">
        <f>IF($B88="Yes",IFERROR(SUMIFS(_TECH_Crisis_Model!$D$5:$D$191,_TECH_Crisis_Model!$A$5:$A$191,'Crisis Simulator'!$B$4,_TECH_Crisis_Model!$B$5:$B$191,$C88),1),"")</f>
        <v/>
      </c>
      <c r="AP88" s="48" t="str">
        <f t="shared" si="29"/>
        <v/>
      </c>
      <c r="AQ88" s="48" t="str">
        <f t="shared" si="30"/>
        <v/>
      </c>
      <c r="AR88" s="48" t="str">
        <f>IFERROR(INDEX(_TECH_Crisis_Model!$E$5:$E$191,MATCH('Crisis Simulator'!$B$4&amp;"|"&amp;$C88,_TECH_Crisis_Model!$I$5:$I$191,0)),"")</f>
        <v>Workforce availability, critical people and knowledge continuity determine operational capacity.</v>
      </c>
      <c r="AS88" s="48" t="str">
        <f>IFERROR(INDEX(_TECH_Crisis_Model!$G$5:$G$191,MATCH('Crisis Simulator'!$B$4&amp;"|"&amp;$C88,_TECH_Crisis_Model!$I$5:$I$191,0)),"")</f>
        <v>Create critical role backups, knowledge transfer, cross-training and workforce continuity plans.</v>
      </c>
      <c r="AT88" s="48" t="str">
        <f>IFERROR(INDEX(_TECH_Initiative_Library!$A$5:$A$76,MATCH(1,INDEX((_TECH_Initiative_Library!$B$5:$B$76=$C88)*(_TECH_Initiative_Library!$C$5:$C$76=$D88),0),0)),"")</f>
        <v>INI-013</v>
      </c>
      <c r="AU88" s="48" t="str">
        <f>IFERROR(INDEX(_TECH_Initiative_Library!$F$5:$F$76,MATCH(1,INDEX((_TECH_Initiative_Library!$B$5:$B$76=$C88)*(_TECH_Initiative_Library!$C$5:$C$76=$D88),0),0)),"")</f>
        <v>Implement workforce continuity, wellbeing and availability playbook</v>
      </c>
      <c r="AV88" s="48" t="str">
        <f ca="1">IFERROR(INDEX(_TECH_Initiative_Library!$AC$5:$AC$76,MATCH(1,INDEX((_TECH_Initiative_Library!$B$5:$B$76=$C88)*(_TECH_Initiative_Library!$C$5:$C$76=$D88),0),0)),"")</f>
        <v/>
      </c>
      <c r="AW88" s="48" t="str">
        <f ca="1">IFERROR(INDEX(_TECH_Initiative_Library!$AE$5:$AE$76,MATCH(1,INDEX((_TECH_Initiative_Library!$B$5:$B$76=$C88)*(_TECH_Initiative_Library!$C$5:$C$76=$D88),0),0)),"")</f>
        <v/>
      </c>
      <c r="AX88" s="48" t="str">
        <f>IF($B88="Yes",IFERROR(SUMIFS(_TECH_Industry_Templates!$E:$E,_TECH_Industry_Templates!$A:$A,'Company Profile'!$B$9,_TECH_Industry_Templates!$B:$B,$C88),1),"")</f>
        <v/>
      </c>
      <c r="AY88" s="48" t="str">
        <f t="shared" si="31"/>
        <v/>
      </c>
      <c r="AZ88" s="48" t="str">
        <f t="shared" si="32"/>
        <v/>
      </c>
      <c r="BA88" s="48" t="str">
        <f>IF($AZ88="","",RANK.EQ($AZ88,$AZ$8:$AZ$414,0)+COUNTIF($AZ$8:$AZ88,$AZ88)-1)</f>
        <v/>
      </c>
    </row>
    <row r="89" spans="1:53" ht="69.95" customHeight="1">
      <c r="A89" s="36" t="str">
        <f>IF($AZ89="","",RANK.EQ($AZ89,$AZ$8:$AZ$414,0)+COUNTIF($AZ$8:$AZ89,$AZ89)-1)</f>
        <v/>
      </c>
      <c r="B89" s="36" t="str">
        <f t="shared" si="19"/>
        <v/>
      </c>
      <c r="C89" s="36" t="s">
        <v>63</v>
      </c>
      <c r="D89" s="36" t="s">
        <v>1121</v>
      </c>
      <c r="E89" s="36" t="s">
        <v>2682</v>
      </c>
      <c r="F89" s="36" t="s">
        <v>186</v>
      </c>
      <c r="G89" s="36" t="str">
        <f>IF($H89="","",IFERROR(INDEX('Risk Library'!$H$5:$M$411,MATCH($E89,'Risk Library'!$A$5:$A$411,0),$H89+1),""))</f>
        <v/>
      </c>
      <c r="H89" s="37" t="str">
        <f>IF(OR(COUNTA('HR Workforce'!$H$23)=0,'HR Workforce'!$H$23="N/A"),"",VALUE('HR Workforce'!$H$23))</f>
        <v/>
      </c>
      <c r="I89" s="36" t="str">
        <f>IF($H89="","",IFERROR(IF('HR Workforce'!$L$23="",IF($H89&lt;=1,"Critical",IF($H89=2,"High",IF($H89=3,"Medium",IF($H89=4,"Low","Resilient")))),'HR Workforce'!$L$23),IF($H89&lt;=1,"Critical",IF($H89=2,"High",IF($H89=3,"Medium",IF($H89=4,"Low","Resilient"))))))</f>
        <v/>
      </c>
      <c r="J89" s="37" t="str">
        <f t="shared" si="20"/>
        <v/>
      </c>
      <c r="K89" s="37" t="str">
        <f t="shared" si="21"/>
        <v/>
      </c>
      <c r="L89" s="37" t="str">
        <f t="shared" si="22"/>
        <v/>
      </c>
      <c r="M89" s="37" t="str">
        <f t="shared" si="23"/>
        <v/>
      </c>
      <c r="N89" s="37" t="str">
        <f>IF($H89="","",IFERROR(INDEX('Risk Library'!$T$5:$Y$411,MATCH($E89,'Risk Library'!$A$5:$A$411,0),$H89+1),""))</f>
        <v/>
      </c>
      <c r="O89" s="37" t="str">
        <f t="shared" si="24"/>
        <v/>
      </c>
      <c r="P89" s="37" t="str">
        <f t="shared" si="25"/>
        <v/>
      </c>
      <c r="Q89" s="37" t="str">
        <f t="shared" si="26"/>
        <v/>
      </c>
      <c r="R89" s="37" t="str">
        <f t="shared" si="27"/>
        <v/>
      </c>
      <c r="S89" s="38" t="str">
        <f t="shared" si="28"/>
        <v/>
      </c>
      <c r="T89" s="36" t="str">
        <f>IF($H89="","",IFERROR(INDEX('Risk Library'!$N$5:$S$411,MATCH($E89,'Risk Library'!$A$5:$A$411,0),$H89+1),""))</f>
        <v/>
      </c>
      <c r="U89" s="37">
        <f>IFERROR('HR Workforce'!$G$23,"")</f>
        <v>5</v>
      </c>
      <c r="V89" s="37">
        <f>IFERROR('HR Workforce'!$W$23,"")</f>
        <v>4</v>
      </c>
      <c r="W89" s="37">
        <f>IFERROR('HR Workforce'!$X$23,"")</f>
        <v>5</v>
      </c>
      <c r="X89" s="37">
        <f>IFERROR('HR Workforce'!$Y$23,"")</f>
        <v>5</v>
      </c>
      <c r="Y89" s="36" t="s">
        <v>2509</v>
      </c>
      <c r="Z89" s="36" t="s">
        <v>2510</v>
      </c>
      <c r="AA89" s="36" t="s">
        <v>2684</v>
      </c>
      <c r="AB89" s="36">
        <f>IFERROR('HR Workforce'!$U$23,"")</f>
        <v>0</v>
      </c>
      <c r="AC89" s="36"/>
      <c r="AD89" s="36"/>
      <c r="AE89" s="36"/>
      <c r="AF89" s="36" t="s">
        <v>2683</v>
      </c>
      <c r="AO89" s="48" t="str">
        <f>IF($B89="Yes",IFERROR(SUMIFS(_TECH_Crisis_Model!$D$5:$D$191,_TECH_Crisis_Model!$A$5:$A$191,'Crisis Simulator'!$B$4,_TECH_Crisis_Model!$B$5:$B$191,$C89),1),"")</f>
        <v/>
      </c>
      <c r="AP89" s="48" t="str">
        <f t="shared" si="29"/>
        <v/>
      </c>
      <c r="AQ89" s="48" t="str">
        <f t="shared" si="30"/>
        <v/>
      </c>
      <c r="AR89" s="48" t="str">
        <f>IFERROR(INDEX(_TECH_Crisis_Model!$E$5:$E$191,MATCH('Crisis Simulator'!$B$4&amp;"|"&amp;$C89,_TECH_Crisis_Model!$I$5:$I$191,0)),"")</f>
        <v>Workforce availability, critical people and knowledge continuity determine operational capacity.</v>
      </c>
      <c r="AS89" s="48" t="str">
        <f>IFERROR(INDEX(_TECH_Crisis_Model!$G$5:$G$191,MATCH('Crisis Simulator'!$B$4&amp;"|"&amp;$C89,_TECH_Crisis_Model!$I$5:$I$191,0)),"")</f>
        <v>Create critical role backups, knowledge transfer, cross-training and workforce continuity plans.</v>
      </c>
      <c r="AT89" s="48" t="str">
        <f>IFERROR(INDEX(_TECH_Initiative_Library!$A$5:$A$76,MATCH(1,INDEX((_TECH_Initiative_Library!$B$5:$B$76=$C89)*(_TECH_Initiative_Library!$C$5:$C$76=$D89),0),0)),"")</f>
        <v>INI-013</v>
      </c>
      <c r="AU89" s="48" t="str">
        <f>IFERROR(INDEX(_TECH_Initiative_Library!$F$5:$F$76,MATCH(1,INDEX((_TECH_Initiative_Library!$B$5:$B$76=$C89)*(_TECH_Initiative_Library!$C$5:$C$76=$D89),0),0)),"")</f>
        <v>Implement workforce continuity, wellbeing and availability playbook</v>
      </c>
      <c r="AV89" s="48" t="str">
        <f ca="1">IFERROR(INDEX(_TECH_Initiative_Library!$AC$5:$AC$76,MATCH(1,INDEX((_TECH_Initiative_Library!$B$5:$B$76=$C89)*(_TECH_Initiative_Library!$C$5:$C$76=$D89),0),0)),"")</f>
        <v/>
      </c>
      <c r="AW89" s="48" t="str">
        <f ca="1">IFERROR(INDEX(_TECH_Initiative_Library!$AE$5:$AE$76,MATCH(1,INDEX((_TECH_Initiative_Library!$B$5:$B$76=$C89)*(_TECH_Initiative_Library!$C$5:$C$76=$D89),0),0)),"")</f>
        <v/>
      </c>
      <c r="AX89" s="48" t="str">
        <f>IF($B89="Yes",IFERROR(SUMIFS(_TECH_Industry_Templates!$E:$E,_TECH_Industry_Templates!$A:$A,'Company Profile'!$B$9,_TECH_Industry_Templates!$B:$B,$C89),1),"")</f>
        <v/>
      </c>
      <c r="AY89" s="48" t="str">
        <f t="shared" si="31"/>
        <v/>
      </c>
      <c r="AZ89" s="48" t="str">
        <f t="shared" si="32"/>
        <v/>
      </c>
      <c r="BA89" s="48" t="str">
        <f>IF($AZ89="","",RANK.EQ($AZ89,$AZ$8:$AZ$414,0)+COUNTIF($AZ$8:$AZ89,$AZ89)-1)</f>
        <v/>
      </c>
    </row>
    <row r="90" spans="1:53" ht="69.95" customHeight="1">
      <c r="A90" s="36" t="str">
        <f>IF($AZ90="","",RANK.EQ($AZ90,$AZ$8:$AZ$414,0)+COUNTIF($AZ$8:$AZ90,$AZ90)-1)</f>
        <v/>
      </c>
      <c r="B90" s="36" t="str">
        <f t="shared" si="19"/>
        <v/>
      </c>
      <c r="C90" s="36" t="s">
        <v>63</v>
      </c>
      <c r="D90" s="36" t="s">
        <v>1129</v>
      </c>
      <c r="E90" s="36" t="s">
        <v>2692</v>
      </c>
      <c r="F90" s="36" t="s">
        <v>186</v>
      </c>
      <c r="G90" s="36" t="str">
        <f>IF($H90="","",IFERROR(INDEX('Risk Library'!$H$5:$M$411,MATCH($E90,'Risk Library'!$A$5:$A$411,0),$H90+1),""))</f>
        <v/>
      </c>
      <c r="H90" s="37" t="str">
        <f>IF(OR(COUNTA('HR Workforce'!$H$24)=0,'HR Workforce'!$H$24="N/A"),"",VALUE('HR Workforce'!$H$24))</f>
        <v/>
      </c>
      <c r="I90" s="36" t="str">
        <f>IF($H90="","",IFERROR(IF('HR Workforce'!$L$24="",IF($H90&lt;=1,"Critical",IF($H90=2,"High",IF($H90=3,"Medium",IF($H90=4,"Low","Resilient")))),'HR Workforce'!$L$24),IF($H90&lt;=1,"Critical",IF($H90=2,"High",IF($H90=3,"Medium",IF($H90=4,"Low","Resilient"))))))</f>
        <v/>
      </c>
      <c r="J90" s="37" t="str">
        <f t="shared" si="20"/>
        <v/>
      </c>
      <c r="K90" s="37" t="str">
        <f t="shared" si="21"/>
        <v/>
      </c>
      <c r="L90" s="37" t="str">
        <f t="shared" si="22"/>
        <v/>
      </c>
      <c r="M90" s="37" t="str">
        <f t="shared" si="23"/>
        <v/>
      </c>
      <c r="N90" s="37" t="str">
        <f>IF($H90="","",IFERROR(INDEX('Risk Library'!$T$5:$Y$411,MATCH($E90,'Risk Library'!$A$5:$A$411,0),$H90+1),""))</f>
        <v/>
      </c>
      <c r="O90" s="37" t="str">
        <f t="shared" si="24"/>
        <v/>
      </c>
      <c r="P90" s="37" t="str">
        <f t="shared" si="25"/>
        <v/>
      </c>
      <c r="Q90" s="37" t="str">
        <f t="shared" si="26"/>
        <v/>
      </c>
      <c r="R90" s="37" t="str">
        <f t="shared" si="27"/>
        <v/>
      </c>
      <c r="S90" s="38" t="str">
        <f t="shared" si="28"/>
        <v/>
      </c>
      <c r="T90" s="36" t="str">
        <f>IF($H90="","",IFERROR(INDEX('Risk Library'!$N$5:$S$411,MATCH($E90,'Risk Library'!$A$5:$A$411,0),$H90+1),""))</f>
        <v/>
      </c>
      <c r="U90" s="37">
        <f>IFERROR('HR Workforce'!$G$24,"")</f>
        <v>5</v>
      </c>
      <c r="V90" s="37">
        <f>IFERROR('HR Workforce'!$W$24,"")</f>
        <v>5</v>
      </c>
      <c r="W90" s="37">
        <f>IFERROR('HR Workforce'!$X$24,"")</f>
        <v>5</v>
      </c>
      <c r="X90" s="37">
        <f>IFERROR('HR Workforce'!$Y$24,"")</f>
        <v>5</v>
      </c>
      <c r="Y90" s="36" t="s">
        <v>2509</v>
      </c>
      <c r="Z90" s="36" t="s">
        <v>2510</v>
      </c>
      <c r="AA90" s="36" t="s">
        <v>2694</v>
      </c>
      <c r="AB90" s="36">
        <f>IFERROR('HR Workforce'!$U$24,"")</f>
        <v>0</v>
      </c>
      <c r="AC90" s="36"/>
      <c r="AD90" s="36"/>
      <c r="AE90" s="36"/>
      <c r="AF90" s="36" t="s">
        <v>2693</v>
      </c>
      <c r="AO90" s="48" t="str">
        <f>IF($B90="Yes",IFERROR(SUMIFS(_TECH_Crisis_Model!$D$5:$D$191,_TECH_Crisis_Model!$A$5:$A$191,'Crisis Simulator'!$B$4,_TECH_Crisis_Model!$B$5:$B$191,$C90),1),"")</f>
        <v/>
      </c>
      <c r="AP90" s="48" t="str">
        <f t="shared" si="29"/>
        <v/>
      </c>
      <c r="AQ90" s="48" t="str">
        <f t="shared" si="30"/>
        <v/>
      </c>
      <c r="AR90" s="48" t="str">
        <f>IFERROR(INDEX(_TECH_Crisis_Model!$E$5:$E$191,MATCH('Crisis Simulator'!$B$4&amp;"|"&amp;$C90,_TECH_Crisis_Model!$I$5:$I$191,0)),"")</f>
        <v>Workforce availability, critical people and knowledge continuity determine operational capacity.</v>
      </c>
      <c r="AS90" s="48" t="str">
        <f>IFERROR(INDEX(_TECH_Crisis_Model!$G$5:$G$191,MATCH('Crisis Simulator'!$B$4&amp;"|"&amp;$C90,_TECH_Crisis_Model!$I$5:$I$191,0)),"")</f>
        <v>Create critical role backups, knowledge transfer, cross-training and workforce continuity plans.</v>
      </c>
      <c r="AT90" s="48" t="str">
        <f>IFERROR(INDEX(_TECH_Initiative_Library!$A$5:$A$76,MATCH(1,INDEX((_TECH_Initiative_Library!$B$5:$B$76=$C90)*(_TECH_Initiative_Library!$C$5:$C$76=$D90),0),0)),"")</f>
        <v>INI-014</v>
      </c>
      <c r="AU90" s="48" t="str">
        <f>IFERROR(INDEX(_TECH_Initiative_Library!$F$5:$F$76,MATCH(1,INDEX((_TECH_Initiative_Library!$B$5:$B$76=$C90)*(_TECH_Initiative_Library!$C$5:$C$76=$D90),0),0)),"")</f>
        <v>Stabilize HRMS, workforce data and HR compliance controls</v>
      </c>
      <c r="AV90" s="48" t="str">
        <f ca="1">IFERROR(INDEX(_TECH_Initiative_Library!$AC$5:$AC$76,MATCH(1,INDEX((_TECH_Initiative_Library!$B$5:$B$76=$C90)*(_TECH_Initiative_Library!$C$5:$C$76=$D90),0),0)),"")</f>
        <v/>
      </c>
      <c r="AW90" s="48" t="str">
        <f ca="1">IFERROR(INDEX(_TECH_Initiative_Library!$AE$5:$AE$76,MATCH(1,INDEX((_TECH_Initiative_Library!$B$5:$B$76=$C90)*(_TECH_Initiative_Library!$C$5:$C$76=$D90),0),0)),"")</f>
        <v/>
      </c>
      <c r="AX90" s="48" t="str">
        <f>IF($B90="Yes",IFERROR(SUMIFS(_TECH_Industry_Templates!$E:$E,_TECH_Industry_Templates!$A:$A,'Company Profile'!$B$9,_TECH_Industry_Templates!$B:$B,$C90),1),"")</f>
        <v/>
      </c>
      <c r="AY90" s="48" t="str">
        <f t="shared" si="31"/>
        <v/>
      </c>
      <c r="AZ90" s="48" t="str">
        <f t="shared" si="32"/>
        <v/>
      </c>
      <c r="BA90" s="48" t="str">
        <f>IF($AZ90="","",RANK.EQ($AZ90,$AZ$8:$AZ$414,0)+COUNTIF($AZ$8:$AZ90,$AZ90)-1)</f>
        <v/>
      </c>
    </row>
    <row r="91" spans="1:53" ht="69.95" customHeight="1">
      <c r="A91" s="36" t="str">
        <f>IF($AZ91="","",RANK.EQ($AZ91,$AZ$8:$AZ$414,0)+COUNTIF($AZ$8:$AZ91,$AZ91)-1)</f>
        <v/>
      </c>
      <c r="B91" s="36" t="str">
        <f t="shared" si="19"/>
        <v/>
      </c>
      <c r="C91" s="36" t="s">
        <v>63</v>
      </c>
      <c r="D91" s="36" t="s">
        <v>1129</v>
      </c>
      <c r="E91" s="36" t="s">
        <v>2702</v>
      </c>
      <c r="F91" s="36" t="s">
        <v>186</v>
      </c>
      <c r="G91" s="36" t="str">
        <f>IF($H91="","",IFERROR(INDEX('Risk Library'!$H$5:$M$411,MATCH($E91,'Risk Library'!$A$5:$A$411,0),$H91+1),""))</f>
        <v/>
      </c>
      <c r="H91" s="37" t="str">
        <f>IF(OR(COUNTA('HR Workforce'!$H$25)=0,'HR Workforce'!$H$25="N/A"),"",VALUE('HR Workforce'!$H$25))</f>
        <v/>
      </c>
      <c r="I91" s="36" t="str">
        <f>IF($H91="","",IFERROR(IF('HR Workforce'!$L$25="",IF($H91&lt;=1,"Critical",IF($H91=2,"High",IF($H91=3,"Medium",IF($H91=4,"Low","Resilient")))),'HR Workforce'!$L$25),IF($H91&lt;=1,"Critical",IF($H91=2,"High",IF($H91=3,"Medium",IF($H91=4,"Low","Resilient"))))))</f>
        <v/>
      </c>
      <c r="J91" s="37" t="str">
        <f t="shared" si="20"/>
        <v/>
      </c>
      <c r="K91" s="37" t="str">
        <f t="shared" si="21"/>
        <v/>
      </c>
      <c r="L91" s="37" t="str">
        <f t="shared" si="22"/>
        <v/>
      </c>
      <c r="M91" s="37" t="str">
        <f t="shared" si="23"/>
        <v/>
      </c>
      <c r="N91" s="37" t="str">
        <f>IF($H91="","",IFERROR(INDEX('Risk Library'!$T$5:$Y$411,MATCH($E91,'Risk Library'!$A$5:$A$411,0),$H91+1),""))</f>
        <v/>
      </c>
      <c r="O91" s="37" t="str">
        <f t="shared" si="24"/>
        <v/>
      </c>
      <c r="P91" s="37" t="str">
        <f t="shared" si="25"/>
        <v/>
      </c>
      <c r="Q91" s="37" t="str">
        <f t="shared" si="26"/>
        <v/>
      </c>
      <c r="R91" s="37" t="str">
        <f t="shared" si="27"/>
        <v/>
      </c>
      <c r="S91" s="38" t="str">
        <f t="shared" si="28"/>
        <v/>
      </c>
      <c r="T91" s="36" t="str">
        <f>IF($H91="","",IFERROR(INDEX('Risk Library'!$N$5:$S$411,MATCH($E91,'Risk Library'!$A$5:$A$411,0),$H91+1),""))</f>
        <v/>
      </c>
      <c r="U91" s="37">
        <f>IFERROR('HR Workforce'!$G$25,"")</f>
        <v>4</v>
      </c>
      <c r="V91" s="37">
        <f>IFERROR('HR Workforce'!$W$25,"")</f>
        <v>4</v>
      </c>
      <c r="W91" s="37">
        <f>IFERROR('HR Workforce'!$X$25,"")</f>
        <v>5</v>
      </c>
      <c r="X91" s="37">
        <f>IFERROR('HR Workforce'!$Y$25,"")</f>
        <v>5</v>
      </c>
      <c r="Y91" s="36" t="s">
        <v>2509</v>
      </c>
      <c r="Z91" s="36" t="s">
        <v>2510</v>
      </c>
      <c r="AA91" s="36" t="s">
        <v>2704</v>
      </c>
      <c r="AB91" s="36">
        <f>IFERROR('HR Workforce'!$U$25,"")</f>
        <v>0</v>
      </c>
      <c r="AC91" s="36"/>
      <c r="AD91" s="36"/>
      <c r="AE91" s="36"/>
      <c r="AF91" s="36" t="s">
        <v>2703</v>
      </c>
      <c r="AO91" s="48" t="str">
        <f>IF($B91="Yes",IFERROR(SUMIFS(_TECH_Crisis_Model!$D$5:$D$191,_TECH_Crisis_Model!$A$5:$A$191,'Crisis Simulator'!$B$4,_TECH_Crisis_Model!$B$5:$B$191,$C91),1),"")</f>
        <v/>
      </c>
      <c r="AP91" s="48" t="str">
        <f t="shared" si="29"/>
        <v/>
      </c>
      <c r="AQ91" s="48" t="str">
        <f t="shared" si="30"/>
        <v/>
      </c>
      <c r="AR91" s="48" t="str">
        <f>IFERROR(INDEX(_TECH_Crisis_Model!$E$5:$E$191,MATCH('Crisis Simulator'!$B$4&amp;"|"&amp;$C91,_TECH_Crisis_Model!$I$5:$I$191,0)),"")</f>
        <v>Workforce availability, critical people and knowledge continuity determine operational capacity.</v>
      </c>
      <c r="AS91" s="48" t="str">
        <f>IFERROR(INDEX(_TECH_Crisis_Model!$G$5:$G$191,MATCH('Crisis Simulator'!$B$4&amp;"|"&amp;$C91,_TECH_Crisis_Model!$I$5:$I$191,0)),"")</f>
        <v>Create critical role backups, knowledge transfer, cross-training and workforce continuity plans.</v>
      </c>
      <c r="AT91" s="48" t="str">
        <f>IFERROR(INDEX(_TECH_Initiative_Library!$A$5:$A$76,MATCH(1,INDEX((_TECH_Initiative_Library!$B$5:$B$76=$C91)*(_TECH_Initiative_Library!$C$5:$C$76=$D91),0),0)),"")</f>
        <v>INI-014</v>
      </c>
      <c r="AU91" s="48" t="str">
        <f>IFERROR(INDEX(_TECH_Initiative_Library!$F$5:$F$76,MATCH(1,INDEX((_TECH_Initiative_Library!$B$5:$B$76=$C91)*(_TECH_Initiative_Library!$C$5:$C$76=$D91),0),0)),"")</f>
        <v>Stabilize HRMS, workforce data and HR compliance controls</v>
      </c>
      <c r="AV91" s="48" t="str">
        <f ca="1">IFERROR(INDEX(_TECH_Initiative_Library!$AC$5:$AC$76,MATCH(1,INDEX((_TECH_Initiative_Library!$B$5:$B$76=$C91)*(_TECH_Initiative_Library!$C$5:$C$76=$D91),0),0)),"")</f>
        <v/>
      </c>
      <c r="AW91" s="48" t="str">
        <f ca="1">IFERROR(INDEX(_TECH_Initiative_Library!$AE$5:$AE$76,MATCH(1,INDEX((_TECH_Initiative_Library!$B$5:$B$76=$C91)*(_TECH_Initiative_Library!$C$5:$C$76=$D91),0),0)),"")</f>
        <v/>
      </c>
      <c r="AX91" s="48" t="str">
        <f>IF($B91="Yes",IFERROR(SUMIFS(_TECH_Industry_Templates!$E:$E,_TECH_Industry_Templates!$A:$A,'Company Profile'!$B$9,_TECH_Industry_Templates!$B:$B,$C91),1),"")</f>
        <v/>
      </c>
      <c r="AY91" s="48" t="str">
        <f t="shared" si="31"/>
        <v/>
      </c>
      <c r="AZ91" s="48" t="str">
        <f t="shared" si="32"/>
        <v/>
      </c>
      <c r="BA91" s="48" t="str">
        <f>IF($AZ91="","",RANK.EQ($AZ91,$AZ$8:$AZ$414,0)+COUNTIF($AZ$8:$AZ91,$AZ91)-1)</f>
        <v/>
      </c>
    </row>
    <row r="92" spans="1:53" ht="69.95" customHeight="1">
      <c r="A92" s="36" t="str">
        <f>IF($AZ92="","",RANK.EQ($AZ92,$AZ$8:$AZ$414,0)+COUNTIF($AZ$8:$AZ92,$AZ92)-1)</f>
        <v/>
      </c>
      <c r="B92" s="36" t="str">
        <f t="shared" si="19"/>
        <v/>
      </c>
      <c r="C92" s="36" t="s">
        <v>63</v>
      </c>
      <c r="D92" s="36" t="s">
        <v>1129</v>
      </c>
      <c r="E92" s="36" t="s">
        <v>2712</v>
      </c>
      <c r="F92" s="36" t="s">
        <v>186</v>
      </c>
      <c r="G92" s="36" t="str">
        <f>IF($H92="","",IFERROR(INDEX('Risk Library'!$H$5:$M$411,MATCH($E92,'Risk Library'!$A$5:$A$411,0),$H92+1),""))</f>
        <v/>
      </c>
      <c r="H92" s="37" t="str">
        <f>IF(OR(COUNTA('HR Workforce'!$H$26)=0,'HR Workforce'!$H$26="N/A"),"",VALUE('HR Workforce'!$H$26))</f>
        <v/>
      </c>
      <c r="I92" s="36" t="str">
        <f>IF($H92="","",IFERROR(IF('HR Workforce'!$L$26="",IF($H92&lt;=1,"Critical",IF($H92=2,"High",IF($H92=3,"Medium",IF($H92=4,"Low","Resilient")))),'HR Workforce'!$L$26),IF($H92&lt;=1,"Critical",IF($H92=2,"High",IF($H92=3,"Medium",IF($H92=4,"Low","Resilient"))))))</f>
        <v/>
      </c>
      <c r="J92" s="37" t="str">
        <f t="shared" si="20"/>
        <v/>
      </c>
      <c r="K92" s="37" t="str">
        <f t="shared" si="21"/>
        <v/>
      </c>
      <c r="L92" s="37" t="str">
        <f t="shared" si="22"/>
        <v/>
      </c>
      <c r="M92" s="37" t="str">
        <f t="shared" si="23"/>
        <v/>
      </c>
      <c r="N92" s="37" t="str">
        <f>IF($H92="","",IFERROR(INDEX('Risk Library'!$T$5:$Y$411,MATCH($E92,'Risk Library'!$A$5:$A$411,0),$H92+1),""))</f>
        <v/>
      </c>
      <c r="O92" s="37" t="str">
        <f t="shared" si="24"/>
        <v/>
      </c>
      <c r="P92" s="37" t="str">
        <f t="shared" si="25"/>
        <v/>
      </c>
      <c r="Q92" s="37" t="str">
        <f t="shared" si="26"/>
        <v/>
      </c>
      <c r="R92" s="37" t="str">
        <f t="shared" si="27"/>
        <v/>
      </c>
      <c r="S92" s="38" t="str">
        <f t="shared" si="28"/>
        <v/>
      </c>
      <c r="T92" s="36" t="str">
        <f>IF($H92="","",IFERROR(INDEX('Risk Library'!$N$5:$S$411,MATCH($E92,'Risk Library'!$A$5:$A$411,0),$H92+1),""))</f>
        <v/>
      </c>
      <c r="U92" s="37">
        <f>IFERROR('HR Workforce'!$G$26,"")</f>
        <v>4</v>
      </c>
      <c r="V92" s="37">
        <f>IFERROR('HR Workforce'!$W$26,"")</f>
        <v>4</v>
      </c>
      <c r="W92" s="37">
        <f>IFERROR('HR Workforce'!$X$26,"")</f>
        <v>5</v>
      </c>
      <c r="X92" s="37">
        <f>IFERROR('HR Workforce'!$Y$26,"")</f>
        <v>5</v>
      </c>
      <c r="Y92" s="36" t="s">
        <v>2509</v>
      </c>
      <c r="Z92" s="36" t="s">
        <v>2510</v>
      </c>
      <c r="AA92" s="36" t="s">
        <v>2714</v>
      </c>
      <c r="AB92" s="36">
        <f>IFERROR('HR Workforce'!$U$26,"")</f>
        <v>0</v>
      </c>
      <c r="AC92" s="36"/>
      <c r="AD92" s="36"/>
      <c r="AE92" s="36"/>
      <c r="AF92" s="36" t="s">
        <v>2713</v>
      </c>
      <c r="AO92" s="48" t="str">
        <f>IF($B92="Yes",IFERROR(SUMIFS(_TECH_Crisis_Model!$D$5:$D$191,_TECH_Crisis_Model!$A$5:$A$191,'Crisis Simulator'!$B$4,_TECH_Crisis_Model!$B$5:$B$191,$C92),1),"")</f>
        <v/>
      </c>
      <c r="AP92" s="48" t="str">
        <f t="shared" si="29"/>
        <v/>
      </c>
      <c r="AQ92" s="48" t="str">
        <f t="shared" si="30"/>
        <v/>
      </c>
      <c r="AR92" s="48" t="str">
        <f>IFERROR(INDEX(_TECH_Crisis_Model!$E$5:$E$191,MATCH('Crisis Simulator'!$B$4&amp;"|"&amp;$C92,_TECH_Crisis_Model!$I$5:$I$191,0)),"")</f>
        <v>Workforce availability, critical people and knowledge continuity determine operational capacity.</v>
      </c>
      <c r="AS92" s="48" t="str">
        <f>IFERROR(INDEX(_TECH_Crisis_Model!$G$5:$G$191,MATCH('Crisis Simulator'!$B$4&amp;"|"&amp;$C92,_TECH_Crisis_Model!$I$5:$I$191,0)),"")</f>
        <v>Create critical role backups, knowledge transfer, cross-training and workforce continuity plans.</v>
      </c>
      <c r="AT92" s="48" t="str">
        <f>IFERROR(INDEX(_TECH_Initiative_Library!$A$5:$A$76,MATCH(1,INDEX((_TECH_Initiative_Library!$B$5:$B$76=$C92)*(_TECH_Initiative_Library!$C$5:$C$76=$D92),0),0)),"")</f>
        <v>INI-014</v>
      </c>
      <c r="AU92" s="48" t="str">
        <f>IFERROR(INDEX(_TECH_Initiative_Library!$F$5:$F$76,MATCH(1,INDEX((_TECH_Initiative_Library!$B$5:$B$76=$C92)*(_TECH_Initiative_Library!$C$5:$C$76=$D92),0),0)),"")</f>
        <v>Stabilize HRMS, workforce data and HR compliance controls</v>
      </c>
      <c r="AV92" s="48" t="str">
        <f ca="1">IFERROR(INDEX(_TECH_Initiative_Library!$AC$5:$AC$76,MATCH(1,INDEX((_TECH_Initiative_Library!$B$5:$B$76=$C92)*(_TECH_Initiative_Library!$C$5:$C$76=$D92),0),0)),"")</f>
        <v/>
      </c>
      <c r="AW92" s="48" t="str">
        <f ca="1">IFERROR(INDEX(_TECH_Initiative_Library!$AE$5:$AE$76,MATCH(1,INDEX((_TECH_Initiative_Library!$B$5:$B$76=$C92)*(_TECH_Initiative_Library!$C$5:$C$76=$D92),0),0)),"")</f>
        <v/>
      </c>
      <c r="AX92" s="48" t="str">
        <f>IF($B92="Yes",IFERROR(SUMIFS(_TECH_Industry_Templates!$E:$E,_TECH_Industry_Templates!$A:$A,'Company Profile'!$B$9,_TECH_Industry_Templates!$B:$B,$C92),1),"")</f>
        <v/>
      </c>
      <c r="AY92" s="48" t="str">
        <f t="shared" si="31"/>
        <v/>
      </c>
      <c r="AZ92" s="48" t="str">
        <f t="shared" si="32"/>
        <v/>
      </c>
      <c r="BA92" s="48" t="str">
        <f>IF($AZ92="","",RANK.EQ($AZ92,$AZ$8:$AZ$414,0)+COUNTIF($AZ$8:$AZ92,$AZ92)-1)</f>
        <v/>
      </c>
    </row>
    <row r="93" spans="1:53" ht="69.95" customHeight="1">
      <c r="A93" s="36" t="str">
        <f>IF($AZ93="","",RANK.EQ($AZ93,$AZ$8:$AZ$414,0)+COUNTIF($AZ$8:$AZ93,$AZ93)-1)</f>
        <v/>
      </c>
      <c r="B93" s="36" t="str">
        <f t="shared" si="19"/>
        <v/>
      </c>
      <c r="C93" s="36" t="s">
        <v>63</v>
      </c>
      <c r="D93" s="36" t="s">
        <v>1129</v>
      </c>
      <c r="E93" s="36" t="s">
        <v>2722</v>
      </c>
      <c r="F93" s="36" t="s">
        <v>186</v>
      </c>
      <c r="G93" s="36" t="str">
        <f>IF($H93="","",IFERROR(INDEX('Risk Library'!$H$5:$M$411,MATCH($E93,'Risk Library'!$A$5:$A$411,0),$H93+1),""))</f>
        <v/>
      </c>
      <c r="H93" s="37" t="str">
        <f>IF(OR(COUNTA('HR Workforce'!$H$27)=0,'HR Workforce'!$H$27="N/A"),"",VALUE('HR Workforce'!$H$27))</f>
        <v/>
      </c>
      <c r="I93" s="36" t="str">
        <f>IF($H93="","",IFERROR(IF('HR Workforce'!$L$27="",IF($H93&lt;=1,"Critical",IF($H93=2,"High",IF($H93=3,"Medium",IF($H93=4,"Low","Resilient")))),'HR Workforce'!$L$27),IF($H93&lt;=1,"Critical",IF($H93=2,"High",IF($H93=3,"Medium",IF($H93=4,"Low","Resilient"))))))</f>
        <v/>
      </c>
      <c r="J93" s="37" t="str">
        <f t="shared" si="20"/>
        <v/>
      </c>
      <c r="K93" s="37" t="str">
        <f t="shared" si="21"/>
        <v/>
      </c>
      <c r="L93" s="37" t="str">
        <f t="shared" si="22"/>
        <v/>
      </c>
      <c r="M93" s="37" t="str">
        <f t="shared" si="23"/>
        <v/>
      </c>
      <c r="N93" s="37" t="str">
        <f>IF($H93="","",IFERROR(INDEX('Risk Library'!$T$5:$Y$411,MATCH($E93,'Risk Library'!$A$5:$A$411,0),$H93+1),""))</f>
        <v/>
      </c>
      <c r="O93" s="37" t="str">
        <f t="shared" si="24"/>
        <v/>
      </c>
      <c r="P93" s="37" t="str">
        <f t="shared" si="25"/>
        <v/>
      </c>
      <c r="Q93" s="37" t="str">
        <f t="shared" si="26"/>
        <v/>
      </c>
      <c r="R93" s="37" t="str">
        <f t="shared" si="27"/>
        <v/>
      </c>
      <c r="S93" s="38" t="str">
        <f t="shared" si="28"/>
        <v/>
      </c>
      <c r="T93" s="36" t="str">
        <f>IF($H93="","",IFERROR(INDEX('Risk Library'!$N$5:$S$411,MATCH($E93,'Risk Library'!$A$5:$A$411,0),$H93+1),""))</f>
        <v/>
      </c>
      <c r="U93" s="37">
        <f>IFERROR('HR Workforce'!$G$27,"")</f>
        <v>4</v>
      </c>
      <c r="V93" s="37">
        <f>IFERROR('HR Workforce'!$W$27,"")</f>
        <v>4</v>
      </c>
      <c r="W93" s="37">
        <f>IFERROR('HR Workforce'!$X$27,"")</f>
        <v>5</v>
      </c>
      <c r="X93" s="37">
        <f>IFERROR('HR Workforce'!$Y$27,"")</f>
        <v>5</v>
      </c>
      <c r="Y93" s="36" t="s">
        <v>2509</v>
      </c>
      <c r="Z93" s="36" t="s">
        <v>2510</v>
      </c>
      <c r="AA93" s="36" t="s">
        <v>2724</v>
      </c>
      <c r="AB93" s="36">
        <f>IFERROR('HR Workforce'!$U$27,"")</f>
        <v>0</v>
      </c>
      <c r="AC93" s="36"/>
      <c r="AD93" s="36"/>
      <c r="AE93" s="36"/>
      <c r="AF93" s="36" t="s">
        <v>2723</v>
      </c>
      <c r="AO93" s="48" t="str">
        <f>IF($B93="Yes",IFERROR(SUMIFS(_TECH_Crisis_Model!$D$5:$D$191,_TECH_Crisis_Model!$A$5:$A$191,'Crisis Simulator'!$B$4,_TECH_Crisis_Model!$B$5:$B$191,$C93),1),"")</f>
        <v/>
      </c>
      <c r="AP93" s="48" t="str">
        <f t="shared" si="29"/>
        <v/>
      </c>
      <c r="AQ93" s="48" t="str">
        <f t="shared" si="30"/>
        <v/>
      </c>
      <c r="AR93" s="48" t="str">
        <f>IFERROR(INDEX(_TECH_Crisis_Model!$E$5:$E$191,MATCH('Crisis Simulator'!$B$4&amp;"|"&amp;$C93,_TECH_Crisis_Model!$I$5:$I$191,0)),"")</f>
        <v>Workforce availability, critical people and knowledge continuity determine operational capacity.</v>
      </c>
      <c r="AS93" s="48" t="str">
        <f>IFERROR(INDEX(_TECH_Crisis_Model!$G$5:$G$191,MATCH('Crisis Simulator'!$B$4&amp;"|"&amp;$C93,_TECH_Crisis_Model!$I$5:$I$191,0)),"")</f>
        <v>Create critical role backups, knowledge transfer, cross-training and workforce continuity plans.</v>
      </c>
      <c r="AT93" s="48" t="str">
        <f>IFERROR(INDEX(_TECH_Initiative_Library!$A$5:$A$76,MATCH(1,INDEX((_TECH_Initiative_Library!$B$5:$B$76=$C93)*(_TECH_Initiative_Library!$C$5:$C$76=$D93),0),0)),"")</f>
        <v>INI-014</v>
      </c>
      <c r="AU93" s="48" t="str">
        <f>IFERROR(INDEX(_TECH_Initiative_Library!$F$5:$F$76,MATCH(1,INDEX((_TECH_Initiative_Library!$B$5:$B$76=$C93)*(_TECH_Initiative_Library!$C$5:$C$76=$D93),0),0)),"")</f>
        <v>Stabilize HRMS, workforce data and HR compliance controls</v>
      </c>
      <c r="AV93" s="48" t="str">
        <f ca="1">IFERROR(INDEX(_TECH_Initiative_Library!$AC$5:$AC$76,MATCH(1,INDEX((_TECH_Initiative_Library!$B$5:$B$76=$C93)*(_TECH_Initiative_Library!$C$5:$C$76=$D93),0),0)),"")</f>
        <v/>
      </c>
      <c r="AW93" s="48" t="str">
        <f ca="1">IFERROR(INDEX(_TECH_Initiative_Library!$AE$5:$AE$76,MATCH(1,INDEX((_TECH_Initiative_Library!$B$5:$B$76=$C93)*(_TECH_Initiative_Library!$C$5:$C$76=$D93),0),0)),"")</f>
        <v/>
      </c>
      <c r="AX93" s="48" t="str">
        <f>IF($B93="Yes",IFERROR(SUMIFS(_TECH_Industry_Templates!$E:$E,_TECH_Industry_Templates!$A:$A,'Company Profile'!$B$9,_TECH_Industry_Templates!$B:$B,$C93),1),"")</f>
        <v/>
      </c>
      <c r="AY93" s="48" t="str">
        <f t="shared" si="31"/>
        <v/>
      </c>
      <c r="AZ93" s="48" t="str">
        <f t="shared" si="32"/>
        <v/>
      </c>
      <c r="BA93" s="48" t="str">
        <f>IF($AZ93="","",RANK.EQ($AZ93,$AZ$8:$AZ$414,0)+COUNTIF($AZ$8:$AZ93,$AZ93)-1)</f>
        <v/>
      </c>
    </row>
    <row r="94" spans="1:53" ht="69.95" customHeight="1">
      <c r="A94" s="36" t="str">
        <f>IF($AZ94="","",RANK.EQ($AZ94,$AZ$8:$AZ$414,0)+COUNTIF($AZ$8:$AZ94,$AZ94)-1)</f>
        <v/>
      </c>
      <c r="B94" s="36" t="str">
        <f t="shared" si="19"/>
        <v/>
      </c>
      <c r="C94" s="36" t="s">
        <v>63</v>
      </c>
      <c r="D94" s="36" t="s">
        <v>1129</v>
      </c>
      <c r="E94" s="36" t="s">
        <v>2732</v>
      </c>
      <c r="F94" s="36" t="s">
        <v>186</v>
      </c>
      <c r="G94" s="36" t="str">
        <f>IF($H94="","",IFERROR(INDEX('Risk Library'!$H$5:$M$411,MATCH($E94,'Risk Library'!$A$5:$A$411,0),$H94+1),""))</f>
        <v/>
      </c>
      <c r="H94" s="37" t="str">
        <f>IF(OR(COUNTA('HR Workforce'!$H$28)=0,'HR Workforce'!$H$28="N/A"),"",VALUE('HR Workforce'!$H$28))</f>
        <v/>
      </c>
      <c r="I94" s="36" t="str">
        <f>IF($H94="","",IFERROR(IF('HR Workforce'!$L$28="",IF($H94&lt;=1,"Critical",IF($H94=2,"High",IF($H94=3,"Medium",IF($H94=4,"Low","Resilient")))),'HR Workforce'!$L$28),IF($H94&lt;=1,"Critical",IF($H94=2,"High",IF($H94=3,"Medium",IF($H94=4,"Low","Resilient"))))))</f>
        <v/>
      </c>
      <c r="J94" s="37" t="str">
        <f t="shared" si="20"/>
        <v/>
      </c>
      <c r="K94" s="37" t="str">
        <f t="shared" si="21"/>
        <v/>
      </c>
      <c r="L94" s="37" t="str">
        <f t="shared" si="22"/>
        <v/>
      </c>
      <c r="M94" s="37" t="str">
        <f t="shared" si="23"/>
        <v/>
      </c>
      <c r="N94" s="37" t="str">
        <f>IF($H94="","",IFERROR(INDEX('Risk Library'!$T$5:$Y$411,MATCH($E94,'Risk Library'!$A$5:$A$411,0),$H94+1),""))</f>
        <v/>
      </c>
      <c r="O94" s="37" t="str">
        <f t="shared" si="24"/>
        <v/>
      </c>
      <c r="P94" s="37" t="str">
        <f t="shared" si="25"/>
        <v/>
      </c>
      <c r="Q94" s="37" t="str">
        <f t="shared" si="26"/>
        <v/>
      </c>
      <c r="R94" s="37" t="str">
        <f t="shared" si="27"/>
        <v/>
      </c>
      <c r="S94" s="38" t="str">
        <f t="shared" si="28"/>
        <v/>
      </c>
      <c r="T94" s="36" t="str">
        <f>IF($H94="","",IFERROR(INDEX('Risk Library'!$N$5:$S$411,MATCH($E94,'Risk Library'!$A$5:$A$411,0),$H94+1),""))</f>
        <v/>
      </c>
      <c r="U94" s="37">
        <f>IFERROR('HR Workforce'!$G$28,"")</f>
        <v>3</v>
      </c>
      <c r="V94" s="37">
        <f>IFERROR('HR Workforce'!$W$28,"")</f>
        <v>4</v>
      </c>
      <c r="W94" s="37">
        <f>IFERROR('HR Workforce'!$X$28,"")</f>
        <v>5</v>
      </c>
      <c r="X94" s="37">
        <f>IFERROR('HR Workforce'!$Y$28,"")</f>
        <v>5</v>
      </c>
      <c r="Y94" s="36" t="s">
        <v>2509</v>
      </c>
      <c r="Z94" s="36" t="s">
        <v>2510</v>
      </c>
      <c r="AA94" s="36" t="s">
        <v>2734</v>
      </c>
      <c r="AB94" s="36">
        <f>IFERROR('HR Workforce'!$U$28,"")</f>
        <v>0</v>
      </c>
      <c r="AC94" s="36"/>
      <c r="AD94" s="36"/>
      <c r="AE94" s="36"/>
      <c r="AF94" s="36" t="s">
        <v>2733</v>
      </c>
      <c r="AO94" s="48" t="str">
        <f>IF($B94="Yes",IFERROR(SUMIFS(_TECH_Crisis_Model!$D$5:$D$191,_TECH_Crisis_Model!$A$5:$A$191,'Crisis Simulator'!$B$4,_TECH_Crisis_Model!$B$5:$B$191,$C94),1),"")</f>
        <v/>
      </c>
      <c r="AP94" s="48" t="str">
        <f t="shared" si="29"/>
        <v/>
      </c>
      <c r="AQ94" s="48" t="str">
        <f t="shared" si="30"/>
        <v/>
      </c>
      <c r="AR94" s="48" t="str">
        <f>IFERROR(INDEX(_TECH_Crisis_Model!$E$5:$E$191,MATCH('Crisis Simulator'!$B$4&amp;"|"&amp;$C94,_TECH_Crisis_Model!$I$5:$I$191,0)),"")</f>
        <v>Workforce availability, critical people and knowledge continuity determine operational capacity.</v>
      </c>
      <c r="AS94" s="48" t="str">
        <f>IFERROR(INDEX(_TECH_Crisis_Model!$G$5:$G$191,MATCH('Crisis Simulator'!$B$4&amp;"|"&amp;$C94,_TECH_Crisis_Model!$I$5:$I$191,0)),"")</f>
        <v>Create critical role backups, knowledge transfer, cross-training and workforce continuity plans.</v>
      </c>
      <c r="AT94" s="48" t="str">
        <f>IFERROR(INDEX(_TECH_Initiative_Library!$A$5:$A$76,MATCH(1,INDEX((_TECH_Initiative_Library!$B$5:$B$76=$C94)*(_TECH_Initiative_Library!$C$5:$C$76=$D94),0),0)),"")</f>
        <v>INI-014</v>
      </c>
      <c r="AU94" s="48" t="str">
        <f>IFERROR(INDEX(_TECH_Initiative_Library!$F$5:$F$76,MATCH(1,INDEX((_TECH_Initiative_Library!$B$5:$B$76=$C94)*(_TECH_Initiative_Library!$C$5:$C$76=$D94),0),0)),"")</f>
        <v>Stabilize HRMS, workforce data and HR compliance controls</v>
      </c>
      <c r="AV94" s="48" t="str">
        <f ca="1">IFERROR(INDEX(_TECH_Initiative_Library!$AC$5:$AC$76,MATCH(1,INDEX((_TECH_Initiative_Library!$B$5:$B$76=$C94)*(_TECH_Initiative_Library!$C$5:$C$76=$D94),0),0)),"")</f>
        <v/>
      </c>
      <c r="AW94" s="48" t="str">
        <f ca="1">IFERROR(INDEX(_TECH_Initiative_Library!$AE$5:$AE$76,MATCH(1,INDEX((_TECH_Initiative_Library!$B$5:$B$76=$C94)*(_TECH_Initiative_Library!$C$5:$C$76=$D94),0),0)),"")</f>
        <v/>
      </c>
      <c r="AX94" s="48" t="str">
        <f>IF($B94="Yes",IFERROR(SUMIFS(_TECH_Industry_Templates!$E:$E,_TECH_Industry_Templates!$A:$A,'Company Profile'!$B$9,_TECH_Industry_Templates!$B:$B,$C94),1),"")</f>
        <v/>
      </c>
      <c r="AY94" s="48" t="str">
        <f t="shared" si="31"/>
        <v/>
      </c>
      <c r="AZ94" s="48" t="str">
        <f t="shared" si="32"/>
        <v/>
      </c>
      <c r="BA94" s="48" t="str">
        <f>IF($AZ94="","",RANK.EQ($AZ94,$AZ$8:$AZ$414,0)+COUNTIF($AZ$8:$AZ94,$AZ94)-1)</f>
        <v/>
      </c>
    </row>
    <row r="95" spans="1:53" ht="69.95" customHeight="1">
      <c r="A95" s="36" t="str">
        <f>IF($AZ95="","",RANK.EQ($AZ95,$AZ$8:$AZ$414,0)+COUNTIF($AZ$8:$AZ95,$AZ95)-1)</f>
        <v/>
      </c>
      <c r="B95" s="36" t="str">
        <f t="shared" si="19"/>
        <v/>
      </c>
      <c r="C95" s="36" t="s">
        <v>66</v>
      </c>
      <c r="D95" s="36" t="s">
        <v>1137</v>
      </c>
      <c r="E95" s="36" t="s">
        <v>2744</v>
      </c>
      <c r="F95" s="36" t="s">
        <v>187</v>
      </c>
      <c r="G95" s="36" t="str">
        <f>IF($H95="","",IFERROR(INDEX('Risk Library'!$H$5:$M$411,MATCH($E95,'Risk Library'!$A$5:$A$411,0),$H95+1),""))</f>
        <v/>
      </c>
      <c r="H95" s="37" t="str">
        <f>IF(OR(COUNTA('Finance Procurement'!$H$5)=0,'Finance Procurement'!$H$5="N/A"),"",VALUE('Finance Procurement'!$H$5))</f>
        <v/>
      </c>
      <c r="I95" s="36" t="str">
        <f>IF($H95="","",IFERROR(IF('Finance Procurement'!$L$5="",IF($H95&lt;=1,"Critical",IF($H95=2,"High",IF($H95=3,"Medium",IF($H95=4,"Low","Resilient")))),'Finance Procurement'!$L$5),IF($H95&lt;=1,"Critical",IF($H95=2,"High",IF($H95=3,"Medium",IF($H95=4,"Low","Resilient"))))))</f>
        <v/>
      </c>
      <c r="J95" s="37" t="str">
        <f t="shared" si="20"/>
        <v/>
      </c>
      <c r="K95" s="37" t="str">
        <f t="shared" si="21"/>
        <v/>
      </c>
      <c r="L95" s="37" t="str">
        <f t="shared" si="22"/>
        <v/>
      </c>
      <c r="M95" s="37" t="str">
        <f t="shared" si="23"/>
        <v/>
      </c>
      <c r="N95" s="37" t="str">
        <f>IF($H95="","",IFERROR(INDEX('Risk Library'!$T$5:$Y$411,MATCH($E95,'Risk Library'!$A$5:$A$411,0),$H95+1),""))</f>
        <v/>
      </c>
      <c r="O95" s="37" t="str">
        <f t="shared" si="24"/>
        <v/>
      </c>
      <c r="P95" s="37" t="str">
        <f t="shared" si="25"/>
        <v/>
      </c>
      <c r="Q95" s="37" t="str">
        <f t="shared" si="26"/>
        <v/>
      </c>
      <c r="R95" s="37" t="str">
        <f t="shared" si="27"/>
        <v/>
      </c>
      <c r="S95" s="38" t="str">
        <f t="shared" si="28"/>
        <v/>
      </c>
      <c r="T95" s="36" t="str">
        <f>IF($H95="","",IFERROR(INDEX('Risk Library'!$N$5:$S$411,MATCH($E95,'Risk Library'!$A$5:$A$411,0),$H95+1),""))</f>
        <v/>
      </c>
      <c r="U95" s="37">
        <f>IFERROR('Finance Procurement'!$G$5,"")</f>
        <v>5</v>
      </c>
      <c r="V95" s="37">
        <f>IFERROR('Finance Procurement'!$W$5,"")</f>
        <v>4</v>
      </c>
      <c r="W95" s="37">
        <f>IFERROR('Finance Procurement'!$X$5,"")</f>
        <v>5</v>
      </c>
      <c r="X95" s="37">
        <f>IFERROR('Finance Procurement'!$Y$5,"")</f>
        <v>5</v>
      </c>
      <c r="Y95" s="36" t="s">
        <v>2755</v>
      </c>
      <c r="Z95" s="36" t="s">
        <v>2756</v>
      </c>
      <c r="AA95" s="36" t="s">
        <v>2748</v>
      </c>
      <c r="AB95" s="36">
        <f>IFERROR('Finance Procurement'!$U$5,"")</f>
        <v>0</v>
      </c>
      <c r="AC95" s="36"/>
      <c r="AD95" s="36"/>
      <c r="AE95" s="36"/>
      <c r="AF95" s="36" t="s">
        <v>2745</v>
      </c>
      <c r="AO95" s="48" t="str">
        <f>IF($B95="Yes",IFERROR(SUMIFS(_TECH_Crisis_Model!$D$5:$D$191,_TECH_Crisis_Model!$A$5:$A$191,'Crisis Simulator'!$B$4,_TECH_Crisis_Model!$B$5:$B$191,$C95),1),"")</f>
        <v/>
      </c>
      <c r="AP95" s="48" t="str">
        <f t="shared" si="29"/>
        <v/>
      </c>
      <c r="AQ95" s="48" t="str">
        <f t="shared" si="30"/>
        <v/>
      </c>
      <c r="AR95" s="48" t="str">
        <f>IFERROR(INDEX(_TECH_Crisis_Model!$E$5:$E$191,MATCH('Crisis Simulator'!$B$4&amp;"|"&amp;$C95,_TECH_Crisis_Model!$I$5:$I$191,0)),"")</f>
        <v>Cash control, supplier payments and procurement discipline determine financial survival and response options.</v>
      </c>
      <c r="AS95" s="48" t="str">
        <f>IFERROR(INDEX(_TECH_Crisis_Model!$G$5:$G$191,MATCH('Crisis Simulator'!$B$4&amp;"|"&amp;$C95,_TECH_Crisis_Model!$I$5:$I$191,0)),"")</f>
        <v>Build cash stress testing, payment prioritization, supplier risk review and procurement controls.</v>
      </c>
      <c r="AT95" s="48" t="str">
        <f>IFERROR(INDEX(_TECH_Initiative_Library!$A$5:$A$76,MATCH(1,INDEX((_TECH_Initiative_Library!$B$5:$B$76=$C95)*(_TECH_Initiative_Library!$C$5:$C$76=$D95),0),0)),"")</f>
        <v>INI-015</v>
      </c>
      <c r="AU95" s="48" t="str">
        <f>IFERROR(INDEX(_TECH_Initiative_Library!$F$5:$F$76,MATCH(1,INDEX((_TECH_Initiative_Library!$B$5:$B$76=$C95)*(_TECH_Initiative_Library!$C$5:$C$76=$D95),0),0)),"")</f>
        <v>Implement cash-flow resilience and financial scenario planning</v>
      </c>
      <c r="AV95" s="48" t="str">
        <f ca="1">IFERROR(INDEX(_TECH_Initiative_Library!$AC$5:$AC$76,MATCH(1,INDEX((_TECH_Initiative_Library!$B$5:$B$76=$C95)*(_TECH_Initiative_Library!$C$5:$C$76=$D95),0),0)),"")</f>
        <v/>
      </c>
      <c r="AW95" s="48" t="str">
        <f ca="1">IFERROR(INDEX(_TECH_Initiative_Library!$AE$5:$AE$76,MATCH(1,INDEX((_TECH_Initiative_Library!$B$5:$B$76=$C95)*(_TECH_Initiative_Library!$C$5:$C$76=$D95),0),0)),"")</f>
        <v/>
      </c>
      <c r="AX95" s="48" t="str">
        <f>IF($B95="Yes",IFERROR(SUMIFS(_TECH_Industry_Templates!$E:$E,_TECH_Industry_Templates!$A:$A,'Company Profile'!$B$9,_TECH_Industry_Templates!$B:$B,$C95),1),"")</f>
        <v/>
      </c>
      <c r="AY95" s="48" t="str">
        <f t="shared" si="31"/>
        <v/>
      </c>
      <c r="AZ95" s="48" t="str">
        <f t="shared" si="32"/>
        <v/>
      </c>
      <c r="BA95" s="48" t="str">
        <f>IF($AZ95="","",RANK.EQ($AZ95,$AZ$8:$AZ$414,0)+COUNTIF($AZ$8:$AZ95,$AZ95)-1)</f>
        <v/>
      </c>
    </row>
    <row r="96" spans="1:53" ht="69.95" customHeight="1">
      <c r="A96" s="36" t="str">
        <f>IF($AZ96="","",RANK.EQ($AZ96,$AZ$8:$AZ$414,0)+COUNTIF($AZ$8:$AZ96,$AZ96)-1)</f>
        <v/>
      </c>
      <c r="B96" s="36" t="str">
        <f t="shared" si="19"/>
        <v/>
      </c>
      <c r="C96" s="36" t="s">
        <v>66</v>
      </c>
      <c r="D96" s="36" t="s">
        <v>1137</v>
      </c>
      <c r="E96" s="36" t="s">
        <v>2758</v>
      </c>
      <c r="F96" s="36" t="s">
        <v>187</v>
      </c>
      <c r="G96" s="36" t="str">
        <f>IF($H96="","",IFERROR(INDEX('Risk Library'!$H$5:$M$411,MATCH($E96,'Risk Library'!$A$5:$A$411,0),$H96+1),""))</f>
        <v/>
      </c>
      <c r="H96" s="37" t="str">
        <f>IF(OR(COUNTA('Finance Procurement'!$H$6)=0,'Finance Procurement'!$H$6="N/A"),"",VALUE('Finance Procurement'!$H$6))</f>
        <v/>
      </c>
      <c r="I96" s="36" t="str">
        <f>IF($H96="","",IFERROR(IF('Finance Procurement'!$L$6="",IF($H96&lt;=1,"Critical",IF($H96=2,"High",IF($H96=3,"Medium",IF($H96=4,"Low","Resilient")))),'Finance Procurement'!$L$6),IF($H96&lt;=1,"Critical",IF($H96=2,"High",IF($H96=3,"Medium",IF($H96=4,"Low","Resilient"))))))</f>
        <v/>
      </c>
      <c r="J96" s="37" t="str">
        <f t="shared" si="20"/>
        <v/>
      </c>
      <c r="K96" s="37" t="str">
        <f t="shared" si="21"/>
        <v/>
      </c>
      <c r="L96" s="37" t="str">
        <f t="shared" si="22"/>
        <v/>
      </c>
      <c r="M96" s="37" t="str">
        <f t="shared" si="23"/>
        <v/>
      </c>
      <c r="N96" s="37" t="str">
        <f>IF($H96="","",IFERROR(INDEX('Risk Library'!$T$5:$Y$411,MATCH($E96,'Risk Library'!$A$5:$A$411,0),$H96+1),""))</f>
        <v/>
      </c>
      <c r="O96" s="37" t="str">
        <f t="shared" si="24"/>
        <v/>
      </c>
      <c r="P96" s="37" t="str">
        <f t="shared" si="25"/>
        <v/>
      </c>
      <c r="Q96" s="37" t="str">
        <f t="shared" si="26"/>
        <v/>
      </c>
      <c r="R96" s="37" t="str">
        <f t="shared" si="27"/>
        <v/>
      </c>
      <c r="S96" s="38" t="str">
        <f t="shared" si="28"/>
        <v/>
      </c>
      <c r="T96" s="36" t="str">
        <f>IF($H96="","",IFERROR(INDEX('Risk Library'!$N$5:$S$411,MATCH($E96,'Risk Library'!$A$5:$A$411,0),$H96+1),""))</f>
        <v/>
      </c>
      <c r="U96" s="37">
        <f>IFERROR('Finance Procurement'!$G$6,"")</f>
        <v>5</v>
      </c>
      <c r="V96" s="37">
        <f>IFERROR('Finance Procurement'!$W$6,"")</f>
        <v>4</v>
      </c>
      <c r="W96" s="37">
        <f>IFERROR('Finance Procurement'!$X$6,"")</f>
        <v>5</v>
      </c>
      <c r="X96" s="37">
        <f>IFERROR('Finance Procurement'!$Y$6,"")</f>
        <v>5</v>
      </c>
      <c r="Y96" s="36" t="s">
        <v>2755</v>
      </c>
      <c r="Z96" s="36" t="s">
        <v>2756</v>
      </c>
      <c r="AA96" s="36" t="s">
        <v>2760</v>
      </c>
      <c r="AB96" s="36">
        <f>IFERROR('Finance Procurement'!$U$6,"")</f>
        <v>0</v>
      </c>
      <c r="AC96" s="36"/>
      <c r="AD96" s="36"/>
      <c r="AE96" s="36"/>
      <c r="AF96" s="36" t="s">
        <v>2759</v>
      </c>
      <c r="AO96" s="48" t="str">
        <f>IF($B96="Yes",IFERROR(SUMIFS(_TECH_Crisis_Model!$D$5:$D$191,_TECH_Crisis_Model!$A$5:$A$191,'Crisis Simulator'!$B$4,_TECH_Crisis_Model!$B$5:$B$191,$C96),1),"")</f>
        <v/>
      </c>
      <c r="AP96" s="48" t="str">
        <f t="shared" si="29"/>
        <v/>
      </c>
      <c r="AQ96" s="48" t="str">
        <f t="shared" si="30"/>
        <v/>
      </c>
      <c r="AR96" s="48" t="str">
        <f>IFERROR(INDEX(_TECH_Crisis_Model!$E$5:$E$191,MATCH('Crisis Simulator'!$B$4&amp;"|"&amp;$C96,_TECH_Crisis_Model!$I$5:$I$191,0)),"")</f>
        <v>Cash control, supplier payments and procurement discipline determine financial survival and response options.</v>
      </c>
      <c r="AS96" s="48" t="str">
        <f>IFERROR(INDEX(_TECH_Crisis_Model!$G$5:$G$191,MATCH('Crisis Simulator'!$B$4&amp;"|"&amp;$C96,_TECH_Crisis_Model!$I$5:$I$191,0)),"")</f>
        <v>Build cash stress testing, payment prioritization, supplier risk review and procurement controls.</v>
      </c>
      <c r="AT96" s="48" t="str">
        <f>IFERROR(INDEX(_TECH_Initiative_Library!$A$5:$A$76,MATCH(1,INDEX((_TECH_Initiative_Library!$B$5:$B$76=$C96)*(_TECH_Initiative_Library!$C$5:$C$76=$D96),0),0)),"")</f>
        <v>INI-015</v>
      </c>
      <c r="AU96" s="48" t="str">
        <f>IFERROR(INDEX(_TECH_Initiative_Library!$F$5:$F$76,MATCH(1,INDEX((_TECH_Initiative_Library!$B$5:$B$76=$C96)*(_TECH_Initiative_Library!$C$5:$C$76=$D96),0),0)),"")</f>
        <v>Implement cash-flow resilience and financial scenario planning</v>
      </c>
      <c r="AV96" s="48" t="str">
        <f ca="1">IFERROR(INDEX(_TECH_Initiative_Library!$AC$5:$AC$76,MATCH(1,INDEX((_TECH_Initiative_Library!$B$5:$B$76=$C96)*(_TECH_Initiative_Library!$C$5:$C$76=$D96),0),0)),"")</f>
        <v/>
      </c>
      <c r="AW96" s="48" t="str">
        <f ca="1">IFERROR(INDEX(_TECH_Initiative_Library!$AE$5:$AE$76,MATCH(1,INDEX((_TECH_Initiative_Library!$B$5:$B$76=$C96)*(_TECH_Initiative_Library!$C$5:$C$76=$D96),0),0)),"")</f>
        <v/>
      </c>
      <c r="AX96" s="48" t="str">
        <f>IF($B96="Yes",IFERROR(SUMIFS(_TECH_Industry_Templates!$E:$E,_TECH_Industry_Templates!$A:$A,'Company Profile'!$B$9,_TECH_Industry_Templates!$B:$B,$C96),1),"")</f>
        <v/>
      </c>
      <c r="AY96" s="48" t="str">
        <f t="shared" si="31"/>
        <v/>
      </c>
      <c r="AZ96" s="48" t="str">
        <f t="shared" si="32"/>
        <v/>
      </c>
      <c r="BA96" s="48" t="str">
        <f>IF($AZ96="","",RANK.EQ($AZ96,$AZ$8:$AZ$414,0)+COUNTIF($AZ$8:$AZ96,$AZ96)-1)</f>
        <v/>
      </c>
    </row>
    <row r="97" spans="1:53" ht="69.95" customHeight="1">
      <c r="A97" s="36" t="str">
        <f>IF($AZ97="","",RANK.EQ($AZ97,$AZ$8:$AZ$414,0)+COUNTIF($AZ$8:$AZ97,$AZ97)-1)</f>
        <v/>
      </c>
      <c r="B97" s="36" t="str">
        <f t="shared" si="19"/>
        <v/>
      </c>
      <c r="C97" s="36" t="s">
        <v>66</v>
      </c>
      <c r="D97" s="36" t="s">
        <v>1137</v>
      </c>
      <c r="E97" s="36" t="s">
        <v>2768</v>
      </c>
      <c r="F97" s="36" t="s">
        <v>187</v>
      </c>
      <c r="G97" s="36" t="str">
        <f>IF($H97="","",IFERROR(INDEX('Risk Library'!$H$5:$M$411,MATCH($E97,'Risk Library'!$A$5:$A$411,0),$H97+1),""))</f>
        <v/>
      </c>
      <c r="H97" s="37" t="str">
        <f>IF(OR(COUNTA('Finance Procurement'!$H$7)=0,'Finance Procurement'!$H$7="N/A"),"",VALUE('Finance Procurement'!$H$7))</f>
        <v/>
      </c>
      <c r="I97" s="36" t="str">
        <f>IF($H97="","",IFERROR(IF('Finance Procurement'!$L$7="",IF($H97&lt;=1,"Critical",IF($H97=2,"High",IF($H97=3,"Medium",IF($H97=4,"Low","Resilient")))),'Finance Procurement'!$L$7),IF($H97&lt;=1,"Critical",IF($H97=2,"High",IF($H97=3,"Medium",IF($H97=4,"Low","Resilient"))))))</f>
        <v/>
      </c>
      <c r="J97" s="37" t="str">
        <f t="shared" si="20"/>
        <v/>
      </c>
      <c r="K97" s="37" t="str">
        <f t="shared" si="21"/>
        <v/>
      </c>
      <c r="L97" s="37" t="str">
        <f t="shared" si="22"/>
        <v/>
      </c>
      <c r="M97" s="37" t="str">
        <f t="shared" si="23"/>
        <v/>
      </c>
      <c r="N97" s="37" t="str">
        <f>IF($H97="","",IFERROR(INDEX('Risk Library'!$T$5:$Y$411,MATCH($E97,'Risk Library'!$A$5:$A$411,0),$H97+1),""))</f>
        <v/>
      </c>
      <c r="O97" s="37" t="str">
        <f t="shared" si="24"/>
        <v/>
      </c>
      <c r="P97" s="37" t="str">
        <f t="shared" si="25"/>
        <v/>
      </c>
      <c r="Q97" s="37" t="str">
        <f t="shared" si="26"/>
        <v/>
      </c>
      <c r="R97" s="37" t="str">
        <f t="shared" si="27"/>
        <v/>
      </c>
      <c r="S97" s="38" t="str">
        <f t="shared" si="28"/>
        <v/>
      </c>
      <c r="T97" s="36" t="str">
        <f>IF($H97="","",IFERROR(INDEX('Risk Library'!$N$5:$S$411,MATCH($E97,'Risk Library'!$A$5:$A$411,0),$H97+1),""))</f>
        <v/>
      </c>
      <c r="U97" s="37">
        <f>IFERROR('Finance Procurement'!$G$7,"")</f>
        <v>3</v>
      </c>
      <c r="V97" s="37">
        <f>IFERROR('Finance Procurement'!$W$7,"")</f>
        <v>4</v>
      </c>
      <c r="W97" s="37">
        <f>IFERROR('Finance Procurement'!$X$7,"")</f>
        <v>5</v>
      </c>
      <c r="X97" s="37">
        <f>IFERROR('Finance Procurement'!$Y$7,"")</f>
        <v>5</v>
      </c>
      <c r="Y97" s="36" t="s">
        <v>2755</v>
      </c>
      <c r="Z97" s="36" t="s">
        <v>2756</v>
      </c>
      <c r="AA97" s="36" t="s">
        <v>2770</v>
      </c>
      <c r="AB97" s="36">
        <f>IFERROR('Finance Procurement'!$U$7,"")</f>
        <v>0</v>
      </c>
      <c r="AC97" s="36"/>
      <c r="AD97" s="36"/>
      <c r="AE97" s="36"/>
      <c r="AF97" s="36" t="s">
        <v>2769</v>
      </c>
      <c r="AO97" s="48" t="str">
        <f>IF($B97="Yes",IFERROR(SUMIFS(_TECH_Crisis_Model!$D$5:$D$191,_TECH_Crisis_Model!$A$5:$A$191,'Crisis Simulator'!$B$4,_TECH_Crisis_Model!$B$5:$B$191,$C97),1),"")</f>
        <v/>
      </c>
      <c r="AP97" s="48" t="str">
        <f t="shared" si="29"/>
        <v/>
      </c>
      <c r="AQ97" s="48" t="str">
        <f t="shared" si="30"/>
        <v/>
      </c>
      <c r="AR97" s="48" t="str">
        <f>IFERROR(INDEX(_TECH_Crisis_Model!$E$5:$E$191,MATCH('Crisis Simulator'!$B$4&amp;"|"&amp;$C97,_TECH_Crisis_Model!$I$5:$I$191,0)),"")</f>
        <v>Cash control, supplier payments and procurement discipline determine financial survival and response options.</v>
      </c>
      <c r="AS97" s="48" t="str">
        <f>IFERROR(INDEX(_TECH_Crisis_Model!$G$5:$G$191,MATCH('Crisis Simulator'!$B$4&amp;"|"&amp;$C97,_TECH_Crisis_Model!$I$5:$I$191,0)),"")</f>
        <v>Build cash stress testing, payment prioritization, supplier risk review and procurement controls.</v>
      </c>
      <c r="AT97" s="48" t="str">
        <f>IFERROR(INDEX(_TECH_Initiative_Library!$A$5:$A$76,MATCH(1,INDEX((_TECH_Initiative_Library!$B$5:$B$76=$C97)*(_TECH_Initiative_Library!$C$5:$C$76=$D97),0),0)),"")</f>
        <v>INI-015</v>
      </c>
      <c r="AU97" s="48" t="str">
        <f>IFERROR(INDEX(_TECH_Initiative_Library!$F$5:$F$76,MATCH(1,INDEX((_TECH_Initiative_Library!$B$5:$B$76=$C97)*(_TECH_Initiative_Library!$C$5:$C$76=$D97),0),0)),"")</f>
        <v>Implement cash-flow resilience and financial scenario planning</v>
      </c>
      <c r="AV97" s="48" t="str">
        <f ca="1">IFERROR(INDEX(_TECH_Initiative_Library!$AC$5:$AC$76,MATCH(1,INDEX((_TECH_Initiative_Library!$B$5:$B$76=$C97)*(_TECH_Initiative_Library!$C$5:$C$76=$D97),0),0)),"")</f>
        <v/>
      </c>
      <c r="AW97" s="48" t="str">
        <f ca="1">IFERROR(INDEX(_TECH_Initiative_Library!$AE$5:$AE$76,MATCH(1,INDEX((_TECH_Initiative_Library!$B$5:$B$76=$C97)*(_TECH_Initiative_Library!$C$5:$C$76=$D97),0),0)),"")</f>
        <v/>
      </c>
      <c r="AX97" s="48" t="str">
        <f>IF($B97="Yes",IFERROR(SUMIFS(_TECH_Industry_Templates!$E:$E,_TECH_Industry_Templates!$A:$A,'Company Profile'!$B$9,_TECH_Industry_Templates!$B:$B,$C97),1),"")</f>
        <v/>
      </c>
      <c r="AY97" s="48" t="str">
        <f t="shared" si="31"/>
        <v/>
      </c>
      <c r="AZ97" s="48" t="str">
        <f t="shared" si="32"/>
        <v/>
      </c>
      <c r="BA97" s="48" t="str">
        <f>IF($AZ97="","",RANK.EQ($AZ97,$AZ$8:$AZ$414,0)+COUNTIF($AZ$8:$AZ97,$AZ97)-1)</f>
        <v/>
      </c>
    </row>
    <row r="98" spans="1:53" ht="69.95" customHeight="1">
      <c r="A98" s="36" t="str">
        <f>IF($AZ98="","",RANK.EQ($AZ98,$AZ$8:$AZ$414,0)+COUNTIF($AZ$8:$AZ98,$AZ98)-1)</f>
        <v/>
      </c>
      <c r="B98" s="36" t="str">
        <f t="shared" si="19"/>
        <v/>
      </c>
      <c r="C98" s="36" t="s">
        <v>66</v>
      </c>
      <c r="D98" s="36" t="s">
        <v>1137</v>
      </c>
      <c r="E98" s="36" t="s">
        <v>2778</v>
      </c>
      <c r="F98" s="36" t="s">
        <v>187</v>
      </c>
      <c r="G98" s="36" t="str">
        <f>IF($H98="","",IFERROR(INDEX('Risk Library'!$H$5:$M$411,MATCH($E98,'Risk Library'!$A$5:$A$411,0),$H98+1),""))</f>
        <v/>
      </c>
      <c r="H98" s="37" t="str">
        <f>IF(OR(COUNTA('Finance Procurement'!$H$8)=0,'Finance Procurement'!$H$8="N/A"),"",VALUE('Finance Procurement'!$H$8))</f>
        <v/>
      </c>
      <c r="I98" s="36" t="str">
        <f>IF($H98="","",IFERROR(IF('Finance Procurement'!$L$8="",IF($H98&lt;=1,"Critical",IF($H98=2,"High",IF($H98=3,"Medium",IF($H98=4,"Low","Resilient")))),'Finance Procurement'!$L$8),IF($H98&lt;=1,"Critical",IF($H98=2,"High",IF($H98=3,"Medium",IF($H98=4,"Low","Resilient"))))))</f>
        <v/>
      </c>
      <c r="J98" s="37" t="str">
        <f t="shared" si="20"/>
        <v/>
      </c>
      <c r="K98" s="37" t="str">
        <f t="shared" si="21"/>
        <v/>
      </c>
      <c r="L98" s="37" t="str">
        <f t="shared" si="22"/>
        <v/>
      </c>
      <c r="M98" s="37" t="str">
        <f t="shared" si="23"/>
        <v/>
      </c>
      <c r="N98" s="37" t="str">
        <f>IF($H98="","",IFERROR(INDEX('Risk Library'!$T$5:$Y$411,MATCH($E98,'Risk Library'!$A$5:$A$411,0),$H98+1),""))</f>
        <v/>
      </c>
      <c r="O98" s="37" t="str">
        <f t="shared" si="24"/>
        <v/>
      </c>
      <c r="P98" s="37" t="str">
        <f t="shared" si="25"/>
        <v/>
      </c>
      <c r="Q98" s="37" t="str">
        <f t="shared" si="26"/>
        <v/>
      </c>
      <c r="R98" s="37" t="str">
        <f t="shared" si="27"/>
        <v/>
      </c>
      <c r="S98" s="38" t="str">
        <f t="shared" si="28"/>
        <v/>
      </c>
      <c r="T98" s="36" t="str">
        <f>IF($H98="","",IFERROR(INDEX('Risk Library'!$N$5:$S$411,MATCH($E98,'Risk Library'!$A$5:$A$411,0),$H98+1),""))</f>
        <v/>
      </c>
      <c r="U98" s="37">
        <f>IFERROR('Finance Procurement'!$G$8,"")</f>
        <v>5</v>
      </c>
      <c r="V98" s="37">
        <f>IFERROR('Finance Procurement'!$W$8,"")</f>
        <v>4</v>
      </c>
      <c r="W98" s="37">
        <f>IFERROR('Finance Procurement'!$X$8,"")</f>
        <v>5</v>
      </c>
      <c r="X98" s="37">
        <f>IFERROR('Finance Procurement'!$Y$8,"")</f>
        <v>5</v>
      </c>
      <c r="Y98" s="36" t="s">
        <v>2755</v>
      </c>
      <c r="Z98" s="36" t="s">
        <v>2756</v>
      </c>
      <c r="AA98" s="36" t="s">
        <v>2780</v>
      </c>
      <c r="AB98" s="36">
        <f>IFERROR('Finance Procurement'!$U$8,"")</f>
        <v>0</v>
      </c>
      <c r="AC98" s="36"/>
      <c r="AD98" s="36"/>
      <c r="AE98" s="36"/>
      <c r="AF98" s="36" t="s">
        <v>2779</v>
      </c>
      <c r="AO98" s="48" t="str">
        <f>IF($B98="Yes",IFERROR(SUMIFS(_TECH_Crisis_Model!$D$5:$D$191,_TECH_Crisis_Model!$A$5:$A$191,'Crisis Simulator'!$B$4,_TECH_Crisis_Model!$B$5:$B$191,$C98),1),"")</f>
        <v/>
      </c>
      <c r="AP98" s="48" t="str">
        <f t="shared" si="29"/>
        <v/>
      </c>
      <c r="AQ98" s="48" t="str">
        <f t="shared" si="30"/>
        <v/>
      </c>
      <c r="AR98" s="48" t="str">
        <f>IFERROR(INDEX(_TECH_Crisis_Model!$E$5:$E$191,MATCH('Crisis Simulator'!$B$4&amp;"|"&amp;$C98,_TECH_Crisis_Model!$I$5:$I$191,0)),"")</f>
        <v>Cash control, supplier payments and procurement discipline determine financial survival and response options.</v>
      </c>
      <c r="AS98" s="48" t="str">
        <f>IFERROR(INDEX(_TECH_Crisis_Model!$G$5:$G$191,MATCH('Crisis Simulator'!$B$4&amp;"|"&amp;$C98,_TECH_Crisis_Model!$I$5:$I$191,0)),"")</f>
        <v>Build cash stress testing, payment prioritization, supplier risk review and procurement controls.</v>
      </c>
      <c r="AT98" s="48" t="str">
        <f>IFERROR(INDEX(_TECH_Initiative_Library!$A$5:$A$76,MATCH(1,INDEX((_TECH_Initiative_Library!$B$5:$B$76=$C98)*(_TECH_Initiative_Library!$C$5:$C$76=$D98),0),0)),"")</f>
        <v>INI-015</v>
      </c>
      <c r="AU98" s="48" t="str">
        <f>IFERROR(INDEX(_TECH_Initiative_Library!$F$5:$F$76,MATCH(1,INDEX((_TECH_Initiative_Library!$B$5:$B$76=$C98)*(_TECH_Initiative_Library!$C$5:$C$76=$D98),0),0)),"")</f>
        <v>Implement cash-flow resilience and financial scenario planning</v>
      </c>
      <c r="AV98" s="48" t="str">
        <f ca="1">IFERROR(INDEX(_TECH_Initiative_Library!$AC$5:$AC$76,MATCH(1,INDEX((_TECH_Initiative_Library!$B$5:$B$76=$C98)*(_TECH_Initiative_Library!$C$5:$C$76=$D98),0),0)),"")</f>
        <v/>
      </c>
      <c r="AW98" s="48" t="str">
        <f ca="1">IFERROR(INDEX(_TECH_Initiative_Library!$AE$5:$AE$76,MATCH(1,INDEX((_TECH_Initiative_Library!$B$5:$B$76=$C98)*(_TECH_Initiative_Library!$C$5:$C$76=$D98),0),0)),"")</f>
        <v/>
      </c>
      <c r="AX98" s="48" t="str">
        <f>IF($B98="Yes",IFERROR(SUMIFS(_TECH_Industry_Templates!$E:$E,_TECH_Industry_Templates!$A:$A,'Company Profile'!$B$9,_TECH_Industry_Templates!$B:$B,$C98),1),"")</f>
        <v/>
      </c>
      <c r="AY98" s="48" t="str">
        <f t="shared" si="31"/>
        <v/>
      </c>
      <c r="AZ98" s="48" t="str">
        <f t="shared" si="32"/>
        <v/>
      </c>
      <c r="BA98" s="48" t="str">
        <f>IF($AZ98="","",RANK.EQ($AZ98,$AZ$8:$AZ$414,0)+COUNTIF($AZ$8:$AZ98,$AZ98)-1)</f>
        <v/>
      </c>
    </row>
    <row r="99" spans="1:53" ht="69.95" customHeight="1">
      <c r="A99" s="36" t="str">
        <f>IF($AZ99="","",RANK.EQ($AZ99,$AZ$8:$AZ$414,0)+COUNTIF($AZ$8:$AZ99,$AZ99)-1)</f>
        <v/>
      </c>
      <c r="B99" s="36" t="str">
        <f t="shared" si="19"/>
        <v/>
      </c>
      <c r="C99" s="36" t="s">
        <v>66</v>
      </c>
      <c r="D99" s="36" t="s">
        <v>1137</v>
      </c>
      <c r="E99" s="36" t="s">
        <v>2788</v>
      </c>
      <c r="F99" s="36" t="s">
        <v>187</v>
      </c>
      <c r="G99" s="36" t="str">
        <f>IF($H99="","",IFERROR(INDEX('Risk Library'!$H$5:$M$411,MATCH($E99,'Risk Library'!$A$5:$A$411,0),$H99+1),""))</f>
        <v/>
      </c>
      <c r="H99" s="37" t="str">
        <f>IF(OR(COUNTA('Finance Procurement'!$H$9)=0,'Finance Procurement'!$H$9="N/A"),"",VALUE('Finance Procurement'!$H$9))</f>
        <v/>
      </c>
      <c r="I99" s="36" t="str">
        <f>IF($H99="","",IFERROR(IF('Finance Procurement'!$L$9="",IF($H99&lt;=1,"Critical",IF($H99=2,"High",IF($H99=3,"Medium",IF($H99=4,"Low","Resilient")))),'Finance Procurement'!$L$9),IF($H99&lt;=1,"Critical",IF($H99=2,"High",IF($H99=3,"Medium",IF($H99=4,"Low","Resilient"))))))</f>
        <v/>
      </c>
      <c r="J99" s="37" t="str">
        <f t="shared" si="20"/>
        <v/>
      </c>
      <c r="K99" s="37" t="str">
        <f t="shared" si="21"/>
        <v/>
      </c>
      <c r="L99" s="37" t="str">
        <f t="shared" si="22"/>
        <v/>
      </c>
      <c r="M99" s="37" t="str">
        <f t="shared" si="23"/>
        <v/>
      </c>
      <c r="N99" s="37" t="str">
        <f>IF($H99="","",IFERROR(INDEX('Risk Library'!$T$5:$Y$411,MATCH($E99,'Risk Library'!$A$5:$A$411,0),$H99+1),""))</f>
        <v/>
      </c>
      <c r="O99" s="37" t="str">
        <f t="shared" si="24"/>
        <v/>
      </c>
      <c r="P99" s="37" t="str">
        <f t="shared" si="25"/>
        <v/>
      </c>
      <c r="Q99" s="37" t="str">
        <f t="shared" si="26"/>
        <v/>
      </c>
      <c r="R99" s="37" t="str">
        <f t="shared" si="27"/>
        <v/>
      </c>
      <c r="S99" s="38" t="str">
        <f t="shared" si="28"/>
        <v/>
      </c>
      <c r="T99" s="36" t="str">
        <f>IF($H99="","",IFERROR(INDEX('Risk Library'!$N$5:$S$411,MATCH($E99,'Risk Library'!$A$5:$A$411,0),$H99+1),""))</f>
        <v/>
      </c>
      <c r="U99" s="37">
        <f>IFERROR('Finance Procurement'!$G$9,"")</f>
        <v>3</v>
      </c>
      <c r="V99" s="37">
        <f>IFERROR('Finance Procurement'!$W$9,"")</f>
        <v>4</v>
      </c>
      <c r="W99" s="37">
        <f>IFERROR('Finance Procurement'!$X$9,"")</f>
        <v>5</v>
      </c>
      <c r="X99" s="37">
        <f>IFERROR('Finance Procurement'!$Y$9,"")</f>
        <v>5</v>
      </c>
      <c r="Y99" s="36" t="s">
        <v>2755</v>
      </c>
      <c r="Z99" s="36" t="s">
        <v>2756</v>
      </c>
      <c r="AA99" s="36" t="s">
        <v>2790</v>
      </c>
      <c r="AB99" s="36">
        <f>IFERROR('Finance Procurement'!$U$9,"")</f>
        <v>0</v>
      </c>
      <c r="AC99" s="36"/>
      <c r="AD99" s="36"/>
      <c r="AE99" s="36"/>
      <c r="AF99" s="36" t="s">
        <v>2789</v>
      </c>
      <c r="AO99" s="48" t="str">
        <f>IF($B99="Yes",IFERROR(SUMIFS(_TECH_Crisis_Model!$D$5:$D$191,_TECH_Crisis_Model!$A$5:$A$191,'Crisis Simulator'!$B$4,_TECH_Crisis_Model!$B$5:$B$191,$C99),1),"")</f>
        <v/>
      </c>
      <c r="AP99" s="48" t="str">
        <f t="shared" si="29"/>
        <v/>
      </c>
      <c r="AQ99" s="48" t="str">
        <f t="shared" si="30"/>
        <v/>
      </c>
      <c r="AR99" s="48" t="str">
        <f>IFERROR(INDEX(_TECH_Crisis_Model!$E$5:$E$191,MATCH('Crisis Simulator'!$B$4&amp;"|"&amp;$C99,_TECH_Crisis_Model!$I$5:$I$191,0)),"")</f>
        <v>Cash control, supplier payments and procurement discipline determine financial survival and response options.</v>
      </c>
      <c r="AS99" s="48" t="str">
        <f>IFERROR(INDEX(_TECH_Crisis_Model!$G$5:$G$191,MATCH('Crisis Simulator'!$B$4&amp;"|"&amp;$C99,_TECH_Crisis_Model!$I$5:$I$191,0)),"")</f>
        <v>Build cash stress testing, payment prioritization, supplier risk review and procurement controls.</v>
      </c>
      <c r="AT99" s="48" t="str">
        <f>IFERROR(INDEX(_TECH_Initiative_Library!$A$5:$A$76,MATCH(1,INDEX((_TECH_Initiative_Library!$B$5:$B$76=$C99)*(_TECH_Initiative_Library!$C$5:$C$76=$D99),0),0)),"")</f>
        <v>INI-015</v>
      </c>
      <c r="AU99" s="48" t="str">
        <f>IFERROR(INDEX(_TECH_Initiative_Library!$F$5:$F$76,MATCH(1,INDEX((_TECH_Initiative_Library!$B$5:$B$76=$C99)*(_TECH_Initiative_Library!$C$5:$C$76=$D99),0),0)),"")</f>
        <v>Implement cash-flow resilience and financial scenario planning</v>
      </c>
      <c r="AV99" s="48" t="str">
        <f ca="1">IFERROR(INDEX(_TECH_Initiative_Library!$AC$5:$AC$76,MATCH(1,INDEX((_TECH_Initiative_Library!$B$5:$B$76=$C99)*(_TECH_Initiative_Library!$C$5:$C$76=$D99),0),0)),"")</f>
        <v/>
      </c>
      <c r="AW99" s="48" t="str">
        <f ca="1">IFERROR(INDEX(_TECH_Initiative_Library!$AE$5:$AE$76,MATCH(1,INDEX((_TECH_Initiative_Library!$B$5:$B$76=$C99)*(_TECH_Initiative_Library!$C$5:$C$76=$D99),0),0)),"")</f>
        <v/>
      </c>
      <c r="AX99" s="48" t="str">
        <f>IF($B99="Yes",IFERROR(SUMIFS(_TECH_Industry_Templates!$E:$E,_TECH_Industry_Templates!$A:$A,'Company Profile'!$B$9,_TECH_Industry_Templates!$B:$B,$C99),1),"")</f>
        <v/>
      </c>
      <c r="AY99" s="48" t="str">
        <f t="shared" si="31"/>
        <v/>
      </c>
      <c r="AZ99" s="48" t="str">
        <f t="shared" si="32"/>
        <v/>
      </c>
      <c r="BA99" s="48" t="str">
        <f>IF($AZ99="","",RANK.EQ($AZ99,$AZ$8:$AZ$414,0)+COUNTIF($AZ$8:$AZ99,$AZ99)-1)</f>
        <v/>
      </c>
    </row>
    <row r="100" spans="1:53" ht="69.95" customHeight="1">
      <c r="A100" s="36" t="str">
        <f>IF($AZ100="","",RANK.EQ($AZ100,$AZ$8:$AZ$414,0)+COUNTIF($AZ$8:$AZ100,$AZ100)-1)</f>
        <v/>
      </c>
      <c r="B100" s="36" t="str">
        <f t="shared" si="19"/>
        <v/>
      </c>
      <c r="C100" s="36" t="s">
        <v>66</v>
      </c>
      <c r="D100" s="36" t="s">
        <v>1137</v>
      </c>
      <c r="E100" s="36" t="s">
        <v>2798</v>
      </c>
      <c r="F100" s="36" t="s">
        <v>187</v>
      </c>
      <c r="G100" s="36" t="str">
        <f>IF($H100="","",IFERROR(INDEX('Risk Library'!$H$5:$M$411,MATCH($E100,'Risk Library'!$A$5:$A$411,0),$H100+1),""))</f>
        <v/>
      </c>
      <c r="H100" s="37" t="str">
        <f>IF(OR(COUNTA('Finance Procurement'!$H$10)=0,'Finance Procurement'!$H$10="N/A"),"",VALUE('Finance Procurement'!$H$10))</f>
        <v/>
      </c>
      <c r="I100" s="36" t="str">
        <f>IF($H100="","",IFERROR(IF('Finance Procurement'!$L$10="",IF($H100&lt;=1,"Critical",IF($H100=2,"High",IF($H100=3,"Medium",IF($H100=4,"Low","Resilient")))),'Finance Procurement'!$L$10),IF($H100&lt;=1,"Critical",IF($H100=2,"High",IF($H100=3,"Medium",IF($H100=4,"Low","Resilient"))))))</f>
        <v/>
      </c>
      <c r="J100" s="37" t="str">
        <f t="shared" si="20"/>
        <v/>
      </c>
      <c r="K100" s="37" t="str">
        <f t="shared" si="21"/>
        <v/>
      </c>
      <c r="L100" s="37" t="str">
        <f t="shared" si="22"/>
        <v/>
      </c>
      <c r="M100" s="37" t="str">
        <f t="shared" si="23"/>
        <v/>
      </c>
      <c r="N100" s="37" t="str">
        <f>IF($H100="","",IFERROR(INDEX('Risk Library'!$T$5:$Y$411,MATCH($E100,'Risk Library'!$A$5:$A$411,0),$H100+1),""))</f>
        <v/>
      </c>
      <c r="O100" s="37" t="str">
        <f t="shared" si="24"/>
        <v/>
      </c>
      <c r="P100" s="37" t="str">
        <f t="shared" si="25"/>
        <v/>
      </c>
      <c r="Q100" s="37" t="str">
        <f t="shared" si="26"/>
        <v/>
      </c>
      <c r="R100" s="37" t="str">
        <f t="shared" si="27"/>
        <v/>
      </c>
      <c r="S100" s="38" t="str">
        <f t="shared" si="28"/>
        <v/>
      </c>
      <c r="T100" s="36" t="str">
        <f>IF($H100="","",IFERROR(INDEX('Risk Library'!$N$5:$S$411,MATCH($E100,'Risk Library'!$A$5:$A$411,0),$H100+1),""))</f>
        <v/>
      </c>
      <c r="U100" s="37">
        <f>IFERROR('Finance Procurement'!$G$10,"")</f>
        <v>5</v>
      </c>
      <c r="V100" s="37">
        <f>IFERROR('Finance Procurement'!$W$10,"")</f>
        <v>4</v>
      </c>
      <c r="W100" s="37">
        <f>IFERROR('Finance Procurement'!$X$10,"")</f>
        <v>5</v>
      </c>
      <c r="X100" s="37">
        <f>IFERROR('Finance Procurement'!$Y$10,"")</f>
        <v>5</v>
      </c>
      <c r="Y100" s="36" t="s">
        <v>2755</v>
      </c>
      <c r="Z100" s="36" t="s">
        <v>2756</v>
      </c>
      <c r="AA100" s="36" t="s">
        <v>2800</v>
      </c>
      <c r="AB100" s="36">
        <f>IFERROR('Finance Procurement'!$U$10,"")</f>
        <v>0</v>
      </c>
      <c r="AC100" s="36"/>
      <c r="AD100" s="36"/>
      <c r="AE100" s="36"/>
      <c r="AF100" s="36" t="s">
        <v>2799</v>
      </c>
      <c r="AO100" s="48" t="str">
        <f>IF($B100="Yes",IFERROR(SUMIFS(_TECH_Crisis_Model!$D$5:$D$191,_TECH_Crisis_Model!$A$5:$A$191,'Crisis Simulator'!$B$4,_TECH_Crisis_Model!$B$5:$B$191,$C100),1),"")</f>
        <v/>
      </c>
      <c r="AP100" s="48" t="str">
        <f t="shared" si="29"/>
        <v/>
      </c>
      <c r="AQ100" s="48" t="str">
        <f t="shared" si="30"/>
        <v/>
      </c>
      <c r="AR100" s="48" t="str">
        <f>IFERROR(INDEX(_TECH_Crisis_Model!$E$5:$E$191,MATCH('Crisis Simulator'!$B$4&amp;"|"&amp;$C100,_TECH_Crisis_Model!$I$5:$I$191,0)),"")</f>
        <v>Cash control, supplier payments and procurement discipline determine financial survival and response options.</v>
      </c>
      <c r="AS100" s="48" t="str">
        <f>IFERROR(INDEX(_TECH_Crisis_Model!$G$5:$G$191,MATCH('Crisis Simulator'!$B$4&amp;"|"&amp;$C100,_TECH_Crisis_Model!$I$5:$I$191,0)),"")</f>
        <v>Build cash stress testing, payment prioritization, supplier risk review and procurement controls.</v>
      </c>
      <c r="AT100" s="48" t="str">
        <f>IFERROR(INDEX(_TECH_Initiative_Library!$A$5:$A$76,MATCH(1,INDEX((_TECH_Initiative_Library!$B$5:$B$76=$C100)*(_TECH_Initiative_Library!$C$5:$C$76=$D100),0),0)),"")</f>
        <v>INI-015</v>
      </c>
      <c r="AU100" s="48" t="str">
        <f>IFERROR(INDEX(_TECH_Initiative_Library!$F$5:$F$76,MATCH(1,INDEX((_TECH_Initiative_Library!$B$5:$B$76=$C100)*(_TECH_Initiative_Library!$C$5:$C$76=$D100),0),0)),"")</f>
        <v>Implement cash-flow resilience and financial scenario planning</v>
      </c>
      <c r="AV100" s="48" t="str">
        <f ca="1">IFERROR(INDEX(_TECH_Initiative_Library!$AC$5:$AC$76,MATCH(1,INDEX((_TECH_Initiative_Library!$B$5:$B$76=$C100)*(_TECH_Initiative_Library!$C$5:$C$76=$D100),0),0)),"")</f>
        <v/>
      </c>
      <c r="AW100" s="48" t="str">
        <f ca="1">IFERROR(INDEX(_TECH_Initiative_Library!$AE$5:$AE$76,MATCH(1,INDEX((_TECH_Initiative_Library!$B$5:$B$76=$C100)*(_TECH_Initiative_Library!$C$5:$C$76=$D100),0),0)),"")</f>
        <v/>
      </c>
      <c r="AX100" s="48" t="str">
        <f>IF($B100="Yes",IFERROR(SUMIFS(_TECH_Industry_Templates!$E:$E,_TECH_Industry_Templates!$A:$A,'Company Profile'!$B$9,_TECH_Industry_Templates!$B:$B,$C100),1),"")</f>
        <v/>
      </c>
      <c r="AY100" s="48" t="str">
        <f t="shared" si="31"/>
        <v/>
      </c>
      <c r="AZ100" s="48" t="str">
        <f t="shared" si="32"/>
        <v/>
      </c>
      <c r="BA100" s="48" t="str">
        <f>IF($AZ100="","",RANK.EQ($AZ100,$AZ$8:$AZ$414,0)+COUNTIF($AZ$8:$AZ100,$AZ100)-1)</f>
        <v/>
      </c>
    </row>
    <row r="101" spans="1:53" ht="69.95" customHeight="1">
      <c r="A101" s="36" t="str">
        <f>IF($AZ101="","",RANK.EQ($AZ101,$AZ$8:$AZ$414,0)+COUNTIF($AZ$8:$AZ101,$AZ101)-1)</f>
        <v/>
      </c>
      <c r="B101" s="36" t="str">
        <f t="shared" si="19"/>
        <v/>
      </c>
      <c r="C101" s="36" t="s">
        <v>66</v>
      </c>
      <c r="D101" s="36" t="s">
        <v>1147</v>
      </c>
      <c r="E101" s="36" t="s">
        <v>2808</v>
      </c>
      <c r="F101" s="36" t="s">
        <v>187</v>
      </c>
      <c r="G101" s="36" t="str">
        <f>IF($H101="","",IFERROR(INDEX('Risk Library'!$H$5:$M$411,MATCH($E101,'Risk Library'!$A$5:$A$411,0),$H101+1),""))</f>
        <v/>
      </c>
      <c r="H101" s="37" t="str">
        <f>IF(OR(COUNTA('Finance Procurement'!$H$11)=0,'Finance Procurement'!$H$11="N/A"),"",VALUE('Finance Procurement'!$H$11))</f>
        <v/>
      </c>
      <c r="I101" s="36" t="str">
        <f>IF($H101="","",IFERROR(IF('Finance Procurement'!$L$11="",IF($H101&lt;=1,"Critical",IF($H101=2,"High",IF($H101=3,"Medium",IF($H101=4,"Low","Resilient")))),'Finance Procurement'!$L$11),IF($H101&lt;=1,"Critical",IF($H101=2,"High",IF($H101=3,"Medium",IF($H101=4,"Low","Resilient"))))))</f>
        <v/>
      </c>
      <c r="J101" s="37" t="str">
        <f t="shared" si="20"/>
        <v/>
      </c>
      <c r="K101" s="37" t="str">
        <f t="shared" si="21"/>
        <v/>
      </c>
      <c r="L101" s="37" t="str">
        <f t="shared" si="22"/>
        <v/>
      </c>
      <c r="M101" s="37" t="str">
        <f t="shared" si="23"/>
        <v/>
      </c>
      <c r="N101" s="37" t="str">
        <f>IF($H101="","",IFERROR(INDEX('Risk Library'!$T$5:$Y$411,MATCH($E101,'Risk Library'!$A$5:$A$411,0),$H101+1),""))</f>
        <v/>
      </c>
      <c r="O101" s="37" t="str">
        <f t="shared" si="24"/>
        <v/>
      </c>
      <c r="P101" s="37" t="str">
        <f t="shared" si="25"/>
        <v/>
      </c>
      <c r="Q101" s="37" t="str">
        <f t="shared" si="26"/>
        <v/>
      </c>
      <c r="R101" s="37" t="str">
        <f t="shared" si="27"/>
        <v/>
      </c>
      <c r="S101" s="38" t="str">
        <f t="shared" si="28"/>
        <v/>
      </c>
      <c r="T101" s="36" t="str">
        <f>IF($H101="","",IFERROR(INDEX('Risk Library'!$N$5:$S$411,MATCH($E101,'Risk Library'!$A$5:$A$411,0),$H101+1),""))</f>
        <v/>
      </c>
      <c r="U101" s="37">
        <f>IFERROR('Finance Procurement'!$G$11,"")</f>
        <v>3</v>
      </c>
      <c r="V101" s="37">
        <f>IFERROR('Finance Procurement'!$W$11,"")</f>
        <v>4</v>
      </c>
      <c r="W101" s="37">
        <f>IFERROR('Finance Procurement'!$X$11,"")</f>
        <v>5</v>
      </c>
      <c r="X101" s="37">
        <f>IFERROR('Finance Procurement'!$Y$11,"")</f>
        <v>5</v>
      </c>
      <c r="Y101" s="36" t="s">
        <v>2755</v>
      </c>
      <c r="Z101" s="36" t="s">
        <v>2756</v>
      </c>
      <c r="AA101" s="36" t="s">
        <v>2810</v>
      </c>
      <c r="AB101" s="36">
        <f>IFERROR('Finance Procurement'!$U$11,"")</f>
        <v>0</v>
      </c>
      <c r="AC101" s="36"/>
      <c r="AD101" s="36"/>
      <c r="AE101" s="36"/>
      <c r="AF101" s="36" t="s">
        <v>2809</v>
      </c>
      <c r="AO101" s="48" t="str">
        <f>IF($B101="Yes",IFERROR(SUMIFS(_TECH_Crisis_Model!$D$5:$D$191,_TECH_Crisis_Model!$A$5:$A$191,'Crisis Simulator'!$B$4,_TECH_Crisis_Model!$B$5:$B$191,$C101),1),"")</f>
        <v/>
      </c>
      <c r="AP101" s="48" t="str">
        <f t="shared" si="29"/>
        <v/>
      </c>
      <c r="AQ101" s="48" t="str">
        <f t="shared" si="30"/>
        <v/>
      </c>
      <c r="AR101" s="48" t="str">
        <f>IFERROR(INDEX(_TECH_Crisis_Model!$E$5:$E$191,MATCH('Crisis Simulator'!$B$4&amp;"|"&amp;$C101,_TECH_Crisis_Model!$I$5:$I$191,0)),"")</f>
        <v>Cash control, supplier payments and procurement discipline determine financial survival and response options.</v>
      </c>
      <c r="AS101" s="48" t="str">
        <f>IFERROR(INDEX(_TECH_Crisis_Model!$G$5:$G$191,MATCH('Crisis Simulator'!$B$4&amp;"|"&amp;$C101,_TECH_Crisis_Model!$I$5:$I$191,0)),"")</f>
        <v>Build cash stress testing, payment prioritization, supplier risk review and procurement controls.</v>
      </c>
      <c r="AT101" s="48" t="str">
        <f>IFERROR(INDEX(_TECH_Initiative_Library!$A$5:$A$76,MATCH(1,INDEX((_TECH_Initiative_Library!$B$5:$B$76=$C101)*(_TECH_Initiative_Library!$C$5:$C$76=$D101),0),0)),"")</f>
        <v>INI-016</v>
      </c>
      <c r="AU101" s="48" t="str">
        <f>IFERROR(INDEX(_TECH_Initiative_Library!$F$5:$F$76,MATCH(1,INDEX((_TECH_Initiative_Library!$B$5:$B$76=$C101)*(_TECH_Initiative_Library!$C$5:$C$76=$D101),0),0)),"")</f>
        <v>Strengthen financial controls, approvals and accounting continuity</v>
      </c>
      <c r="AV101" s="48" t="str">
        <f ca="1">IFERROR(INDEX(_TECH_Initiative_Library!$AC$5:$AC$76,MATCH(1,INDEX((_TECH_Initiative_Library!$B$5:$B$76=$C101)*(_TECH_Initiative_Library!$C$5:$C$76=$D101),0),0)),"")</f>
        <v/>
      </c>
      <c r="AW101" s="48" t="str">
        <f ca="1">IFERROR(INDEX(_TECH_Initiative_Library!$AE$5:$AE$76,MATCH(1,INDEX((_TECH_Initiative_Library!$B$5:$B$76=$C101)*(_TECH_Initiative_Library!$C$5:$C$76=$D101),0),0)),"")</f>
        <v/>
      </c>
      <c r="AX101" s="48" t="str">
        <f>IF($B101="Yes",IFERROR(SUMIFS(_TECH_Industry_Templates!$E:$E,_TECH_Industry_Templates!$A:$A,'Company Profile'!$B$9,_TECH_Industry_Templates!$B:$B,$C101),1),"")</f>
        <v/>
      </c>
      <c r="AY101" s="48" t="str">
        <f t="shared" si="31"/>
        <v/>
      </c>
      <c r="AZ101" s="48" t="str">
        <f t="shared" si="32"/>
        <v/>
      </c>
      <c r="BA101" s="48" t="str">
        <f>IF($AZ101="","",RANK.EQ($AZ101,$AZ$8:$AZ$414,0)+COUNTIF($AZ$8:$AZ101,$AZ101)-1)</f>
        <v/>
      </c>
    </row>
    <row r="102" spans="1:53" ht="69.95" customHeight="1">
      <c r="A102" s="36" t="str">
        <f>IF($AZ102="","",RANK.EQ($AZ102,$AZ$8:$AZ$414,0)+COUNTIF($AZ$8:$AZ102,$AZ102)-1)</f>
        <v/>
      </c>
      <c r="B102" s="36" t="str">
        <f t="shared" si="19"/>
        <v/>
      </c>
      <c r="C102" s="36" t="s">
        <v>66</v>
      </c>
      <c r="D102" s="36" t="s">
        <v>1147</v>
      </c>
      <c r="E102" s="36" t="s">
        <v>2818</v>
      </c>
      <c r="F102" s="36" t="s">
        <v>187</v>
      </c>
      <c r="G102" s="36" t="str">
        <f>IF($H102="","",IFERROR(INDEX('Risk Library'!$H$5:$M$411,MATCH($E102,'Risk Library'!$A$5:$A$411,0),$H102+1),""))</f>
        <v/>
      </c>
      <c r="H102" s="37" t="str">
        <f>IF(OR(COUNTA('Finance Procurement'!$H$12)=0,'Finance Procurement'!$H$12="N/A"),"",VALUE('Finance Procurement'!$H$12))</f>
        <v/>
      </c>
      <c r="I102" s="36" t="str">
        <f>IF($H102="","",IFERROR(IF('Finance Procurement'!$L$12="",IF($H102&lt;=1,"Critical",IF($H102=2,"High",IF($H102=3,"Medium",IF($H102=4,"Low","Resilient")))),'Finance Procurement'!$L$12),IF($H102&lt;=1,"Critical",IF($H102=2,"High",IF($H102=3,"Medium",IF($H102=4,"Low","Resilient"))))))</f>
        <v/>
      </c>
      <c r="J102" s="37" t="str">
        <f t="shared" si="20"/>
        <v/>
      </c>
      <c r="K102" s="37" t="str">
        <f t="shared" si="21"/>
        <v/>
      </c>
      <c r="L102" s="37" t="str">
        <f t="shared" si="22"/>
        <v/>
      </c>
      <c r="M102" s="37" t="str">
        <f t="shared" si="23"/>
        <v/>
      </c>
      <c r="N102" s="37" t="str">
        <f>IF($H102="","",IFERROR(INDEX('Risk Library'!$T$5:$Y$411,MATCH($E102,'Risk Library'!$A$5:$A$411,0),$H102+1),""))</f>
        <v/>
      </c>
      <c r="O102" s="37" t="str">
        <f t="shared" si="24"/>
        <v/>
      </c>
      <c r="P102" s="37" t="str">
        <f t="shared" si="25"/>
        <v/>
      </c>
      <c r="Q102" s="37" t="str">
        <f t="shared" si="26"/>
        <v/>
      </c>
      <c r="R102" s="37" t="str">
        <f t="shared" si="27"/>
        <v/>
      </c>
      <c r="S102" s="38" t="str">
        <f t="shared" si="28"/>
        <v/>
      </c>
      <c r="T102" s="36" t="str">
        <f>IF($H102="","",IFERROR(INDEX('Risk Library'!$N$5:$S$411,MATCH($E102,'Risk Library'!$A$5:$A$411,0),$H102+1),""))</f>
        <v/>
      </c>
      <c r="U102" s="37">
        <f>IFERROR('Finance Procurement'!$G$12,"")</f>
        <v>5</v>
      </c>
      <c r="V102" s="37">
        <f>IFERROR('Finance Procurement'!$W$12,"")</f>
        <v>5</v>
      </c>
      <c r="W102" s="37">
        <f>IFERROR('Finance Procurement'!$X$12,"")</f>
        <v>5</v>
      </c>
      <c r="X102" s="37">
        <f>IFERROR('Finance Procurement'!$Y$12,"")</f>
        <v>5</v>
      </c>
      <c r="Y102" s="36" t="s">
        <v>2755</v>
      </c>
      <c r="Z102" s="36" t="s">
        <v>2756</v>
      </c>
      <c r="AA102" s="36" t="s">
        <v>2820</v>
      </c>
      <c r="AB102" s="36">
        <f>IFERROR('Finance Procurement'!$U$12,"")</f>
        <v>0</v>
      </c>
      <c r="AC102" s="36"/>
      <c r="AD102" s="36"/>
      <c r="AE102" s="36"/>
      <c r="AF102" s="36" t="s">
        <v>2819</v>
      </c>
      <c r="AO102" s="48" t="str">
        <f>IF($B102="Yes",IFERROR(SUMIFS(_TECH_Crisis_Model!$D$5:$D$191,_TECH_Crisis_Model!$A$5:$A$191,'Crisis Simulator'!$B$4,_TECH_Crisis_Model!$B$5:$B$191,$C102),1),"")</f>
        <v/>
      </c>
      <c r="AP102" s="48" t="str">
        <f t="shared" si="29"/>
        <v/>
      </c>
      <c r="AQ102" s="48" t="str">
        <f t="shared" si="30"/>
        <v/>
      </c>
      <c r="AR102" s="48" t="str">
        <f>IFERROR(INDEX(_TECH_Crisis_Model!$E$5:$E$191,MATCH('Crisis Simulator'!$B$4&amp;"|"&amp;$C102,_TECH_Crisis_Model!$I$5:$I$191,0)),"")</f>
        <v>Cash control, supplier payments and procurement discipline determine financial survival and response options.</v>
      </c>
      <c r="AS102" s="48" t="str">
        <f>IFERROR(INDEX(_TECH_Crisis_Model!$G$5:$G$191,MATCH('Crisis Simulator'!$B$4&amp;"|"&amp;$C102,_TECH_Crisis_Model!$I$5:$I$191,0)),"")</f>
        <v>Build cash stress testing, payment prioritization, supplier risk review and procurement controls.</v>
      </c>
      <c r="AT102" s="48" t="str">
        <f>IFERROR(INDEX(_TECH_Initiative_Library!$A$5:$A$76,MATCH(1,INDEX((_TECH_Initiative_Library!$B$5:$B$76=$C102)*(_TECH_Initiative_Library!$C$5:$C$76=$D102),0),0)),"")</f>
        <v>INI-016</v>
      </c>
      <c r="AU102" s="48" t="str">
        <f>IFERROR(INDEX(_TECH_Initiative_Library!$F$5:$F$76,MATCH(1,INDEX((_TECH_Initiative_Library!$B$5:$B$76=$C102)*(_TECH_Initiative_Library!$C$5:$C$76=$D102),0),0)),"")</f>
        <v>Strengthen financial controls, approvals and accounting continuity</v>
      </c>
      <c r="AV102" s="48" t="str">
        <f ca="1">IFERROR(INDEX(_TECH_Initiative_Library!$AC$5:$AC$76,MATCH(1,INDEX((_TECH_Initiative_Library!$B$5:$B$76=$C102)*(_TECH_Initiative_Library!$C$5:$C$76=$D102),0),0)),"")</f>
        <v/>
      </c>
      <c r="AW102" s="48" t="str">
        <f ca="1">IFERROR(INDEX(_TECH_Initiative_Library!$AE$5:$AE$76,MATCH(1,INDEX((_TECH_Initiative_Library!$B$5:$B$76=$C102)*(_TECH_Initiative_Library!$C$5:$C$76=$D102),0),0)),"")</f>
        <v/>
      </c>
      <c r="AX102" s="48" t="str">
        <f>IF($B102="Yes",IFERROR(SUMIFS(_TECH_Industry_Templates!$E:$E,_TECH_Industry_Templates!$A:$A,'Company Profile'!$B$9,_TECH_Industry_Templates!$B:$B,$C102),1),"")</f>
        <v/>
      </c>
      <c r="AY102" s="48" t="str">
        <f t="shared" si="31"/>
        <v/>
      </c>
      <c r="AZ102" s="48" t="str">
        <f t="shared" si="32"/>
        <v/>
      </c>
      <c r="BA102" s="48" t="str">
        <f>IF($AZ102="","",RANK.EQ($AZ102,$AZ$8:$AZ$414,0)+COUNTIF($AZ$8:$AZ102,$AZ102)-1)</f>
        <v/>
      </c>
    </row>
    <row r="103" spans="1:53" ht="69.95" customHeight="1">
      <c r="A103" s="36" t="str">
        <f>IF($AZ103="","",RANK.EQ($AZ103,$AZ$8:$AZ$414,0)+COUNTIF($AZ$8:$AZ103,$AZ103)-1)</f>
        <v/>
      </c>
      <c r="B103" s="36" t="str">
        <f t="shared" si="19"/>
        <v/>
      </c>
      <c r="C103" s="36" t="s">
        <v>66</v>
      </c>
      <c r="D103" s="36" t="s">
        <v>1147</v>
      </c>
      <c r="E103" s="36" t="s">
        <v>2828</v>
      </c>
      <c r="F103" s="36" t="s">
        <v>187</v>
      </c>
      <c r="G103" s="36" t="str">
        <f>IF($H103="","",IFERROR(INDEX('Risk Library'!$H$5:$M$411,MATCH($E103,'Risk Library'!$A$5:$A$411,0),$H103+1),""))</f>
        <v/>
      </c>
      <c r="H103" s="37" t="str">
        <f>IF(OR(COUNTA('Finance Procurement'!$H$13)=0,'Finance Procurement'!$H$13="N/A"),"",VALUE('Finance Procurement'!$H$13))</f>
        <v/>
      </c>
      <c r="I103" s="36" t="str">
        <f>IF($H103="","",IFERROR(IF('Finance Procurement'!$L$13="",IF($H103&lt;=1,"Critical",IF($H103=2,"High",IF($H103=3,"Medium",IF($H103=4,"Low","Resilient")))),'Finance Procurement'!$L$13),IF($H103&lt;=1,"Critical",IF($H103=2,"High",IF($H103=3,"Medium",IF($H103=4,"Low","Resilient"))))))</f>
        <v/>
      </c>
      <c r="J103" s="37" t="str">
        <f t="shared" si="20"/>
        <v/>
      </c>
      <c r="K103" s="37" t="str">
        <f t="shared" si="21"/>
        <v/>
      </c>
      <c r="L103" s="37" t="str">
        <f t="shared" si="22"/>
        <v/>
      </c>
      <c r="M103" s="37" t="str">
        <f t="shared" si="23"/>
        <v/>
      </c>
      <c r="N103" s="37" t="str">
        <f>IF($H103="","",IFERROR(INDEX('Risk Library'!$T$5:$Y$411,MATCH($E103,'Risk Library'!$A$5:$A$411,0),$H103+1),""))</f>
        <v/>
      </c>
      <c r="O103" s="37" t="str">
        <f t="shared" si="24"/>
        <v/>
      </c>
      <c r="P103" s="37" t="str">
        <f t="shared" si="25"/>
        <v/>
      </c>
      <c r="Q103" s="37" t="str">
        <f t="shared" si="26"/>
        <v/>
      </c>
      <c r="R103" s="37" t="str">
        <f t="shared" si="27"/>
        <v/>
      </c>
      <c r="S103" s="38" t="str">
        <f t="shared" si="28"/>
        <v/>
      </c>
      <c r="T103" s="36" t="str">
        <f>IF($H103="","",IFERROR(INDEX('Risk Library'!$N$5:$S$411,MATCH($E103,'Risk Library'!$A$5:$A$411,0),$H103+1),""))</f>
        <v/>
      </c>
      <c r="U103" s="37">
        <f>IFERROR('Finance Procurement'!$G$13,"")</f>
        <v>5</v>
      </c>
      <c r="V103" s="37">
        <f>IFERROR('Finance Procurement'!$W$13,"")</f>
        <v>4</v>
      </c>
      <c r="W103" s="37">
        <f>IFERROR('Finance Procurement'!$X$13,"")</f>
        <v>5</v>
      </c>
      <c r="X103" s="37">
        <f>IFERROR('Finance Procurement'!$Y$13,"")</f>
        <v>5</v>
      </c>
      <c r="Y103" s="36" t="s">
        <v>2755</v>
      </c>
      <c r="Z103" s="36" t="s">
        <v>2756</v>
      </c>
      <c r="AA103" s="36" t="s">
        <v>2830</v>
      </c>
      <c r="AB103" s="36">
        <f>IFERROR('Finance Procurement'!$U$13,"")</f>
        <v>0</v>
      </c>
      <c r="AC103" s="36"/>
      <c r="AD103" s="36"/>
      <c r="AE103" s="36"/>
      <c r="AF103" s="36" t="s">
        <v>2829</v>
      </c>
      <c r="AO103" s="48" t="str">
        <f>IF($B103="Yes",IFERROR(SUMIFS(_TECH_Crisis_Model!$D$5:$D$191,_TECH_Crisis_Model!$A$5:$A$191,'Crisis Simulator'!$B$4,_TECH_Crisis_Model!$B$5:$B$191,$C103),1),"")</f>
        <v/>
      </c>
      <c r="AP103" s="48" t="str">
        <f t="shared" si="29"/>
        <v/>
      </c>
      <c r="AQ103" s="48" t="str">
        <f t="shared" si="30"/>
        <v/>
      </c>
      <c r="AR103" s="48" t="str">
        <f>IFERROR(INDEX(_TECH_Crisis_Model!$E$5:$E$191,MATCH('Crisis Simulator'!$B$4&amp;"|"&amp;$C103,_TECH_Crisis_Model!$I$5:$I$191,0)),"")</f>
        <v>Cash control, supplier payments and procurement discipline determine financial survival and response options.</v>
      </c>
      <c r="AS103" s="48" t="str">
        <f>IFERROR(INDEX(_TECH_Crisis_Model!$G$5:$G$191,MATCH('Crisis Simulator'!$B$4&amp;"|"&amp;$C103,_TECH_Crisis_Model!$I$5:$I$191,0)),"")</f>
        <v>Build cash stress testing, payment prioritization, supplier risk review and procurement controls.</v>
      </c>
      <c r="AT103" s="48" t="str">
        <f>IFERROR(INDEX(_TECH_Initiative_Library!$A$5:$A$76,MATCH(1,INDEX((_TECH_Initiative_Library!$B$5:$B$76=$C103)*(_TECH_Initiative_Library!$C$5:$C$76=$D103),0),0)),"")</f>
        <v>INI-016</v>
      </c>
      <c r="AU103" s="48" t="str">
        <f>IFERROR(INDEX(_TECH_Initiative_Library!$F$5:$F$76,MATCH(1,INDEX((_TECH_Initiative_Library!$B$5:$B$76=$C103)*(_TECH_Initiative_Library!$C$5:$C$76=$D103),0),0)),"")</f>
        <v>Strengthen financial controls, approvals and accounting continuity</v>
      </c>
      <c r="AV103" s="48" t="str">
        <f ca="1">IFERROR(INDEX(_TECH_Initiative_Library!$AC$5:$AC$76,MATCH(1,INDEX((_TECH_Initiative_Library!$B$5:$B$76=$C103)*(_TECH_Initiative_Library!$C$5:$C$76=$D103),0),0)),"")</f>
        <v/>
      </c>
      <c r="AW103" s="48" t="str">
        <f ca="1">IFERROR(INDEX(_TECH_Initiative_Library!$AE$5:$AE$76,MATCH(1,INDEX((_TECH_Initiative_Library!$B$5:$B$76=$C103)*(_TECH_Initiative_Library!$C$5:$C$76=$D103),0),0)),"")</f>
        <v/>
      </c>
      <c r="AX103" s="48" t="str">
        <f>IF($B103="Yes",IFERROR(SUMIFS(_TECH_Industry_Templates!$E:$E,_TECH_Industry_Templates!$A:$A,'Company Profile'!$B$9,_TECH_Industry_Templates!$B:$B,$C103),1),"")</f>
        <v/>
      </c>
      <c r="AY103" s="48" t="str">
        <f t="shared" si="31"/>
        <v/>
      </c>
      <c r="AZ103" s="48" t="str">
        <f t="shared" si="32"/>
        <v/>
      </c>
      <c r="BA103" s="48" t="str">
        <f>IF($AZ103="","",RANK.EQ($AZ103,$AZ$8:$AZ$414,0)+COUNTIF($AZ$8:$AZ103,$AZ103)-1)</f>
        <v/>
      </c>
    </row>
    <row r="104" spans="1:53" ht="69.95" customHeight="1">
      <c r="A104" s="36" t="str">
        <f>IF($AZ104="","",RANK.EQ($AZ104,$AZ$8:$AZ$414,0)+COUNTIF($AZ$8:$AZ104,$AZ104)-1)</f>
        <v/>
      </c>
      <c r="B104" s="36" t="str">
        <f t="shared" si="19"/>
        <v/>
      </c>
      <c r="C104" s="36" t="s">
        <v>66</v>
      </c>
      <c r="D104" s="36" t="s">
        <v>1147</v>
      </c>
      <c r="E104" s="36" t="s">
        <v>2838</v>
      </c>
      <c r="F104" s="36" t="s">
        <v>187</v>
      </c>
      <c r="G104" s="36" t="str">
        <f>IF($H104="","",IFERROR(INDEX('Risk Library'!$H$5:$M$411,MATCH($E104,'Risk Library'!$A$5:$A$411,0),$H104+1),""))</f>
        <v/>
      </c>
      <c r="H104" s="37" t="str">
        <f>IF(OR(COUNTA('Finance Procurement'!$H$14)=0,'Finance Procurement'!$H$14="N/A"),"",VALUE('Finance Procurement'!$H$14))</f>
        <v/>
      </c>
      <c r="I104" s="36" t="str">
        <f>IF($H104="","",IFERROR(IF('Finance Procurement'!$L$14="",IF($H104&lt;=1,"Critical",IF($H104=2,"High",IF($H104=3,"Medium",IF($H104=4,"Low","Resilient")))),'Finance Procurement'!$L$14),IF($H104&lt;=1,"Critical",IF($H104=2,"High",IF($H104=3,"Medium",IF($H104=4,"Low","Resilient"))))))</f>
        <v/>
      </c>
      <c r="J104" s="37" t="str">
        <f t="shared" si="20"/>
        <v/>
      </c>
      <c r="K104" s="37" t="str">
        <f t="shared" si="21"/>
        <v/>
      </c>
      <c r="L104" s="37" t="str">
        <f t="shared" si="22"/>
        <v/>
      </c>
      <c r="M104" s="37" t="str">
        <f t="shared" si="23"/>
        <v/>
      </c>
      <c r="N104" s="37" t="str">
        <f>IF($H104="","",IFERROR(INDEX('Risk Library'!$T$5:$Y$411,MATCH($E104,'Risk Library'!$A$5:$A$411,0),$H104+1),""))</f>
        <v/>
      </c>
      <c r="O104" s="37" t="str">
        <f t="shared" si="24"/>
        <v/>
      </c>
      <c r="P104" s="37" t="str">
        <f t="shared" si="25"/>
        <v/>
      </c>
      <c r="Q104" s="37" t="str">
        <f t="shared" si="26"/>
        <v/>
      </c>
      <c r="R104" s="37" t="str">
        <f t="shared" si="27"/>
        <v/>
      </c>
      <c r="S104" s="38" t="str">
        <f t="shared" si="28"/>
        <v/>
      </c>
      <c r="T104" s="36" t="str">
        <f>IF($H104="","",IFERROR(INDEX('Risk Library'!$N$5:$S$411,MATCH($E104,'Risk Library'!$A$5:$A$411,0),$H104+1),""))</f>
        <v/>
      </c>
      <c r="U104" s="37">
        <f>IFERROR('Finance Procurement'!$G$14,"")</f>
        <v>5</v>
      </c>
      <c r="V104" s="37">
        <f>IFERROR('Finance Procurement'!$W$14,"")</f>
        <v>4</v>
      </c>
      <c r="W104" s="37">
        <f>IFERROR('Finance Procurement'!$X$14,"")</f>
        <v>5</v>
      </c>
      <c r="X104" s="37">
        <f>IFERROR('Finance Procurement'!$Y$14,"")</f>
        <v>5</v>
      </c>
      <c r="Y104" s="36" t="s">
        <v>2755</v>
      </c>
      <c r="Z104" s="36" t="s">
        <v>2756</v>
      </c>
      <c r="AA104" s="36" t="s">
        <v>2840</v>
      </c>
      <c r="AB104" s="36">
        <f>IFERROR('Finance Procurement'!$U$14,"")</f>
        <v>0</v>
      </c>
      <c r="AC104" s="36"/>
      <c r="AD104" s="36"/>
      <c r="AE104" s="36"/>
      <c r="AF104" s="36" t="s">
        <v>2839</v>
      </c>
      <c r="AO104" s="48" t="str">
        <f>IF($B104="Yes",IFERROR(SUMIFS(_TECH_Crisis_Model!$D$5:$D$191,_TECH_Crisis_Model!$A$5:$A$191,'Crisis Simulator'!$B$4,_TECH_Crisis_Model!$B$5:$B$191,$C104),1),"")</f>
        <v/>
      </c>
      <c r="AP104" s="48" t="str">
        <f t="shared" si="29"/>
        <v/>
      </c>
      <c r="AQ104" s="48" t="str">
        <f t="shared" si="30"/>
        <v/>
      </c>
      <c r="AR104" s="48" t="str">
        <f>IFERROR(INDEX(_TECH_Crisis_Model!$E$5:$E$191,MATCH('Crisis Simulator'!$B$4&amp;"|"&amp;$C104,_TECH_Crisis_Model!$I$5:$I$191,0)),"")</f>
        <v>Cash control, supplier payments and procurement discipline determine financial survival and response options.</v>
      </c>
      <c r="AS104" s="48" t="str">
        <f>IFERROR(INDEX(_TECH_Crisis_Model!$G$5:$G$191,MATCH('Crisis Simulator'!$B$4&amp;"|"&amp;$C104,_TECH_Crisis_Model!$I$5:$I$191,0)),"")</f>
        <v>Build cash stress testing, payment prioritization, supplier risk review and procurement controls.</v>
      </c>
      <c r="AT104" s="48" t="str">
        <f>IFERROR(INDEX(_TECH_Initiative_Library!$A$5:$A$76,MATCH(1,INDEX((_TECH_Initiative_Library!$B$5:$B$76=$C104)*(_TECH_Initiative_Library!$C$5:$C$76=$D104),0),0)),"")</f>
        <v>INI-016</v>
      </c>
      <c r="AU104" s="48" t="str">
        <f>IFERROR(INDEX(_TECH_Initiative_Library!$F$5:$F$76,MATCH(1,INDEX((_TECH_Initiative_Library!$B$5:$B$76=$C104)*(_TECH_Initiative_Library!$C$5:$C$76=$D104),0),0)),"")</f>
        <v>Strengthen financial controls, approvals and accounting continuity</v>
      </c>
      <c r="AV104" s="48" t="str">
        <f ca="1">IFERROR(INDEX(_TECH_Initiative_Library!$AC$5:$AC$76,MATCH(1,INDEX((_TECH_Initiative_Library!$B$5:$B$76=$C104)*(_TECH_Initiative_Library!$C$5:$C$76=$D104),0),0)),"")</f>
        <v/>
      </c>
      <c r="AW104" s="48" t="str">
        <f ca="1">IFERROR(INDEX(_TECH_Initiative_Library!$AE$5:$AE$76,MATCH(1,INDEX((_TECH_Initiative_Library!$B$5:$B$76=$C104)*(_TECH_Initiative_Library!$C$5:$C$76=$D104),0),0)),"")</f>
        <v/>
      </c>
      <c r="AX104" s="48" t="str">
        <f>IF($B104="Yes",IFERROR(SUMIFS(_TECH_Industry_Templates!$E:$E,_TECH_Industry_Templates!$A:$A,'Company Profile'!$B$9,_TECH_Industry_Templates!$B:$B,$C104),1),"")</f>
        <v/>
      </c>
      <c r="AY104" s="48" t="str">
        <f t="shared" si="31"/>
        <v/>
      </c>
      <c r="AZ104" s="48" t="str">
        <f t="shared" si="32"/>
        <v/>
      </c>
      <c r="BA104" s="48" t="str">
        <f>IF($AZ104="","",RANK.EQ($AZ104,$AZ$8:$AZ$414,0)+COUNTIF($AZ$8:$AZ104,$AZ104)-1)</f>
        <v/>
      </c>
    </row>
    <row r="105" spans="1:53" ht="69.95" customHeight="1">
      <c r="A105" s="36" t="str">
        <f>IF($AZ105="","",RANK.EQ($AZ105,$AZ$8:$AZ$414,0)+COUNTIF($AZ$8:$AZ105,$AZ105)-1)</f>
        <v/>
      </c>
      <c r="B105" s="36" t="str">
        <f t="shared" si="19"/>
        <v/>
      </c>
      <c r="C105" s="36" t="s">
        <v>66</v>
      </c>
      <c r="D105" s="36" t="s">
        <v>1147</v>
      </c>
      <c r="E105" s="36" t="s">
        <v>2848</v>
      </c>
      <c r="F105" s="36" t="s">
        <v>187</v>
      </c>
      <c r="G105" s="36" t="str">
        <f>IF($H105="","",IFERROR(INDEX('Risk Library'!$H$5:$M$411,MATCH($E105,'Risk Library'!$A$5:$A$411,0),$H105+1),""))</f>
        <v/>
      </c>
      <c r="H105" s="37" t="str">
        <f>IF(OR(COUNTA('Finance Procurement'!$H$15)=0,'Finance Procurement'!$H$15="N/A"),"",VALUE('Finance Procurement'!$H$15))</f>
        <v/>
      </c>
      <c r="I105" s="36" t="str">
        <f>IF($H105="","",IFERROR(IF('Finance Procurement'!$L$15="",IF($H105&lt;=1,"Critical",IF($H105=2,"High",IF($H105=3,"Medium",IF($H105=4,"Low","Resilient")))),'Finance Procurement'!$L$15),IF($H105&lt;=1,"Critical",IF($H105=2,"High",IF($H105=3,"Medium",IF($H105=4,"Low","Resilient"))))))</f>
        <v/>
      </c>
      <c r="J105" s="37" t="str">
        <f t="shared" si="20"/>
        <v/>
      </c>
      <c r="K105" s="37" t="str">
        <f t="shared" si="21"/>
        <v/>
      </c>
      <c r="L105" s="37" t="str">
        <f t="shared" si="22"/>
        <v/>
      </c>
      <c r="M105" s="37" t="str">
        <f t="shared" si="23"/>
        <v/>
      </c>
      <c r="N105" s="37" t="str">
        <f>IF($H105="","",IFERROR(INDEX('Risk Library'!$T$5:$Y$411,MATCH($E105,'Risk Library'!$A$5:$A$411,0),$H105+1),""))</f>
        <v/>
      </c>
      <c r="O105" s="37" t="str">
        <f t="shared" si="24"/>
        <v/>
      </c>
      <c r="P105" s="37" t="str">
        <f t="shared" si="25"/>
        <v/>
      </c>
      <c r="Q105" s="37" t="str">
        <f t="shared" si="26"/>
        <v/>
      </c>
      <c r="R105" s="37" t="str">
        <f t="shared" si="27"/>
        <v/>
      </c>
      <c r="S105" s="38" t="str">
        <f t="shared" si="28"/>
        <v/>
      </c>
      <c r="T105" s="36" t="str">
        <f>IF($H105="","",IFERROR(INDEX('Risk Library'!$N$5:$S$411,MATCH($E105,'Risk Library'!$A$5:$A$411,0),$H105+1),""))</f>
        <v/>
      </c>
      <c r="U105" s="37">
        <f>IFERROR('Finance Procurement'!$G$15,"")</f>
        <v>5</v>
      </c>
      <c r="V105" s="37">
        <f>IFERROR('Finance Procurement'!$W$15,"")</f>
        <v>4</v>
      </c>
      <c r="W105" s="37">
        <f>IFERROR('Finance Procurement'!$X$15,"")</f>
        <v>5</v>
      </c>
      <c r="X105" s="37">
        <f>IFERROR('Finance Procurement'!$Y$15,"")</f>
        <v>5</v>
      </c>
      <c r="Y105" s="36" t="s">
        <v>2755</v>
      </c>
      <c r="Z105" s="36" t="s">
        <v>2756</v>
      </c>
      <c r="AA105" s="36" t="s">
        <v>2850</v>
      </c>
      <c r="AB105" s="36">
        <f>IFERROR('Finance Procurement'!$U$15,"")</f>
        <v>0</v>
      </c>
      <c r="AC105" s="36"/>
      <c r="AD105" s="36"/>
      <c r="AE105" s="36"/>
      <c r="AF105" s="36" t="s">
        <v>2849</v>
      </c>
      <c r="AO105" s="48" t="str">
        <f>IF($B105="Yes",IFERROR(SUMIFS(_TECH_Crisis_Model!$D$5:$D$191,_TECH_Crisis_Model!$A$5:$A$191,'Crisis Simulator'!$B$4,_TECH_Crisis_Model!$B$5:$B$191,$C105),1),"")</f>
        <v/>
      </c>
      <c r="AP105" s="48" t="str">
        <f t="shared" si="29"/>
        <v/>
      </c>
      <c r="AQ105" s="48" t="str">
        <f t="shared" si="30"/>
        <v/>
      </c>
      <c r="AR105" s="48" t="str">
        <f>IFERROR(INDEX(_TECH_Crisis_Model!$E$5:$E$191,MATCH('Crisis Simulator'!$B$4&amp;"|"&amp;$C105,_TECH_Crisis_Model!$I$5:$I$191,0)),"")</f>
        <v>Cash control, supplier payments and procurement discipline determine financial survival and response options.</v>
      </c>
      <c r="AS105" s="48" t="str">
        <f>IFERROR(INDEX(_TECH_Crisis_Model!$G$5:$G$191,MATCH('Crisis Simulator'!$B$4&amp;"|"&amp;$C105,_TECH_Crisis_Model!$I$5:$I$191,0)),"")</f>
        <v>Build cash stress testing, payment prioritization, supplier risk review and procurement controls.</v>
      </c>
      <c r="AT105" s="48" t="str">
        <f>IFERROR(INDEX(_TECH_Initiative_Library!$A$5:$A$76,MATCH(1,INDEX((_TECH_Initiative_Library!$B$5:$B$76=$C105)*(_TECH_Initiative_Library!$C$5:$C$76=$D105),0),0)),"")</f>
        <v>INI-016</v>
      </c>
      <c r="AU105" s="48" t="str">
        <f>IFERROR(INDEX(_TECH_Initiative_Library!$F$5:$F$76,MATCH(1,INDEX((_TECH_Initiative_Library!$B$5:$B$76=$C105)*(_TECH_Initiative_Library!$C$5:$C$76=$D105),0),0)),"")</f>
        <v>Strengthen financial controls, approvals and accounting continuity</v>
      </c>
      <c r="AV105" s="48" t="str">
        <f ca="1">IFERROR(INDEX(_TECH_Initiative_Library!$AC$5:$AC$76,MATCH(1,INDEX((_TECH_Initiative_Library!$B$5:$B$76=$C105)*(_TECH_Initiative_Library!$C$5:$C$76=$D105),0),0)),"")</f>
        <v/>
      </c>
      <c r="AW105" s="48" t="str">
        <f ca="1">IFERROR(INDEX(_TECH_Initiative_Library!$AE$5:$AE$76,MATCH(1,INDEX((_TECH_Initiative_Library!$B$5:$B$76=$C105)*(_TECH_Initiative_Library!$C$5:$C$76=$D105),0),0)),"")</f>
        <v/>
      </c>
      <c r="AX105" s="48" t="str">
        <f>IF($B105="Yes",IFERROR(SUMIFS(_TECH_Industry_Templates!$E:$E,_TECH_Industry_Templates!$A:$A,'Company Profile'!$B$9,_TECH_Industry_Templates!$B:$B,$C105),1),"")</f>
        <v/>
      </c>
      <c r="AY105" s="48" t="str">
        <f t="shared" si="31"/>
        <v/>
      </c>
      <c r="AZ105" s="48" t="str">
        <f t="shared" si="32"/>
        <v/>
      </c>
      <c r="BA105" s="48" t="str">
        <f>IF($AZ105="","",RANK.EQ($AZ105,$AZ$8:$AZ$414,0)+COUNTIF($AZ$8:$AZ105,$AZ105)-1)</f>
        <v/>
      </c>
    </row>
    <row r="106" spans="1:53" ht="69.95" customHeight="1">
      <c r="A106" s="36" t="str">
        <f>IF($AZ106="","",RANK.EQ($AZ106,$AZ$8:$AZ$414,0)+COUNTIF($AZ$8:$AZ106,$AZ106)-1)</f>
        <v/>
      </c>
      <c r="B106" s="36" t="str">
        <f t="shared" si="19"/>
        <v/>
      </c>
      <c r="C106" s="36" t="s">
        <v>66</v>
      </c>
      <c r="D106" s="36" t="s">
        <v>1147</v>
      </c>
      <c r="E106" s="36" t="s">
        <v>2858</v>
      </c>
      <c r="F106" s="36" t="s">
        <v>187</v>
      </c>
      <c r="G106" s="36" t="str">
        <f>IF($H106="","",IFERROR(INDEX('Risk Library'!$H$5:$M$411,MATCH($E106,'Risk Library'!$A$5:$A$411,0),$H106+1),""))</f>
        <v/>
      </c>
      <c r="H106" s="37" t="str">
        <f>IF(OR(COUNTA('Finance Procurement'!$H$16)=0,'Finance Procurement'!$H$16="N/A"),"",VALUE('Finance Procurement'!$H$16))</f>
        <v/>
      </c>
      <c r="I106" s="36" t="str">
        <f>IF($H106="","",IFERROR(IF('Finance Procurement'!$L$16="",IF($H106&lt;=1,"Critical",IF($H106=2,"High",IF($H106=3,"Medium",IF($H106=4,"Low","Resilient")))),'Finance Procurement'!$L$16),IF($H106&lt;=1,"Critical",IF($H106=2,"High",IF($H106=3,"Medium",IF($H106=4,"Low","Resilient"))))))</f>
        <v/>
      </c>
      <c r="J106" s="37" t="str">
        <f t="shared" si="20"/>
        <v/>
      </c>
      <c r="K106" s="37" t="str">
        <f t="shared" si="21"/>
        <v/>
      </c>
      <c r="L106" s="37" t="str">
        <f t="shared" si="22"/>
        <v/>
      </c>
      <c r="M106" s="37" t="str">
        <f t="shared" si="23"/>
        <v/>
      </c>
      <c r="N106" s="37" t="str">
        <f>IF($H106="","",IFERROR(INDEX('Risk Library'!$T$5:$Y$411,MATCH($E106,'Risk Library'!$A$5:$A$411,0),$H106+1),""))</f>
        <v/>
      </c>
      <c r="O106" s="37" t="str">
        <f t="shared" si="24"/>
        <v/>
      </c>
      <c r="P106" s="37" t="str">
        <f t="shared" si="25"/>
        <v/>
      </c>
      <c r="Q106" s="37" t="str">
        <f t="shared" si="26"/>
        <v/>
      </c>
      <c r="R106" s="37" t="str">
        <f t="shared" si="27"/>
        <v/>
      </c>
      <c r="S106" s="38" t="str">
        <f t="shared" si="28"/>
        <v/>
      </c>
      <c r="T106" s="36" t="str">
        <f>IF($H106="","",IFERROR(INDEX('Risk Library'!$N$5:$S$411,MATCH($E106,'Risk Library'!$A$5:$A$411,0),$H106+1),""))</f>
        <v/>
      </c>
      <c r="U106" s="37">
        <f>IFERROR('Finance Procurement'!$G$16,"")</f>
        <v>4</v>
      </c>
      <c r="V106" s="37">
        <f>IFERROR('Finance Procurement'!$W$16,"")</f>
        <v>5</v>
      </c>
      <c r="W106" s="37">
        <f>IFERROR('Finance Procurement'!$X$16,"")</f>
        <v>5</v>
      </c>
      <c r="X106" s="37">
        <f>IFERROR('Finance Procurement'!$Y$16,"")</f>
        <v>5</v>
      </c>
      <c r="Y106" s="36" t="s">
        <v>2755</v>
      </c>
      <c r="Z106" s="36" t="s">
        <v>2756</v>
      </c>
      <c r="AA106" s="36" t="s">
        <v>2860</v>
      </c>
      <c r="AB106" s="36">
        <f>IFERROR('Finance Procurement'!$U$16,"")</f>
        <v>0</v>
      </c>
      <c r="AC106" s="36"/>
      <c r="AD106" s="36"/>
      <c r="AE106" s="36"/>
      <c r="AF106" s="36" t="s">
        <v>2859</v>
      </c>
      <c r="AO106" s="48" t="str">
        <f>IF($B106="Yes",IFERROR(SUMIFS(_TECH_Crisis_Model!$D$5:$D$191,_TECH_Crisis_Model!$A$5:$A$191,'Crisis Simulator'!$B$4,_TECH_Crisis_Model!$B$5:$B$191,$C106),1),"")</f>
        <v/>
      </c>
      <c r="AP106" s="48" t="str">
        <f t="shared" si="29"/>
        <v/>
      </c>
      <c r="AQ106" s="48" t="str">
        <f t="shared" si="30"/>
        <v/>
      </c>
      <c r="AR106" s="48" t="str">
        <f>IFERROR(INDEX(_TECH_Crisis_Model!$E$5:$E$191,MATCH('Crisis Simulator'!$B$4&amp;"|"&amp;$C106,_TECH_Crisis_Model!$I$5:$I$191,0)),"")</f>
        <v>Cash control, supplier payments and procurement discipline determine financial survival and response options.</v>
      </c>
      <c r="AS106" s="48" t="str">
        <f>IFERROR(INDEX(_TECH_Crisis_Model!$G$5:$G$191,MATCH('Crisis Simulator'!$B$4&amp;"|"&amp;$C106,_TECH_Crisis_Model!$I$5:$I$191,0)),"")</f>
        <v>Build cash stress testing, payment prioritization, supplier risk review and procurement controls.</v>
      </c>
      <c r="AT106" s="48" t="str">
        <f>IFERROR(INDEX(_TECH_Initiative_Library!$A$5:$A$76,MATCH(1,INDEX((_TECH_Initiative_Library!$B$5:$B$76=$C106)*(_TECH_Initiative_Library!$C$5:$C$76=$D106),0),0)),"")</f>
        <v>INI-016</v>
      </c>
      <c r="AU106" s="48" t="str">
        <f>IFERROR(INDEX(_TECH_Initiative_Library!$F$5:$F$76,MATCH(1,INDEX((_TECH_Initiative_Library!$B$5:$B$76=$C106)*(_TECH_Initiative_Library!$C$5:$C$76=$D106),0),0)),"")</f>
        <v>Strengthen financial controls, approvals and accounting continuity</v>
      </c>
      <c r="AV106" s="48" t="str">
        <f ca="1">IFERROR(INDEX(_TECH_Initiative_Library!$AC$5:$AC$76,MATCH(1,INDEX((_TECH_Initiative_Library!$B$5:$B$76=$C106)*(_TECH_Initiative_Library!$C$5:$C$76=$D106),0),0)),"")</f>
        <v/>
      </c>
      <c r="AW106" s="48" t="str">
        <f ca="1">IFERROR(INDEX(_TECH_Initiative_Library!$AE$5:$AE$76,MATCH(1,INDEX((_TECH_Initiative_Library!$B$5:$B$76=$C106)*(_TECH_Initiative_Library!$C$5:$C$76=$D106),0),0)),"")</f>
        <v/>
      </c>
      <c r="AX106" s="48" t="str">
        <f>IF($B106="Yes",IFERROR(SUMIFS(_TECH_Industry_Templates!$E:$E,_TECH_Industry_Templates!$A:$A,'Company Profile'!$B$9,_TECH_Industry_Templates!$B:$B,$C106),1),"")</f>
        <v/>
      </c>
      <c r="AY106" s="48" t="str">
        <f t="shared" si="31"/>
        <v/>
      </c>
      <c r="AZ106" s="48" t="str">
        <f t="shared" si="32"/>
        <v/>
      </c>
      <c r="BA106" s="48" t="str">
        <f>IF($AZ106="","",RANK.EQ($AZ106,$AZ$8:$AZ$414,0)+COUNTIF($AZ$8:$AZ106,$AZ106)-1)</f>
        <v/>
      </c>
    </row>
    <row r="107" spans="1:53" ht="69.95" customHeight="1">
      <c r="A107" s="36" t="str">
        <f>IF($AZ107="","",RANK.EQ($AZ107,$AZ$8:$AZ$414,0)+COUNTIF($AZ$8:$AZ107,$AZ107)-1)</f>
        <v/>
      </c>
      <c r="B107" s="36" t="str">
        <f t="shared" si="19"/>
        <v/>
      </c>
      <c r="C107" s="36" t="s">
        <v>66</v>
      </c>
      <c r="D107" s="36" t="s">
        <v>1158</v>
      </c>
      <c r="E107" s="36" t="s">
        <v>2868</v>
      </c>
      <c r="F107" s="36" t="s">
        <v>187</v>
      </c>
      <c r="G107" s="36" t="str">
        <f>IF($H107="","",IFERROR(INDEX('Risk Library'!$H$5:$M$411,MATCH($E107,'Risk Library'!$A$5:$A$411,0),$H107+1),""))</f>
        <v/>
      </c>
      <c r="H107" s="37" t="str">
        <f>IF(OR(COUNTA('Finance Procurement'!$H$17)=0,'Finance Procurement'!$H$17="N/A"),"",VALUE('Finance Procurement'!$H$17))</f>
        <v/>
      </c>
      <c r="I107" s="36" t="str">
        <f>IF($H107="","",IFERROR(IF('Finance Procurement'!$L$17="",IF($H107&lt;=1,"Critical",IF($H107=2,"High",IF($H107=3,"Medium",IF($H107=4,"Low","Resilient")))),'Finance Procurement'!$L$17),IF($H107&lt;=1,"Critical",IF($H107=2,"High",IF($H107=3,"Medium",IF($H107=4,"Low","Resilient"))))))</f>
        <v/>
      </c>
      <c r="J107" s="37" t="str">
        <f t="shared" si="20"/>
        <v/>
      </c>
      <c r="K107" s="37" t="str">
        <f t="shared" si="21"/>
        <v/>
      </c>
      <c r="L107" s="37" t="str">
        <f t="shared" si="22"/>
        <v/>
      </c>
      <c r="M107" s="37" t="str">
        <f t="shared" si="23"/>
        <v/>
      </c>
      <c r="N107" s="37" t="str">
        <f>IF($H107="","",IFERROR(INDEX('Risk Library'!$T$5:$Y$411,MATCH($E107,'Risk Library'!$A$5:$A$411,0),$H107+1),""))</f>
        <v/>
      </c>
      <c r="O107" s="37" t="str">
        <f t="shared" si="24"/>
        <v/>
      </c>
      <c r="P107" s="37" t="str">
        <f t="shared" si="25"/>
        <v/>
      </c>
      <c r="Q107" s="37" t="str">
        <f t="shared" si="26"/>
        <v/>
      </c>
      <c r="R107" s="37" t="str">
        <f t="shared" si="27"/>
        <v/>
      </c>
      <c r="S107" s="38" t="str">
        <f t="shared" si="28"/>
        <v/>
      </c>
      <c r="T107" s="36" t="str">
        <f>IF($H107="","",IFERROR(INDEX('Risk Library'!$N$5:$S$411,MATCH($E107,'Risk Library'!$A$5:$A$411,0),$H107+1),""))</f>
        <v/>
      </c>
      <c r="U107" s="37">
        <f>IFERROR('Finance Procurement'!$G$17,"")</f>
        <v>3</v>
      </c>
      <c r="V107" s="37">
        <f>IFERROR('Finance Procurement'!$W$17,"")</f>
        <v>4</v>
      </c>
      <c r="W107" s="37">
        <f>IFERROR('Finance Procurement'!$X$17,"")</f>
        <v>5</v>
      </c>
      <c r="X107" s="37">
        <f>IFERROR('Finance Procurement'!$Y$17,"")</f>
        <v>5</v>
      </c>
      <c r="Y107" s="36" t="s">
        <v>2755</v>
      </c>
      <c r="Z107" s="36" t="s">
        <v>2756</v>
      </c>
      <c r="AA107" s="36" t="s">
        <v>2870</v>
      </c>
      <c r="AB107" s="36">
        <f>IFERROR('Finance Procurement'!$U$17,"")</f>
        <v>0</v>
      </c>
      <c r="AC107" s="36"/>
      <c r="AD107" s="36"/>
      <c r="AE107" s="36"/>
      <c r="AF107" s="36" t="s">
        <v>2869</v>
      </c>
      <c r="AO107" s="48" t="str">
        <f>IF($B107="Yes",IFERROR(SUMIFS(_TECH_Crisis_Model!$D$5:$D$191,_TECH_Crisis_Model!$A$5:$A$191,'Crisis Simulator'!$B$4,_TECH_Crisis_Model!$B$5:$B$191,$C107),1),"")</f>
        <v/>
      </c>
      <c r="AP107" s="48" t="str">
        <f t="shared" si="29"/>
        <v/>
      </c>
      <c r="AQ107" s="48" t="str">
        <f t="shared" si="30"/>
        <v/>
      </c>
      <c r="AR107" s="48" t="str">
        <f>IFERROR(INDEX(_TECH_Crisis_Model!$E$5:$E$191,MATCH('Crisis Simulator'!$B$4&amp;"|"&amp;$C107,_TECH_Crisis_Model!$I$5:$I$191,0)),"")</f>
        <v>Cash control, supplier payments and procurement discipline determine financial survival and response options.</v>
      </c>
      <c r="AS107" s="48" t="str">
        <f>IFERROR(INDEX(_TECH_Crisis_Model!$G$5:$G$191,MATCH('Crisis Simulator'!$B$4&amp;"|"&amp;$C107,_TECH_Crisis_Model!$I$5:$I$191,0)),"")</f>
        <v>Build cash stress testing, payment prioritization, supplier risk review and procurement controls.</v>
      </c>
      <c r="AT107" s="48" t="str">
        <f>IFERROR(INDEX(_TECH_Initiative_Library!$A$5:$A$76,MATCH(1,INDEX((_TECH_Initiative_Library!$B$5:$B$76=$C107)*(_TECH_Initiative_Library!$C$5:$C$76=$D107),0),0)),"")</f>
        <v>INI-017</v>
      </c>
      <c r="AU107" s="48" t="str">
        <f>IFERROR(INDEX(_TECH_Initiative_Library!$F$5:$F$76,MATCH(1,INDEX((_TECH_Initiative_Library!$B$5:$B$76=$C107)*(_TECH_Initiative_Library!$C$5:$C$76=$D107),0),0)),"")</f>
        <v>Build resilient procurement governance and supplier risk controls</v>
      </c>
      <c r="AV107" s="48" t="str">
        <f ca="1">IFERROR(INDEX(_TECH_Initiative_Library!$AC$5:$AC$76,MATCH(1,INDEX((_TECH_Initiative_Library!$B$5:$B$76=$C107)*(_TECH_Initiative_Library!$C$5:$C$76=$D107),0),0)),"")</f>
        <v/>
      </c>
      <c r="AW107" s="48" t="str">
        <f ca="1">IFERROR(INDEX(_TECH_Initiative_Library!$AE$5:$AE$76,MATCH(1,INDEX((_TECH_Initiative_Library!$B$5:$B$76=$C107)*(_TECH_Initiative_Library!$C$5:$C$76=$D107),0),0)),"")</f>
        <v/>
      </c>
      <c r="AX107" s="48" t="str">
        <f>IF($B107="Yes",IFERROR(SUMIFS(_TECH_Industry_Templates!$E:$E,_TECH_Industry_Templates!$A:$A,'Company Profile'!$B$9,_TECH_Industry_Templates!$B:$B,$C107),1),"")</f>
        <v/>
      </c>
      <c r="AY107" s="48" t="str">
        <f t="shared" si="31"/>
        <v/>
      </c>
      <c r="AZ107" s="48" t="str">
        <f t="shared" si="32"/>
        <v/>
      </c>
      <c r="BA107" s="48" t="str">
        <f>IF($AZ107="","",RANK.EQ($AZ107,$AZ$8:$AZ$414,0)+COUNTIF($AZ$8:$AZ107,$AZ107)-1)</f>
        <v/>
      </c>
    </row>
    <row r="108" spans="1:53" ht="69.95" customHeight="1">
      <c r="A108" s="36" t="str">
        <f>IF($AZ108="","",RANK.EQ($AZ108,$AZ$8:$AZ$414,0)+COUNTIF($AZ$8:$AZ108,$AZ108)-1)</f>
        <v/>
      </c>
      <c r="B108" s="36" t="str">
        <f t="shared" si="19"/>
        <v/>
      </c>
      <c r="C108" s="36" t="s">
        <v>66</v>
      </c>
      <c r="D108" s="36" t="s">
        <v>1158</v>
      </c>
      <c r="E108" s="36" t="s">
        <v>2878</v>
      </c>
      <c r="F108" s="36" t="s">
        <v>187</v>
      </c>
      <c r="G108" s="36" t="str">
        <f>IF($H108="","",IFERROR(INDEX('Risk Library'!$H$5:$M$411,MATCH($E108,'Risk Library'!$A$5:$A$411,0),$H108+1),""))</f>
        <v/>
      </c>
      <c r="H108" s="37" t="str">
        <f>IF(OR(COUNTA('Finance Procurement'!$H$18)=0,'Finance Procurement'!$H$18="N/A"),"",VALUE('Finance Procurement'!$H$18))</f>
        <v/>
      </c>
      <c r="I108" s="36" t="str">
        <f>IF($H108="","",IFERROR(IF('Finance Procurement'!$L$18="",IF($H108&lt;=1,"Critical",IF($H108=2,"High",IF($H108=3,"Medium",IF($H108=4,"Low","Resilient")))),'Finance Procurement'!$L$18),IF($H108&lt;=1,"Critical",IF($H108=2,"High",IF($H108=3,"Medium",IF($H108=4,"Low","Resilient"))))))</f>
        <v/>
      </c>
      <c r="J108" s="37" t="str">
        <f t="shared" si="20"/>
        <v/>
      </c>
      <c r="K108" s="37" t="str">
        <f t="shared" si="21"/>
        <v/>
      </c>
      <c r="L108" s="37" t="str">
        <f t="shared" si="22"/>
        <v/>
      </c>
      <c r="M108" s="37" t="str">
        <f t="shared" si="23"/>
        <v/>
      </c>
      <c r="N108" s="37" t="str">
        <f>IF($H108="","",IFERROR(INDEX('Risk Library'!$T$5:$Y$411,MATCH($E108,'Risk Library'!$A$5:$A$411,0),$H108+1),""))</f>
        <v/>
      </c>
      <c r="O108" s="37" t="str">
        <f t="shared" si="24"/>
        <v/>
      </c>
      <c r="P108" s="37" t="str">
        <f t="shared" si="25"/>
        <v/>
      </c>
      <c r="Q108" s="37" t="str">
        <f t="shared" si="26"/>
        <v/>
      </c>
      <c r="R108" s="37" t="str">
        <f t="shared" si="27"/>
        <v/>
      </c>
      <c r="S108" s="38" t="str">
        <f t="shared" si="28"/>
        <v/>
      </c>
      <c r="T108" s="36" t="str">
        <f>IF($H108="","",IFERROR(INDEX('Risk Library'!$N$5:$S$411,MATCH($E108,'Risk Library'!$A$5:$A$411,0),$H108+1),""))</f>
        <v/>
      </c>
      <c r="U108" s="37">
        <f>IFERROR('Finance Procurement'!$G$18,"")</f>
        <v>5</v>
      </c>
      <c r="V108" s="37">
        <f>IFERROR('Finance Procurement'!$W$18,"")</f>
        <v>4</v>
      </c>
      <c r="W108" s="37">
        <f>IFERROR('Finance Procurement'!$X$18,"")</f>
        <v>5</v>
      </c>
      <c r="X108" s="37">
        <f>IFERROR('Finance Procurement'!$Y$18,"")</f>
        <v>5</v>
      </c>
      <c r="Y108" s="36" t="s">
        <v>2755</v>
      </c>
      <c r="Z108" s="36" t="s">
        <v>2756</v>
      </c>
      <c r="AA108" s="36" t="s">
        <v>2880</v>
      </c>
      <c r="AB108" s="36">
        <f>IFERROR('Finance Procurement'!$U$18,"")</f>
        <v>0</v>
      </c>
      <c r="AC108" s="36"/>
      <c r="AD108" s="36"/>
      <c r="AE108" s="36"/>
      <c r="AF108" s="36" t="s">
        <v>2879</v>
      </c>
      <c r="AO108" s="48" t="str">
        <f>IF($B108="Yes",IFERROR(SUMIFS(_TECH_Crisis_Model!$D$5:$D$191,_TECH_Crisis_Model!$A$5:$A$191,'Crisis Simulator'!$B$4,_TECH_Crisis_Model!$B$5:$B$191,$C108),1),"")</f>
        <v/>
      </c>
      <c r="AP108" s="48" t="str">
        <f t="shared" si="29"/>
        <v/>
      </c>
      <c r="AQ108" s="48" t="str">
        <f t="shared" si="30"/>
        <v/>
      </c>
      <c r="AR108" s="48" t="str">
        <f>IFERROR(INDEX(_TECH_Crisis_Model!$E$5:$E$191,MATCH('Crisis Simulator'!$B$4&amp;"|"&amp;$C108,_TECH_Crisis_Model!$I$5:$I$191,0)),"")</f>
        <v>Cash control, supplier payments and procurement discipline determine financial survival and response options.</v>
      </c>
      <c r="AS108" s="48" t="str">
        <f>IFERROR(INDEX(_TECH_Crisis_Model!$G$5:$G$191,MATCH('Crisis Simulator'!$B$4&amp;"|"&amp;$C108,_TECH_Crisis_Model!$I$5:$I$191,0)),"")</f>
        <v>Build cash stress testing, payment prioritization, supplier risk review and procurement controls.</v>
      </c>
      <c r="AT108" s="48" t="str">
        <f>IFERROR(INDEX(_TECH_Initiative_Library!$A$5:$A$76,MATCH(1,INDEX((_TECH_Initiative_Library!$B$5:$B$76=$C108)*(_TECH_Initiative_Library!$C$5:$C$76=$D108),0),0)),"")</f>
        <v>INI-017</v>
      </c>
      <c r="AU108" s="48" t="str">
        <f>IFERROR(INDEX(_TECH_Initiative_Library!$F$5:$F$76,MATCH(1,INDEX((_TECH_Initiative_Library!$B$5:$B$76=$C108)*(_TECH_Initiative_Library!$C$5:$C$76=$D108),0),0)),"")</f>
        <v>Build resilient procurement governance and supplier risk controls</v>
      </c>
      <c r="AV108" s="48" t="str">
        <f ca="1">IFERROR(INDEX(_TECH_Initiative_Library!$AC$5:$AC$76,MATCH(1,INDEX((_TECH_Initiative_Library!$B$5:$B$76=$C108)*(_TECH_Initiative_Library!$C$5:$C$76=$D108),0),0)),"")</f>
        <v/>
      </c>
      <c r="AW108" s="48" t="str">
        <f ca="1">IFERROR(INDEX(_TECH_Initiative_Library!$AE$5:$AE$76,MATCH(1,INDEX((_TECH_Initiative_Library!$B$5:$B$76=$C108)*(_TECH_Initiative_Library!$C$5:$C$76=$D108),0),0)),"")</f>
        <v/>
      </c>
      <c r="AX108" s="48" t="str">
        <f>IF($B108="Yes",IFERROR(SUMIFS(_TECH_Industry_Templates!$E:$E,_TECH_Industry_Templates!$A:$A,'Company Profile'!$B$9,_TECH_Industry_Templates!$B:$B,$C108),1),"")</f>
        <v/>
      </c>
      <c r="AY108" s="48" t="str">
        <f t="shared" si="31"/>
        <v/>
      </c>
      <c r="AZ108" s="48" t="str">
        <f t="shared" si="32"/>
        <v/>
      </c>
      <c r="BA108" s="48" t="str">
        <f>IF($AZ108="","",RANK.EQ($AZ108,$AZ$8:$AZ$414,0)+COUNTIF($AZ$8:$AZ108,$AZ108)-1)</f>
        <v/>
      </c>
    </row>
    <row r="109" spans="1:53" ht="69.95" customHeight="1">
      <c r="A109" s="36" t="str">
        <f>IF($AZ109="","",RANK.EQ($AZ109,$AZ$8:$AZ$414,0)+COUNTIF($AZ$8:$AZ109,$AZ109)-1)</f>
        <v/>
      </c>
      <c r="B109" s="36" t="str">
        <f t="shared" si="19"/>
        <v/>
      </c>
      <c r="C109" s="36" t="s">
        <v>66</v>
      </c>
      <c r="D109" s="36" t="s">
        <v>1158</v>
      </c>
      <c r="E109" s="36" t="s">
        <v>2888</v>
      </c>
      <c r="F109" s="36" t="s">
        <v>187</v>
      </c>
      <c r="G109" s="36" t="str">
        <f>IF($H109="","",IFERROR(INDEX('Risk Library'!$H$5:$M$411,MATCH($E109,'Risk Library'!$A$5:$A$411,0),$H109+1),""))</f>
        <v/>
      </c>
      <c r="H109" s="37" t="str">
        <f>IF(OR(COUNTA('Finance Procurement'!$H$19)=0,'Finance Procurement'!$H$19="N/A"),"",VALUE('Finance Procurement'!$H$19))</f>
        <v/>
      </c>
      <c r="I109" s="36" t="str">
        <f>IF($H109="","",IFERROR(IF('Finance Procurement'!$L$19="",IF($H109&lt;=1,"Critical",IF($H109=2,"High",IF($H109=3,"Medium",IF($H109=4,"Low","Resilient")))),'Finance Procurement'!$L$19),IF($H109&lt;=1,"Critical",IF($H109=2,"High",IF($H109=3,"Medium",IF($H109=4,"Low","Resilient"))))))</f>
        <v/>
      </c>
      <c r="J109" s="37" t="str">
        <f t="shared" si="20"/>
        <v/>
      </c>
      <c r="K109" s="37" t="str">
        <f t="shared" si="21"/>
        <v/>
      </c>
      <c r="L109" s="37" t="str">
        <f t="shared" si="22"/>
        <v/>
      </c>
      <c r="M109" s="37" t="str">
        <f t="shared" si="23"/>
        <v/>
      </c>
      <c r="N109" s="37" t="str">
        <f>IF($H109="","",IFERROR(INDEX('Risk Library'!$T$5:$Y$411,MATCH($E109,'Risk Library'!$A$5:$A$411,0),$H109+1),""))</f>
        <v/>
      </c>
      <c r="O109" s="37" t="str">
        <f t="shared" si="24"/>
        <v/>
      </c>
      <c r="P109" s="37" t="str">
        <f t="shared" si="25"/>
        <v/>
      </c>
      <c r="Q109" s="37" t="str">
        <f t="shared" si="26"/>
        <v/>
      </c>
      <c r="R109" s="37" t="str">
        <f t="shared" si="27"/>
        <v/>
      </c>
      <c r="S109" s="38" t="str">
        <f t="shared" si="28"/>
        <v/>
      </c>
      <c r="T109" s="36" t="str">
        <f>IF($H109="","",IFERROR(INDEX('Risk Library'!$N$5:$S$411,MATCH($E109,'Risk Library'!$A$5:$A$411,0),$H109+1),""))</f>
        <v/>
      </c>
      <c r="U109" s="37">
        <f>IFERROR('Finance Procurement'!$G$19,"")</f>
        <v>5</v>
      </c>
      <c r="V109" s="37">
        <f>IFERROR('Finance Procurement'!$W$19,"")</f>
        <v>4</v>
      </c>
      <c r="W109" s="37">
        <f>IFERROR('Finance Procurement'!$X$19,"")</f>
        <v>5</v>
      </c>
      <c r="X109" s="37">
        <f>IFERROR('Finance Procurement'!$Y$19,"")</f>
        <v>5</v>
      </c>
      <c r="Y109" s="36" t="s">
        <v>2755</v>
      </c>
      <c r="Z109" s="36" t="s">
        <v>2756</v>
      </c>
      <c r="AA109" s="36" t="s">
        <v>2890</v>
      </c>
      <c r="AB109" s="36">
        <f>IFERROR('Finance Procurement'!$U$19,"")</f>
        <v>0</v>
      </c>
      <c r="AC109" s="36"/>
      <c r="AD109" s="36"/>
      <c r="AE109" s="36"/>
      <c r="AF109" s="36" t="s">
        <v>2889</v>
      </c>
      <c r="AO109" s="48" t="str">
        <f>IF($B109="Yes",IFERROR(SUMIFS(_TECH_Crisis_Model!$D$5:$D$191,_TECH_Crisis_Model!$A$5:$A$191,'Crisis Simulator'!$B$4,_TECH_Crisis_Model!$B$5:$B$191,$C109),1),"")</f>
        <v/>
      </c>
      <c r="AP109" s="48" t="str">
        <f t="shared" si="29"/>
        <v/>
      </c>
      <c r="AQ109" s="48" t="str">
        <f t="shared" si="30"/>
        <v/>
      </c>
      <c r="AR109" s="48" t="str">
        <f>IFERROR(INDEX(_TECH_Crisis_Model!$E$5:$E$191,MATCH('Crisis Simulator'!$B$4&amp;"|"&amp;$C109,_TECH_Crisis_Model!$I$5:$I$191,0)),"")</f>
        <v>Cash control, supplier payments and procurement discipline determine financial survival and response options.</v>
      </c>
      <c r="AS109" s="48" t="str">
        <f>IFERROR(INDEX(_TECH_Crisis_Model!$G$5:$G$191,MATCH('Crisis Simulator'!$B$4&amp;"|"&amp;$C109,_TECH_Crisis_Model!$I$5:$I$191,0)),"")</f>
        <v>Build cash stress testing, payment prioritization, supplier risk review and procurement controls.</v>
      </c>
      <c r="AT109" s="48" t="str">
        <f>IFERROR(INDEX(_TECH_Initiative_Library!$A$5:$A$76,MATCH(1,INDEX((_TECH_Initiative_Library!$B$5:$B$76=$C109)*(_TECH_Initiative_Library!$C$5:$C$76=$D109),0),0)),"")</f>
        <v>INI-017</v>
      </c>
      <c r="AU109" s="48" t="str">
        <f>IFERROR(INDEX(_TECH_Initiative_Library!$F$5:$F$76,MATCH(1,INDEX((_TECH_Initiative_Library!$B$5:$B$76=$C109)*(_TECH_Initiative_Library!$C$5:$C$76=$D109),0),0)),"")</f>
        <v>Build resilient procurement governance and supplier risk controls</v>
      </c>
      <c r="AV109" s="48" t="str">
        <f ca="1">IFERROR(INDEX(_TECH_Initiative_Library!$AC$5:$AC$76,MATCH(1,INDEX((_TECH_Initiative_Library!$B$5:$B$76=$C109)*(_TECH_Initiative_Library!$C$5:$C$76=$D109),0),0)),"")</f>
        <v/>
      </c>
      <c r="AW109" s="48" t="str">
        <f ca="1">IFERROR(INDEX(_TECH_Initiative_Library!$AE$5:$AE$76,MATCH(1,INDEX((_TECH_Initiative_Library!$B$5:$B$76=$C109)*(_TECH_Initiative_Library!$C$5:$C$76=$D109),0),0)),"")</f>
        <v/>
      </c>
      <c r="AX109" s="48" t="str">
        <f>IF($B109="Yes",IFERROR(SUMIFS(_TECH_Industry_Templates!$E:$E,_TECH_Industry_Templates!$A:$A,'Company Profile'!$B$9,_TECH_Industry_Templates!$B:$B,$C109),1),"")</f>
        <v/>
      </c>
      <c r="AY109" s="48" t="str">
        <f t="shared" si="31"/>
        <v/>
      </c>
      <c r="AZ109" s="48" t="str">
        <f t="shared" si="32"/>
        <v/>
      </c>
      <c r="BA109" s="48" t="str">
        <f>IF($AZ109="","",RANK.EQ($AZ109,$AZ$8:$AZ$414,0)+COUNTIF($AZ$8:$AZ109,$AZ109)-1)</f>
        <v/>
      </c>
    </row>
    <row r="110" spans="1:53" ht="69.95" customHeight="1">
      <c r="A110" s="36" t="str">
        <f>IF($AZ110="","",RANK.EQ($AZ110,$AZ$8:$AZ$414,0)+COUNTIF($AZ$8:$AZ110,$AZ110)-1)</f>
        <v/>
      </c>
      <c r="B110" s="36" t="str">
        <f t="shared" si="19"/>
        <v/>
      </c>
      <c r="C110" s="36" t="s">
        <v>66</v>
      </c>
      <c r="D110" s="36" t="s">
        <v>1158</v>
      </c>
      <c r="E110" s="36" t="s">
        <v>2898</v>
      </c>
      <c r="F110" s="36" t="s">
        <v>187</v>
      </c>
      <c r="G110" s="36" t="str">
        <f>IF($H110="","",IFERROR(INDEX('Risk Library'!$H$5:$M$411,MATCH($E110,'Risk Library'!$A$5:$A$411,0),$H110+1),""))</f>
        <v/>
      </c>
      <c r="H110" s="37" t="str">
        <f>IF(OR(COUNTA('Finance Procurement'!$H$20)=0,'Finance Procurement'!$H$20="N/A"),"",VALUE('Finance Procurement'!$H$20))</f>
        <v/>
      </c>
      <c r="I110" s="36" t="str">
        <f>IF($H110="","",IFERROR(IF('Finance Procurement'!$L$20="",IF($H110&lt;=1,"Critical",IF($H110=2,"High",IF($H110=3,"Medium",IF($H110=4,"Low","Resilient")))),'Finance Procurement'!$L$20),IF($H110&lt;=1,"Critical",IF($H110=2,"High",IF($H110=3,"Medium",IF($H110=4,"Low","Resilient"))))))</f>
        <v/>
      </c>
      <c r="J110" s="37" t="str">
        <f t="shared" si="20"/>
        <v/>
      </c>
      <c r="K110" s="37" t="str">
        <f t="shared" si="21"/>
        <v/>
      </c>
      <c r="L110" s="37" t="str">
        <f t="shared" si="22"/>
        <v/>
      </c>
      <c r="M110" s="37" t="str">
        <f t="shared" si="23"/>
        <v/>
      </c>
      <c r="N110" s="37" t="str">
        <f>IF($H110="","",IFERROR(INDEX('Risk Library'!$T$5:$Y$411,MATCH($E110,'Risk Library'!$A$5:$A$411,0),$H110+1),""))</f>
        <v/>
      </c>
      <c r="O110" s="37" t="str">
        <f t="shared" si="24"/>
        <v/>
      </c>
      <c r="P110" s="37" t="str">
        <f t="shared" si="25"/>
        <v/>
      </c>
      <c r="Q110" s="37" t="str">
        <f t="shared" si="26"/>
        <v/>
      </c>
      <c r="R110" s="37" t="str">
        <f t="shared" si="27"/>
        <v/>
      </c>
      <c r="S110" s="38" t="str">
        <f t="shared" si="28"/>
        <v/>
      </c>
      <c r="T110" s="36" t="str">
        <f>IF($H110="","",IFERROR(INDEX('Risk Library'!$N$5:$S$411,MATCH($E110,'Risk Library'!$A$5:$A$411,0),$H110+1),""))</f>
        <v/>
      </c>
      <c r="U110" s="37">
        <f>IFERROR('Finance Procurement'!$G$20,"")</f>
        <v>5</v>
      </c>
      <c r="V110" s="37">
        <f>IFERROR('Finance Procurement'!$W$20,"")</f>
        <v>4</v>
      </c>
      <c r="W110" s="37">
        <f>IFERROR('Finance Procurement'!$X$20,"")</f>
        <v>5</v>
      </c>
      <c r="X110" s="37">
        <f>IFERROR('Finance Procurement'!$Y$20,"")</f>
        <v>5</v>
      </c>
      <c r="Y110" s="36" t="s">
        <v>2755</v>
      </c>
      <c r="Z110" s="36" t="s">
        <v>2756</v>
      </c>
      <c r="AA110" s="36" t="s">
        <v>2900</v>
      </c>
      <c r="AB110" s="36">
        <f>IFERROR('Finance Procurement'!$U$20,"")</f>
        <v>0</v>
      </c>
      <c r="AC110" s="36"/>
      <c r="AD110" s="36"/>
      <c r="AE110" s="36"/>
      <c r="AF110" s="36" t="s">
        <v>2899</v>
      </c>
      <c r="AO110" s="48" t="str">
        <f>IF($B110="Yes",IFERROR(SUMIFS(_TECH_Crisis_Model!$D$5:$D$191,_TECH_Crisis_Model!$A$5:$A$191,'Crisis Simulator'!$B$4,_TECH_Crisis_Model!$B$5:$B$191,$C110),1),"")</f>
        <v/>
      </c>
      <c r="AP110" s="48" t="str">
        <f t="shared" si="29"/>
        <v/>
      </c>
      <c r="AQ110" s="48" t="str">
        <f t="shared" si="30"/>
        <v/>
      </c>
      <c r="AR110" s="48" t="str">
        <f>IFERROR(INDEX(_TECH_Crisis_Model!$E$5:$E$191,MATCH('Crisis Simulator'!$B$4&amp;"|"&amp;$C110,_TECH_Crisis_Model!$I$5:$I$191,0)),"")</f>
        <v>Cash control, supplier payments and procurement discipline determine financial survival and response options.</v>
      </c>
      <c r="AS110" s="48" t="str">
        <f>IFERROR(INDEX(_TECH_Crisis_Model!$G$5:$G$191,MATCH('Crisis Simulator'!$B$4&amp;"|"&amp;$C110,_TECH_Crisis_Model!$I$5:$I$191,0)),"")</f>
        <v>Build cash stress testing, payment prioritization, supplier risk review and procurement controls.</v>
      </c>
      <c r="AT110" s="48" t="str">
        <f>IFERROR(INDEX(_TECH_Initiative_Library!$A$5:$A$76,MATCH(1,INDEX((_TECH_Initiative_Library!$B$5:$B$76=$C110)*(_TECH_Initiative_Library!$C$5:$C$76=$D110),0),0)),"")</f>
        <v>INI-017</v>
      </c>
      <c r="AU110" s="48" t="str">
        <f>IFERROR(INDEX(_TECH_Initiative_Library!$F$5:$F$76,MATCH(1,INDEX((_TECH_Initiative_Library!$B$5:$B$76=$C110)*(_TECH_Initiative_Library!$C$5:$C$76=$D110),0),0)),"")</f>
        <v>Build resilient procurement governance and supplier risk controls</v>
      </c>
      <c r="AV110" s="48" t="str">
        <f ca="1">IFERROR(INDEX(_TECH_Initiative_Library!$AC$5:$AC$76,MATCH(1,INDEX((_TECH_Initiative_Library!$B$5:$B$76=$C110)*(_TECH_Initiative_Library!$C$5:$C$76=$D110),0),0)),"")</f>
        <v/>
      </c>
      <c r="AW110" s="48" t="str">
        <f ca="1">IFERROR(INDEX(_TECH_Initiative_Library!$AE$5:$AE$76,MATCH(1,INDEX((_TECH_Initiative_Library!$B$5:$B$76=$C110)*(_TECH_Initiative_Library!$C$5:$C$76=$D110),0),0)),"")</f>
        <v/>
      </c>
      <c r="AX110" s="48" t="str">
        <f>IF($B110="Yes",IFERROR(SUMIFS(_TECH_Industry_Templates!$E:$E,_TECH_Industry_Templates!$A:$A,'Company Profile'!$B$9,_TECH_Industry_Templates!$B:$B,$C110),1),"")</f>
        <v/>
      </c>
      <c r="AY110" s="48" t="str">
        <f t="shared" si="31"/>
        <v/>
      </c>
      <c r="AZ110" s="48" t="str">
        <f t="shared" si="32"/>
        <v/>
      </c>
      <c r="BA110" s="48" t="str">
        <f>IF($AZ110="","",RANK.EQ($AZ110,$AZ$8:$AZ$414,0)+COUNTIF($AZ$8:$AZ110,$AZ110)-1)</f>
        <v/>
      </c>
    </row>
    <row r="111" spans="1:53" ht="69.95" customHeight="1">
      <c r="A111" s="36" t="str">
        <f>IF($AZ111="","",RANK.EQ($AZ111,$AZ$8:$AZ$414,0)+COUNTIF($AZ$8:$AZ111,$AZ111)-1)</f>
        <v/>
      </c>
      <c r="B111" s="36" t="str">
        <f t="shared" si="19"/>
        <v/>
      </c>
      <c r="C111" s="36" t="s">
        <v>66</v>
      </c>
      <c r="D111" s="36" t="s">
        <v>1158</v>
      </c>
      <c r="E111" s="36" t="s">
        <v>2908</v>
      </c>
      <c r="F111" s="36" t="s">
        <v>187</v>
      </c>
      <c r="G111" s="36" t="str">
        <f>IF($H111="","",IFERROR(INDEX('Risk Library'!$H$5:$M$411,MATCH($E111,'Risk Library'!$A$5:$A$411,0),$H111+1),""))</f>
        <v/>
      </c>
      <c r="H111" s="37" t="str">
        <f>IF(OR(COUNTA('Finance Procurement'!$H$21)=0,'Finance Procurement'!$H$21="N/A"),"",VALUE('Finance Procurement'!$H$21))</f>
        <v/>
      </c>
      <c r="I111" s="36" t="str">
        <f>IF($H111="","",IFERROR(IF('Finance Procurement'!$L$21="",IF($H111&lt;=1,"Critical",IF($H111=2,"High",IF($H111=3,"Medium",IF($H111=4,"Low","Resilient")))),'Finance Procurement'!$L$21),IF($H111&lt;=1,"Critical",IF($H111=2,"High",IF($H111=3,"Medium",IF($H111=4,"Low","Resilient"))))))</f>
        <v/>
      </c>
      <c r="J111" s="37" t="str">
        <f t="shared" si="20"/>
        <v/>
      </c>
      <c r="K111" s="37" t="str">
        <f t="shared" si="21"/>
        <v/>
      </c>
      <c r="L111" s="37" t="str">
        <f t="shared" si="22"/>
        <v/>
      </c>
      <c r="M111" s="37" t="str">
        <f t="shared" si="23"/>
        <v/>
      </c>
      <c r="N111" s="37" t="str">
        <f>IF($H111="","",IFERROR(INDEX('Risk Library'!$T$5:$Y$411,MATCH($E111,'Risk Library'!$A$5:$A$411,0),$H111+1),""))</f>
        <v/>
      </c>
      <c r="O111" s="37" t="str">
        <f t="shared" si="24"/>
        <v/>
      </c>
      <c r="P111" s="37" t="str">
        <f t="shared" si="25"/>
        <v/>
      </c>
      <c r="Q111" s="37" t="str">
        <f t="shared" si="26"/>
        <v/>
      </c>
      <c r="R111" s="37" t="str">
        <f t="shared" si="27"/>
        <v/>
      </c>
      <c r="S111" s="38" t="str">
        <f t="shared" si="28"/>
        <v/>
      </c>
      <c r="T111" s="36" t="str">
        <f>IF($H111="","",IFERROR(INDEX('Risk Library'!$N$5:$S$411,MATCH($E111,'Risk Library'!$A$5:$A$411,0),$H111+1),""))</f>
        <v/>
      </c>
      <c r="U111" s="37">
        <f>IFERROR('Finance Procurement'!$G$21,"")</f>
        <v>5</v>
      </c>
      <c r="V111" s="37">
        <f>IFERROR('Finance Procurement'!$W$21,"")</f>
        <v>5</v>
      </c>
      <c r="W111" s="37">
        <f>IFERROR('Finance Procurement'!$X$21,"")</f>
        <v>5</v>
      </c>
      <c r="X111" s="37">
        <f>IFERROR('Finance Procurement'!$Y$21,"")</f>
        <v>5</v>
      </c>
      <c r="Y111" s="36" t="s">
        <v>2755</v>
      </c>
      <c r="Z111" s="36" t="s">
        <v>2756</v>
      </c>
      <c r="AA111" s="36" t="s">
        <v>2910</v>
      </c>
      <c r="AB111" s="36">
        <f>IFERROR('Finance Procurement'!$U$21,"")</f>
        <v>0</v>
      </c>
      <c r="AC111" s="36"/>
      <c r="AD111" s="36"/>
      <c r="AE111" s="36"/>
      <c r="AF111" s="36" t="s">
        <v>2909</v>
      </c>
      <c r="AO111" s="48" t="str">
        <f>IF($B111="Yes",IFERROR(SUMIFS(_TECH_Crisis_Model!$D$5:$D$191,_TECH_Crisis_Model!$A$5:$A$191,'Crisis Simulator'!$B$4,_TECH_Crisis_Model!$B$5:$B$191,$C111),1),"")</f>
        <v/>
      </c>
      <c r="AP111" s="48" t="str">
        <f t="shared" si="29"/>
        <v/>
      </c>
      <c r="AQ111" s="48" t="str">
        <f t="shared" si="30"/>
        <v/>
      </c>
      <c r="AR111" s="48" t="str">
        <f>IFERROR(INDEX(_TECH_Crisis_Model!$E$5:$E$191,MATCH('Crisis Simulator'!$B$4&amp;"|"&amp;$C111,_TECH_Crisis_Model!$I$5:$I$191,0)),"")</f>
        <v>Cash control, supplier payments and procurement discipline determine financial survival and response options.</v>
      </c>
      <c r="AS111" s="48" t="str">
        <f>IFERROR(INDEX(_TECH_Crisis_Model!$G$5:$G$191,MATCH('Crisis Simulator'!$B$4&amp;"|"&amp;$C111,_TECH_Crisis_Model!$I$5:$I$191,0)),"")</f>
        <v>Build cash stress testing, payment prioritization, supplier risk review and procurement controls.</v>
      </c>
      <c r="AT111" s="48" t="str">
        <f>IFERROR(INDEX(_TECH_Initiative_Library!$A$5:$A$76,MATCH(1,INDEX((_TECH_Initiative_Library!$B$5:$B$76=$C111)*(_TECH_Initiative_Library!$C$5:$C$76=$D111),0),0)),"")</f>
        <v>INI-017</v>
      </c>
      <c r="AU111" s="48" t="str">
        <f>IFERROR(INDEX(_TECH_Initiative_Library!$F$5:$F$76,MATCH(1,INDEX((_TECH_Initiative_Library!$B$5:$B$76=$C111)*(_TECH_Initiative_Library!$C$5:$C$76=$D111),0),0)),"")</f>
        <v>Build resilient procurement governance and supplier risk controls</v>
      </c>
      <c r="AV111" s="48" t="str">
        <f ca="1">IFERROR(INDEX(_TECH_Initiative_Library!$AC$5:$AC$76,MATCH(1,INDEX((_TECH_Initiative_Library!$B$5:$B$76=$C111)*(_TECH_Initiative_Library!$C$5:$C$76=$D111),0),0)),"")</f>
        <v/>
      </c>
      <c r="AW111" s="48" t="str">
        <f ca="1">IFERROR(INDEX(_TECH_Initiative_Library!$AE$5:$AE$76,MATCH(1,INDEX((_TECH_Initiative_Library!$B$5:$B$76=$C111)*(_TECH_Initiative_Library!$C$5:$C$76=$D111),0),0)),"")</f>
        <v/>
      </c>
      <c r="AX111" s="48" t="str">
        <f>IF($B111="Yes",IFERROR(SUMIFS(_TECH_Industry_Templates!$E:$E,_TECH_Industry_Templates!$A:$A,'Company Profile'!$B$9,_TECH_Industry_Templates!$B:$B,$C111),1),"")</f>
        <v/>
      </c>
      <c r="AY111" s="48" t="str">
        <f t="shared" si="31"/>
        <v/>
      </c>
      <c r="AZ111" s="48" t="str">
        <f t="shared" si="32"/>
        <v/>
      </c>
      <c r="BA111" s="48" t="str">
        <f>IF($AZ111="","",RANK.EQ($AZ111,$AZ$8:$AZ$414,0)+COUNTIF($AZ$8:$AZ111,$AZ111)-1)</f>
        <v/>
      </c>
    </row>
    <row r="112" spans="1:53" ht="69.95" customHeight="1">
      <c r="A112" s="36" t="str">
        <f>IF($AZ112="","",RANK.EQ($AZ112,$AZ$8:$AZ$414,0)+COUNTIF($AZ$8:$AZ112,$AZ112)-1)</f>
        <v/>
      </c>
      <c r="B112" s="36" t="str">
        <f t="shared" si="19"/>
        <v/>
      </c>
      <c r="C112" s="36" t="s">
        <v>66</v>
      </c>
      <c r="D112" s="36" t="s">
        <v>1158</v>
      </c>
      <c r="E112" s="36" t="s">
        <v>2918</v>
      </c>
      <c r="F112" s="36" t="s">
        <v>187</v>
      </c>
      <c r="G112" s="36" t="str">
        <f>IF($H112="","",IFERROR(INDEX('Risk Library'!$H$5:$M$411,MATCH($E112,'Risk Library'!$A$5:$A$411,0),$H112+1),""))</f>
        <v/>
      </c>
      <c r="H112" s="37" t="str">
        <f>IF(OR(COUNTA('Finance Procurement'!$H$22)=0,'Finance Procurement'!$H$22="N/A"),"",VALUE('Finance Procurement'!$H$22))</f>
        <v/>
      </c>
      <c r="I112" s="36" t="str">
        <f>IF($H112="","",IFERROR(IF('Finance Procurement'!$L$22="",IF($H112&lt;=1,"Critical",IF($H112=2,"High",IF($H112=3,"Medium",IF($H112=4,"Low","Resilient")))),'Finance Procurement'!$L$22),IF($H112&lt;=1,"Critical",IF($H112=2,"High",IF($H112=3,"Medium",IF($H112=4,"Low","Resilient"))))))</f>
        <v/>
      </c>
      <c r="J112" s="37" t="str">
        <f t="shared" si="20"/>
        <v/>
      </c>
      <c r="K112" s="37" t="str">
        <f t="shared" si="21"/>
        <v/>
      </c>
      <c r="L112" s="37" t="str">
        <f t="shared" si="22"/>
        <v/>
      </c>
      <c r="M112" s="37" t="str">
        <f t="shared" si="23"/>
        <v/>
      </c>
      <c r="N112" s="37" t="str">
        <f>IF($H112="","",IFERROR(INDEX('Risk Library'!$T$5:$Y$411,MATCH($E112,'Risk Library'!$A$5:$A$411,0),$H112+1),""))</f>
        <v/>
      </c>
      <c r="O112" s="37" t="str">
        <f t="shared" si="24"/>
        <v/>
      </c>
      <c r="P112" s="37" t="str">
        <f t="shared" si="25"/>
        <v/>
      </c>
      <c r="Q112" s="37" t="str">
        <f t="shared" si="26"/>
        <v/>
      </c>
      <c r="R112" s="37" t="str">
        <f t="shared" si="27"/>
        <v/>
      </c>
      <c r="S112" s="38" t="str">
        <f t="shared" si="28"/>
        <v/>
      </c>
      <c r="T112" s="36" t="str">
        <f>IF($H112="","",IFERROR(INDEX('Risk Library'!$N$5:$S$411,MATCH($E112,'Risk Library'!$A$5:$A$411,0),$H112+1),""))</f>
        <v/>
      </c>
      <c r="U112" s="37">
        <f>IFERROR('Finance Procurement'!$G$22,"")</f>
        <v>3</v>
      </c>
      <c r="V112" s="37">
        <f>IFERROR('Finance Procurement'!$W$22,"")</f>
        <v>4</v>
      </c>
      <c r="W112" s="37">
        <f>IFERROR('Finance Procurement'!$X$22,"")</f>
        <v>5</v>
      </c>
      <c r="X112" s="37">
        <f>IFERROR('Finance Procurement'!$Y$22,"")</f>
        <v>5</v>
      </c>
      <c r="Y112" s="36" t="s">
        <v>2755</v>
      </c>
      <c r="Z112" s="36" t="s">
        <v>2756</v>
      </c>
      <c r="AA112" s="36" t="s">
        <v>2920</v>
      </c>
      <c r="AB112" s="36">
        <f>IFERROR('Finance Procurement'!$U$22,"")</f>
        <v>0</v>
      </c>
      <c r="AC112" s="36"/>
      <c r="AD112" s="36"/>
      <c r="AE112" s="36"/>
      <c r="AF112" s="36" t="s">
        <v>2919</v>
      </c>
      <c r="AO112" s="48" t="str">
        <f>IF($B112="Yes",IFERROR(SUMIFS(_TECH_Crisis_Model!$D$5:$D$191,_TECH_Crisis_Model!$A$5:$A$191,'Crisis Simulator'!$B$4,_TECH_Crisis_Model!$B$5:$B$191,$C112),1),"")</f>
        <v/>
      </c>
      <c r="AP112" s="48" t="str">
        <f t="shared" si="29"/>
        <v/>
      </c>
      <c r="AQ112" s="48" t="str">
        <f t="shared" si="30"/>
        <v/>
      </c>
      <c r="AR112" s="48" t="str">
        <f>IFERROR(INDEX(_TECH_Crisis_Model!$E$5:$E$191,MATCH('Crisis Simulator'!$B$4&amp;"|"&amp;$C112,_TECH_Crisis_Model!$I$5:$I$191,0)),"")</f>
        <v>Cash control, supplier payments and procurement discipline determine financial survival and response options.</v>
      </c>
      <c r="AS112" s="48" t="str">
        <f>IFERROR(INDEX(_TECH_Crisis_Model!$G$5:$G$191,MATCH('Crisis Simulator'!$B$4&amp;"|"&amp;$C112,_TECH_Crisis_Model!$I$5:$I$191,0)),"")</f>
        <v>Build cash stress testing, payment prioritization, supplier risk review and procurement controls.</v>
      </c>
      <c r="AT112" s="48" t="str">
        <f>IFERROR(INDEX(_TECH_Initiative_Library!$A$5:$A$76,MATCH(1,INDEX((_TECH_Initiative_Library!$B$5:$B$76=$C112)*(_TECH_Initiative_Library!$C$5:$C$76=$D112),0),0)),"")</f>
        <v>INI-017</v>
      </c>
      <c r="AU112" s="48" t="str">
        <f>IFERROR(INDEX(_TECH_Initiative_Library!$F$5:$F$76,MATCH(1,INDEX((_TECH_Initiative_Library!$B$5:$B$76=$C112)*(_TECH_Initiative_Library!$C$5:$C$76=$D112),0),0)),"")</f>
        <v>Build resilient procurement governance and supplier risk controls</v>
      </c>
      <c r="AV112" s="48" t="str">
        <f ca="1">IFERROR(INDEX(_TECH_Initiative_Library!$AC$5:$AC$76,MATCH(1,INDEX((_TECH_Initiative_Library!$B$5:$B$76=$C112)*(_TECH_Initiative_Library!$C$5:$C$76=$D112),0),0)),"")</f>
        <v/>
      </c>
      <c r="AW112" s="48" t="str">
        <f ca="1">IFERROR(INDEX(_TECH_Initiative_Library!$AE$5:$AE$76,MATCH(1,INDEX((_TECH_Initiative_Library!$B$5:$B$76=$C112)*(_TECH_Initiative_Library!$C$5:$C$76=$D112),0),0)),"")</f>
        <v/>
      </c>
      <c r="AX112" s="48" t="str">
        <f>IF($B112="Yes",IFERROR(SUMIFS(_TECH_Industry_Templates!$E:$E,_TECH_Industry_Templates!$A:$A,'Company Profile'!$B$9,_TECH_Industry_Templates!$B:$B,$C112),1),"")</f>
        <v/>
      </c>
      <c r="AY112" s="48" t="str">
        <f t="shared" si="31"/>
        <v/>
      </c>
      <c r="AZ112" s="48" t="str">
        <f t="shared" si="32"/>
        <v/>
      </c>
      <c r="BA112" s="48" t="str">
        <f>IF($AZ112="","",RANK.EQ($AZ112,$AZ$8:$AZ$414,0)+COUNTIF($AZ$8:$AZ112,$AZ112)-1)</f>
        <v/>
      </c>
    </row>
    <row r="113" spans="1:53" ht="69.95" customHeight="1">
      <c r="A113" s="36" t="str">
        <f>IF($AZ113="","",RANK.EQ($AZ113,$AZ$8:$AZ$414,0)+COUNTIF($AZ$8:$AZ113,$AZ113)-1)</f>
        <v/>
      </c>
      <c r="B113" s="36" t="str">
        <f t="shared" si="19"/>
        <v/>
      </c>
      <c r="C113" s="36" t="s">
        <v>66</v>
      </c>
      <c r="D113" s="36" t="s">
        <v>1158</v>
      </c>
      <c r="E113" s="36" t="s">
        <v>2928</v>
      </c>
      <c r="F113" s="36" t="s">
        <v>187</v>
      </c>
      <c r="G113" s="36" t="str">
        <f>IF($H113="","",IFERROR(INDEX('Risk Library'!$H$5:$M$411,MATCH($E113,'Risk Library'!$A$5:$A$411,0),$H113+1),""))</f>
        <v/>
      </c>
      <c r="H113" s="37" t="str">
        <f>IF(OR(COUNTA('Finance Procurement'!$H$23)=0,'Finance Procurement'!$H$23="N/A"),"",VALUE('Finance Procurement'!$H$23))</f>
        <v/>
      </c>
      <c r="I113" s="36" t="str">
        <f>IF($H113="","",IFERROR(IF('Finance Procurement'!$L$23="",IF($H113&lt;=1,"Critical",IF($H113=2,"High",IF($H113=3,"Medium",IF($H113=4,"Low","Resilient")))),'Finance Procurement'!$L$23),IF($H113&lt;=1,"Critical",IF($H113=2,"High",IF($H113=3,"Medium",IF($H113=4,"Low","Resilient"))))))</f>
        <v/>
      </c>
      <c r="J113" s="37" t="str">
        <f t="shared" si="20"/>
        <v/>
      </c>
      <c r="K113" s="37" t="str">
        <f t="shared" si="21"/>
        <v/>
      </c>
      <c r="L113" s="37" t="str">
        <f t="shared" si="22"/>
        <v/>
      </c>
      <c r="M113" s="37" t="str">
        <f t="shared" si="23"/>
        <v/>
      </c>
      <c r="N113" s="37" t="str">
        <f>IF($H113="","",IFERROR(INDEX('Risk Library'!$T$5:$Y$411,MATCH($E113,'Risk Library'!$A$5:$A$411,0),$H113+1),""))</f>
        <v/>
      </c>
      <c r="O113" s="37" t="str">
        <f t="shared" si="24"/>
        <v/>
      </c>
      <c r="P113" s="37" t="str">
        <f t="shared" si="25"/>
        <v/>
      </c>
      <c r="Q113" s="37" t="str">
        <f t="shared" si="26"/>
        <v/>
      </c>
      <c r="R113" s="37" t="str">
        <f t="shared" si="27"/>
        <v/>
      </c>
      <c r="S113" s="38" t="str">
        <f t="shared" si="28"/>
        <v/>
      </c>
      <c r="T113" s="36" t="str">
        <f>IF($H113="","",IFERROR(INDEX('Risk Library'!$N$5:$S$411,MATCH($E113,'Risk Library'!$A$5:$A$411,0),$H113+1),""))</f>
        <v/>
      </c>
      <c r="U113" s="37">
        <f>IFERROR('Finance Procurement'!$G$23,"")</f>
        <v>5</v>
      </c>
      <c r="V113" s="37">
        <f>IFERROR('Finance Procurement'!$W$23,"")</f>
        <v>4</v>
      </c>
      <c r="W113" s="37">
        <f>IFERROR('Finance Procurement'!$X$23,"")</f>
        <v>5</v>
      </c>
      <c r="X113" s="37">
        <f>IFERROR('Finance Procurement'!$Y$23,"")</f>
        <v>5</v>
      </c>
      <c r="Y113" s="36" t="s">
        <v>2755</v>
      </c>
      <c r="Z113" s="36" t="s">
        <v>2756</v>
      </c>
      <c r="AA113" s="36" t="s">
        <v>2930</v>
      </c>
      <c r="AB113" s="36">
        <f>IFERROR('Finance Procurement'!$U$23,"")</f>
        <v>0</v>
      </c>
      <c r="AC113" s="36"/>
      <c r="AD113" s="36"/>
      <c r="AE113" s="36"/>
      <c r="AF113" s="36" t="s">
        <v>2929</v>
      </c>
      <c r="AO113" s="48" t="str">
        <f>IF($B113="Yes",IFERROR(SUMIFS(_TECH_Crisis_Model!$D$5:$D$191,_TECH_Crisis_Model!$A$5:$A$191,'Crisis Simulator'!$B$4,_TECH_Crisis_Model!$B$5:$B$191,$C113),1),"")</f>
        <v/>
      </c>
      <c r="AP113" s="48" t="str">
        <f t="shared" si="29"/>
        <v/>
      </c>
      <c r="AQ113" s="48" t="str">
        <f t="shared" si="30"/>
        <v/>
      </c>
      <c r="AR113" s="48" t="str">
        <f>IFERROR(INDEX(_TECH_Crisis_Model!$E$5:$E$191,MATCH('Crisis Simulator'!$B$4&amp;"|"&amp;$C113,_TECH_Crisis_Model!$I$5:$I$191,0)),"")</f>
        <v>Cash control, supplier payments and procurement discipline determine financial survival and response options.</v>
      </c>
      <c r="AS113" s="48" t="str">
        <f>IFERROR(INDEX(_TECH_Crisis_Model!$G$5:$G$191,MATCH('Crisis Simulator'!$B$4&amp;"|"&amp;$C113,_TECH_Crisis_Model!$I$5:$I$191,0)),"")</f>
        <v>Build cash stress testing, payment prioritization, supplier risk review and procurement controls.</v>
      </c>
      <c r="AT113" s="48" t="str">
        <f>IFERROR(INDEX(_TECH_Initiative_Library!$A$5:$A$76,MATCH(1,INDEX((_TECH_Initiative_Library!$B$5:$B$76=$C113)*(_TECH_Initiative_Library!$C$5:$C$76=$D113),0),0)),"")</f>
        <v>INI-017</v>
      </c>
      <c r="AU113" s="48" t="str">
        <f>IFERROR(INDEX(_TECH_Initiative_Library!$F$5:$F$76,MATCH(1,INDEX((_TECH_Initiative_Library!$B$5:$B$76=$C113)*(_TECH_Initiative_Library!$C$5:$C$76=$D113),0),0)),"")</f>
        <v>Build resilient procurement governance and supplier risk controls</v>
      </c>
      <c r="AV113" s="48" t="str">
        <f ca="1">IFERROR(INDEX(_TECH_Initiative_Library!$AC$5:$AC$76,MATCH(1,INDEX((_TECH_Initiative_Library!$B$5:$B$76=$C113)*(_TECH_Initiative_Library!$C$5:$C$76=$D113),0),0)),"")</f>
        <v/>
      </c>
      <c r="AW113" s="48" t="str">
        <f ca="1">IFERROR(INDEX(_TECH_Initiative_Library!$AE$5:$AE$76,MATCH(1,INDEX((_TECH_Initiative_Library!$B$5:$B$76=$C113)*(_TECH_Initiative_Library!$C$5:$C$76=$D113),0),0)),"")</f>
        <v/>
      </c>
      <c r="AX113" s="48" t="str">
        <f>IF($B113="Yes",IFERROR(SUMIFS(_TECH_Industry_Templates!$E:$E,_TECH_Industry_Templates!$A:$A,'Company Profile'!$B$9,_TECH_Industry_Templates!$B:$B,$C113),1),"")</f>
        <v/>
      </c>
      <c r="AY113" s="48" t="str">
        <f t="shared" si="31"/>
        <v/>
      </c>
      <c r="AZ113" s="48" t="str">
        <f t="shared" si="32"/>
        <v/>
      </c>
      <c r="BA113" s="48" t="str">
        <f>IF($AZ113="","",RANK.EQ($AZ113,$AZ$8:$AZ$414,0)+COUNTIF($AZ$8:$AZ113,$AZ113)-1)</f>
        <v/>
      </c>
    </row>
    <row r="114" spans="1:53" ht="69.95" customHeight="1">
      <c r="A114" s="36" t="str">
        <f>IF($AZ114="","",RANK.EQ($AZ114,$AZ$8:$AZ$414,0)+COUNTIF($AZ$8:$AZ114,$AZ114)-1)</f>
        <v/>
      </c>
      <c r="B114" s="36" t="str">
        <f t="shared" si="19"/>
        <v/>
      </c>
      <c r="C114" s="36" t="s">
        <v>66</v>
      </c>
      <c r="D114" s="36" t="s">
        <v>1169</v>
      </c>
      <c r="E114" s="36" t="s">
        <v>2938</v>
      </c>
      <c r="F114" s="36" t="s">
        <v>187</v>
      </c>
      <c r="G114" s="36" t="str">
        <f>IF($H114="","",IFERROR(INDEX('Risk Library'!$H$5:$M$411,MATCH($E114,'Risk Library'!$A$5:$A$411,0),$H114+1),""))</f>
        <v/>
      </c>
      <c r="H114" s="37" t="str">
        <f>IF(OR(COUNTA('Finance Procurement'!$H$24)=0,'Finance Procurement'!$H$24="N/A"),"",VALUE('Finance Procurement'!$H$24))</f>
        <v/>
      </c>
      <c r="I114" s="36" t="str">
        <f>IF($H114="","",IFERROR(IF('Finance Procurement'!$L$24="",IF($H114&lt;=1,"Critical",IF($H114=2,"High",IF($H114=3,"Medium",IF($H114=4,"Low","Resilient")))),'Finance Procurement'!$L$24),IF($H114&lt;=1,"Critical",IF($H114=2,"High",IF($H114=3,"Medium",IF($H114=4,"Low","Resilient"))))))</f>
        <v/>
      </c>
      <c r="J114" s="37" t="str">
        <f t="shared" si="20"/>
        <v/>
      </c>
      <c r="K114" s="37" t="str">
        <f t="shared" si="21"/>
        <v/>
      </c>
      <c r="L114" s="37" t="str">
        <f t="shared" si="22"/>
        <v/>
      </c>
      <c r="M114" s="37" t="str">
        <f t="shared" si="23"/>
        <v/>
      </c>
      <c r="N114" s="37" t="str">
        <f>IF($H114="","",IFERROR(INDEX('Risk Library'!$T$5:$Y$411,MATCH($E114,'Risk Library'!$A$5:$A$411,0),$H114+1),""))</f>
        <v/>
      </c>
      <c r="O114" s="37" t="str">
        <f t="shared" si="24"/>
        <v/>
      </c>
      <c r="P114" s="37" t="str">
        <f t="shared" si="25"/>
        <v/>
      </c>
      <c r="Q114" s="37" t="str">
        <f t="shared" si="26"/>
        <v/>
      </c>
      <c r="R114" s="37" t="str">
        <f t="shared" si="27"/>
        <v/>
      </c>
      <c r="S114" s="38" t="str">
        <f t="shared" si="28"/>
        <v/>
      </c>
      <c r="T114" s="36" t="str">
        <f>IF($H114="","",IFERROR(INDEX('Risk Library'!$N$5:$S$411,MATCH($E114,'Risk Library'!$A$5:$A$411,0),$H114+1),""))</f>
        <v/>
      </c>
      <c r="U114" s="37">
        <f>IFERROR('Finance Procurement'!$G$24,"")</f>
        <v>4</v>
      </c>
      <c r="V114" s="37">
        <f>IFERROR('Finance Procurement'!$W$24,"")</f>
        <v>4</v>
      </c>
      <c r="W114" s="37">
        <f>IFERROR('Finance Procurement'!$X$24,"")</f>
        <v>5</v>
      </c>
      <c r="X114" s="37">
        <f>IFERROR('Finance Procurement'!$Y$24,"")</f>
        <v>5</v>
      </c>
      <c r="Y114" s="36" t="s">
        <v>2755</v>
      </c>
      <c r="Z114" s="36" t="s">
        <v>2756</v>
      </c>
      <c r="AA114" s="36" t="s">
        <v>2940</v>
      </c>
      <c r="AB114" s="36">
        <f>IFERROR('Finance Procurement'!$U$24,"")</f>
        <v>0</v>
      </c>
      <c r="AC114" s="36"/>
      <c r="AD114" s="36"/>
      <c r="AE114" s="36"/>
      <c r="AF114" s="36" t="s">
        <v>2939</v>
      </c>
      <c r="AO114" s="48" t="str">
        <f>IF($B114="Yes",IFERROR(SUMIFS(_TECH_Crisis_Model!$D$5:$D$191,_TECH_Crisis_Model!$A$5:$A$191,'Crisis Simulator'!$B$4,_TECH_Crisis_Model!$B$5:$B$191,$C114),1),"")</f>
        <v/>
      </c>
      <c r="AP114" s="48" t="str">
        <f t="shared" si="29"/>
        <v/>
      </c>
      <c r="AQ114" s="48" t="str">
        <f t="shared" si="30"/>
        <v/>
      </c>
      <c r="AR114" s="48" t="str">
        <f>IFERROR(INDEX(_TECH_Crisis_Model!$E$5:$E$191,MATCH('Crisis Simulator'!$B$4&amp;"|"&amp;$C114,_TECH_Crisis_Model!$I$5:$I$191,0)),"")</f>
        <v>Cash control, supplier payments and procurement discipline determine financial survival and response options.</v>
      </c>
      <c r="AS114" s="48" t="str">
        <f>IFERROR(INDEX(_TECH_Crisis_Model!$G$5:$G$191,MATCH('Crisis Simulator'!$B$4&amp;"|"&amp;$C114,_TECH_Crisis_Model!$I$5:$I$191,0)),"")</f>
        <v>Build cash stress testing, payment prioritization, supplier risk review and procurement controls.</v>
      </c>
      <c r="AT114" s="48" t="str">
        <f>IFERROR(INDEX(_TECH_Initiative_Library!$A$5:$A$76,MATCH(1,INDEX((_TECH_Initiative_Library!$B$5:$B$76=$C114)*(_TECH_Initiative_Library!$C$5:$C$76=$D114),0),0)),"")</f>
        <v>INI-018</v>
      </c>
      <c r="AU114" s="48" t="str">
        <f>IFERROR(INDEX(_TECH_Initiative_Library!$F$5:$F$76,MATCH(1,INDEX((_TECH_Initiative_Library!$B$5:$B$76=$C114)*(_TECH_Initiative_Library!$C$5:$C$76=$D114),0),0)),"")</f>
        <v>Optimize working capital and liquidity early-warning controls</v>
      </c>
      <c r="AV114" s="48" t="str">
        <f ca="1">IFERROR(INDEX(_TECH_Initiative_Library!$AC$5:$AC$76,MATCH(1,INDEX((_TECH_Initiative_Library!$B$5:$B$76=$C114)*(_TECH_Initiative_Library!$C$5:$C$76=$D114),0),0)),"")</f>
        <v/>
      </c>
      <c r="AW114" s="48" t="str">
        <f ca="1">IFERROR(INDEX(_TECH_Initiative_Library!$AE$5:$AE$76,MATCH(1,INDEX((_TECH_Initiative_Library!$B$5:$B$76=$C114)*(_TECH_Initiative_Library!$C$5:$C$76=$D114),0),0)),"")</f>
        <v/>
      </c>
      <c r="AX114" s="48" t="str">
        <f>IF($B114="Yes",IFERROR(SUMIFS(_TECH_Industry_Templates!$E:$E,_TECH_Industry_Templates!$A:$A,'Company Profile'!$B$9,_TECH_Industry_Templates!$B:$B,$C114),1),"")</f>
        <v/>
      </c>
      <c r="AY114" s="48" t="str">
        <f t="shared" si="31"/>
        <v/>
      </c>
      <c r="AZ114" s="48" t="str">
        <f t="shared" si="32"/>
        <v/>
      </c>
      <c r="BA114" s="48" t="str">
        <f>IF($AZ114="","",RANK.EQ($AZ114,$AZ$8:$AZ$414,0)+COUNTIF($AZ$8:$AZ114,$AZ114)-1)</f>
        <v/>
      </c>
    </row>
    <row r="115" spans="1:53" ht="69.95" customHeight="1">
      <c r="A115" s="36" t="str">
        <f>IF($AZ115="","",RANK.EQ($AZ115,$AZ$8:$AZ$414,0)+COUNTIF($AZ$8:$AZ115,$AZ115)-1)</f>
        <v/>
      </c>
      <c r="B115" s="36" t="str">
        <f t="shared" si="19"/>
        <v/>
      </c>
      <c r="C115" s="36" t="s">
        <v>66</v>
      </c>
      <c r="D115" s="36" t="s">
        <v>1169</v>
      </c>
      <c r="E115" s="36" t="s">
        <v>2948</v>
      </c>
      <c r="F115" s="36" t="s">
        <v>187</v>
      </c>
      <c r="G115" s="36" t="str">
        <f>IF($H115="","",IFERROR(INDEX('Risk Library'!$H$5:$M$411,MATCH($E115,'Risk Library'!$A$5:$A$411,0),$H115+1),""))</f>
        <v/>
      </c>
      <c r="H115" s="37" t="str">
        <f>IF(OR(COUNTA('Finance Procurement'!$H$25)=0,'Finance Procurement'!$H$25="N/A"),"",VALUE('Finance Procurement'!$H$25))</f>
        <v/>
      </c>
      <c r="I115" s="36" t="str">
        <f>IF($H115="","",IFERROR(IF('Finance Procurement'!$L$25="",IF($H115&lt;=1,"Critical",IF($H115=2,"High",IF($H115=3,"Medium",IF($H115=4,"Low","Resilient")))),'Finance Procurement'!$L$25),IF($H115&lt;=1,"Critical",IF($H115=2,"High",IF($H115=3,"Medium",IF($H115=4,"Low","Resilient"))))))</f>
        <v/>
      </c>
      <c r="J115" s="37" t="str">
        <f t="shared" si="20"/>
        <v/>
      </c>
      <c r="K115" s="37" t="str">
        <f t="shared" si="21"/>
        <v/>
      </c>
      <c r="L115" s="37" t="str">
        <f t="shared" si="22"/>
        <v/>
      </c>
      <c r="M115" s="37" t="str">
        <f t="shared" si="23"/>
        <v/>
      </c>
      <c r="N115" s="37" t="str">
        <f>IF($H115="","",IFERROR(INDEX('Risk Library'!$T$5:$Y$411,MATCH($E115,'Risk Library'!$A$5:$A$411,0),$H115+1),""))</f>
        <v/>
      </c>
      <c r="O115" s="37" t="str">
        <f t="shared" si="24"/>
        <v/>
      </c>
      <c r="P115" s="37" t="str">
        <f t="shared" si="25"/>
        <v/>
      </c>
      <c r="Q115" s="37" t="str">
        <f t="shared" si="26"/>
        <v/>
      </c>
      <c r="R115" s="37" t="str">
        <f t="shared" si="27"/>
        <v/>
      </c>
      <c r="S115" s="38" t="str">
        <f t="shared" si="28"/>
        <v/>
      </c>
      <c r="T115" s="36" t="str">
        <f>IF($H115="","",IFERROR(INDEX('Risk Library'!$N$5:$S$411,MATCH($E115,'Risk Library'!$A$5:$A$411,0),$H115+1),""))</f>
        <v/>
      </c>
      <c r="U115" s="37">
        <f>IFERROR('Finance Procurement'!$G$25,"")</f>
        <v>5</v>
      </c>
      <c r="V115" s="37">
        <f>IFERROR('Finance Procurement'!$W$25,"")</f>
        <v>4</v>
      </c>
      <c r="W115" s="37">
        <f>IFERROR('Finance Procurement'!$X$25,"")</f>
        <v>5</v>
      </c>
      <c r="X115" s="37">
        <f>IFERROR('Finance Procurement'!$Y$25,"")</f>
        <v>5</v>
      </c>
      <c r="Y115" s="36" t="s">
        <v>2755</v>
      </c>
      <c r="Z115" s="36" t="s">
        <v>2756</v>
      </c>
      <c r="AA115" s="36" t="s">
        <v>2950</v>
      </c>
      <c r="AB115" s="36">
        <f>IFERROR('Finance Procurement'!$U$25,"")</f>
        <v>0</v>
      </c>
      <c r="AC115" s="36"/>
      <c r="AD115" s="36"/>
      <c r="AE115" s="36"/>
      <c r="AF115" s="36" t="s">
        <v>2949</v>
      </c>
      <c r="AO115" s="48" t="str">
        <f>IF($B115="Yes",IFERROR(SUMIFS(_TECH_Crisis_Model!$D$5:$D$191,_TECH_Crisis_Model!$A$5:$A$191,'Crisis Simulator'!$B$4,_TECH_Crisis_Model!$B$5:$B$191,$C115),1),"")</f>
        <v/>
      </c>
      <c r="AP115" s="48" t="str">
        <f t="shared" si="29"/>
        <v/>
      </c>
      <c r="AQ115" s="48" t="str">
        <f t="shared" si="30"/>
        <v/>
      </c>
      <c r="AR115" s="48" t="str">
        <f>IFERROR(INDEX(_TECH_Crisis_Model!$E$5:$E$191,MATCH('Crisis Simulator'!$B$4&amp;"|"&amp;$C115,_TECH_Crisis_Model!$I$5:$I$191,0)),"")</f>
        <v>Cash control, supplier payments and procurement discipline determine financial survival and response options.</v>
      </c>
      <c r="AS115" s="48" t="str">
        <f>IFERROR(INDEX(_TECH_Crisis_Model!$G$5:$G$191,MATCH('Crisis Simulator'!$B$4&amp;"|"&amp;$C115,_TECH_Crisis_Model!$I$5:$I$191,0)),"")</f>
        <v>Build cash stress testing, payment prioritization, supplier risk review and procurement controls.</v>
      </c>
      <c r="AT115" s="48" t="str">
        <f>IFERROR(INDEX(_TECH_Initiative_Library!$A$5:$A$76,MATCH(1,INDEX((_TECH_Initiative_Library!$B$5:$B$76=$C115)*(_TECH_Initiative_Library!$C$5:$C$76=$D115),0),0)),"")</f>
        <v>INI-018</v>
      </c>
      <c r="AU115" s="48" t="str">
        <f>IFERROR(INDEX(_TECH_Initiative_Library!$F$5:$F$76,MATCH(1,INDEX((_TECH_Initiative_Library!$B$5:$B$76=$C115)*(_TECH_Initiative_Library!$C$5:$C$76=$D115),0),0)),"")</f>
        <v>Optimize working capital and liquidity early-warning controls</v>
      </c>
      <c r="AV115" s="48" t="str">
        <f ca="1">IFERROR(INDEX(_TECH_Initiative_Library!$AC$5:$AC$76,MATCH(1,INDEX((_TECH_Initiative_Library!$B$5:$B$76=$C115)*(_TECH_Initiative_Library!$C$5:$C$76=$D115),0),0)),"")</f>
        <v/>
      </c>
      <c r="AW115" s="48" t="str">
        <f ca="1">IFERROR(INDEX(_TECH_Initiative_Library!$AE$5:$AE$76,MATCH(1,INDEX((_TECH_Initiative_Library!$B$5:$B$76=$C115)*(_TECH_Initiative_Library!$C$5:$C$76=$D115),0),0)),"")</f>
        <v/>
      </c>
      <c r="AX115" s="48" t="str">
        <f>IF($B115="Yes",IFERROR(SUMIFS(_TECH_Industry_Templates!$E:$E,_TECH_Industry_Templates!$A:$A,'Company Profile'!$B$9,_TECH_Industry_Templates!$B:$B,$C115),1),"")</f>
        <v/>
      </c>
      <c r="AY115" s="48" t="str">
        <f t="shared" si="31"/>
        <v/>
      </c>
      <c r="AZ115" s="48" t="str">
        <f t="shared" si="32"/>
        <v/>
      </c>
      <c r="BA115" s="48" t="str">
        <f>IF($AZ115="","",RANK.EQ($AZ115,$AZ$8:$AZ$414,0)+COUNTIF($AZ$8:$AZ115,$AZ115)-1)</f>
        <v/>
      </c>
    </row>
    <row r="116" spans="1:53" ht="69.95" customHeight="1">
      <c r="A116" s="36" t="str">
        <f>IF($AZ116="","",RANK.EQ($AZ116,$AZ$8:$AZ$414,0)+COUNTIF($AZ$8:$AZ116,$AZ116)-1)</f>
        <v/>
      </c>
      <c r="B116" s="36" t="str">
        <f t="shared" si="19"/>
        <v/>
      </c>
      <c r="C116" s="36" t="s">
        <v>66</v>
      </c>
      <c r="D116" s="36" t="s">
        <v>1169</v>
      </c>
      <c r="E116" s="36" t="s">
        <v>2958</v>
      </c>
      <c r="F116" s="36" t="s">
        <v>187</v>
      </c>
      <c r="G116" s="36" t="str">
        <f>IF($H116="","",IFERROR(INDEX('Risk Library'!$H$5:$M$411,MATCH($E116,'Risk Library'!$A$5:$A$411,0),$H116+1),""))</f>
        <v/>
      </c>
      <c r="H116" s="37" t="str">
        <f>IF(OR(COUNTA('Finance Procurement'!$H$26)=0,'Finance Procurement'!$H$26="N/A"),"",VALUE('Finance Procurement'!$H$26))</f>
        <v/>
      </c>
      <c r="I116" s="36" t="str">
        <f>IF($H116="","",IFERROR(IF('Finance Procurement'!$L$26="",IF($H116&lt;=1,"Critical",IF($H116=2,"High",IF($H116=3,"Medium",IF($H116=4,"Low","Resilient")))),'Finance Procurement'!$L$26),IF($H116&lt;=1,"Critical",IF($H116=2,"High",IF($H116=3,"Medium",IF($H116=4,"Low","Resilient"))))))</f>
        <v/>
      </c>
      <c r="J116" s="37" t="str">
        <f t="shared" si="20"/>
        <v/>
      </c>
      <c r="K116" s="37" t="str">
        <f t="shared" si="21"/>
        <v/>
      </c>
      <c r="L116" s="37" t="str">
        <f t="shared" si="22"/>
        <v/>
      </c>
      <c r="M116" s="37" t="str">
        <f t="shared" si="23"/>
        <v/>
      </c>
      <c r="N116" s="37" t="str">
        <f>IF($H116="","",IFERROR(INDEX('Risk Library'!$T$5:$Y$411,MATCH($E116,'Risk Library'!$A$5:$A$411,0),$H116+1),""))</f>
        <v/>
      </c>
      <c r="O116" s="37" t="str">
        <f t="shared" si="24"/>
        <v/>
      </c>
      <c r="P116" s="37" t="str">
        <f t="shared" si="25"/>
        <v/>
      </c>
      <c r="Q116" s="37" t="str">
        <f t="shared" si="26"/>
        <v/>
      </c>
      <c r="R116" s="37" t="str">
        <f t="shared" si="27"/>
        <v/>
      </c>
      <c r="S116" s="38" t="str">
        <f t="shared" si="28"/>
        <v/>
      </c>
      <c r="T116" s="36" t="str">
        <f>IF($H116="","",IFERROR(INDEX('Risk Library'!$N$5:$S$411,MATCH($E116,'Risk Library'!$A$5:$A$411,0),$H116+1),""))</f>
        <v/>
      </c>
      <c r="U116" s="37">
        <f>IFERROR('Finance Procurement'!$G$26,"")</f>
        <v>5</v>
      </c>
      <c r="V116" s="37">
        <f>IFERROR('Finance Procurement'!$W$26,"")</f>
        <v>5</v>
      </c>
      <c r="W116" s="37">
        <f>IFERROR('Finance Procurement'!$X$26,"")</f>
        <v>5</v>
      </c>
      <c r="X116" s="37">
        <f>IFERROR('Finance Procurement'!$Y$26,"")</f>
        <v>5</v>
      </c>
      <c r="Y116" s="36" t="s">
        <v>2755</v>
      </c>
      <c r="Z116" s="36" t="s">
        <v>2756</v>
      </c>
      <c r="AA116" s="36" t="s">
        <v>2960</v>
      </c>
      <c r="AB116" s="36">
        <f>IFERROR('Finance Procurement'!$U$26,"")</f>
        <v>0</v>
      </c>
      <c r="AC116" s="36"/>
      <c r="AD116" s="36"/>
      <c r="AE116" s="36"/>
      <c r="AF116" s="36" t="s">
        <v>2959</v>
      </c>
      <c r="AO116" s="48" t="str">
        <f>IF($B116="Yes",IFERROR(SUMIFS(_TECH_Crisis_Model!$D$5:$D$191,_TECH_Crisis_Model!$A$5:$A$191,'Crisis Simulator'!$B$4,_TECH_Crisis_Model!$B$5:$B$191,$C116),1),"")</f>
        <v/>
      </c>
      <c r="AP116" s="48" t="str">
        <f t="shared" si="29"/>
        <v/>
      </c>
      <c r="AQ116" s="48" t="str">
        <f t="shared" si="30"/>
        <v/>
      </c>
      <c r="AR116" s="48" t="str">
        <f>IFERROR(INDEX(_TECH_Crisis_Model!$E$5:$E$191,MATCH('Crisis Simulator'!$B$4&amp;"|"&amp;$C116,_TECH_Crisis_Model!$I$5:$I$191,0)),"")</f>
        <v>Cash control, supplier payments and procurement discipline determine financial survival and response options.</v>
      </c>
      <c r="AS116" s="48" t="str">
        <f>IFERROR(INDEX(_TECH_Crisis_Model!$G$5:$G$191,MATCH('Crisis Simulator'!$B$4&amp;"|"&amp;$C116,_TECH_Crisis_Model!$I$5:$I$191,0)),"")</f>
        <v>Build cash stress testing, payment prioritization, supplier risk review and procurement controls.</v>
      </c>
      <c r="AT116" s="48" t="str">
        <f>IFERROR(INDEX(_TECH_Initiative_Library!$A$5:$A$76,MATCH(1,INDEX((_TECH_Initiative_Library!$B$5:$B$76=$C116)*(_TECH_Initiative_Library!$C$5:$C$76=$D116),0),0)),"")</f>
        <v>INI-018</v>
      </c>
      <c r="AU116" s="48" t="str">
        <f>IFERROR(INDEX(_TECH_Initiative_Library!$F$5:$F$76,MATCH(1,INDEX((_TECH_Initiative_Library!$B$5:$B$76=$C116)*(_TECH_Initiative_Library!$C$5:$C$76=$D116),0),0)),"")</f>
        <v>Optimize working capital and liquidity early-warning controls</v>
      </c>
      <c r="AV116" s="48" t="str">
        <f ca="1">IFERROR(INDEX(_TECH_Initiative_Library!$AC$5:$AC$76,MATCH(1,INDEX((_TECH_Initiative_Library!$B$5:$B$76=$C116)*(_TECH_Initiative_Library!$C$5:$C$76=$D116),0),0)),"")</f>
        <v/>
      </c>
      <c r="AW116" s="48" t="str">
        <f ca="1">IFERROR(INDEX(_TECH_Initiative_Library!$AE$5:$AE$76,MATCH(1,INDEX((_TECH_Initiative_Library!$B$5:$B$76=$C116)*(_TECH_Initiative_Library!$C$5:$C$76=$D116),0),0)),"")</f>
        <v/>
      </c>
      <c r="AX116" s="48" t="str">
        <f>IF($B116="Yes",IFERROR(SUMIFS(_TECH_Industry_Templates!$E:$E,_TECH_Industry_Templates!$A:$A,'Company Profile'!$B$9,_TECH_Industry_Templates!$B:$B,$C116),1),"")</f>
        <v/>
      </c>
      <c r="AY116" s="48" t="str">
        <f t="shared" si="31"/>
        <v/>
      </c>
      <c r="AZ116" s="48" t="str">
        <f t="shared" si="32"/>
        <v/>
      </c>
      <c r="BA116" s="48" t="str">
        <f>IF($AZ116="","",RANK.EQ($AZ116,$AZ$8:$AZ$414,0)+COUNTIF($AZ$8:$AZ116,$AZ116)-1)</f>
        <v/>
      </c>
    </row>
    <row r="117" spans="1:53" ht="69.95" customHeight="1">
      <c r="A117" s="36" t="str">
        <f>IF($AZ117="","",RANK.EQ($AZ117,$AZ$8:$AZ$414,0)+COUNTIF($AZ$8:$AZ117,$AZ117)-1)</f>
        <v/>
      </c>
      <c r="B117" s="36" t="str">
        <f t="shared" si="19"/>
        <v/>
      </c>
      <c r="C117" s="36" t="s">
        <v>66</v>
      </c>
      <c r="D117" s="36" t="s">
        <v>1169</v>
      </c>
      <c r="E117" s="36" t="s">
        <v>2968</v>
      </c>
      <c r="F117" s="36" t="s">
        <v>187</v>
      </c>
      <c r="G117" s="36" t="str">
        <f>IF($H117="","",IFERROR(INDEX('Risk Library'!$H$5:$M$411,MATCH($E117,'Risk Library'!$A$5:$A$411,0),$H117+1),""))</f>
        <v/>
      </c>
      <c r="H117" s="37" t="str">
        <f>IF(OR(COUNTA('Finance Procurement'!$H$27)=0,'Finance Procurement'!$H$27="N/A"),"",VALUE('Finance Procurement'!$H$27))</f>
        <v/>
      </c>
      <c r="I117" s="36" t="str">
        <f>IF($H117="","",IFERROR(IF('Finance Procurement'!$L$27="",IF($H117&lt;=1,"Critical",IF($H117=2,"High",IF($H117=3,"Medium",IF($H117=4,"Low","Resilient")))),'Finance Procurement'!$L$27),IF($H117&lt;=1,"Critical",IF($H117=2,"High",IF($H117=3,"Medium",IF($H117=4,"Low","Resilient"))))))</f>
        <v/>
      </c>
      <c r="J117" s="37" t="str">
        <f t="shared" si="20"/>
        <v/>
      </c>
      <c r="K117" s="37" t="str">
        <f t="shared" si="21"/>
        <v/>
      </c>
      <c r="L117" s="37" t="str">
        <f t="shared" si="22"/>
        <v/>
      </c>
      <c r="M117" s="37" t="str">
        <f t="shared" si="23"/>
        <v/>
      </c>
      <c r="N117" s="37" t="str">
        <f>IF($H117="","",IFERROR(INDEX('Risk Library'!$T$5:$Y$411,MATCH($E117,'Risk Library'!$A$5:$A$411,0),$H117+1),""))</f>
        <v/>
      </c>
      <c r="O117" s="37" t="str">
        <f t="shared" si="24"/>
        <v/>
      </c>
      <c r="P117" s="37" t="str">
        <f t="shared" si="25"/>
        <v/>
      </c>
      <c r="Q117" s="37" t="str">
        <f t="shared" si="26"/>
        <v/>
      </c>
      <c r="R117" s="37" t="str">
        <f t="shared" si="27"/>
        <v/>
      </c>
      <c r="S117" s="38" t="str">
        <f t="shared" si="28"/>
        <v/>
      </c>
      <c r="T117" s="36" t="str">
        <f>IF($H117="","",IFERROR(INDEX('Risk Library'!$N$5:$S$411,MATCH($E117,'Risk Library'!$A$5:$A$411,0),$H117+1),""))</f>
        <v/>
      </c>
      <c r="U117" s="37">
        <f>IFERROR('Finance Procurement'!$G$27,"")</f>
        <v>5</v>
      </c>
      <c r="V117" s="37">
        <f>IFERROR('Finance Procurement'!$W$27,"")</f>
        <v>4</v>
      </c>
      <c r="W117" s="37">
        <f>IFERROR('Finance Procurement'!$X$27,"")</f>
        <v>5</v>
      </c>
      <c r="X117" s="37">
        <f>IFERROR('Finance Procurement'!$Y$27,"")</f>
        <v>5</v>
      </c>
      <c r="Y117" s="36" t="s">
        <v>2755</v>
      </c>
      <c r="Z117" s="36" t="s">
        <v>2756</v>
      </c>
      <c r="AA117" s="36" t="s">
        <v>2970</v>
      </c>
      <c r="AB117" s="36">
        <f>IFERROR('Finance Procurement'!$U$27,"")</f>
        <v>0</v>
      </c>
      <c r="AC117" s="36"/>
      <c r="AD117" s="36"/>
      <c r="AE117" s="36"/>
      <c r="AF117" s="36" t="s">
        <v>2969</v>
      </c>
      <c r="AO117" s="48" t="str">
        <f>IF($B117="Yes",IFERROR(SUMIFS(_TECH_Crisis_Model!$D$5:$D$191,_TECH_Crisis_Model!$A$5:$A$191,'Crisis Simulator'!$B$4,_TECH_Crisis_Model!$B$5:$B$191,$C117),1),"")</f>
        <v/>
      </c>
      <c r="AP117" s="48" t="str">
        <f t="shared" si="29"/>
        <v/>
      </c>
      <c r="AQ117" s="48" t="str">
        <f t="shared" si="30"/>
        <v/>
      </c>
      <c r="AR117" s="48" t="str">
        <f>IFERROR(INDEX(_TECH_Crisis_Model!$E$5:$E$191,MATCH('Crisis Simulator'!$B$4&amp;"|"&amp;$C117,_TECH_Crisis_Model!$I$5:$I$191,0)),"")</f>
        <v>Cash control, supplier payments and procurement discipline determine financial survival and response options.</v>
      </c>
      <c r="AS117" s="48" t="str">
        <f>IFERROR(INDEX(_TECH_Crisis_Model!$G$5:$G$191,MATCH('Crisis Simulator'!$B$4&amp;"|"&amp;$C117,_TECH_Crisis_Model!$I$5:$I$191,0)),"")</f>
        <v>Build cash stress testing, payment prioritization, supplier risk review and procurement controls.</v>
      </c>
      <c r="AT117" s="48" t="str">
        <f>IFERROR(INDEX(_TECH_Initiative_Library!$A$5:$A$76,MATCH(1,INDEX((_TECH_Initiative_Library!$B$5:$B$76=$C117)*(_TECH_Initiative_Library!$C$5:$C$76=$D117),0),0)),"")</f>
        <v>INI-018</v>
      </c>
      <c r="AU117" s="48" t="str">
        <f>IFERROR(INDEX(_TECH_Initiative_Library!$F$5:$F$76,MATCH(1,INDEX((_TECH_Initiative_Library!$B$5:$B$76=$C117)*(_TECH_Initiative_Library!$C$5:$C$76=$D117),0),0)),"")</f>
        <v>Optimize working capital and liquidity early-warning controls</v>
      </c>
      <c r="AV117" s="48" t="str">
        <f ca="1">IFERROR(INDEX(_TECH_Initiative_Library!$AC$5:$AC$76,MATCH(1,INDEX((_TECH_Initiative_Library!$B$5:$B$76=$C117)*(_TECH_Initiative_Library!$C$5:$C$76=$D117),0),0)),"")</f>
        <v/>
      </c>
      <c r="AW117" s="48" t="str">
        <f ca="1">IFERROR(INDEX(_TECH_Initiative_Library!$AE$5:$AE$76,MATCH(1,INDEX((_TECH_Initiative_Library!$B$5:$B$76=$C117)*(_TECH_Initiative_Library!$C$5:$C$76=$D117),0),0)),"")</f>
        <v/>
      </c>
      <c r="AX117" s="48" t="str">
        <f>IF($B117="Yes",IFERROR(SUMIFS(_TECH_Industry_Templates!$E:$E,_TECH_Industry_Templates!$A:$A,'Company Profile'!$B$9,_TECH_Industry_Templates!$B:$B,$C117),1),"")</f>
        <v/>
      </c>
      <c r="AY117" s="48" t="str">
        <f t="shared" si="31"/>
        <v/>
      </c>
      <c r="AZ117" s="48" t="str">
        <f t="shared" si="32"/>
        <v/>
      </c>
      <c r="BA117" s="48" t="str">
        <f>IF($AZ117="","",RANK.EQ($AZ117,$AZ$8:$AZ$414,0)+COUNTIF($AZ$8:$AZ117,$AZ117)-1)</f>
        <v/>
      </c>
    </row>
    <row r="118" spans="1:53" ht="69.95" customHeight="1">
      <c r="A118" s="36" t="str">
        <f>IF($AZ118="","",RANK.EQ($AZ118,$AZ$8:$AZ$414,0)+COUNTIF($AZ$8:$AZ118,$AZ118)-1)</f>
        <v/>
      </c>
      <c r="B118" s="36" t="str">
        <f t="shared" si="19"/>
        <v/>
      </c>
      <c r="C118" s="36" t="s">
        <v>66</v>
      </c>
      <c r="D118" s="36" t="s">
        <v>1169</v>
      </c>
      <c r="E118" s="36" t="s">
        <v>2978</v>
      </c>
      <c r="F118" s="36" t="s">
        <v>187</v>
      </c>
      <c r="G118" s="36" t="str">
        <f>IF($H118="","",IFERROR(INDEX('Risk Library'!$H$5:$M$411,MATCH($E118,'Risk Library'!$A$5:$A$411,0),$H118+1),""))</f>
        <v/>
      </c>
      <c r="H118" s="37" t="str">
        <f>IF(OR(COUNTA('Finance Procurement'!$H$28)=0,'Finance Procurement'!$H$28="N/A"),"",VALUE('Finance Procurement'!$H$28))</f>
        <v/>
      </c>
      <c r="I118" s="36" t="str">
        <f>IF($H118="","",IFERROR(IF('Finance Procurement'!$L$28="",IF($H118&lt;=1,"Critical",IF($H118=2,"High",IF($H118=3,"Medium",IF($H118=4,"Low","Resilient")))),'Finance Procurement'!$L$28),IF($H118&lt;=1,"Critical",IF($H118=2,"High",IF($H118=3,"Medium",IF($H118=4,"Low","Resilient"))))))</f>
        <v/>
      </c>
      <c r="J118" s="37" t="str">
        <f t="shared" si="20"/>
        <v/>
      </c>
      <c r="K118" s="37" t="str">
        <f t="shared" si="21"/>
        <v/>
      </c>
      <c r="L118" s="37" t="str">
        <f t="shared" si="22"/>
        <v/>
      </c>
      <c r="M118" s="37" t="str">
        <f t="shared" si="23"/>
        <v/>
      </c>
      <c r="N118" s="37" t="str">
        <f>IF($H118="","",IFERROR(INDEX('Risk Library'!$T$5:$Y$411,MATCH($E118,'Risk Library'!$A$5:$A$411,0),$H118+1),""))</f>
        <v/>
      </c>
      <c r="O118" s="37" t="str">
        <f t="shared" si="24"/>
        <v/>
      </c>
      <c r="P118" s="37" t="str">
        <f t="shared" si="25"/>
        <v/>
      </c>
      <c r="Q118" s="37" t="str">
        <f t="shared" si="26"/>
        <v/>
      </c>
      <c r="R118" s="37" t="str">
        <f t="shared" si="27"/>
        <v/>
      </c>
      <c r="S118" s="38" t="str">
        <f t="shared" si="28"/>
        <v/>
      </c>
      <c r="T118" s="36" t="str">
        <f>IF($H118="","",IFERROR(INDEX('Risk Library'!$N$5:$S$411,MATCH($E118,'Risk Library'!$A$5:$A$411,0),$H118+1),""))</f>
        <v/>
      </c>
      <c r="U118" s="37">
        <f>IFERROR('Finance Procurement'!$G$28,"")</f>
        <v>5</v>
      </c>
      <c r="V118" s="37">
        <f>IFERROR('Finance Procurement'!$W$28,"")</f>
        <v>4</v>
      </c>
      <c r="W118" s="37">
        <f>IFERROR('Finance Procurement'!$X$28,"")</f>
        <v>5</v>
      </c>
      <c r="X118" s="37">
        <f>IFERROR('Finance Procurement'!$Y$28,"")</f>
        <v>5</v>
      </c>
      <c r="Y118" s="36" t="s">
        <v>2755</v>
      </c>
      <c r="Z118" s="36" t="s">
        <v>2756</v>
      </c>
      <c r="AA118" s="36" t="s">
        <v>2980</v>
      </c>
      <c r="AB118" s="36">
        <f>IFERROR('Finance Procurement'!$U$28,"")</f>
        <v>0</v>
      </c>
      <c r="AC118" s="36"/>
      <c r="AD118" s="36"/>
      <c r="AE118" s="36"/>
      <c r="AF118" s="36" t="s">
        <v>2979</v>
      </c>
      <c r="AO118" s="48" t="str">
        <f>IF($B118="Yes",IFERROR(SUMIFS(_TECH_Crisis_Model!$D$5:$D$191,_TECH_Crisis_Model!$A$5:$A$191,'Crisis Simulator'!$B$4,_TECH_Crisis_Model!$B$5:$B$191,$C118),1),"")</f>
        <v/>
      </c>
      <c r="AP118" s="48" t="str">
        <f t="shared" si="29"/>
        <v/>
      </c>
      <c r="AQ118" s="48" t="str">
        <f t="shared" si="30"/>
        <v/>
      </c>
      <c r="AR118" s="48" t="str">
        <f>IFERROR(INDEX(_TECH_Crisis_Model!$E$5:$E$191,MATCH('Crisis Simulator'!$B$4&amp;"|"&amp;$C118,_TECH_Crisis_Model!$I$5:$I$191,0)),"")</f>
        <v>Cash control, supplier payments and procurement discipline determine financial survival and response options.</v>
      </c>
      <c r="AS118" s="48" t="str">
        <f>IFERROR(INDEX(_TECH_Crisis_Model!$G$5:$G$191,MATCH('Crisis Simulator'!$B$4&amp;"|"&amp;$C118,_TECH_Crisis_Model!$I$5:$I$191,0)),"")</f>
        <v>Build cash stress testing, payment prioritization, supplier risk review and procurement controls.</v>
      </c>
      <c r="AT118" s="48" t="str">
        <f>IFERROR(INDEX(_TECH_Initiative_Library!$A$5:$A$76,MATCH(1,INDEX((_TECH_Initiative_Library!$B$5:$B$76=$C118)*(_TECH_Initiative_Library!$C$5:$C$76=$D118),0),0)),"")</f>
        <v>INI-018</v>
      </c>
      <c r="AU118" s="48" t="str">
        <f>IFERROR(INDEX(_TECH_Initiative_Library!$F$5:$F$76,MATCH(1,INDEX((_TECH_Initiative_Library!$B$5:$B$76=$C118)*(_TECH_Initiative_Library!$C$5:$C$76=$D118),0),0)),"")</f>
        <v>Optimize working capital and liquidity early-warning controls</v>
      </c>
      <c r="AV118" s="48" t="str">
        <f ca="1">IFERROR(INDEX(_TECH_Initiative_Library!$AC$5:$AC$76,MATCH(1,INDEX((_TECH_Initiative_Library!$B$5:$B$76=$C118)*(_TECH_Initiative_Library!$C$5:$C$76=$D118),0),0)),"")</f>
        <v/>
      </c>
      <c r="AW118" s="48" t="str">
        <f ca="1">IFERROR(INDEX(_TECH_Initiative_Library!$AE$5:$AE$76,MATCH(1,INDEX((_TECH_Initiative_Library!$B$5:$B$76=$C118)*(_TECH_Initiative_Library!$C$5:$C$76=$D118),0),0)),"")</f>
        <v/>
      </c>
      <c r="AX118" s="48" t="str">
        <f>IF($B118="Yes",IFERROR(SUMIFS(_TECH_Industry_Templates!$E:$E,_TECH_Industry_Templates!$A:$A,'Company Profile'!$B$9,_TECH_Industry_Templates!$B:$B,$C118),1),"")</f>
        <v/>
      </c>
      <c r="AY118" s="48" t="str">
        <f t="shared" si="31"/>
        <v/>
      </c>
      <c r="AZ118" s="48" t="str">
        <f t="shared" si="32"/>
        <v/>
      </c>
      <c r="BA118" s="48" t="str">
        <f>IF($AZ118="","",RANK.EQ($AZ118,$AZ$8:$AZ$414,0)+COUNTIF($AZ$8:$AZ118,$AZ118)-1)</f>
        <v/>
      </c>
    </row>
    <row r="119" spans="1:53" ht="69.95" customHeight="1">
      <c r="A119" s="36" t="str">
        <f>IF($AZ119="","",RANK.EQ($AZ119,$AZ$8:$AZ$414,0)+COUNTIF($AZ$8:$AZ119,$AZ119)-1)</f>
        <v/>
      </c>
      <c r="B119" s="36" t="str">
        <f t="shared" si="19"/>
        <v/>
      </c>
      <c r="C119" s="36" t="s">
        <v>69</v>
      </c>
      <c r="D119" s="36" t="s">
        <v>1177</v>
      </c>
      <c r="E119" s="36" t="s">
        <v>2990</v>
      </c>
      <c r="F119" s="36" t="s">
        <v>188</v>
      </c>
      <c r="G119" s="36" t="str">
        <f>IF($H119="","",IFERROR(INDEX('Risk Library'!$H$5:$M$411,MATCH($E119,'Risk Library'!$A$5:$A$411,0),$H119+1),""))</f>
        <v/>
      </c>
      <c r="H119" s="37" t="str">
        <f>IF(OR(COUNTA('Legal Risk'!$H$5)=0,'Legal Risk'!$H$5="N/A"),"",VALUE('Legal Risk'!$H$5))</f>
        <v/>
      </c>
      <c r="I119" s="36" t="str">
        <f>IF($H119="","",IFERROR(IF('Legal Risk'!$L$5="",IF($H119&lt;=1,"Critical",IF($H119=2,"High",IF($H119=3,"Medium",IF($H119=4,"Low","Resilient")))),'Legal Risk'!$L$5),IF($H119&lt;=1,"Critical",IF($H119=2,"High",IF($H119=3,"Medium",IF($H119=4,"Low","Resilient"))))))</f>
        <v/>
      </c>
      <c r="J119" s="37" t="str">
        <f t="shared" si="20"/>
        <v/>
      </c>
      <c r="K119" s="37" t="str">
        <f t="shared" si="21"/>
        <v/>
      </c>
      <c r="L119" s="37" t="str">
        <f t="shared" si="22"/>
        <v/>
      </c>
      <c r="M119" s="37" t="str">
        <f t="shared" si="23"/>
        <v/>
      </c>
      <c r="N119" s="37" t="str">
        <f>IF($H119="","",IFERROR(INDEX('Risk Library'!$T$5:$Y$411,MATCH($E119,'Risk Library'!$A$5:$A$411,0),$H119+1),""))</f>
        <v/>
      </c>
      <c r="O119" s="37" t="str">
        <f t="shared" si="24"/>
        <v/>
      </c>
      <c r="P119" s="37" t="str">
        <f t="shared" si="25"/>
        <v/>
      </c>
      <c r="Q119" s="37" t="str">
        <f t="shared" si="26"/>
        <v/>
      </c>
      <c r="R119" s="37" t="str">
        <f t="shared" si="27"/>
        <v/>
      </c>
      <c r="S119" s="38" t="str">
        <f t="shared" si="28"/>
        <v/>
      </c>
      <c r="T119" s="36" t="str">
        <f>IF($H119="","",IFERROR(INDEX('Risk Library'!$N$5:$S$411,MATCH($E119,'Risk Library'!$A$5:$A$411,0),$H119+1),""))</f>
        <v/>
      </c>
      <c r="U119" s="37">
        <f>IFERROR('Legal Risk'!$G$5,"")</f>
        <v>4</v>
      </c>
      <c r="V119" s="37">
        <f>IFERROR('Legal Risk'!$W$5,"")</f>
        <v>5</v>
      </c>
      <c r="W119" s="37">
        <f>IFERROR('Legal Risk'!$X$5,"")</f>
        <v>5</v>
      </c>
      <c r="X119" s="37">
        <f>IFERROR('Legal Risk'!$Y$5,"")</f>
        <v>5</v>
      </c>
      <c r="Y119" s="36" t="s">
        <v>3001</v>
      </c>
      <c r="Z119" s="36" t="s">
        <v>3002</v>
      </c>
      <c r="AA119" s="36" t="s">
        <v>2994</v>
      </c>
      <c r="AB119" s="36">
        <f>IFERROR('Legal Risk'!$U$5,"")</f>
        <v>0</v>
      </c>
      <c r="AC119" s="36"/>
      <c r="AD119" s="36"/>
      <c r="AE119" s="36"/>
      <c r="AF119" s="36" t="s">
        <v>2991</v>
      </c>
      <c r="AO119" s="48" t="str">
        <f>IF($B119="Yes",IFERROR(SUMIFS(_TECH_Crisis_Model!$D$5:$D$191,_TECH_Crisis_Model!$A$5:$A$191,'Crisis Simulator'!$B$4,_TECH_Crisis_Model!$B$5:$B$191,$C119),1),"")</f>
        <v/>
      </c>
      <c r="AP119" s="48" t="str">
        <f t="shared" si="29"/>
        <v/>
      </c>
      <c r="AQ119" s="48" t="str">
        <f t="shared" si="30"/>
        <v/>
      </c>
      <c r="AR119" s="48" t="str">
        <f>IFERROR(INDEX(_TECH_Crisis_Model!$E$5:$E$191,MATCH('Crisis Simulator'!$B$4&amp;"|"&amp;$C119,_TECH_Crisis_Model!$I$5:$I$191,0)),"")</f>
        <v>Contracts, obligations and compliance exposure can turn operational crisis into legal or regulatory failure.</v>
      </c>
      <c r="AS119" s="48" t="str">
        <f>IFERROR(INDEX(_TECH_Crisis_Model!$G$5:$G$191,MATCH('Crisis Simulator'!$B$4&amp;"|"&amp;$C119,_TECH_Crisis_Model!$I$5:$I$191,0)),"")</f>
        <v>Review critical contracts, compliance obligations, force majeure, data protection and legal continuity.</v>
      </c>
      <c r="AT119" s="48" t="str">
        <f>IFERROR(INDEX(_TECH_Initiative_Library!$A$5:$A$76,MATCH(1,INDEX((_TECH_Initiative_Library!$B$5:$B$76=$C119)*(_TECH_Initiative_Library!$C$5:$C$76=$D119),0),0)),"")</f>
        <v>INI-019</v>
      </c>
      <c r="AU119" s="48" t="str">
        <f>IFERROR(INDEX(_TECH_Initiative_Library!$F$5:$F$76,MATCH(1,INDEX((_TECH_Initiative_Library!$B$5:$B$76=$C119)*(_TECH_Initiative_Library!$C$5:$C$76=$D119),0),0)),"")</f>
        <v>Implement compliance obligation monitoring and crisis legal controls</v>
      </c>
      <c r="AV119" s="48" t="str">
        <f ca="1">IFERROR(INDEX(_TECH_Initiative_Library!$AC$5:$AC$76,MATCH(1,INDEX((_TECH_Initiative_Library!$B$5:$B$76=$C119)*(_TECH_Initiative_Library!$C$5:$C$76=$D119),0),0)),"")</f>
        <v/>
      </c>
      <c r="AW119" s="48" t="str">
        <f ca="1">IFERROR(INDEX(_TECH_Initiative_Library!$AE$5:$AE$76,MATCH(1,INDEX((_TECH_Initiative_Library!$B$5:$B$76=$C119)*(_TECH_Initiative_Library!$C$5:$C$76=$D119),0),0)),"")</f>
        <v/>
      </c>
      <c r="AX119" s="48" t="str">
        <f>IF($B119="Yes",IFERROR(SUMIFS(_TECH_Industry_Templates!$E:$E,_TECH_Industry_Templates!$A:$A,'Company Profile'!$B$9,_TECH_Industry_Templates!$B:$B,$C119),1),"")</f>
        <v/>
      </c>
      <c r="AY119" s="48" t="str">
        <f t="shared" si="31"/>
        <v/>
      </c>
      <c r="AZ119" s="48" t="str">
        <f t="shared" si="32"/>
        <v/>
      </c>
      <c r="BA119" s="48" t="str">
        <f>IF($AZ119="","",RANK.EQ($AZ119,$AZ$8:$AZ$414,0)+COUNTIF($AZ$8:$AZ119,$AZ119)-1)</f>
        <v/>
      </c>
    </row>
    <row r="120" spans="1:53" ht="69.95" customHeight="1">
      <c r="A120" s="36" t="str">
        <f>IF($AZ120="","",RANK.EQ($AZ120,$AZ$8:$AZ$414,0)+COUNTIF($AZ$8:$AZ120,$AZ120)-1)</f>
        <v/>
      </c>
      <c r="B120" s="36" t="str">
        <f t="shared" si="19"/>
        <v/>
      </c>
      <c r="C120" s="36" t="s">
        <v>69</v>
      </c>
      <c r="D120" s="36" t="s">
        <v>1177</v>
      </c>
      <c r="E120" s="36" t="s">
        <v>3004</v>
      </c>
      <c r="F120" s="36" t="s">
        <v>188</v>
      </c>
      <c r="G120" s="36" t="str">
        <f>IF($H120="","",IFERROR(INDEX('Risk Library'!$H$5:$M$411,MATCH($E120,'Risk Library'!$A$5:$A$411,0),$H120+1),""))</f>
        <v/>
      </c>
      <c r="H120" s="37" t="str">
        <f>IF(OR(COUNTA('Legal Risk'!$H$6)=0,'Legal Risk'!$H$6="N/A"),"",VALUE('Legal Risk'!$H$6))</f>
        <v/>
      </c>
      <c r="I120" s="36" t="str">
        <f>IF($H120="","",IFERROR(IF('Legal Risk'!$L$6="",IF($H120&lt;=1,"Critical",IF($H120=2,"High",IF($H120=3,"Medium",IF($H120=4,"Low","Resilient")))),'Legal Risk'!$L$6),IF($H120&lt;=1,"Critical",IF($H120=2,"High",IF($H120=3,"Medium",IF($H120=4,"Low","Resilient"))))))</f>
        <v/>
      </c>
      <c r="J120" s="37" t="str">
        <f t="shared" si="20"/>
        <v/>
      </c>
      <c r="K120" s="37" t="str">
        <f t="shared" si="21"/>
        <v/>
      </c>
      <c r="L120" s="37" t="str">
        <f t="shared" si="22"/>
        <v/>
      </c>
      <c r="M120" s="37" t="str">
        <f t="shared" si="23"/>
        <v/>
      </c>
      <c r="N120" s="37" t="str">
        <f>IF($H120="","",IFERROR(INDEX('Risk Library'!$T$5:$Y$411,MATCH($E120,'Risk Library'!$A$5:$A$411,0),$H120+1),""))</f>
        <v/>
      </c>
      <c r="O120" s="37" t="str">
        <f t="shared" si="24"/>
        <v/>
      </c>
      <c r="P120" s="37" t="str">
        <f t="shared" si="25"/>
        <v/>
      </c>
      <c r="Q120" s="37" t="str">
        <f t="shared" si="26"/>
        <v/>
      </c>
      <c r="R120" s="37" t="str">
        <f t="shared" si="27"/>
        <v/>
      </c>
      <c r="S120" s="38" t="str">
        <f t="shared" si="28"/>
        <v/>
      </c>
      <c r="T120" s="36" t="str">
        <f>IF($H120="","",IFERROR(INDEX('Risk Library'!$N$5:$S$411,MATCH($E120,'Risk Library'!$A$5:$A$411,0),$H120+1),""))</f>
        <v/>
      </c>
      <c r="U120" s="37">
        <f>IFERROR('Legal Risk'!$G$6,"")</f>
        <v>5</v>
      </c>
      <c r="V120" s="37">
        <f>IFERROR('Legal Risk'!$W$6,"")</f>
        <v>5</v>
      </c>
      <c r="W120" s="37">
        <f>IFERROR('Legal Risk'!$X$6,"")</f>
        <v>5</v>
      </c>
      <c r="X120" s="37">
        <f>IFERROR('Legal Risk'!$Y$6,"")</f>
        <v>5</v>
      </c>
      <c r="Y120" s="36" t="s">
        <v>3001</v>
      </c>
      <c r="Z120" s="36" t="s">
        <v>3002</v>
      </c>
      <c r="AA120" s="36" t="s">
        <v>3006</v>
      </c>
      <c r="AB120" s="36">
        <f>IFERROR('Legal Risk'!$U$6,"")</f>
        <v>0</v>
      </c>
      <c r="AC120" s="36"/>
      <c r="AD120" s="36"/>
      <c r="AE120" s="36"/>
      <c r="AF120" s="36" t="s">
        <v>3005</v>
      </c>
      <c r="AO120" s="48" t="str">
        <f>IF($B120="Yes",IFERROR(SUMIFS(_TECH_Crisis_Model!$D$5:$D$191,_TECH_Crisis_Model!$A$5:$A$191,'Crisis Simulator'!$B$4,_TECH_Crisis_Model!$B$5:$B$191,$C120),1),"")</f>
        <v/>
      </c>
      <c r="AP120" s="48" t="str">
        <f t="shared" si="29"/>
        <v/>
      </c>
      <c r="AQ120" s="48" t="str">
        <f t="shared" si="30"/>
        <v/>
      </c>
      <c r="AR120" s="48" t="str">
        <f>IFERROR(INDEX(_TECH_Crisis_Model!$E$5:$E$191,MATCH('Crisis Simulator'!$B$4&amp;"|"&amp;$C120,_TECH_Crisis_Model!$I$5:$I$191,0)),"")</f>
        <v>Contracts, obligations and compliance exposure can turn operational crisis into legal or regulatory failure.</v>
      </c>
      <c r="AS120" s="48" t="str">
        <f>IFERROR(INDEX(_TECH_Crisis_Model!$G$5:$G$191,MATCH('Crisis Simulator'!$B$4&amp;"|"&amp;$C120,_TECH_Crisis_Model!$I$5:$I$191,0)),"")</f>
        <v>Review critical contracts, compliance obligations, force majeure, data protection and legal continuity.</v>
      </c>
      <c r="AT120" s="48" t="str">
        <f>IFERROR(INDEX(_TECH_Initiative_Library!$A$5:$A$76,MATCH(1,INDEX((_TECH_Initiative_Library!$B$5:$B$76=$C120)*(_TECH_Initiative_Library!$C$5:$C$76=$D120),0),0)),"")</f>
        <v>INI-019</v>
      </c>
      <c r="AU120" s="48" t="str">
        <f>IFERROR(INDEX(_TECH_Initiative_Library!$F$5:$F$76,MATCH(1,INDEX((_TECH_Initiative_Library!$B$5:$B$76=$C120)*(_TECH_Initiative_Library!$C$5:$C$76=$D120),0),0)),"")</f>
        <v>Implement compliance obligation monitoring and crisis legal controls</v>
      </c>
      <c r="AV120" s="48" t="str">
        <f ca="1">IFERROR(INDEX(_TECH_Initiative_Library!$AC$5:$AC$76,MATCH(1,INDEX((_TECH_Initiative_Library!$B$5:$B$76=$C120)*(_TECH_Initiative_Library!$C$5:$C$76=$D120),0),0)),"")</f>
        <v/>
      </c>
      <c r="AW120" s="48" t="str">
        <f ca="1">IFERROR(INDEX(_TECH_Initiative_Library!$AE$5:$AE$76,MATCH(1,INDEX((_TECH_Initiative_Library!$B$5:$B$76=$C120)*(_TECH_Initiative_Library!$C$5:$C$76=$D120),0),0)),"")</f>
        <v/>
      </c>
      <c r="AX120" s="48" t="str">
        <f>IF($B120="Yes",IFERROR(SUMIFS(_TECH_Industry_Templates!$E:$E,_TECH_Industry_Templates!$A:$A,'Company Profile'!$B$9,_TECH_Industry_Templates!$B:$B,$C120),1),"")</f>
        <v/>
      </c>
      <c r="AY120" s="48" t="str">
        <f t="shared" si="31"/>
        <v/>
      </c>
      <c r="AZ120" s="48" t="str">
        <f t="shared" si="32"/>
        <v/>
      </c>
      <c r="BA120" s="48" t="str">
        <f>IF($AZ120="","",RANK.EQ($AZ120,$AZ$8:$AZ$414,0)+COUNTIF($AZ$8:$AZ120,$AZ120)-1)</f>
        <v/>
      </c>
    </row>
    <row r="121" spans="1:53" ht="69.95" customHeight="1">
      <c r="A121" s="36" t="str">
        <f>IF($AZ121="","",RANK.EQ($AZ121,$AZ$8:$AZ$414,0)+COUNTIF($AZ$8:$AZ121,$AZ121)-1)</f>
        <v/>
      </c>
      <c r="B121" s="36" t="str">
        <f t="shared" si="19"/>
        <v/>
      </c>
      <c r="C121" s="36" t="s">
        <v>69</v>
      </c>
      <c r="D121" s="36" t="s">
        <v>1177</v>
      </c>
      <c r="E121" s="36" t="s">
        <v>3014</v>
      </c>
      <c r="F121" s="36" t="s">
        <v>188</v>
      </c>
      <c r="G121" s="36" t="str">
        <f>IF($H121="","",IFERROR(INDEX('Risk Library'!$H$5:$M$411,MATCH($E121,'Risk Library'!$A$5:$A$411,0),$H121+1),""))</f>
        <v/>
      </c>
      <c r="H121" s="37" t="str">
        <f>IF(OR(COUNTA('Legal Risk'!$H$7)=0,'Legal Risk'!$H$7="N/A"),"",VALUE('Legal Risk'!$H$7))</f>
        <v/>
      </c>
      <c r="I121" s="36" t="str">
        <f>IF($H121="","",IFERROR(IF('Legal Risk'!$L$7="",IF($H121&lt;=1,"Critical",IF($H121=2,"High",IF($H121=3,"Medium",IF($H121=4,"Low","Resilient")))),'Legal Risk'!$L$7),IF($H121&lt;=1,"Critical",IF($H121=2,"High",IF($H121=3,"Medium",IF($H121=4,"Low","Resilient"))))))</f>
        <v/>
      </c>
      <c r="J121" s="37" t="str">
        <f t="shared" si="20"/>
        <v/>
      </c>
      <c r="K121" s="37" t="str">
        <f t="shared" si="21"/>
        <v/>
      </c>
      <c r="L121" s="37" t="str">
        <f t="shared" si="22"/>
        <v/>
      </c>
      <c r="M121" s="37" t="str">
        <f t="shared" si="23"/>
        <v/>
      </c>
      <c r="N121" s="37" t="str">
        <f>IF($H121="","",IFERROR(INDEX('Risk Library'!$T$5:$Y$411,MATCH($E121,'Risk Library'!$A$5:$A$411,0),$H121+1),""))</f>
        <v/>
      </c>
      <c r="O121" s="37" t="str">
        <f t="shared" si="24"/>
        <v/>
      </c>
      <c r="P121" s="37" t="str">
        <f t="shared" si="25"/>
        <v/>
      </c>
      <c r="Q121" s="37" t="str">
        <f t="shared" si="26"/>
        <v/>
      </c>
      <c r="R121" s="37" t="str">
        <f t="shared" si="27"/>
        <v/>
      </c>
      <c r="S121" s="38" t="str">
        <f t="shared" si="28"/>
        <v/>
      </c>
      <c r="T121" s="36" t="str">
        <f>IF($H121="","",IFERROR(INDEX('Risk Library'!$N$5:$S$411,MATCH($E121,'Risk Library'!$A$5:$A$411,0),$H121+1),""))</f>
        <v/>
      </c>
      <c r="U121" s="37">
        <f>IFERROR('Legal Risk'!$G$7,"")</f>
        <v>5</v>
      </c>
      <c r="V121" s="37">
        <f>IFERROR('Legal Risk'!$W$7,"")</f>
        <v>5</v>
      </c>
      <c r="W121" s="37">
        <f>IFERROR('Legal Risk'!$X$7,"")</f>
        <v>5</v>
      </c>
      <c r="X121" s="37">
        <f>IFERROR('Legal Risk'!$Y$7,"")</f>
        <v>5</v>
      </c>
      <c r="Y121" s="36" t="s">
        <v>3001</v>
      </c>
      <c r="Z121" s="36" t="s">
        <v>3002</v>
      </c>
      <c r="AA121" s="36" t="s">
        <v>3016</v>
      </c>
      <c r="AB121" s="36">
        <f>IFERROR('Legal Risk'!$U$7,"")</f>
        <v>0</v>
      </c>
      <c r="AC121" s="36"/>
      <c r="AD121" s="36"/>
      <c r="AE121" s="36"/>
      <c r="AF121" s="36" t="s">
        <v>3015</v>
      </c>
      <c r="AO121" s="48" t="str">
        <f>IF($B121="Yes",IFERROR(SUMIFS(_TECH_Crisis_Model!$D$5:$D$191,_TECH_Crisis_Model!$A$5:$A$191,'Crisis Simulator'!$B$4,_TECH_Crisis_Model!$B$5:$B$191,$C121),1),"")</f>
        <v/>
      </c>
      <c r="AP121" s="48" t="str">
        <f t="shared" si="29"/>
        <v/>
      </c>
      <c r="AQ121" s="48" t="str">
        <f t="shared" si="30"/>
        <v/>
      </c>
      <c r="AR121" s="48" t="str">
        <f>IFERROR(INDEX(_TECH_Crisis_Model!$E$5:$E$191,MATCH('Crisis Simulator'!$B$4&amp;"|"&amp;$C121,_TECH_Crisis_Model!$I$5:$I$191,0)),"")</f>
        <v>Contracts, obligations and compliance exposure can turn operational crisis into legal or regulatory failure.</v>
      </c>
      <c r="AS121" s="48" t="str">
        <f>IFERROR(INDEX(_TECH_Crisis_Model!$G$5:$G$191,MATCH('Crisis Simulator'!$B$4&amp;"|"&amp;$C121,_TECH_Crisis_Model!$I$5:$I$191,0)),"")</f>
        <v>Review critical contracts, compliance obligations, force majeure, data protection and legal continuity.</v>
      </c>
      <c r="AT121" s="48" t="str">
        <f>IFERROR(INDEX(_TECH_Initiative_Library!$A$5:$A$76,MATCH(1,INDEX((_TECH_Initiative_Library!$B$5:$B$76=$C121)*(_TECH_Initiative_Library!$C$5:$C$76=$D121),0),0)),"")</f>
        <v>INI-019</v>
      </c>
      <c r="AU121" s="48" t="str">
        <f>IFERROR(INDEX(_TECH_Initiative_Library!$F$5:$F$76,MATCH(1,INDEX((_TECH_Initiative_Library!$B$5:$B$76=$C121)*(_TECH_Initiative_Library!$C$5:$C$76=$D121),0),0)),"")</f>
        <v>Implement compliance obligation monitoring and crisis legal controls</v>
      </c>
      <c r="AV121" s="48" t="str">
        <f ca="1">IFERROR(INDEX(_TECH_Initiative_Library!$AC$5:$AC$76,MATCH(1,INDEX((_TECH_Initiative_Library!$B$5:$B$76=$C121)*(_TECH_Initiative_Library!$C$5:$C$76=$D121),0),0)),"")</f>
        <v/>
      </c>
      <c r="AW121" s="48" t="str">
        <f ca="1">IFERROR(INDEX(_TECH_Initiative_Library!$AE$5:$AE$76,MATCH(1,INDEX((_TECH_Initiative_Library!$B$5:$B$76=$C121)*(_TECH_Initiative_Library!$C$5:$C$76=$D121),0),0)),"")</f>
        <v/>
      </c>
      <c r="AX121" s="48" t="str">
        <f>IF($B121="Yes",IFERROR(SUMIFS(_TECH_Industry_Templates!$E:$E,_TECH_Industry_Templates!$A:$A,'Company Profile'!$B$9,_TECH_Industry_Templates!$B:$B,$C121),1),"")</f>
        <v/>
      </c>
      <c r="AY121" s="48" t="str">
        <f t="shared" si="31"/>
        <v/>
      </c>
      <c r="AZ121" s="48" t="str">
        <f t="shared" si="32"/>
        <v/>
      </c>
      <c r="BA121" s="48" t="str">
        <f>IF($AZ121="","",RANK.EQ($AZ121,$AZ$8:$AZ$414,0)+COUNTIF($AZ$8:$AZ121,$AZ121)-1)</f>
        <v/>
      </c>
    </row>
    <row r="122" spans="1:53" ht="69.95" customHeight="1">
      <c r="A122" s="36" t="str">
        <f>IF($AZ122="","",RANK.EQ($AZ122,$AZ$8:$AZ$414,0)+COUNTIF($AZ$8:$AZ122,$AZ122)-1)</f>
        <v/>
      </c>
      <c r="B122" s="36" t="str">
        <f t="shared" si="19"/>
        <v/>
      </c>
      <c r="C122" s="36" t="s">
        <v>69</v>
      </c>
      <c r="D122" s="36" t="s">
        <v>1177</v>
      </c>
      <c r="E122" s="36" t="s">
        <v>3024</v>
      </c>
      <c r="F122" s="36" t="s">
        <v>188</v>
      </c>
      <c r="G122" s="36" t="str">
        <f>IF($H122="","",IFERROR(INDEX('Risk Library'!$H$5:$M$411,MATCH($E122,'Risk Library'!$A$5:$A$411,0),$H122+1),""))</f>
        <v/>
      </c>
      <c r="H122" s="37" t="str">
        <f>IF(OR(COUNTA('Legal Risk'!$H$8)=0,'Legal Risk'!$H$8="N/A"),"",VALUE('Legal Risk'!$H$8))</f>
        <v/>
      </c>
      <c r="I122" s="36" t="str">
        <f>IF($H122="","",IFERROR(IF('Legal Risk'!$L$8="",IF($H122&lt;=1,"Critical",IF($H122=2,"High",IF($H122=3,"Medium",IF($H122=4,"Low","Resilient")))),'Legal Risk'!$L$8),IF($H122&lt;=1,"Critical",IF($H122=2,"High",IF($H122=3,"Medium",IF($H122=4,"Low","Resilient"))))))</f>
        <v/>
      </c>
      <c r="J122" s="37" t="str">
        <f t="shared" si="20"/>
        <v/>
      </c>
      <c r="K122" s="37" t="str">
        <f t="shared" si="21"/>
        <v/>
      </c>
      <c r="L122" s="37" t="str">
        <f t="shared" si="22"/>
        <v/>
      </c>
      <c r="M122" s="37" t="str">
        <f t="shared" si="23"/>
        <v/>
      </c>
      <c r="N122" s="37" t="str">
        <f>IF($H122="","",IFERROR(INDEX('Risk Library'!$T$5:$Y$411,MATCH($E122,'Risk Library'!$A$5:$A$411,0),$H122+1),""))</f>
        <v/>
      </c>
      <c r="O122" s="37" t="str">
        <f t="shared" si="24"/>
        <v/>
      </c>
      <c r="P122" s="37" t="str">
        <f t="shared" si="25"/>
        <v/>
      </c>
      <c r="Q122" s="37" t="str">
        <f t="shared" si="26"/>
        <v/>
      </c>
      <c r="R122" s="37" t="str">
        <f t="shared" si="27"/>
        <v/>
      </c>
      <c r="S122" s="38" t="str">
        <f t="shared" si="28"/>
        <v/>
      </c>
      <c r="T122" s="36" t="str">
        <f>IF($H122="","",IFERROR(INDEX('Risk Library'!$N$5:$S$411,MATCH($E122,'Risk Library'!$A$5:$A$411,0),$H122+1),""))</f>
        <v/>
      </c>
      <c r="U122" s="37">
        <f>IFERROR('Legal Risk'!$G$8,"")</f>
        <v>3</v>
      </c>
      <c r="V122" s="37">
        <f>IFERROR('Legal Risk'!$W$8,"")</f>
        <v>5</v>
      </c>
      <c r="W122" s="37">
        <f>IFERROR('Legal Risk'!$X$8,"")</f>
        <v>5</v>
      </c>
      <c r="X122" s="37">
        <f>IFERROR('Legal Risk'!$Y$8,"")</f>
        <v>5</v>
      </c>
      <c r="Y122" s="36" t="s">
        <v>3001</v>
      </c>
      <c r="Z122" s="36" t="s">
        <v>3002</v>
      </c>
      <c r="AA122" s="36" t="s">
        <v>3026</v>
      </c>
      <c r="AB122" s="36">
        <f>IFERROR('Legal Risk'!$U$8,"")</f>
        <v>0</v>
      </c>
      <c r="AC122" s="36"/>
      <c r="AD122" s="36"/>
      <c r="AE122" s="36"/>
      <c r="AF122" s="36" t="s">
        <v>3025</v>
      </c>
      <c r="AO122" s="48" t="str">
        <f>IF($B122="Yes",IFERROR(SUMIFS(_TECH_Crisis_Model!$D$5:$D$191,_TECH_Crisis_Model!$A$5:$A$191,'Crisis Simulator'!$B$4,_TECH_Crisis_Model!$B$5:$B$191,$C122),1),"")</f>
        <v/>
      </c>
      <c r="AP122" s="48" t="str">
        <f t="shared" si="29"/>
        <v/>
      </c>
      <c r="AQ122" s="48" t="str">
        <f t="shared" si="30"/>
        <v/>
      </c>
      <c r="AR122" s="48" t="str">
        <f>IFERROR(INDEX(_TECH_Crisis_Model!$E$5:$E$191,MATCH('Crisis Simulator'!$B$4&amp;"|"&amp;$C122,_TECH_Crisis_Model!$I$5:$I$191,0)),"")</f>
        <v>Contracts, obligations and compliance exposure can turn operational crisis into legal or regulatory failure.</v>
      </c>
      <c r="AS122" s="48" t="str">
        <f>IFERROR(INDEX(_TECH_Crisis_Model!$G$5:$G$191,MATCH('Crisis Simulator'!$B$4&amp;"|"&amp;$C122,_TECH_Crisis_Model!$I$5:$I$191,0)),"")</f>
        <v>Review critical contracts, compliance obligations, force majeure, data protection and legal continuity.</v>
      </c>
      <c r="AT122" s="48" t="str">
        <f>IFERROR(INDEX(_TECH_Initiative_Library!$A$5:$A$76,MATCH(1,INDEX((_TECH_Initiative_Library!$B$5:$B$76=$C122)*(_TECH_Initiative_Library!$C$5:$C$76=$D122),0),0)),"")</f>
        <v>INI-019</v>
      </c>
      <c r="AU122" s="48" t="str">
        <f>IFERROR(INDEX(_TECH_Initiative_Library!$F$5:$F$76,MATCH(1,INDEX((_TECH_Initiative_Library!$B$5:$B$76=$C122)*(_TECH_Initiative_Library!$C$5:$C$76=$D122),0),0)),"")</f>
        <v>Implement compliance obligation monitoring and crisis legal controls</v>
      </c>
      <c r="AV122" s="48" t="str">
        <f ca="1">IFERROR(INDEX(_TECH_Initiative_Library!$AC$5:$AC$76,MATCH(1,INDEX((_TECH_Initiative_Library!$B$5:$B$76=$C122)*(_TECH_Initiative_Library!$C$5:$C$76=$D122),0),0)),"")</f>
        <v/>
      </c>
      <c r="AW122" s="48" t="str">
        <f ca="1">IFERROR(INDEX(_TECH_Initiative_Library!$AE$5:$AE$76,MATCH(1,INDEX((_TECH_Initiative_Library!$B$5:$B$76=$C122)*(_TECH_Initiative_Library!$C$5:$C$76=$D122),0),0)),"")</f>
        <v/>
      </c>
      <c r="AX122" s="48" t="str">
        <f>IF($B122="Yes",IFERROR(SUMIFS(_TECH_Industry_Templates!$E:$E,_TECH_Industry_Templates!$A:$A,'Company Profile'!$B$9,_TECH_Industry_Templates!$B:$B,$C122),1),"")</f>
        <v/>
      </c>
      <c r="AY122" s="48" t="str">
        <f t="shared" si="31"/>
        <v/>
      </c>
      <c r="AZ122" s="48" t="str">
        <f t="shared" si="32"/>
        <v/>
      </c>
      <c r="BA122" s="48" t="str">
        <f>IF($AZ122="","",RANK.EQ($AZ122,$AZ$8:$AZ$414,0)+COUNTIF($AZ$8:$AZ122,$AZ122)-1)</f>
        <v/>
      </c>
    </row>
    <row r="123" spans="1:53" ht="69.95" customHeight="1">
      <c r="A123" s="36" t="str">
        <f>IF($AZ123="","",RANK.EQ($AZ123,$AZ$8:$AZ$414,0)+COUNTIF($AZ$8:$AZ123,$AZ123)-1)</f>
        <v/>
      </c>
      <c r="B123" s="36" t="str">
        <f t="shared" si="19"/>
        <v/>
      </c>
      <c r="C123" s="36" t="s">
        <v>69</v>
      </c>
      <c r="D123" s="36" t="s">
        <v>1177</v>
      </c>
      <c r="E123" s="36" t="s">
        <v>3034</v>
      </c>
      <c r="F123" s="36" t="s">
        <v>188</v>
      </c>
      <c r="G123" s="36" t="str">
        <f>IF($H123="","",IFERROR(INDEX('Risk Library'!$H$5:$M$411,MATCH($E123,'Risk Library'!$A$5:$A$411,0),$H123+1),""))</f>
        <v/>
      </c>
      <c r="H123" s="37" t="str">
        <f>IF(OR(COUNTA('Legal Risk'!$H$9)=0,'Legal Risk'!$H$9="N/A"),"",VALUE('Legal Risk'!$H$9))</f>
        <v/>
      </c>
      <c r="I123" s="36" t="str">
        <f>IF($H123="","",IFERROR(IF('Legal Risk'!$L$9="",IF($H123&lt;=1,"Critical",IF($H123=2,"High",IF($H123=3,"Medium",IF($H123=4,"Low","Resilient")))),'Legal Risk'!$L$9),IF($H123&lt;=1,"Critical",IF($H123=2,"High",IF($H123=3,"Medium",IF($H123=4,"Low","Resilient"))))))</f>
        <v/>
      </c>
      <c r="J123" s="37" t="str">
        <f t="shared" si="20"/>
        <v/>
      </c>
      <c r="K123" s="37" t="str">
        <f t="shared" si="21"/>
        <v/>
      </c>
      <c r="L123" s="37" t="str">
        <f t="shared" si="22"/>
        <v/>
      </c>
      <c r="M123" s="37" t="str">
        <f t="shared" si="23"/>
        <v/>
      </c>
      <c r="N123" s="37" t="str">
        <f>IF($H123="","",IFERROR(INDEX('Risk Library'!$T$5:$Y$411,MATCH($E123,'Risk Library'!$A$5:$A$411,0),$H123+1),""))</f>
        <v/>
      </c>
      <c r="O123" s="37" t="str">
        <f t="shared" si="24"/>
        <v/>
      </c>
      <c r="P123" s="37" t="str">
        <f t="shared" si="25"/>
        <v/>
      </c>
      <c r="Q123" s="37" t="str">
        <f t="shared" si="26"/>
        <v/>
      </c>
      <c r="R123" s="37" t="str">
        <f t="shared" si="27"/>
        <v/>
      </c>
      <c r="S123" s="38" t="str">
        <f t="shared" si="28"/>
        <v/>
      </c>
      <c r="T123" s="36" t="str">
        <f>IF($H123="","",IFERROR(INDEX('Risk Library'!$N$5:$S$411,MATCH($E123,'Risk Library'!$A$5:$A$411,0),$H123+1),""))</f>
        <v/>
      </c>
      <c r="U123" s="37">
        <f>IFERROR('Legal Risk'!$G$9,"")</f>
        <v>3</v>
      </c>
      <c r="V123" s="37">
        <f>IFERROR('Legal Risk'!$W$9,"")</f>
        <v>5</v>
      </c>
      <c r="W123" s="37">
        <f>IFERROR('Legal Risk'!$X$9,"")</f>
        <v>5</v>
      </c>
      <c r="X123" s="37">
        <f>IFERROR('Legal Risk'!$Y$9,"")</f>
        <v>5</v>
      </c>
      <c r="Y123" s="36" t="s">
        <v>3001</v>
      </c>
      <c r="Z123" s="36" t="s">
        <v>3002</v>
      </c>
      <c r="AA123" s="36" t="s">
        <v>3036</v>
      </c>
      <c r="AB123" s="36">
        <f>IFERROR('Legal Risk'!$U$9,"")</f>
        <v>0</v>
      </c>
      <c r="AC123" s="36"/>
      <c r="AD123" s="36"/>
      <c r="AE123" s="36"/>
      <c r="AF123" s="36" t="s">
        <v>3035</v>
      </c>
      <c r="AO123" s="48" t="str">
        <f>IF($B123="Yes",IFERROR(SUMIFS(_TECH_Crisis_Model!$D$5:$D$191,_TECH_Crisis_Model!$A$5:$A$191,'Crisis Simulator'!$B$4,_TECH_Crisis_Model!$B$5:$B$191,$C123),1),"")</f>
        <v/>
      </c>
      <c r="AP123" s="48" t="str">
        <f t="shared" si="29"/>
        <v/>
      </c>
      <c r="AQ123" s="48" t="str">
        <f t="shared" si="30"/>
        <v/>
      </c>
      <c r="AR123" s="48" t="str">
        <f>IFERROR(INDEX(_TECH_Crisis_Model!$E$5:$E$191,MATCH('Crisis Simulator'!$B$4&amp;"|"&amp;$C123,_TECH_Crisis_Model!$I$5:$I$191,0)),"")</f>
        <v>Contracts, obligations and compliance exposure can turn operational crisis into legal or regulatory failure.</v>
      </c>
      <c r="AS123" s="48" t="str">
        <f>IFERROR(INDEX(_TECH_Crisis_Model!$G$5:$G$191,MATCH('Crisis Simulator'!$B$4&amp;"|"&amp;$C123,_TECH_Crisis_Model!$I$5:$I$191,0)),"")</f>
        <v>Review critical contracts, compliance obligations, force majeure, data protection and legal continuity.</v>
      </c>
      <c r="AT123" s="48" t="str">
        <f>IFERROR(INDEX(_TECH_Initiative_Library!$A$5:$A$76,MATCH(1,INDEX((_TECH_Initiative_Library!$B$5:$B$76=$C123)*(_TECH_Initiative_Library!$C$5:$C$76=$D123),0),0)),"")</f>
        <v>INI-019</v>
      </c>
      <c r="AU123" s="48" t="str">
        <f>IFERROR(INDEX(_TECH_Initiative_Library!$F$5:$F$76,MATCH(1,INDEX((_TECH_Initiative_Library!$B$5:$B$76=$C123)*(_TECH_Initiative_Library!$C$5:$C$76=$D123),0),0)),"")</f>
        <v>Implement compliance obligation monitoring and crisis legal controls</v>
      </c>
      <c r="AV123" s="48" t="str">
        <f ca="1">IFERROR(INDEX(_TECH_Initiative_Library!$AC$5:$AC$76,MATCH(1,INDEX((_TECH_Initiative_Library!$B$5:$B$76=$C123)*(_TECH_Initiative_Library!$C$5:$C$76=$D123),0),0)),"")</f>
        <v/>
      </c>
      <c r="AW123" s="48" t="str">
        <f ca="1">IFERROR(INDEX(_TECH_Initiative_Library!$AE$5:$AE$76,MATCH(1,INDEX((_TECH_Initiative_Library!$B$5:$B$76=$C123)*(_TECH_Initiative_Library!$C$5:$C$76=$D123),0),0)),"")</f>
        <v/>
      </c>
      <c r="AX123" s="48" t="str">
        <f>IF($B123="Yes",IFERROR(SUMIFS(_TECH_Industry_Templates!$E:$E,_TECH_Industry_Templates!$A:$A,'Company Profile'!$B$9,_TECH_Industry_Templates!$B:$B,$C123),1),"")</f>
        <v/>
      </c>
      <c r="AY123" s="48" t="str">
        <f t="shared" si="31"/>
        <v/>
      </c>
      <c r="AZ123" s="48" t="str">
        <f t="shared" si="32"/>
        <v/>
      </c>
      <c r="BA123" s="48" t="str">
        <f>IF($AZ123="","",RANK.EQ($AZ123,$AZ$8:$AZ$414,0)+COUNTIF($AZ$8:$AZ123,$AZ123)-1)</f>
        <v/>
      </c>
    </row>
    <row r="124" spans="1:53" ht="69.95" customHeight="1">
      <c r="A124" s="36" t="str">
        <f>IF($AZ124="","",RANK.EQ($AZ124,$AZ$8:$AZ$414,0)+COUNTIF($AZ$8:$AZ124,$AZ124)-1)</f>
        <v/>
      </c>
      <c r="B124" s="36" t="str">
        <f t="shared" si="19"/>
        <v/>
      </c>
      <c r="C124" s="36" t="s">
        <v>69</v>
      </c>
      <c r="D124" s="36" t="s">
        <v>1177</v>
      </c>
      <c r="E124" s="36" t="s">
        <v>3044</v>
      </c>
      <c r="F124" s="36" t="s">
        <v>188</v>
      </c>
      <c r="G124" s="36" t="str">
        <f>IF($H124="","",IFERROR(INDEX('Risk Library'!$H$5:$M$411,MATCH($E124,'Risk Library'!$A$5:$A$411,0),$H124+1),""))</f>
        <v/>
      </c>
      <c r="H124" s="37" t="str">
        <f>IF(OR(COUNTA('Legal Risk'!$H$10)=0,'Legal Risk'!$H$10="N/A"),"",VALUE('Legal Risk'!$H$10))</f>
        <v/>
      </c>
      <c r="I124" s="36" t="str">
        <f>IF($H124="","",IFERROR(IF('Legal Risk'!$L$10="",IF($H124&lt;=1,"Critical",IF($H124=2,"High",IF($H124=3,"Medium",IF($H124=4,"Low","Resilient")))),'Legal Risk'!$L$10),IF($H124&lt;=1,"Critical",IF($H124=2,"High",IF($H124=3,"Medium",IF($H124=4,"Low","Resilient"))))))</f>
        <v/>
      </c>
      <c r="J124" s="37" t="str">
        <f t="shared" si="20"/>
        <v/>
      </c>
      <c r="K124" s="37" t="str">
        <f t="shared" si="21"/>
        <v/>
      </c>
      <c r="L124" s="37" t="str">
        <f t="shared" si="22"/>
        <v/>
      </c>
      <c r="M124" s="37" t="str">
        <f t="shared" si="23"/>
        <v/>
      </c>
      <c r="N124" s="37" t="str">
        <f>IF($H124="","",IFERROR(INDEX('Risk Library'!$T$5:$Y$411,MATCH($E124,'Risk Library'!$A$5:$A$411,0),$H124+1),""))</f>
        <v/>
      </c>
      <c r="O124" s="37" t="str">
        <f t="shared" si="24"/>
        <v/>
      </c>
      <c r="P124" s="37" t="str">
        <f t="shared" si="25"/>
        <v/>
      </c>
      <c r="Q124" s="37" t="str">
        <f t="shared" si="26"/>
        <v/>
      </c>
      <c r="R124" s="37" t="str">
        <f t="shared" si="27"/>
        <v/>
      </c>
      <c r="S124" s="38" t="str">
        <f t="shared" si="28"/>
        <v/>
      </c>
      <c r="T124" s="36" t="str">
        <f>IF($H124="","",IFERROR(INDEX('Risk Library'!$N$5:$S$411,MATCH($E124,'Risk Library'!$A$5:$A$411,0),$H124+1),""))</f>
        <v/>
      </c>
      <c r="U124" s="37">
        <f>IFERROR('Legal Risk'!$G$10,"")</f>
        <v>5</v>
      </c>
      <c r="V124" s="37">
        <f>IFERROR('Legal Risk'!$W$10,"")</f>
        <v>5</v>
      </c>
      <c r="W124" s="37">
        <f>IFERROR('Legal Risk'!$X$10,"")</f>
        <v>5</v>
      </c>
      <c r="X124" s="37">
        <f>IFERROR('Legal Risk'!$Y$10,"")</f>
        <v>5</v>
      </c>
      <c r="Y124" s="36" t="s">
        <v>3001</v>
      </c>
      <c r="Z124" s="36" t="s">
        <v>3002</v>
      </c>
      <c r="AA124" s="36" t="s">
        <v>3046</v>
      </c>
      <c r="AB124" s="36">
        <f>IFERROR('Legal Risk'!$U$10,"")</f>
        <v>0</v>
      </c>
      <c r="AC124" s="36"/>
      <c r="AD124" s="36"/>
      <c r="AE124" s="36"/>
      <c r="AF124" s="36" t="s">
        <v>3045</v>
      </c>
      <c r="AO124" s="48" t="str">
        <f>IF($B124="Yes",IFERROR(SUMIFS(_TECH_Crisis_Model!$D$5:$D$191,_TECH_Crisis_Model!$A$5:$A$191,'Crisis Simulator'!$B$4,_TECH_Crisis_Model!$B$5:$B$191,$C124),1),"")</f>
        <v/>
      </c>
      <c r="AP124" s="48" t="str">
        <f t="shared" si="29"/>
        <v/>
      </c>
      <c r="AQ124" s="48" t="str">
        <f t="shared" si="30"/>
        <v/>
      </c>
      <c r="AR124" s="48" t="str">
        <f>IFERROR(INDEX(_TECH_Crisis_Model!$E$5:$E$191,MATCH('Crisis Simulator'!$B$4&amp;"|"&amp;$C124,_TECH_Crisis_Model!$I$5:$I$191,0)),"")</f>
        <v>Contracts, obligations and compliance exposure can turn operational crisis into legal or regulatory failure.</v>
      </c>
      <c r="AS124" s="48" t="str">
        <f>IFERROR(INDEX(_TECH_Crisis_Model!$G$5:$G$191,MATCH('Crisis Simulator'!$B$4&amp;"|"&amp;$C124,_TECH_Crisis_Model!$I$5:$I$191,0)),"")</f>
        <v>Review critical contracts, compliance obligations, force majeure, data protection and legal continuity.</v>
      </c>
      <c r="AT124" s="48" t="str">
        <f>IFERROR(INDEX(_TECH_Initiative_Library!$A$5:$A$76,MATCH(1,INDEX((_TECH_Initiative_Library!$B$5:$B$76=$C124)*(_TECH_Initiative_Library!$C$5:$C$76=$D124),0),0)),"")</f>
        <v>INI-019</v>
      </c>
      <c r="AU124" s="48" t="str">
        <f>IFERROR(INDEX(_TECH_Initiative_Library!$F$5:$F$76,MATCH(1,INDEX((_TECH_Initiative_Library!$B$5:$B$76=$C124)*(_TECH_Initiative_Library!$C$5:$C$76=$D124),0),0)),"")</f>
        <v>Implement compliance obligation monitoring and crisis legal controls</v>
      </c>
      <c r="AV124" s="48" t="str">
        <f ca="1">IFERROR(INDEX(_TECH_Initiative_Library!$AC$5:$AC$76,MATCH(1,INDEX((_TECH_Initiative_Library!$B$5:$B$76=$C124)*(_TECH_Initiative_Library!$C$5:$C$76=$D124),0),0)),"")</f>
        <v/>
      </c>
      <c r="AW124" s="48" t="str">
        <f ca="1">IFERROR(INDEX(_TECH_Initiative_Library!$AE$5:$AE$76,MATCH(1,INDEX((_TECH_Initiative_Library!$B$5:$B$76=$C124)*(_TECH_Initiative_Library!$C$5:$C$76=$D124),0),0)),"")</f>
        <v/>
      </c>
      <c r="AX124" s="48" t="str">
        <f>IF($B124="Yes",IFERROR(SUMIFS(_TECH_Industry_Templates!$E:$E,_TECH_Industry_Templates!$A:$A,'Company Profile'!$B$9,_TECH_Industry_Templates!$B:$B,$C124),1),"")</f>
        <v/>
      </c>
      <c r="AY124" s="48" t="str">
        <f t="shared" si="31"/>
        <v/>
      </c>
      <c r="AZ124" s="48" t="str">
        <f t="shared" si="32"/>
        <v/>
      </c>
      <c r="BA124" s="48" t="str">
        <f>IF($AZ124="","",RANK.EQ($AZ124,$AZ$8:$AZ$414,0)+COUNTIF($AZ$8:$AZ124,$AZ124)-1)</f>
        <v/>
      </c>
    </row>
    <row r="125" spans="1:53" ht="69.95" customHeight="1">
      <c r="A125" s="36" t="str">
        <f>IF($AZ125="","",RANK.EQ($AZ125,$AZ$8:$AZ$414,0)+COUNTIF($AZ$8:$AZ125,$AZ125)-1)</f>
        <v/>
      </c>
      <c r="B125" s="36" t="str">
        <f t="shared" si="19"/>
        <v/>
      </c>
      <c r="C125" s="36" t="s">
        <v>69</v>
      </c>
      <c r="D125" s="36" t="s">
        <v>1187</v>
      </c>
      <c r="E125" s="36" t="s">
        <v>3054</v>
      </c>
      <c r="F125" s="36" t="s">
        <v>188</v>
      </c>
      <c r="G125" s="36" t="str">
        <f>IF($H125="","",IFERROR(INDEX('Risk Library'!$H$5:$M$411,MATCH($E125,'Risk Library'!$A$5:$A$411,0),$H125+1),""))</f>
        <v/>
      </c>
      <c r="H125" s="37" t="str">
        <f>IF(OR(COUNTA('Legal Risk'!$H$11)=0,'Legal Risk'!$H$11="N/A"),"",VALUE('Legal Risk'!$H$11))</f>
        <v/>
      </c>
      <c r="I125" s="36" t="str">
        <f>IF($H125="","",IFERROR(IF('Legal Risk'!$L$11="",IF($H125&lt;=1,"Critical",IF($H125=2,"High",IF($H125=3,"Medium",IF($H125=4,"Low","Resilient")))),'Legal Risk'!$L$11),IF($H125&lt;=1,"Critical",IF($H125=2,"High",IF($H125=3,"Medium",IF($H125=4,"Low","Resilient"))))))</f>
        <v/>
      </c>
      <c r="J125" s="37" t="str">
        <f t="shared" si="20"/>
        <v/>
      </c>
      <c r="K125" s="37" t="str">
        <f t="shared" si="21"/>
        <v/>
      </c>
      <c r="L125" s="37" t="str">
        <f t="shared" si="22"/>
        <v/>
      </c>
      <c r="M125" s="37" t="str">
        <f t="shared" si="23"/>
        <v/>
      </c>
      <c r="N125" s="37" t="str">
        <f>IF($H125="","",IFERROR(INDEX('Risk Library'!$T$5:$Y$411,MATCH($E125,'Risk Library'!$A$5:$A$411,0),$H125+1),""))</f>
        <v/>
      </c>
      <c r="O125" s="37" t="str">
        <f t="shared" si="24"/>
        <v/>
      </c>
      <c r="P125" s="37" t="str">
        <f t="shared" si="25"/>
        <v/>
      </c>
      <c r="Q125" s="37" t="str">
        <f t="shared" si="26"/>
        <v/>
      </c>
      <c r="R125" s="37" t="str">
        <f t="shared" si="27"/>
        <v/>
      </c>
      <c r="S125" s="38" t="str">
        <f t="shared" si="28"/>
        <v/>
      </c>
      <c r="T125" s="36" t="str">
        <f>IF($H125="","",IFERROR(INDEX('Risk Library'!$N$5:$S$411,MATCH($E125,'Risk Library'!$A$5:$A$411,0),$H125+1),""))</f>
        <v/>
      </c>
      <c r="U125" s="37">
        <f>IFERROR('Legal Risk'!$G$11,"")</f>
        <v>5</v>
      </c>
      <c r="V125" s="37">
        <f>IFERROR('Legal Risk'!$W$11,"")</f>
        <v>5</v>
      </c>
      <c r="W125" s="37">
        <f>IFERROR('Legal Risk'!$X$11,"")</f>
        <v>5</v>
      </c>
      <c r="X125" s="37">
        <f>IFERROR('Legal Risk'!$Y$11,"")</f>
        <v>5</v>
      </c>
      <c r="Y125" s="36" t="s">
        <v>3001</v>
      </c>
      <c r="Z125" s="36" t="s">
        <v>3002</v>
      </c>
      <c r="AA125" s="36" t="s">
        <v>3056</v>
      </c>
      <c r="AB125" s="36">
        <f>IFERROR('Legal Risk'!$U$11,"")</f>
        <v>0</v>
      </c>
      <c r="AC125" s="36"/>
      <c r="AD125" s="36"/>
      <c r="AE125" s="36"/>
      <c r="AF125" s="36" t="s">
        <v>3055</v>
      </c>
      <c r="AO125" s="48" t="str">
        <f>IF($B125="Yes",IFERROR(SUMIFS(_TECH_Crisis_Model!$D$5:$D$191,_TECH_Crisis_Model!$A$5:$A$191,'Crisis Simulator'!$B$4,_TECH_Crisis_Model!$B$5:$B$191,$C125),1),"")</f>
        <v/>
      </c>
      <c r="AP125" s="48" t="str">
        <f t="shared" si="29"/>
        <v/>
      </c>
      <c r="AQ125" s="48" t="str">
        <f t="shared" si="30"/>
        <v/>
      </c>
      <c r="AR125" s="48" t="str">
        <f>IFERROR(INDEX(_TECH_Crisis_Model!$E$5:$E$191,MATCH('Crisis Simulator'!$B$4&amp;"|"&amp;$C125,_TECH_Crisis_Model!$I$5:$I$191,0)),"")</f>
        <v>Contracts, obligations and compliance exposure can turn operational crisis into legal or regulatory failure.</v>
      </c>
      <c r="AS125" s="48" t="str">
        <f>IFERROR(INDEX(_TECH_Crisis_Model!$G$5:$G$191,MATCH('Crisis Simulator'!$B$4&amp;"|"&amp;$C125,_TECH_Crisis_Model!$I$5:$I$191,0)),"")</f>
        <v>Review critical contracts, compliance obligations, force majeure, data protection and legal continuity.</v>
      </c>
      <c r="AT125" s="48" t="str">
        <f>IFERROR(INDEX(_TECH_Initiative_Library!$A$5:$A$76,MATCH(1,INDEX((_TECH_Initiative_Library!$B$5:$B$76=$C125)*(_TECH_Initiative_Library!$C$5:$C$76=$D125),0),0)),"")</f>
        <v>INI-020</v>
      </c>
      <c r="AU125" s="48" t="str">
        <f>IFERROR(INDEX(_TECH_Initiative_Library!$F$5:$F$76,MATCH(1,INDEX((_TECH_Initiative_Library!$B$5:$B$76=$C125)*(_TECH_Initiative_Library!$C$5:$C$76=$D125),0),0)),"")</f>
        <v>Build contract register, obligations and force-majeure response model</v>
      </c>
      <c r="AV125" s="48" t="str">
        <f ca="1">IFERROR(INDEX(_TECH_Initiative_Library!$AC$5:$AC$76,MATCH(1,INDEX((_TECH_Initiative_Library!$B$5:$B$76=$C125)*(_TECH_Initiative_Library!$C$5:$C$76=$D125),0),0)),"")</f>
        <v/>
      </c>
      <c r="AW125" s="48" t="str">
        <f ca="1">IFERROR(INDEX(_TECH_Initiative_Library!$AE$5:$AE$76,MATCH(1,INDEX((_TECH_Initiative_Library!$B$5:$B$76=$C125)*(_TECH_Initiative_Library!$C$5:$C$76=$D125),0),0)),"")</f>
        <v/>
      </c>
      <c r="AX125" s="48" t="str">
        <f>IF($B125="Yes",IFERROR(SUMIFS(_TECH_Industry_Templates!$E:$E,_TECH_Industry_Templates!$A:$A,'Company Profile'!$B$9,_TECH_Industry_Templates!$B:$B,$C125),1),"")</f>
        <v/>
      </c>
      <c r="AY125" s="48" t="str">
        <f t="shared" si="31"/>
        <v/>
      </c>
      <c r="AZ125" s="48" t="str">
        <f t="shared" si="32"/>
        <v/>
      </c>
      <c r="BA125" s="48" t="str">
        <f>IF($AZ125="","",RANK.EQ($AZ125,$AZ$8:$AZ$414,0)+COUNTIF($AZ$8:$AZ125,$AZ125)-1)</f>
        <v/>
      </c>
    </row>
    <row r="126" spans="1:53" ht="69.95" customHeight="1">
      <c r="A126" s="36" t="str">
        <f>IF($AZ126="","",RANK.EQ($AZ126,$AZ$8:$AZ$414,0)+COUNTIF($AZ$8:$AZ126,$AZ126)-1)</f>
        <v/>
      </c>
      <c r="B126" s="36" t="str">
        <f t="shared" si="19"/>
        <v/>
      </c>
      <c r="C126" s="36" t="s">
        <v>69</v>
      </c>
      <c r="D126" s="36" t="s">
        <v>1187</v>
      </c>
      <c r="E126" s="36" t="s">
        <v>3064</v>
      </c>
      <c r="F126" s="36" t="s">
        <v>188</v>
      </c>
      <c r="G126" s="36" t="str">
        <f>IF($H126="","",IFERROR(INDEX('Risk Library'!$H$5:$M$411,MATCH($E126,'Risk Library'!$A$5:$A$411,0),$H126+1),""))</f>
        <v/>
      </c>
      <c r="H126" s="37" t="str">
        <f>IF(OR(COUNTA('Legal Risk'!$H$12)=0,'Legal Risk'!$H$12="N/A"),"",VALUE('Legal Risk'!$H$12))</f>
        <v/>
      </c>
      <c r="I126" s="36" t="str">
        <f>IF($H126="","",IFERROR(IF('Legal Risk'!$L$12="",IF($H126&lt;=1,"Critical",IF($H126=2,"High",IF($H126=3,"Medium",IF($H126=4,"Low","Resilient")))),'Legal Risk'!$L$12),IF($H126&lt;=1,"Critical",IF($H126=2,"High",IF($H126=3,"Medium",IF($H126=4,"Low","Resilient"))))))</f>
        <v/>
      </c>
      <c r="J126" s="37" t="str">
        <f t="shared" si="20"/>
        <v/>
      </c>
      <c r="K126" s="37" t="str">
        <f t="shared" si="21"/>
        <v/>
      </c>
      <c r="L126" s="37" t="str">
        <f t="shared" si="22"/>
        <v/>
      </c>
      <c r="M126" s="37" t="str">
        <f t="shared" si="23"/>
        <v/>
      </c>
      <c r="N126" s="37" t="str">
        <f>IF($H126="","",IFERROR(INDEX('Risk Library'!$T$5:$Y$411,MATCH($E126,'Risk Library'!$A$5:$A$411,0),$H126+1),""))</f>
        <v/>
      </c>
      <c r="O126" s="37" t="str">
        <f t="shared" si="24"/>
        <v/>
      </c>
      <c r="P126" s="37" t="str">
        <f t="shared" si="25"/>
        <v/>
      </c>
      <c r="Q126" s="37" t="str">
        <f t="shared" si="26"/>
        <v/>
      </c>
      <c r="R126" s="37" t="str">
        <f t="shared" si="27"/>
        <v/>
      </c>
      <c r="S126" s="38" t="str">
        <f t="shared" si="28"/>
        <v/>
      </c>
      <c r="T126" s="36" t="str">
        <f>IF($H126="","",IFERROR(INDEX('Risk Library'!$N$5:$S$411,MATCH($E126,'Risk Library'!$A$5:$A$411,0),$H126+1),""))</f>
        <v/>
      </c>
      <c r="U126" s="37">
        <f>IFERROR('Legal Risk'!$G$12,"")</f>
        <v>5</v>
      </c>
      <c r="V126" s="37">
        <f>IFERROR('Legal Risk'!$W$12,"")</f>
        <v>5</v>
      </c>
      <c r="W126" s="37">
        <f>IFERROR('Legal Risk'!$X$12,"")</f>
        <v>5</v>
      </c>
      <c r="X126" s="37">
        <f>IFERROR('Legal Risk'!$Y$12,"")</f>
        <v>5</v>
      </c>
      <c r="Y126" s="36" t="s">
        <v>3001</v>
      </c>
      <c r="Z126" s="36" t="s">
        <v>3002</v>
      </c>
      <c r="AA126" s="36" t="s">
        <v>3066</v>
      </c>
      <c r="AB126" s="36">
        <f>IFERROR('Legal Risk'!$U$12,"")</f>
        <v>0</v>
      </c>
      <c r="AC126" s="36"/>
      <c r="AD126" s="36"/>
      <c r="AE126" s="36"/>
      <c r="AF126" s="36" t="s">
        <v>3065</v>
      </c>
      <c r="AO126" s="48" t="str">
        <f>IF($B126="Yes",IFERROR(SUMIFS(_TECH_Crisis_Model!$D$5:$D$191,_TECH_Crisis_Model!$A$5:$A$191,'Crisis Simulator'!$B$4,_TECH_Crisis_Model!$B$5:$B$191,$C126),1),"")</f>
        <v/>
      </c>
      <c r="AP126" s="48" t="str">
        <f t="shared" si="29"/>
        <v/>
      </c>
      <c r="AQ126" s="48" t="str">
        <f t="shared" si="30"/>
        <v/>
      </c>
      <c r="AR126" s="48" t="str">
        <f>IFERROR(INDEX(_TECH_Crisis_Model!$E$5:$E$191,MATCH('Crisis Simulator'!$B$4&amp;"|"&amp;$C126,_TECH_Crisis_Model!$I$5:$I$191,0)),"")</f>
        <v>Contracts, obligations and compliance exposure can turn operational crisis into legal or regulatory failure.</v>
      </c>
      <c r="AS126" s="48" t="str">
        <f>IFERROR(INDEX(_TECH_Crisis_Model!$G$5:$G$191,MATCH('Crisis Simulator'!$B$4&amp;"|"&amp;$C126,_TECH_Crisis_Model!$I$5:$I$191,0)),"")</f>
        <v>Review critical contracts, compliance obligations, force majeure, data protection and legal continuity.</v>
      </c>
      <c r="AT126" s="48" t="str">
        <f>IFERROR(INDEX(_TECH_Initiative_Library!$A$5:$A$76,MATCH(1,INDEX((_TECH_Initiative_Library!$B$5:$B$76=$C126)*(_TECH_Initiative_Library!$C$5:$C$76=$D126),0),0)),"")</f>
        <v>INI-020</v>
      </c>
      <c r="AU126" s="48" t="str">
        <f>IFERROR(INDEX(_TECH_Initiative_Library!$F$5:$F$76,MATCH(1,INDEX((_TECH_Initiative_Library!$B$5:$B$76=$C126)*(_TECH_Initiative_Library!$C$5:$C$76=$D126),0),0)),"")</f>
        <v>Build contract register, obligations and force-majeure response model</v>
      </c>
      <c r="AV126" s="48" t="str">
        <f ca="1">IFERROR(INDEX(_TECH_Initiative_Library!$AC$5:$AC$76,MATCH(1,INDEX((_TECH_Initiative_Library!$B$5:$B$76=$C126)*(_TECH_Initiative_Library!$C$5:$C$76=$D126),0),0)),"")</f>
        <v/>
      </c>
      <c r="AW126" s="48" t="str">
        <f ca="1">IFERROR(INDEX(_TECH_Initiative_Library!$AE$5:$AE$76,MATCH(1,INDEX((_TECH_Initiative_Library!$B$5:$B$76=$C126)*(_TECH_Initiative_Library!$C$5:$C$76=$D126),0),0)),"")</f>
        <v/>
      </c>
      <c r="AX126" s="48" t="str">
        <f>IF($B126="Yes",IFERROR(SUMIFS(_TECH_Industry_Templates!$E:$E,_TECH_Industry_Templates!$A:$A,'Company Profile'!$B$9,_TECH_Industry_Templates!$B:$B,$C126),1),"")</f>
        <v/>
      </c>
      <c r="AY126" s="48" t="str">
        <f t="shared" si="31"/>
        <v/>
      </c>
      <c r="AZ126" s="48" t="str">
        <f t="shared" si="32"/>
        <v/>
      </c>
      <c r="BA126" s="48" t="str">
        <f>IF($AZ126="","",RANK.EQ($AZ126,$AZ$8:$AZ$414,0)+COUNTIF($AZ$8:$AZ126,$AZ126)-1)</f>
        <v/>
      </c>
    </row>
    <row r="127" spans="1:53" ht="69.95" customHeight="1">
      <c r="A127" s="36" t="str">
        <f>IF($AZ127="","",RANK.EQ($AZ127,$AZ$8:$AZ$414,0)+COUNTIF($AZ$8:$AZ127,$AZ127)-1)</f>
        <v/>
      </c>
      <c r="B127" s="36" t="str">
        <f t="shared" si="19"/>
        <v/>
      </c>
      <c r="C127" s="36" t="s">
        <v>69</v>
      </c>
      <c r="D127" s="36" t="s">
        <v>1187</v>
      </c>
      <c r="E127" s="36" t="s">
        <v>3074</v>
      </c>
      <c r="F127" s="36" t="s">
        <v>188</v>
      </c>
      <c r="G127" s="36" t="str">
        <f>IF($H127="","",IFERROR(INDEX('Risk Library'!$H$5:$M$411,MATCH($E127,'Risk Library'!$A$5:$A$411,0),$H127+1),""))</f>
        <v/>
      </c>
      <c r="H127" s="37" t="str">
        <f>IF(OR(COUNTA('Legal Risk'!$H$13)=0,'Legal Risk'!$H$13="N/A"),"",VALUE('Legal Risk'!$H$13))</f>
        <v/>
      </c>
      <c r="I127" s="36" t="str">
        <f>IF($H127="","",IFERROR(IF('Legal Risk'!$L$13="",IF($H127&lt;=1,"Critical",IF($H127=2,"High",IF($H127=3,"Medium",IF($H127=4,"Low","Resilient")))),'Legal Risk'!$L$13),IF($H127&lt;=1,"Critical",IF($H127=2,"High",IF($H127=3,"Medium",IF($H127=4,"Low","Resilient"))))))</f>
        <v/>
      </c>
      <c r="J127" s="37" t="str">
        <f t="shared" si="20"/>
        <v/>
      </c>
      <c r="K127" s="37" t="str">
        <f t="shared" si="21"/>
        <v/>
      </c>
      <c r="L127" s="37" t="str">
        <f t="shared" si="22"/>
        <v/>
      </c>
      <c r="M127" s="37" t="str">
        <f t="shared" si="23"/>
        <v/>
      </c>
      <c r="N127" s="37" t="str">
        <f>IF($H127="","",IFERROR(INDEX('Risk Library'!$T$5:$Y$411,MATCH($E127,'Risk Library'!$A$5:$A$411,0),$H127+1),""))</f>
        <v/>
      </c>
      <c r="O127" s="37" t="str">
        <f t="shared" si="24"/>
        <v/>
      </c>
      <c r="P127" s="37" t="str">
        <f t="shared" si="25"/>
        <v/>
      </c>
      <c r="Q127" s="37" t="str">
        <f t="shared" si="26"/>
        <v/>
      </c>
      <c r="R127" s="37" t="str">
        <f t="shared" si="27"/>
        <v/>
      </c>
      <c r="S127" s="38" t="str">
        <f t="shared" si="28"/>
        <v/>
      </c>
      <c r="T127" s="36" t="str">
        <f>IF($H127="","",IFERROR(INDEX('Risk Library'!$N$5:$S$411,MATCH($E127,'Risk Library'!$A$5:$A$411,0),$H127+1),""))</f>
        <v/>
      </c>
      <c r="U127" s="37">
        <f>IFERROR('Legal Risk'!$G$13,"")</f>
        <v>4</v>
      </c>
      <c r="V127" s="37">
        <f>IFERROR('Legal Risk'!$W$13,"")</f>
        <v>5</v>
      </c>
      <c r="W127" s="37">
        <f>IFERROR('Legal Risk'!$X$13,"")</f>
        <v>5</v>
      </c>
      <c r="X127" s="37">
        <f>IFERROR('Legal Risk'!$Y$13,"")</f>
        <v>5</v>
      </c>
      <c r="Y127" s="36" t="s">
        <v>3001</v>
      </c>
      <c r="Z127" s="36" t="s">
        <v>3002</v>
      </c>
      <c r="AA127" s="36" t="s">
        <v>3076</v>
      </c>
      <c r="AB127" s="36">
        <f>IFERROR('Legal Risk'!$U$13,"")</f>
        <v>0</v>
      </c>
      <c r="AC127" s="36"/>
      <c r="AD127" s="36"/>
      <c r="AE127" s="36"/>
      <c r="AF127" s="36" t="s">
        <v>3075</v>
      </c>
      <c r="AO127" s="48" t="str">
        <f>IF($B127="Yes",IFERROR(SUMIFS(_TECH_Crisis_Model!$D$5:$D$191,_TECH_Crisis_Model!$A$5:$A$191,'Crisis Simulator'!$B$4,_TECH_Crisis_Model!$B$5:$B$191,$C127),1),"")</f>
        <v/>
      </c>
      <c r="AP127" s="48" t="str">
        <f t="shared" si="29"/>
        <v/>
      </c>
      <c r="AQ127" s="48" t="str">
        <f t="shared" si="30"/>
        <v/>
      </c>
      <c r="AR127" s="48" t="str">
        <f>IFERROR(INDEX(_TECH_Crisis_Model!$E$5:$E$191,MATCH('Crisis Simulator'!$B$4&amp;"|"&amp;$C127,_TECH_Crisis_Model!$I$5:$I$191,0)),"")</f>
        <v>Contracts, obligations and compliance exposure can turn operational crisis into legal or regulatory failure.</v>
      </c>
      <c r="AS127" s="48" t="str">
        <f>IFERROR(INDEX(_TECH_Crisis_Model!$G$5:$G$191,MATCH('Crisis Simulator'!$B$4&amp;"|"&amp;$C127,_TECH_Crisis_Model!$I$5:$I$191,0)),"")</f>
        <v>Review critical contracts, compliance obligations, force majeure, data protection and legal continuity.</v>
      </c>
      <c r="AT127" s="48" t="str">
        <f>IFERROR(INDEX(_TECH_Initiative_Library!$A$5:$A$76,MATCH(1,INDEX((_TECH_Initiative_Library!$B$5:$B$76=$C127)*(_TECH_Initiative_Library!$C$5:$C$76=$D127),0),0)),"")</f>
        <v>INI-020</v>
      </c>
      <c r="AU127" s="48" t="str">
        <f>IFERROR(INDEX(_TECH_Initiative_Library!$F$5:$F$76,MATCH(1,INDEX((_TECH_Initiative_Library!$B$5:$B$76=$C127)*(_TECH_Initiative_Library!$C$5:$C$76=$D127),0),0)),"")</f>
        <v>Build contract register, obligations and force-majeure response model</v>
      </c>
      <c r="AV127" s="48" t="str">
        <f ca="1">IFERROR(INDEX(_TECH_Initiative_Library!$AC$5:$AC$76,MATCH(1,INDEX((_TECH_Initiative_Library!$B$5:$B$76=$C127)*(_TECH_Initiative_Library!$C$5:$C$76=$D127),0),0)),"")</f>
        <v/>
      </c>
      <c r="AW127" s="48" t="str">
        <f ca="1">IFERROR(INDEX(_TECH_Initiative_Library!$AE$5:$AE$76,MATCH(1,INDEX((_TECH_Initiative_Library!$B$5:$B$76=$C127)*(_TECH_Initiative_Library!$C$5:$C$76=$D127),0),0)),"")</f>
        <v/>
      </c>
      <c r="AX127" s="48" t="str">
        <f>IF($B127="Yes",IFERROR(SUMIFS(_TECH_Industry_Templates!$E:$E,_TECH_Industry_Templates!$A:$A,'Company Profile'!$B$9,_TECH_Industry_Templates!$B:$B,$C127),1),"")</f>
        <v/>
      </c>
      <c r="AY127" s="48" t="str">
        <f t="shared" si="31"/>
        <v/>
      </c>
      <c r="AZ127" s="48" t="str">
        <f t="shared" si="32"/>
        <v/>
      </c>
      <c r="BA127" s="48" t="str">
        <f>IF($AZ127="","",RANK.EQ($AZ127,$AZ$8:$AZ$414,0)+COUNTIF($AZ$8:$AZ127,$AZ127)-1)</f>
        <v/>
      </c>
    </row>
    <row r="128" spans="1:53" ht="69.95" customHeight="1">
      <c r="A128" s="36" t="str">
        <f>IF($AZ128="","",RANK.EQ($AZ128,$AZ$8:$AZ$414,0)+COUNTIF($AZ$8:$AZ128,$AZ128)-1)</f>
        <v/>
      </c>
      <c r="B128" s="36" t="str">
        <f t="shared" si="19"/>
        <v/>
      </c>
      <c r="C128" s="36" t="s">
        <v>69</v>
      </c>
      <c r="D128" s="36" t="s">
        <v>1187</v>
      </c>
      <c r="E128" s="36" t="s">
        <v>3084</v>
      </c>
      <c r="F128" s="36" t="s">
        <v>188</v>
      </c>
      <c r="G128" s="36" t="str">
        <f>IF($H128="","",IFERROR(INDEX('Risk Library'!$H$5:$M$411,MATCH($E128,'Risk Library'!$A$5:$A$411,0),$H128+1),""))</f>
        <v/>
      </c>
      <c r="H128" s="37" t="str">
        <f>IF(OR(COUNTA('Legal Risk'!$H$14)=0,'Legal Risk'!$H$14="N/A"),"",VALUE('Legal Risk'!$H$14))</f>
        <v/>
      </c>
      <c r="I128" s="36" t="str">
        <f>IF($H128="","",IFERROR(IF('Legal Risk'!$L$14="",IF($H128&lt;=1,"Critical",IF($H128=2,"High",IF($H128=3,"Medium",IF($H128=4,"Low","Resilient")))),'Legal Risk'!$L$14),IF($H128&lt;=1,"Critical",IF($H128=2,"High",IF($H128=3,"Medium",IF($H128=4,"Low","Resilient"))))))</f>
        <v/>
      </c>
      <c r="J128" s="37" t="str">
        <f t="shared" si="20"/>
        <v/>
      </c>
      <c r="K128" s="37" t="str">
        <f t="shared" si="21"/>
        <v/>
      </c>
      <c r="L128" s="37" t="str">
        <f t="shared" si="22"/>
        <v/>
      </c>
      <c r="M128" s="37" t="str">
        <f t="shared" si="23"/>
        <v/>
      </c>
      <c r="N128" s="37" t="str">
        <f>IF($H128="","",IFERROR(INDEX('Risk Library'!$T$5:$Y$411,MATCH($E128,'Risk Library'!$A$5:$A$411,0),$H128+1),""))</f>
        <v/>
      </c>
      <c r="O128" s="37" t="str">
        <f t="shared" si="24"/>
        <v/>
      </c>
      <c r="P128" s="37" t="str">
        <f t="shared" si="25"/>
        <v/>
      </c>
      <c r="Q128" s="37" t="str">
        <f t="shared" si="26"/>
        <v/>
      </c>
      <c r="R128" s="37" t="str">
        <f t="shared" si="27"/>
        <v/>
      </c>
      <c r="S128" s="38" t="str">
        <f t="shared" si="28"/>
        <v/>
      </c>
      <c r="T128" s="36" t="str">
        <f>IF($H128="","",IFERROR(INDEX('Risk Library'!$N$5:$S$411,MATCH($E128,'Risk Library'!$A$5:$A$411,0),$H128+1),""))</f>
        <v/>
      </c>
      <c r="U128" s="37">
        <f>IFERROR('Legal Risk'!$G$14,"")</f>
        <v>5</v>
      </c>
      <c r="V128" s="37">
        <f>IFERROR('Legal Risk'!$W$14,"")</f>
        <v>5</v>
      </c>
      <c r="W128" s="37">
        <f>IFERROR('Legal Risk'!$X$14,"")</f>
        <v>5</v>
      </c>
      <c r="X128" s="37">
        <f>IFERROR('Legal Risk'!$Y$14,"")</f>
        <v>5</v>
      </c>
      <c r="Y128" s="36" t="s">
        <v>3001</v>
      </c>
      <c r="Z128" s="36" t="s">
        <v>3002</v>
      </c>
      <c r="AA128" s="36" t="s">
        <v>3086</v>
      </c>
      <c r="AB128" s="36">
        <f>IFERROR('Legal Risk'!$U$14,"")</f>
        <v>0</v>
      </c>
      <c r="AC128" s="36"/>
      <c r="AD128" s="36"/>
      <c r="AE128" s="36"/>
      <c r="AF128" s="36" t="s">
        <v>3085</v>
      </c>
      <c r="AO128" s="48" t="str">
        <f>IF($B128="Yes",IFERROR(SUMIFS(_TECH_Crisis_Model!$D$5:$D$191,_TECH_Crisis_Model!$A$5:$A$191,'Crisis Simulator'!$B$4,_TECH_Crisis_Model!$B$5:$B$191,$C128),1),"")</f>
        <v/>
      </c>
      <c r="AP128" s="48" t="str">
        <f t="shared" si="29"/>
        <v/>
      </c>
      <c r="AQ128" s="48" t="str">
        <f t="shared" si="30"/>
        <v/>
      </c>
      <c r="AR128" s="48" t="str">
        <f>IFERROR(INDEX(_TECH_Crisis_Model!$E$5:$E$191,MATCH('Crisis Simulator'!$B$4&amp;"|"&amp;$C128,_TECH_Crisis_Model!$I$5:$I$191,0)),"")</f>
        <v>Contracts, obligations and compliance exposure can turn operational crisis into legal or regulatory failure.</v>
      </c>
      <c r="AS128" s="48" t="str">
        <f>IFERROR(INDEX(_TECH_Crisis_Model!$G$5:$G$191,MATCH('Crisis Simulator'!$B$4&amp;"|"&amp;$C128,_TECH_Crisis_Model!$I$5:$I$191,0)),"")</f>
        <v>Review critical contracts, compliance obligations, force majeure, data protection and legal continuity.</v>
      </c>
      <c r="AT128" s="48" t="str">
        <f>IFERROR(INDEX(_TECH_Initiative_Library!$A$5:$A$76,MATCH(1,INDEX((_TECH_Initiative_Library!$B$5:$B$76=$C128)*(_TECH_Initiative_Library!$C$5:$C$76=$D128),0),0)),"")</f>
        <v>INI-020</v>
      </c>
      <c r="AU128" s="48" t="str">
        <f>IFERROR(INDEX(_TECH_Initiative_Library!$F$5:$F$76,MATCH(1,INDEX((_TECH_Initiative_Library!$B$5:$B$76=$C128)*(_TECH_Initiative_Library!$C$5:$C$76=$D128),0),0)),"")</f>
        <v>Build contract register, obligations and force-majeure response model</v>
      </c>
      <c r="AV128" s="48" t="str">
        <f ca="1">IFERROR(INDEX(_TECH_Initiative_Library!$AC$5:$AC$76,MATCH(1,INDEX((_TECH_Initiative_Library!$B$5:$B$76=$C128)*(_TECH_Initiative_Library!$C$5:$C$76=$D128),0),0)),"")</f>
        <v/>
      </c>
      <c r="AW128" s="48" t="str">
        <f ca="1">IFERROR(INDEX(_TECH_Initiative_Library!$AE$5:$AE$76,MATCH(1,INDEX((_TECH_Initiative_Library!$B$5:$B$76=$C128)*(_TECH_Initiative_Library!$C$5:$C$76=$D128),0),0)),"")</f>
        <v/>
      </c>
      <c r="AX128" s="48" t="str">
        <f>IF($B128="Yes",IFERROR(SUMIFS(_TECH_Industry_Templates!$E:$E,_TECH_Industry_Templates!$A:$A,'Company Profile'!$B$9,_TECH_Industry_Templates!$B:$B,$C128),1),"")</f>
        <v/>
      </c>
      <c r="AY128" s="48" t="str">
        <f t="shared" si="31"/>
        <v/>
      </c>
      <c r="AZ128" s="48" t="str">
        <f t="shared" si="32"/>
        <v/>
      </c>
      <c r="BA128" s="48" t="str">
        <f>IF($AZ128="","",RANK.EQ($AZ128,$AZ$8:$AZ$414,0)+COUNTIF($AZ$8:$AZ128,$AZ128)-1)</f>
        <v/>
      </c>
    </row>
    <row r="129" spans="1:53" ht="69.95" customHeight="1">
      <c r="A129" s="36" t="str">
        <f>IF($AZ129="","",RANK.EQ($AZ129,$AZ$8:$AZ$414,0)+COUNTIF($AZ$8:$AZ129,$AZ129)-1)</f>
        <v/>
      </c>
      <c r="B129" s="36" t="str">
        <f t="shared" si="19"/>
        <v/>
      </c>
      <c r="C129" s="36" t="s">
        <v>69</v>
      </c>
      <c r="D129" s="36" t="s">
        <v>1187</v>
      </c>
      <c r="E129" s="36" t="s">
        <v>3094</v>
      </c>
      <c r="F129" s="36" t="s">
        <v>188</v>
      </c>
      <c r="G129" s="36" t="str">
        <f>IF($H129="","",IFERROR(INDEX('Risk Library'!$H$5:$M$411,MATCH($E129,'Risk Library'!$A$5:$A$411,0),$H129+1),""))</f>
        <v/>
      </c>
      <c r="H129" s="37" t="str">
        <f>IF(OR(COUNTA('Legal Risk'!$H$15)=0,'Legal Risk'!$H$15="N/A"),"",VALUE('Legal Risk'!$H$15))</f>
        <v/>
      </c>
      <c r="I129" s="36" t="str">
        <f>IF($H129="","",IFERROR(IF('Legal Risk'!$L$15="",IF($H129&lt;=1,"Critical",IF($H129=2,"High",IF($H129=3,"Medium",IF($H129=4,"Low","Resilient")))),'Legal Risk'!$L$15),IF($H129&lt;=1,"Critical",IF($H129=2,"High",IF($H129=3,"Medium",IF($H129=4,"Low","Resilient"))))))</f>
        <v/>
      </c>
      <c r="J129" s="37" t="str">
        <f t="shared" si="20"/>
        <v/>
      </c>
      <c r="K129" s="37" t="str">
        <f t="shared" si="21"/>
        <v/>
      </c>
      <c r="L129" s="37" t="str">
        <f t="shared" si="22"/>
        <v/>
      </c>
      <c r="M129" s="37" t="str">
        <f t="shared" si="23"/>
        <v/>
      </c>
      <c r="N129" s="37" t="str">
        <f>IF($H129="","",IFERROR(INDEX('Risk Library'!$T$5:$Y$411,MATCH($E129,'Risk Library'!$A$5:$A$411,0),$H129+1),""))</f>
        <v/>
      </c>
      <c r="O129" s="37" t="str">
        <f t="shared" si="24"/>
        <v/>
      </c>
      <c r="P129" s="37" t="str">
        <f t="shared" si="25"/>
        <v/>
      </c>
      <c r="Q129" s="37" t="str">
        <f t="shared" si="26"/>
        <v/>
      </c>
      <c r="R129" s="37" t="str">
        <f t="shared" si="27"/>
        <v/>
      </c>
      <c r="S129" s="38" t="str">
        <f t="shared" si="28"/>
        <v/>
      </c>
      <c r="T129" s="36" t="str">
        <f>IF($H129="","",IFERROR(INDEX('Risk Library'!$N$5:$S$411,MATCH($E129,'Risk Library'!$A$5:$A$411,0),$H129+1),""))</f>
        <v/>
      </c>
      <c r="U129" s="37">
        <f>IFERROR('Legal Risk'!$G$15,"")</f>
        <v>5</v>
      </c>
      <c r="V129" s="37">
        <f>IFERROR('Legal Risk'!$W$15,"")</f>
        <v>5</v>
      </c>
      <c r="W129" s="37">
        <f>IFERROR('Legal Risk'!$X$15,"")</f>
        <v>5</v>
      </c>
      <c r="X129" s="37">
        <f>IFERROR('Legal Risk'!$Y$15,"")</f>
        <v>5</v>
      </c>
      <c r="Y129" s="36" t="s">
        <v>3001</v>
      </c>
      <c r="Z129" s="36" t="s">
        <v>3002</v>
      </c>
      <c r="AA129" s="36" t="s">
        <v>3096</v>
      </c>
      <c r="AB129" s="36">
        <f>IFERROR('Legal Risk'!$U$15,"")</f>
        <v>0</v>
      </c>
      <c r="AC129" s="36"/>
      <c r="AD129" s="36"/>
      <c r="AE129" s="36"/>
      <c r="AF129" s="36" t="s">
        <v>3095</v>
      </c>
      <c r="AO129" s="48" t="str">
        <f>IF($B129="Yes",IFERROR(SUMIFS(_TECH_Crisis_Model!$D$5:$D$191,_TECH_Crisis_Model!$A$5:$A$191,'Crisis Simulator'!$B$4,_TECH_Crisis_Model!$B$5:$B$191,$C129),1),"")</f>
        <v/>
      </c>
      <c r="AP129" s="48" t="str">
        <f t="shared" si="29"/>
        <v/>
      </c>
      <c r="AQ129" s="48" t="str">
        <f t="shared" si="30"/>
        <v/>
      </c>
      <c r="AR129" s="48" t="str">
        <f>IFERROR(INDEX(_TECH_Crisis_Model!$E$5:$E$191,MATCH('Crisis Simulator'!$B$4&amp;"|"&amp;$C129,_TECH_Crisis_Model!$I$5:$I$191,0)),"")</f>
        <v>Contracts, obligations and compliance exposure can turn operational crisis into legal or regulatory failure.</v>
      </c>
      <c r="AS129" s="48" t="str">
        <f>IFERROR(INDEX(_TECH_Crisis_Model!$G$5:$G$191,MATCH('Crisis Simulator'!$B$4&amp;"|"&amp;$C129,_TECH_Crisis_Model!$I$5:$I$191,0)),"")</f>
        <v>Review critical contracts, compliance obligations, force majeure, data protection and legal continuity.</v>
      </c>
      <c r="AT129" s="48" t="str">
        <f>IFERROR(INDEX(_TECH_Initiative_Library!$A$5:$A$76,MATCH(1,INDEX((_TECH_Initiative_Library!$B$5:$B$76=$C129)*(_TECH_Initiative_Library!$C$5:$C$76=$D129),0),0)),"")</f>
        <v>INI-020</v>
      </c>
      <c r="AU129" s="48" t="str">
        <f>IFERROR(INDEX(_TECH_Initiative_Library!$F$5:$F$76,MATCH(1,INDEX((_TECH_Initiative_Library!$B$5:$B$76=$C129)*(_TECH_Initiative_Library!$C$5:$C$76=$D129),0),0)),"")</f>
        <v>Build contract register, obligations and force-majeure response model</v>
      </c>
      <c r="AV129" s="48" t="str">
        <f ca="1">IFERROR(INDEX(_TECH_Initiative_Library!$AC$5:$AC$76,MATCH(1,INDEX((_TECH_Initiative_Library!$B$5:$B$76=$C129)*(_TECH_Initiative_Library!$C$5:$C$76=$D129),0),0)),"")</f>
        <v/>
      </c>
      <c r="AW129" s="48" t="str">
        <f ca="1">IFERROR(INDEX(_TECH_Initiative_Library!$AE$5:$AE$76,MATCH(1,INDEX((_TECH_Initiative_Library!$B$5:$B$76=$C129)*(_TECH_Initiative_Library!$C$5:$C$76=$D129),0),0)),"")</f>
        <v/>
      </c>
      <c r="AX129" s="48" t="str">
        <f>IF($B129="Yes",IFERROR(SUMIFS(_TECH_Industry_Templates!$E:$E,_TECH_Industry_Templates!$A:$A,'Company Profile'!$B$9,_TECH_Industry_Templates!$B:$B,$C129),1),"")</f>
        <v/>
      </c>
      <c r="AY129" s="48" t="str">
        <f t="shared" si="31"/>
        <v/>
      </c>
      <c r="AZ129" s="48" t="str">
        <f t="shared" si="32"/>
        <v/>
      </c>
      <c r="BA129" s="48" t="str">
        <f>IF($AZ129="","",RANK.EQ($AZ129,$AZ$8:$AZ$414,0)+COUNTIF($AZ$8:$AZ129,$AZ129)-1)</f>
        <v/>
      </c>
    </row>
    <row r="130" spans="1:53" ht="69.95" customHeight="1">
      <c r="A130" s="36" t="str">
        <f>IF($AZ130="","",RANK.EQ($AZ130,$AZ$8:$AZ$414,0)+COUNTIF($AZ$8:$AZ130,$AZ130)-1)</f>
        <v/>
      </c>
      <c r="B130" s="36" t="str">
        <f t="shared" si="19"/>
        <v/>
      </c>
      <c r="C130" s="36" t="s">
        <v>69</v>
      </c>
      <c r="D130" s="36" t="s">
        <v>1187</v>
      </c>
      <c r="E130" s="36" t="s">
        <v>3104</v>
      </c>
      <c r="F130" s="36" t="s">
        <v>188</v>
      </c>
      <c r="G130" s="36" t="str">
        <f>IF($H130="","",IFERROR(INDEX('Risk Library'!$H$5:$M$411,MATCH($E130,'Risk Library'!$A$5:$A$411,0),$H130+1),""))</f>
        <v/>
      </c>
      <c r="H130" s="37" t="str">
        <f>IF(OR(COUNTA('Legal Risk'!$H$16)=0,'Legal Risk'!$H$16="N/A"),"",VALUE('Legal Risk'!$H$16))</f>
        <v/>
      </c>
      <c r="I130" s="36" t="str">
        <f>IF($H130="","",IFERROR(IF('Legal Risk'!$L$16="",IF($H130&lt;=1,"Critical",IF($H130=2,"High",IF($H130=3,"Medium",IF($H130=4,"Low","Resilient")))),'Legal Risk'!$L$16),IF($H130&lt;=1,"Critical",IF($H130=2,"High",IF($H130=3,"Medium",IF($H130=4,"Low","Resilient"))))))</f>
        <v/>
      </c>
      <c r="J130" s="37" t="str">
        <f t="shared" si="20"/>
        <v/>
      </c>
      <c r="K130" s="37" t="str">
        <f t="shared" si="21"/>
        <v/>
      </c>
      <c r="L130" s="37" t="str">
        <f t="shared" si="22"/>
        <v/>
      </c>
      <c r="M130" s="37" t="str">
        <f t="shared" si="23"/>
        <v/>
      </c>
      <c r="N130" s="37" t="str">
        <f>IF($H130="","",IFERROR(INDEX('Risk Library'!$T$5:$Y$411,MATCH($E130,'Risk Library'!$A$5:$A$411,0),$H130+1),""))</f>
        <v/>
      </c>
      <c r="O130" s="37" t="str">
        <f t="shared" si="24"/>
        <v/>
      </c>
      <c r="P130" s="37" t="str">
        <f t="shared" si="25"/>
        <v/>
      </c>
      <c r="Q130" s="37" t="str">
        <f t="shared" si="26"/>
        <v/>
      </c>
      <c r="R130" s="37" t="str">
        <f t="shared" si="27"/>
        <v/>
      </c>
      <c r="S130" s="38" t="str">
        <f t="shared" si="28"/>
        <v/>
      </c>
      <c r="T130" s="36" t="str">
        <f>IF($H130="","",IFERROR(INDEX('Risk Library'!$N$5:$S$411,MATCH($E130,'Risk Library'!$A$5:$A$411,0),$H130+1),""))</f>
        <v/>
      </c>
      <c r="U130" s="37">
        <f>IFERROR('Legal Risk'!$G$16,"")</f>
        <v>5</v>
      </c>
      <c r="V130" s="37">
        <f>IFERROR('Legal Risk'!$W$16,"")</f>
        <v>5</v>
      </c>
      <c r="W130" s="37">
        <f>IFERROR('Legal Risk'!$X$16,"")</f>
        <v>5</v>
      </c>
      <c r="X130" s="37">
        <f>IFERROR('Legal Risk'!$Y$16,"")</f>
        <v>5</v>
      </c>
      <c r="Y130" s="36" t="s">
        <v>3001</v>
      </c>
      <c r="Z130" s="36" t="s">
        <v>3002</v>
      </c>
      <c r="AA130" s="36" t="s">
        <v>3106</v>
      </c>
      <c r="AB130" s="36">
        <f>IFERROR('Legal Risk'!$U$16,"")</f>
        <v>0</v>
      </c>
      <c r="AC130" s="36"/>
      <c r="AD130" s="36"/>
      <c r="AE130" s="36"/>
      <c r="AF130" s="36" t="s">
        <v>3105</v>
      </c>
      <c r="AO130" s="48" t="str">
        <f>IF($B130="Yes",IFERROR(SUMIFS(_TECH_Crisis_Model!$D$5:$D$191,_TECH_Crisis_Model!$A$5:$A$191,'Crisis Simulator'!$B$4,_TECH_Crisis_Model!$B$5:$B$191,$C130),1),"")</f>
        <v/>
      </c>
      <c r="AP130" s="48" t="str">
        <f t="shared" si="29"/>
        <v/>
      </c>
      <c r="AQ130" s="48" t="str">
        <f t="shared" si="30"/>
        <v/>
      </c>
      <c r="AR130" s="48" t="str">
        <f>IFERROR(INDEX(_TECH_Crisis_Model!$E$5:$E$191,MATCH('Crisis Simulator'!$B$4&amp;"|"&amp;$C130,_TECH_Crisis_Model!$I$5:$I$191,0)),"")</f>
        <v>Contracts, obligations and compliance exposure can turn operational crisis into legal or regulatory failure.</v>
      </c>
      <c r="AS130" s="48" t="str">
        <f>IFERROR(INDEX(_TECH_Crisis_Model!$G$5:$G$191,MATCH('Crisis Simulator'!$B$4&amp;"|"&amp;$C130,_TECH_Crisis_Model!$I$5:$I$191,0)),"")</f>
        <v>Review critical contracts, compliance obligations, force majeure, data protection and legal continuity.</v>
      </c>
      <c r="AT130" s="48" t="str">
        <f>IFERROR(INDEX(_TECH_Initiative_Library!$A$5:$A$76,MATCH(1,INDEX((_TECH_Initiative_Library!$B$5:$B$76=$C130)*(_TECH_Initiative_Library!$C$5:$C$76=$D130),0),0)),"")</f>
        <v>INI-020</v>
      </c>
      <c r="AU130" s="48" t="str">
        <f>IFERROR(INDEX(_TECH_Initiative_Library!$F$5:$F$76,MATCH(1,INDEX((_TECH_Initiative_Library!$B$5:$B$76=$C130)*(_TECH_Initiative_Library!$C$5:$C$76=$D130),0),0)),"")</f>
        <v>Build contract register, obligations and force-majeure response model</v>
      </c>
      <c r="AV130" s="48" t="str">
        <f ca="1">IFERROR(INDEX(_TECH_Initiative_Library!$AC$5:$AC$76,MATCH(1,INDEX((_TECH_Initiative_Library!$B$5:$B$76=$C130)*(_TECH_Initiative_Library!$C$5:$C$76=$D130),0),0)),"")</f>
        <v/>
      </c>
      <c r="AW130" s="48" t="str">
        <f ca="1">IFERROR(INDEX(_TECH_Initiative_Library!$AE$5:$AE$76,MATCH(1,INDEX((_TECH_Initiative_Library!$B$5:$B$76=$C130)*(_TECH_Initiative_Library!$C$5:$C$76=$D130),0),0)),"")</f>
        <v/>
      </c>
      <c r="AX130" s="48" t="str">
        <f>IF($B130="Yes",IFERROR(SUMIFS(_TECH_Industry_Templates!$E:$E,_TECH_Industry_Templates!$A:$A,'Company Profile'!$B$9,_TECH_Industry_Templates!$B:$B,$C130),1),"")</f>
        <v/>
      </c>
      <c r="AY130" s="48" t="str">
        <f t="shared" si="31"/>
        <v/>
      </c>
      <c r="AZ130" s="48" t="str">
        <f t="shared" si="32"/>
        <v/>
      </c>
      <c r="BA130" s="48" t="str">
        <f>IF($AZ130="","",RANK.EQ($AZ130,$AZ$8:$AZ$414,0)+COUNTIF($AZ$8:$AZ130,$AZ130)-1)</f>
        <v/>
      </c>
    </row>
    <row r="131" spans="1:53" ht="69.95" customHeight="1">
      <c r="A131" s="36" t="str">
        <f>IF($AZ131="","",RANK.EQ($AZ131,$AZ$8:$AZ$414,0)+COUNTIF($AZ$8:$AZ131,$AZ131)-1)</f>
        <v/>
      </c>
      <c r="B131" s="36" t="str">
        <f t="shared" si="19"/>
        <v/>
      </c>
      <c r="C131" s="36" t="s">
        <v>69</v>
      </c>
      <c r="D131" s="36" t="s">
        <v>1195</v>
      </c>
      <c r="E131" s="36" t="s">
        <v>3114</v>
      </c>
      <c r="F131" s="36" t="s">
        <v>188</v>
      </c>
      <c r="G131" s="36" t="str">
        <f>IF($H131="","",IFERROR(INDEX('Risk Library'!$H$5:$M$411,MATCH($E131,'Risk Library'!$A$5:$A$411,0),$H131+1),""))</f>
        <v/>
      </c>
      <c r="H131" s="37" t="str">
        <f>IF(OR(COUNTA('Legal Risk'!$H$17)=0,'Legal Risk'!$H$17="N/A"),"",VALUE('Legal Risk'!$H$17))</f>
        <v/>
      </c>
      <c r="I131" s="36" t="str">
        <f>IF($H131="","",IFERROR(IF('Legal Risk'!$L$17="",IF($H131&lt;=1,"Critical",IF($H131=2,"High",IF($H131=3,"Medium",IF($H131=4,"Low","Resilient")))),'Legal Risk'!$L$17),IF($H131&lt;=1,"Critical",IF($H131=2,"High",IF($H131=3,"Medium",IF($H131=4,"Low","Resilient"))))))</f>
        <v/>
      </c>
      <c r="J131" s="37" t="str">
        <f t="shared" si="20"/>
        <v/>
      </c>
      <c r="K131" s="37" t="str">
        <f t="shared" si="21"/>
        <v/>
      </c>
      <c r="L131" s="37" t="str">
        <f t="shared" si="22"/>
        <v/>
      </c>
      <c r="M131" s="37" t="str">
        <f t="shared" si="23"/>
        <v/>
      </c>
      <c r="N131" s="37" t="str">
        <f>IF($H131="","",IFERROR(INDEX('Risk Library'!$T$5:$Y$411,MATCH($E131,'Risk Library'!$A$5:$A$411,0),$H131+1),""))</f>
        <v/>
      </c>
      <c r="O131" s="37" t="str">
        <f t="shared" si="24"/>
        <v/>
      </c>
      <c r="P131" s="37" t="str">
        <f t="shared" si="25"/>
        <v/>
      </c>
      <c r="Q131" s="37" t="str">
        <f t="shared" si="26"/>
        <v/>
      </c>
      <c r="R131" s="37" t="str">
        <f t="shared" si="27"/>
        <v/>
      </c>
      <c r="S131" s="38" t="str">
        <f t="shared" si="28"/>
        <v/>
      </c>
      <c r="T131" s="36" t="str">
        <f>IF($H131="","",IFERROR(INDEX('Risk Library'!$N$5:$S$411,MATCH($E131,'Risk Library'!$A$5:$A$411,0),$H131+1),""))</f>
        <v/>
      </c>
      <c r="U131" s="37">
        <f>IFERROR('Legal Risk'!$G$17,"")</f>
        <v>5</v>
      </c>
      <c r="V131" s="37">
        <f>IFERROR('Legal Risk'!$W$17,"")</f>
        <v>5</v>
      </c>
      <c r="W131" s="37">
        <f>IFERROR('Legal Risk'!$X$17,"")</f>
        <v>5</v>
      </c>
      <c r="X131" s="37">
        <f>IFERROR('Legal Risk'!$Y$17,"")</f>
        <v>5</v>
      </c>
      <c r="Y131" s="36" t="s">
        <v>3001</v>
      </c>
      <c r="Z131" s="36" t="s">
        <v>3002</v>
      </c>
      <c r="AA131" s="36" t="s">
        <v>3116</v>
      </c>
      <c r="AB131" s="36">
        <f>IFERROR('Legal Risk'!$U$17,"")</f>
        <v>0</v>
      </c>
      <c r="AC131" s="36"/>
      <c r="AD131" s="36"/>
      <c r="AE131" s="36"/>
      <c r="AF131" s="36" t="s">
        <v>3115</v>
      </c>
      <c r="AO131" s="48" t="str">
        <f>IF($B131="Yes",IFERROR(SUMIFS(_TECH_Crisis_Model!$D$5:$D$191,_TECH_Crisis_Model!$A$5:$A$191,'Crisis Simulator'!$B$4,_TECH_Crisis_Model!$B$5:$B$191,$C131),1),"")</f>
        <v/>
      </c>
      <c r="AP131" s="48" t="str">
        <f t="shared" si="29"/>
        <v/>
      </c>
      <c r="AQ131" s="48" t="str">
        <f t="shared" si="30"/>
        <v/>
      </c>
      <c r="AR131" s="48" t="str">
        <f>IFERROR(INDEX(_TECH_Crisis_Model!$E$5:$E$191,MATCH('Crisis Simulator'!$B$4&amp;"|"&amp;$C131,_TECH_Crisis_Model!$I$5:$I$191,0)),"")</f>
        <v>Contracts, obligations and compliance exposure can turn operational crisis into legal or regulatory failure.</v>
      </c>
      <c r="AS131" s="48" t="str">
        <f>IFERROR(INDEX(_TECH_Crisis_Model!$G$5:$G$191,MATCH('Crisis Simulator'!$B$4&amp;"|"&amp;$C131,_TECH_Crisis_Model!$I$5:$I$191,0)),"")</f>
        <v>Review critical contracts, compliance obligations, force majeure, data protection and legal continuity.</v>
      </c>
      <c r="AT131" s="48" t="str">
        <f>IFERROR(INDEX(_TECH_Initiative_Library!$A$5:$A$76,MATCH(1,INDEX((_TECH_Initiative_Library!$B$5:$B$76=$C131)*(_TECH_Initiative_Library!$C$5:$C$76=$D131),0),0)),"")</f>
        <v>INI-021</v>
      </c>
      <c r="AU131" s="48" t="str">
        <f>IFERROR(INDEX(_TECH_Initiative_Library!$F$5:$F$76,MATCH(1,INDEX((_TECH_Initiative_Library!$B$5:$B$76=$C131)*(_TECH_Initiative_Library!$C$5:$C$76=$D131),0),0)),"")</f>
        <v>Strengthen data, IP and confidentiality legal safeguards</v>
      </c>
      <c r="AV131" s="48" t="str">
        <f ca="1">IFERROR(INDEX(_TECH_Initiative_Library!$AC$5:$AC$76,MATCH(1,INDEX((_TECH_Initiative_Library!$B$5:$B$76=$C131)*(_TECH_Initiative_Library!$C$5:$C$76=$D131),0),0)),"")</f>
        <v/>
      </c>
      <c r="AW131" s="48" t="str">
        <f ca="1">IFERROR(INDEX(_TECH_Initiative_Library!$AE$5:$AE$76,MATCH(1,INDEX((_TECH_Initiative_Library!$B$5:$B$76=$C131)*(_TECH_Initiative_Library!$C$5:$C$76=$D131),0),0)),"")</f>
        <v/>
      </c>
      <c r="AX131" s="48" t="str">
        <f>IF($B131="Yes",IFERROR(SUMIFS(_TECH_Industry_Templates!$E:$E,_TECH_Industry_Templates!$A:$A,'Company Profile'!$B$9,_TECH_Industry_Templates!$B:$B,$C131),1),"")</f>
        <v/>
      </c>
      <c r="AY131" s="48" t="str">
        <f t="shared" si="31"/>
        <v/>
      </c>
      <c r="AZ131" s="48" t="str">
        <f t="shared" si="32"/>
        <v/>
      </c>
      <c r="BA131" s="48" t="str">
        <f>IF($AZ131="","",RANK.EQ($AZ131,$AZ$8:$AZ$414,0)+COUNTIF($AZ$8:$AZ131,$AZ131)-1)</f>
        <v/>
      </c>
    </row>
    <row r="132" spans="1:53" ht="69.95" customHeight="1">
      <c r="A132" s="36" t="str">
        <f>IF($AZ132="","",RANK.EQ($AZ132,$AZ$8:$AZ$414,0)+COUNTIF($AZ$8:$AZ132,$AZ132)-1)</f>
        <v/>
      </c>
      <c r="B132" s="36" t="str">
        <f t="shared" si="19"/>
        <v/>
      </c>
      <c r="C132" s="36" t="s">
        <v>69</v>
      </c>
      <c r="D132" s="36" t="s">
        <v>1195</v>
      </c>
      <c r="E132" s="36" t="s">
        <v>3124</v>
      </c>
      <c r="F132" s="36" t="s">
        <v>188</v>
      </c>
      <c r="G132" s="36" t="str">
        <f>IF($H132="","",IFERROR(INDEX('Risk Library'!$H$5:$M$411,MATCH($E132,'Risk Library'!$A$5:$A$411,0),$H132+1),""))</f>
        <v/>
      </c>
      <c r="H132" s="37" t="str">
        <f>IF(OR(COUNTA('Legal Risk'!$H$18)=0,'Legal Risk'!$H$18="N/A"),"",VALUE('Legal Risk'!$H$18))</f>
        <v/>
      </c>
      <c r="I132" s="36" t="str">
        <f>IF($H132="","",IFERROR(IF('Legal Risk'!$L$18="",IF($H132&lt;=1,"Critical",IF($H132=2,"High",IF($H132=3,"Medium",IF($H132=4,"Low","Resilient")))),'Legal Risk'!$L$18),IF($H132&lt;=1,"Critical",IF($H132=2,"High",IF($H132=3,"Medium",IF($H132=4,"Low","Resilient"))))))</f>
        <v/>
      </c>
      <c r="J132" s="37" t="str">
        <f t="shared" si="20"/>
        <v/>
      </c>
      <c r="K132" s="37" t="str">
        <f t="shared" si="21"/>
        <v/>
      </c>
      <c r="L132" s="37" t="str">
        <f t="shared" si="22"/>
        <v/>
      </c>
      <c r="M132" s="37" t="str">
        <f t="shared" si="23"/>
        <v/>
      </c>
      <c r="N132" s="37" t="str">
        <f>IF($H132="","",IFERROR(INDEX('Risk Library'!$T$5:$Y$411,MATCH($E132,'Risk Library'!$A$5:$A$411,0),$H132+1),""))</f>
        <v/>
      </c>
      <c r="O132" s="37" t="str">
        <f t="shared" si="24"/>
        <v/>
      </c>
      <c r="P132" s="37" t="str">
        <f t="shared" si="25"/>
        <v/>
      </c>
      <c r="Q132" s="37" t="str">
        <f t="shared" si="26"/>
        <v/>
      </c>
      <c r="R132" s="37" t="str">
        <f t="shared" si="27"/>
        <v/>
      </c>
      <c r="S132" s="38" t="str">
        <f t="shared" si="28"/>
        <v/>
      </c>
      <c r="T132" s="36" t="str">
        <f>IF($H132="","",IFERROR(INDEX('Risk Library'!$N$5:$S$411,MATCH($E132,'Risk Library'!$A$5:$A$411,0),$H132+1),""))</f>
        <v/>
      </c>
      <c r="U132" s="37">
        <f>IFERROR('Legal Risk'!$G$18,"")</f>
        <v>4</v>
      </c>
      <c r="V132" s="37">
        <f>IFERROR('Legal Risk'!$W$18,"")</f>
        <v>5</v>
      </c>
      <c r="W132" s="37">
        <f>IFERROR('Legal Risk'!$X$18,"")</f>
        <v>5</v>
      </c>
      <c r="X132" s="37">
        <f>IFERROR('Legal Risk'!$Y$18,"")</f>
        <v>5</v>
      </c>
      <c r="Y132" s="36" t="s">
        <v>3001</v>
      </c>
      <c r="Z132" s="36" t="s">
        <v>3002</v>
      </c>
      <c r="AA132" s="36" t="s">
        <v>3126</v>
      </c>
      <c r="AB132" s="36">
        <f>IFERROR('Legal Risk'!$U$18,"")</f>
        <v>0</v>
      </c>
      <c r="AC132" s="36"/>
      <c r="AD132" s="36"/>
      <c r="AE132" s="36"/>
      <c r="AF132" s="36" t="s">
        <v>3125</v>
      </c>
      <c r="AO132" s="48" t="str">
        <f>IF($B132="Yes",IFERROR(SUMIFS(_TECH_Crisis_Model!$D$5:$D$191,_TECH_Crisis_Model!$A$5:$A$191,'Crisis Simulator'!$B$4,_TECH_Crisis_Model!$B$5:$B$191,$C132),1),"")</f>
        <v/>
      </c>
      <c r="AP132" s="48" t="str">
        <f t="shared" si="29"/>
        <v/>
      </c>
      <c r="AQ132" s="48" t="str">
        <f t="shared" si="30"/>
        <v/>
      </c>
      <c r="AR132" s="48" t="str">
        <f>IFERROR(INDEX(_TECH_Crisis_Model!$E$5:$E$191,MATCH('Crisis Simulator'!$B$4&amp;"|"&amp;$C132,_TECH_Crisis_Model!$I$5:$I$191,0)),"")</f>
        <v>Contracts, obligations and compliance exposure can turn operational crisis into legal or regulatory failure.</v>
      </c>
      <c r="AS132" s="48" t="str">
        <f>IFERROR(INDEX(_TECH_Crisis_Model!$G$5:$G$191,MATCH('Crisis Simulator'!$B$4&amp;"|"&amp;$C132,_TECH_Crisis_Model!$I$5:$I$191,0)),"")</f>
        <v>Review critical contracts, compliance obligations, force majeure, data protection and legal continuity.</v>
      </c>
      <c r="AT132" s="48" t="str">
        <f>IFERROR(INDEX(_TECH_Initiative_Library!$A$5:$A$76,MATCH(1,INDEX((_TECH_Initiative_Library!$B$5:$B$76=$C132)*(_TECH_Initiative_Library!$C$5:$C$76=$D132),0),0)),"")</f>
        <v>INI-021</v>
      </c>
      <c r="AU132" s="48" t="str">
        <f>IFERROR(INDEX(_TECH_Initiative_Library!$F$5:$F$76,MATCH(1,INDEX((_TECH_Initiative_Library!$B$5:$B$76=$C132)*(_TECH_Initiative_Library!$C$5:$C$76=$D132),0),0)),"")</f>
        <v>Strengthen data, IP and confidentiality legal safeguards</v>
      </c>
      <c r="AV132" s="48" t="str">
        <f ca="1">IFERROR(INDEX(_TECH_Initiative_Library!$AC$5:$AC$76,MATCH(1,INDEX((_TECH_Initiative_Library!$B$5:$B$76=$C132)*(_TECH_Initiative_Library!$C$5:$C$76=$D132),0),0)),"")</f>
        <v/>
      </c>
      <c r="AW132" s="48" t="str">
        <f ca="1">IFERROR(INDEX(_TECH_Initiative_Library!$AE$5:$AE$76,MATCH(1,INDEX((_TECH_Initiative_Library!$B$5:$B$76=$C132)*(_TECH_Initiative_Library!$C$5:$C$76=$D132),0),0)),"")</f>
        <v/>
      </c>
      <c r="AX132" s="48" t="str">
        <f>IF($B132="Yes",IFERROR(SUMIFS(_TECH_Industry_Templates!$E:$E,_TECH_Industry_Templates!$A:$A,'Company Profile'!$B$9,_TECH_Industry_Templates!$B:$B,$C132),1),"")</f>
        <v/>
      </c>
      <c r="AY132" s="48" t="str">
        <f t="shared" si="31"/>
        <v/>
      </c>
      <c r="AZ132" s="48" t="str">
        <f t="shared" si="32"/>
        <v/>
      </c>
      <c r="BA132" s="48" t="str">
        <f>IF($AZ132="","",RANK.EQ($AZ132,$AZ$8:$AZ$414,0)+COUNTIF($AZ$8:$AZ132,$AZ132)-1)</f>
        <v/>
      </c>
    </row>
    <row r="133" spans="1:53" ht="69.95" customHeight="1">
      <c r="A133" s="36" t="str">
        <f>IF($AZ133="","",RANK.EQ($AZ133,$AZ$8:$AZ$414,0)+COUNTIF($AZ$8:$AZ133,$AZ133)-1)</f>
        <v/>
      </c>
      <c r="B133" s="36" t="str">
        <f t="shared" si="19"/>
        <v/>
      </c>
      <c r="C133" s="36" t="s">
        <v>69</v>
      </c>
      <c r="D133" s="36" t="s">
        <v>1195</v>
      </c>
      <c r="E133" s="36" t="s">
        <v>3134</v>
      </c>
      <c r="F133" s="36" t="s">
        <v>188</v>
      </c>
      <c r="G133" s="36" t="str">
        <f>IF($H133="","",IFERROR(INDEX('Risk Library'!$H$5:$M$411,MATCH($E133,'Risk Library'!$A$5:$A$411,0),$H133+1),""))</f>
        <v/>
      </c>
      <c r="H133" s="37" t="str">
        <f>IF(OR(COUNTA('Legal Risk'!$H$19)=0,'Legal Risk'!$H$19="N/A"),"",VALUE('Legal Risk'!$H$19))</f>
        <v/>
      </c>
      <c r="I133" s="36" t="str">
        <f>IF($H133="","",IFERROR(IF('Legal Risk'!$L$19="",IF($H133&lt;=1,"Critical",IF($H133=2,"High",IF($H133=3,"Medium",IF($H133=4,"Low","Resilient")))),'Legal Risk'!$L$19),IF($H133&lt;=1,"Critical",IF($H133=2,"High",IF($H133=3,"Medium",IF($H133=4,"Low","Resilient"))))))</f>
        <v/>
      </c>
      <c r="J133" s="37" t="str">
        <f t="shared" si="20"/>
        <v/>
      </c>
      <c r="K133" s="37" t="str">
        <f t="shared" si="21"/>
        <v/>
      </c>
      <c r="L133" s="37" t="str">
        <f t="shared" si="22"/>
        <v/>
      </c>
      <c r="M133" s="37" t="str">
        <f t="shared" si="23"/>
        <v/>
      </c>
      <c r="N133" s="37" t="str">
        <f>IF($H133="","",IFERROR(INDEX('Risk Library'!$T$5:$Y$411,MATCH($E133,'Risk Library'!$A$5:$A$411,0),$H133+1),""))</f>
        <v/>
      </c>
      <c r="O133" s="37" t="str">
        <f t="shared" si="24"/>
        <v/>
      </c>
      <c r="P133" s="37" t="str">
        <f t="shared" si="25"/>
        <v/>
      </c>
      <c r="Q133" s="37" t="str">
        <f t="shared" si="26"/>
        <v/>
      </c>
      <c r="R133" s="37" t="str">
        <f t="shared" si="27"/>
        <v/>
      </c>
      <c r="S133" s="38" t="str">
        <f t="shared" si="28"/>
        <v/>
      </c>
      <c r="T133" s="36" t="str">
        <f>IF($H133="","",IFERROR(INDEX('Risk Library'!$N$5:$S$411,MATCH($E133,'Risk Library'!$A$5:$A$411,0),$H133+1),""))</f>
        <v/>
      </c>
      <c r="U133" s="37">
        <f>IFERROR('Legal Risk'!$G$19,"")</f>
        <v>5</v>
      </c>
      <c r="V133" s="37">
        <f>IFERROR('Legal Risk'!$W$19,"")</f>
        <v>5</v>
      </c>
      <c r="W133" s="37">
        <f>IFERROR('Legal Risk'!$X$19,"")</f>
        <v>5</v>
      </c>
      <c r="X133" s="37">
        <f>IFERROR('Legal Risk'!$Y$19,"")</f>
        <v>5</v>
      </c>
      <c r="Y133" s="36" t="s">
        <v>3001</v>
      </c>
      <c r="Z133" s="36" t="s">
        <v>3002</v>
      </c>
      <c r="AA133" s="36" t="s">
        <v>3136</v>
      </c>
      <c r="AB133" s="36">
        <f>IFERROR('Legal Risk'!$U$19,"")</f>
        <v>0</v>
      </c>
      <c r="AC133" s="36"/>
      <c r="AD133" s="36"/>
      <c r="AE133" s="36"/>
      <c r="AF133" s="36" t="s">
        <v>3135</v>
      </c>
      <c r="AO133" s="48" t="str">
        <f>IF($B133="Yes",IFERROR(SUMIFS(_TECH_Crisis_Model!$D$5:$D$191,_TECH_Crisis_Model!$A$5:$A$191,'Crisis Simulator'!$B$4,_TECH_Crisis_Model!$B$5:$B$191,$C133),1),"")</f>
        <v/>
      </c>
      <c r="AP133" s="48" t="str">
        <f t="shared" si="29"/>
        <v/>
      </c>
      <c r="AQ133" s="48" t="str">
        <f t="shared" si="30"/>
        <v/>
      </c>
      <c r="AR133" s="48" t="str">
        <f>IFERROR(INDEX(_TECH_Crisis_Model!$E$5:$E$191,MATCH('Crisis Simulator'!$B$4&amp;"|"&amp;$C133,_TECH_Crisis_Model!$I$5:$I$191,0)),"")</f>
        <v>Contracts, obligations and compliance exposure can turn operational crisis into legal or regulatory failure.</v>
      </c>
      <c r="AS133" s="48" t="str">
        <f>IFERROR(INDEX(_TECH_Crisis_Model!$G$5:$G$191,MATCH('Crisis Simulator'!$B$4&amp;"|"&amp;$C133,_TECH_Crisis_Model!$I$5:$I$191,0)),"")</f>
        <v>Review critical contracts, compliance obligations, force majeure, data protection and legal continuity.</v>
      </c>
      <c r="AT133" s="48" t="str">
        <f>IFERROR(INDEX(_TECH_Initiative_Library!$A$5:$A$76,MATCH(1,INDEX((_TECH_Initiative_Library!$B$5:$B$76=$C133)*(_TECH_Initiative_Library!$C$5:$C$76=$D133),0),0)),"")</f>
        <v>INI-021</v>
      </c>
      <c r="AU133" s="48" t="str">
        <f>IFERROR(INDEX(_TECH_Initiative_Library!$F$5:$F$76,MATCH(1,INDEX((_TECH_Initiative_Library!$B$5:$B$76=$C133)*(_TECH_Initiative_Library!$C$5:$C$76=$D133),0),0)),"")</f>
        <v>Strengthen data, IP and confidentiality legal safeguards</v>
      </c>
      <c r="AV133" s="48" t="str">
        <f ca="1">IFERROR(INDEX(_TECH_Initiative_Library!$AC$5:$AC$76,MATCH(1,INDEX((_TECH_Initiative_Library!$B$5:$B$76=$C133)*(_TECH_Initiative_Library!$C$5:$C$76=$D133),0),0)),"")</f>
        <v/>
      </c>
      <c r="AW133" s="48" t="str">
        <f ca="1">IFERROR(INDEX(_TECH_Initiative_Library!$AE$5:$AE$76,MATCH(1,INDEX((_TECH_Initiative_Library!$B$5:$B$76=$C133)*(_TECH_Initiative_Library!$C$5:$C$76=$D133),0),0)),"")</f>
        <v/>
      </c>
      <c r="AX133" s="48" t="str">
        <f>IF($B133="Yes",IFERROR(SUMIFS(_TECH_Industry_Templates!$E:$E,_TECH_Industry_Templates!$A:$A,'Company Profile'!$B$9,_TECH_Industry_Templates!$B:$B,$C133),1),"")</f>
        <v/>
      </c>
      <c r="AY133" s="48" t="str">
        <f t="shared" si="31"/>
        <v/>
      </c>
      <c r="AZ133" s="48" t="str">
        <f t="shared" si="32"/>
        <v/>
      </c>
      <c r="BA133" s="48" t="str">
        <f>IF($AZ133="","",RANK.EQ($AZ133,$AZ$8:$AZ$414,0)+COUNTIF($AZ$8:$AZ133,$AZ133)-1)</f>
        <v/>
      </c>
    </row>
    <row r="134" spans="1:53" ht="69.95" customHeight="1">
      <c r="A134" s="36" t="str">
        <f>IF($AZ134="","",RANK.EQ($AZ134,$AZ$8:$AZ$414,0)+COUNTIF($AZ$8:$AZ134,$AZ134)-1)</f>
        <v/>
      </c>
      <c r="B134" s="36" t="str">
        <f t="shared" si="19"/>
        <v/>
      </c>
      <c r="C134" s="36" t="s">
        <v>69</v>
      </c>
      <c r="D134" s="36" t="s">
        <v>1195</v>
      </c>
      <c r="E134" s="36" t="s">
        <v>3144</v>
      </c>
      <c r="F134" s="36" t="s">
        <v>188</v>
      </c>
      <c r="G134" s="36" t="str">
        <f>IF($H134="","",IFERROR(INDEX('Risk Library'!$H$5:$M$411,MATCH($E134,'Risk Library'!$A$5:$A$411,0),$H134+1),""))</f>
        <v/>
      </c>
      <c r="H134" s="37" t="str">
        <f>IF(OR(COUNTA('Legal Risk'!$H$20)=0,'Legal Risk'!$H$20="N/A"),"",VALUE('Legal Risk'!$H$20))</f>
        <v/>
      </c>
      <c r="I134" s="36" t="str">
        <f>IF($H134="","",IFERROR(IF('Legal Risk'!$L$20="",IF($H134&lt;=1,"Critical",IF($H134=2,"High",IF($H134=3,"Medium",IF($H134=4,"Low","Resilient")))),'Legal Risk'!$L$20),IF($H134&lt;=1,"Critical",IF($H134=2,"High",IF($H134=3,"Medium",IF($H134=4,"Low","Resilient"))))))</f>
        <v/>
      </c>
      <c r="J134" s="37" t="str">
        <f t="shared" si="20"/>
        <v/>
      </c>
      <c r="K134" s="37" t="str">
        <f t="shared" si="21"/>
        <v/>
      </c>
      <c r="L134" s="37" t="str">
        <f t="shared" si="22"/>
        <v/>
      </c>
      <c r="M134" s="37" t="str">
        <f t="shared" si="23"/>
        <v/>
      </c>
      <c r="N134" s="37" t="str">
        <f>IF($H134="","",IFERROR(INDEX('Risk Library'!$T$5:$Y$411,MATCH($E134,'Risk Library'!$A$5:$A$411,0),$H134+1),""))</f>
        <v/>
      </c>
      <c r="O134" s="37" t="str">
        <f t="shared" si="24"/>
        <v/>
      </c>
      <c r="P134" s="37" t="str">
        <f t="shared" si="25"/>
        <v/>
      </c>
      <c r="Q134" s="37" t="str">
        <f t="shared" si="26"/>
        <v/>
      </c>
      <c r="R134" s="37" t="str">
        <f t="shared" si="27"/>
        <v/>
      </c>
      <c r="S134" s="38" t="str">
        <f t="shared" si="28"/>
        <v/>
      </c>
      <c r="T134" s="36" t="str">
        <f>IF($H134="","",IFERROR(INDEX('Risk Library'!$N$5:$S$411,MATCH($E134,'Risk Library'!$A$5:$A$411,0),$H134+1),""))</f>
        <v/>
      </c>
      <c r="U134" s="37">
        <f>IFERROR('Legal Risk'!$G$20,"")</f>
        <v>5</v>
      </c>
      <c r="V134" s="37">
        <f>IFERROR('Legal Risk'!$W$20,"")</f>
        <v>5</v>
      </c>
      <c r="W134" s="37">
        <f>IFERROR('Legal Risk'!$X$20,"")</f>
        <v>5</v>
      </c>
      <c r="X134" s="37">
        <f>IFERROR('Legal Risk'!$Y$20,"")</f>
        <v>5</v>
      </c>
      <c r="Y134" s="36" t="s">
        <v>3001</v>
      </c>
      <c r="Z134" s="36" t="s">
        <v>3002</v>
      </c>
      <c r="AA134" s="36" t="s">
        <v>3146</v>
      </c>
      <c r="AB134" s="36">
        <f>IFERROR('Legal Risk'!$U$20,"")</f>
        <v>0</v>
      </c>
      <c r="AC134" s="36"/>
      <c r="AD134" s="36"/>
      <c r="AE134" s="36"/>
      <c r="AF134" s="36" t="s">
        <v>3145</v>
      </c>
      <c r="AO134" s="48" t="str">
        <f>IF($B134="Yes",IFERROR(SUMIFS(_TECH_Crisis_Model!$D$5:$D$191,_TECH_Crisis_Model!$A$5:$A$191,'Crisis Simulator'!$B$4,_TECH_Crisis_Model!$B$5:$B$191,$C134),1),"")</f>
        <v/>
      </c>
      <c r="AP134" s="48" t="str">
        <f t="shared" si="29"/>
        <v/>
      </c>
      <c r="AQ134" s="48" t="str">
        <f t="shared" si="30"/>
        <v/>
      </c>
      <c r="AR134" s="48" t="str">
        <f>IFERROR(INDEX(_TECH_Crisis_Model!$E$5:$E$191,MATCH('Crisis Simulator'!$B$4&amp;"|"&amp;$C134,_TECH_Crisis_Model!$I$5:$I$191,0)),"")</f>
        <v>Contracts, obligations and compliance exposure can turn operational crisis into legal or regulatory failure.</v>
      </c>
      <c r="AS134" s="48" t="str">
        <f>IFERROR(INDEX(_TECH_Crisis_Model!$G$5:$G$191,MATCH('Crisis Simulator'!$B$4&amp;"|"&amp;$C134,_TECH_Crisis_Model!$I$5:$I$191,0)),"")</f>
        <v>Review critical contracts, compliance obligations, force majeure, data protection and legal continuity.</v>
      </c>
      <c r="AT134" s="48" t="str">
        <f>IFERROR(INDEX(_TECH_Initiative_Library!$A$5:$A$76,MATCH(1,INDEX((_TECH_Initiative_Library!$B$5:$B$76=$C134)*(_TECH_Initiative_Library!$C$5:$C$76=$D134),0),0)),"")</f>
        <v>INI-021</v>
      </c>
      <c r="AU134" s="48" t="str">
        <f>IFERROR(INDEX(_TECH_Initiative_Library!$F$5:$F$76,MATCH(1,INDEX((_TECH_Initiative_Library!$B$5:$B$76=$C134)*(_TECH_Initiative_Library!$C$5:$C$76=$D134),0),0)),"")</f>
        <v>Strengthen data, IP and confidentiality legal safeguards</v>
      </c>
      <c r="AV134" s="48" t="str">
        <f ca="1">IFERROR(INDEX(_TECH_Initiative_Library!$AC$5:$AC$76,MATCH(1,INDEX((_TECH_Initiative_Library!$B$5:$B$76=$C134)*(_TECH_Initiative_Library!$C$5:$C$76=$D134),0),0)),"")</f>
        <v/>
      </c>
      <c r="AW134" s="48" t="str">
        <f ca="1">IFERROR(INDEX(_TECH_Initiative_Library!$AE$5:$AE$76,MATCH(1,INDEX((_TECH_Initiative_Library!$B$5:$B$76=$C134)*(_TECH_Initiative_Library!$C$5:$C$76=$D134),0),0)),"")</f>
        <v/>
      </c>
      <c r="AX134" s="48" t="str">
        <f>IF($B134="Yes",IFERROR(SUMIFS(_TECH_Industry_Templates!$E:$E,_TECH_Industry_Templates!$A:$A,'Company Profile'!$B$9,_TECH_Industry_Templates!$B:$B,$C134),1),"")</f>
        <v/>
      </c>
      <c r="AY134" s="48" t="str">
        <f t="shared" si="31"/>
        <v/>
      </c>
      <c r="AZ134" s="48" t="str">
        <f t="shared" si="32"/>
        <v/>
      </c>
      <c r="BA134" s="48" t="str">
        <f>IF($AZ134="","",RANK.EQ($AZ134,$AZ$8:$AZ$414,0)+COUNTIF($AZ$8:$AZ134,$AZ134)-1)</f>
        <v/>
      </c>
    </row>
    <row r="135" spans="1:53" ht="69.95" customHeight="1">
      <c r="A135" s="36" t="str">
        <f>IF($AZ135="","",RANK.EQ($AZ135,$AZ$8:$AZ$414,0)+COUNTIF($AZ$8:$AZ135,$AZ135)-1)</f>
        <v/>
      </c>
      <c r="B135" s="36" t="str">
        <f t="shared" si="19"/>
        <v/>
      </c>
      <c r="C135" s="36" t="s">
        <v>69</v>
      </c>
      <c r="D135" s="36" t="s">
        <v>1195</v>
      </c>
      <c r="E135" s="36" t="s">
        <v>3154</v>
      </c>
      <c r="F135" s="36" t="s">
        <v>188</v>
      </c>
      <c r="G135" s="36" t="str">
        <f>IF($H135="","",IFERROR(INDEX('Risk Library'!$H$5:$M$411,MATCH($E135,'Risk Library'!$A$5:$A$411,0),$H135+1),""))</f>
        <v/>
      </c>
      <c r="H135" s="37" t="str">
        <f>IF(OR(COUNTA('Legal Risk'!$H$21)=0,'Legal Risk'!$H$21="N/A"),"",VALUE('Legal Risk'!$H$21))</f>
        <v/>
      </c>
      <c r="I135" s="36" t="str">
        <f>IF($H135="","",IFERROR(IF('Legal Risk'!$L$21="",IF($H135&lt;=1,"Critical",IF($H135=2,"High",IF($H135=3,"Medium",IF($H135=4,"Low","Resilient")))),'Legal Risk'!$L$21),IF($H135&lt;=1,"Critical",IF($H135=2,"High",IF($H135=3,"Medium",IF($H135=4,"Low","Resilient"))))))</f>
        <v/>
      </c>
      <c r="J135" s="37" t="str">
        <f t="shared" si="20"/>
        <v/>
      </c>
      <c r="K135" s="37" t="str">
        <f t="shared" si="21"/>
        <v/>
      </c>
      <c r="L135" s="37" t="str">
        <f t="shared" si="22"/>
        <v/>
      </c>
      <c r="M135" s="37" t="str">
        <f t="shared" si="23"/>
        <v/>
      </c>
      <c r="N135" s="37" t="str">
        <f>IF($H135="","",IFERROR(INDEX('Risk Library'!$T$5:$Y$411,MATCH($E135,'Risk Library'!$A$5:$A$411,0),$H135+1),""))</f>
        <v/>
      </c>
      <c r="O135" s="37" t="str">
        <f t="shared" si="24"/>
        <v/>
      </c>
      <c r="P135" s="37" t="str">
        <f t="shared" si="25"/>
        <v/>
      </c>
      <c r="Q135" s="37" t="str">
        <f t="shared" si="26"/>
        <v/>
      </c>
      <c r="R135" s="37" t="str">
        <f t="shared" si="27"/>
        <v/>
      </c>
      <c r="S135" s="38" t="str">
        <f t="shared" si="28"/>
        <v/>
      </c>
      <c r="T135" s="36" t="str">
        <f>IF($H135="","",IFERROR(INDEX('Risk Library'!$N$5:$S$411,MATCH($E135,'Risk Library'!$A$5:$A$411,0),$H135+1),""))</f>
        <v/>
      </c>
      <c r="U135" s="37">
        <f>IFERROR('Legal Risk'!$G$21,"")</f>
        <v>5</v>
      </c>
      <c r="V135" s="37">
        <f>IFERROR('Legal Risk'!$W$21,"")</f>
        <v>5</v>
      </c>
      <c r="W135" s="37">
        <f>IFERROR('Legal Risk'!$X$21,"")</f>
        <v>5</v>
      </c>
      <c r="X135" s="37">
        <f>IFERROR('Legal Risk'!$Y$21,"")</f>
        <v>5</v>
      </c>
      <c r="Y135" s="36" t="s">
        <v>3001</v>
      </c>
      <c r="Z135" s="36" t="s">
        <v>3002</v>
      </c>
      <c r="AA135" s="36" t="s">
        <v>3156</v>
      </c>
      <c r="AB135" s="36">
        <f>IFERROR('Legal Risk'!$U$21,"")</f>
        <v>0</v>
      </c>
      <c r="AC135" s="36"/>
      <c r="AD135" s="36"/>
      <c r="AE135" s="36"/>
      <c r="AF135" s="36" t="s">
        <v>3155</v>
      </c>
      <c r="AO135" s="48" t="str">
        <f>IF($B135="Yes",IFERROR(SUMIFS(_TECH_Crisis_Model!$D$5:$D$191,_TECH_Crisis_Model!$A$5:$A$191,'Crisis Simulator'!$B$4,_TECH_Crisis_Model!$B$5:$B$191,$C135),1),"")</f>
        <v/>
      </c>
      <c r="AP135" s="48" t="str">
        <f t="shared" si="29"/>
        <v/>
      </c>
      <c r="AQ135" s="48" t="str">
        <f t="shared" si="30"/>
        <v/>
      </c>
      <c r="AR135" s="48" t="str">
        <f>IFERROR(INDEX(_TECH_Crisis_Model!$E$5:$E$191,MATCH('Crisis Simulator'!$B$4&amp;"|"&amp;$C135,_TECH_Crisis_Model!$I$5:$I$191,0)),"")</f>
        <v>Contracts, obligations and compliance exposure can turn operational crisis into legal or regulatory failure.</v>
      </c>
      <c r="AS135" s="48" t="str">
        <f>IFERROR(INDEX(_TECH_Crisis_Model!$G$5:$G$191,MATCH('Crisis Simulator'!$B$4&amp;"|"&amp;$C135,_TECH_Crisis_Model!$I$5:$I$191,0)),"")</f>
        <v>Review critical contracts, compliance obligations, force majeure, data protection and legal continuity.</v>
      </c>
      <c r="AT135" s="48" t="str">
        <f>IFERROR(INDEX(_TECH_Initiative_Library!$A$5:$A$76,MATCH(1,INDEX((_TECH_Initiative_Library!$B$5:$B$76=$C135)*(_TECH_Initiative_Library!$C$5:$C$76=$D135),0),0)),"")</f>
        <v>INI-021</v>
      </c>
      <c r="AU135" s="48" t="str">
        <f>IFERROR(INDEX(_TECH_Initiative_Library!$F$5:$F$76,MATCH(1,INDEX((_TECH_Initiative_Library!$B$5:$B$76=$C135)*(_TECH_Initiative_Library!$C$5:$C$76=$D135),0),0)),"")</f>
        <v>Strengthen data, IP and confidentiality legal safeguards</v>
      </c>
      <c r="AV135" s="48" t="str">
        <f ca="1">IFERROR(INDEX(_TECH_Initiative_Library!$AC$5:$AC$76,MATCH(1,INDEX((_TECH_Initiative_Library!$B$5:$B$76=$C135)*(_TECH_Initiative_Library!$C$5:$C$76=$D135),0),0)),"")</f>
        <v/>
      </c>
      <c r="AW135" s="48" t="str">
        <f ca="1">IFERROR(INDEX(_TECH_Initiative_Library!$AE$5:$AE$76,MATCH(1,INDEX((_TECH_Initiative_Library!$B$5:$B$76=$C135)*(_TECH_Initiative_Library!$C$5:$C$76=$D135),0),0)),"")</f>
        <v/>
      </c>
      <c r="AX135" s="48" t="str">
        <f>IF($B135="Yes",IFERROR(SUMIFS(_TECH_Industry_Templates!$E:$E,_TECH_Industry_Templates!$A:$A,'Company Profile'!$B$9,_TECH_Industry_Templates!$B:$B,$C135),1),"")</f>
        <v/>
      </c>
      <c r="AY135" s="48" t="str">
        <f t="shared" si="31"/>
        <v/>
      </c>
      <c r="AZ135" s="48" t="str">
        <f t="shared" si="32"/>
        <v/>
      </c>
      <c r="BA135" s="48" t="str">
        <f>IF($AZ135="","",RANK.EQ($AZ135,$AZ$8:$AZ$414,0)+COUNTIF($AZ$8:$AZ135,$AZ135)-1)</f>
        <v/>
      </c>
    </row>
    <row r="136" spans="1:53" ht="69.95" customHeight="1">
      <c r="A136" s="36" t="str">
        <f>IF($AZ136="","",RANK.EQ($AZ136,$AZ$8:$AZ$414,0)+COUNTIF($AZ$8:$AZ136,$AZ136)-1)</f>
        <v/>
      </c>
      <c r="B136" s="36" t="str">
        <f t="shared" ref="B136:B199" si="33">IF($H136="","",IF($H136&lt;5,"Yes","Maintain"))</f>
        <v/>
      </c>
      <c r="C136" s="36" t="s">
        <v>69</v>
      </c>
      <c r="D136" s="36" t="s">
        <v>1195</v>
      </c>
      <c r="E136" s="36" t="s">
        <v>3164</v>
      </c>
      <c r="F136" s="36" t="s">
        <v>188</v>
      </c>
      <c r="G136" s="36" t="str">
        <f>IF($H136="","",IFERROR(INDEX('Risk Library'!$H$5:$M$411,MATCH($E136,'Risk Library'!$A$5:$A$411,0),$H136+1),""))</f>
        <v/>
      </c>
      <c r="H136" s="37" t="str">
        <f>IF(OR(COUNTA('Legal Risk'!$H$22)=0,'Legal Risk'!$H$22="N/A"),"",VALUE('Legal Risk'!$H$22))</f>
        <v/>
      </c>
      <c r="I136" s="36" t="str">
        <f>IF($H136="","",IFERROR(IF('Legal Risk'!$L$22="",IF($H136&lt;=1,"Critical",IF($H136=2,"High",IF($H136=3,"Medium",IF($H136=4,"Low","Resilient")))),'Legal Risk'!$L$22),IF($H136&lt;=1,"Critical",IF($H136=2,"High",IF($H136=3,"Medium",IF($H136=4,"Low","Resilient"))))))</f>
        <v/>
      </c>
      <c r="J136" s="37" t="str">
        <f t="shared" ref="J136:J199" si="34">IF($H136="","",MAX(1,6-$H136))</f>
        <v/>
      </c>
      <c r="K136" s="37" t="str">
        <f t="shared" ref="K136:K199" si="35">IF($H136="","",MAX(1,MIN(5,ROUNDUP(($U136*0.45)+($W136*0.35)+($X136*0.2),0))))</f>
        <v/>
      </c>
      <c r="L136" s="37" t="str">
        <f t="shared" ref="L136:L199" si="36">IF($H136="","",$J136*$K136)</f>
        <v/>
      </c>
      <c r="M136" s="37" t="str">
        <f t="shared" ref="M136:M199" si="37">IF($H136="","",MAX(1,MIN(5,ROUNDUP($L136/5,0))))</f>
        <v/>
      </c>
      <c r="N136" s="37" t="str">
        <f>IF($H136="","",IFERROR(INDEX('Risk Library'!$T$5:$Y$411,MATCH($E136,'Risk Library'!$A$5:$A$411,0),$H136+1),""))</f>
        <v/>
      </c>
      <c r="O136" s="37" t="str">
        <f t="shared" ref="O136:O199" si="38">IF($H136="","",MAX(1,MIN(5,ROUND(($U136+$V136+$X136)/3,0))))</f>
        <v/>
      </c>
      <c r="P136" s="37" t="str">
        <f t="shared" ref="P136:P199" si="39">IF($H136="","",IF($I136="Critical",5,IF($I136="High",4,IF($I136="Medium",3,IF($I136="Low",2,1)))))</f>
        <v/>
      </c>
      <c r="Q136" s="37" t="str">
        <f t="shared" ref="Q136:Q199" si="40">IF($H136="","",MAX(1,MIN(5,ROUNDUP(((5-$H136)*0.65)+($W136*0.35),0))))</f>
        <v/>
      </c>
      <c r="R136" s="37" t="str">
        <f t="shared" ref="R136:R199" si="41">IF($H136="","",MAX(1,MIN(5,ROUND(($V136+$X136)/2,0))))</f>
        <v/>
      </c>
      <c r="S136" s="38" t="str">
        <f t="shared" ref="S136:S199" si="42">IF($H136="","",ROUND(($O136+$P136+$Q136+$R136)/$N136,2))</f>
        <v/>
      </c>
      <c r="T136" s="36" t="str">
        <f>IF($H136="","",IFERROR(INDEX('Risk Library'!$N$5:$S$411,MATCH($E136,'Risk Library'!$A$5:$A$411,0),$H136+1),""))</f>
        <v/>
      </c>
      <c r="U136" s="37">
        <f>IFERROR('Legal Risk'!$G$22,"")</f>
        <v>5</v>
      </c>
      <c r="V136" s="37">
        <f>IFERROR('Legal Risk'!$W$22,"")</f>
        <v>5</v>
      </c>
      <c r="W136" s="37">
        <f>IFERROR('Legal Risk'!$X$22,"")</f>
        <v>5</v>
      </c>
      <c r="X136" s="37">
        <f>IFERROR('Legal Risk'!$Y$22,"")</f>
        <v>5</v>
      </c>
      <c r="Y136" s="36" t="s">
        <v>3001</v>
      </c>
      <c r="Z136" s="36" t="s">
        <v>3002</v>
      </c>
      <c r="AA136" s="36" t="s">
        <v>3166</v>
      </c>
      <c r="AB136" s="36">
        <f>IFERROR('Legal Risk'!$U$22,"")</f>
        <v>0</v>
      </c>
      <c r="AC136" s="36"/>
      <c r="AD136" s="36"/>
      <c r="AE136" s="36"/>
      <c r="AF136" s="36" t="s">
        <v>3165</v>
      </c>
      <c r="AO136" s="48" t="str">
        <f>IF($B136="Yes",IFERROR(SUMIFS(_TECH_Crisis_Model!$D$5:$D$191,_TECH_Crisis_Model!$A$5:$A$191,'Crisis Simulator'!$B$4,_TECH_Crisis_Model!$B$5:$B$191,$C136),1),"")</f>
        <v/>
      </c>
      <c r="AP136" s="48" t="str">
        <f t="shared" ref="AP136:AP199" si="43">IF(AO136="","",ROUND($L136*AO136,1))</f>
        <v/>
      </c>
      <c r="AQ136" s="48" t="str">
        <f t="shared" ref="AQ136:AQ199" si="44">IF(AO136="","",ROUND($S136*(0.7+0.3*AO136),2))</f>
        <v/>
      </c>
      <c r="AR136" s="48" t="str">
        <f>IFERROR(INDEX(_TECH_Crisis_Model!$E$5:$E$191,MATCH('Crisis Simulator'!$B$4&amp;"|"&amp;$C136,_TECH_Crisis_Model!$I$5:$I$191,0)),"")</f>
        <v>Contracts, obligations and compliance exposure can turn operational crisis into legal or regulatory failure.</v>
      </c>
      <c r="AS136" s="48" t="str">
        <f>IFERROR(INDEX(_TECH_Crisis_Model!$G$5:$G$191,MATCH('Crisis Simulator'!$B$4&amp;"|"&amp;$C136,_TECH_Crisis_Model!$I$5:$I$191,0)),"")</f>
        <v>Review critical contracts, compliance obligations, force majeure, data protection and legal continuity.</v>
      </c>
      <c r="AT136" s="48" t="str">
        <f>IFERROR(INDEX(_TECH_Initiative_Library!$A$5:$A$76,MATCH(1,INDEX((_TECH_Initiative_Library!$B$5:$B$76=$C136)*(_TECH_Initiative_Library!$C$5:$C$76=$D136),0),0)),"")</f>
        <v>INI-021</v>
      </c>
      <c r="AU136" s="48" t="str">
        <f>IFERROR(INDEX(_TECH_Initiative_Library!$F$5:$F$76,MATCH(1,INDEX((_TECH_Initiative_Library!$B$5:$B$76=$C136)*(_TECH_Initiative_Library!$C$5:$C$76=$D136),0),0)),"")</f>
        <v>Strengthen data, IP and confidentiality legal safeguards</v>
      </c>
      <c r="AV136" s="48" t="str">
        <f ca="1">IFERROR(INDEX(_TECH_Initiative_Library!$AC$5:$AC$76,MATCH(1,INDEX((_TECH_Initiative_Library!$B$5:$B$76=$C136)*(_TECH_Initiative_Library!$C$5:$C$76=$D136),0),0)),"")</f>
        <v/>
      </c>
      <c r="AW136" s="48" t="str">
        <f ca="1">IFERROR(INDEX(_TECH_Initiative_Library!$AE$5:$AE$76,MATCH(1,INDEX((_TECH_Initiative_Library!$B$5:$B$76=$C136)*(_TECH_Initiative_Library!$C$5:$C$76=$D136),0),0)),"")</f>
        <v/>
      </c>
      <c r="AX136" s="48" t="str">
        <f>IF($B136="Yes",IFERROR(SUMIFS(_TECH_Industry_Templates!$E:$E,_TECH_Industry_Templates!$A:$A,'Company Profile'!$B$9,_TECH_Industry_Templates!$B:$B,$C136),1),"")</f>
        <v/>
      </c>
      <c r="AY136" s="48" t="str">
        <f t="shared" ref="AY136:AY199" si="45">IF($L136="","",ROUND(IF($AP136="",$L136,$AP136)*$AX136,2))</f>
        <v/>
      </c>
      <c r="AZ136" s="48" t="str">
        <f t="shared" ref="AZ136:AZ199" si="46">IF($S136="","",ROUND(IF($AQ136="",$S136,$AQ136)*$AX136,2))</f>
        <v/>
      </c>
      <c r="BA136" s="48" t="str">
        <f>IF($AZ136="","",RANK.EQ($AZ136,$AZ$8:$AZ$414,0)+COUNTIF($AZ$8:$AZ136,$AZ136)-1)</f>
        <v/>
      </c>
    </row>
    <row r="137" spans="1:53" ht="69.95" customHeight="1">
      <c r="A137" s="36" t="str">
        <f>IF($AZ137="","",RANK.EQ($AZ137,$AZ$8:$AZ$414,0)+COUNTIF($AZ$8:$AZ137,$AZ137)-1)</f>
        <v/>
      </c>
      <c r="B137" s="36" t="str">
        <f t="shared" si="33"/>
        <v/>
      </c>
      <c r="C137" s="36" t="s">
        <v>69</v>
      </c>
      <c r="D137" s="36" t="s">
        <v>1203</v>
      </c>
      <c r="E137" s="36" t="s">
        <v>3174</v>
      </c>
      <c r="F137" s="36" t="s">
        <v>188</v>
      </c>
      <c r="G137" s="36" t="str">
        <f>IF($H137="","",IFERROR(INDEX('Risk Library'!$H$5:$M$411,MATCH($E137,'Risk Library'!$A$5:$A$411,0),$H137+1),""))</f>
        <v/>
      </c>
      <c r="H137" s="37" t="str">
        <f>IF(OR(COUNTA('Legal Risk'!$H$23)=0,'Legal Risk'!$H$23="N/A"),"",VALUE('Legal Risk'!$H$23))</f>
        <v/>
      </c>
      <c r="I137" s="36" t="str">
        <f>IF($H137="","",IFERROR(IF('Legal Risk'!$L$23="",IF($H137&lt;=1,"Critical",IF($H137=2,"High",IF($H137=3,"Medium",IF($H137=4,"Low","Resilient")))),'Legal Risk'!$L$23),IF($H137&lt;=1,"Critical",IF($H137=2,"High",IF($H137=3,"Medium",IF($H137=4,"Low","Resilient"))))))</f>
        <v/>
      </c>
      <c r="J137" s="37" t="str">
        <f t="shared" si="34"/>
        <v/>
      </c>
      <c r="K137" s="37" t="str">
        <f t="shared" si="35"/>
        <v/>
      </c>
      <c r="L137" s="37" t="str">
        <f t="shared" si="36"/>
        <v/>
      </c>
      <c r="M137" s="37" t="str">
        <f t="shared" si="37"/>
        <v/>
      </c>
      <c r="N137" s="37" t="str">
        <f>IF($H137="","",IFERROR(INDEX('Risk Library'!$T$5:$Y$411,MATCH($E137,'Risk Library'!$A$5:$A$411,0),$H137+1),""))</f>
        <v/>
      </c>
      <c r="O137" s="37" t="str">
        <f t="shared" si="38"/>
        <v/>
      </c>
      <c r="P137" s="37" t="str">
        <f t="shared" si="39"/>
        <v/>
      </c>
      <c r="Q137" s="37" t="str">
        <f t="shared" si="40"/>
        <v/>
      </c>
      <c r="R137" s="37" t="str">
        <f t="shared" si="41"/>
        <v/>
      </c>
      <c r="S137" s="38" t="str">
        <f t="shared" si="42"/>
        <v/>
      </c>
      <c r="T137" s="36" t="str">
        <f>IF($H137="","",IFERROR(INDEX('Risk Library'!$N$5:$S$411,MATCH($E137,'Risk Library'!$A$5:$A$411,0),$H137+1),""))</f>
        <v/>
      </c>
      <c r="U137" s="37">
        <f>IFERROR('Legal Risk'!$G$23,"")</f>
        <v>3</v>
      </c>
      <c r="V137" s="37">
        <f>IFERROR('Legal Risk'!$W$23,"")</f>
        <v>5</v>
      </c>
      <c r="W137" s="37">
        <f>IFERROR('Legal Risk'!$X$23,"")</f>
        <v>5</v>
      </c>
      <c r="X137" s="37">
        <f>IFERROR('Legal Risk'!$Y$23,"")</f>
        <v>5</v>
      </c>
      <c r="Y137" s="36" t="s">
        <v>3001</v>
      </c>
      <c r="Z137" s="36" t="s">
        <v>3002</v>
      </c>
      <c r="AA137" s="36" t="s">
        <v>3176</v>
      </c>
      <c r="AB137" s="36">
        <f>IFERROR('Legal Risk'!$U$23,"")</f>
        <v>0</v>
      </c>
      <c r="AC137" s="36"/>
      <c r="AD137" s="36"/>
      <c r="AE137" s="36"/>
      <c r="AF137" s="36" t="s">
        <v>3175</v>
      </c>
      <c r="AO137" s="48" t="str">
        <f>IF($B137="Yes",IFERROR(SUMIFS(_TECH_Crisis_Model!$D$5:$D$191,_TECH_Crisis_Model!$A$5:$A$191,'Crisis Simulator'!$B$4,_TECH_Crisis_Model!$B$5:$B$191,$C137),1),"")</f>
        <v/>
      </c>
      <c r="AP137" s="48" t="str">
        <f t="shared" si="43"/>
        <v/>
      </c>
      <c r="AQ137" s="48" t="str">
        <f t="shared" si="44"/>
        <v/>
      </c>
      <c r="AR137" s="48" t="str">
        <f>IFERROR(INDEX(_TECH_Crisis_Model!$E$5:$E$191,MATCH('Crisis Simulator'!$B$4&amp;"|"&amp;$C137,_TECH_Crisis_Model!$I$5:$I$191,0)),"")</f>
        <v>Contracts, obligations and compliance exposure can turn operational crisis into legal or regulatory failure.</v>
      </c>
      <c r="AS137" s="48" t="str">
        <f>IFERROR(INDEX(_TECH_Crisis_Model!$G$5:$G$191,MATCH('Crisis Simulator'!$B$4&amp;"|"&amp;$C137,_TECH_Crisis_Model!$I$5:$I$191,0)),"")</f>
        <v>Review critical contracts, compliance obligations, force majeure, data protection and legal continuity.</v>
      </c>
      <c r="AT137" s="48" t="str">
        <f>IFERROR(INDEX(_TECH_Initiative_Library!$A$5:$A$76,MATCH(1,INDEX((_TECH_Initiative_Library!$B$5:$B$76=$C137)*(_TECH_Initiative_Library!$C$5:$C$76=$D137),0),0)),"")</f>
        <v>INI-022</v>
      </c>
      <c r="AU137" s="48" t="str">
        <f>IFERROR(INDEX(_TECH_Initiative_Library!$F$5:$F$76,MATCH(1,INDEX((_TECH_Initiative_Library!$B$5:$B$76=$C137)*(_TECH_Initiative_Library!$C$5:$C$76=$D137),0),0)),"")</f>
        <v>Prepare employment-law continuity and workforce-location compliance</v>
      </c>
      <c r="AV137" s="48" t="str">
        <f ca="1">IFERROR(INDEX(_TECH_Initiative_Library!$AC$5:$AC$76,MATCH(1,INDEX((_TECH_Initiative_Library!$B$5:$B$76=$C137)*(_TECH_Initiative_Library!$C$5:$C$76=$D137),0),0)),"")</f>
        <v/>
      </c>
      <c r="AW137" s="48" t="str">
        <f ca="1">IFERROR(INDEX(_TECH_Initiative_Library!$AE$5:$AE$76,MATCH(1,INDEX((_TECH_Initiative_Library!$B$5:$B$76=$C137)*(_TECH_Initiative_Library!$C$5:$C$76=$D137),0),0)),"")</f>
        <v/>
      </c>
      <c r="AX137" s="48" t="str">
        <f>IF($B137="Yes",IFERROR(SUMIFS(_TECH_Industry_Templates!$E:$E,_TECH_Industry_Templates!$A:$A,'Company Profile'!$B$9,_TECH_Industry_Templates!$B:$B,$C137),1),"")</f>
        <v/>
      </c>
      <c r="AY137" s="48" t="str">
        <f t="shared" si="45"/>
        <v/>
      </c>
      <c r="AZ137" s="48" t="str">
        <f t="shared" si="46"/>
        <v/>
      </c>
      <c r="BA137" s="48" t="str">
        <f>IF($AZ137="","",RANK.EQ($AZ137,$AZ$8:$AZ$414,0)+COUNTIF($AZ$8:$AZ137,$AZ137)-1)</f>
        <v/>
      </c>
    </row>
    <row r="138" spans="1:53" ht="69.95" customHeight="1">
      <c r="A138" s="36" t="str">
        <f>IF($AZ138="","",RANK.EQ($AZ138,$AZ$8:$AZ$414,0)+COUNTIF($AZ$8:$AZ138,$AZ138)-1)</f>
        <v/>
      </c>
      <c r="B138" s="36" t="str">
        <f t="shared" si="33"/>
        <v/>
      </c>
      <c r="C138" s="36" t="s">
        <v>69</v>
      </c>
      <c r="D138" s="36" t="s">
        <v>1203</v>
      </c>
      <c r="E138" s="36" t="s">
        <v>3184</v>
      </c>
      <c r="F138" s="36" t="s">
        <v>188</v>
      </c>
      <c r="G138" s="36" t="str">
        <f>IF($H138="","",IFERROR(INDEX('Risk Library'!$H$5:$M$411,MATCH($E138,'Risk Library'!$A$5:$A$411,0),$H138+1),""))</f>
        <v/>
      </c>
      <c r="H138" s="37" t="str">
        <f>IF(OR(COUNTA('Legal Risk'!$H$24)=0,'Legal Risk'!$H$24="N/A"),"",VALUE('Legal Risk'!$H$24))</f>
        <v/>
      </c>
      <c r="I138" s="36" t="str">
        <f>IF($H138="","",IFERROR(IF('Legal Risk'!$L$24="",IF($H138&lt;=1,"Critical",IF($H138=2,"High",IF($H138=3,"Medium",IF($H138=4,"Low","Resilient")))),'Legal Risk'!$L$24),IF($H138&lt;=1,"Critical",IF($H138=2,"High",IF($H138=3,"Medium",IF($H138=4,"Low","Resilient"))))))</f>
        <v/>
      </c>
      <c r="J138" s="37" t="str">
        <f t="shared" si="34"/>
        <v/>
      </c>
      <c r="K138" s="37" t="str">
        <f t="shared" si="35"/>
        <v/>
      </c>
      <c r="L138" s="37" t="str">
        <f t="shared" si="36"/>
        <v/>
      </c>
      <c r="M138" s="37" t="str">
        <f t="shared" si="37"/>
        <v/>
      </c>
      <c r="N138" s="37" t="str">
        <f>IF($H138="","",IFERROR(INDEX('Risk Library'!$T$5:$Y$411,MATCH($E138,'Risk Library'!$A$5:$A$411,0),$H138+1),""))</f>
        <v/>
      </c>
      <c r="O138" s="37" t="str">
        <f t="shared" si="38"/>
        <v/>
      </c>
      <c r="P138" s="37" t="str">
        <f t="shared" si="39"/>
        <v/>
      </c>
      <c r="Q138" s="37" t="str">
        <f t="shared" si="40"/>
        <v/>
      </c>
      <c r="R138" s="37" t="str">
        <f t="shared" si="41"/>
        <v/>
      </c>
      <c r="S138" s="38" t="str">
        <f t="shared" si="42"/>
        <v/>
      </c>
      <c r="T138" s="36" t="str">
        <f>IF($H138="","",IFERROR(INDEX('Risk Library'!$N$5:$S$411,MATCH($E138,'Risk Library'!$A$5:$A$411,0),$H138+1),""))</f>
        <v/>
      </c>
      <c r="U138" s="37">
        <f>IFERROR('Legal Risk'!$G$24,"")</f>
        <v>5</v>
      </c>
      <c r="V138" s="37">
        <f>IFERROR('Legal Risk'!$W$24,"")</f>
        <v>5</v>
      </c>
      <c r="W138" s="37">
        <f>IFERROR('Legal Risk'!$X$24,"")</f>
        <v>5</v>
      </c>
      <c r="X138" s="37">
        <f>IFERROR('Legal Risk'!$Y$24,"")</f>
        <v>5</v>
      </c>
      <c r="Y138" s="36" t="s">
        <v>3001</v>
      </c>
      <c r="Z138" s="36" t="s">
        <v>3002</v>
      </c>
      <c r="AA138" s="36" t="s">
        <v>3186</v>
      </c>
      <c r="AB138" s="36">
        <f>IFERROR('Legal Risk'!$U$24,"")</f>
        <v>0</v>
      </c>
      <c r="AC138" s="36"/>
      <c r="AD138" s="36"/>
      <c r="AE138" s="36"/>
      <c r="AF138" s="36" t="s">
        <v>3185</v>
      </c>
      <c r="AO138" s="48" t="str">
        <f>IF($B138="Yes",IFERROR(SUMIFS(_TECH_Crisis_Model!$D$5:$D$191,_TECH_Crisis_Model!$A$5:$A$191,'Crisis Simulator'!$B$4,_TECH_Crisis_Model!$B$5:$B$191,$C138),1),"")</f>
        <v/>
      </c>
      <c r="AP138" s="48" t="str">
        <f t="shared" si="43"/>
        <v/>
      </c>
      <c r="AQ138" s="48" t="str">
        <f t="shared" si="44"/>
        <v/>
      </c>
      <c r="AR138" s="48" t="str">
        <f>IFERROR(INDEX(_TECH_Crisis_Model!$E$5:$E$191,MATCH('Crisis Simulator'!$B$4&amp;"|"&amp;$C138,_TECH_Crisis_Model!$I$5:$I$191,0)),"")</f>
        <v>Contracts, obligations and compliance exposure can turn operational crisis into legal or regulatory failure.</v>
      </c>
      <c r="AS138" s="48" t="str">
        <f>IFERROR(INDEX(_TECH_Crisis_Model!$G$5:$G$191,MATCH('Crisis Simulator'!$B$4&amp;"|"&amp;$C138,_TECH_Crisis_Model!$I$5:$I$191,0)),"")</f>
        <v>Review critical contracts, compliance obligations, force majeure, data protection and legal continuity.</v>
      </c>
      <c r="AT138" s="48" t="str">
        <f>IFERROR(INDEX(_TECH_Initiative_Library!$A$5:$A$76,MATCH(1,INDEX((_TECH_Initiative_Library!$B$5:$B$76=$C138)*(_TECH_Initiative_Library!$C$5:$C$76=$D138),0),0)),"")</f>
        <v>INI-022</v>
      </c>
      <c r="AU138" s="48" t="str">
        <f>IFERROR(INDEX(_TECH_Initiative_Library!$F$5:$F$76,MATCH(1,INDEX((_TECH_Initiative_Library!$B$5:$B$76=$C138)*(_TECH_Initiative_Library!$C$5:$C$76=$D138),0),0)),"")</f>
        <v>Prepare employment-law continuity and workforce-location compliance</v>
      </c>
      <c r="AV138" s="48" t="str">
        <f ca="1">IFERROR(INDEX(_TECH_Initiative_Library!$AC$5:$AC$76,MATCH(1,INDEX((_TECH_Initiative_Library!$B$5:$B$76=$C138)*(_TECH_Initiative_Library!$C$5:$C$76=$D138),0),0)),"")</f>
        <v/>
      </c>
      <c r="AW138" s="48" t="str">
        <f ca="1">IFERROR(INDEX(_TECH_Initiative_Library!$AE$5:$AE$76,MATCH(1,INDEX((_TECH_Initiative_Library!$B$5:$B$76=$C138)*(_TECH_Initiative_Library!$C$5:$C$76=$D138),0),0)),"")</f>
        <v/>
      </c>
      <c r="AX138" s="48" t="str">
        <f>IF($B138="Yes",IFERROR(SUMIFS(_TECH_Industry_Templates!$E:$E,_TECH_Industry_Templates!$A:$A,'Company Profile'!$B$9,_TECH_Industry_Templates!$B:$B,$C138),1),"")</f>
        <v/>
      </c>
      <c r="AY138" s="48" t="str">
        <f t="shared" si="45"/>
        <v/>
      </c>
      <c r="AZ138" s="48" t="str">
        <f t="shared" si="46"/>
        <v/>
      </c>
      <c r="BA138" s="48" t="str">
        <f>IF($AZ138="","",RANK.EQ($AZ138,$AZ$8:$AZ$414,0)+COUNTIF($AZ$8:$AZ138,$AZ138)-1)</f>
        <v/>
      </c>
    </row>
    <row r="139" spans="1:53" ht="69.95" customHeight="1">
      <c r="A139" s="36" t="str">
        <f>IF($AZ139="","",RANK.EQ($AZ139,$AZ$8:$AZ$414,0)+COUNTIF($AZ$8:$AZ139,$AZ139)-1)</f>
        <v/>
      </c>
      <c r="B139" s="36" t="str">
        <f t="shared" si="33"/>
        <v/>
      </c>
      <c r="C139" s="36" t="s">
        <v>72</v>
      </c>
      <c r="D139" s="36" t="s">
        <v>1211</v>
      </c>
      <c r="E139" s="36" t="s">
        <v>3196</v>
      </c>
      <c r="F139" s="36" t="s">
        <v>189</v>
      </c>
      <c r="G139" s="36" t="str">
        <f>IF($H139="","",IFERROR(INDEX('Risk Library'!$H$5:$M$411,MATCH($E139,'Risk Library'!$A$5:$A$411,0),$H139+1),""))</f>
        <v/>
      </c>
      <c r="H139" s="37" t="str">
        <f>IF(OR(COUNTA('Physical Safety'!$H$5)=0,'Physical Safety'!$H$5="N/A"),"",VALUE('Physical Safety'!$H$5))</f>
        <v/>
      </c>
      <c r="I139" s="36" t="str">
        <f>IF($H139="","",IFERROR(IF('Physical Safety'!$L$5="",IF($H139&lt;=1,"Critical",IF($H139=2,"High",IF($H139=3,"Medium",IF($H139=4,"Low","Resilient")))),'Physical Safety'!$L$5),IF($H139&lt;=1,"Critical",IF($H139=2,"High",IF($H139=3,"Medium",IF($H139=4,"Low","Resilient"))))))</f>
        <v/>
      </c>
      <c r="J139" s="37" t="str">
        <f t="shared" si="34"/>
        <v/>
      </c>
      <c r="K139" s="37" t="str">
        <f t="shared" si="35"/>
        <v/>
      </c>
      <c r="L139" s="37" t="str">
        <f t="shared" si="36"/>
        <v/>
      </c>
      <c r="M139" s="37" t="str">
        <f t="shared" si="37"/>
        <v/>
      </c>
      <c r="N139" s="37" t="str">
        <f>IF($H139="","",IFERROR(INDEX('Risk Library'!$T$5:$Y$411,MATCH($E139,'Risk Library'!$A$5:$A$411,0),$H139+1),""))</f>
        <v/>
      </c>
      <c r="O139" s="37" t="str">
        <f t="shared" si="38"/>
        <v/>
      </c>
      <c r="P139" s="37" t="str">
        <f t="shared" si="39"/>
        <v/>
      </c>
      <c r="Q139" s="37" t="str">
        <f t="shared" si="40"/>
        <v/>
      </c>
      <c r="R139" s="37" t="str">
        <f t="shared" si="41"/>
        <v/>
      </c>
      <c r="S139" s="38" t="str">
        <f t="shared" si="42"/>
        <v/>
      </c>
      <c r="T139" s="36" t="str">
        <f>IF($H139="","",IFERROR(INDEX('Risk Library'!$N$5:$S$411,MATCH($E139,'Risk Library'!$A$5:$A$411,0),$H139+1),""))</f>
        <v/>
      </c>
      <c r="U139" s="37">
        <f>IFERROR('Physical Safety'!$G$5,"")</f>
        <v>5</v>
      </c>
      <c r="V139" s="37">
        <f>IFERROR('Physical Safety'!$W$5,"")</f>
        <v>4</v>
      </c>
      <c r="W139" s="37">
        <f>IFERROR('Physical Safety'!$X$5,"")</f>
        <v>5</v>
      </c>
      <c r="X139" s="37">
        <f>IFERROR('Physical Safety'!$Y$5,"")</f>
        <v>5</v>
      </c>
      <c r="Y139" s="36" t="s">
        <v>3207</v>
      </c>
      <c r="Z139" s="36" t="s">
        <v>3208</v>
      </c>
      <c r="AA139" s="36" t="s">
        <v>3200</v>
      </c>
      <c r="AB139" s="36">
        <f>IFERROR('Physical Safety'!$U$5,"")</f>
        <v>0</v>
      </c>
      <c r="AC139" s="36"/>
      <c r="AD139" s="36"/>
      <c r="AE139" s="36"/>
      <c r="AF139" s="36" t="s">
        <v>3197</v>
      </c>
      <c r="AO139" s="48" t="str">
        <f>IF($B139="Yes",IFERROR(SUMIFS(_TECH_Crisis_Model!$D$5:$D$191,_TECH_Crisis_Model!$A$5:$A$191,'Crisis Simulator'!$B$4,_TECH_Crisis_Model!$B$5:$B$191,$C139),1),"")</f>
        <v/>
      </c>
      <c r="AP139" s="48" t="str">
        <f t="shared" si="43"/>
        <v/>
      </c>
      <c r="AQ139" s="48" t="str">
        <f t="shared" si="44"/>
        <v/>
      </c>
      <c r="AR139" s="48" t="str">
        <f>IFERROR(INDEX(_TECH_Crisis_Model!$E$5:$E$191,MATCH('Crisis Simulator'!$B$4&amp;"|"&amp;$C139,_TECH_Crisis_Model!$I$5:$I$191,0)),"")</f>
        <v>Employee safety, access control, evacuation and facilities resilience are direct crisis constraints.</v>
      </c>
      <c r="AS139" s="48" t="str">
        <f>IFERROR(INDEX(_TECH_Crisis_Model!$G$5:$G$191,MATCH('Crisis Simulator'!$B$4&amp;"|"&amp;$C139,_TECH_Crisis_Model!$I$5:$I$191,0)),"")</f>
        <v>Implement evacuation, access control, emergency response, site security and travel-risk procedures.</v>
      </c>
      <c r="AT139" s="48" t="str">
        <f>IFERROR(INDEX(_TECH_Initiative_Library!$A$5:$A$76,MATCH(1,INDEX((_TECH_Initiative_Library!$B$5:$B$76=$C139)*(_TECH_Initiative_Library!$C$5:$C$76=$D139),0),0)),"")</f>
        <v>INI-023</v>
      </c>
      <c r="AU139" s="48" t="str">
        <f>IFERROR(INDEX(_TECH_Initiative_Library!$F$5:$F$76,MATCH(1,INDEX((_TECH_Initiative_Library!$B$5:$B$76=$C139)*(_TECH_Initiative_Library!$C$5:$C$76=$D139),0),0)),"")</f>
        <v>Implement occupational health and safety governance system</v>
      </c>
      <c r="AV139" s="48" t="str">
        <f ca="1">IFERROR(INDEX(_TECH_Initiative_Library!$AC$5:$AC$76,MATCH(1,INDEX((_TECH_Initiative_Library!$B$5:$B$76=$C139)*(_TECH_Initiative_Library!$C$5:$C$76=$D139),0),0)),"")</f>
        <v/>
      </c>
      <c r="AW139" s="48" t="str">
        <f ca="1">IFERROR(INDEX(_TECH_Initiative_Library!$AE$5:$AE$76,MATCH(1,INDEX((_TECH_Initiative_Library!$B$5:$B$76=$C139)*(_TECH_Initiative_Library!$C$5:$C$76=$D139),0),0)),"")</f>
        <v/>
      </c>
      <c r="AX139" s="48" t="str">
        <f>IF($B139="Yes",IFERROR(SUMIFS(_TECH_Industry_Templates!$E:$E,_TECH_Industry_Templates!$A:$A,'Company Profile'!$B$9,_TECH_Industry_Templates!$B:$B,$C139),1),"")</f>
        <v/>
      </c>
      <c r="AY139" s="48" t="str">
        <f t="shared" si="45"/>
        <v/>
      </c>
      <c r="AZ139" s="48" t="str">
        <f t="shared" si="46"/>
        <v/>
      </c>
      <c r="BA139" s="48" t="str">
        <f>IF($AZ139="","",RANK.EQ($AZ139,$AZ$8:$AZ$414,0)+COUNTIF($AZ$8:$AZ139,$AZ139)-1)</f>
        <v/>
      </c>
    </row>
    <row r="140" spans="1:53" ht="69.95" customHeight="1">
      <c r="A140" s="36" t="str">
        <f>IF($AZ140="","",RANK.EQ($AZ140,$AZ$8:$AZ$414,0)+COUNTIF($AZ$8:$AZ140,$AZ140)-1)</f>
        <v/>
      </c>
      <c r="B140" s="36" t="str">
        <f t="shared" si="33"/>
        <v/>
      </c>
      <c r="C140" s="36" t="s">
        <v>72</v>
      </c>
      <c r="D140" s="36" t="s">
        <v>1211</v>
      </c>
      <c r="E140" s="36" t="s">
        <v>3210</v>
      </c>
      <c r="F140" s="36" t="s">
        <v>189</v>
      </c>
      <c r="G140" s="36" t="str">
        <f>IF($H140="","",IFERROR(INDEX('Risk Library'!$H$5:$M$411,MATCH($E140,'Risk Library'!$A$5:$A$411,0),$H140+1),""))</f>
        <v/>
      </c>
      <c r="H140" s="37" t="str">
        <f>IF(OR(COUNTA('Physical Safety'!$H$6)=0,'Physical Safety'!$H$6="N/A"),"",VALUE('Physical Safety'!$H$6))</f>
        <v/>
      </c>
      <c r="I140" s="36" t="str">
        <f>IF($H140="","",IFERROR(IF('Physical Safety'!$L$6="",IF($H140&lt;=1,"Critical",IF($H140=2,"High",IF($H140=3,"Medium",IF($H140=4,"Low","Resilient")))),'Physical Safety'!$L$6),IF($H140&lt;=1,"Critical",IF($H140=2,"High",IF($H140=3,"Medium",IF($H140=4,"Low","Resilient"))))))</f>
        <v/>
      </c>
      <c r="J140" s="37" t="str">
        <f t="shared" si="34"/>
        <v/>
      </c>
      <c r="K140" s="37" t="str">
        <f t="shared" si="35"/>
        <v/>
      </c>
      <c r="L140" s="37" t="str">
        <f t="shared" si="36"/>
        <v/>
      </c>
      <c r="M140" s="37" t="str">
        <f t="shared" si="37"/>
        <v/>
      </c>
      <c r="N140" s="37" t="str">
        <f>IF($H140="","",IFERROR(INDEX('Risk Library'!$T$5:$Y$411,MATCH($E140,'Risk Library'!$A$5:$A$411,0),$H140+1),""))</f>
        <v/>
      </c>
      <c r="O140" s="37" t="str">
        <f t="shared" si="38"/>
        <v/>
      </c>
      <c r="P140" s="37" t="str">
        <f t="shared" si="39"/>
        <v/>
      </c>
      <c r="Q140" s="37" t="str">
        <f t="shared" si="40"/>
        <v/>
      </c>
      <c r="R140" s="37" t="str">
        <f t="shared" si="41"/>
        <v/>
      </c>
      <c r="S140" s="38" t="str">
        <f t="shared" si="42"/>
        <v/>
      </c>
      <c r="T140" s="36" t="str">
        <f>IF($H140="","",IFERROR(INDEX('Risk Library'!$N$5:$S$411,MATCH($E140,'Risk Library'!$A$5:$A$411,0),$H140+1),""))</f>
        <v/>
      </c>
      <c r="U140" s="37">
        <f>IFERROR('Physical Safety'!$G$6,"")</f>
        <v>5</v>
      </c>
      <c r="V140" s="37">
        <f>IFERROR('Physical Safety'!$W$6,"")</f>
        <v>4</v>
      </c>
      <c r="W140" s="37">
        <f>IFERROR('Physical Safety'!$X$6,"")</f>
        <v>5</v>
      </c>
      <c r="X140" s="37">
        <f>IFERROR('Physical Safety'!$Y$6,"")</f>
        <v>5</v>
      </c>
      <c r="Y140" s="36" t="s">
        <v>3207</v>
      </c>
      <c r="Z140" s="36" t="s">
        <v>3208</v>
      </c>
      <c r="AA140" s="36" t="s">
        <v>3212</v>
      </c>
      <c r="AB140" s="36">
        <f>IFERROR('Physical Safety'!$U$6,"")</f>
        <v>0</v>
      </c>
      <c r="AC140" s="36"/>
      <c r="AD140" s="36"/>
      <c r="AE140" s="36"/>
      <c r="AF140" s="36" t="s">
        <v>3211</v>
      </c>
      <c r="AO140" s="48" t="str">
        <f>IF($B140="Yes",IFERROR(SUMIFS(_TECH_Crisis_Model!$D$5:$D$191,_TECH_Crisis_Model!$A$5:$A$191,'Crisis Simulator'!$B$4,_TECH_Crisis_Model!$B$5:$B$191,$C140),1),"")</f>
        <v/>
      </c>
      <c r="AP140" s="48" t="str">
        <f t="shared" si="43"/>
        <v/>
      </c>
      <c r="AQ140" s="48" t="str">
        <f t="shared" si="44"/>
        <v/>
      </c>
      <c r="AR140" s="48" t="str">
        <f>IFERROR(INDEX(_TECH_Crisis_Model!$E$5:$E$191,MATCH('Crisis Simulator'!$B$4&amp;"|"&amp;$C140,_TECH_Crisis_Model!$I$5:$I$191,0)),"")</f>
        <v>Employee safety, access control, evacuation and facilities resilience are direct crisis constraints.</v>
      </c>
      <c r="AS140" s="48" t="str">
        <f>IFERROR(INDEX(_TECH_Crisis_Model!$G$5:$G$191,MATCH('Crisis Simulator'!$B$4&amp;"|"&amp;$C140,_TECH_Crisis_Model!$I$5:$I$191,0)),"")</f>
        <v>Implement evacuation, access control, emergency response, site security and travel-risk procedures.</v>
      </c>
      <c r="AT140" s="48" t="str">
        <f>IFERROR(INDEX(_TECH_Initiative_Library!$A$5:$A$76,MATCH(1,INDEX((_TECH_Initiative_Library!$B$5:$B$76=$C140)*(_TECH_Initiative_Library!$C$5:$C$76=$D140),0),0)),"")</f>
        <v>INI-023</v>
      </c>
      <c r="AU140" s="48" t="str">
        <f>IFERROR(INDEX(_TECH_Initiative_Library!$F$5:$F$76,MATCH(1,INDEX((_TECH_Initiative_Library!$B$5:$B$76=$C140)*(_TECH_Initiative_Library!$C$5:$C$76=$D140),0),0)),"")</f>
        <v>Implement occupational health and safety governance system</v>
      </c>
      <c r="AV140" s="48" t="str">
        <f ca="1">IFERROR(INDEX(_TECH_Initiative_Library!$AC$5:$AC$76,MATCH(1,INDEX((_TECH_Initiative_Library!$B$5:$B$76=$C140)*(_TECH_Initiative_Library!$C$5:$C$76=$D140),0),0)),"")</f>
        <v/>
      </c>
      <c r="AW140" s="48" t="str">
        <f ca="1">IFERROR(INDEX(_TECH_Initiative_Library!$AE$5:$AE$76,MATCH(1,INDEX((_TECH_Initiative_Library!$B$5:$B$76=$C140)*(_TECH_Initiative_Library!$C$5:$C$76=$D140),0),0)),"")</f>
        <v/>
      </c>
      <c r="AX140" s="48" t="str">
        <f>IF($B140="Yes",IFERROR(SUMIFS(_TECH_Industry_Templates!$E:$E,_TECH_Industry_Templates!$A:$A,'Company Profile'!$B$9,_TECH_Industry_Templates!$B:$B,$C140),1),"")</f>
        <v/>
      </c>
      <c r="AY140" s="48" t="str">
        <f t="shared" si="45"/>
        <v/>
      </c>
      <c r="AZ140" s="48" t="str">
        <f t="shared" si="46"/>
        <v/>
      </c>
      <c r="BA140" s="48" t="str">
        <f>IF($AZ140="","",RANK.EQ($AZ140,$AZ$8:$AZ$414,0)+COUNTIF($AZ$8:$AZ140,$AZ140)-1)</f>
        <v/>
      </c>
    </row>
    <row r="141" spans="1:53" ht="69.95" customHeight="1">
      <c r="A141" s="36" t="str">
        <f>IF($AZ141="","",RANK.EQ($AZ141,$AZ$8:$AZ$414,0)+COUNTIF($AZ$8:$AZ141,$AZ141)-1)</f>
        <v/>
      </c>
      <c r="B141" s="36" t="str">
        <f t="shared" si="33"/>
        <v/>
      </c>
      <c r="C141" s="36" t="s">
        <v>72</v>
      </c>
      <c r="D141" s="36" t="s">
        <v>1211</v>
      </c>
      <c r="E141" s="36" t="s">
        <v>3220</v>
      </c>
      <c r="F141" s="36" t="s">
        <v>189</v>
      </c>
      <c r="G141" s="36" t="str">
        <f>IF($H141="","",IFERROR(INDEX('Risk Library'!$H$5:$M$411,MATCH($E141,'Risk Library'!$A$5:$A$411,0),$H141+1),""))</f>
        <v/>
      </c>
      <c r="H141" s="37" t="str">
        <f>IF(OR(COUNTA('Physical Safety'!$H$7)=0,'Physical Safety'!$H$7="N/A"),"",VALUE('Physical Safety'!$H$7))</f>
        <v/>
      </c>
      <c r="I141" s="36" t="str">
        <f>IF($H141="","",IFERROR(IF('Physical Safety'!$L$7="",IF($H141&lt;=1,"Critical",IF($H141=2,"High",IF($H141=3,"Medium",IF($H141=4,"Low","Resilient")))),'Physical Safety'!$L$7),IF($H141&lt;=1,"Critical",IF($H141=2,"High",IF($H141=3,"Medium",IF($H141=4,"Low","Resilient"))))))</f>
        <v/>
      </c>
      <c r="J141" s="37" t="str">
        <f t="shared" si="34"/>
        <v/>
      </c>
      <c r="K141" s="37" t="str">
        <f t="shared" si="35"/>
        <v/>
      </c>
      <c r="L141" s="37" t="str">
        <f t="shared" si="36"/>
        <v/>
      </c>
      <c r="M141" s="37" t="str">
        <f t="shared" si="37"/>
        <v/>
      </c>
      <c r="N141" s="37" t="str">
        <f>IF($H141="","",IFERROR(INDEX('Risk Library'!$T$5:$Y$411,MATCH($E141,'Risk Library'!$A$5:$A$411,0),$H141+1),""))</f>
        <v/>
      </c>
      <c r="O141" s="37" t="str">
        <f t="shared" si="38"/>
        <v/>
      </c>
      <c r="P141" s="37" t="str">
        <f t="shared" si="39"/>
        <v/>
      </c>
      <c r="Q141" s="37" t="str">
        <f t="shared" si="40"/>
        <v/>
      </c>
      <c r="R141" s="37" t="str">
        <f t="shared" si="41"/>
        <v/>
      </c>
      <c r="S141" s="38" t="str">
        <f t="shared" si="42"/>
        <v/>
      </c>
      <c r="T141" s="36" t="str">
        <f>IF($H141="","",IFERROR(INDEX('Risk Library'!$N$5:$S$411,MATCH($E141,'Risk Library'!$A$5:$A$411,0),$H141+1),""))</f>
        <v/>
      </c>
      <c r="U141" s="37">
        <f>IFERROR('Physical Safety'!$G$7,"")</f>
        <v>5</v>
      </c>
      <c r="V141" s="37">
        <f>IFERROR('Physical Safety'!$W$7,"")</f>
        <v>4</v>
      </c>
      <c r="W141" s="37">
        <f>IFERROR('Physical Safety'!$X$7,"")</f>
        <v>5</v>
      </c>
      <c r="X141" s="37">
        <f>IFERROR('Physical Safety'!$Y$7,"")</f>
        <v>5</v>
      </c>
      <c r="Y141" s="36" t="s">
        <v>3207</v>
      </c>
      <c r="Z141" s="36" t="s">
        <v>3208</v>
      </c>
      <c r="AA141" s="36" t="s">
        <v>3222</v>
      </c>
      <c r="AB141" s="36">
        <f>IFERROR('Physical Safety'!$U$7,"")</f>
        <v>0</v>
      </c>
      <c r="AC141" s="36"/>
      <c r="AD141" s="36"/>
      <c r="AE141" s="36"/>
      <c r="AF141" s="36" t="s">
        <v>3221</v>
      </c>
      <c r="AO141" s="48" t="str">
        <f>IF($B141="Yes",IFERROR(SUMIFS(_TECH_Crisis_Model!$D$5:$D$191,_TECH_Crisis_Model!$A$5:$A$191,'Crisis Simulator'!$B$4,_TECH_Crisis_Model!$B$5:$B$191,$C141),1),"")</f>
        <v/>
      </c>
      <c r="AP141" s="48" t="str">
        <f t="shared" si="43"/>
        <v/>
      </c>
      <c r="AQ141" s="48" t="str">
        <f t="shared" si="44"/>
        <v/>
      </c>
      <c r="AR141" s="48" t="str">
        <f>IFERROR(INDEX(_TECH_Crisis_Model!$E$5:$E$191,MATCH('Crisis Simulator'!$B$4&amp;"|"&amp;$C141,_TECH_Crisis_Model!$I$5:$I$191,0)),"")</f>
        <v>Employee safety, access control, evacuation and facilities resilience are direct crisis constraints.</v>
      </c>
      <c r="AS141" s="48" t="str">
        <f>IFERROR(INDEX(_TECH_Crisis_Model!$G$5:$G$191,MATCH('Crisis Simulator'!$B$4&amp;"|"&amp;$C141,_TECH_Crisis_Model!$I$5:$I$191,0)),"")</f>
        <v>Implement evacuation, access control, emergency response, site security and travel-risk procedures.</v>
      </c>
      <c r="AT141" s="48" t="str">
        <f>IFERROR(INDEX(_TECH_Initiative_Library!$A$5:$A$76,MATCH(1,INDEX((_TECH_Initiative_Library!$B$5:$B$76=$C141)*(_TECH_Initiative_Library!$C$5:$C$76=$D141),0),0)),"")</f>
        <v>INI-023</v>
      </c>
      <c r="AU141" s="48" t="str">
        <f>IFERROR(INDEX(_TECH_Initiative_Library!$F$5:$F$76,MATCH(1,INDEX((_TECH_Initiative_Library!$B$5:$B$76=$C141)*(_TECH_Initiative_Library!$C$5:$C$76=$D141),0),0)),"")</f>
        <v>Implement occupational health and safety governance system</v>
      </c>
      <c r="AV141" s="48" t="str">
        <f ca="1">IFERROR(INDEX(_TECH_Initiative_Library!$AC$5:$AC$76,MATCH(1,INDEX((_TECH_Initiative_Library!$B$5:$B$76=$C141)*(_TECH_Initiative_Library!$C$5:$C$76=$D141),0),0)),"")</f>
        <v/>
      </c>
      <c r="AW141" s="48" t="str">
        <f ca="1">IFERROR(INDEX(_TECH_Initiative_Library!$AE$5:$AE$76,MATCH(1,INDEX((_TECH_Initiative_Library!$B$5:$B$76=$C141)*(_TECH_Initiative_Library!$C$5:$C$76=$D141),0),0)),"")</f>
        <v/>
      </c>
      <c r="AX141" s="48" t="str">
        <f>IF($B141="Yes",IFERROR(SUMIFS(_TECH_Industry_Templates!$E:$E,_TECH_Industry_Templates!$A:$A,'Company Profile'!$B$9,_TECH_Industry_Templates!$B:$B,$C141),1),"")</f>
        <v/>
      </c>
      <c r="AY141" s="48" t="str">
        <f t="shared" si="45"/>
        <v/>
      </c>
      <c r="AZ141" s="48" t="str">
        <f t="shared" si="46"/>
        <v/>
      </c>
      <c r="BA141" s="48" t="str">
        <f>IF($AZ141="","",RANK.EQ($AZ141,$AZ$8:$AZ$414,0)+COUNTIF($AZ$8:$AZ141,$AZ141)-1)</f>
        <v/>
      </c>
    </row>
    <row r="142" spans="1:53" ht="69.95" customHeight="1">
      <c r="A142" s="36" t="str">
        <f>IF($AZ142="","",RANK.EQ($AZ142,$AZ$8:$AZ$414,0)+COUNTIF($AZ$8:$AZ142,$AZ142)-1)</f>
        <v/>
      </c>
      <c r="B142" s="36" t="str">
        <f t="shared" si="33"/>
        <v/>
      </c>
      <c r="C142" s="36" t="s">
        <v>72</v>
      </c>
      <c r="D142" s="36" t="s">
        <v>1211</v>
      </c>
      <c r="E142" s="36" t="s">
        <v>3230</v>
      </c>
      <c r="F142" s="36" t="s">
        <v>189</v>
      </c>
      <c r="G142" s="36" t="str">
        <f>IF($H142="","",IFERROR(INDEX('Risk Library'!$H$5:$M$411,MATCH($E142,'Risk Library'!$A$5:$A$411,0),$H142+1),""))</f>
        <v/>
      </c>
      <c r="H142" s="37" t="str">
        <f>IF(OR(COUNTA('Physical Safety'!$H$8)=0,'Physical Safety'!$H$8="N/A"),"",VALUE('Physical Safety'!$H$8))</f>
        <v/>
      </c>
      <c r="I142" s="36" t="str">
        <f>IF($H142="","",IFERROR(IF('Physical Safety'!$L$8="",IF($H142&lt;=1,"Critical",IF($H142=2,"High",IF($H142=3,"Medium",IF($H142=4,"Low","Resilient")))),'Physical Safety'!$L$8),IF($H142&lt;=1,"Critical",IF($H142=2,"High",IF($H142=3,"Medium",IF($H142=4,"Low","Resilient"))))))</f>
        <v/>
      </c>
      <c r="J142" s="37" t="str">
        <f t="shared" si="34"/>
        <v/>
      </c>
      <c r="K142" s="37" t="str">
        <f t="shared" si="35"/>
        <v/>
      </c>
      <c r="L142" s="37" t="str">
        <f t="shared" si="36"/>
        <v/>
      </c>
      <c r="M142" s="37" t="str">
        <f t="shared" si="37"/>
        <v/>
      </c>
      <c r="N142" s="37" t="str">
        <f>IF($H142="","",IFERROR(INDEX('Risk Library'!$T$5:$Y$411,MATCH($E142,'Risk Library'!$A$5:$A$411,0),$H142+1),""))</f>
        <v/>
      </c>
      <c r="O142" s="37" t="str">
        <f t="shared" si="38"/>
        <v/>
      </c>
      <c r="P142" s="37" t="str">
        <f t="shared" si="39"/>
        <v/>
      </c>
      <c r="Q142" s="37" t="str">
        <f t="shared" si="40"/>
        <v/>
      </c>
      <c r="R142" s="37" t="str">
        <f t="shared" si="41"/>
        <v/>
      </c>
      <c r="S142" s="38" t="str">
        <f t="shared" si="42"/>
        <v/>
      </c>
      <c r="T142" s="36" t="str">
        <f>IF($H142="","",IFERROR(INDEX('Risk Library'!$N$5:$S$411,MATCH($E142,'Risk Library'!$A$5:$A$411,0),$H142+1),""))</f>
        <v/>
      </c>
      <c r="U142" s="37">
        <f>IFERROR('Physical Safety'!$G$8,"")</f>
        <v>5</v>
      </c>
      <c r="V142" s="37">
        <f>IFERROR('Physical Safety'!$W$8,"")</f>
        <v>4</v>
      </c>
      <c r="W142" s="37">
        <f>IFERROR('Physical Safety'!$X$8,"")</f>
        <v>5</v>
      </c>
      <c r="X142" s="37">
        <f>IFERROR('Physical Safety'!$Y$8,"")</f>
        <v>5</v>
      </c>
      <c r="Y142" s="36" t="s">
        <v>3207</v>
      </c>
      <c r="Z142" s="36" t="s">
        <v>3208</v>
      </c>
      <c r="AA142" s="36" t="s">
        <v>3232</v>
      </c>
      <c r="AB142" s="36">
        <f>IFERROR('Physical Safety'!$U$8,"")</f>
        <v>0</v>
      </c>
      <c r="AC142" s="36"/>
      <c r="AD142" s="36"/>
      <c r="AE142" s="36"/>
      <c r="AF142" s="36" t="s">
        <v>3231</v>
      </c>
      <c r="AO142" s="48" t="str">
        <f>IF($B142="Yes",IFERROR(SUMIFS(_TECH_Crisis_Model!$D$5:$D$191,_TECH_Crisis_Model!$A$5:$A$191,'Crisis Simulator'!$B$4,_TECH_Crisis_Model!$B$5:$B$191,$C142),1),"")</f>
        <v/>
      </c>
      <c r="AP142" s="48" t="str">
        <f t="shared" si="43"/>
        <v/>
      </c>
      <c r="AQ142" s="48" t="str">
        <f t="shared" si="44"/>
        <v/>
      </c>
      <c r="AR142" s="48" t="str">
        <f>IFERROR(INDEX(_TECH_Crisis_Model!$E$5:$E$191,MATCH('Crisis Simulator'!$B$4&amp;"|"&amp;$C142,_TECH_Crisis_Model!$I$5:$I$191,0)),"")</f>
        <v>Employee safety, access control, evacuation and facilities resilience are direct crisis constraints.</v>
      </c>
      <c r="AS142" s="48" t="str">
        <f>IFERROR(INDEX(_TECH_Crisis_Model!$G$5:$G$191,MATCH('Crisis Simulator'!$B$4&amp;"|"&amp;$C142,_TECH_Crisis_Model!$I$5:$I$191,0)),"")</f>
        <v>Implement evacuation, access control, emergency response, site security and travel-risk procedures.</v>
      </c>
      <c r="AT142" s="48" t="str">
        <f>IFERROR(INDEX(_TECH_Initiative_Library!$A$5:$A$76,MATCH(1,INDEX((_TECH_Initiative_Library!$B$5:$B$76=$C142)*(_TECH_Initiative_Library!$C$5:$C$76=$D142),0),0)),"")</f>
        <v>INI-023</v>
      </c>
      <c r="AU142" s="48" t="str">
        <f>IFERROR(INDEX(_TECH_Initiative_Library!$F$5:$F$76,MATCH(1,INDEX((_TECH_Initiative_Library!$B$5:$B$76=$C142)*(_TECH_Initiative_Library!$C$5:$C$76=$D142),0),0)),"")</f>
        <v>Implement occupational health and safety governance system</v>
      </c>
      <c r="AV142" s="48" t="str">
        <f ca="1">IFERROR(INDEX(_TECH_Initiative_Library!$AC$5:$AC$76,MATCH(1,INDEX((_TECH_Initiative_Library!$B$5:$B$76=$C142)*(_TECH_Initiative_Library!$C$5:$C$76=$D142),0),0)),"")</f>
        <v/>
      </c>
      <c r="AW142" s="48" t="str">
        <f ca="1">IFERROR(INDEX(_TECH_Initiative_Library!$AE$5:$AE$76,MATCH(1,INDEX((_TECH_Initiative_Library!$B$5:$B$76=$C142)*(_TECH_Initiative_Library!$C$5:$C$76=$D142),0),0)),"")</f>
        <v/>
      </c>
      <c r="AX142" s="48" t="str">
        <f>IF($B142="Yes",IFERROR(SUMIFS(_TECH_Industry_Templates!$E:$E,_TECH_Industry_Templates!$A:$A,'Company Profile'!$B$9,_TECH_Industry_Templates!$B:$B,$C142),1),"")</f>
        <v/>
      </c>
      <c r="AY142" s="48" t="str">
        <f t="shared" si="45"/>
        <v/>
      </c>
      <c r="AZ142" s="48" t="str">
        <f t="shared" si="46"/>
        <v/>
      </c>
      <c r="BA142" s="48" t="str">
        <f>IF($AZ142="","",RANK.EQ($AZ142,$AZ$8:$AZ$414,0)+COUNTIF($AZ$8:$AZ142,$AZ142)-1)</f>
        <v/>
      </c>
    </row>
    <row r="143" spans="1:53" ht="69.95" customHeight="1">
      <c r="A143" s="36" t="str">
        <f>IF($AZ143="","",RANK.EQ($AZ143,$AZ$8:$AZ$414,0)+COUNTIF($AZ$8:$AZ143,$AZ143)-1)</f>
        <v/>
      </c>
      <c r="B143" s="36" t="str">
        <f t="shared" si="33"/>
        <v/>
      </c>
      <c r="C143" s="36" t="s">
        <v>72</v>
      </c>
      <c r="D143" s="36" t="s">
        <v>1211</v>
      </c>
      <c r="E143" s="36" t="s">
        <v>3240</v>
      </c>
      <c r="F143" s="36" t="s">
        <v>189</v>
      </c>
      <c r="G143" s="36" t="str">
        <f>IF($H143="","",IFERROR(INDEX('Risk Library'!$H$5:$M$411,MATCH($E143,'Risk Library'!$A$5:$A$411,0),$H143+1),""))</f>
        <v/>
      </c>
      <c r="H143" s="37" t="str">
        <f>IF(OR(COUNTA('Physical Safety'!$H$9)=0,'Physical Safety'!$H$9="N/A"),"",VALUE('Physical Safety'!$H$9))</f>
        <v/>
      </c>
      <c r="I143" s="36" t="str">
        <f>IF($H143="","",IFERROR(IF('Physical Safety'!$L$9="",IF($H143&lt;=1,"Critical",IF($H143=2,"High",IF($H143=3,"Medium",IF($H143=4,"Low","Resilient")))),'Physical Safety'!$L$9),IF($H143&lt;=1,"Critical",IF($H143=2,"High",IF($H143=3,"Medium",IF($H143=4,"Low","Resilient"))))))</f>
        <v/>
      </c>
      <c r="J143" s="37" t="str">
        <f t="shared" si="34"/>
        <v/>
      </c>
      <c r="K143" s="37" t="str">
        <f t="shared" si="35"/>
        <v/>
      </c>
      <c r="L143" s="37" t="str">
        <f t="shared" si="36"/>
        <v/>
      </c>
      <c r="M143" s="37" t="str">
        <f t="shared" si="37"/>
        <v/>
      </c>
      <c r="N143" s="37" t="str">
        <f>IF($H143="","",IFERROR(INDEX('Risk Library'!$T$5:$Y$411,MATCH($E143,'Risk Library'!$A$5:$A$411,0),$H143+1),""))</f>
        <v/>
      </c>
      <c r="O143" s="37" t="str">
        <f t="shared" si="38"/>
        <v/>
      </c>
      <c r="P143" s="37" t="str">
        <f t="shared" si="39"/>
        <v/>
      </c>
      <c r="Q143" s="37" t="str">
        <f t="shared" si="40"/>
        <v/>
      </c>
      <c r="R143" s="37" t="str">
        <f t="shared" si="41"/>
        <v/>
      </c>
      <c r="S143" s="38" t="str">
        <f t="shared" si="42"/>
        <v/>
      </c>
      <c r="T143" s="36" t="str">
        <f>IF($H143="","",IFERROR(INDEX('Risk Library'!$N$5:$S$411,MATCH($E143,'Risk Library'!$A$5:$A$411,0),$H143+1),""))</f>
        <v/>
      </c>
      <c r="U143" s="37">
        <f>IFERROR('Physical Safety'!$G$9,"")</f>
        <v>5</v>
      </c>
      <c r="V143" s="37">
        <f>IFERROR('Physical Safety'!$W$9,"")</f>
        <v>4</v>
      </c>
      <c r="W143" s="37">
        <f>IFERROR('Physical Safety'!$X$9,"")</f>
        <v>5</v>
      </c>
      <c r="X143" s="37">
        <f>IFERROR('Physical Safety'!$Y$9,"")</f>
        <v>5</v>
      </c>
      <c r="Y143" s="36" t="s">
        <v>3207</v>
      </c>
      <c r="Z143" s="36" t="s">
        <v>3208</v>
      </c>
      <c r="AA143" s="36" t="s">
        <v>3242</v>
      </c>
      <c r="AB143" s="36">
        <f>IFERROR('Physical Safety'!$U$9,"")</f>
        <v>0</v>
      </c>
      <c r="AC143" s="36"/>
      <c r="AD143" s="36"/>
      <c r="AE143" s="36"/>
      <c r="AF143" s="36" t="s">
        <v>3241</v>
      </c>
      <c r="AO143" s="48" t="str">
        <f>IF($B143="Yes",IFERROR(SUMIFS(_TECH_Crisis_Model!$D$5:$D$191,_TECH_Crisis_Model!$A$5:$A$191,'Crisis Simulator'!$B$4,_TECH_Crisis_Model!$B$5:$B$191,$C143),1),"")</f>
        <v/>
      </c>
      <c r="AP143" s="48" t="str">
        <f t="shared" si="43"/>
        <v/>
      </c>
      <c r="AQ143" s="48" t="str">
        <f t="shared" si="44"/>
        <v/>
      </c>
      <c r="AR143" s="48" t="str">
        <f>IFERROR(INDEX(_TECH_Crisis_Model!$E$5:$E$191,MATCH('Crisis Simulator'!$B$4&amp;"|"&amp;$C143,_TECH_Crisis_Model!$I$5:$I$191,0)),"")</f>
        <v>Employee safety, access control, evacuation and facilities resilience are direct crisis constraints.</v>
      </c>
      <c r="AS143" s="48" t="str">
        <f>IFERROR(INDEX(_TECH_Crisis_Model!$G$5:$G$191,MATCH('Crisis Simulator'!$B$4&amp;"|"&amp;$C143,_TECH_Crisis_Model!$I$5:$I$191,0)),"")</f>
        <v>Implement evacuation, access control, emergency response, site security and travel-risk procedures.</v>
      </c>
      <c r="AT143" s="48" t="str">
        <f>IFERROR(INDEX(_TECH_Initiative_Library!$A$5:$A$76,MATCH(1,INDEX((_TECH_Initiative_Library!$B$5:$B$76=$C143)*(_TECH_Initiative_Library!$C$5:$C$76=$D143),0),0)),"")</f>
        <v>INI-023</v>
      </c>
      <c r="AU143" s="48" t="str">
        <f>IFERROR(INDEX(_TECH_Initiative_Library!$F$5:$F$76,MATCH(1,INDEX((_TECH_Initiative_Library!$B$5:$B$76=$C143)*(_TECH_Initiative_Library!$C$5:$C$76=$D143),0),0)),"")</f>
        <v>Implement occupational health and safety governance system</v>
      </c>
      <c r="AV143" s="48" t="str">
        <f ca="1">IFERROR(INDEX(_TECH_Initiative_Library!$AC$5:$AC$76,MATCH(1,INDEX((_TECH_Initiative_Library!$B$5:$B$76=$C143)*(_TECH_Initiative_Library!$C$5:$C$76=$D143),0),0)),"")</f>
        <v/>
      </c>
      <c r="AW143" s="48" t="str">
        <f ca="1">IFERROR(INDEX(_TECH_Initiative_Library!$AE$5:$AE$76,MATCH(1,INDEX((_TECH_Initiative_Library!$B$5:$B$76=$C143)*(_TECH_Initiative_Library!$C$5:$C$76=$D143),0),0)),"")</f>
        <v/>
      </c>
      <c r="AX143" s="48" t="str">
        <f>IF($B143="Yes",IFERROR(SUMIFS(_TECH_Industry_Templates!$E:$E,_TECH_Industry_Templates!$A:$A,'Company Profile'!$B$9,_TECH_Industry_Templates!$B:$B,$C143),1),"")</f>
        <v/>
      </c>
      <c r="AY143" s="48" t="str">
        <f t="shared" si="45"/>
        <v/>
      </c>
      <c r="AZ143" s="48" t="str">
        <f t="shared" si="46"/>
        <v/>
      </c>
      <c r="BA143" s="48" t="str">
        <f>IF($AZ143="","",RANK.EQ($AZ143,$AZ$8:$AZ$414,0)+COUNTIF($AZ$8:$AZ143,$AZ143)-1)</f>
        <v/>
      </c>
    </row>
    <row r="144" spans="1:53" ht="69.95" customHeight="1">
      <c r="A144" s="36" t="str">
        <f>IF($AZ144="","",RANK.EQ($AZ144,$AZ$8:$AZ$414,0)+COUNTIF($AZ$8:$AZ144,$AZ144)-1)</f>
        <v/>
      </c>
      <c r="B144" s="36" t="str">
        <f t="shared" si="33"/>
        <v/>
      </c>
      <c r="C144" s="36" t="s">
        <v>72</v>
      </c>
      <c r="D144" s="36" t="s">
        <v>1211</v>
      </c>
      <c r="E144" s="36" t="s">
        <v>3250</v>
      </c>
      <c r="F144" s="36" t="s">
        <v>189</v>
      </c>
      <c r="G144" s="36" t="str">
        <f>IF($H144="","",IFERROR(INDEX('Risk Library'!$H$5:$M$411,MATCH($E144,'Risk Library'!$A$5:$A$411,0),$H144+1),""))</f>
        <v/>
      </c>
      <c r="H144" s="37" t="str">
        <f>IF(OR(COUNTA('Physical Safety'!$H$10)=0,'Physical Safety'!$H$10="N/A"),"",VALUE('Physical Safety'!$H$10))</f>
        <v/>
      </c>
      <c r="I144" s="36" t="str">
        <f>IF($H144="","",IFERROR(IF('Physical Safety'!$L$10="",IF($H144&lt;=1,"Critical",IF($H144=2,"High",IF($H144=3,"Medium",IF($H144=4,"Low","Resilient")))),'Physical Safety'!$L$10),IF($H144&lt;=1,"Critical",IF($H144=2,"High",IF($H144=3,"Medium",IF($H144=4,"Low","Resilient"))))))</f>
        <v/>
      </c>
      <c r="J144" s="37" t="str">
        <f t="shared" si="34"/>
        <v/>
      </c>
      <c r="K144" s="37" t="str">
        <f t="shared" si="35"/>
        <v/>
      </c>
      <c r="L144" s="37" t="str">
        <f t="shared" si="36"/>
        <v/>
      </c>
      <c r="M144" s="37" t="str">
        <f t="shared" si="37"/>
        <v/>
      </c>
      <c r="N144" s="37" t="str">
        <f>IF($H144="","",IFERROR(INDEX('Risk Library'!$T$5:$Y$411,MATCH($E144,'Risk Library'!$A$5:$A$411,0),$H144+1),""))</f>
        <v/>
      </c>
      <c r="O144" s="37" t="str">
        <f t="shared" si="38"/>
        <v/>
      </c>
      <c r="P144" s="37" t="str">
        <f t="shared" si="39"/>
        <v/>
      </c>
      <c r="Q144" s="37" t="str">
        <f t="shared" si="40"/>
        <v/>
      </c>
      <c r="R144" s="37" t="str">
        <f t="shared" si="41"/>
        <v/>
      </c>
      <c r="S144" s="38" t="str">
        <f t="shared" si="42"/>
        <v/>
      </c>
      <c r="T144" s="36" t="str">
        <f>IF($H144="","",IFERROR(INDEX('Risk Library'!$N$5:$S$411,MATCH($E144,'Risk Library'!$A$5:$A$411,0),$H144+1),""))</f>
        <v/>
      </c>
      <c r="U144" s="37">
        <f>IFERROR('Physical Safety'!$G$10,"")</f>
        <v>5</v>
      </c>
      <c r="V144" s="37">
        <f>IFERROR('Physical Safety'!$W$10,"")</f>
        <v>4</v>
      </c>
      <c r="W144" s="37">
        <f>IFERROR('Physical Safety'!$X$10,"")</f>
        <v>5</v>
      </c>
      <c r="X144" s="37">
        <f>IFERROR('Physical Safety'!$Y$10,"")</f>
        <v>5</v>
      </c>
      <c r="Y144" s="36" t="s">
        <v>3207</v>
      </c>
      <c r="Z144" s="36" t="s">
        <v>3208</v>
      </c>
      <c r="AA144" s="36" t="s">
        <v>3252</v>
      </c>
      <c r="AB144" s="36">
        <f>IFERROR('Physical Safety'!$U$10,"")</f>
        <v>0</v>
      </c>
      <c r="AC144" s="36"/>
      <c r="AD144" s="36"/>
      <c r="AE144" s="36"/>
      <c r="AF144" s="36" t="s">
        <v>3251</v>
      </c>
      <c r="AO144" s="48" t="str">
        <f>IF($B144="Yes",IFERROR(SUMIFS(_TECH_Crisis_Model!$D$5:$D$191,_TECH_Crisis_Model!$A$5:$A$191,'Crisis Simulator'!$B$4,_TECH_Crisis_Model!$B$5:$B$191,$C144),1),"")</f>
        <v/>
      </c>
      <c r="AP144" s="48" t="str">
        <f t="shared" si="43"/>
        <v/>
      </c>
      <c r="AQ144" s="48" t="str">
        <f t="shared" si="44"/>
        <v/>
      </c>
      <c r="AR144" s="48" t="str">
        <f>IFERROR(INDEX(_TECH_Crisis_Model!$E$5:$E$191,MATCH('Crisis Simulator'!$B$4&amp;"|"&amp;$C144,_TECH_Crisis_Model!$I$5:$I$191,0)),"")</f>
        <v>Employee safety, access control, evacuation and facilities resilience are direct crisis constraints.</v>
      </c>
      <c r="AS144" s="48" t="str">
        <f>IFERROR(INDEX(_TECH_Crisis_Model!$G$5:$G$191,MATCH('Crisis Simulator'!$B$4&amp;"|"&amp;$C144,_TECH_Crisis_Model!$I$5:$I$191,0)),"")</f>
        <v>Implement evacuation, access control, emergency response, site security and travel-risk procedures.</v>
      </c>
      <c r="AT144" s="48" t="str">
        <f>IFERROR(INDEX(_TECH_Initiative_Library!$A$5:$A$76,MATCH(1,INDEX((_TECH_Initiative_Library!$B$5:$B$76=$C144)*(_TECH_Initiative_Library!$C$5:$C$76=$D144),0),0)),"")</f>
        <v>INI-023</v>
      </c>
      <c r="AU144" s="48" t="str">
        <f>IFERROR(INDEX(_TECH_Initiative_Library!$F$5:$F$76,MATCH(1,INDEX((_TECH_Initiative_Library!$B$5:$B$76=$C144)*(_TECH_Initiative_Library!$C$5:$C$76=$D144),0),0)),"")</f>
        <v>Implement occupational health and safety governance system</v>
      </c>
      <c r="AV144" s="48" t="str">
        <f ca="1">IFERROR(INDEX(_TECH_Initiative_Library!$AC$5:$AC$76,MATCH(1,INDEX((_TECH_Initiative_Library!$B$5:$B$76=$C144)*(_TECH_Initiative_Library!$C$5:$C$76=$D144),0),0)),"")</f>
        <v/>
      </c>
      <c r="AW144" s="48" t="str">
        <f ca="1">IFERROR(INDEX(_TECH_Initiative_Library!$AE$5:$AE$76,MATCH(1,INDEX((_TECH_Initiative_Library!$B$5:$B$76=$C144)*(_TECH_Initiative_Library!$C$5:$C$76=$D144),0),0)),"")</f>
        <v/>
      </c>
      <c r="AX144" s="48" t="str">
        <f>IF($B144="Yes",IFERROR(SUMIFS(_TECH_Industry_Templates!$E:$E,_TECH_Industry_Templates!$A:$A,'Company Profile'!$B$9,_TECH_Industry_Templates!$B:$B,$C144),1),"")</f>
        <v/>
      </c>
      <c r="AY144" s="48" t="str">
        <f t="shared" si="45"/>
        <v/>
      </c>
      <c r="AZ144" s="48" t="str">
        <f t="shared" si="46"/>
        <v/>
      </c>
      <c r="BA144" s="48" t="str">
        <f>IF($AZ144="","",RANK.EQ($AZ144,$AZ$8:$AZ$414,0)+COUNTIF($AZ$8:$AZ144,$AZ144)-1)</f>
        <v/>
      </c>
    </row>
    <row r="145" spans="1:53" ht="69.95" customHeight="1">
      <c r="A145" s="36" t="str">
        <f>IF($AZ145="","",RANK.EQ($AZ145,$AZ$8:$AZ$414,0)+COUNTIF($AZ$8:$AZ145,$AZ145)-1)</f>
        <v/>
      </c>
      <c r="B145" s="36" t="str">
        <f t="shared" si="33"/>
        <v/>
      </c>
      <c r="C145" s="36" t="s">
        <v>72</v>
      </c>
      <c r="D145" s="36" t="s">
        <v>1226</v>
      </c>
      <c r="E145" s="36" t="s">
        <v>3260</v>
      </c>
      <c r="F145" s="36" t="s">
        <v>189</v>
      </c>
      <c r="G145" s="36" t="str">
        <f>IF($H145="","",IFERROR(INDEX('Risk Library'!$H$5:$M$411,MATCH($E145,'Risk Library'!$A$5:$A$411,0),$H145+1),""))</f>
        <v/>
      </c>
      <c r="H145" s="37" t="str">
        <f>IF(OR(COUNTA('Physical Safety'!$H$11)=0,'Physical Safety'!$H$11="N/A"),"",VALUE('Physical Safety'!$H$11))</f>
        <v/>
      </c>
      <c r="I145" s="36" t="str">
        <f>IF($H145="","",IFERROR(IF('Physical Safety'!$L$11="",IF($H145&lt;=1,"Critical",IF($H145=2,"High",IF($H145=3,"Medium",IF($H145=4,"Low","Resilient")))),'Physical Safety'!$L$11),IF($H145&lt;=1,"Critical",IF($H145=2,"High",IF($H145=3,"Medium",IF($H145=4,"Low","Resilient"))))))</f>
        <v/>
      </c>
      <c r="J145" s="37" t="str">
        <f t="shared" si="34"/>
        <v/>
      </c>
      <c r="K145" s="37" t="str">
        <f t="shared" si="35"/>
        <v/>
      </c>
      <c r="L145" s="37" t="str">
        <f t="shared" si="36"/>
        <v/>
      </c>
      <c r="M145" s="37" t="str">
        <f t="shared" si="37"/>
        <v/>
      </c>
      <c r="N145" s="37" t="str">
        <f>IF($H145="","",IFERROR(INDEX('Risk Library'!$T$5:$Y$411,MATCH($E145,'Risk Library'!$A$5:$A$411,0),$H145+1),""))</f>
        <v/>
      </c>
      <c r="O145" s="37" t="str">
        <f t="shared" si="38"/>
        <v/>
      </c>
      <c r="P145" s="37" t="str">
        <f t="shared" si="39"/>
        <v/>
      </c>
      <c r="Q145" s="37" t="str">
        <f t="shared" si="40"/>
        <v/>
      </c>
      <c r="R145" s="37" t="str">
        <f t="shared" si="41"/>
        <v/>
      </c>
      <c r="S145" s="38" t="str">
        <f t="shared" si="42"/>
        <v/>
      </c>
      <c r="T145" s="36" t="str">
        <f>IF($H145="","",IFERROR(INDEX('Risk Library'!$N$5:$S$411,MATCH($E145,'Risk Library'!$A$5:$A$411,0),$H145+1),""))</f>
        <v/>
      </c>
      <c r="U145" s="37">
        <f>IFERROR('Physical Safety'!$G$11,"")</f>
        <v>5</v>
      </c>
      <c r="V145" s="37">
        <f>IFERROR('Physical Safety'!$W$11,"")</f>
        <v>4</v>
      </c>
      <c r="W145" s="37">
        <f>IFERROR('Physical Safety'!$X$11,"")</f>
        <v>5</v>
      </c>
      <c r="X145" s="37">
        <f>IFERROR('Physical Safety'!$Y$11,"")</f>
        <v>5</v>
      </c>
      <c r="Y145" s="36" t="s">
        <v>3207</v>
      </c>
      <c r="Z145" s="36" t="s">
        <v>3208</v>
      </c>
      <c r="AA145" s="36" t="s">
        <v>3262</v>
      </c>
      <c r="AB145" s="36">
        <f>IFERROR('Physical Safety'!$U$11,"")</f>
        <v>0</v>
      </c>
      <c r="AC145" s="36"/>
      <c r="AD145" s="36"/>
      <c r="AE145" s="36"/>
      <c r="AF145" s="36" t="s">
        <v>3261</v>
      </c>
      <c r="AO145" s="48" t="str">
        <f>IF($B145="Yes",IFERROR(SUMIFS(_TECH_Crisis_Model!$D$5:$D$191,_TECH_Crisis_Model!$A$5:$A$191,'Crisis Simulator'!$B$4,_TECH_Crisis_Model!$B$5:$B$191,$C145),1),"")</f>
        <v/>
      </c>
      <c r="AP145" s="48" t="str">
        <f t="shared" si="43"/>
        <v/>
      </c>
      <c r="AQ145" s="48" t="str">
        <f t="shared" si="44"/>
        <v/>
      </c>
      <c r="AR145" s="48" t="str">
        <f>IFERROR(INDEX(_TECH_Crisis_Model!$E$5:$E$191,MATCH('Crisis Simulator'!$B$4&amp;"|"&amp;$C145,_TECH_Crisis_Model!$I$5:$I$191,0)),"")</f>
        <v>Employee safety, access control, evacuation and facilities resilience are direct crisis constraints.</v>
      </c>
      <c r="AS145" s="48" t="str">
        <f>IFERROR(INDEX(_TECH_Crisis_Model!$G$5:$G$191,MATCH('Crisis Simulator'!$B$4&amp;"|"&amp;$C145,_TECH_Crisis_Model!$I$5:$I$191,0)),"")</f>
        <v>Implement evacuation, access control, emergency response, site security and travel-risk procedures.</v>
      </c>
      <c r="AT145" s="48" t="str">
        <f>IFERROR(INDEX(_TECH_Initiative_Library!$A$5:$A$76,MATCH(1,INDEX((_TECH_Initiative_Library!$B$5:$B$76=$C145)*(_TECH_Initiative_Library!$C$5:$C$76=$D145),0),0)),"")</f>
        <v>INI-024</v>
      </c>
      <c r="AU145" s="48" t="str">
        <f>IFERROR(INDEX(_TECH_Initiative_Library!$F$5:$F$76,MATCH(1,INDEX((_TECH_Initiative_Library!$B$5:$B$76=$C145)*(_TECH_Initiative_Library!$C$5:$C$76=$D145),0),0)),"")</f>
        <v>Secure facilities, physical access and site protection controls</v>
      </c>
      <c r="AV145" s="48" t="str">
        <f ca="1">IFERROR(INDEX(_TECH_Initiative_Library!$AC$5:$AC$76,MATCH(1,INDEX((_TECH_Initiative_Library!$B$5:$B$76=$C145)*(_TECH_Initiative_Library!$C$5:$C$76=$D145),0),0)),"")</f>
        <v/>
      </c>
      <c r="AW145" s="48" t="str">
        <f ca="1">IFERROR(INDEX(_TECH_Initiative_Library!$AE$5:$AE$76,MATCH(1,INDEX((_TECH_Initiative_Library!$B$5:$B$76=$C145)*(_TECH_Initiative_Library!$C$5:$C$76=$D145),0),0)),"")</f>
        <v/>
      </c>
      <c r="AX145" s="48" t="str">
        <f>IF($B145="Yes",IFERROR(SUMIFS(_TECH_Industry_Templates!$E:$E,_TECH_Industry_Templates!$A:$A,'Company Profile'!$B$9,_TECH_Industry_Templates!$B:$B,$C145),1),"")</f>
        <v/>
      </c>
      <c r="AY145" s="48" t="str">
        <f t="shared" si="45"/>
        <v/>
      </c>
      <c r="AZ145" s="48" t="str">
        <f t="shared" si="46"/>
        <v/>
      </c>
      <c r="BA145" s="48" t="str">
        <f>IF($AZ145="","",RANK.EQ($AZ145,$AZ$8:$AZ$414,0)+COUNTIF($AZ$8:$AZ145,$AZ145)-1)</f>
        <v/>
      </c>
    </row>
    <row r="146" spans="1:53" ht="69.95" customHeight="1">
      <c r="A146" s="36" t="str">
        <f>IF($AZ146="","",RANK.EQ($AZ146,$AZ$8:$AZ$414,0)+COUNTIF($AZ$8:$AZ146,$AZ146)-1)</f>
        <v/>
      </c>
      <c r="B146" s="36" t="str">
        <f t="shared" si="33"/>
        <v/>
      </c>
      <c r="C146" s="36" t="s">
        <v>72</v>
      </c>
      <c r="D146" s="36" t="s">
        <v>1226</v>
      </c>
      <c r="E146" s="36" t="s">
        <v>3270</v>
      </c>
      <c r="F146" s="36" t="s">
        <v>189</v>
      </c>
      <c r="G146" s="36" t="str">
        <f>IF($H146="","",IFERROR(INDEX('Risk Library'!$H$5:$M$411,MATCH($E146,'Risk Library'!$A$5:$A$411,0),$H146+1),""))</f>
        <v/>
      </c>
      <c r="H146" s="37" t="str">
        <f>IF(OR(COUNTA('Physical Safety'!$H$12)=0,'Physical Safety'!$H$12="N/A"),"",VALUE('Physical Safety'!$H$12))</f>
        <v/>
      </c>
      <c r="I146" s="36" t="str">
        <f>IF($H146="","",IFERROR(IF('Physical Safety'!$L$12="",IF($H146&lt;=1,"Critical",IF($H146=2,"High",IF($H146=3,"Medium",IF($H146=4,"Low","Resilient")))),'Physical Safety'!$L$12),IF($H146&lt;=1,"Critical",IF($H146=2,"High",IF($H146=3,"Medium",IF($H146=4,"Low","Resilient"))))))</f>
        <v/>
      </c>
      <c r="J146" s="37" t="str">
        <f t="shared" si="34"/>
        <v/>
      </c>
      <c r="K146" s="37" t="str">
        <f t="shared" si="35"/>
        <v/>
      </c>
      <c r="L146" s="37" t="str">
        <f t="shared" si="36"/>
        <v/>
      </c>
      <c r="M146" s="37" t="str">
        <f t="shared" si="37"/>
        <v/>
      </c>
      <c r="N146" s="37" t="str">
        <f>IF($H146="","",IFERROR(INDEX('Risk Library'!$T$5:$Y$411,MATCH($E146,'Risk Library'!$A$5:$A$411,0),$H146+1),""))</f>
        <v/>
      </c>
      <c r="O146" s="37" t="str">
        <f t="shared" si="38"/>
        <v/>
      </c>
      <c r="P146" s="37" t="str">
        <f t="shared" si="39"/>
        <v/>
      </c>
      <c r="Q146" s="37" t="str">
        <f t="shared" si="40"/>
        <v/>
      </c>
      <c r="R146" s="37" t="str">
        <f t="shared" si="41"/>
        <v/>
      </c>
      <c r="S146" s="38" t="str">
        <f t="shared" si="42"/>
        <v/>
      </c>
      <c r="T146" s="36" t="str">
        <f>IF($H146="","",IFERROR(INDEX('Risk Library'!$N$5:$S$411,MATCH($E146,'Risk Library'!$A$5:$A$411,0),$H146+1),""))</f>
        <v/>
      </c>
      <c r="U146" s="37">
        <f>IFERROR('Physical Safety'!$G$12,"")</f>
        <v>5</v>
      </c>
      <c r="V146" s="37">
        <f>IFERROR('Physical Safety'!$W$12,"")</f>
        <v>5</v>
      </c>
      <c r="W146" s="37">
        <f>IFERROR('Physical Safety'!$X$12,"")</f>
        <v>5</v>
      </c>
      <c r="X146" s="37">
        <f>IFERROR('Physical Safety'!$Y$12,"")</f>
        <v>5</v>
      </c>
      <c r="Y146" s="36" t="s">
        <v>3207</v>
      </c>
      <c r="Z146" s="36" t="s">
        <v>3208</v>
      </c>
      <c r="AA146" s="36" t="s">
        <v>3272</v>
      </c>
      <c r="AB146" s="36">
        <f>IFERROR('Physical Safety'!$U$12,"")</f>
        <v>0</v>
      </c>
      <c r="AC146" s="36"/>
      <c r="AD146" s="36"/>
      <c r="AE146" s="36"/>
      <c r="AF146" s="36" t="s">
        <v>3271</v>
      </c>
      <c r="AO146" s="48" t="str">
        <f>IF($B146="Yes",IFERROR(SUMIFS(_TECH_Crisis_Model!$D$5:$D$191,_TECH_Crisis_Model!$A$5:$A$191,'Crisis Simulator'!$B$4,_TECH_Crisis_Model!$B$5:$B$191,$C146),1),"")</f>
        <v/>
      </c>
      <c r="AP146" s="48" t="str">
        <f t="shared" si="43"/>
        <v/>
      </c>
      <c r="AQ146" s="48" t="str">
        <f t="shared" si="44"/>
        <v/>
      </c>
      <c r="AR146" s="48" t="str">
        <f>IFERROR(INDEX(_TECH_Crisis_Model!$E$5:$E$191,MATCH('Crisis Simulator'!$B$4&amp;"|"&amp;$C146,_TECH_Crisis_Model!$I$5:$I$191,0)),"")</f>
        <v>Employee safety, access control, evacuation and facilities resilience are direct crisis constraints.</v>
      </c>
      <c r="AS146" s="48" t="str">
        <f>IFERROR(INDEX(_TECH_Crisis_Model!$G$5:$G$191,MATCH('Crisis Simulator'!$B$4&amp;"|"&amp;$C146,_TECH_Crisis_Model!$I$5:$I$191,0)),"")</f>
        <v>Implement evacuation, access control, emergency response, site security and travel-risk procedures.</v>
      </c>
      <c r="AT146" s="48" t="str">
        <f>IFERROR(INDEX(_TECH_Initiative_Library!$A$5:$A$76,MATCH(1,INDEX((_TECH_Initiative_Library!$B$5:$B$76=$C146)*(_TECH_Initiative_Library!$C$5:$C$76=$D146),0),0)),"")</f>
        <v>INI-024</v>
      </c>
      <c r="AU146" s="48" t="str">
        <f>IFERROR(INDEX(_TECH_Initiative_Library!$F$5:$F$76,MATCH(1,INDEX((_TECH_Initiative_Library!$B$5:$B$76=$C146)*(_TECH_Initiative_Library!$C$5:$C$76=$D146),0),0)),"")</f>
        <v>Secure facilities, physical access and site protection controls</v>
      </c>
      <c r="AV146" s="48" t="str">
        <f ca="1">IFERROR(INDEX(_TECH_Initiative_Library!$AC$5:$AC$76,MATCH(1,INDEX((_TECH_Initiative_Library!$B$5:$B$76=$C146)*(_TECH_Initiative_Library!$C$5:$C$76=$D146),0),0)),"")</f>
        <v/>
      </c>
      <c r="AW146" s="48" t="str">
        <f ca="1">IFERROR(INDEX(_TECH_Initiative_Library!$AE$5:$AE$76,MATCH(1,INDEX((_TECH_Initiative_Library!$B$5:$B$76=$C146)*(_TECH_Initiative_Library!$C$5:$C$76=$D146),0),0)),"")</f>
        <v/>
      </c>
      <c r="AX146" s="48" t="str">
        <f>IF($B146="Yes",IFERROR(SUMIFS(_TECH_Industry_Templates!$E:$E,_TECH_Industry_Templates!$A:$A,'Company Profile'!$B$9,_TECH_Industry_Templates!$B:$B,$C146),1),"")</f>
        <v/>
      </c>
      <c r="AY146" s="48" t="str">
        <f t="shared" si="45"/>
        <v/>
      </c>
      <c r="AZ146" s="48" t="str">
        <f t="shared" si="46"/>
        <v/>
      </c>
      <c r="BA146" s="48" t="str">
        <f>IF($AZ146="","",RANK.EQ($AZ146,$AZ$8:$AZ$414,0)+COUNTIF($AZ$8:$AZ146,$AZ146)-1)</f>
        <v/>
      </c>
    </row>
    <row r="147" spans="1:53" ht="69.95" customHeight="1">
      <c r="A147" s="36" t="str">
        <f>IF($AZ147="","",RANK.EQ($AZ147,$AZ$8:$AZ$414,0)+COUNTIF($AZ$8:$AZ147,$AZ147)-1)</f>
        <v/>
      </c>
      <c r="B147" s="36" t="str">
        <f t="shared" si="33"/>
        <v/>
      </c>
      <c r="C147" s="36" t="s">
        <v>72</v>
      </c>
      <c r="D147" s="36" t="s">
        <v>1226</v>
      </c>
      <c r="E147" s="36" t="s">
        <v>3280</v>
      </c>
      <c r="F147" s="36" t="s">
        <v>189</v>
      </c>
      <c r="G147" s="36" t="str">
        <f>IF($H147="","",IFERROR(INDEX('Risk Library'!$H$5:$M$411,MATCH($E147,'Risk Library'!$A$5:$A$411,0),$H147+1),""))</f>
        <v/>
      </c>
      <c r="H147" s="37" t="str">
        <f>IF(OR(COUNTA('Physical Safety'!$H$13)=0,'Physical Safety'!$H$13="N/A"),"",VALUE('Physical Safety'!$H$13))</f>
        <v/>
      </c>
      <c r="I147" s="36" t="str">
        <f>IF($H147="","",IFERROR(IF('Physical Safety'!$L$13="",IF($H147&lt;=1,"Critical",IF($H147=2,"High",IF($H147=3,"Medium",IF($H147=4,"Low","Resilient")))),'Physical Safety'!$L$13),IF($H147&lt;=1,"Critical",IF($H147=2,"High",IF($H147=3,"Medium",IF($H147=4,"Low","Resilient"))))))</f>
        <v/>
      </c>
      <c r="J147" s="37" t="str">
        <f t="shared" si="34"/>
        <v/>
      </c>
      <c r="K147" s="37" t="str">
        <f t="shared" si="35"/>
        <v/>
      </c>
      <c r="L147" s="37" t="str">
        <f t="shared" si="36"/>
        <v/>
      </c>
      <c r="M147" s="37" t="str">
        <f t="shared" si="37"/>
        <v/>
      </c>
      <c r="N147" s="37" t="str">
        <f>IF($H147="","",IFERROR(INDEX('Risk Library'!$T$5:$Y$411,MATCH($E147,'Risk Library'!$A$5:$A$411,0),$H147+1),""))</f>
        <v/>
      </c>
      <c r="O147" s="37" t="str">
        <f t="shared" si="38"/>
        <v/>
      </c>
      <c r="P147" s="37" t="str">
        <f t="shared" si="39"/>
        <v/>
      </c>
      <c r="Q147" s="37" t="str">
        <f t="shared" si="40"/>
        <v/>
      </c>
      <c r="R147" s="37" t="str">
        <f t="shared" si="41"/>
        <v/>
      </c>
      <c r="S147" s="38" t="str">
        <f t="shared" si="42"/>
        <v/>
      </c>
      <c r="T147" s="36" t="str">
        <f>IF($H147="","",IFERROR(INDEX('Risk Library'!$N$5:$S$411,MATCH($E147,'Risk Library'!$A$5:$A$411,0),$H147+1),""))</f>
        <v/>
      </c>
      <c r="U147" s="37">
        <f>IFERROR('Physical Safety'!$G$13,"")</f>
        <v>4</v>
      </c>
      <c r="V147" s="37">
        <f>IFERROR('Physical Safety'!$W$13,"")</f>
        <v>4</v>
      </c>
      <c r="W147" s="37">
        <f>IFERROR('Physical Safety'!$X$13,"")</f>
        <v>5</v>
      </c>
      <c r="X147" s="37">
        <f>IFERROR('Physical Safety'!$Y$13,"")</f>
        <v>5</v>
      </c>
      <c r="Y147" s="36" t="s">
        <v>3207</v>
      </c>
      <c r="Z147" s="36" t="s">
        <v>3208</v>
      </c>
      <c r="AA147" s="36" t="s">
        <v>3282</v>
      </c>
      <c r="AB147" s="36">
        <f>IFERROR('Physical Safety'!$U$13,"")</f>
        <v>0</v>
      </c>
      <c r="AC147" s="36"/>
      <c r="AD147" s="36"/>
      <c r="AE147" s="36"/>
      <c r="AF147" s="36" t="s">
        <v>3281</v>
      </c>
      <c r="AO147" s="48" t="str">
        <f>IF($B147="Yes",IFERROR(SUMIFS(_TECH_Crisis_Model!$D$5:$D$191,_TECH_Crisis_Model!$A$5:$A$191,'Crisis Simulator'!$B$4,_TECH_Crisis_Model!$B$5:$B$191,$C147),1),"")</f>
        <v/>
      </c>
      <c r="AP147" s="48" t="str">
        <f t="shared" si="43"/>
        <v/>
      </c>
      <c r="AQ147" s="48" t="str">
        <f t="shared" si="44"/>
        <v/>
      </c>
      <c r="AR147" s="48" t="str">
        <f>IFERROR(INDEX(_TECH_Crisis_Model!$E$5:$E$191,MATCH('Crisis Simulator'!$B$4&amp;"|"&amp;$C147,_TECH_Crisis_Model!$I$5:$I$191,0)),"")</f>
        <v>Employee safety, access control, evacuation and facilities resilience are direct crisis constraints.</v>
      </c>
      <c r="AS147" s="48" t="str">
        <f>IFERROR(INDEX(_TECH_Crisis_Model!$G$5:$G$191,MATCH('Crisis Simulator'!$B$4&amp;"|"&amp;$C147,_TECH_Crisis_Model!$I$5:$I$191,0)),"")</f>
        <v>Implement evacuation, access control, emergency response, site security and travel-risk procedures.</v>
      </c>
      <c r="AT147" s="48" t="str">
        <f>IFERROR(INDEX(_TECH_Initiative_Library!$A$5:$A$76,MATCH(1,INDEX((_TECH_Initiative_Library!$B$5:$B$76=$C147)*(_TECH_Initiative_Library!$C$5:$C$76=$D147),0),0)),"")</f>
        <v>INI-024</v>
      </c>
      <c r="AU147" s="48" t="str">
        <f>IFERROR(INDEX(_TECH_Initiative_Library!$F$5:$F$76,MATCH(1,INDEX((_TECH_Initiative_Library!$B$5:$B$76=$C147)*(_TECH_Initiative_Library!$C$5:$C$76=$D147),0),0)),"")</f>
        <v>Secure facilities, physical access and site protection controls</v>
      </c>
      <c r="AV147" s="48" t="str">
        <f ca="1">IFERROR(INDEX(_TECH_Initiative_Library!$AC$5:$AC$76,MATCH(1,INDEX((_TECH_Initiative_Library!$B$5:$B$76=$C147)*(_TECH_Initiative_Library!$C$5:$C$76=$D147),0),0)),"")</f>
        <v/>
      </c>
      <c r="AW147" s="48" t="str">
        <f ca="1">IFERROR(INDEX(_TECH_Initiative_Library!$AE$5:$AE$76,MATCH(1,INDEX((_TECH_Initiative_Library!$B$5:$B$76=$C147)*(_TECH_Initiative_Library!$C$5:$C$76=$D147),0),0)),"")</f>
        <v/>
      </c>
      <c r="AX147" s="48" t="str">
        <f>IF($B147="Yes",IFERROR(SUMIFS(_TECH_Industry_Templates!$E:$E,_TECH_Industry_Templates!$A:$A,'Company Profile'!$B$9,_TECH_Industry_Templates!$B:$B,$C147),1),"")</f>
        <v/>
      </c>
      <c r="AY147" s="48" t="str">
        <f t="shared" si="45"/>
        <v/>
      </c>
      <c r="AZ147" s="48" t="str">
        <f t="shared" si="46"/>
        <v/>
      </c>
      <c r="BA147" s="48" t="str">
        <f>IF($AZ147="","",RANK.EQ($AZ147,$AZ$8:$AZ$414,0)+COUNTIF($AZ$8:$AZ147,$AZ147)-1)</f>
        <v/>
      </c>
    </row>
    <row r="148" spans="1:53" ht="69.95" customHeight="1">
      <c r="A148" s="36" t="str">
        <f>IF($AZ148="","",RANK.EQ($AZ148,$AZ$8:$AZ$414,0)+COUNTIF($AZ$8:$AZ148,$AZ148)-1)</f>
        <v/>
      </c>
      <c r="B148" s="36" t="str">
        <f t="shared" si="33"/>
        <v/>
      </c>
      <c r="C148" s="36" t="s">
        <v>72</v>
      </c>
      <c r="D148" s="36" t="s">
        <v>1226</v>
      </c>
      <c r="E148" s="36" t="s">
        <v>3290</v>
      </c>
      <c r="F148" s="36" t="s">
        <v>189</v>
      </c>
      <c r="G148" s="36" t="str">
        <f>IF($H148="","",IFERROR(INDEX('Risk Library'!$H$5:$M$411,MATCH($E148,'Risk Library'!$A$5:$A$411,0),$H148+1),""))</f>
        <v/>
      </c>
      <c r="H148" s="37" t="str">
        <f>IF(OR(COUNTA('Physical Safety'!$H$14)=0,'Physical Safety'!$H$14="N/A"),"",VALUE('Physical Safety'!$H$14))</f>
        <v/>
      </c>
      <c r="I148" s="36" t="str">
        <f>IF($H148="","",IFERROR(IF('Physical Safety'!$L$14="",IF($H148&lt;=1,"Critical",IF($H148=2,"High",IF($H148=3,"Medium",IF($H148=4,"Low","Resilient")))),'Physical Safety'!$L$14),IF($H148&lt;=1,"Critical",IF($H148=2,"High",IF($H148=3,"Medium",IF($H148=4,"Low","Resilient"))))))</f>
        <v/>
      </c>
      <c r="J148" s="37" t="str">
        <f t="shared" si="34"/>
        <v/>
      </c>
      <c r="K148" s="37" t="str">
        <f t="shared" si="35"/>
        <v/>
      </c>
      <c r="L148" s="37" t="str">
        <f t="shared" si="36"/>
        <v/>
      </c>
      <c r="M148" s="37" t="str">
        <f t="shared" si="37"/>
        <v/>
      </c>
      <c r="N148" s="37" t="str">
        <f>IF($H148="","",IFERROR(INDEX('Risk Library'!$T$5:$Y$411,MATCH($E148,'Risk Library'!$A$5:$A$411,0),$H148+1),""))</f>
        <v/>
      </c>
      <c r="O148" s="37" t="str">
        <f t="shared" si="38"/>
        <v/>
      </c>
      <c r="P148" s="37" t="str">
        <f t="shared" si="39"/>
        <v/>
      </c>
      <c r="Q148" s="37" t="str">
        <f t="shared" si="40"/>
        <v/>
      </c>
      <c r="R148" s="37" t="str">
        <f t="shared" si="41"/>
        <v/>
      </c>
      <c r="S148" s="38" t="str">
        <f t="shared" si="42"/>
        <v/>
      </c>
      <c r="T148" s="36" t="str">
        <f>IF($H148="","",IFERROR(INDEX('Risk Library'!$N$5:$S$411,MATCH($E148,'Risk Library'!$A$5:$A$411,0),$H148+1),""))</f>
        <v/>
      </c>
      <c r="U148" s="37">
        <f>IFERROR('Physical Safety'!$G$14,"")</f>
        <v>3</v>
      </c>
      <c r="V148" s="37">
        <f>IFERROR('Physical Safety'!$W$14,"")</f>
        <v>4</v>
      </c>
      <c r="W148" s="37">
        <f>IFERROR('Physical Safety'!$X$14,"")</f>
        <v>5</v>
      </c>
      <c r="X148" s="37">
        <f>IFERROR('Physical Safety'!$Y$14,"")</f>
        <v>5</v>
      </c>
      <c r="Y148" s="36" t="s">
        <v>3207</v>
      </c>
      <c r="Z148" s="36" t="s">
        <v>3208</v>
      </c>
      <c r="AA148" s="36" t="s">
        <v>3292</v>
      </c>
      <c r="AB148" s="36">
        <f>IFERROR('Physical Safety'!$U$14,"")</f>
        <v>0</v>
      </c>
      <c r="AC148" s="36"/>
      <c r="AD148" s="36"/>
      <c r="AE148" s="36"/>
      <c r="AF148" s="36" t="s">
        <v>3291</v>
      </c>
      <c r="AO148" s="48" t="str">
        <f>IF($B148="Yes",IFERROR(SUMIFS(_TECH_Crisis_Model!$D$5:$D$191,_TECH_Crisis_Model!$A$5:$A$191,'Crisis Simulator'!$B$4,_TECH_Crisis_Model!$B$5:$B$191,$C148),1),"")</f>
        <v/>
      </c>
      <c r="AP148" s="48" t="str">
        <f t="shared" si="43"/>
        <v/>
      </c>
      <c r="AQ148" s="48" t="str">
        <f t="shared" si="44"/>
        <v/>
      </c>
      <c r="AR148" s="48" t="str">
        <f>IFERROR(INDEX(_TECH_Crisis_Model!$E$5:$E$191,MATCH('Crisis Simulator'!$B$4&amp;"|"&amp;$C148,_TECH_Crisis_Model!$I$5:$I$191,0)),"")</f>
        <v>Employee safety, access control, evacuation and facilities resilience are direct crisis constraints.</v>
      </c>
      <c r="AS148" s="48" t="str">
        <f>IFERROR(INDEX(_TECH_Crisis_Model!$G$5:$G$191,MATCH('Crisis Simulator'!$B$4&amp;"|"&amp;$C148,_TECH_Crisis_Model!$I$5:$I$191,0)),"")</f>
        <v>Implement evacuation, access control, emergency response, site security and travel-risk procedures.</v>
      </c>
      <c r="AT148" s="48" t="str">
        <f>IFERROR(INDEX(_TECH_Initiative_Library!$A$5:$A$76,MATCH(1,INDEX((_TECH_Initiative_Library!$B$5:$B$76=$C148)*(_TECH_Initiative_Library!$C$5:$C$76=$D148),0),0)),"")</f>
        <v>INI-024</v>
      </c>
      <c r="AU148" s="48" t="str">
        <f>IFERROR(INDEX(_TECH_Initiative_Library!$F$5:$F$76,MATCH(1,INDEX((_TECH_Initiative_Library!$B$5:$B$76=$C148)*(_TECH_Initiative_Library!$C$5:$C$76=$D148),0),0)),"")</f>
        <v>Secure facilities, physical access and site protection controls</v>
      </c>
      <c r="AV148" s="48" t="str">
        <f ca="1">IFERROR(INDEX(_TECH_Initiative_Library!$AC$5:$AC$76,MATCH(1,INDEX((_TECH_Initiative_Library!$B$5:$B$76=$C148)*(_TECH_Initiative_Library!$C$5:$C$76=$D148),0),0)),"")</f>
        <v/>
      </c>
      <c r="AW148" s="48" t="str">
        <f ca="1">IFERROR(INDEX(_TECH_Initiative_Library!$AE$5:$AE$76,MATCH(1,INDEX((_TECH_Initiative_Library!$B$5:$B$76=$C148)*(_TECH_Initiative_Library!$C$5:$C$76=$D148),0),0)),"")</f>
        <v/>
      </c>
      <c r="AX148" s="48" t="str">
        <f>IF($B148="Yes",IFERROR(SUMIFS(_TECH_Industry_Templates!$E:$E,_TECH_Industry_Templates!$A:$A,'Company Profile'!$B$9,_TECH_Industry_Templates!$B:$B,$C148),1),"")</f>
        <v/>
      </c>
      <c r="AY148" s="48" t="str">
        <f t="shared" si="45"/>
        <v/>
      </c>
      <c r="AZ148" s="48" t="str">
        <f t="shared" si="46"/>
        <v/>
      </c>
      <c r="BA148" s="48" t="str">
        <f>IF($AZ148="","",RANK.EQ($AZ148,$AZ$8:$AZ$414,0)+COUNTIF($AZ$8:$AZ148,$AZ148)-1)</f>
        <v/>
      </c>
    </row>
    <row r="149" spans="1:53" ht="69.95" customHeight="1">
      <c r="A149" s="36" t="str">
        <f>IF($AZ149="","",RANK.EQ($AZ149,$AZ$8:$AZ$414,0)+COUNTIF($AZ$8:$AZ149,$AZ149)-1)</f>
        <v/>
      </c>
      <c r="B149" s="36" t="str">
        <f t="shared" si="33"/>
        <v/>
      </c>
      <c r="C149" s="36" t="s">
        <v>72</v>
      </c>
      <c r="D149" s="36" t="s">
        <v>1226</v>
      </c>
      <c r="E149" s="36" t="s">
        <v>3300</v>
      </c>
      <c r="F149" s="36" t="s">
        <v>189</v>
      </c>
      <c r="G149" s="36" t="str">
        <f>IF($H149="","",IFERROR(INDEX('Risk Library'!$H$5:$M$411,MATCH($E149,'Risk Library'!$A$5:$A$411,0),$H149+1),""))</f>
        <v/>
      </c>
      <c r="H149" s="37" t="str">
        <f>IF(OR(COUNTA('Physical Safety'!$H$15)=0,'Physical Safety'!$H$15="N/A"),"",VALUE('Physical Safety'!$H$15))</f>
        <v/>
      </c>
      <c r="I149" s="36" t="str">
        <f>IF($H149="","",IFERROR(IF('Physical Safety'!$L$15="",IF($H149&lt;=1,"Critical",IF($H149=2,"High",IF($H149=3,"Medium",IF($H149=4,"Low","Resilient")))),'Physical Safety'!$L$15),IF($H149&lt;=1,"Critical",IF($H149=2,"High",IF($H149=3,"Medium",IF($H149=4,"Low","Resilient"))))))</f>
        <v/>
      </c>
      <c r="J149" s="37" t="str">
        <f t="shared" si="34"/>
        <v/>
      </c>
      <c r="K149" s="37" t="str">
        <f t="shared" si="35"/>
        <v/>
      </c>
      <c r="L149" s="37" t="str">
        <f t="shared" si="36"/>
        <v/>
      </c>
      <c r="M149" s="37" t="str">
        <f t="shared" si="37"/>
        <v/>
      </c>
      <c r="N149" s="37" t="str">
        <f>IF($H149="","",IFERROR(INDEX('Risk Library'!$T$5:$Y$411,MATCH($E149,'Risk Library'!$A$5:$A$411,0),$H149+1),""))</f>
        <v/>
      </c>
      <c r="O149" s="37" t="str">
        <f t="shared" si="38"/>
        <v/>
      </c>
      <c r="P149" s="37" t="str">
        <f t="shared" si="39"/>
        <v/>
      </c>
      <c r="Q149" s="37" t="str">
        <f t="shared" si="40"/>
        <v/>
      </c>
      <c r="R149" s="37" t="str">
        <f t="shared" si="41"/>
        <v/>
      </c>
      <c r="S149" s="38" t="str">
        <f t="shared" si="42"/>
        <v/>
      </c>
      <c r="T149" s="36" t="str">
        <f>IF($H149="","",IFERROR(INDEX('Risk Library'!$N$5:$S$411,MATCH($E149,'Risk Library'!$A$5:$A$411,0),$H149+1),""))</f>
        <v/>
      </c>
      <c r="U149" s="37">
        <f>IFERROR('Physical Safety'!$G$15,"")</f>
        <v>3</v>
      </c>
      <c r="V149" s="37">
        <f>IFERROR('Physical Safety'!$W$15,"")</f>
        <v>4</v>
      </c>
      <c r="W149" s="37">
        <f>IFERROR('Physical Safety'!$X$15,"")</f>
        <v>5</v>
      </c>
      <c r="X149" s="37">
        <f>IFERROR('Physical Safety'!$Y$15,"")</f>
        <v>5</v>
      </c>
      <c r="Y149" s="36" t="s">
        <v>3207</v>
      </c>
      <c r="Z149" s="36" t="s">
        <v>3208</v>
      </c>
      <c r="AA149" s="36" t="s">
        <v>3302</v>
      </c>
      <c r="AB149" s="36">
        <f>IFERROR('Physical Safety'!$U$15,"")</f>
        <v>0</v>
      </c>
      <c r="AC149" s="36"/>
      <c r="AD149" s="36"/>
      <c r="AE149" s="36"/>
      <c r="AF149" s="36" t="s">
        <v>3301</v>
      </c>
      <c r="AO149" s="48" t="str">
        <f>IF($B149="Yes",IFERROR(SUMIFS(_TECH_Crisis_Model!$D$5:$D$191,_TECH_Crisis_Model!$A$5:$A$191,'Crisis Simulator'!$B$4,_TECH_Crisis_Model!$B$5:$B$191,$C149),1),"")</f>
        <v/>
      </c>
      <c r="AP149" s="48" t="str">
        <f t="shared" si="43"/>
        <v/>
      </c>
      <c r="AQ149" s="48" t="str">
        <f t="shared" si="44"/>
        <v/>
      </c>
      <c r="AR149" s="48" t="str">
        <f>IFERROR(INDEX(_TECH_Crisis_Model!$E$5:$E$191,MATCH('Crisis Simulator'!$B$4&amp;"|"&amp;$C149,_TECH_Crisis_Model!$I$5:$I$191,0)),"")</f>
        <v>Employee safety, access control, evacuation and facilities resilience are direct crisis constraints.</v>
      </c>
      <c r="AS149" s="48" t="str">
        <f>IFERROR(INDEX(_TECH_Crisis_Model!$G$5:$G$191,MATCH('Crisis Simulator'!$B$4&amp;"|"&amp;$C149,_TECH_Crisis_Model!$I$5:$I$191,0)),"")</f>
        <v>Implement evacuation, access control, emergency response, site security and travel-risk procedures.</v>
      </c>
      <c r="AT149" s="48" t="str">
        <f>IFERROR(INDEX(_TECH_Initiative_Library!$A$5:$A$76,MATCH(1,INDEX((_TECH_Initiative_Library!$B$5:$B$76=$C149)*(_TECH_Initiative_Library!$C$5:$C$76=$D149),0),0)),"")</f>
        <v>INI-024</v>
      </c>
      <c r="AU149" s="48" t="str">
        <f>IFERROR(INDEX(_TECH_Initiative_Library!$F$5:$F$76,MATCH(1,INDEX((_TECH_Initiative_Library!$B$5:$B$76=$C149)*(_TECH_Initiative_Library!$C$5:$C$76=$D149),0),0)),"")</f>
        <v>Secure facilities, physical access and site protection controls</v>
      </c>
      <c r="AV149" s="48" t="str">
        <f ca="1">IFERROR(INDEX(_TECH_Initiative_Library!$AC$5:$AC$76,MATCH(1,INDEX((_TECH_Initiative_Library!$B$5:$B$76=$C149)*(_TECH_Initiative_Library!$C$5:$C$76=$D149),0),0)),"")</f>
        <v/>
      </c>
      <c r="AW149" s="48" t="str">
        <f ca="1">IFERROR(INDEX(_TECH_Initiative_Library!$AE$5:$AE$76,MATCH(1,INDEX((_TECH_Initiative_Library!$B$5:$B$76=$C149)*(_TECH_Initiative_Library!$C$5:$C$76=$D149),0),0)),"")</f>
        <v/>
      </c>
      <c r="AX149" s="48" t="str">
        <f>IF($B149="Yes",IFERROR(SUMIFS(_TECH_Industry_Templates!$E:$E,_TECH_Industry_Templates!$A:$A,'Company Profile'!$B$9,_TECH_Industry_Templates!$B:$B,$C149),1),"")</f>
        <v/>
      </c>
      <c r="AY149" s="48" t="str">
        <f t="shared" si="45"/>
        <v/>
      </c>
      <c r="AZ149" s="48" t="str">
        <f t="shared" si="46"/>
        <v/>
      </c>
      <c r="BA149" s="48" t="str">
        <f>IF($AZ149="","",RANK.EQ($AZ149,$AZ$8:$AZ$414,0)+COUNTIF($AZ$8:$AZ149,$AZ149)-1)</f>
        <v/>
      </c>
    </row>
    <row r="150" spans="1:53" ht="69.95" customHeight="1">
      <c r="A150" s="36" t="str">
        <f>IF($AZ150="","",RANK.EQ($AZ150,$AZ$8:$AZ$414,0)+COUNTIF($AZ$8:$AZ150,$AZ150)-1)</f>
        <v/>
      </c>
      <c r="B150" s="36" t="str">
        <f t="shared" si="33"/>
        <v/>
      </c>
      <c r="C150" s="36" t="s">
        <v>72</v>
      </c>
      <c r="D150" s="36" t="s">
        <v>1226</v>
      </c>
      <c r="E150" s="36" t="s">
        <v>3310</v>
      </c>
      <c r="F150" s="36" t="s">
        <v>189</v>
      </c>
      <c r="G150" s="36" t="str">
        <f>IF($H150="","",IFERROR(INDEX('Risk Library'!$H$5:$M$411,MATCH($E150,'Risk Library'!$A$5:$A$411,0),$H150+1),""))</f>
        <v/>
      </c>
      <c r="H150" s="37" t="str">
        <f>IF(OR(COUNTA('Physical Safety'!$H$16)=0,'Physical Safety'!$H$16="N/A"),"",VALUE('Physical Safety'!$H$16))</f>
        <v/>
      </c>
      <c r="I150" s="36" t="str">
        <f>IF($H150="","",IFERROR(IF('Physical Safety'!$L$16="",IF($H150&lt;=1,"Critical",IF($H150=2,"High",IF($H150=3,"Medium",IF($H150=4,"Low","Resilient")))),'Physical Safety'!$L$16),IF($H150&lt;=1,"Critical",IF($H150=2,"High",IF($H150=3,"Medium",IF($H150=4,"Low","Resilient"))))))</f>
        <v/>
      </c>
      <c r="J150" s="37" t="str">
        <f t="shared" si="34"/>
        <v/>
      </c>
      <c r="K150" s="37" t="str">
        <f t="shared" si="35"/>
        <v/>
      </c>
      <c r="L150" s="37" t="str">
        <f t="shared" si="36"/>
        <v/>
      </c>
      <c r="M150" s="37" t="str">
        <f t="shared" si="37"/>
        <v/>
      </c>
      <c r="N150" s="37" t="str">
        <f>IF($H150="","",IFERROR(INDEX('Risk Library'!$T$5:$Y$411,MATCH($E150,'Risk Library'!$A$5:$A$411,0),$H150+1),""))</f>
        <v/>
      </c>
      <c r="O150" s="37" t="str">
        <f t="shared" si="38"/>
        <v/>
      </c>
      <c r="P150" s="37" t="str">
        <f t="shared" si="39"/>
        <v/>
      </c>
      <c r="Q150" s="37" t="str">
        <f t="shared" si="40"/>
        <v/>
      </c>
      <c r="R150" s="37" t="str">
        <f t="shared" si="41"/>
        <v/>
      </c>
      <c r="S150" s="38" t="str">
        <f t="shared" si="42"/>
        <v/>
      </c>
      <c r="T150" s="36" t="str">
        <f>IF($H150="","",IFERROR(INDEX('Risk Library'!$N$5:$S$411,MATCH($E150,'Risk Library'!$A$5:$A$411,0),$H150+1),""))</f>
        <v/>
      </c>
      <c r="U150" s="37">
        <f>IFERROR('Physical Safety'!$G$16,"")</f>
        <v>4</v>
      </c>
      <c r="V150" s="37">
        <f>IFERROR('Physical Safety'!$W$16,"")</f>
        <v>4</v>
      </c>
      <c r="W150" s="37">
        <f>IFERROR('Physical Safety'!$X$16,"")</f>
        <v>5</v>
      </c>
      <c r="X150" s="37">
        <f>IFERROR('Physical Safety'!$Y$16,"")</f>
        <v>5</v>
      </c>
      <c r="Y150" s="36" t="s">
        <v>3207</v>
      </c>
      <c r="Z150" s="36" t="s">
        <v>3208</v>
      </c>
      <c r="AA150" s="36" t="s">
        <v>3312</v>
      </c>
      <c r="AB150" s="36">
        <f>IFERROR('Physical Safety'!$U$16,"")</f>
        <v>0</v>
      </c>
      <c r="AC150" s="36"/>
      <c r="AD150" s="36"/>
      <c r="AE150" s="36"/>
      <c r="AF150" s="36" t="s">
        <v>3311</v>
      </c>
      <c r="AO150" s="48" t="str">
        <f>IF($B150="Yes",IFERROR(SUMIFS(_TECH_Crisis_Model!$D$5:$D$191,_TECH_Crisis_Model!$A$5:$A$191,'Crisis Simulator'!$B$4,_TECH_Crisis_Model!$B$5:$B$191,$C150),1),"")</f>
        <v/>
      </c>
      <c r="AP150" s="48" t="str">
        <f t="shared" si="43"/>
        <v/>
      </c>
      <c r="AQ150" s="48" t="str">
        <f t="shared" si="44"/>
        <v/>
      </c>
      <c r="AR150" s="48" t="str">
        <f>IFERROR(INDEX(_TECH_Crisis_Model!$E$5:$E$191,MATCH('Crisis Simulator'!$B$4&amp;"|"&amp;$C150,_TECH_Crisis_Model!$I$5:$I$191,0)),"")</f>
        <v>Employee safety, access control, evacuation and facilities resilience are direct crisis constraints.</v>
      </c>
      <c r="AS150" s="48" t="str">
        <f>IFERROR(INDEX(_TECH_Crisis_Model!$G$5:$G$191,MATCH('Crisis Simulator'!$B$4&amp;"|"&amp;$C150,_TECH_Crisis_Model!$I$5:$I$191,0)),"")</f>
        <v>Implement evacuation, access control, emergency response, site security and travel-risk procedures.</v>
      </c>
      <c r="AT150" s="48" t="str">
        <f>IFERROR(INDEX(_TECH_Initiative_Library!$A$5:$A$76,MATCH(1,INDEX((_TECH_Initiative_Library!$B$5:$B$76=$C150)*(_TECH_Initiative_Library!$C$5:$C$76=$D150),0),0)),"")</f>
        <v>INI-024</v>
      </c>
      <c r="AU150" s="48" t="str">
        <f>IFERROR(INDEX(_TECH_Initiative_Library!$F$5:$F$76,MATCH(1,INDEX((_TECH_Initiative_Library!$B$5:$B$76=$C150)*(_TECH_Initiative_Library!$C$5:$C$76=$D150),0),0)),"")</f>
        <v>Secure facilities, physical access and site protection controls</v>
      </c>
      <c r="AV150" s="48" t="str">
        <f ca="1">IFERROR(INDEX(_TECH_Initiative_Library!$AC$5:$AC$76,MATCH(1,INDEX((_TECH_Initiative_Library!$B$5:$B$76=$C150)*(_TECH_Initiative_Library!$C$5:$C$76=$D150),0),0)),"")</f>
        <v/>
      </c>
      <c r="AW150" s="48" t="str">
        <f ca="1">IFERROR(INDEX(_TECH_Initiative_Library!$AE$5:$AE$76,MATCH(1,INDEX((_TECH_Initiative_Library!$B$5:$B$76=$C150)*(_TECH_Initiative_Library!$C$5:$C$76=$D150),0),0)),"")</f>
        <v/>
      </c>
      <c r="AX150" s="48" t="str">
        <f>IF($B150="Yes",IFERROR(SUMIFS(_TECH_Industry_Templates!$E:$E,_TECH_Industry_Templates!$A:$A,'Company Profile'!$B$9,_TECH_Industry_Templates!$B:$B,$C150),1),"")</f>
        <v/>
      </c>
      <c r="AY150" s="48" t="str">
        <f t="shared" si="45"/>
        <v/>
      </c>
      <c r="AZ150" s="48" t="str">
        <f t="shared" si="46"/>
        <v/>
      </c>
      <c r="BA150" s="48" t="str">
        <f>IF($AZ150="","",RANK.EQ($AZ150,$AZ$8:$AZ$414,0)+COUNTIF($AZ$8:$AZ150,$AZ150)-1)</f>
        <v/>
      </c>
    </row>
    <row r="151" spans="1:53" ht="69.95" customHeight="1">
      <c r="A151" s="36" t="str">
        <f>IF($AZ151="","",RANK.EQ($AZ151,$AZ$8:$AZ$414,0)+COUNTIF($AZ$8:$AZ151,$AZ151)-1)</f>
        <v/>
      </c>
      <c r="B151" s="36" t="str">
        <f t="shared" si="33"/>
        <v/>
      </c>
      <c r="C151" s="36" t="s">
        <v>72</v>
      </c>
      <c r="D151" s="36" t="s">
        <v>1234</v>
      </c>
      <c r="E151" s="36" t="s">
        <v>3320</v>
      </c>
      <c r="F151" s="36" t="s">
        <v>189</v>
      </c>
      <c r="G151" s="36" t="str">
        <f>IF($H151="","",IFERROR(INDEX('Risk Library'!$H$5:$M$411,MATCH($E151,'Risk Library'!$A$5:$A$411,0),$H151+1),""))</f>
        <v/>
      </c>
      <c r="H151" s="37" t="str">
        <f>IF(OR(COUNTA('Physical Safety'!$H$17)=0,'Physical Safety'!$H$17="N/A"),"",VALUE('Physical Safety'!$H$17))</f>
        <v/>
      </c>
      <c r="I151" s="36" t="str">
        <f>IF($H151="","",IFERROR(IF('Physical Safety'!$L$17="",IF($H151&lt;=1,"Critical",IF($H151=2,"High",IF($H151=3,"Medium",IF($H151=4,"Low","Resilient")))),'Physical Safety'!$L$17),IF($H151&lt;=1,"Critical",IF($H151=2,"High",IF($H151=3,"Medium",IF($H151=4,"Low","Resilient"))))))</f>
        <v/>
      </c>
      <c r="J151" s="37" t="str">
        <f t="shared" si="34"/>
        <v/>
      </c>
      <c r="K151" s="37" t="str">
        <f t="shared" si="35"/>
        <v/>
      </c>
      <c r="L151" s="37" t="str">
        <f t="shared" si="36"/>
        <v/>
      </c>
      <c r="M151" s="37" t="str">
        <f t="shared" si="37"/>
        <v/>
      </c>
      <c r="N151" s="37" t="str">
        <f>IF($H151="","",IFERROR(INDEX('Risk Library'!$T$5:$Y$411,MATCH($E151,'Risk Library'!$A$5:$A$411,0),$H151+1),""))</f>
        <v/>
      </c>
      <c r="O151" s="37" t="str">
        <f t="shared" si="38"/>
        <v/>
      </c>
      <c r="P151" s="37" t="str">
        <f t="shared" si="39"/>
        <v/>
      </c>
      <c r="Q151" s="37" t="str">
        <f t="shared" si="40"/>
        <v/>
      </c>
      <c r="R151" s="37" t="str">
        <f t="shared" si="41"/>
        <v/>
      </c>
      <c r="S151" s="38" t="str">
        <f t="shared" si="42"/>
        <v/>
      </c>
      <c r="T151" s="36" t="str">
        <f>IF($H151="","",IFERROR(INDEX('Risk Library'!$N$5:$S$411,MATCH($E151,'Risk Library'!$A$5:$A$411,0),$H151+1),""))</f>
        <v/>
      </c>
      <c r="U151" s="37">
        <f>IFERROR('Physical Safety'!$G$17,"")</f>
        <v>3</v>
      </c>
      <c r="V151" s="37">
        <f>IFERROR('Physical Safety'!$W$17,"")</f>
        <v>4</v>
      </c>
      <c r="W151" s="37">
        <f>IFERROR('Physical Safety'!$X$17,"")</f>
        <v>5</v>
      </c>
      <c r="X151" s="37">
        <f>IFERROR('Physical Safety'!$Y$17,"")</f>
        <v>5</v>
      </c>
      <c r="Y151" s="36" t="s">
        <v>3207</v>
      </c>
      <c r="Z151" s="36" t="s">
        <v>3208</v>
      </c>
      <c r="AA151" s="36" t="s">
        <v>3322</v>
      </c>
      <c r="AB151" s="36">
        <f>IFERROR('Physical Safety'!$U$17,"")</f>
        <v>0</v>
      </c>
      <c r="AC151" s="36"/>
      <c r="AD151" s="36"/>
      <c r="AE151" s="36"/>
      <c r="AF151" s="36" t="s">
        <v>3321</v>
      </c>
      <c r="AO151" s="48" t="str">
        <f>IF($B151="Yes",IFERROR(SUMIFS(_TECH_Crisis_Model!$D$5:$D$191,_TECH_Crisis_Model!$A$5:$A$191,'Crisis Simulator'!$B$4,_TECH_Crisis_Model!$B$5:$B$191,$C151),1),"")</f>
        <v/>
      </c>
      <c r="AP151" s="48" t="str">
        <f t="shared" si="43"/>
        <v/>
      </c>
      <c r="AQ151" s="48" t="str">
        <f t="shared" si="44"/>
        <v/>
      </c>
      <c r="AR151" s="48" t="str">
        <f>IFERROR(INDEX(_TECH_Crisis_Model!$E$5:$E$191,MATCH('Crisis Simulator'!$B$4&amp;"|"&amp;$C151,_TECH_Crisis_Model!$I$5:$I$191,0)),"")</f>
        <v>Employee safety, access control, evacuation and facilities resilience are direct crisis constraints.</v>
      </c>
      <c r="AS151" s="48" t="str">
        <f>IFERROR(INDEX(_TECH_Crisis_Model!$G$5:$G$191,MATCH('Crisis Simulator'!$B$4&amp;"|"&amp;$C151,_TECH_Crisis_Model!$I$5:$I$191,0)),"")</f>
        <v>Implement evacuation, access control, emergency response, site security and travel-risk procedures.</v>
      </c>
      <c r="AT151" s="48" t="str">
        <f>IFERROR(INDEX(_TECH_Initiative_Library!$A$5:$A$76,MATCH(1,INDEX((_TECH_Initiative_Library!$B$5:$B$76=$C151)*(_TECH_Initiative_Library!$C$5:$C$76=$D151),0),0)),"")</f>
        <v>INI-025</v>
      </c>
      <c r="AU151" s="48" t="str">
        <f>IFERROR(INDEX(_TECH_Initiative_Library!$F$5:$F$76,MATCH(1,INDEX((_TECH_Initiative_Library!$B$5:$B$76=$C151)*(_TECH_Initiative_Library!$C$5:$C$76=$D151),0),0)),"")</f>
        <v>Build emergency response, evacuation and shelter procedures</v>
      </c>
      <c r="AV151" s="48" t="str">
        <f ca="1">IFERROR(INDEX(_TECH_Initiative_Library!$AC$5:$AC$76,MATCH(1,INDEX((_TECH_Initiative_Library!$B$5:$B$76=$C151)*(_TECH_Initiative_Library!$C$5:$C$76=$D151),0),0)),"")</f>
        <v/>
      </c>
      <c r="AW151" s="48" t="str">
        <f ca="1">IFERROR(INDEX(_TECH_Initiative_Library!$AE$5:$AE$76,MATCH(1,INDEX((_TECH_Initiative_Library!$B$5:$B$76=$C151)*(_TECH_Initiative_Library!$C$5:$C$76=$D151),0),0)),"")</f>
        <v/>
      </c>
      <c r="AX151" s="48" t="str">
        <f>IF($B151="Yes",IFERROR(SUMIFS(_TECH_Industry_Templates!$E:$E,_TECH_Industry_Templates!$A:$A,'Company Profile'!$B$9,_TECH_Industry_Templates!$B:$B,$C151),1),"")</f>
        <v/>
      </c>
      <c r="AY151" s="48" t="str">
        <f t="shared" si="45"/>
        <v/>
      </c>
      <c r="AZ151" s="48" t="str">
        <f t="shared" si="46"/>
        <v/>
      </c>
      <c r="BA151" s="48" t="str">
        <f>IF($AZ151="","",RANK.EQ($AZ151,$AZ$8:$AZ$414,0)+COUNTIF($AZ$8:$AZ151,$AZ151)-1)</f>
        <v/>
      </c>
    </row>
    <row r="152" spans="1:53" ht="69.95" customHeight="1">
      <c r="A152" s="36" t="str">
        <f>IF($AZ152="","",RANK.EQ($AZ152,$AZ$8:$AZ$414,0)+COUNTIF($AZ$8:$AZ152,$AZ152)-1)</f>
        <v/>
      </c>
      <c r="B152" s="36" t="str">
        <f t="shared" si="33"/>
        <v/>
      </c>
      <c r="C152" s="36" t="s">
        <v>72</v>
      </c>
      <c r="D152" s="36" t="s">
        <v>1234</v>
      </c>
      <c r="E152" s="36" t="s">
        <v>3330</v>
      </c>
      <c r="F152" s="36" t="s">
        <v>189</v>
      </c>
      <c r="G152" s="36" t="str">
        <f>IF($H152="","",IFERROR(INDEX('Risk Library'!$H$5:$M$411,MATCH($E152,'Risk Library'!$A$5:$A$411,0),$H152+1),""))</f>
        <v/>
      </c>
      <c r="H152" s="37" t="str">
        <f>IF(OR(COUNTA('Physical Safety'!$H$18)=0,'Physical Safety'!$H$18="N/A"),"",VALUE('Physical Safety'!$H$18))</f>
        <v/>
      </c>
      <c r="I152" s="36" t="str">
        <f>IF($H152="","",IFERROR(IF('Physical Safety'!$L$18="",IF($H152&lt;=1,"Critical",IF($H152=2,"High",IF($H152=3,"Medium",IF($H152=4,"Low","Resilient")))),'Physical Safety'!$L$18),IF($H152&lt;=1,"Critical",IF($H152=2,"High",IF($H152=3,"Medium",IF($H152=4,"Low","Resilient"))))))</f>
        <v/>
      </c>
      <c r="J152" s="37" t="str">
        <f t="shared" si="34"/>
        <v/>
      </c>
      <c r="K152" s="37" t="str">
        <f t="shared" si="35"/>
        <v/>
      </c>
      <c r="L152" s="37" t="str">
        <f t="shared" si="36"/>
        <v/>
      </c>
      <c r="M152" s="37" t="str">
        <f t="shared" si="37"/>
        <v/>
      </c>
      <c r="N152" s="37" t="str">
        <f>IF($H152="","",IFERROR(INDEX('Risk Library'!$T$5:$Y$411,MATCH($E152,'Risk Library'!$A$5:$A$411,0),$H152+1),""))</f>
        <v/>
      </c>
      <c r="O152" s="37" t="str">
        <f t="shared" si="38"/>
        <v/>
      </c>
      <c r="P152" s="37" t="str">
        <f t="shared" si="39"/>
        <v/>
      </c>
      <c r="Q152" s="37" t="str">
        <f t="shared" si="40"/>
        <v/>
      </c>
      <c r="R152" s="37" t="str">
        <f t="shared" si="41"/>
        <v/>
      </c>
      <c r="S152" s="38" t="str">
        <f t="shared" si="42"/>
        <v/>
      </c>
      <c r="T152" s="36" t="str">
        <f>IF($H152="","",IFERROR(INDEX('Risk Library'!$N$5:$S$411,MATCH($E152,'Risk Library'!$A$5:$A$411,0),$H152+1),""))</f>
        <v/>
      </c>
      <c r="U152" s="37">
        <f>IFERROR('Physical Safety'!$G$18,"")</f>
        <v>5</v>
      </c>
      <c r="V152" s="37">
        <f>IFERROR('Physical Safety'!$W$18,"")</f>
        <v>4</v>
      </c>
      <c r="W152" s="37">
        <f>IFERROR('Physical Safety'!$X$18,"")</f>
        <v>5</v>
      </c>
      <c r="X152" s="37">
        <f>IFERROR('Physical Safety'!$Y$18,"")</f>
        <v>5</v>
      </c>
      <c r="Y152" s="36" t="s">
        <v>3207</v>
      </c>
      <c r="Z152" s="36" t="s">
        <v>3208</v>
      </c>
      <c r="AA152" s="36" t="s">
        <v>3332</v>
      </c>
      <c r="AB152" s="36">
        <f>IFERROR('Physical Safety'!$U$18,"")</f>
        <v>0</v>
      </c>
      <c r="AC152" s="36"/>
      <c r="AD152" s="36"/>
      <c r="AE152" s="36"/>
      <c r="AF152" s="36" t="s">
        <v>3331</v>
      </c>
      <c r="AO152" s="48" t="str">
        <f>IF($B152="Yes",IFERROR(SUMIFS(_TECH_Crisis_Model!$D$5:$D$191,_TECH_Crisis_Model!$A$5:$A$191,'Crisis Simulator'!$B$4,_TECH_Crisis_Model!$B$5:$B$191,$C152),1),"")</f>
        <v/>
      </c>
      <c r="AP152" s="48" t="str">
        <f t="shared" si="43"/>
        <v/>
      </c>
      <c r="AQ152" s="48" t="str">
        <f t="shared" si="44"/>
        <v/>
      </c>
      <c r="AR152" s="48" t="str">
        <f>IFERROR(INDEX(_TECH_Crisis_Model!$E$5:$E$191,MATCH('Crisis Simulator'!$B$4&amp;"|"&amp;$C152,_TECH_Crisis_Model!$I$5:$I$191,0)),"")</f>
        <v>Employee safety, access control, evacuation and facilities resilience are direct crisis constraints.</v>
      </c>
      <c r="AS152" s="48" t="str">
        <f>IFERROR(INDEX(_TECH_Crisis_Model!$G$5:$G$191,MATCH('Crisis Simulator'!$B$4&amp;"|"&amp;$C152,_TECH_Crisis_Model!$I$5:$I$191,0)),"")</f>
        <v>Implement evacuation, access control, emergency response, site security and travel-risk procedures.</v>
      </c>
      <c r="AT152" s="48" t="str">
        <f>IFERROR(INDEX(_TECH_Initiative_Library!$A$5:$A$76,MATCH(1,INDEX((_TECH_Initiative_Library!$B$5:$B$76=$C152)*(_TECH_Initiative_Library!$C$5:$C$76=$D152),0),0)),"")</f>
        <v>INI-025</v>
      </c>
      <c r="AU152" s="48" t="str">
        <f>IFERROR(INDEX(_TECH_Initiative_Library!$F$5:$F$76,MATCH(1,INDEX((_TECH_Initiative_Library!$B$5:$B$76=$C152)*(_TECH_Initiative_Library!$C$5:$C$76=$D152),0),0)),"")</f>
        <v>Build emergency response, evacuation and shelter procedures</v>
      </c>
      <c r="AV152" s="48" t="str">
        <f ca="1">IFERROR(INDEX(_TECH_Initiative_Library!$AC$5:$AC$76,MATCH(1,INDEX((_TECH_Initiative_Library!$B$5:$B$76=$C152)*(_TECH_Initiative_Library!$C$5:$C$76=$D152),0),0)),"")</f>
        <v/>
      </c>
      <c r="AW152" s="48" t="str">
        <f ca="1">IFERROR(INDEX(_TECH_Initiative_Library!$AE$5:$AE$76,MATCH(1,INDEX((_TECH_Initiative_Library!$B$5:$B$76=$C152)*(_TECH_Initiative_Library!$C$5:$C$76=$D152),0),0)),"")</f>
        <v/>
      </c>
      <c r="AX152" s="48" t="str">
        <f>IF($B152="Yes",IFERROR(SUMIFS(_TECH_Industry_Templates!$E:$E,_TECH_Industry_Templates!$A:$A,'Company Profile'!$B$9,_TECH_Industry_Templates!$B:$B,$C152),1),"")</f>
        <v/>
      </c>
      <c r="AY152" s="48" t="str">
        <f t="shared" si="45"/>
        <v/>
      </c>
      <c r="AZ152" s="48" t="str">
        <f t="shared" si="46"/>
        <v/>
      </c>
      <c r="BA152" s="48" t="str">
        <f>IF($AZ152="","",RANK.EQ($AZ152,$AZ$8:$AZ$414,0)+COUNTIF($AZ$8:$AZ152,$AZ152)-1)</f>
        <v/>
      </c>
    </row>
    <row r="153" spans="1:53" ht="69.95" customHeight="1">
      <c r="A153" s="36" t="str">
        <f>IF($AZ153="","",RANK.EQ($AZ153,$AZ$8:$AZ$414,0)+COUNTIF($AZ$8:$AZ153,$AZ153)-1)</f>
        <v/>
      </c>
      <c r="B153" s="36" t="str">
        <f t="shared" si="33"/>
        <v/>
      </c>
      <c r="C153" s="36" t="s">
        <v>72</v>
      </c>
      <c r="D153" s="36" t="s">
        <v>1234</v>
      </c>
      <c r="E153" s="36" t="s">
        <v>3340</v>
      </c>
      <c r="F153" s="36" t="s">
        <v>189</v>
      </c>
      <c r="G153" s="36" t="str">
        <f>IF($H153="","",IFERROR(INDEX('Risk Library'!$H$5:$M$411,MATCH($E153,'Risk Library'!$A$5:$A$411,0),$H153+1),""))</f>
        <v/>
      </c>
      <c r="H153" s="37" t="str">
        <f>IF(OR(COUNTA('Physical Safety'!$H$19)=0,'Physical Safety'!$H$19="N/A"),"",VALUE('Physical Safety'!$H$19))</f>
        <v/>
      </c>
      <c r="I153" s="36" t="str">
        <f>IF($H153="","",IFERROR(IF('Physical Safety'!$L$19="",IF($H153&lt;=1,"Critical",IF($H153=2,"High",IF($H153=3,"Medium",IF($H153=4,"Low","Resilient")))),'Physical Safety'!$L$19),IF($H153&lt;=1,"Critical",IF($H153=2,"High",IF($H153=3,"Medium",IF($H153=4,"Low","Resilient"))))))</f>
        <v/>
      </c>
      <c r="J153" s="37" t="str">
        <f t="shared" si="34"/>
        <v/>
      </c>
      <c r="K153" s="37" t="str">
        <f t="shared" si="35"/>
        <v/>
      </c>
      <c r="L153" s="37" t="str">
        <f t="shared" si="36"/>
        <v/>
      </c>
      <c r="M153" s="37" t="str">
        <f t="shared" si="37"/>
        <v/>
      </c>
      <c r="N153" s="37" t="str">
        <f>IF($H153="","",IFERROR(INDEX('Risk Library'!$T$5:$Y$411,MATCH($E153,'Risk Library'!$A$5:$A$411,0),$H153+1),""))</f>
        <v/>
      </c>
      <c r="O153" s="37" t="str">
        <f t="shared" si="38"/>
        <v/>
      </c>
      <c r="P153" s="37" t="str">
        <f t="shared" si="39"/>
        <v/>
      </c>
      <c r="Q153" s="37" t="str">
        <f t="shared" si="40"/>
        <v/>
      </c>
      <c r="R153" s="37" t="str">
        <f t="shared" si="41"/>
        <v/>
      </c>
      <c r="S153" s="38" t="str">
        <f t="shared" si="42"/>
        <v/>
      </c>
      <c r="T153" s="36" t="str">
        <f>IF($H153="","",IFERROR(INDEX('Risk Library'!$N$5:$S$411,MATCH($E153,'Risk Library'!$A$5:$A$411,0),$H153+1),""))</f>
        <v/>
      </c>
      <c r="U153" s="37">
        <f>IFERROR('Physical Safety'!$G$19,"")</f>
        <v>3</v>
      </c>
      <c r="V153" s="37">
        <f>IFERROR('Physical Safety'!$W$19,"")</f>
        <v>4</v>
      </c>
      <c r="W153" s="37">
        <f>IFERROR('Physical Safety'!$X$19,"")</f>
        <v>5</v>
      </c>
      <c r="X153" s="37">
        <f>IFERROR('Physical Safety'!$Y$19,"")</f>
        <v>5</v>
      </c>
      <c r="Y153" s="36" t="s">
        <v>3207</v>
      </c>
      <c r="Z153" s="36" t="s">
        <v>3208</v>
      </c>
      <c r="AA153" s="36" t="s">
        <v>3342</v>
      </c>
      <c r="AB153" s="36">
        <f>IFERROR('Physical Safety'!$U$19,"")</f>
        <v>0</v>
      </c>
      <c r="AC153" s="36"/>
      <c r="AD153" s="36"/>
      <c r="AE153" s="36"/>
      <c r="AF153" s="36" t="s">
        <v>3341</v>
      </c>
      <c r="AO153" s="48" t="str">
        <f>IF($B153="Yes",IFERROR(SUMIFS(_TECH_Crisis_Model!$D$5:$D$191,_TECH_Crisis_Model!$A$5:$A$191,'Crisis Simulator'!$B$4,_TECH_Crisis_Model!$B$5:$B$191,$C153),1),"")</f>
        <v/>
      </c>
      <c r="AP153" s="48" t="str">
        <f t="shared" si="43"/>
        <v/>
      </c>
      <c r="AQ153" s="48" t="str">
        <f t="shared" si="44"/>
        <v/>
      </c>
      <c r="AR153" s="48" t="str">
        <f>IFERROR(INDEX(_TECH_Crisis_Model!$E$5:$E$191,MATCH('Crisis Simulator'!$B$4&amp;"|"&amp;$C153,_TECH_Crisis_Model!$I$5:$I$191,0)),"")</f>
        <v>Employee safety, access control, evacuation and facilities resilience are direct crisis constraints.</v>
      </c>
      <c r="AS153" s="48" t="str">
        <f>IFERROR(INDEX(_TECH_Crisis_Model!$G$5:$G$191,MATCH('Crisis Simulator'!$B$4&amp;"|"&amp;$C153,_TECH_Crisis_Model!$I$5:$I$191,0)),"")</f>
        <v>Implement evacuation, access control, emergency response, site security and travel-risk procedures.</v>
      </c>
      <c r="AT153" s="48" t="str">
        <f>IFERROR(INDEX(_TECH_Initiative_Library!$A$5:$A$76,MATCH(1,INDEX((_TECH_Initiative_Library!$B$5:$B$76=$C153)*(_TECH_Initiative_Library!$C$5:$C$76=$D153),0),0)),"")</f>
        <v>INI-025</v>
      </c>
      <c r="AU153" s="48" t="str">
        <f>IFERROR(INDEX(_TECH_Initiative_Library!$F$5:$F$76,MATCH(1,INDEX((_TECH_Initiative_Library!$B$5:$B$76=$C153)*(_TECH_Initiative_Library!$C$5:$C$76=$D153),0),0)),"")</f>
        <v>Build emergency response, evacuation and shelter procedures</v>
      </c>
      <c r="AV153" s="48" t="str">
        <f ca="1">IFERROR(INDEX(_TECH_Initiative_Library!$AC$5:$AC$76,MATCH(1,INDEX((_TECH_Initiative_Library!$B$5:$B$76=$C153)*(_TECH_Initiative_Library!$C$5:$C$76=$D153),0),0)),"")</f>
        <v/>
      </c>
      <c r="AW153" s="48" t="str">
        <f ca="1">IFERROR(INDEX(_TECH_Initiative_Library!$AE$5:$AE$76,MATCH(1,INDEX((_TECH_Initiative_Library!$B$5:$B$76=$C153)*(_TECH_Initiative_Library!$C$5:$C$76=$D153),0),0)),"")</f>
        <v/>
      </c>
      <c r="AX153" s="48" t="str">
        <f>IF($B153="Yes",IFERROR(SUMIFS(_TECH_Industry_Templates!$E:$E,_TECH_Industry_Templates!$A:$A,'Company Profile'!$B$9,_TECH_Industry_Templates!$B:$B,$C153),1),"")</f>
        <v/>
      </c>
      <c r="AY153" s="48" t="str">
        <f t="shared" si="45"/>
        <v/>
      </c>
      <c r="AZ153" s="48" t="str">
        <f t="shared" si="46"/>
        <v/>
      </c>
      <c r="BA153" s="48" t="str">
        <f>IF($AZ153="","",RANK.EQ($AZ153,$AZ$8:$AZ$414,0)+COUNTIF($AZ$8:$AZ153,$AZ153)-1)</f>
        <v/>
      </c>
    </row>
    <row r="154" spans="1:53" ht="69.95" customHeight="1">
      <c r="A154" s="36" t="str">
        <f>IF($AZ154="","",RANK.EQ($AZ154,$AZ$8:$AZ$414,0)+COUNTIF($AZ$8:$AZ154,$AZ154)-1)</f>
        <v/>
      </c>
      <c r="B154" s="36" t="str">
        <f t="shared" si="33"/>
        <v/>
      </c>
      <c r="C154" s="36" t="s">
        <v>72</v>
      </c>
      <c r="D154" s="36" t="s">
        <v>1234</v>
      </c>
      <c r="E154" s="36" t="s">
        <v>3350</v>
      </c>
      <c r="F154" s="36" t="s">
        <v>189</v>
      </c>
      <c r="G154" s="36" t="str">
        <f>IF($H154="","",IFERROR(INDEX('Risk Library'!$H$5:$M$411,MATCH($E154,'Risk Library'!$A$5:$A$411,0),$H154+1),""))</f>
        <v/>
      </c>
      <c r="H154" s="37" t="str">
        <f>IF(OR(COUNTA('Physical Safety'!$H$20)=0,'Physical Safety'!$H$20="N/A"),"",VALUE('Physical Safety'!$H$20))</f>
        <v/>
      </c>
      <c r="I154" s="36" t="str">
        <f>IF($H154="","",IFERROR(IF('Physical Safety'!$L$20="",IF($H154&lt;=1,"Critical",IF($H154=2,"High",IF($H154=3,"Medium",IF($H154=4,"Low","Resilient")))),'Physical Safety'!$L$20),IF($H154&lt;=1,"Critical",IF($H154=2,"High",IF($H154=3,"Medium",IF($H154=4,"Low","Resilient"))))))</f>
        <v/>
      </c>
      <c r="J154" s="37" t="str">
        <f t="shared" si="34"/>
        <v/>
      </c>
      <c r="K154" s="37" t="str">
        <f t="shared" si="35"/>
        <v/>
      </c>
      <c r="L154" s="37" t="str">
        <f t="shared" si="36"/>
        <v/>
      </c>
      <c r="M154" s="37" t="str">
        <f t="shared" si="37"/>
        <v/>
      </c>
      <c r="N154" s="37" t="str">
        <f>IF($H154="","",IFERROR(INDEX('Risk Library'!$T$5:$Y$411,MATCH($E154,'Risk Library'!$A$5:$A$411,0),$H154+1),""))</f>
        <v/>
      </c>
      <c r="O154" s="37" t="str">
        <f t="shared" si="38"/>
        <v/>
      </c>
      <c r="P154" s="37" t="str">
        <f t="shared" si="39"/>
        <v/>
      </c>
      <c r="Q154" s="37" t="str">
        <f t="shared" si="40"/>
        <v/>
      </c>
      <c r="R154" s="37" t="str">
        <f t="shared" si="41"/>
        <v/>
      </c>
      <c r="S154" s="38" t="str">
        <f t="shared" si="42"/>
        <v/>
      </c>
      <c r="T154" s="36" t="str">
        <f>IF($H154="","",IFERROR(INDEX('Risk Library'!$N$5:$S$411,MATCH($E154,'Risk Library'!$A$5:$A$411,0),$H154+1),""))</f>
        <v/>
      </c>
      <c r="U154" s="37">
        <f>IFERROR('Physical Safety'!$G$20,"")</f>
        <v>5</v>
      </c>
      <c r="V154" s="37">
        <f>IFERROR('Physical Safety'!$W$20,"")</f>
        <v>4</v>
      </c>
      <c r="W154" s="37">
        <f>IFERROR('Physical Safety'!$X$20,"")</f>
        <v>5</v>
      </c>
      <c r="X154" s="37">
        <f>IFERROR('Physical Safety'!$Y$20,"")</f>
        <v>5</v>
      </c>
      <c r="Y154" s="36" t="s">
        <v>3207</v>
      </c>
      <c r="Z154" s="36" t="s">
        <v>3208</v>
      </c>
      <c r="AA154" s="36" t="s">
        <v>3352</v>
      </c>
      <c r="AB154" s="36">
        <f>IFERROR('Physical Safety'!$U$20,"")</f>
        <v>0</v>
      </c>
      <c r="AC154" s="36"/>
      <c r="AD154" s="36"/>
      <c r="AE154" s="36"/>
      <c r="AF154" s="36" t="s">
        <v>3351</v>
      </c>
      <c r="AO154" s="48" t="str">
        <f>IF($B154="Yes",IFERROR(SUMIFS(_TECH_Crisis_Model!$D$5:$D$191,_TECH_Crisis_Model!$A$5:$A$191,'Crisis Simulator'!$B$4,_TECH_Crisis_Model!$B$5:$B$191,$C154),1),"")</f>
        <v/>
      </c>
      <c r="AP154" s="48" t="str">
        <f t="shared" si="43"/>
        <v/>
      </c>
      <c r="AQ154" s="48" t="str">
        <f t="shared" si="44"/>
        <v/>
      </c>
      <c r="AR154" s="48" t="str">
        <f>IFERROR(INDEX(_TECH_Crisis_Model!$E$5:$E$191,MATCH('Crisis Simulator'!$B$4&amp;"|"&amp;$C154,_TECH_Crisis_Model!$I$5:$I$191,0)),"")</f>
        <v>Employee safety, access control, evacuation and facilities resilience are direct crisis constraints.</v>
      </c>
      <c r="AS154" s="48" t="str">
        <f>IFERROR(INDEX(_TECH_Crisis_Model!$G$5:$G$191,MATCH('Crisis Simulator'!$B$4&amp;"|"&amp;$C154,_TECH_Crisis_Model!$I$5:$I$191,0)),"")</f>
        <v>Implement evacuation, access control, emergency response, site security and travel-risk procedures.</v>
      </c>
      <c r="AT154" s="48" t="str">
        <f>IFERROR(INDEX(_TECH_Initiative_Library!$A$5:$A$76,MATCH(1,INDEX((_TECH_Initiative_Library!$B$5:$B$76=$C154)*(_TECH_Initiative_Library!$C$5:$C$76=$D154),0),0)),"")</f>
        <v>INI-025</v>
      </c>
      <c r="AU154" s="48" t="str">
        <f>IFERROR(INDEX(_TECH_Initiative_Library!$F$5:$F$76,MATCH(1,INDEX((_TECH_Initiative_Library!$B$5:$B$76=$C154)*(_TECH_Initiative_Library!$C$5:$C$76=$D154),0),0)),"")</f>
        <v>Build emergency response, evacuation and shelter procedures</v>
      </c>
      <c r="AV154" s="48" t="str">
        <f ca="1">IFERROR(INDEX(_TECH_Initiative_Library!$AC$5:$AC$76,MATCH(1,INDEX((_TECH_Initiative_Library!$B$5:$B$76=$C154)*(_TECH_Initiative_Library!$C$5:$C$76=$D154),0),0)),"")</f>
        <v/>
      </c>
      <c r="AW154" s="48" t="str">
        <f ca="1">IFERROR(INDEX(_TECH_Initiative_Library!$AE$5:$AE$76,MATCH(1,INDEX((_TECH_Initiative_Library!$B$5:$B$76=$C154)*(_TECH_Initiative_Library!$C$5:$C$76=$D154),0),0)),"")</f>
        <v/>
      </c>
      <c r="AX154" s="48" t="str">
        <f>IF($B154="Yes",IFERROR(SUMIFS(_TECH_Industry_Templates!$E:$E,_TECH_Industry_Templates!$A:$A,'Company Profile'!$B$9,_TECH_Industry_Templates!$B:$B,$C154),1),"")</f>
        <v/>
      </c>
      <c r="AY154" s="48" t="str">
        <f t="shared" si="45"/>
        <v/>
      </c>
      <c r="AZ154" s="48" t="str">
        <f t="shared" si="46"/>
        <v/>
      </c>
      <c r="BA154" s="48" t="str">
        <f>IF($AZ154="","",RANK.EQ($AZ154,$AZ$8:$AZ$414,0)+COUNTIF($AZ$8:$AZ154,$AZ154)-1)</f>
        <v/>
      </c>
    </row>
    <row r="155" spans="1:53" ht="69.95" customHeight="1">
      <c r="A155" s="36" t="str">
        <f>IF($AZ155="","",RANK.EQ($AZ155,$AZ$8:$AZ$414,0)+COUNTIF($AZ$8:$AZ155,$AZ155)-1)</f>
        <v/>
      </c>
      <c r="B155" s="36" t="str">
        <f t="shared" si="33"/>
        <v/>
      </c>
      <c r="C155" s="36" t="s">
        <v>72</v>
      </c>
      <c r="D155" s="36" t="s">
        <v>1234</v>
      </c>
      <c r="E155" s="36" t="s">
        <v>3360</v>
      </c>
      <c r="F155" s="36" t="s">
        <v>189</v>
      </c>
      <c r="G155" s="36" t="str">
        <f>IF($H155="","",IFERROR(INDEX('Risk Library'!$H$5:$M$411,MATCH($E155,'Risk Library'!$A$5:$A$411,0),$H155+1),""))</f>
        <v/>
      </c>
      <c r="H155" s="37" t="str">
        <f>IF(OR(COUNTA('Physical Safety'!$H$21)=0,'Physical Safety'!$H$21="N/A"),"",VALUE('Physical Safety'!$H$21))</f>
        <v/>
      </c>
      <c r="I155" s="36" t="str">
        <f>IF($H155="","",IFERROR(IF('Physical Safety'!$L$21="",IF($H155&lt;=1,"Critical",IF($H155=2,"High",IF($H155=3,"Medium",IF($H155=4,"Low","Resilient")))),'Physical Safety'!$L$21),IF($H155&lt;=1,"Critical",IF($H155=2,"High",IF($H155=3,"Medium",IF($H155=4,"Low","Resilient"))))))</f>
        <v/>
      </c>
      <c r="J155" s="37" t="str">
        <f t="shared" si="34"/>
        <v/>
      </c>
      <c r="K155" s="37" t="str">
        <f t="shared" si="35"/>
        <v/>
      </c>
      <c r="L155" s="37" t="str">
        <f t="shared" si="36"/>
        <v/>
      </c>
      <c r="M155" s="37" t="str">
        <f t="shared" si="37"/>
        <v/>
      </c>
      <c r="N155" s="37" t="str">
        <f>IF($H155="","",IFERROR(INDEX('Risk Library'!$T$5:$Y$411,MATCH($E155,'Risk Library'!$A$5:$A$411,0),$H155+1),""))</f>
        <v/>
      </c>
      <c r="O155" s="37" t="str">
        <f t="shared" si="38"/>
        <v/>
      </c>
      <c r="P155" s="37" t="str">
        <f t="shared" si="39"/>
        <v/>
      </c>
      <c r="Q155" s="37" t="str">
        <f t="shared" si="40"/>
        <v/>
      </c>
      <c r="R155" s="37" t="str">
        <f t="shared" si="41"/>
        <v/>
      </c>
      <c r="S155" s="38" t="str">
        <f t="shared" si="42"/>
        <v/>
      </c>
      <c r="T155" s="36" t="str">
        <f>IF($H155="","",IFERROR(INDEX('Risk Library'!$N$5:$S$411,MATCH($E155,'Risk Library'!$A$5:$A$411,0),$H155+1),""))</f>
        <v/>
      </c>
      <c r="U155" s="37">
        <f>IFERROR('Physical Safety'!$G$21,"")</f>
        <v>3</v>
      </c>
      <c r="V155" s="37">
        <f>IFERROR('Physical Safety'!$W$21,"")</f>
        <v>4</v>
      </c>
      <c r="W155" s="37">
        <f>IFERROR('Physical Safety'!$X$21,"")</f>
        <v>5</v>
      </c>
      <c r="X155" s="37">
        <f>IFERROR('Physical Safety'!$Y$21,"")</f>
        <v>5</v>
      </c>
      <c r="Y155" s="36" t="s">
        <v>3207</v>
      </c>
      <c r="Z155" s="36" t="s">
        <v>3208</v>
      </c>
      <c r="AA155" s="36" t="s">
        <v>3362</v>
      </c>
      <c r="AB155" s="36">
        <f>IFERROR('Physical Safety'!$U$21,"")</f>
        <v>0</v>
      </c>
      <c r="AC155" s="36"/>
      <c r="AD155" s="36"/>
      <c r="AE155" s="36"/>
      <c r="AF155" s="36" t="s">
        <v>3361</v>
      </c>
      <c r="AO155" s="48" t="str">
        <f>IF($B155="Yes",IFERROR(SUMIFS(_TECH_Crisis_Model!$D$5:$D$191,_TECH_Crisis_Model!$A$5:$A$191,'Crisis Simulator'!$B$4,_TECH_Crisis_Model!$B$5:$B$191,$C155),1),"")</f>
        <v/>
      </c>
      <c r="AP155" s="48" t="str">
        <f t="shared" si="43"/>
        <v/>
      </c>
      <c r="AQ155" s="48" t="str">
        <f t="shared" si="44"/>
        <v/>
      </c>
      <c r="AR155" s="48" t="str">
        <f>IFERROR(INDEX(_TECH_Crisis_Model!$E$5:$E$191,MATCH('Crisis Simulator'!$B$4&amp;"|"&amp;$C155,_TECH_Crisis_Model!$I$5:$I$191,0)),"")</f>
        <v>Employee safety, access control, evacuation and facilities resilience are direct crisis constraints.</v>
      </c>
      <c r="AS155" s="48" t="str">
        <f>IFERROR(INDEX(_TECH_Crisis_Model!$G$5:$G$191,MATCH('Crisis Simulator'!$B$4&amp;"|"&amp;$C155,_TECH_Crisis_Model!$I$5:$I$191,0)),"")</f>
        <v>Implement evacuation, access control, emergency response, site security and travel-risk procedures.</v>
      </c>
      <c r="AT155" s="48" t="str">
        <f>IFERROR(INDEX(_TECH_Initiative_Library!$A$5:$A$76,MATCH(1,INDEX((_TECH_Initiative_Library!$B$5:$B$76=$C155)*(_TECH_Initiative_Library!$C$5:$C$76=$D155),0),0)),"")</f>
        <v>INI-025</v>
      </c>
      <c r="AU155" s="48" t="str">
        <f>IFERROR(INDEX(_TECH_Initiative_Library!$F$5:$F$76,MATCH(1,INDEX((_TECH_Initiative_Library!$B$5:$B$76=$C155)*(_TECH_Initiative_Library!$C$5:$C$76=$D155),0),0)),"")</f>
        <v>Build emergency response, evacuation and shelter procedures</v>
      </c>
      <c r="AV155" s="48" t="str">
        <f ca="1">IFERROR(INDEX(_TECH_Initiative_Library!$AC$5:$AC$76,MATCH(1,INDEX((_TECH_Initiative_Library!$B$5:$B$76=$C155)*(_TECH_Initiative_Library!$C$5:$C$76=$D155),0),0)),"")</f>
        <v/>
      </c>
      <c r="AW155" s="48" t="str">
        <f ca="1">IFERROR(INDEX(_TECH_Initiative_Library!$AE$5:$AE$76,MATCH(1,INDEX((_TECH_Initiative_Library!$B$5:$B$76=$C155)*(_TECH_Initiative_Library!$C$5:$C$76=$D155),0),0)),"")</f>
        <v/>
      </c>
      <c r="AX155" s="48" t="str">
        <f>IF($B155="Yes",IFERROR(SUMIFS(_TECH_Industry_Templates!$E:$E,_TECH_Industry_Templates!$A:$A,'Company Profile'!$B$9,_TECH_Industry_Templates!$B:$B,$C155),1),"")</f>
        <v/>
      </c>
      <c r="AY155" s="48" t="str">
        <f t="shared" si="45"/>
        <v/>
      </c>
      <c r="AZ155" s="48" t="str">
        <f t="shared" si="46"/>
        <v/>
      </c>
      <c r="BA155" s="48" t="str">
        <f>IF($AZ155="","",RANK.EQ($AZ155,$AZ$8:$AZ$414,0)+COUNTIF($AZ$8:$AZ155,$AZ155)-1)</f>
        <v/>
      </c>
    </row>
    <row r="156" spans="1:53" ht="69.95" customHeight="1">
      <c r="A156" s="36" t="str">
        <f>IF($AZ156="","",RANK.EQ($AZ156,$AZ$8:$AZ$414,0)+COUNTIF($AZ$8:$AZ156,$AZ156)-1)</f>
        <v/>
      </c>
      <c r="B156" s="36" t="str">
        <f t="shared" si="33"/>
        <v/>
      </c>
      <c r="C156" s="36" t="s">
        <v>72</v>
      </c>
      <c r="D156" s="36" t="s">
        <v>1234</v>
      </c>
      <c r="E156" s="36" t="s">
        <v>3370</v>
      </c>
      <c r="F156" s="36" t="s">
        <v>189</v>
      </c>
      <c r="G156" s="36" t="str">
        <f>IF($H156="","",IFERROR(INDEX('Risk Library'!$H$5:$M$411,MATCH($E156,'Risk Library'!$A$5:$A$411,0),$H156+1),""))</f>
        <v/>
      </c>
      <c r="H156" s="37" t="str">
        <f>IF(OR(COUNTA('Physical Safety'!$H$22)=0,'Physical Safety'!$H$22="N/A"),"",VALUE('Physical Safety'!$H$22))</f>
        <v/>
      </c>
      <c r="I156" s="36" t="str">
        <f>IF($H156="","",IFERROR(IF('Physical Safety'!$L$22="",IF($H156&lt;=1,"Critical",IF($H156=2,"High",IF($H156=3,"Medium",IF($H156=4,"Low","Resilient")))),'Physical Safety'!$L$22),IF($H156&lt;=1,"Critical",IF($H156=2,"High",IF($H156=3,"Medium",IF($H156=4,"Low","Resilient"))))))</f>
        <v/>
      </c>
      <c r="J156" s="37" t="str">
        <f t="shared" si="34"/>
        <v/>
      </c>
      <c r="K156" s="37" t="str">
        <f t="shared" si="35"/>
        <v/>
      </c>
      <c r="L156" s="37" t="str">
        <f t="shared" si="36"/>
        <v/>
      </c>
      <c r="M156" s="37" t="str">
        <f t="shared" si="37"/>
        <v/>
      </c>
      <c r="N156" s="37" t="str">
        <f>IF($H156="","",IFERROR(INDEX('Risk Library'!$T$5:$Y$411,MATCH($E156,'Risk Library'!$A$5:$A$411,0),$H156+1),""))</f>
        <v/>
      </c>
      <c r="O156" s="37" t="str">
        <f t="shared" si="38"/>
        <v/>
      </c>
      <c r="P156" s="37" t="str">
        <f t="shared" si="39"/>
        <v/>
      </c>
      <c r="Q156" s="37" t="str">
        <f t="shared" si="40"/>
        <v/>
      </c>
      <c r="R156" s="37" t="str">
        <f t="shared" si="41"/>
        <v/>
      </c>
      <c r="S156" s="38" t="str">
        <f t="shared" si="42"/>
        <v/>
      </c>
      <c r="T156" s="36" t="str">
        <f>IF($H156="","",IFERROR(INDEX('Risk Library'!$N$5:$S$411,MATCH($E156,'Risk Library'!$A$5:$A$411,0),$H156+1),""))</f>
        <v/>
      </c>
      <c r="U156" s="37">
        <f>IFERROR('Physical Safety'!$G$22,"")</f>
        <v>3</v>
      </c>
      <c r="V156" s="37">
        <f>IFERROR('Physical Safety'!$W$22,"")</f>
        <v>4</v>
      </c>
      <c r="W156" s="37">
        <f>IFERROR('Physical Safety'!$X$22,"")</f>
        <v>5</v>
      </c>
      <c r="X156" s="37">
        <f>IFERROR('Physical Safety'!$Y$22,"")</f>
        <v>5</v>
      </c>
      <c r="Y156" s="36" t="s">
        <v>3207</v>
      </c>
      <c r="Z156" s="36" t="s">
        <v>3208</v>
      </c>
      <c r="AA156" s="36" t="s">
        <v>3372</v>
      </c>
      <c r="AB156" s="36">
        <f>IFERROR('Physical Safety'!$U$22,"")</f>
        <v>0</v>
      </c>
      <c r="AC156" s="36"/>
      <c r="AD156" s="36"/>
      <c r="AE156" s="36"/>
      <c r="AF156" s="36" t="s">
        <v>3371</v>
      </c>
      <c r="AO156" s="48" t="str">
        <f>IF($B156="Yes",IFERROR(SUMIFS(_TECH_Crisis_Model!$D$5:$D$191,_TECH_Crisis_Model!$A$5:$A$191,'Crisis Simulator'!$B$4,_TECH_Crisis_Model!$B$5:$B$191,$C156),1),"")</f>
        <v/>
      </c>
      <c r="AP156" s="48" t="str">
        <f t="shared" si="43"/>
        <v/>
      </c>
      <c r="AQ156" s="48" t="str">
        <f t="shared" si="44"/>
        <v/>
      </c>
      <c r="AR156" s="48" t="str">
        <f>IFERROR(INDEX(_TECH_Crisis_Model!$E$5:$E$191,MATCH('Crisis Simulator'!$B$4&amp;"|"&amp;$C156,_TECH_Crisis_Model!$I$5:$I$191,0)),"")</f>
        <v>Employee safety, access control, evacuation and facilities resilience are direct crisis constraints.</v>
      </c>
      <c r="AS156" s="48" t="str">
        <f>IFERROR(INDEX(_TECH_Crisis_Model!$G$5:$G$191,MATCH('Crisis Simulator'!$B$4&amp;"|"&amp;$C156,_TECH_Crisis_Model!$I$5:$I$191,0)),"")</f>
        <v>Implement evacuation, access control, emergency response, site security and travel-risk procedures.</v>
      </c>
      <c r="AT156" s="48" t="str">
        <f>IFERROR(INDEX(_TECH_Initiative_Library!$A$5:$A$76,MATCH(1,INDEX((_TECH_Initiative_Library!$B$5:$B$76=$C156)*(_TECH_Initiative_Library!$C$5:$C$76=$D156),0),0)),"")</f>
        <v>INI-025</v>
      </c>
      <c r="AU156" s="48" t="str">
        <f>IFERROR(INDEX(_TECH_Initiative_Library!$F$5:$F$76,MATCH(1,INDEX((_TECH_Initiative_Library!$B$5:$B$76=$C156)*(_TECH_Initiative_Library!$C$5:$C$76=$D156),0),0)),"")</f>
        <v>Build emergency response, evacuation and shelter procedures</v>
      </c>
      <c r="AV156" s="48" t="str">
        <f ca="1">IFERROR(INDEX(_TECH_Initiative_Library!$AC$5:$AC$76,MATCH(1,INDEX((_TECH_Initiative_Library!$B$5:$B$76=$C156)*(_TECH_Initiative_Library!$C$5:$C$76=$D156),0),0)),"")</f>
        <v/>
      </c>
      <c r="AW156" s="48" t="str">
        <f ca="1">IFERROR(INDEX(_TECH_Initiative_Library!$AE$5:$AE$76,MATCH(1,INDEX((_TECH_Initiative_Library!$B$5:$B$76=$C156)*(_TECH_Initiative_Library!$C$5:$C$76=$D156),0),0)),"")</f>
        <v/>
      </c>
      <c r="AX156" s="48" t="str">
        <f>IF($B156="Yes",IFERROR(SUMIFS(_TECH_Industry_Templates!$E:$E,_TECH_Industry_Templates!$A:$A,'Company Profile'!$B$9,_TECH_Industry_Templates!$B:$B,$C156),1),"")</f>
        <v/>
      </c>
      <c r="AY156" s="48" t="str">
        <f t="shared" si="45"/>
        <v/>
      </c>
      <c r="AZ156" s="48" t="str">
        <f t="shared" si="46"/>
        <v/>
      </c>
      <c r="BA156" s="48" t="str">
        <f>IF($AZ156="","",RANK.EQ($AZ156,$AZ$8:$AZ$414,0)+COUNTIF($AZ$8:$AZ156,$AZ156)-1)</f>
        <v/>
      </c>
    </row>
    <row r="157" spans="1:53" ht="69.95" customHeight="1">
      <c r="A157" s="36" t="str">
        <f>IF($AZ157="","",RANK.EQ($AZ157,$AZ$8:$AZ$414,0)+COUNTIF($AZ$8:$AZ157,$AZ157)-1)</f>
        <v/>
      </c>
      <c r="B157" s="36" t="str">
        <f t="shared" si="33"/>
        <v/>
      </c>
      <c r="C157" s="36" t="s">
        <v>72</v>
      </c>
      <c r="D157" s="36" t="s">
        <v>1242</v>
      </c>
      <c r="E157" s="36" t="s">
        <v>3380</v>
      </c>
      <c r="F157" s="36" t="s">
        <v>189</v>
      </c>
      <c r="G157" s="36" t="str">
        <f>IF($H157="","",IFERROR(INDEX('Risk Library'!$H$5:$M$411,MATCH($E157,'Risk Library'!$A$5:$A$411,0),$H157+1),""))</f>
        <v/>
      </c>
      <c r="H157" s="37" t="str">
        <f>IF(OR(COUNTA('Physical Safety'!$H$23)=0,'Physical Safety'!$H$23="N/A"),"",VALUE('Physical Safety'!$H$23))</f>
        <v/>
      </c>
      <c r="I157" s="36" t="str">
        <f>IF($H157="","",IFERROR(IF('Physical Safety'!$L$23="",IF($H157&lt;=1,"Critical",IF($H157=2,"High",IF($H157=3,"Medium",IF($H157=4,"Low","Resilient")))),'Physical Safety'!$L$23),IF($H157&lt;=1,"Critical",IF($H157=2,"High",IF($H157=3,"Medium",IF($H157=4,"Low","Resilient"))))))</f>
        <v/>
      </c>
      <c r="J157" s="37" t="str">
        <f t="shared" si="34"/>
        <v/>
      </c>
      <c r="K157" s="37" t="str">
        <f t="shared" si="35"/>
        <v/>
      </c>
      <c r="L157" s="37" t="str">
        <f t="shared" si="36"/>
        <v/>
      </c>
      <c r="M157" s="37" t="str">
        <f t="shared" si="37"/>
        <v/>
      </c>
      <c r="N157" s="37" t="str">
        <f>IF($H157="","",IFERROR(INDEX('Risk Library'!$T$5:$Y$411,MATCH($E157,'Risk Library'!$A$5:$A$411,0),$H157+1),""))</f>
        <v/>
      </c>
      <c r="O157" s="37" t="str">
        <f t="shared" si="38"/>
        <v/>
      </c>
      <c r="P157" s="37" t="str">
        <f t="shared" si="39"/>
        <v/>
      </c>
      <c r="Q157" s="37" t="str">
        <f t="shared" si="40"/>
        <v/>
      </c>
      <c r="R157" s="37" t="str">
        <f t="shared" si="41"/>
        <v/>
      </c>
      <c r="S157" s="38" t="str">
        <f t="shared" si="42"/>
        <v/>
      </c>
      <c r="T157" s="36" t="str">
        <f>IF($H157="","",IFERROR(INDEX('Risk Library'!$N$5:$S$411,MATCH($E157,'Risk Library'!$A$5:$A$411,0),$H157+1),""))</f>
        <v/>
      </c>
      <c r="U157" s="37">
        <f>IFERROR('Physical Safety'!$G$23,"")</f>
        <v>4</v>
      </c>
      <c r="V157" s="37">
        <f>IFERROR('Physical Safety'!$W$23,"")</f>
        <v>4</v>
      </c>
      <c r="W157" s="37">
        <f>IFERROR('Physical Safety'!$X$23,"")</f>
        <v>5</v>
      </c>
      <c r="X157" s="37">
        <f>IFERROR('Physical Safety'!$Y$23,"")</f>
        <v>5</v>
      </c>
      <c r="Y157" s="36" t="s">
        <v>3207</v>
      </c>
      <c r="Z157" s="36" t="s">
        <v>3208</v>
      </c>
      <c r="AA157" s="36" t="s">
        <v>3382</v>
      </c>
      <c r="AB157" s="36">
        <f>IFERROR('Physical Safety'!$U$23,"")</f>
        <v>0</v>
      </c>
      <c r="AC157" s="36"/>
      <c r="AD157" s="36"/>
      <c r="AE157" s="36"/>
      <c r="AF157" s="36" t="s">
        <v>3381</v>
      </c>
      <c r="AO157" s="48" t="str">
        <f>IF($B157="Yes",IFERROR(SUMIFS(_TECH_Crisis_Model!$D$5:$D$191,_TECH_Crisis_Model!$A$5:$A$191,'Crisis Simulator'!$B$4,_TECH_Crisis_Model!$B$5:$B$191,$C157),1),"")</f>
        <v/>
      </c>
      <c r="AP157" s="48" t="str">
        <f t="shared" si="43"/>
        <v/>
      </c>
      <c r="AQ157" s="48" t="str">
        <f t="shared" si="44"/>
        <v/>
      </c>
      <c r="AR157" s="48" t="str">
        <f>IFERROR(INDEX(_TECH_Crisis_Model!$E$5:$E$191,MATCH('Crisis Simulator'!$B$4&amp;"|"&amp;$C157,_TECH_Crisis_Model!$I$5:$I$191,0)),"")</f>
        <v>Employee safety, access control, evacuation and facilities resilience are direct crisis constraints.</v>
      </c>
      <c r="AS157" s="48" t="str">
        <f>IFERROR(INDEX(_TECH_Crisis_Model!$G$5:$G$191,MATCH('Crisis Simulator'!$B$4&amp;"|"&amp;$C157,_TECH_Crisis_Model!$I$5:$I$191,0)),"")</f>
        <v>Implement evacuation, access control, emergency response, site security and travel-risk procedures.</v>
      </c>
      <c r="AT157" s="48" t="str">
        <f>IFERROR(INDEX(_TECH_Initiative_Library!$A$5:$A$76,MATCH(1,INDEX((_TECH_Initiative_Library!$B$5:$B$76=$C157)*(_TECH_Initiative_Library!$C$5:$C$76=$D157),0),0)),"")</f>
        <v>INI-026</v>
      </c>
      <c r="AU157" s="48" t="str">
        <f>IFERROR(INDEX(_TECH_Initiative_Library!$F$5:$F$76,MATCH(1,INDEX((_TECH_Initiative_Library!$B$5:$B$76=$C157)*(_TECH_Initiative_Library!$C$5:$C$76=$D157),0),0)),"")</f>
        <v>Implement physical security and travel risk management</v>
      </c>
      <c r="AV157" s="48" t="str">
        <f ca="1">IFERROR(INDEX(_TECH_Initiative_Library!$AC$5:$AC$76,MATCH(1,INDEX((_TECH_Initiative_Library!$B$5:$B$76=$C157)*(_TECH_Initiative_Library!$C$5:$C$76=$D157),0),0)),"")</f>
        <v/>
      </c>
      <c r="AW157" s="48" t="str">
        <f ca="1">IFERROR(INDEX(_TECH_Initiative_Library!$AE$5:$AE$76,MATCH(1,INDEX((_TECH_Initiative_Library!$B$5:$B$76=$C157)*(_TECH_Initiative_Library!$C$5:$C$76=$D157),0),0)),"")</f>
        <v/>
      </c>
      <c r="AX157" s="48" t="str">
        <f>IF($B157="Yes",IFERROR(SUMIFS(_TECH_Industry_Templates!$E:$E,_TECH_Industry_Templates!$A:$A,'Company Profile'!$B$9,_TECH_Industry_Templates!$B:$B,$C157),1),"")</f>
        <v/>
      </c>
      <c r="AY157" s="48" t="str">
        <f t="shared" si="45"/>
        <v/>
      </c>
      <c r="AZ157" s="48" t="str">
        <f t="shared" si="46"/>
        <v/>
      </c>
      <c r="BA157" s="48" t="str">
        <f>IF($AZ157="","",RANK.EQ($AZ157,$AZ$8:$AZ$414,0)+COUNTIF($AZ$8:$AZ157,$AZ157)-1)</f>
        <v/>
      </c>
    </row>
    <row r="158" spans="1:53" ht="69.95" customHeight="1">
      <c r="A158" s="36" t="str">
        <f>IF($AZ158="","",RANK.EQ($AZ158,$AZ$8:$AZ$414,0)+COUNTIF($AZ$8:$AZ158,$AZ158)-1)</f>
        <v/>
      </c>
      <c r="B158" s="36" t="str">
        <f t="shared" si="33"/>
        <v/>
      </c>
      <c r="C158" s="36" t="s">
        <v>72</v>
      </c>
      <c r="D158" s="36" t="s">
        <v>1242</v>
      </c>
      <c r="E158" s="36" t="s">
        <v>3390</v>
      </c>
      <c r="F158" s="36" t="s">
        <v>189</v>
      </c>
      <c r="G158" s="36" t="str">
        <f>IF($H158="","",IFERROR(INDEX('Risk Library'!$H$5:$M$411,MATCH($E158,'Risk Library'!$A$5:$A$411,0),$H158+1),""))</f>
        <v/>
      </c>
      <c r="H158" s="37" t="str">
        <f>IF(OR(COUNTA('Physical Safety'!$H$24)=0,'Physical Safety'!$H$24="N/A"),"",VALUE('Physical Safety'!$H$24))</f>
        <v/>
      </c>
      <c r="I158" s="36" t="str">
        <f>IF($H158="","",IFERROR(IF('Physical Safety'!$L$24="",IF($H158&lt;=1,"Critical",IF($H158=2,"High",IF($H158=3,"Medium",IF($H158=4,"Low","Resilient")))),'Physical Safety'!$L$24),IF($H158&lt;=1,"Critical",IF($H158=2,"High",IF($H158=3,"Medium",IF($H158=4,"Low","Resilient"))))))</f>
        <v/>
      </c>
      <c r="J158" s="37" t="str">
        <f t="shared" si="34"/>
        <v/>
      </c>
      <c r="K158" s="37" t="str">
        <f t="shared" si="35"/>
        <v/>
      </c>
      <c r="L158" s="37" t="str">
        <f t="shared" si="36"/>
        <v/>
      </c>
      <c r="M158" s="37" t="str">
        <f t="shared" si="37"/>
        <v/>
      </c>
      <c r="N158" s="37" t="str">
        <f>IF($H158="","",IFERROR(INDEX('Risk Library'!$T$5:$Y$411,MATCH($E158,'Risk Library'!$A$5:$A$411,0),$H158+1),""))</f>
        <v/>
      </c>
      <c r="O158" s="37" t="str">
        <f t="shared" si="38"/>
        <v/>
      </c>
      <c r="P158" s="37" t="str">
        <f t="shared" si="39"/>
        <v/>
      </c>
      <c r="Q158" s="37" t="str">
        <f t="shared" si="40"/>
        <v/>
      </c>
      <c r="R158" s="37" t="str">
        <f t="shared" si="41"/>
        <v/>
      </c>
      <c r="S158" s="38" t="str">
        <f t="shared" si="42"/>
        <v/>
      </c>
      <c r="T158" s="36" t="str">
        <f>IF($H158="","",IFERROR(INDEX('Risk Library'!$N$5:$S$411,MATCH($E158,'Risk Library'!$A$5:$A$411,0),$H158+1),""))</f>
        <v/>
      </c>
      <c r="U158" s="37">
        <f>IFERROR('Physical Safety'!$G$24,"")</f>
        <v>5</v>
      </c>
      <c r="V158" s="37">
        <f>IFERROR('Physical Safety'!$W$24,"")</f>
        <v>4</v>
      </c>
      <c r="W158" s="37">
        <f>IFERROR('Physical Safety'!$X$24,"")</f>
        <v>5</v>
      </c>
      <c r="X158" s="37">
        <f>IFERROR('Physical Safety'!$Y$24,"")</f>
        <v>5</v>
      </c>
      <c r="Y158" s="36" t="s">
        <v>3207</v>
      </c>
      <c r="Z158" s="36" t="s">
        <v>3208</v>
      </c>
      <c r="AA158" s="36" t="s">
        <v>3392</v>
      </c>
      <c r="AB158" s="36">
        <f>IFERROR('Physical Safety'!$U$24,"")</f>
        <v>0</v>
      </c>
      <c r="AC158" s="36"/>
      <c r="AD158" s="36"/>
      <c r="AE158" s="36"/>
      <c r="AF158" s="36" t="s">
        <v>3391</v>
      </c>
      <c r="AO158" s="48" t="str">
        <f>IF($B158="Yes",IFERROR(SUMIFS(_TECH_Crisis_Model!$D$5:$D$191,_TECH_Crisis_Model!$A$5:$A$191,'Crisis Simulator'!$B$4,_TECH_Crisis_Model!$B$5:$B$191,$C158),1),"")</f>
        <v/>
      </c>
      <c r="AP158" s="48" t="str">
        <f t="shared" si="43"/>
        <v/>
      </c>
      <c r="AQ158" s="48" t="str">
        <f t="shared" si="44"/>
        <v/>
      </c>
      <c r="AR158" s="48" t="str">
        <f>IFERROR(INDEX(_TECH_Crisis_Model!$E$5:$E$191,MATCH('Crisis Simulator'!$B$4&amp;"|"&amp;$C158,_TECH_Crisis_Model!$I$5:$I$191,0)),"")</f>
        <v>Employee safety, access control, evacuation and facilities resilience are direct crisis constraints.</v>
      </c>
      <c r="AS158" s="48" t="str">
        <f>IFERROR(INDEX(_TECH_Crisis_Model!$G$5:$G$191,MATCH('Crisis Simulator'!$B$4&amp;"|"&amp;$C158,_TECH_Crisis_Model!$I$5:$I$191,0)),"")</f>
        <v>Implement evacuation, access control, emergency response, site security and travel-risk procedures.</v>
      </c>
      <c r="AT158" s="48" t="str">
        <f>IFERROR(INDEX(_TECH_Initiative_Library!$A$5:$A$76,MATCH(1,INDEX((_TECH_Initiative_Library!$B$5:$B$76=$C158)*(_TECH_Initiative_Library!$C$5:$C$76=$D158),0),0)),"")</f>
        <v>INI-026</v>
      </c>
      <c r="AU158" s="48" t="str">
        <f>IFERROR(INDEX(_TECH_Initiative_Library!$F$5:$F$76,MATCH(1,INDEX((_TECH_Initiative_Library!$B$5:$B$76=$C158)*(_TECH_Initiative_Library!$C$5:$C$76=$D158),0),0)),"")</f>
        <v>Implement physical security and travel risk management</v>
      </c>
      <c r="AV158" s="48" t="str">
        <f ca="1">IFERROR(INDEX(_TECH_Initiative_Library!$AC$5:$AC$76,MATCH(1,INDEX((_TECH_Initiative_Library!$B$5:$B$76=$C158)*(_TECH_Initiative_Library!$C$5:$C$76=$D158),0),0)),"")</f>
        <v/>
      </c>
      <c r="AW158" s="48" t="str">
        <f ca="1">IFERROR(INDEX(_TECH_Initiative_Library!$AE$5:$AE$76,MATCH(1,INDEX((_TECH_Initiative_Library!$B$5:$B$76=$C158)*(_TECH_Initiative_Library!$C$5:$C$76=$D158),0),0)),"")</f>
        <v/>
      </c>
      <c r="AX158" s="48" t="str">
        <f>IF($B158="Yes",IFERROR(SUMIFS(_TECH_Industry_Templates!$E:$E,_TECH_Industry_Templates!$A:$A,'Company Profile'!$B$9,_TECH_Industry_Templates!$B:$B,$C158),1),"")</f>
        <v/>
      </c>
      <c r="AY158" s="48" t="str">
        <f t="shared" si="45"/>
        <v/>
      </c>
      <c r="AZ158" s="48" t="str">
        <f t="shared" si="46"/>
        <v/>
      </c>
      <c r="BA158" s="48" t="str">
        <f>IF($AZ158="","",RANK.EQ($AZ158,$AZ$8:$AZ$414,0)+COUNTIF($AZ$8:$AZ158,$AZ158)-1)</f>
        <v/>
      </c>
    </row>
    <row r="159" spans="1:53" ht="69.95" customHeight="1">
      <c r="A159" s="36" t="str">
        <f>IF($AZ159="","",RANK.EQ($AZ159,$AZ$8:$AZ$414,0)+COUNTIF($AZ$8:$AZ159,$AZ159)-1)</f>
        <v/>
      </c>
      <c r="B159" s="36" t="str">
        <f t="shared" si="33"/>
        <v/>
      </c>
      <c r="C159" s="36" t="s">
        <v>72</v>
      </c>
      <c r="D159" s="36" t="s">
        <v>1242</v>
      </c>
      <c r="E159" s="36" t="s">
        <v>3400</v>
      </c>
      <c r="F159" s="36" t="s">
        <v>189</v>
      </c>
      <c r="G159" s="36" t="str">
        <f>IF($H159="","",IFERROR(INDEX('Risk Library'!$H$5:$M$411,MATCH($E159,'Risk Library'!$A$5:$A$411,0),$H159+1),""))</f>
        <v/>
      </c>
      <c r="H159" s="37" t="str">
        <f>IF(OR(COUNTA('Physical Safety'!$H$25)=0,'Physical Safety'!$H$25="N/A"),"",VALUE('Physical Safety'!$H$25))</f>
        <v/>
      </c>
      <c r="I159" s="36" t="str">
        <f>IF($H159="","",IFERROR(IF('Physical Safety'!$L$25="",IF($H159&lt;=1,"Critical",IF($H159=2,"High",IF($H159=3,"Medium",IF($H159=4,"Low","Resilient")))),'Physical Safety'!$L$25),IF($H159&lt;=1,"Critical",IF($H159=2,"High",IF($H159=3,"Medium",IF($H159=4,"Low","Resilient"))))))</f>
        <v/>
      </c>
      <c r="J159" s="37" t="str">
        <f t="shared" si="34"/>
        <v/>
      </c>
      <c r="K159" s="37" t="str">
        <f t="shared" si="35"/>
        <v/>
      </c>
      <c r="L159" s="37" t="str">
        <f t="shared" si="36"/>
        <v/>
      </c>
      <c r="M159" s="37" t="str">
        <f t="shared" si="37"/>
        <v/>
      </c>
      <c r="N159" s="37" t="str">
        <f>IF($H159="","",IFERROR(INDEX('Risk Library'!$T$5:$Y$411,MATCH($E159,'Risk Library'!$A$5:$A$411,0),$H159+1),""))</f>
        <v/>
      </c>
      <c r="O159" s="37" t="str">
        <f t="shared" si="38"/>
        <v/>
      </c>
      <c r="P159" s="37" t="str">
        <f t="shared" si="39"/>
        <v/>
      </c>
      <c r="Q159" s="37" t="str">
        <f t="shared" si="40"/>
        <v/>
      </c>
      <c r="R159" s="37" t="str">
        <f t="shared" si="41"/>
        <v/>
      </c>
      <c r="S159" s="38" t="str">
        <f t="shared" si="42"/>
        <v/>
      </c>
      <c r="T159" s="36" t="str">
        <f>IF($H159="","",IFERROR(INDEX('Risk Library'!$N$5:$S$411,MATCH($E159,'Risk Library'!$A$5:$A$411,0),$H159+1),""))</f>
        <v/>
      </c>
      <c r="U159" s="37">
        <f>IFERROR('Physical Safety'!$G$25,"")</f>
        <v>5</v>
      </c>
      <c r="V159" s="37">
        <f>IFERROR('Physical Safety'!$W$25,"")</f>
        <v>4</v>
      </c>
      <c r="W159" s="37">
        <f>IFERROR('Physical Safety'!$X$25,"")</f>
        <v>5</v>
      </c>
      <c r="X159" s="37">
        <f>IFERROR('Physical Safety'!$Y$25,"")</f>
        <v>5</v>
      </c>
      <c r="Y159" s="36" t="s">
        <v>3207</v>
      </c>
      <c r="Z159" s="36" t="s">
        <v>3208</v>
      </c>
      <c r="AA159" s="36" t="s">
        <v>3402</v>
      </c>
      <c r="AB159" s="36">
        <f>IFERROR('Physical Safety'!$U$25,"")</f>
        <v>0</v>
      </c>
      <c r="AC159" s="36"/>
      <c r="AD159" s="36"/>
      <c r="AE159" s="36"/>
      <c r="AF159" s="36" t="s">
        <v>3401</v>
      </c>
      <c r="AO159" s="48" t="str">
        <f>IF($B159="Yes",IFERROR(SUMIFS(_TECH_Crisis_Model!$D$5:$D$191,_TECH_Crisis_Model!$A$5:$A$191,'Crisis Simulator'!$B$4,_TECH_Crisis_Model!$B$5:$B$191,$C159),1),"")</f>
        <v/>
      </c>
      <c r="AP159" s="48" t="str">
        <f t="shared" si="43"/>
        <v/>
      </c>
      <c r="AQ159" s="48" t="str">
        <f t="shared" si="44"/>
        <v/>
      </c>
      <c r="AR159" s="48" t="str">
        <f>IFERROR(INDEX(_TECH_Crisis_Model!$E$5:$E$191,MATCH('Crisis Simulator'!$B$4&amp;"|"&amp;$C159,_TECH_Crisis_Model!$I$5:$I$191,0)),"")</f>
        <v>Employee safety, access control, evacuation and facilities resilience are direct crisis constraints.</v>
      </c>
      <c r="AS159" s="48" t="str">
        <f>IFERROR(INDEX(_TECH_Crisis_Model!$G$5:$G$191,MATCH('Crisis Simulator'!$B$4&amp;"|"&amp;$C159,_TECH_Crisis_Model!$I$5:$I$191,0)),"")</f>
        <v>Implement evacuation, access control, emergency response, site security and travel-risk procedures.</v>
      </c>
      <c r="AT159" s="48" t="str">
        <f>IFERROR(INDEX(_TECH_Initiative_Library!$A$5:$A$76,MATCH(1,INDEX((_TECH_Initiative_Library!$B$5:$B$76=$C159)*(_TECH_Initiative_Library!$C$5:$C$76=$D159),0),0)),"")</f>
        <v>INI-026</v>
      </c>
      <c r="AU159" s="48" t="str">
        <f>IFERROR(INDEX(_TECH_Initiative_Library!$F$5:$F$76,MATCH(1,INDEX((_TECH_Initiative_Library!$B$5:$B$76=$C159)*(_TECH_Initiative_Library!$C$5:$C$76=$D159),0),0)),"")</f>
        <v>Implement physical security and travel risk management</v>
      </c>
      <c r="AV159" s="48" t="str">
        <f ca="1">IFERROR(INDEX(_TECH_Initiative_Library!$AC$5:$AC$76,MATCH(1,INDEX((_TECH_Initiative_Library!$B$5:$B$76=$C159)*(_TECH_Initiative_Library!$C$5:$C$76=$D159),0),0)),"")</f>
        <v/>
      </c>
      <c r="AW159" s="48" t="str">
        <f ca="1">IFERROR(INDEX(_TECH_Initiative_Library!$AE$5:$AE$76,MATCH(1,INDEX((_TECH_Initiative_Library!$B$5:$B$76=$C159)*(_TECH_Initiative_Library!$C$5:$C$76=$D159),0),0)),"")</f>
        <v/>
      </c>
      <c r="AX159" s="48" t="str">
        <f>IF($B159="Yes",IFERROR(SUMIFS(_TECH_Industry_Templates!$E:$E,_TECH_Industry_Templates!$A:$A,'Company Profile'!$B$9,_TECH_Industry_Templates!$B:$B,$C159),1),"")</f>
        <v/>
      </c>
      <c r="AY159" s="48" t="str">
        <f t="shared" si="45"/>
        <v/>
      </c>
      <c r="AZ159" s="48" t="str">
        <f t="shared" si="46"/>
        <v/>
      </c>
      <c r="BA159" s="48" t="str">
        <f>IF($AZ159="","",RANK.EQ($AZ159,$AZ$8:$AZ$414,0)+COUNTIF($AZ$8:$AZ159,$AZ159)-1)</f>
        <v/>
      </c>
    </row>
    <row r="160" spans="1:53" ht="69.95" customHeight="1">
      <c r="A160" s="36" t="str">
        <f>IF($AZ160="","",RANK.EQ($AZ160,$AZ$8:$AZ$414,0)+COUNTIF($AZ$8:$AZ160,$AZ160)-1)</f>
        <v/>
      </c>
      <c r="B160" s="36" t="str">
        <f t="shared" si="33"/>
        <v/>
      </c>
      <c r="C160" s="36" t="s">
        <v>72</v>
      </c>
      <c r="D160" s="36" t="s">
        <v>1242</v>
      </c>
      <c r="E160" s="36" t="s">
        <v>3410</v>
      </c>
      <c r="F160" s="36" t="s">
        <v>189</v>
      </c>
      <c r="G160" s="36" t="str">
        <f>IF($H160="","",IFERROR(INDEX('Risk Library'!$H$5:$M$411,MATCH($E160,'Risk Library'!$A$5:$A$411,0),$H160+1),""))</f>
        <v/>
      </c>
      <c r="H160" s="37" t="str">
        <f>IF(OR(COUNTA('Physical Safety'!$H$26)=0,'Physical Safety'!$H$26="N/A"),"",VALUE('Physical Safety'!$H$26))</f>
        <v/>
      </c>
      <c r="I160" s="36" t="str">
        <f>IF($H160="","",IFERROR(IF('Physical Safety'!$L$26="",IF($H160&lt;=1,"Critical",IF($H160=2,"High",IF($H160=3,"Medium",IF($H160=4,"Low","Resilient")))),'Physical Safety'!$L$26),IF($H160&lt;=1,"Critical",IF($H160=2,"High",IF($H160=3,"Medium",IF($H160=4,"Low","Resilient"))))))</f>
        <v/>
      </c>
      <c r="J160" s="37" t="str">
        <f t="shared" si="34"/>
        <v/>
      </c>
      <c r="K160" s="37" t="str">
        <f t="shared" si="35"/>
        <v/>
      </c>
      <c r="L160" s="37" t="str">
        <f t="shared" si="36"/>
        <v/>
      </c>
      <c r="M160" s="37" t="str">
        <f t="shared" si="37"/>
        <v/>
      </c>
      <c r="N160" s="37" t="str">
        <f>IF($H160="","",IFERROR(INDEX('Risk Library'!$T$5:$Y$411,MATCH($E160,'Risk Library'!$A$5:$A$411,0),$H160+1),""))</f>
        <v/>
      </c>
      <c r="O160" s="37" t="str">
        <f t="shared" si="38"/>
        <v/>
      </c>
      <c r="P160" s="37" t="str">
        <f t="shared" si="39"/>
        <v/>
      </c>
      <c r="Q160" s="37" t="str">
        <f t="shared" si="40"/>
        <v/>
      </c>
      <c r="R160" s="37" t="str">
        <f t="shared" si="41"/>
        <v/>
      </c>
      <c r="S160" s="38" t="str">
        <f t="shared" si="42"/>
        <v/>
      </c>
      <c r="T160" s="36" t="str">
        <f>IF($H160="","",IFERROR(INDEX('Risk Library'!$N$5:$S$411,MATCH($E160,'Risk Library'!$A$5:$A$411,0),$H160+1),""))</f>
        <v/>
      </c>
      <c r="U160" s="37">
        <f>IFERROR('Physical Safety'!$G$26,"")</f>
        <v>5</v>
      </c>
      <c r="V160" s="37">
        <f>IFERROR('Physical Safety'!$W$26,"")</f>
        <v>4</v>
      </c>
      <c r="W160" s="37">
        <f>IFERROR('Physical Safety'!$X$26,"")</f>
        <v>5</v>
      </c>
      <c r="X160" s="37">
        <f>IFERROR('Physical Safety'!$Y$26,"")</f>
        <v>5</v>
      </c>
      <c r="Y160" s="36" t="s">
        <v>3207</v>
      </c>
      <c r="Z160" s="36" t="s">
        <v>3208</v>
      </c>
      <c r="AA160" s="36" t="s">
        <v>3412</v>
      </c>
      <c r="AB160" s="36">
        <f>IFERROR('Physical Safety'!$U$26,"")</f>
        <v>0</v>
      </c>
      <c r="AC160" s="36"/>
      <c r="AD160" s="36"/>
      <c r="AE160" s="36"/>
      <c r="AF160" s="36" t="s">
        <v>3411</v>
      </c>
      <c r="AO160" s="48" t="str">
        <f>IF($B160="Yes",IFERROR(SUMIFS(_TECH_Crisis_Model!$D$5:$D$191,_TECH_Crisis_Model!$A$5:$A$191,'Crisis Simulator'!$B$4,_TECH_Crisis_Model!$B$5:$B$191,$C160),1),"")</f>
        <v/>
      </c>
      <c r="AP160" s="48" t="str">
        <f t="shared" si="43"/>
        <v/>
      </c>
      <c r="AQ160" s="48" t="str">
        <f t="shared" si="44"/>
        <v/>
      </c>
      <c r="AR160" s="48" t="str">
        <f>IFERROR(INDEX(_TECH_Crisis_Model!$E$5:$E$191,MATCH('Crisis Simulator'!$B$4&amp;"|"&amp;$C160,_TECH_Crisis_Model!$I$5:$I$191,0)),"")</f>
        <v>Employee safety, access control, evacuation and facilities resilience are direct crisis constraints.</v>
      </c>
      <c r="AS160" s="48" t="str">
        <f>IFERROR(INDEX(_TECH_Crisis_Model!$G$5:$G$191,MATCH('Crisis Simulator'!$B$4&amp;"|"&amp;$C160,_TECH_Crisis_Model!$I$5:$I$191,0)),"")</f>
        <v>Implement evacuation, access control, emergency response, site security and travel-risk procedures.</v>
      </c>
      <c r="AT160" s="48" t="str">
        <f>IFERROR(INDEX(_TECH_Initiative_Library!$A$5:$A$76,MATCH(1,INDEX((_TECH_Initiative_Library!$B$5:$B$76=$C160)*(_TECH_Initiative_Library!$C$5:$C$76=$D160),0),0)),"")</f>
        <v>INI-026</v>
      </c>
      <c r="AU160" s="48" t="str">
        <f>IFERROR(INDEX(_TECH_Initiative_Library!$F$5:$F$76,MATCH(1,INDEX((_TECH_Initiative_Library!$B$5:$B$76=$C160)*(_TECH_Initiative_Library!$C$5:$C$76=$D160),0),0)),"")</f>
        <v>Implement physical security and travel risk management</v>
      </c>
      <c r="AV160" s="48" t="str">
        <f ca="1">IFERROR(INDEX(_TECH_Initiative_Library!$AC$5:$AC$76,MATCH(1,INDEX((_TECH_Initiative_Library!$B$5:$B$76=$C160)*(_TECH_Initiative_Library!$C$5:$C$76=$D160),0),0)),"")</f>
        <v/>
      </c>
      <c r="AW160" s="48" t="str">
        <f ca="1">IFERROR(INDEX(_TECH_Initiative_Library!$AE$5:$AE$76,MATCH(1,INDEX((_TECH_Initiative_Library!$B$5:$B$76=$C160)*(_TECH_Initiative_Library!$C$5:$C$76=$D160),0),0)),"")</f>
        <v/>
      </c>
      <c r="AX160" s="48" t="str">
        <f>IF($B160="Yes",IFERROR(SUMIFS(_TECH_Industry_Templates!$E:$E,_TECH_Industry_Templates!$A:$A,'Company Profile'!$B$9,_TECH_Industry_Templates!$B:$B,$C160),1),"")</f>
        <v/>
      </c>
      <c r="AY160" s="48" t="str">
        <f t="shared" si="45"/>
        <v/>
      </c>
      <c r="AZ160" s="48" t="str">
        <f t="shared" si="46"/>
        <v/>
      </c>
      <c r="BA160" s="48" t="str">
        <f>IF($AZ160="","",RANK.EQ($AZ160,$AZ$8:$AZ$414,0)+COUNTIF($AZ$8:$AZ160,$AZ160)-1)</f>
        <v/>
      </c>
    </row>
    <row r="161" spans="1:53" ht="69.95" customHeight="1">
      <c r="A161" s="36" t="str">
        <f>IF($AZ161="","",RANK.EQ($AZ161,$AZ$8:$AZ$414,0)+COUNTIF($AZ$8:$AZ161,$AZ161)-1)</f>
        <v/>
      </c>
      <c r="B161" s="36" t="str">
        <f t="shared" si="33"/>
        <v/>
      </c>
      <c r="C161" s="36" t="s">
        <v>72</v>
      </c>
      <c r="D161" s="36" t="s">
        <v>1242</v>
      </c>
      <c r="E161" s="36" t="s">
        <v>3420</v>
      </c>
      <c r="F161" s="36" t="s">
        <v>189</v>
      </c>
      <c r="G161" s="36" t="str">
        <f>IF($H161="","",IFERROR(INDEX('Risk Library'!$H$5:$M$411,MATCH($E161,'Risk Library'!$A$5:$A$411,0),$H161+1),""))</f>
        <v/>
      </c>
      <c r="H161" s="37" t="str">
        <f>IF(OR(COUNTA('Physical Safety'!$H$27)=0,'Physical Safety'!$H$27="N/A"),"",VALUE('Physical Safety'!$H$27))</f>
        <v/>
      </c>
      <c r="I161" s="36" t="str">
        <f>IF($H161="","",IFERROR(IF('Physical Safety'!$L$27="",IF($H161&lt;=1,"Critical",IF($H161=2,"High",IF($H161=3,"Medium",IF($H161=4,"Low","Resilient")))),'Physical Safety'!$L$27),IF($H161&lt;=1,"Critical",IF($H161=2,"High",IF($H161=3,"Medium",IF($H161=4,"Low","Resilient"))))))</f>
        <v/>
      </c>
      <c r="J161" s="37" t="str">
        <f t="shared" si="34"/>
        <v/>
      </c>
      <c r="K161" s="37" t="str">
        <f t="shared" si="35"/>
        <v/>
      </c>
      <c r="L161" s="37" t="str">
        <f t="shared" si="36"/>
        <v/>
      </c>
      <c r="M161" s="37" t="str">
        <f t="shared" si="37"/>
        <v/>
      </c>
      <c r="N161" s="37" t="str">
        <f>IF($H161="","",IFERROR(INDEX('Risk Library'!$T$5:$Y$411,MATCH($E161,'Risk Library'!$A$5:$A$411,0),$H161+1),""))</f>
        <v/>
      </c>
      <c r="O161" s="37" t="str">
        <f t="shared" si="38"/>
        <v/>
      </c>
      <c r="P161" s="37" t="str">
        <f t="shared" si="39"/>
        <v/>
      </c>
      <c r="Q161" s="37" t="str">
        <f t="shared" si="40"/>
        <v/>
      </c>
      <c r="R161" s="37" t="str">
        <f t="shared" si="41"/>
        <v/>
      </c>
      <c r="S161" s="38" t="str">
        <f t="shared" si="42"/>
        <v/>
      </c>
      <c r="T161" s="36" t="str">
        <f>IF($H161="","",IFERROR(INDEX('Risk Library'!$N$5:$S$411,MATCH($E161,'Risk Library'!$A$5:$A$411,0),$H161+1),""))</f>
        <v/>
      </c>
      <c r="U161" s="37">
        <f>IFERROR('Physical Safety'!$G$27,"")</f>
        <v>3</v>
      </c>
      <c r="V161" s="37">
        <f>IFERROR('Physical Safety'!$W$27,"")</f>
        <v>4</v>
      </c>
      <c r="W161" s="37">
        <f>IFERROR('Physical Safety'!$X$27,"")</f>
        <v>5</v>
      </c>
      <c r="X161" s="37">
        <f>IFERROR('Physical Safety'!$Y$27,"")</f>
        <v>5</v>
      </c>
      <c r="Y161" s="36" t="s">
        <v>3207</v>
      </c>
      <c r="Z161" s="36" t="s">
        <v>3208</v>
      </c>
      <c r="AA161" s="36" t="s">
        <v>3422</v>
      </c>
      <c r="AB161" s="36">
        <f>IFERROR('Physical Safety'!$U$27,"")</f>
        <v>0</v>
      </c>
      <c r="AC161" s="36"/>
      <c r="AD161" s="36"/>
      <c r="AE161" s="36"/>
      <c r="AF161" s="36" t="s">
        <v>3421</v>
      </c>
      <c r="AO161" s="48" t="str">
        <f>IF($B161="Yes",IFERROR(SUMIFS(_TECH_Crisis_Model!$D$5:$D$191,_TECH_Crisis_Model!$A$5:$A$191,'Crisis Simulator'!$B$4,_TECH_Crisis_Model!$B$5:$B$191,$C161),1),"")</f>
        <v/>
      </c>
      <c r="AP161" s="48" t="str">
        <f t="shared" si="43"/>
        <v/>
      </c>
      <c r="AQ161" s="48" t="str">
        <f t="shared" si="44"/>
        <v/>
      </c>
      <c r="AR161" s="48" t="str">
        <f>IFERROR(INDEX(_TECH_Crisis_Model!$E$5:$E$191,MATCH('Crisis Simulator'!$B$4&amp;"|"&amp;$C161,_TECH_Crisis_Model!$I$5:$I$191,0)),"")</f>
        <v>Employee safety, access control, evacuation and facilities resilience are direct crisis constraints.</v>
      </c>
      <c r="AS161" s="48" t="str">
        <f>IFERROR(INDEX(_TECH_Crisis_Model!$G$5:$G$191,MATCH('Crisis Simulator'!$B$4&amp;"|"&amp;$C161,_TECH_Crisis_Model!$I$5:$I$191,0)),"")</f>
        <v>Implement evacuation, access control, emergency response, site security and travel-risk procedures.</v>
      </c>
      <c r="AT161" s="48" t="str">
        <f>IFERROR(INDEX(_TECH_Initiative_Library!$A$5:$A$76,MATCH(1,INDEX((_TECH_Initiative_Library!$B$5:$B$76=$C161)*(_TECH_Initiative_Library!$C$5:$C$76=$D161),0),0)),"")</f>
        <v>INI-026</v>
      </c>
      <c r="AU161" s="48" t="str">
        <f>IFERROR(INDEX(_TECH_Initiative_Library!$F$5:$F$76,MATCH(1,INDEX((_TECH_Initiative_Library!$B$5:$B$76=$C161)*(_TECH_Initiative_Library!$C$5:$C$76=$D161),0),0)),"")</f>
        <v>Implement physical security and travel risk management</v>
      </c>
      <c r="AV161" s="48" t="str">
        <f ca="1">IFERROR(INDEX(_TECH_Initiative_Library!$AC$5:$AC$76,MATCH(1,INDEX((_TECH_Initiative_Library!$B$5:$B$76=$C161)*(_TECH_Initiative_Library!$C$5:$C$76=$D161),0),0)),"")</f>
        <v/>
      </c>
      <c r="AW161" s="48" t="str">
        <f ca="1">IFERROR(INDEX(_TECH_Initiative_Library!$AE$5:$AE$76,MATCH(1,INDEX((_TECH_Initiative_Library!$B$5:$B$76=$C161)*(_TECH_Initiative_Library!$C$5:$C$76=$D161),0),0)),"")</f>
        <v/>
      </c>
      <c r="AX161" s="48" t="str">
        <f>IF($B161="Yes",IFERROR(SUMIFS(_TECH_Industry_Templates!$E:$E,_TECH_Industry_Templates!$A:$A,'Company Profile'!$B$9,_TECH_Industry_Templates!$B:$B,$C161),1),"")</f>
        <v/>
      </c>
      <c r="AY161" s="48" t="str">
        <f t="shared" si="45"/>
        <v/>
      </c>
      <c r="AZ161" s="48" t="str">
        <f t="shared" si="46"/>
        <v/>
      </c>
      <c r="BA161" s="48" t="str">
        <f>IF($AZ161="","",RANK.EQ($AZ161,$AZ$8:$AZ$414,0)+COUNTIF($AZ$8:$AZ161,$AZ161)-1)</f>
        <v/>
      </c>
    </row>
    <row r="162" spans="1:53" ht="69.95" customHeight="1">
      <c r="A162" s="36" t="str">
        <f>IF($AZ162="","",RANK.EQ($AZ162,$AZ$8:$AZ$414,0)+COUNTIF($AZ$8:$AZ162,$AZ162)-1)</f>
        <v/>
      </c>
      <c r="B162" s="36" t="str">
        <f t="shared" si="33"/>
        <v/>
      </c>
      <c r="C162" s="36" t="s">
        <v>72</v>
      </c>
      <c r="D162" s="36" t="s">
        <v>1250</v>
      </c>
      <c r="E162" s="36" t="s">
        <v>3430</v>
      </c>
      <c r="F162" s="36" t="s">
        <v>189</v>
      </c>
      <c r="G162" s="36" t="str">
        <f>IF($H162="","",IFERROR(INDEX('Risk Library'!$H$5:$M$411,MATCH($E162,'Risk Library'!$A$5:$A$411,0),$H162+1),""))</f>
        <v/>
      </c>
      <c r="H162" s="37" t="str">
        <f>IF(OR(COUNTA('Physical Safety'!$H$28)=0,'Physical Safety'!$H$28="N/A"),"",VALUE('Physical Safety'!$H$28))</f>
        <v/>
      </c>
      <c r="I162" s="36" t="str">
        <f>IF($H162="","",IFERROR(IF('Physical Safety'!$L$28="",IF($H162&lt;=1,"Critical",IF($H162=2,"High",IF($H162=3,"Medium",IF($H162=4,"Low","Resilient")))),'Physical Safety'!$L$28),IF($H162&lt;=1,"Critical",IF($H162=2,"High",IF($H162=3,"Medium",IF($H162=4,"Low","Resilient"))))))</f>
        <v/>
      </c>
      <c r="J162" s="37" t="str">
        <f t="shared" si="34"/>
        <v/>
      </c>
      <c r="K162" s="37" t="str">
        <f t="shared" si="35"/>
        <v/>
      </c>
      <c r="L162" s="37" t="str">
        <f t="shared" si="36"/>
        <v/>
      </c>
      <c r="M162" s="37" t="str">
        <f t="shared" si="37"/>
        <v/>
      </c>
      <c r="N162" s="37" t="str">
        <f>IF($H162="","",IFERROR(INDEX('Risk Library'!$T$5:$Y$411,MATCH($E162,'Risk Library'!$A$5:$A$411,0),$H162+1),""))</f>
        <v/>
      </c>
      <c r="O162" s="37" t="str">
        <f t="shared" si="38"/>
        <v/>
      </c>
      <c r="P162" s="37" t="str">
        <f t="shared" si="39"/>
        <v/>
      </c>
      <c r="Q162" s="37" t="str">
        <f t="shared" si="40"/>
        <v/>
      </c>
      <c r="R162" s="37" t="str">
        <f t="shared" si="41"/>
        <v/>
      </c>
      <c r="S162" s="38" t="str">
        <f t="shared" si="42"/>
        <v/>
      </c>
      <c r="T162" s="36" t="str">
        <f>IF($H162="","",IFERROR(INDEX('Risk Library'!$N$5:$S$411,MATCH($E162,'Risk Library'!$A$5:$A$411,0),$H162+1),""))</f>
        <v/>
      </c>
      <c r="U162" s="37">
        <f>IFERROR('Physical Safety'!$G$28,"")</f>
        <v>5</v>
      </c>
      <c r="V162" s="37">
        <f>IFERROR('Physical Safety'!$W$28,"")</f>
        <v>5</v>
      </c>
      <c r="W162" s="37">
        <f>IFERROR('Physical Safety'!$X$28,"")</f>
        <v>5</v>
      </c>
      <c r="X162" s="37">
        <f>IFERROR('Physical Safety'!$Y$28,"")</f>
        <v>5</v>
      </c>
      <c r="Y162" s="36" t="s">
        <v>3207</v>
      </c>
      <c r="Z162" s="36" t="s">
        <v>3208</v>
      </c>
      <c r="AA162" s="36" t="s">
        <v>3432</v>
      </c>
      <c r="AB162" s="36">
        <f>IFERROR('Physical Safety'!$U$28,"")</f>
        <v>0</v>
      </c>
      <c r="AC162" s="36"/>
      <c r="AD162" s="36"/>
      <c r="AE162" s="36"/>
      <c r="AF162" s="36" t="s">
        <v>3431</v>
      </c>
      <c r="AO162" s="48" t="str">
        <f>IF($B162="Yes",IFERROR(SUMIFS(_TECH_Crisis_Model!$D$5:$D$191,_TECH_Crisis_Model!$A$5:$A$191,'Crisis Simulator'!$B$4,_TECH_Crisis_Model!$B$5:$B$191,$C162),1),"")</f>
        <v/>
      </c>
      <c r="AP162" s="48" t="str">
        <f t="shared" si="43"/>
        <v/>
      </c>
      <c r="AQ162" s="48" t="str">
        <f t="shared" si="44"/>
        <v/>
      </c>
      <c r="AR162" s="48" t="str">
        <f>IFERROR(INDEX(_TECH_Crisis_Model!$E$5:$E$191,MATCH('Crisis Simulator'!$B$4&amp;"|"&amp;$C162,_TECH_Crisis_Model!$I$5:$I$191,0)),"")</f>
        <v>Employee safety, access control, evacuation and facilities resilience are direct crisis constraints.</v>
      </c>
      <c r="AS162" s="48" t="str">
        <f>IFERROR(INDEX(_TECH_Crisis_Model!$G$5:$G$191,MATCH('Crisis Simulator'!$B$4&amp;"|"&amp;$C162,_TECH_Crisis_Model!$I$5:$I$191,0)),"")</f>
        <v>Implement evacuation, access control, emergency response, site security and travel-risk procedures.</v>
      </c>
      <c r="AT162" s="48" t="str">
        <f>IFERROR(INDEX(_TECH_Initiative_Library!$A$5:$A$76,MATCH(1,INDEX((_TECH_Initiative_Library!$B$5:$B$76=$C162)*(_TECH_Initiative_Library!$C$5:$C$76=$D162),0),0)),"")</f>
        <v>INI-027</v>
      </c>
      <c r="AU162" s="48" t="str">
        <f>IFERROR(INDEX(_TECH_Initiative_Library!$F$5:$F$76,MATCH(1,INDEX((_TECH_Initiative_Library!$B$5:$B$76=$C162)*(_TECH_Initiative_Library!$C$5:$C$76=$D162),0),0)),"")</f>
        <v>Build utilities backup and facility resilience plan</v>
      </c>
      <c r="AV162" s="48" t="str">
        <f ca="1">IFERROR(INDEX(_TECH_Initiative_Library!$AC$5:$AC$76,MATCH(1,INDEX((_TECH_Initiative_Library!$B$5:$B$76=$C162)*(_TECH_Initiative_Library!$C$5:$C$76=$D162),0),0)),"")</f>
        <v/>
      </c>
      <c r="AW162" s="48" t="str">
        <f ca="1">IFERROR(INDEX(_TECH_Initiative_Library!$AE$5:$AE$76,MATCH(1,INDEX((_TECH_Initiative_Library!$B$5:$B$76=$C162)*(_TECH_Initiative_Library!$C$5:$C$76=$D162),0),0)),"")</f>
        <v/>
      </c>
      <c r="AX162" s="48" t="str">
        <f>IF($B162="Yes",IFERROR(SUMIFS(_TECH_Industry_Templates!$E:$E,_TECH_Industry_Templates!$A:$A,'Company Profile'!$B$9,_TECH_Industry_Templates!$B:$B,$C162),1),"")</f>
        <v/>
      </c>
      <c r="AY162" s="48" t="str">
        <f t="shared" si="45"/>
        <v/>
      </c>
      <c r="AZ162" s="48" t="str">
        <f t="shared" si="46"/>
        <v/>
      </c>
      <c r="BA162" s="48" t="str">
        <f>IF($AZ162="","",RANK.EQ($AZ162,$AZ$8:$AZ$414,0)+COUNTIF($AZ$8:$AZ162,$AZ162)-1)</f>
        <v/>
      </c>
    </row>
    <row r="163" spans="1:53" ht="69.95" customHeight="1">
      <c r="A163" s="36" t="str">
        <f>IF($AZ163="","",RANK.EQ($AZ163,$AZ$8:$AZ$414,0)+COUNTIF($AZ$8:$AZ163,$AZ163)-1)</f>
        <v/>
      </c>
      <c r="B163" s="36" t="str">
        <f t="shared" si="33"/>
        <v/>
      </c>
      <c r="C163" s="36" t="s">
        <v>72</v>
      </c>
      <c r="D163" s="36" t="s">
        <v>1250</v>
      </c>
      <c r="E163" s="36" t="s">
        <v>3440</v>
      </c>
      <c r="F163" s="36" t="s">
        <v>189</v>
      </c>
      <c r="G163" s="36" t="str">
        <f>IF($H163="","",IFERROR(INDEX('Risk Library'!$H$5:$M$411,MATCH($E163,'Risk Library'!$A$5:$A$411,0),$H163+1),""))</f>
        <v/>
      </c>
      <c r="H163" s="37" t="str">
        <f>IF(OR(COUNTA('Physical Safety'!$H$29)=0,'Physical Safety'!$H$29="N/A"),"",VALUE('Physical Safety'!$H$29))</f>
        <v/>
      </c>
      <c r="I163" s="36" t="str">
        <f>IF($H163="","",IFERROR(IF('Physical Safety'!$L$29="",IF($H163&lt;=1,"Critical",IF($H163=2,"High",IF($H163=3,"Medium",IF($H163=4,"Low","Resilient")))),'Physical Safety'!$L$29),IF($H163&lt;=1,"Critical",IF($H163=2,"High",IF($H163=3,"Medium",IF($H163=4,"Low","Resilient"))))))</f>
        <v/>
      </c>
      <c r="J163" s="37" t="str">
        <f t="shared" si="34"/>
        <v/>
      </c>
      <c r="K163" s="37" t="str">
        <f t="shared" si="35"/>
        <v/>
      </c>
      <c r="L163" s="37" t="str">
        <f t="shared" si="36"/>
        <v/>
      </c>
      <c r="M163" s="37" t="str">
        <f t="shared" si="37"/>
        <v/>
      </c>
      <c r="N163" s="37" t="str">
        <f>IF($H163="","",IFERROR(INDEX('Risk Library'!$T$5:$Y$411,MATCH($E163,'Risk Library'!$A$5:$A$411,0),$H163+1),""))</f>
        <v/>
      </c>
      <c r="O163" s="37" t="str">
        <f t="shared" si="38"/>
        <v/>
      </c>
      <c r="P163" s="37" t="str">
        <f t="shared" si="39"/>
        <v/>
      </c>
      <c r="Q163" s="37" t="str">
        <f t="shared" si="40"/>
        <v/>
      </c>
      <c r="R163" s="37" t="str">
        <f t="shared" si="41"/>
        <v/>
      </c>
      <c r="S163" s="38" t="str">
        <f t="shared" si="42"/>
        <v/>
      </c>
      <c r="T163" s="36" t="str">
        <f>IF($H163="","",IFERROR(INDEX('Risk Library'!$N$5:$S$411,MATCH($E163,'Risk Library'!$A$5:$A$411,0),$H163+1),""))</f>
        <v/>
      </c>
      <c r="U163" s="37">
        <f>IFERROR('Physical Safety'!$G$29,"")</f>
        <v>5</v>
      </c>
      <c r="V163" s="37">
        <f>IFERROR('Physical Safety'!$W$29,"")</f>
        <v>4</v>
      </c>
      <c r="W163" s="37">
        <f>IFERROR('Physical Safety'!$X$29,"")</f>
        <v>5</v>
      </c>
      <c r="X163" s="37">
        <f>IFERROR('Physical Safety'!$Y$29,"")</f>
        <v>5</v>
      </c>
      <c r="Y163" s="36" t="s">
        <v>3207</v>
      </c>
      <c r="Z163" s="36" t="s">
        <v>3208</v>
      </c>
      <c r="AA163" s="36" t="s">
        <v>3442</v>
      </c>
      <c r="AB163" s="36">
        <f>IFERROR('Physical Safety'!$U$29,"")</f>
        <v>0</v>
      </c>
      <c r="AC163" s="36"/>
      <c r="AD163" s="36"/>
      <c r="AE163" s="36"/>
      <c r="AF163" s="36" t="s">
        <v>3441</v>
      </c>
      <c r="AO163" s="48" t="str">
        <f>IF($B163="Yes",IFERROR(SUMIFS(_TECH_Crisis_Model!$D$5:$D$191,_TECH_Crisis_Model!$A$5:$A$191,'Crisis Simulator'!$B$4,_TECH_Crisis_Model!$B$5:$B$191,$C163),1),"")</f>
        <v/>
      </c>
      <c r="AP163" s="48" t="str">
        <f t="shared" si="43"/>
        <v/>
      </c>
      <c r="AQ163" s="48" t="str">
        <f t="shared" si="44"/>
        <v/>
      </c>
      <c r="AR163" s="48" t="str">
        <f>IFERROR(INDEX(_TECH_Crisis_Model!$E$5:$E$191,MATCH('Crisis Simulator'!$B$4&amp;"|"&amp;$C163,_TECH_Crisis_Model!$I$5:$I$191,0)),"")</f>
        <v>Employee safety, access control, evacuation and facilities resilience are direct crisis constraints.</v>
      </c>
      <c r="AS163" s="48" t="str">
        <f>IFERROR(INDEX(_TECH_Crisis_Model!$G$5:$G$191,MATCH('Crisis Simulator'!$B$4&amp;"|"&amp;$C163,_TECH_Crisis_Model!$I$5:$I$191,0)),"")</f>
        <v>Implement evacuation, access control, emergency response, site security and travel-risk procedures.</v>
      </c>
      <c r="AT163" s="48" t="str">
        <f>IFERROR(INDEX(_TECH_Initiative_Library!$A$5:$A$76,MATCH(1,INDEX((_TECH_Initiative_Library!$B$5:$B$76=$C163)*(_TECH_Initiative_Library!$C$5:$C$76=$D163),0),0)),"")</f>
        <v>INI-027</v>
      </c>
      <c r="AU163" s="48" t="str">
        <f>IFERROR(INDEX(_TECH_Initiative_Library!$F$5:$F$76,MATCH(1,INDEX((_TECH_Initiative_Library!$B$5:$B$76=$C163)*(_TECH_Initiative_Library!$C$5:$C$76=$D163),0),0)),"")</f>
        <v>Build utilities backup and facility resilience plan</v>
      </c>
      <c r="AV163" s="48" t="str">
        <f ca="1">IFERROR(INDEX(_TECH_Initiative_Library!$AC$5:$AC$76,MATCH(1,INDEX((_TECH_Initiative_Library!$B$5:$B$76=$C163)*(_TECH_Initiative_Library!$C$5:$C$76=$D163),0),0)),"")</f>
        <v/>
      </c>
      <c r="AW163" s="48" t="str">
        <f ca="1">IFERROR(INDEX(_TECH_Initiative_Library!$AE$5:$AE$76,MATCH(1,INDEX((_TECH_Initiative_Library!$B$5:$B$76=$C163)*(_TECH_Initiative_Library!$C$5:$C$76=$D163),0),0)),"")</f>
        <v/>
      </c>
      <c r="AX163" s="48" t="str">
        <f>IF($B163="Yes",IFERROR(SUMIFS(_TECH_Industry_Templates!$E:$E,_TECH_Industry_Templates!$A:$A,'Company Profile'!$B$9,_TECH_Industry_Templates!$B:$B,$C163),1),"")</f>
        <v/>
      </c>
      <c r="AY163" s="48" t="str">
        <f t="shared" si="45"/>
        <v/>
      </c>
      <c r="AZ163" s="48" t="str">
        <f t="shared" si="46"/>
        <v/>
      </c>
      <c r="BA163" s="48" t="str">
        <f>IF($AZ163="","",RANK.EQ($AZ163,$AZ$8:$AZ$414,0)+COUNTIF($AZ$8:$AZ163,$AZ163)-1)</f>
        <v/>
      </c>
    </row>
    <row r="164" spans="1:53" ht="69.95" customHeight="1">
      <c r="A164" s="36" t="str">
        <f>IF($AZ164="","",RANK.EQ($AZ164,$AZ$8:$AZ$414,0)+COUNTIF($AZ$8:$AZ164,$AZ164)-1)</f>
        <v/>
      </c>
      <c r="B164" s="36" t="str">
        <f t="shared" si="33"/>
        <v/>
      </c>
      <c r="C164" s="36" t="s">
        <v>72</v>
      </c>
      <c r="D164" s="36" t="s">
        <v>1250</v>
      </c>
      <c r="E164" s="36" t="s">
        <v>3450</v>
      </c>
      <c r="F164" s="36" t="s">
        <v>189</v>
      </c>
      <c r="G164" s="36" t="str">
        <f>IF($H164="","",IFERROR(INDEX('Risk Library'!$H$5:$M$411,MATCH($E164,'Risk Library'!$A$5:$A$411,0),$H164+1),""))</f>
        <v/>
      </c>
      <c r="H164" s="37" t="str">
        <f>IF(OR(COUNTA('Physical Safety'!$H$30)=0,'Physical Safety'!$H$30="N/A"),"",VALUE('Physical Safety'!$H$30))</f>
        <v/>
      </c>
      <c r="I164" s="36" t="str">
        <f>IF($H164="","",IFERROR(IF('Physical Safety'!$L$30="",IF($H164&lt;=1,"Critical",IF($H164=2,"High",IF($H164=3,"Medium",IF($H164=4,"Low","Resilient")))),'Physical Safety'!$L$30),IF($H164&lt;=1,"Critical",IF($H164=2,"High",IF($H164=3,"Medium",IF($H164=4,"Low","Resilient"))))))</f>
        <v/>
      </c>
      <c r="J164" s="37" t="str">
        <f t="shared" si="34"/>
        <v/>
      </c>
      <c r="K164" s="37" t="str">
        <f t="shared" si="35"/>
        <v/>
      </c>
      <c r="L164" s="37" t="str">
        <f t="shared" si="36"/>
        <v/>
      </c>
      <c r="M164" s="37" t="str">
        <f t="shared" si="37"/>
        <v/>
      </c>
      <c r="N164" s="37" t="str">
        <f>IF($H164="","",IFERROR(INDEX('Risk Library'!$T$5:$Y$411,MATCH($E164,'Risk Library'!$A$5:$A$411,0),$H164+1),""))</f>
        <v/>
      </c>
      <c r="O164" s="37" t="str">
        <f t="shared" si="38"/>
        <v/>
      </c>
      <c r="P164" s="37" t="str">
        <f t="shared" si="39"/>
        <v/>
      </c>
      <c r="Q164" s="37" t="str">
        <f t="shared" si="40"/>
        <v/>
      </c>
      <c r="R164" s="37" t="str">
        <f t="shared" si="41"/>
        <v/>
      </c>
      <c r="S164" s="38" t="str">
        <f t="shared" si="42"/>
        <v/>
      </c>
      <c r="T164" s="36" t="str">
        <f>IF($H164="","",IFERROR(INDEX('Risk Library'!$N$5:$S$411,MATCH($E164,'Risk Library'!$A$5:$A$411,0),$H164+1),""))</f>
        <v/>
      </c>
      <c r="U164" s="37">
        <f>IFERROR('Physical Safety'!$G$30,"")</f>
        <v>5</v>
      </c>
      <c r="V164" s="37">
        <f>IFERROR('Physical Safety'!$W$30,"")</f>
        <v>5</v>
      </c>
      <c r="W164" s="37">
        <f>IFERROR('Physical Safety'!$X$30,"")</f>
        <v>5</v>
      </c>
      <c r="X164" s="37">
        <f>IFERROR('Physical Safety'!$Y$30,"")</f>
        <v>5</v>
      </c>
      <c r="Y164" s="36" t="s">
        <v>3207</v>
      </c>
      <c r="Z164" s="36" t="s">
        <v>3208</v>
      </c>
      <c r="AA164" s="36" t="s">
        <v>3452</v>
      </c>
      <c r="AB164" s="36">
        <f>IFERROR('Physical Safety'!$U$30,"")</f>
        <v>0</v>
      </c>
      <c r="AC164" s="36"/>
      <c r="AD164" s="36"/>
      <c r="AE164" s="36"/>
      <c r="AF164" s="36" t="s">
        <v>3451</v>
      </c>
      <c r="AO164" s="48" t="str">
        <f>IF($B164="Yes",IFERROR(SUMIFS(_TECH_Crisis_Model!$D$5:$D$191,_TECH_Crisis_Model!$A$5:$A$191,'Crisis Simulator'!$B$4,_TECH_Crisis_Model!$B$5:$B$191,$C164),1),"")</f>
        <v/>
      </c>
      <c r="AP164" s="48" t="str">
        <f t="shared" si="43"/>
        <v/>
      </c>
      <c r="AQ164" s="48" t="str">
        <f t="shared" si="44"/>
        <v/>
      </c>
      <c r="AR164" s="48" t="str">
        <f>IFERROR(INDEX(_TECH_Crisis_Model!$E$5:$E$191,MATCH('Crisis Simulator'!$B$4&amp;"|"&amp;$C164,_TECH_Crisis_Model!$I$5:$I$191,0)),"")</f>
        <v>Employee safety, access control, evacuation and facilities resilience are direct crisis constraints.</v>
      </c>
      <c r="AS164" s="48" t="str">
        <f>IFERROR(INDEX(_TECH_Crisis_Model!$G$5:$G$191,MATCH('Crisis Simulator'!$B$4&amp;"|"&amp;$C164,_TECH_Crisis_Model!$I$5:$I$191,0)),"")</f>
        <v>Implement evacuation, access control, emergency response, site security and travel-risk procedures.</v>
      </c>
      <c r="AT164" s="48" t="str">
        <f>IFERROR(INDEX(_TECH_Initiative_Library!$A$5:$A$76,MATCH(1,INDEX((_TECH_Initiative_Library!$B$5:$B$76=$C164)*(_TECH_Initiative_Library!$C$5:$C$76=$D164),0),0)),"")</f>
        <v>INI-027</v>
      </c>
      <c r="AU164" s="48" t="str">
        <f>IFERROR(INDEX(_TECH_Initiative_Library!$F$5:$F$76,MATCH(1,INDEX((_TECH_Initiative_Library!$B$5:$B$76=$C164)*(_TECH_Initiative_Library!$C$5:$C$76=$D164),0),0)),"")</f>
        <v>Build utilities backup and facility resilience plan</v>
      </c>
      <c r="AV164" s="48" t="str">
        <f ca="1">IFERROR(INDEX(_TECH_Initiative_Library!$AC$5:$AC$76,MATCH(1,INDEX((_TECH_Initiative_Library!$B$5:$B$76=$C164)*(_TECH_Initiative_Library!$C$5:$C$76=$D164),0),0)),"")</f>
        <v/>
      </c>
      <c r="AW164" s="48" t="str">
        <f ca="1">IFERROR(INDEX(_TECH_Initiative_Library!$AE$5:$AE$76,MATCH(1,INDEX((_TECH_Initiative_Library!$B$5:$B$76=$C164)*(_TECH_Initiative_Library!$C$5:$C$76=$D164),0),0)),"")</f>
        <v/>
      </c>
      <c r="AX164" s="48" t="str">
        <f>IF($B164="Yes",IFERROR(SUMIFS(_TECH_Industry_Templates!$E:$E,_TECH_Industry_Templates!$A:$A,'Company Profile'!$B$9,_TECH_Industry_Templates!$B:$B,$C164),1),"")</f>
        <v/>
      </c>
      <c r="AY164" s="48" t="str">
        <f t="shared" si="45"/>
        <v/>
      </c>
      <c r="AZ164" s="48" t="str">
        <f t="shared" si="46"/>
        <v/>
      </c>
      <c r="BA164" s="48" t="str">
        <f>IF($AZ164="","",RANK.EQ($AZ164,$AZ$8:$AZ$414,0)+COUNTIF($AZ$8:$AZ164,$AZ164)-1)</f>
        <v/>
      </c>
    </row>
    <row r="165" spans="1:53" ht="69.95" customHeight="1">
      <c r="A165" s="36" t="str">
        <f>IF($AZ165="","",RANK.EQ($AZ165,$AZ$8:$AZ$414,0)+COUNTIF($AZ$8:$AZ165,$AZ165)-1)</f>
        <v/>
      </c>
      <c r="B165" s="36" t="str">
        <f t="shared" si="33"/>
        <v/>
      </c>
      <c r="C165" s="36" t="s">
        <v>72</v>
      </c>
      <c r="D165" s="36" t="s">
        <v>1250</v>
      </c>
      <c r="E165" s="36" t="s">
        <v>3460</v>
      </c>
      <c r="F165" s="36" t="s">
        <v>189</v>
      </c>
      <c r="G165" s="36" t="str">
        <f>IF($H165="","",IFERROR(INDEX('Risk Library'!$H$5:$M$411,MATCH($E165,'Risk Library'!$A$5:$A$411,0),$H165+1),""))</f>
        <v/>
      </c>
      <c r="H165" s="37" t="str">
        <f>IF(OR(COUNTA('Physical Safety'!$H$31)=0,'Physical Safety'!$H$31="N/A"),"",VALUE('Physical Safety'!$H$31))</f>
        <v/>
      </c>
      <c r="I165" s="36" t="str">
        <f>IF($H165="","",IFERROR(IF('Physical Safety'!$L$31="",IF($H165&lt;=1,"Critical",IF($H165=2,"High",IF($H165=3,"Medium",IF($H165=4,"Low","Resilient")))),'Physical Safety'!$L$31),IF($H165&lt;=1,"Critical",IF($H165=2,"High",IF($H165=3,"Medium",IF($H165=4,"Low","Resilient"))))))</f>
        <v/>
      </c>
      <c r="J165" s="37" t="str">
        <f t="shared" si="34"/>
        <v/>
      </c>
      <c r="K165" s="37" t="str">
        <f t="shared" si="35"/>
        <v/>
      </c>
      <c r="L165" s="37" t="str">
        <f t="shared" si="36"/>
        <v/>
      </c>
      <c r="M165" s="37" t="str">
        <f t="shared" si="37"/>
        <v/>
      </c>
      <c r="N165" s="37" t="str">
        <f>IF($H165="","",IFERROR(INDEX('Risk Library'!$T$5:$Y$411,MATCH($E165,'Risk Library'!$A$5:$A$411,0),$H165+1),""))</f>
        <v/>
      </c>
      <c r="O165" s="37" t="str">
        <f t="shared" si="38"/>
        <v/>
      </c>
      <c r="P165" s="37" t="str">
        <f t="shared" si="39"/>
        <v/>
      </c>
      <c r="Q165" s="37" t="str">
        <f t="shared" si="40"/>
        <v/>
      </c>
      <c r="R165" s="37" t="str">
        <f t="shared" si="41"/>
        <v/>
      </c>
      <c r="S165" s="38" t="str">
        <f t="shared" si="42"/>
        <v/>
      </c>
      <c r="T165" s="36" t="str">
        <f>IF($H165="","",IFERROR(INDEX('Risk Library'!$N$5:$S$411,MATCH($E165,'Risk Library'!$A$5:$A$411,0),$H165+1),""))</f>
        <v/>
      </c>
      <c r="U165" s="37">
        <f>IFERROR('Physical Safety'!$G$31,"")</f>
        <v>5</v>
      </c>
      <c r="V165" s="37">
        <f>IFERROR('Physical Safety'!$W$31,"")</f>
        <v>4</v>
      </c>
      <c r="W165" s="37">
        <f>IFERROR('Physical Safety'!$X$31,"")</f>
        <v>5</v>
      </c>
      <c r="X165" s="37">
        <f>IFERROR('Physical Safety'!$Y$31,"")</f>
        <v>5</v>
      </c>
      <c r="Y165" s="36" t="s">
        <v>3207</v>
      </c>
      <c r="Z165" s="36" t="s">
        <v>3208</v>
      </c>
      <c r="AA165" s="36" t="s">
        <v>3462</v>
      </c>
      <c r="AB165" s="36">
        <f>IFERROR('Physical Safety'!$U$31,"")</f>
        <v>0</v>
      </c>
      <c r="AC165" s="36"/>
      <c r="AD165" s="36"/>
      <c r="AE165" s="36"/>
      <c r="AF165" s="36" t="s">
        <v>3461</v>
      </c>
      <c r="AO165" s="48" t="str">
        <f>IF($B165="Yes",IFERROR(SUMIFS(_TECH_Crisis_Model!$D$5:$D$191,_TECH_Crisis_Model!$A$5:$A$191,'Crisis Simulator'!$B$4,_TECH_Crisis_Model!$B$5:$B$191,$C165),1),"")</f>
        <v/>
      </c>
      <c r="AP165" s="48" t="str">
        <f t="shared" si="43"/>
        <v/>
      </c>
      <c r="AQ165" s="48" t="str">
        <f t="shared" si="44"/>
        <v/>
      </c>
      <c r="AR165" s="48" t="str">
        <f>IFERROR(INDEX(_TECH_Crisis_Model!$E$5:$E$191,MATCH('Crisis Simulator'!$B$4&amp;"|"&amp;$C165,_TECH_Crisis_Model!$I$5:$I$191,0)),"")</f>
        <v>Employee safety, access control, evacuation and facilities resilience are direct crisis constraints.</v>
      </c>
      <c r="AS165" s="48" t="str">
        <f>IFERROR(INDEX(_TECH_Crisis_Model!$G$5:$G$191,MATCH('Crisis Simulator'!$B$4&amp;"|"&amp;$C165,_TECH_Crisis_Model!$I$5:$I$191,0)),"")</f>
        <v>Implement evacuation, access control, emergency response, site security and travel-risk procedures.</v>
      </c>
      <c r="AT165" s="48" t="str">
        <f>IFERROR(INDEX(_TECH_Initiative_Library!$A$5:$A$76,MATCH(1,INDEX((_TECH_Initiative_Library!$B$5:$B$76=$C165)*(_TECH_Initiative_Library!$C$5:$C$76=$D165),0),0)),"")</f>
        <v>INI-027</v>
      </c>
      <c r="AU165" s="48" t="str">
        <f>IFERROR(INDEX(_TECH_Initiative_Library!$F$5:$F$76,MATCH(1,INDEX((_TECH_Initiative_Library!$B$5:$B$76=$C165)*(_TECH_Initiative_Library!$C$5:$C$76=$D165),0),0)),"")</f>
        <v>Build utilities backup and facility resilience plan</v>
      </c>
      <c r="AV165" s="48" t="str">
        <f ca="1">IFERROR(INDEX(_TECH_Initiative_Library!$AC$5:$AC$76,MATCH(1,INDEX((_TECH_Initiative_Library!$B$5:$B$76=$C165)*(_TECH_Initiative_Library!$C$5:$C$76=$D165),0),0)),"")</f>
        <v/>
      </c>
      <c r="AW165" s="48" t="str">
        <f ca="1">IFERROR(INDEX(_TECH_Initiative_Library!$AE$5:$AE$76,MATCH(1,INDEX((_TECH_Initiative_Library!$B$5:$B$76=$C165)*(_TECH_Initiative_Library!$C$5:$C$76=$D165),0),0)),"")</f>
        <v/>
      </c>
      <c r="AX165" s="48" t="str">
        <f>IF($B165="Yes",IFERROR(SUMIFS(_TECH_Industry_Templates!$E:$E,_TECH_Industry_Templates!$A:$A,'Company Profile'!$B$9,_TECH_Industry_Templates!$B:$B,$C165),1),"")</f>
        <v/>
      </c>
      <c r="AY165" s="48" t="str">
        <f t="shared" si="45"/>
        <v/>
      </c>
      <c r="AZ165" s="48" t="str">
        <f t="shared" si="46"/>
        <v/>
      </c>
      <c r="BA165" s="48" t="str">
        <f>IF($AZ165="","",RANK.EQ($AZ165,$AZ$8:$AZ$414,0)+COUNTIF($AZ$8:$AZ165,$AZ165)-1)</f>
        <v/>
      </c>
    </row>
    <row r="166" spans="1:53" ht="69.95" customHeight="1">
      <c r="A166" s="36" t="str">
        <f>IF($AZ166="","",RANK.EQ($AZ166,$AZ$8:$AZ$414,0)+COUNTIF($AZ$8:$AZ166,$AZ166)-1)</f>
        <v/>
      </c>
      <c r="B166" s="36" t="str">
        <f t="shared" si="33"/>
        <v/>
      </c>
      <c r="C166" s="36" t="s">
        <v>72</v>
      </c>
      <c r="D166" s="36" t="s">
        <v>1250</v>
      </c>
      <c r="E166" s="36" t="s">
        <v>3470</v>
      </c>
      <c r="F166" s="36" t="s">
        <v>189</v>
      </c>
      <c r="G166" s="36" t="str">
        <f>IF($H166="","",IFERROR(INDEX('Risk Library'!$H$5:$M$411,MATCH($E166,'Risk Library'!$A$5:$A$411,0),$H166+1),""))</f>
        <v/>
      </c>
      <c r="H166" s="37" t="str">
        <f>IF(OR(COUNTA('Physical Safety'!$H$32)=0,'Physical Safety'!$H$32="N/A"),"",VALUE('Physical Safety'!$H$32))</f>
        <v/>
      </c>
      <c r="I166" s="36" t="str">
        <f>IF($H166="","",IFERROR(IF('Physical Safety'!$L$32="",IF($H166&lt;=1,"Critical",IF($H166=2,"High",IF($H166=3,"Medium",IF($H166=4,"Low","Resilient")))),'Physical Safety'!$L$32),IF($H166&lt;=1,"Critical",IF($H166=2,"High",IF($H166=3,"Medium",IF($H166=4,"Low","Resilient"))))))</f>
        <v/>
      </c>
      <c r="J166" s="37" t="str">
        <f t="shared" si="34"/>
        <v/>
      </c>
      <c r="K166" s="37" t="str">
        <f t="shared" si="35"/>
        <v/>
      </c>
      <c r="L166" s="37" t="str">
        <f t="shared" si="36"/>
        <v/>
      </c>
      <c r="M166" s="37" t="str">
        <f t="shared" si="37"/>
        <v/>
      </c>
      <c r="N166" s="37" t="str">
        <f>IF($H166="","",IFERROR(INDEX('Risk Library'!$T$5:$Y$411,MATCH($E166,'Risk Library'!$A$5:$A$411,0),$H166+1),""))</f>
        <v/>
      </c>
      <c r="O166" s="37" t="str">
        <f t="shared" si="38"/>
        <v/>
      </c>
      <c r="P166" s="37" t="str">
        <f t="shared" si="39"/>
        <v/>
      </c>
      <c r="Q166" s="37" t="str">
        <f t="shared" si="40"/>
        <v/>
      </c>
      <c r="R166" s="37" t="str">
        <f t="shared" si="41"/>
        <v/>
      </c>
      <c r="S166" s="38" t="str">
        <f t="shared" si="42"/>
        <v/>
      </c>
      <c r="T166" s="36" t="str">
        <f>IF($H166="","",IFERROR(INDEX('Risk Library'!$N$5:$S$411,MATCH($E166,'Risk Library'!$A$5:$A$411,0),$H166+1),""))</f>
        <v/>
      </c>
      <c r="U166" s="37">
        <f>IFERROR('Physical Safety'!$G$32,"")</f>
        <v>5</v>
      </c>
      <c r="V166" s="37">
        <f>IFERROR('Physical Safety'!$W$32,"")</f>
        <v>4</v>
      </c>
      <c r="W166" s="37">
        <f>IFERROR('Physical Safety'!$X$32,"")</f>
        <v>5</v>
      </c>
      <c r="X166" s="37">
        <f>IFERROR('Physical Safety'!$Y$32,"")</f>
        <v>5</v>
      </c>
      <c r="Y166" s="36" t="s">
        <v>3207</v>
      </c>
      <c r="Z166" s="36" t="s">
        <v>3208</v>
      </c>
      <c r="AA166" s="36" t="s">
        <v>3472</v>
      </c>
      <c r="AB166" s="36">
        <f>IFERROR('Physical Safety'!$U$32,"")</f>
        <v>0</v>
      </c>
      <c r="AC166" s="36"/>
      <c r="AD166" s="36"/>
      <c r="AE166" s="36"/>
      <c r="AF166" s="36" t="s">
        <v>3471</v>
      </c>
      <c r="AO166" s="48" t="str">
        <f>IF($B166="Yes",IFERROR(SUMIFS(_TECH_Crisis_Model!$D$5:$D$191,_TECH_Crisis_Model!$A$5:$A$191,'Crisis Simulator'!$B$4,_TECH_Crisis_Model!$B$5:$B$191,$C166),1),"")</f>
        <v/>
      </c>
      <c r="AP166" s="48" t="str">
        <f t="shared" si="43"/>
        <v/>
      </c>
      <c r="AQ166" s="48" t="str">
        <f t="shared" si="44"/>
        <v/>
      </c>
      <c r="AR166" s="48" t="str">
        <f>IFERROR(INDEX(_TECH_Crisis_Model!$E$5:$E$191,MATCH('Crisis Simulator'!$B$4&amp;"|"&amp;$C166,_TECH_Crisis_Model!$I$5:$I$191,0)),"")</f>
        <v>Employee safety, access control, evacuation and facilities resilience are direct crisis constraints.</v>
      </c>
      <c r="AS166" s="48" t="str">
        <f>IFERROR(INDEX(_TECH_Crisis_Model!$G$5:$G$191,MATCH('Crisis Simulator'!$B$4&amp;"|"&amp;$C166,_TECH_Crisis_Model!$I$5:$I$191,0)),"")</f>
        <v>Implement evacuation, access control, emergency response, site security and travel-risk procedures.</v>
      </c>
      <c r="AT166" s="48" t="str">
        <f>IFERROR(INDEX(_TECH_Initiative_Library!$A$5:$A$76,MATCH(1,INDEX((_TECH_Initiative_Library!$B$5:$B$76=$C166)*(_TECH_Initiative_Library!$C$5:$C$76=$D166),0),0)),"")</f>
        <v>INI-027</v>
      </c>
      <c r="AU166" s="48" t="str">
        <f>IFERROR(INDEX(_TECH_Initiative_Library!$F$5:$F$76,MATCH(1,INDEX((_TECH_Initiative_Library!$B$5:$B$76=$C166)*(_TECH_Initiative_Library!$C$5:$C$76=$D166),0),0)),"")</f>
        <v>Build utilities backup and facility resilience plan</v>
      </c>
      <c r="AV166" s="48" t="str">
        <f ca="1">IFERROR(INDEX(_TECH_Initiative_Library!$AC$5:$AC$76,MATCH(1,INDEX((_TECH_Initiative_Library!$B$5:$B$76=$C166)*(_TECH_Initiative_Library!$C$5:$C$76=$D166),0),0)),"")</f>
        <v/>
      </c>
      <c r="AW166" s="48" t="str">
        <f ca="1">IFERROR(INDEX(_TECH_Initiative_Library!$AE$5:$AE$76,MATCH(1,INDEX((_TECH_Initiative_Library!$B$5:$B$76=$C166)*(_TECH_Initiative_Library!$C$5:$C$76=$D166),0),0)),"")</f>
        <v/>
      </c>
      <c r="AX166" s="48" t="str">
        <f>IF($B166="Yes",IFERROR(SUMIFS(_TECH_Industry_Templates!$E:$E,_TECH_Industry_Templates!$A:$A,'Company Profile'!$B$9,_TECH_Industry_Templates!$B:$B,$C166),1),"")</f>
        <v/>
      </c>
      <c r="AY166" s="48" t="str">
        <f t="shared" si="45"/>
        <v/>
      </c>
      <c r="AZ166" s="48" t="str">
        <f t="shared" si="46"/>
        <v/>
      </c>
      <c r="BA166" s="48" t="str">
        <f>IF($AZ166="","",RANK.EQ($AZ166,$AZ$8:$AZ$414,0)+COUNTIF($AZ$8:$AZ166,$AZ166)-1)</f>
        <v/>
      </c>
    </row>
    <row r="167" spans="1:53" ht="69.95" customHeight="1">
      <c r="A167" s="36" t="str">
        <f>IF($AZ167="","",RANK.EQ($AZ167,$AZ$8:$AZ$414,0)+COUNTIF($AZ$8:$AZ167,$AZ167)-1)</f>
        <v/>
      </c>
      <c r="B167" s="36" t="str">
        <f t="shared" si="33"/>
        <v/>
      </c>
      <c r="C167" s="36" t="s">
        <v>75</v>
      </c>
      <c r="D167" s="36" t="s">
        <v>1258</v>
      </c>
      <c r="E167" s="36" t="s">
        <v>3482</v>
      </c>
      <c r="F167" s="36" t="s">
        <v>190</v>
      </c>
      <c r="G167" s="36" t="str">
        <f>IF($H167="","",IFERROR(INDEX('Risk Library'!$H$5:$M$411,MATCH($E167,'Risk Library'!$A$5:$A$411,0),$H167+1),""))</f>
        <v/>
      </c>
      <c r="H167" s="37" t="str">
        <f>IF(OR(COUNTA('Delivery Ops'!$H$5)=0,'Delivery Ops'!$H$5="N/A"),"",VALUE('Delivery Ops'!$H$5))</f>
        <v/>
      </c>
      <c r="I167" s="36" t="str">
        <f>IF($H167="","",IFERROR(IF('Delivery Ops'!$L$5="",IF($H167&lt;=1,"Critical",IF($H167=2,"High",IF($H167=3,"Medium",IF($H167=4,"Low","Resilient")))),'Delivery Ops'!$L$5),IF($H167&lt;=1,"Critical",IF($H167=2,"High",IF($H167=3,"Medium",IF($H167=4,"Low","Resilient"))))))</f>
        <v/>
      </c>
      <c r="J167" s="37" t="str">
        <f t="shared" si="34"/>
        <v/>
      </c>
      <c r="K167" s="37" t="str">
        <f t="shared" si="35"/>
        <v/>
      </c>
      <c r="L167" s="37" t="str">
        <f t="shared" si="36"/>
        <v/>
      </c>
      <c r="M167" s="37" t="str">
        <f t="shared" si="37"/>
        <v/>
      </c>
      <c r="N167" s="37" t="str">
        <f>IF($H167="","",IFERROR(INDEX('Risk Library'!$T$5:$Y$411,MATCH($E167,'Risk Library'!$A$5:$A$411,0),$H167+1),""))</f>
        <v/>
      </c>
      <c r="O167" s="37" t="str">
        <f t="shared" si="38"/>
        <v/>
      </c>
      <c r="P167" s="37" t="str">
        <f t="shared" si="39"/>
        <v/>
      </c>
      <c r="Q167" s="37" t="str">
        <f t="shared" si="40"/>
        <v/>
      </c>
      <c r="R167" s="37" t="str">
        <f t="shared" si="41"/>
        <v/>
      </c>
      <c r="S167" s="38" t="str">
        <f t="shared" si="42"/>
        <v/>
      </c>
      <c r="T167" s="36" t="str">
        <f>IF($H167="","",IFERROR(INDEX('Risk Library'!$N$5:$S$411,MATCH($E167,'Risk Library'!$A$5:$A$411,0),$H167+1),""))</f>
        <v/>
      </c>
      <c r="U167" s="37">
        <f>IFERROR('Delivery Ops'!$G$5,"")</f>
        <v>5</v>
      </c>
      <c r="V167" s="37">
        <f>IFERROR('Delivery Ops'!$W$5,"")</f>
        <v>4</v>
      </c>
      <c r="W167" s="37">
        <f>IFERROR('Delivery Ops'!$X$5,"")</f>
        <v>5</v>
      </c>
      <c r="X167" s="37">
        <f>IFERROR('Delivery Ops'!$Y$5,"")</f>
        <v>5</v>
      </c>
      <c r="Y167" s="36" t="s">
        <v>3493</v>
      </c>
      <c r="Z167" s="36" t="s">
        <v>3494</v>
      </c>
      <c r="AA167" s="36" t="s">
        <v>3486</v>
      </c>
      <c r="AB167" s="36">
        <f>IFERROR('Delivery Ops'!$U$5,"")</f>
        <v>0</v>
      </c>
      <c r="AC167" s="36"/>
      <c r="AD167" s="36"/>
      <c r="AE167" s="36"/>
      <c r="AF167" s="36" t="s">
        <v>3483</v>
      </c>
      <c r="AO167" s="48" t="str">
        <f>IF($B167="Yes",IFERROR(SUMIFS(_TECH_Crisis_Model!$D$5:$D$191,_TECH_Crisis_Model!$A$5:$A$191,'Crisis Simulator'!$B$4,_TECH_Crisis_Model!$B$5:$B$191,$C167),1),"")</f>
        <v/>
      </c>
      <c r="AP167" s="48" t="str">
        <f t="shared" si="43"/>
        <v/>
      </c>
      <c r="AQ167" s="48" t="str">
        <f t="shared" si="44"/>
        <v/>
      </c>
      <c r="AR167" s="48" t="str">
        <f>IFERROR(INDEX(_TECH_Crisis_Model!$E$5:$E$191,MATCH('Crisis Simulator'!$B$4&amp;"|"&amp;$C167,_TECH_Crisis_Model!$I$5:$I$191,0)),"")</f>
        <v>Delivery capacity, SLA control and operational handover determine customer continuity.</v>
      </c>
      <c r="AS167" s="48" t="str">
        <f>IFERROR(INDEX(_TECH_Crisis_Model!$G$5:$G$191,MATCH('Crisis Simulator'!$B$4&amp;"|"&amp;$C167,_TECH_Crisis_Model!$I$5:$I$191,0)),"")</f>
        <v>Define alternative delivery models, capacity buffers, SLA triage and incident recovery procedures.</v>
      </c>
      <c r="AT167" s="48" t="str">
        <f>IFERROR(INDEX(_TECH_Initiative_Library!$A$5:$A$76,MATCH(1,INDEX((_TECH_Initiative_Library!$B$5:$B$76=$C167)*(_TECH_Initiative_Library!$C$5:$C$76=$D167),0),0)),"")</f>
        <v>INI-028</v>
      </c>
      <c r="AU167" s="48" t="str">
        <f>IFERROR(INDEX(_TECH_Initiative_Library!$F$5:$F$76,MATCH(1,INDEX((_TECH_Initiative_Library!$B$5:$B$76=$C167)*(_TECH_Initiative_Library!$C$5:$C$76=$D167),0),0)),"")</f>
        <v>Standardize delivery governance, ownership and escalation</v>
      </c>
      <c r="AV167" s="48" t="str">
        <f ca="1">IFERROR(INDEX(_TECH_Initiative_Library!$AC$5:$AC$76,MATCH(1,INDEX((_TECH_Initiative_Library!$B$5:$B$76=$C167)*(_TECH_Initiative_Library!$C$5:$C$76=$D167),0),0)),"")</f>
        <v/>
      </c>
      <c r="AW167" s="48" t="str">
        <f ca="1">IFERROR(INDEX(_TECH_Initiative_Library!$AE$5:$AE$76,MATCH(1,INDEX((_TECH_Initiative_Library!$B$5:$B$76=$C167)*(_TECH_Initiative_Library!$C$5:$C$76=$D167),0),0)),"")</f>
        <v/>
      </c>
      <c r="AX167" s="48" t="str">
        <f>IF($B167="Yes",IFERROR(SUMIFS(_TECH_Industry_Templates!$E:$E,_TECH_Industry_Templates!$A:$A,'Company Profile'!$B$9,_TECH_Industry_Templates!$B:$B,$C167),1),"")</f>
        <v/>
      </c>
      <c r="AY167" s="48" t="str">
        <f t="shared" si="45"/>
        <v/>
      </c>
      <c r="AZ167" s="48" t="str">
        <f t="shared" si="46"/>
        <v/>
      </c>
      <c r="BA167" s="48" t="str">
        <f>IF($AZ167="","",RANK.EQ($AZ167,$AZ$8:$AZ$414,0)+COUNTIF($AZ$8:$AZ167,$AZ167)-1)</f>
        <v/>
      </c>
    </row>
    <row r="168" spans="1:53" ht="69.95" customHeight="1">
      <c r="A168" s="36" t="str">
        <f>IF($AZ168="","",RANK.EQ($AZ168,$AZ$8:$AZ$414,0)+COUNTIF($AZ$8:$AZ168,$AZ168)-1)</f>
        <v/>
      </c>
      <c r="B168" s="36" t="str">
        <f t="shared" si="33"/>
        <v/>
      </c>
      <c r="C168" s="36" t="s">
        <v>75</v>
      </c>
      <c r="D168" s="36" t="s">
        <v>1258</v>
      </c>
      <c r="E168" s="36" t="s">
        <v>3496</v>
      </c>
      <c r="F168" s="36" t="s">
        <v>190</v>
      </c>
      <c r="G168" s="36" t="str">
        <f>IF($H168="","",IFERROR(INDEX('Risk Library'!$H$5:$M$411,MATCH($E168,'Risk Library'!$A$5:$A$411,0),$H168+1),""))</f>
        <v/>
      </c>
      <c r="H168" s="37" t="str">
        <f>IF(OR(COUNTA('Delivery Ops'!$H$6)=0,'Delivery Ops'!$H$6="N/A"),"",VALUE('Delivery Ops'!$H$6))</f>
        <v/>
      </c>
      <c r="I168" s="36" t="str">
        <f>IF($H168="","",IFERROR(IF('Delivery Ops'!$L$6="",IF($H168&lt;=1,"Critical",IF($H168=2,"High",IF($H168=3,"Medium",IF($H168=4,"Low","Resilient")))),'Delivery Ops'!$L$6),IF($H168&lt;=1,"Critical",IF($H168=2,"High",IF($H168=3,"Medium",IF($H168=4,"Low","Resilient"))))))</f>
        <v/>
      </c>
      <c r="J168" s="37" t="str">
        <f t="shared" si="34"/>
        <v/>
      </c>
      <c r="K168" s="37" t="str">
        <f t="shared" si="35"/>
        <v/>
      </c>
      <c r="L168" s="37" t="str">
        <f t="shared" si="36"/>
        <v/>
      </c>
      <c r="M168" s="37" t="str">
        <f t="shared" si="37"/>
        <v/>
      </c>
      <c r="N168" s="37" t="str">
        <f>IF($H168="","",IFERROR(INDEX('Risk Library'!$T$5:$Y$411,MATCH($E168,'Risk Library'!$A$5:$A$411,0),$H168+1),""))</f>
        <v/>
      </c>
      <c r="O168" s="37" t="str">
        <f t="shared" si="38"/>
        <v/>
      </c>
      <c r="P168" s="37" t="str">
        <f t="shared" si="39"/>
        <v/>
      </c>
      <c r="Q168" s="37" t="str">
        <f t="shared" si="40"/>
        <v/>
      </c>
      <c r="R168" s="37" t="str">
        <f t="shared" si="41"/>
        <v/>
      </c>
      <c r="S168" s="38" t="str">
        <f t="shared" si="42"/>
        <v/>
      </c>
      <c r="T168" s="36" t="str">
        <f>IF($H168="","",IFERROR(INDEX('Risk Library'!$N$5:$S$411,MATCH($E168,'Risk Library'!$A$5:$A$411,0),$H168+1),""))</f>
        <v/>
      </c>
      <c r="U168" s="37">
        <f>IFERROR('Delivery Ops'!$G$6,"")</f>
        <v>5</v>
      </c>
      <c r="V168" s="37">
        <f>IFERROR('Delivery Ops'!$W$6,"")</f>
        <v>4</v>
      </c>
      <c r="W168" s="37">
        <f>IFERROR('Delivery Ops'!$X$6,"")</f>
        <v>5</v>
      </c>
      <c r="X168" s="37">
        <f>IFERROR('Delivery Ops'!$Y$6,"")</f>
        <v>5</v>
      </c>
      <c r="Y168" s="36" t="s">
        <v>3493</v>
      </c>
      <c r="Z168" s="36" t="s">
        <v>3494</v>
      </c>
      <c r="AA168" s="36" t="s">
        <v>3498</v>
      </c>
      <c r="AB168" s="36">
        <f>IFERROR('Delivery Ops'!$U$6,"")</f>
        <v>0</v>
      </c>
      <c r="AC168" s="36"/>
      <c r="AD168" s="36"/>
      <c r="AE168" s="36"/>
      <c r="AF168" s="36" t="s">
        <v>3497</v>
      </c>
      <c r="AO168" s="48" t="str">
        <f>IF($B168="Yes",IFERROR(SUMIFS(_TECH_Crisis_Model!$D$5:$D$191,_TECH_Crisis_Model!$A$5:$A$191,'Crisis Simulator'!$B$4,_TECH_Crisis_Model!$B$5:$B$191,$C168),1),"")</f>
        <v/>
      </c>
      <c r="AP168" s="48" t="str">
        <f t="shared" si="43"/>
        <v/>
      </c>
      <c r="AQ168" s="48" t="str">
        <f t="shared" si="44"/>
        <v/>
      </c>
      <c r="AR168" s="48" t="str">
        <f>IFERROR(INDEX(_TECH_Crisis_Model!$E$5:$E$191,MATCH('Crisis Simulator'!$B$4&amp;"|"&amp;$C168,_TECH_Crisis_Model!$I$5:$I$191,0)),"")</f>
        <v>Delivery capacity, SLA control and operational handover determine customer continuity.</v>
      </c>
      <c r="AS168" s="48" t="str">
        <f>IFERROR(INDEX(_TECH_Crisis_Model!$G$5:$G$191,MATCH('Crisis Simulator'!$B$4&amp;"|"&amp;$C168,_TECH_Crisis_Model!$I$5:$I$191,0)),"")</f>
        <v>Define alternative delivery models, capacity buffers, SLA triage and incident recovery procedures.</v>
      </c>
      <c r="AT168" s="48" t="str">
        <f>IFERROR(INDEX(_TECH_Initiative_Library!$A$5:$A$76,MATCH(1,INDEX((_TECH_Initiative_Library!$B$5:$B$76=$C168)*(_TECH_Initiative_Library!$C$5:$C$76=$D168),0),0)),"")</f>
        <v>INI-028</v>
      </c>
      <c r="AU168" s="48" t="str">
        <f>IFERROR(INDEX(_TECH_Initiative_Library!$F$5:$F$76,MATCH(1,INDEX((_TECH_Initiative_Library!$B$5:$B$76=$C168)*(_TECH_Initiative_Library!$C$5:$C$76=$D168),0),0)),"")</f>
        <v>Standardize delivery governance, ownership and escalation</v>
      </c>
      <c r="AV168" s="48" t="str">
        <f ca="1">IFERROR(INDEX(_TECH_Initiative_Library!$AC$5:$AC$76,MATCH(1,INDEX((_TECH_Initiative_Library!$B$5:$B$76=$C168)*(_TECH_Initiative_Library!$C$5:$C$76=$D168),0),0)),"")</f>
        <v/>
      </c>
      <c r="AW168" s="48" t="str">
        <f ca="1">IFERROR(INDEX(_TECH_Initiative_Library!$AE$5:$AE$76,MATCH(1,INDEX((_TECH_Initiative_Library!$B$5:$B$76=$C168)*(_TECH_Initiative_Library!$C$5:$C$76=$D168),0),0)),"")</f>
        <v/>
      </c>
      <c r="AX168" s="48" t="str">
        <f>IF($B168="Yes",IFERROR(SUMIFS(_TECH_Industry_Templates!$E:$E,_TECH_Industry_Templates!$A:$A,'Company Profile'!$B$9,_TECH_Industry_Templates!$B:$B,$C168),1),"")</f>
        <v/>
      </c>
      <c r="AY168" s="48" t="str">
        <f t="shared" si="45"/>
        <v/>
      </c>
      <c r="AZ168" s="48" t="str">
        <f t="shared" si="46"/>
        <v/>
      </c>
      <c r="BA168" s="48" t="str">
        <f>IF($AZ168="","",RANK.EQ($AZ168,$AZ$8:$AZ$414,0)+COUNTIF($AZ$8:$AZ168,$AZ168)-1)</f>
        <v/>
      </c>
    </row>
    <row r="169" spans="1:53" ht="69.95" customHeight="1">
      <c r="A169" s="36" t="str">
        <f>IF($AZ169="","",RANK.EQ($AZ169,$AZ$8:$AZ$414,0)+COUNTIF($AZ$8:$AZ169,$AZ169)-1)</f>
        <v/>
      </c>
      <c r="B169" s="36" t="str">
        <f t="shared" si="33"/>
        <v/>
      </c>
      <c r="C169" s="36" t="s">
        <v>75</v>
      </c>
      <c r="D169" s="36" t="s">
        <v>1258</v>
      </c>
      <c r="E169" s="36" t="s">
        <v>3506</v>
      </c>
      <c r="F169" s="36" t="s">
        <v>190</v>
      </c>
      <c r="G169" s="36" t="str">
        <f>IF($H169="","",IFERROR(INDEX('Risk Library'!$H$5:$M$411,MATCH($E169,'Risk Library'!$A$5:$A$411,0),$H169+1),""))</f>
        <v/>
      </c>
      <c r="H169" s="37" t="str">
        <f>IF(OR(COUNTA('Delivery Ops'!$H$7)=0,'Delivery Ops'!$H$7="N/A"),"",VALUE('Delivery Ops'!$H$7))</f>
        <v/>
      </c>
      <c r="I169" s="36" t="str">
        <f>IF($H169="","",IFERROR(IF('Delivery Ops'!$L$7="",IF($H169&lt;=1,"Critical",IF($H169=2,"High",IF($H169=3,"Medium",IF($H169=4,"Low","Resilient")))),'Delivery Ops'!$L$7),IF($H169&lt;=1,"Critical",IF($H169=2,"High",IF($H169=3,"Medium",IF($H169=4,"Low","Resilient"))))))</f>
        <v/>
      </c>
      <c r="J169" s="37" t="str">
        <f t="shared" si="34"/>
        <v/>
      </c>
      <c r="K169" s="37" t="str">
        <f t="shared" si="35"/>
        <v/>
      </c>
      <c r="L169" s="37" t="str">
        <f t="shared" si="36"/>
        <v/>
      </c>
      <c r="M169" s="37" t="str">
        <f t="shared" si="37"/>
        <v/>
      </c>
      <c r="N169" s="37" t="str">
        <f>IF($H169="","",IFERROR(INDEX('Risk Library'!$T$5:$Y$411,MATCH($E169,'Risk Library'!$A$5:$A$411,0),$H169+1),""))</f>
        <v/>
      </c>
      <c r="O169" s="37" t="str">
        <f t="shared" si="38"/>
        <v/>
      </c>
      <c r="P169" s="37" t="str">
        <f t="shared" si="39"/>
        <v/>
      </c>
      <c r="Q169" s="37" t="str">
        <f t="shared" si="40"/>
        <v/>
      </c>
      <c r="R169" s="37" t="str">
        <f t="shared" si="41"/>
        <v/>
      </c>
      <c r="S169" s="38" t="str">
        <f t="shared" si="42"/>
        <v/>
      </c>
      <c r="T169" s="36" t="str">
        <f>IF($H169="","",IFERROR(INDEX('Risk Library'!$N$5:$S$411,MATCH($E169,'Risk Library'!$A$5:$A$411,0),$H169+1),""))</f>
        <v/>
      </c>
      <c r="U169" s="37">
        <f>IFERROR('Delivery Ops'!$G$7,"")</f>
        <v>4</v>
      </c>
      <c r="V169" s="37">
        <f>IFERROR('Delivery Ops'!$W$7,"")</f>
        <v>4</v>
      </c>
      <c r="W169" s="37">
        <f>IFERROR('Delivery Ops'!$X$7,"")</f>
        <v>5</v>
      </c>
      <c r="X169" s="37">
        <f>IFERROR('Delivery Ops'!$Y$7,"")</f>
        <v>5</v>
      </c>
      <c r="Y169" s="36" t="s">
        <v>3493</v>
      </c>
      <c r="Z169" s="36" t="s">
        <v>3494</v>
      </c>
      <c r="AA169" s="36" t="s">
        <v>3508</v>
      </c>
      <c r="AB169" s="36">
        <f>IFERROR('Delivery Ops'!$U$7,"")</f>
        <v>0</v>
      </c>
      <c r="AC169" s="36"/>
      <c r="AD169" s="36"/>
      <c r="AE169" s="36"/>
      <c r="AF169" s="36" t="s">
        <v>3507</v>
      </c>
      <c r="AO169" s="48" t="str">
        <f>IF($B169="Yes",IFERROR(SUMIFS(_TECH_Crisis_Model!$D$5:$D$191,_TECH_Crisis_Model!$A$5:$A$191,'Crisis Simulator'!$B$4,_TECH_Crisis_Model!$B$5:$B$191,$C169),1),"")</f>
        <v/>
      </c>
      <c r="AP169" s="48" t="str">
        <f t="shared" si="43"/>
        <v/>
      </c>
      <c r="AQ169" s="48" t="str">
        <f t="shared" si="44"/>
        <v/>
      </c>
      <c r="AR169" s="48" t="str">
        <f>IFERROR(INDEX(_TECH_Crisis_Model!$E$5:$E$191,MATCH('Crisis Simulator'!$B$4&amp;"|"&amp;$C169,_TECH_Crisis_Model!$I$5:$I$191,0)),"")</f>
        <v>Delivery capacity, SLA control and operational handover determine customer continuity.</v>
      </c>
      <c r="AS169" s="48" t="str">
        <f>IFERROR(INDEX(_TECH_Crisis_Model!$G$5:$G$191,MATCH('Crisis Simulator'!$B$4&amp;"|"&amp;$C169,_TECH_Crisis_Model!$I$5:$I$191,0)),"")</f>
        <v>Define alternative delivery models, capacity buffers, SLA triage and incident recovery procedures.</v>
      </c>
      <c r="AT169" s="48" t="str">
        <f>IFERROR(INDEX(_TECH_Initiative_Library!$A$5:$A$76,MATCH(1,INDEX((_TECH_Initiative_Library!$B$5:$B$76=$C169)*(_TECH_Initiative_Library!$C$5:$C$76=$D169),0),0)),"")</f>
        <v>INI-028</v>
      </c>
      <c r="AU169" s="48" t="str">
        <f>IFERROR(INDEX(_TECH_Initiative_Library!$F$5:$F$76,MATCH(1,INDEX((_TECH_Initiative_Library!$B$5:$B$76=$C169)*(_TECH_Initiative_Library!$C$5:$C$76=$D169),0),0)),"")</f>
        <v>Standardize delivery governance, ownership and escalation</v>
      </c>
      <c r="AV169" s="48" t="str">
        <f ca="1">IFERROR(INDEX(_TECH_Initiative_Library!$AC$5:$AC$76,MATCH(1,INDEX((_TECH_Initiative_Library!$B$5:$B$76=$C169)*(_TECH_Initiative_Library!$C$5:$C$76=$D169),0),0)),"")</f>
        <v/>
      </c>
      <c r="AW169" s="48" t="str">
        <f ca="1">IFERROR(INDEX(_TECH_Initiative_Library!$AE$5:$AE$76,MATCH(1,INDEX((_TECH_Initiative_Library!$B$5:$B$76=$C169)*(_TECH_Initiative_Library!$C$5:$C$76=$D169),0),0)),"")</f>
        <v/>
      </c>
      <c r="AX169" s="48" t="str">
        <f>IF($B169="Yes",IFERROR(SUMIFS(_TECH_Industry_Templates!$E:$E,_TECH_Industry_Templates!$A:$A,'Company Profile'!$B$9,_TECH_Industry_Templates!$B:$B,$C169),1),"")</f>
        <v/>
      </c>
      <c r="AY169" s="48" t="str">
        <f t="shared" si="45"/>
        <v/>
      </c>
      <c r="AZ169" s="48" t="str">
        <f t="shared" si="46"/>
        <v/>
      </c>
      <c r="BA169" s="48" t="str">
        <f>IF($AZ169="","",RANK.EQ($AZ169,$AZ$8:$AZ$414,0)+COUNTIF($AZ$8:$AZ169,$AZ169)-1)</f>
        <v/>
      </c>
    </row>
    <row r="170" spans="1:53" ht="69.95" customHeight="1">
      <c r="A170" s="36" t="str">
        <f>IF($AZ170="","",RANK.EQ($AZ170,$AZ$8:$AZ$414,0)+COUNTIF($AZ$8:$AZ170,$AZ170)-1)</f>
        <v/>
      </c>
      <c r="B170" s="36" t="str">
        <f t="shared" si="33"/>
        <v/>
      </c>
      <c r="C170" s="36" t="s">
        <v>75</v>
      </c>
      <c r="D170" s="36" t="s">
        <v>1258</v>
      </c>
      <c r="E170" s="36" t="s">
        <v>3516</v>
      </c>
      <c r="F170" s="36" t="s">
        <v>190</v>
      </c>
      <c r="G170" s="36" t="str">
        <f>IF($H170="","",IFERROR(INDEX('Risk Library'!$H$5:$M$411,MATCH($E170,'Risk Library'!$A$5:$A$411,0),$H170+1),""))</f>
        <v/>
      </c>
      <c r="H170" s="37" t="str">
        <f>IF(OR(COUNTA('Delivery Ops'!$H$8)=0,'Delivery Ops'!$H$8="N/A"),"",VALUE('Delivery Ops'!$H$8))</f>
        <v/>
      </c>
      <c r="I170" s="36" t="str">
        <f>IF($H170="","",IFERROR(IF('Delivery Ops'!$L$8="",IF($H170&lt;=1,"Critical",IF($H170=2,"High",IF($H170=3,"Medium",IF($H170=4,"Low","Resilient")))),'Delivery Ops'!$L$8),IF($H170&lt;=1,"Critical",IF($H170=2,"High",IF($H170=3,"Medium",IF($H170=4,"Low","Resilient"))))))</f>
        <v/>
      </c>
      <c r="J170" s="37" t="str">
        <f t="shared" si="34"/>
        <v/>
      </c>
      <c r="K170" s="37" t="str">
        <f t="shared" si="35"/>
        <v/>
      </c>
      <c r="L170" s="37" t="str">
        <f t="shared" si="36"/>
        <v/>
      </c>
      <c r="M170" s="37" t="str">
        <f t="shared" si="37"/>
        <v/>
      </c>
      <c r="N170" s="37" t="str">
        <f>IF($H170="","",IFERROR(INDEX('Risk Library'!$T$5:$Y$411,MATCH($E170,'Risk Library'!$A$5:$A$411,0),$H170+1),""))</f>
        <v/>
      </c>
      <c r="O170" s="37" t="str">
        <f t="shared" si="38"/>
        <v/>
      </c>
      <c r="P170" s="37" t="str">
        <f t="shared" si="39"/>
        <v/>
      </c>
      <c r="Q170" s="37" t="str">
        <f t="shared" si="40"/>
        <v/>
      </c>
      <c r="R170" s="37" t="str">
        <f t="shared" si="41"/>
        <v/>
      </c>
      <c r="S170" s="38" t="str">
        <f t="shared" si="42"/>
        <v/>
      </c>
      <c r="T170" s="36" t="str">
        <f>IF($H170="","",IFERROR(INDEX('Risk Library'!$N$5:$S$411,MATCH($E170,'Risk Library'!$A$5:$A$411,0),$H170+1),""))</f>
        <v/>
      </c>
      <c r="U170" s="37">
        <f>IFERROR('Delivery Ops'!$G$8,"")</f>
        <v>5</v>
      </c>
      <c r="V170" s="37">
        <f>IFERROR('Delivery Ops'!$W$8,"")</f>
        <v>4</v>
      </c>
      <c r="W170" s="37">
        <f>IFERROR('Delivery Ops'!$X$8,"")</f>
        <v>5</v>
      </c>
      <c r="X170" s="37">
        <f>IFERROR('Delivery Ops'!$Y$8,"")</f>
        <v>5</v>
      </c>
      <c r="Y170" s="36" t="s">
        <v>3493</v>
      </c>
      <c r="Z170" s="36" t="s">
        <v>3494</v>
      </c>
      <c r="AA170" s="36" t="s">
        <v>3518</v>
      </c>
      <c r="AB170" s="36">
        <f>IFERROR('Delivery Ops'!$U$8,"")</f>
        <v>0</v>
      </c>
      <c r="AC170" s="36"/>
      <c r="AD170" s="36"/>
      <c r="AE170" s="36"/>
      <c r="AF170" s="36" t="s">
        <v>3517</v>
      </c>
      <c r="AO170" s="48" t="str">
        <f>IF($B170="Yes",IFERROR(SUMIFS(_TECH_Crisis_Model!$D$5:$D$191,_TECH_Crisis_Model!$A$5:$A$191,'Crisis Simulator'!$B$4,_TECH_Crisis_Model!$B$5:$B$191,$C170),1),"")</f>
        <v/>
      </c>
      <c r="AP170" s="48" t="str">
        <f t="shared" si="43"/>
        <v/>
      </c>
      <c r="AQ170" s="48" t="str">
        <f t="shared" si="44"/>
        <v/>
      </c>
      <c r="AR170" s="48" t="str">
        <f>IFERROR(INDEX(_TECH_Crisis_Model!$E$5:$E$191,MATCH('Crisis Simulator'!$B$4&amp;"|"&amp;$C170,_TECH_Crisis_Model!$I$5:$I$191,0)),"")</f>
        <v>Delivery capacity, SLA control and operational handover determine customer continuity.</v>
      </c>
      <c r="AS170" s="48" t="str">
        <f>IFERROR(INDEX(_TECH_Crisis_Model!$G$5:$G$191,MATCH('Crisis Simulator'!$B$4&amp;"|"&amp;$C170,_TECH_Crisis_Model!$I$5:$I$191,0)),"")</f>
        <v>Define alternative delivery models, capacity buffers, SLA triage and incident recovery procedures.</v>
      </c>
      <c r="AT170" s="48" t="str">
        <f>IFERROR(INDEX(_TECH_Initiative_Library!$A$5:$A$76,MATCH(1,INDEX((_TECH_Initiative_Library!$B$5:$B$76=$C170)*(_TECH_Initiative_Library!$C$5:$C$76=$D170),0),0)),"")</f>
        <v>INI-028</v>
      </c>
      <c r="AU170" s="48" t="str">
        <f>IFERROR(INDEX(_TECH_Initiative_Library!$F$5:$F$76,MATCH(1,INDEX((_TECH_Initiative_Library!$B$5:$B$76=$C170)*(_TECH_Initiative_Library!$C$5:$C$76=$D170),0),0)),"")</f>
        <v>Standardize delivery governance, ownership and escalation</v>
      </c>
      <c r="AV170" s="48" t="str">
        <f ca="1">IFERROR(INDEX(_TECH_Initiative_Library!$AC$5:$AC$76,MATCH(1,INDEX((_TECH_Initiative_Library!$B$5:$B$76=$C170)*(_TECH_Initiative_Library!$C$5:$C$76=$D170),0),0)),"")</f>
        <v/>
      </c>
      <c r="AW170" s="48" t="str">
        <f ca="1">IFERROR(INDEX(_TECH_Initiative_Library!$AE$5:$AE$76,MATCH(1,INDEX((_TECH_Initiative_Library!$B$5:$B$76=$C170)*(_TECH_Initiative_Library!$C$5:$C$76=$D170),0),0)),"")</f>
        <v/>
      </c>
      <c r="AX170" s="48" t="str">
        <f>IF($B170="Yes",IFERROR(SUMIFS(_TECH_Industry_Templates!$E:$E,_TECH_Industry_Templates!$A:$A,'Company Profile'!$B$9,_TECH_Industry_Templates!$B:$B,$C170),1),"")</f>
        <v/>
      </c>
      <c r="AY170" s="48" t="str">
        <f t="shared" si="45"/>
        <v/>
      </c>
      <c r="AZ170" s="48" t="str">
        <f t="shared" si="46"/>
        <v/>
      </c>
      <c r="BA170" s="48" t="str">
        <f>IF($AZ170="","",RANK.EQ($AZ170,$AZ$8:$AZ$414,0)+COUNTIF($AZ$8:$AZ170,$AZ170)-1)</f>
        <v/>
      </c>
    </row>
    <row r="171" spans="1:53" ht="69.95" customHeight="1">
      <c r="A171" s="36" t="str">
        <f>IF($AZ171="","",RANK.EQ($AZ171,$AZ$8:$AZ$414,0)+COUNTIF($AZ$8:$AZ171,$AZ171)-1)</f>
        <v/>
      </c>
      <c r="B171" s="36" t="str">
        <f t="shared" si="33"/>
        <v/>
      </c>
      <c r="C171" s="36" t="s">
        <v>75</v>
      </c>
      <c r="D171" s="36" t="s">
        <v>1258</v>
      </c>
      <c r="E171" s="36" t="s">
        <v>3526</v>
      </c>
      <c r="F171" s="36" t="s">
        <v>190</v>
      </c>
      <c r="G171" s="36" t="str">
        <f>IF($H171="","",IFERROR(INDEX('Risk Library'!$H$5:$M$411,MATCH($E171,'Risk Library'!$A$5:$A$411,0),$H171+1),""))</f>
        <v/>
      </c>
      <c r="H171" s="37" t="str">
        <f>IF(OR(COUNTA('Delivery Ops'!$H$9)=0,'Delivery Ops'!$H$9="N/A"),"",VALUE('Delivery Ops'!$H$9))</f>
        <v/>
      </c>
      <c r="I171" s="36" t="str">
        <f>IF($H171="","",IFERROR(IF('Delivery Ops'!$L$9="",IF($H171&lt;=1,"Critical",IF($H171=2,"High",IF($H171=3,"Medium",IF($H171=4,"Low","Resilient")))),'Delivery Ops'!$L$9),IF($H171&lt;=1,"Critical",IF($H171=2,"High",IF($H171=3,"Medium",IF($H171=4,"Low","Resilient"))))))</f>
        <v/>
      </c>
      <c r="J171" s="37" t="str">
        <f t="shared" si="34"/>
        <v/>
      </c>
      <c r="K171" s="37" t="str">
        <f t="shared" si="35"/>
        <v/>
      </c>
      <c r="L171" s="37" t="str">
        <f t="shared" si="36"/>
        <v/>
      </c>
      <c r="M171" s="37" t="str">
        <f t="shared" si="37"/>
        <v/>
      </c>
      <c r="N171" s="37" t="str">
        <f>IF($H171="","",IFERROR(INDEX('Risk Library'!$T$5:$Y$411,MATCH($E171,'Risk Library'!$A$5:$A$411,0),$H171+1),""))</f>
        <v/>
      </c>
      <c r="O171" s="37" t="str">
        <f t="shared" si="38"/>
        <v/>
      </c>
      <c r="P171" s="37" t="str">
        <f t="shared" si="39"/>
        <v/>
      </c>
      <c r="Q171" s="37" t="str">
        <f t="shared" si="40"/>
        <v/>
      </c>
      <c r="R171" s="37" t="str">
        <f t="shared" si="41"/>
        <v/>
      </c>
      <c r="S171" s="38" t="str">
        <f t="shared" si="42"/>
        <v/>
      </c>
      <c r="T171" s="36" t="str">
        <f>IF($H171="","",IFERROR(INDEX('Risk Library'!$N$5:$S$411,MATCH($E171,'Risk Library'!$A$5:$A$411,0),$H171+1),""))</f>
        <v/>
      </c>
      <c r="U171" s="37">
        <f>IFERROR('Delivery Ops'!$G$9,"")</f>
        <v>4</v>
      </c>
      <c r="V171" s="37">
        <f>IFERROR('Delivery Ops'!$W$9,"")</f>
        <v>4</v>
      </c>
      <c r="W171" s="37">
        <f>IFERROR('Delivery Ops'!$X$9,"")</f>
        <v>5</v>
      </c>
      <c r="X171" s="37">
        <f>IFERROR('Delivery Ops'!$Y$9,"")</f>
        <v>5</v>
      </c>
      <c r="Y171" s="36" t="s">
        <v>3493</v>
      </c>
      <c r="Z171" s="36" t="s">
        <v>3494</v>
      </c>
      <c r="AA171" s="36" t="s">
        <v>3528</v>
      </c>
      <c r="AB171" s="36">
        <f>IFERROR('Delivery Ops'!$U$9,"")</f>
        <v>0</v>
      </c>
      <c r="AC171" s="36"/>
      <c r="AD171" s="36"/>
      <c r="AE171" s="36"/>
      <c r="AF171" s="36" t="s">
        <v>3527</v>
      </c>
      <c r="AO171" s="48" t="str">
        <f>IF($B171="Yes",IFERROR(SUMIFS(_TECH_Crisis_Model!$D$5:$D$191,_TECH_Crisis_Model!$A$5:$A$191,'Crisis Simulator'!$B$4,_TECH_Crisis_Model!$B$5:$B$191,$C171),1),"")</f>
        <v/>
      </c>
      <c r="AP171" s="48" t="str">
        <f t="shared" si="43"/>
        <v/>
      </c>
      <c r="AQ171" s="48" t="str">
        <f t="shared" si="44"/>
        <v/>
      </c>
      <c r="AR171" s="48" t="str">
        <f>IFERROR(INDEX(_TECH_Crisis_Model!$E$5:$E$191,MATCH('Crisis Simulator'!$B$4&amp;"|"&amp;$C171,_TECH_Crisis_Model!$I$5:$I$191,0)),"")</f>
        <v>Delivery capacity, SLA control and operational handover determine customer continuity.</v>
      </c>
      <c r="AS171" s="48" t="str">
        <f>IFERROR(INDEX(_TECH_Crisis_Model!$G$5:$G$191,MATCH('Crisis Simulator'!$B$4&amp;"|"&amp;$C171,_TECH_Crisis_Model!$I$5:$I$191,0)),"")</f>
        <v>Define alternative delivery models, capacity buffers, SLA triage and incident recovery procedures.</v>
      </c>
      <c r="AT171" s="48" t="str">
        <f>IFERROR(INDEX(_TECH_Initiative_Library!$A$5:$A$76,MATCH(1,INDEX((_TECH_Initiative_Library!$B$5:$B$76=$C171)*(_TECH_Initiative_Library!$C$5:$C$76=$D171),0),0)),"")</f>
        <v>INI-028</v>
      </c>
      <c r="AU171" s="48" t="str">
        <f>IFERROR(INDEX(_TECH_Initiative_Library!$F$5:$F$76,MATCH(1,INDEX((_TECH_Initiative_Library!$B$5:$B$76=$C171)*(_TECH_Initiative_Library!$C$5:$C$76=$D171),0),0)),"")</f>
        <v>Standardize delivery governance, ownership and escalation</v>
      </c>
      <c r="AV171" s="48" t="str">
        <f ca="1">IFERROR(INDEX(_TECH_Initiative_Library!$AC$5:$AC$76,MATCH(1,INDEX((_TECH_Initiative_Library!$B$5:$B$76=$C171)*(_TECH_Initiative_Library!$C$5:$C$76=$D171),0),0)),"")</f>
        <v/>
      </c>
      <c r="AW171" s="48" t="str">
        <f ca="1">IFERROR(INDEX(_TECH_Initiative_Library!$AE$5:$AE$76,MATCH(1,INDEX((_TECH_Initiative_Library!$B$5:$B$76=$C171)*(_TECH_Initiative_Library!$C$5:$C$76=$D171),0),0)),"")</f>
        <v/>
      </c>
      <c r="AX171" s="48" t="str">
        <f>IF($B171="Yes",IFERROR(SUMIFS(_TECH_Industry_Templates!$E:$E,_TECH_Industry_Templates!$A:$A,'Company Profile'!$B$9,_TECH_Industry_Templates!$B:$B,$C171),1),"")</f>
        <v/>
      </c>
      <c r="AY171" s="48" t="str">
        <f t="shared" si="45"/>
        <v/>
      </c>
      <c r="AZ171" s="48" t="str">
        <f t="shared" si="46"/>
        <v/>
      </c>
      <c r="BA171" s="48" t="str">
        <f>IF($AZ171="","",RANK.EQ($AZ171,$AZ$8:$AZ$414,0)+COUNTIF($AZ$8:$AZ171,$AZ171)-1)</f>
        <v/>
      </c>
    </row>
    <row r="172" spans="1:53" ht="69.95" customHeight="1">
      <c r="A172" s="36" t="str">
        <f>IF($AZ172="","",RANK.EQ($AZ172,$AZ$8:$AZ$414,0)+COUNTIF($AZ$8:$AZ172,$AZ172)-1)</f>
        <v/>
      </c>
      <c r="B172" s="36" t="str">
        <f t="shared" si="33"/>
        <v/>
      </c>
      <c r="C172" s="36" t="s">
        <v>75</v>
      </c>
      <c r="D172" s="36" t="s">
        <v>1258</v>
      </c>
      <c r="E172" s="36" t="s">
        <v>3536</v>
      </c>
      <c r="F172" s="36" t="s">
        <v>190</v>
      </c>
      <c r="G172" s="36" t="str">
        <f>IF($H172="","",IFERROR(INDEX('Risk Library'!$H$5:$M$411,MATCH($E172,'Risk Library'!$A$5:$A$411,0),$H172+1),""))</f>
        <v/>
      </c>
      <c r="H172" s="37" t="str">
        <f>IF(OR(COUNTA('Delivery Ops'!$H$10)=0,'Delivery Ops'!$H$10="N/A"),"",VALUE('Delivery Ops'!$H$10))</f>
        <v/>
      </c>
      <c r="I172" s="36" t="str">
        <f>IF($H172="","",IFERROR(IF('Delivery Ops'!$L$10="",IF($H172&lt;=1,"Critical",IF($H172=2,"High",IF($H172=3,"Medium",IF($H172=4,"Low","Resilient")))),'Delivery Ops'!$L$10),IF($H172&lt;=1,"Critical",IF($H172=2,"High",IF($H172=3,"Medium",IF($H172=4,"Low","Resilient"))))))</f>
        <v/>
      </c>
      <c r="J172" s="37" t="str">
        <f t="shared" si="34"/>
        <v/>
      </c>
      <c r="K172" s="37" t="str">
        <f t="shared" si="35"/>
        <v/>
      </c>
      <c r="L172" s="37" t="str">
        <f t="shared" si="36"/>
        <v/>
      </c>
      <c r="M172" s="37" t="str">
        <f t="shared" si="37"/>
        <v/>
      </c>
      <c r="N172" s="37" t="str">
        <f>IF($H172="","",IFERROR(INDEX('Risk Library'!$T$5:$Y$411,MATCH($E172,'Risk Library'!$A$5:$A$411,0),$H172+1),""))</f>
        <v/>
      </c>
      <c r="O172" s="37" t="str">
        <f t="shared" si="38"/>
        <v/>
      </c>
      <c r="P172" s="37" t="str">
        <f t="shared" si="39"/>
        <v/>
      </c>
      <c r="Q172" s="37" t="str">
        <f t="shared" si="40"/>
        <v/>
      </c>
      <c r="R172" s="37" t="str">
        <f t="shared" si="41"/>
        <v/>
      </c>
      <c r="S172" s="38" t="str">
        <f t="shared" si="42"/>
        <v/>
      </c>
      <c r="T172" s="36" t="str">
        <f>IF($H172="","",IFERROR(INDEX('Risk Library'!$N$5:$S$411,MATCH($E172,'Risk Library'!$A$5:$A$411,0),$H172+1),""))</f>
        <v/>
      </c>
      <c r="U172" s="37">
        <f>IFERROR('Delivery Ops'!$G$10,"")</f>
        <v>5</v>
      </c>
      <c r="V172" s="37">
        <f>IFERROR('Delivery Ops'!$W$10,"")</f>
        <v>4</v>
      </c>
      <c r="W172" s="37">
        <f>IFERROR('Delivery Ops'!$X$10,"")</f>
        <v>5</v>
      </c>
      <c r="X172" s="37">
        <f>IFERROR('Delivery Ops'!$Y$10,"")</f>
        <v>5</v>
      </c>
      <c r="Y172" s="36" t="s">
        <v>3493</v>
      </c>
      <c r="Z172" s="36" t="s">
        <v>3494</v>
      </c>
      <c r="AA172" s="36" t="s">
        <v>3538</v>
      </c>
      <c r="AB172" s="36">
        <f>IFERROR('Delivery Ops'!$U$10,"")</f>
        <v>0</v>
      </c>
      <c r="AC172" s="36"/>
      <c r="AD172" s="36"/>
      <c r="AE172" s="36"/>
      <c r="AF172" s="36" t="s">
        <v>3537</v>
      </c>
      <c r="AO172" s="48" t="str">
        <f>IF($B172="Yes",IFERROR(SUMIFS(_TECH_Crisis_Model!$D$5:$D$191,_TECH_Crisis_Model!$A$5:$A$191,'Crisis Simulator'!$B$4,_TECH_Crisis_Model!$B$5:$B$191,$C172),1),"")</f>
        <v/>
      </c>
      <c r="AP172" s="48" t="str">
        <f t="shared" si="43"/>
        <v/>
      </c>
      <c r="AQ172" s="48" t="str">
        <f t="shared" si="44"/>
        <v/>
      </c>
      <c r="AR172" s="48" t="str">
        <f>IFERROR(INDEX(_TECH_Crisis_Model!$E$5:$E$191,MATCH('Crisis Simulator'!$B$4&amp;"|"&amp;$C172,_TECH_Crisis_Model!$I$5:$I$191,0)),"")</f>
        <v>Delivery capacity, SLA control and operational handover determine customer continuity.</v>
      </c>
      <c r="AS172" s="48" t="str">
        <f>IFERROR(INDEX(_TECH_Crisis_Model!$G$5:$G$191,MATCH('Crisis Simulator'!$B$4&amp;"|"&amp;$C172,_TECH_Crisis_Model!$I$5:$I$191,0)),"")</f>
        <v>Define alternative delivery models, capacity buffers, SLA triage and incident recovery procedures.</v>
      </c>
      <c r="AT172" s="48" t="str">
        <f>IFERROR(INDEX(_TECH_Initiative_Library!$A$5:$A$76,MATCH(1,INDEX((_TECH_Initiative_Library!$B$5:$B$76=$C172)*(_TECH_Initiative_Library!$C$5:$C$76=$D172),0),0)),"")</f>
        <v>INI-028</v>
      </c>
      <c r="AU172" s="48" t="str">
        <f>IFERROR(INDEX(_TECH_Initiative_Library!$F$5:$F$76,MATCH(1,INDEX((_TECH_Initiative_Library!$B$5:$B$76=$C172)*(_TECH_Initiative_Library!$C$5:$C$76=$D172),0),0)),"")</f>
        <v>Standardize delivery governance, ownership and escalation</v>
      </c>
      <c r="AV172" s="48" t="str">
        <f ca="1">IFERROR(INDEX(_TECH_Initiative_Library!$AC$5:$AC$76,MATCH(1,INDEX((_TECH_Initiative_Library!$B$5:$B$76=$C172)*(_TECH_Initiative_Library!$C$5:$C$76=$D172),0),0)),"")</f>
        <v/>
      </c>
      <c r="AW172" s="48" t="str">
        <f ca="1">IFERROR(INDEX(_TECH_Initiative_Library!$AE$5:$AE$76,MATCH(1,INDEX((_TECH_Initiative_Library!$B$5:$B$76=$C172)*(_TECH_Initiative_Library!$C$5:$C$76=$D172),0),0)),"")</f>
        <v/>
      </c>
      <c r="AX172" s="48" t="str">
        <f>IF($B172="Yes",IFERROR(SUMIFS(_TECH_Industry_Templates!$E:$E,_TECH_Industry_Templates!$A:$A,'Company Profile'!$B$9,_TECH_Industry_Templates!$B:$B,$C172),1),"")</f>
        <v/>
      </c>
      <c r="AY172" s="48" t="str">
        <f t="shared" si="45"/>
        <v/>
      </c>
      <c r="AZ172" s="48" t="str">
        <f t="shared" si="46"/>
        <v/>
      </c>
      <c r="BA172" s="48" t="str">
        <f>IF($AZ172="","",RANK.EQ($AZ172,$AZ$8:$AZ$414,0)+COUNTIF($AZ$8:$AZ172,$AZ172)-1)</f>
        <v/>
      </c>
    </row>
    <row r="173" spans="1:53" ht="69.95" customHeight="1">
      <c r="A173" s="36" t="str">
        <f>IF($AZ173="","",RANK.EQ($AZ173,$AZ$8:$AZ$414,0)+COUNTIF($AZ$8:$AZ173,$AZ173)-1)</f>
        <v/>
      </c>
      <c r="B173" s="36" t="str">
        <f t="shared" si="33"/>
        <v/>
      </c>
      <c r="C173" s="36" t="s">
        <v>75</v>
      </c>
      <c r="D173" s="36" t="s">
        <v>1272</v>
      </c>
      <c r="E173" s="36" t="s">
        <v>3546</v>
      </c>
      <c r="F173" s="36" t="s">
        <v>190</v>
      </c>
      <c r="G173" s="36" t="str">
        <f>IF($H173="","",IFERROR(INDEX('Risk Library'!$H$5:$M$411,MATCH($E173,'Risk Library'!$A$5:$A$411,0),$H173+1),""))</f>
        <v/>
      </c>
      <c r="H173" s="37" t="str">
        <f>IF(OR(COUNTA('Delivery Ops'!$H$11)=0,'Delivery Ops'!$H$11="N/A"),"",VALUE('Delivery Ops'!$H$11))</f>
        <v/>
      </c>
      <c r="I173" s="36" t="str">
        <f>IF($H173="","",IFERROR(IF('Delivery Ops'!$L$11="",IF($H173&lt;=1,"Critical",IF($H173=2,"High",IF($H173=3,"Medium",IF($H173=4,"Low","Resilient")))),'Delivery Ops'!$L$11),IF($H173&lt;=1,"Critical",IF($H173=2,"High",IF($H173=3,"Medium",IF($H173=4,"Low","Resilient"))))))</f>
        <v/>
      </c>
      <c r="J173" s="37" t="str">
        <f t="shared" si="34"/>
        <v/>
      </c>
      <c r="K173" s="37" t="str">
        <f t="shared" si="35"/>
        <v/>
      </c>
      <c r="L173" s="37" t="str">
        <f t="shared" si="36"/>
        <v/>
      </c>
      <c r="M173" s="37" t="str">
        <f t="shared" si="37"/>
        <v/>
      </c>
      <c r="N173" s="37" t="str">
        <f>IF($H173="","",IFERROR(INDEX('Risk Library'!$T$5:$Y$411,MATCH($E173,'Risk Library'!$A$5:$A$411,0),$H173+1),""))</f>
        <v/>
      </c>
      <c r="O173" s="37" t="str">
        <f t="shared" si="38"/>
        <v/>
      </c>
      <c r="P173" s="37" t="str">
        <f t="shared" si="39"/>
        <v/>
      </c>
      <c r="Q173" s="37" t="str">
        <f t="shared" si="40"/>
        <v/>
      </c>
      <c r="R173" s="37" t="str">
        <f t="shared" si="41"/>
        <v/>
      </c>
      <c r="S173" s="38" t="str">
        <f t="shared" si="42"/>
        <v/>
      </c>
      <c r="T173" s="36" t="str">
        <f>IF($H173="","",IFERROR(INDEX('Risk Library'!$N$5:$S$411,MATCH($E173,'Risk Library'!$A$5:$A$411,0),$H173+1),""))</f>
        <v/>
      </c>
      <c r="U173" s="37">
        <f>IFERROR('Delivery Ops'!$G$11,"")</f>
        <v>5</v>
      </c>
      <c r="V173" s="37">
        <f>IFERROR('Delivery Ops'!$W$11,"")</f>
        <v>5</v>
      </c>
      <c r="W173" s="37">
        <f>IFERROR('Delivery Ops'!$X$11,"")</f>
        <v>5</v>
      </c>
      <c r="X173" s="37">
        <f>IFERROR('Delivery Ops'!$Y$11,"")</f>
        <v>5</v>
      </c>
      <c r="Y173" s="36" t="s">
        <v>3493</v>
      </c>
      <c r="Z173" s="36" t="s">
        <v>3494</v>
      </c>
      <c r="AA173" s="36" t="s">
        <v>3548</v>
      </c>
      <c r="AB173" s="36">
        <f>IFERROR('Delivery Ops'!$U$11,"")</f>
        <v>0</v>
      </c>
      <c r="AC173" s="36"/>
      <c r="AD173" s="36"/>
      <c r="AE173" s="36"/>
      <c r="AF173" s="36" t="s">
        <v>3547</v>
      </c>
      <c r="AO173" s="48" t="str">
        <f>IF($B173="Yes",IFERROR(SUMIFS(_TECH_Crisis_Model!$D$5:$D$191,_TECH_Crisis_Model!$A$5:$A$191,'Crisis Simulator'!$B$4,_TECH_Crisis_Model!$B$5:$B$191,$C173),1),"")</f>
        <v/>
      </c>
      <c r="AP173" s="48" t="str">
        <f t="shared" si="43"/>
        <v/>
      </c>
      <c r="AQ173" s="48" t="str">
        <f t="shared" si="44"/>
        <v/>
      </c>
      <c r="AR173" s="48" t="str">
        <f>IFERROR(INDEX(_TECH_Crisis_Model!$E$5:$E$191,MATCH('Crisis Simulator'!$B$4&amp;"|"&amp;$C173,_TECH_Crisis_Model!$I$5:$I$191,0)),"")</f>
        <v>Delivery capacity, SLA control and operational handover determine customer continuity.</v>
      </c>
      <c r="AS173" s="48" t="str">
        <f>IFERROR(INDEX(_TECH_Crisis_Model!$G$5:$G$191,MATCH('Crisis Simulator'!$B$4&amp;"|"&amp;$C173,_TECH_Crisis_Model!$I$5:$I$191,0)),"")</f>
        <v>Define alternative delivery models, capacity buffers, SLA triage and incident recovery procedures.</v>
      </c>
      <c r="AT173" s="48" t="str">
        <f>IFERROR(INDEX(_TECH_Initiative_Library!$A$5:$A$76,MATCH(1,INDEX((_TECH_Initiative_Library!$B$5:$B$76=$C173)*(_TECH_Initiative_Library!$C$5:$C$76=$D173),0),0)),"")</f>
        <v>INI-029</v>
      </c>
      <c r="AU173" s="48" t="str">
        <f>IFERROR(INDEX(_TECH_Initiative_Library!$F$5:$F$76,MATCH(1,INDEX((_TECH_Initiative_Library!$B$5:$B$76=$C173)*(_TECH_Initiative_Library!$C$5:$C$76=$D173),0),0)),"")</f>
        <v>Build capacity resilience and delivery continuity model</v>
      </c>
      <c r="AV173" s="48" t="str">
        <f ca="1">IFERROR(INDEX(_TECH_Initiative_Library!$AC$5:$AC$76,MATCH(1,INDEX((_TECH_Initiative_Library!$B$5:$B$76=$C173)*(_TECH_Initiative_Library!$C$5:$C$76=$D173),0),0)),"")</f>
        <v/>
      </c>
      <c r="AW173" s="48" t="str">
        <f ca="1">IFERROR(INDEX(_TECH_Initiative_Library!$AE$5:$AE$76,MATCH(1,INDEX((_TECH_Initiative_Library!$B$5:$B$76=$C173)*(_TECH_Initiative_Library!$C$5:$C$76=$D173),0),0)),"")</f>
        <v/>
      </c>
      <c r="AX173" s="48" t="str">
        <f>IF($B173="Yes",IFERROR(SUMIFS(_TECH_Industry_Templates!$E:$E,_TECH_Industry_Templates!$A:$A,'Company Profile'!$B$9,_TECH_Industry_Templates!$B:$B,$C173),1),"")</f>
        <v/>
      </c>
      <c r="AY173" s="48" t="str">
        <f t="shared" si="45"/>
        <v/>
      </c>
      <c r="AZ173" s="48" t="str">
        <f t="shared" si="46"/>
        <v/>
      </c>
      <c r="BA173" s="48" t="str">
        <f>IF($AZ173="","",RANK.EQ($AZ173,$AZ$8:$AZ$414,0)+COUNTIF($AZ$8:$AZ173,$AZ173)-1)</f>
        <v/>
      </c>
    </row>
    <row r="174" spans="1:53" ht="69.95" customHeight="1">
      <c r="A174" s="36" t="str">
        <f>IF($AZ174="","",RANK.EQ($AZ174,$AZ$8:$AZ$414,0)+COUNTIF($AZ$8:$AZ174,$AZ174)-1)</f>
        <v/>
      </c>
      <c r="B174" s="36" t="str">
        <f t="shared" si="33"/>
        <v/>
      </c>
      <c r="C174" s="36" t="s">
        <v>75</v>
      </c>
      <c r="D174" s="36" t="s">
        <v>1272</v>
      </c>
      <c r="E174" s="36" t="s">
        <v>3556</v>
      </c>
      <c r="F174" s="36" t="s">
        <v>190</v>
      </c>
      <c r="G174" s="36" t="str">
        <f>IF($H174="","",IFERROR(INDEX('Risk Library'!$H$5:$M$411,MATCH($E174,'Risk Library'!$A$5:$A$411,0),$H174+1),""))</f>
        <v/>
      </c>
      <c r="H174" s="37" t="str">
        <f>IF(OR(COUNTA('Delivery Ops'!$H$12)=0,'Delivery Ops'!$H$12="N/A"),"",VALUE('Delivery Ops'!$H$12))</f>
        <v/>
      </c>
      <c r="I174" s="36" t="str">
        <f>IF($H174="","",IFERROR(IF('Delivery Ops'!$L$12="",IF($H174&lt;=1,"Critical",IF($H174=2,"High",IF($H174=3,"Medium",IF($H174=4,"Low","Resilient")))),'Delivery Ops'!$L$12),IF($H174&lt;=1,"Critical",IF($H174=2,"High",IF($H174=3,"Medium",IF($H174=4,"Low","Resilient"))))))</f>
        <v/>
      </c>
      <c r="J174" s="37" t="str">
        <f t="shared" si="34"/>
        <v/>
      </c>
      <c r="K174" s="37" t="str">
        <f t="shared" si="35"/>
        <v/>
      </c>
      <c r="L174" s="37" t="str">
        <f t="shared" si="36"/>
        <v/>
      </c>
      <c r="M174" s="37" t="str">
        <f t="shared" si="37"/>
        <v/>
      </c>
      <c r="N174" s="37" t="str">
        <f>IF($H174="","",IFERROR(INDEX('Risk Library'!$T$5:$Y$411,MATCH($E174,'Risk Library'!$A$5:$A$411,0),$H174+1),""))</f>
        <v/>
      </c>
      <c r="O174" s="37" t="str">
        <f t="shared" si="38"/>
        <v/>
      </c>
      <c r="P174" s="37" t="str">
        <f t="shared" si="39"/>
        <v/>
      </c>
      <c r="Q174" s="37" t="str">
        <f t="shared" si="40"/>
        <v/>
      </c>
      <c r="R174" s="37" t="str">
        <f t="shared" si="41"/>
        <v/>
      </c>
      <c r="S174" s="38" t="str">
        <f t="shared" si="42"/>
        <v/>
      </c>
      <c r="T174" s="36" t="str">
        <f>IF($H174="","",IFERROR(INDEX('Risk Library'!$N$5:$S$411,MATCH($E174,'Risk Library'!$A$5:$A$411,0),$H174+1),""))</f>
        <v/>
      </c>
      <c r="U174" s="37">
        <f>IFERROR('Delivery Ops'!$G$12,"")</f>
        <v>5</v>
      </c>
      <c r="V174" s="37">
        <f>IFERROR('Delivery Ops'!$W$12,"")</f>
        <v>4</v>
      </c>
      <c r="W174" s="37">
        <f>IFERROR('Delivery Ops'!$X$12,"")</f>
        <v>5</v>
      </c>
      <c r="X174" s="37">
        <f>IFERROR('Delivery Ops'!$Y$12,"")</f>
        <v>5</v>
      </c>
      <c r="Y174" s="36" t="s">
        <v>3493</v>
      </c>
      <c r="Z174" s="36" t="s">
        <v>3494</v>
      </c>
      <c r="AA174" s="36" t="s">
        <v>3558</v>
      </c>
      <c r="AB174" s="36">
        <f>IFERROR('Delivery Ops'!$U$12,"")</f>
        <v>0</v>
      </c>
      <c r="AC174" s="36"/>
      <c r="AD174" s="36"/>
      <c r="AE174" s="36"/>
      <c r="AF174" s="36" t="s">
        <v>3557</v>
      </c>
      <c r="AO174" s="48" t="str">
        <f>IF($B174="Yes",IFERROR(SUMIFS(_TECH_Crisis_Model!$D$5:$D$191,_TECH_Crisis_Model!$A$5:$A$191,'Crisis Simulator'!$B$4,_TECH_Crisis_Model!$B$5:$B$191,$C174),1),"")</f>
        <v/>
      </c>
      <c r="AP174" s="48" t="str">
        <f t="shared" si="43"/>
        <v/>
      </c>
      <c r="AQ174" s="48" t="str">
        <f t="shared" si="44"/>
        <v/>
      </c>
      <c r="AR174" s="48" t="str">
        <f>IFERROR(INDEX(_TECH_Crisis_Model!$E$5:$E$191,MATCH('Crisis Simulator'!$B$4&amp;"|"&amp;$C174,_TECH_Crisis_Model!$I$5:$I$191,0)),"")</f>
        <v>Delivery capacity, SLA control and operational handover determine customer continuity.</v>
      </c>
      <c r="AS174" s="48" t="str">
        <f>IFERROR(INDEX(_TECH_Crisis_Model!$G$5:$G$191,MATCH('Crisis Simulator'!$B$4&amp;"|"&amp;$C174,_TECH_Crisis_Model!$I$5:$I$191,0)),"")</f>
        <v>Define alternative delivery models, capacity buffers, SLA triage and incident recovery procedures.</v>
      </c>
      <c r="AT174" s="48" t="str">
        <f>IFERROR(INDEX(_TECH_Initiative_Library!$A$5:$A$76,MATCH(1,INDEX((_TECH_Initiative_Library!$B$5:$B$76=$C174)*(_TECH_Initiative_Library!$C$5:$C$76=$D174),0),0)),"")</f>
        <v>INI-029</v>
      </c>
      <c r="AU174" s="48" t="str">
        <f>IFERROR(INDEX(_TECH_Initiative_Library!$F$5:$F$76,MATCH(1,INDEX((_TECH_Initiative_Library!$B$5:$B$76=$C174)*(_TECH_Initiative_Library!$C$5:$C$76=$D174),0),0)),"")</f>
        <v>Build capacity resilience and delivery continuity model</v>
      </c>
      <c r="AV174" s="48" t="str">
        <f ca="1">IFERROR(INDEX(_TECH_Initiative_Library!$AC$5:$AC$76,MATCH(1,INDEX((_TECH_Initiative_Library!$B$5:$B$76=$C174)*(_TECH_Initiative_Library!$C$5:$C$76=$D174),0),0)),"")</f>
        <v/>
      </c>
      <c r="AW174" s="48" t="str">
        <f ca="1">IFERROR(INDEX(_TECH_Initiative_Library!$AE$5:$AE$76,MATCH(1,INDEX((_TECH_Initiative_Library!$B$5:$B$76=$C174)*(_TECH_Initiative_Library!$C$5:$C$76=$D174),0),0)),"")</f>
        <v/>
      </c>
      <c r="AX174" s="48" t="str">
        <f>IF($B174="Yes",IFERROR(SUMIFS(_TECH_Industry_Templates!$E:$E,_TECH_Industry_Templates!$A:$A,'Company Profile'!$B$9,_TECH_Industry_Templates!$B:$B,$C174),1),"")</f>
        <v/>
      </c>
      <c r="AY174" s="48" t="str">
        <f t="shared" si="45"/>
        <v/>
      </c>
      <c r="AZ174" s="48" t="str">
        <f t="shared" si="46"/>
        <v/>
      </c>
      <c r="BA174" s="48" t="str">
        <f>IF($AZ174="","",RANK.EQ($AZ174,$AZ$8:$AZ$414,0)+COUNTIF($AZ$8:$AZ174,$AZ174)-1)</f>
        <v/>
      </c>
    </row>
    <row r="175" spans="1:53" ht="69.95" customHeight="1">
      <c r="A175" s="36" t="str">
        <f>IF($AZ175="","",RANK.EQ($AZ175,$AZ$8:$AZ$414,0)+COUNTIF($AZ$8:$AZ175,$AZ175)-1)</f>
        <v/>
      </c>
      <c r="B175" s="36" t="str">
        <f t="shared" si="33"/>
        <v/>
      </c>
      <c r="C175" s="36" t="s">
        <v>75</v>
      </c>
      <c r="D175" s="36" t="s">
        <v>1272</v>
      </c>
      <c r="E175" s="36" t="s">
        <v>3566</v>
      </c>
      <c r="F175" s="36" t="s">
        <v>190</v>
      </c>
      <c r="G175" s="36" t="str">
        <f>IF($H175="","",IFERROR(INDEX('Risk Library'!$H$5:$M$411,MATCH($E175,'Risk Library'!$A$5:$A$411,0),$H175+1),""))</f>
        <v/>
      </c>
      <c r="H175" s="37" t="str">
        <f>IF(OR(COUNTA('Delivery Ops'!$H$13)=0,'Delivery Ops'!$H$13="N/A"),"",VALUE('Delivery Ops'!$H$13))</f>
        <v/>
      </c>
      <c r="I175" s="36" t="str">
        <f>IF($H175="","",IFERROR(IF('Delivery Ops'!$L$13="",IF($H175&lt;=1,"Critical",IF($H175=2,"High",IF($H175=3,"Medium",IF($H175=4,"Low","Resilient")))),'Delivery Ops'!$L$13),IF($H175&lt;=1,"Critical",IF($H175=2,"High",IF($H175=3,"Medium",IF($H175=4,"Low","Resilient"))))))</f>
        <v/>
      </c>
      <c r="J175" s="37" t="str">
        <f t="shared" si="34"/>
        <v/>
      </c>
      <c r="K175" s="37" t="str">
        <f t="shared" si="35"/>
        <v/>
      </c>
      <c r="L175" s="37" t="str">
        <f t="shared" si="36"/>
        <v/>
      </c>
      <c r="M175" s="37" t="str">
        <f t="shared" si="37"/>
        <v/>
      </c>
      <c r="N175" s="37" t="str">
        <f>IF($H175="","",IFERROR(INDEX('Risk Library'!$T$5:$Y$411,MATCH($E175,'Risk Library'!$A$5:$A$411,0),$H175+1),""))</f>
        <v/>
      </c>
      <c r="O175" s="37" t="str">
        <f t="shared" si="38"/>
        <v/>
      </c>
      <c r="P175" s="37" t="str">
        <f t="shared" si="39"/>
        <v/>
      </c>
      <c r="Q175" s="37" t="str">
        <f t="shared" si="40"/>
        <v/>
      </c>
      <c r="R175" s="37" t="str">
        <f t="shared" si="41"/>
        <v/>
      </c>
      <c r="S175" s="38" t="str">
        <f t="shared" si="42"/>
        <v/>
      </c>
      <c r="T175" s="36" t="str">
        <f>IF($H175="","",IFERROR(INDEX('Risk Library'!$N$5:$S$411,MATCH($E175,'Risk Library'!$A$5:$A$411,0),$H175+1),""))</f>
        <v/>
      </c>
      <c r="U175" s="37">
        <f>IFERROR('Delivery Ops'!$G$13,"")</f>
        <v>3</v>
      </c>
      <c r="V175" s="37">
        <f>IFERROR('Delivery Ops'!$W$13,"")</f>
        <v>4</v>
      </c>
      <c r="W175" s="37">
        <f>IFERROR('Delivery Ops'!$X$13,"")</f>
        <v>5</v>
      </c>
      <c r="X175" s="37">
        <f>IFERROR('Delivery Ops'!$Y$13,"")</f>
        <v>5</v>
      </c>
      <c r="Y175" s="36" t="s">
        <v>3493</v>
      </c>
      <c r="Z175" s="36" t="s">
        <v>3494</v>
      </c>
      <c r="AA175" s="36" t="s">
        <v>3568</v>
      </c>
      <c r="AB175" s="36">
        <f>IFERROR('Delivery Ops'!$U$13,"")</f>
        <v>0</v>
      </c>
      <c r="AC175" s="36"/>
      <c r="AD175" s="36"/>
      <c r="AE175" s="36"/>
      <c r="AF175" s="36" t="s">
        <v>3567</v>
      </c>
      <c r="AO175" s="48" t="str">
        <f>IF($B175="Yes",IFERROR(SUMIFS(_TECH_Crisis_Model!$D$5:$D$191,_TECH_Crisis_Model!$A$5:$A$191,'Crisis Simulator'!$B$4,_TECH_Crisis_Model!$B$5:$B$191,$C175),1),"")</f>
        <v/>
      </c>
      <c r="AP175" s="48" t="str">
        <f t="shared" si="43"/>
        <v/>
      </c>
      <c r="AQ175" s="48" t="str">
        <f t="shared" si="44"/>
        <v/>
      </c>
      <c r="AR175" s="48" t="str">
        <f>IFERROR(INDEX(_TECH_Crisis_Model!$E$5:$E$191,MATCH('Crisis Simulator'!$B$4&amp;"|"&amp;$C175,_TECH_Crisis_Model!$I$5:$I$191,0)),"")</f>
        <v>Delivery capacity, SLA control and operational handover determine customer continuity.</v>
      </c>
      <c r="AS175" s="48" t="str">
        <f>IFERROR(INDEX(_TECH_Crisis_Model!$G$5:$G$191,MATCH('Crisis Simulator'!$B$4&amp;"|"&amp;$C175,_TECH_Crisis_Model!$I$5:$I$191,0)),"")</f>
        <v>Define alternative delivery models, capacity buffers, SLA triage and incident recovery procedures.</v>
      </c>
      <c r="AT175" s="48" t="str">
        <f>IFERROR(INDEX(_TECH_Initiative_Library!$A$5:$A$76,MATCH(1,INDEX((_TECH_Initiative_Library!$B$5:$B$76=$C175)*(_TECH_Initiative_Library!$C$5:$C$76=$D175),0),0)),"")</f>
        <v>INI-029</v>
      </c>
      <c r="AU175" s="48" t="str">
        <f>IFERROR(INDEX(_TECH_Initiative_Library!$F$5:$F$76,MATCH(1,INDEX((_TECH_Initiative_Library!$B$5:$B$76=$C175)*(_TECH_Initiative_Library!$C$5:$C$76=$D175),0),0)),"")</f>
        <v>Build capacity resilience and delivery continuity model</v>
      </c>
      <c r="AV175" s="48" t="str">
        <f ca="1">IFERROR(INDEX(_TECH_Initiative_Library!$AC$5:$AC$76,MATCH(1,INDEX((_TECH_Initiative_Library!$B$5:$B$76=$C175)*(_TECH_Initiative_Library!$C$5:$C$76=$D175),0),0)),"")</f>
        <v/>
      </c>
      <c r="AW175" s="48" t="str">
        <f ca="1">IFERROR(INDEX(_TECH_Initiative_Library!$AE$5:$AE$76,MATCH(1,INDEX((_TECH_Initiative_Library!$B$5:$B$76=$C175)*(_TECH_Initiative_Library!$C$5:$C$76=$D175),0),0)),"")</f>
        <v/>
      </c>
      <c r="AX175" s="48" t="str">
        <f>IF($B175="Yes",IFERROR(SUMIFS(_TECH_Industry_Templates!$E:$E,_TECH_Industry_Templates!$A:$A,'Company Profile'!$B$9,_TECH_Industry_Templates!$B:$B,$C175),1),"")</f>
        <v/>
      </c>
      <c r="AY175" s="48" t="str">
        <f t="shared" si="45"/>
        <v/>
      </c>
      <c r="AZ175" s="48" t="str">
        <f t="shared" si="46"/>
        <v/>
      </c>
      <c r="BA175" s="48" t="str">
        <f>IF($AZ175="","",RANK.EQ($AZ175,$AZ$8:$AZ$414,0)+COUNTIF($AZ$8:$AZ175,$AZ175)-1)</f>
        <v/>
      </c>
    </row>
    <row r="176" spans="1:53" ht="69.95" customHeight="1">
      <c r="A176" s="36" t="str">
        <f>IF($AZ176="","",RANK.EQ($AZ176,$AZ$8:$AZ$414,0)+COUNTIF($AZ$8:$AZ176,$AZ176)-1)</f>
        <v/>
      </c>
      <c r="B176" s="36" t="str">
        <f t="shared" si="33"/>
        <v/>
      </c>
      <c r="C176" s="36" t="s">
        <v>75</v>
      </c>
      <c r="D176" s="36" t="s">
        <v>1272</v>
      </c>
      <c r="E176" s="36" t="s">
        <v>3576</v>
      </c>
      <c r="F176" s="36" t="s">
        <v>190</v>
      </c>
      <c r="G176" s="36" t="str">
        <f>IF($H176="","",IFERROR(INDEX('Risk Library'!$H$5:$M$411,MATCH($E176,'Risk Library'!$A$5:$A$411,0),$H176+1),""))</f>
        <v/>
      </c>
      <c r="H176" s="37" t="str">
        <f>IF(OR(COUNTA('Delivery Ops'!$H$14)=0,'Delivery Ops'!$H$14="N/A"),"",VALUE('Delivery Ops'!$H$14))</f>
        <v/>
      </c>
      <c r="I176" s="36" t="str">
        <f>IF($H176="","",IFERROR(IF('Delivery Ops'!$L$14="",IF($H176&lt;=1,"Critical",IF($H176=2,"High",IF($H176=3,"Medium",IF($H176=4,"Low","Resilient")))),'Delivery Ops'!$L$14),IF($H176&lt;=1,"Critical",IF($H176=2,"High",IF($H176=3,"Medium",IF($H176=4,"Low","Resilient"))))))</f>
        <v/>
      </c>
      <c r="J176" s="37" t="str">
        <f t="shared" si="34"/>
        <v/>
      </c>
      <c r="K176" s="37" t="str">
        <f t="shared" si="35"/>
        <v/>
      </c>
      <c r="L176" s="37" t="str">
        <f t="shared" si="36"/>
        <v/>
      </c>
      <c r="M176" s="37" t="str">
        <f t="shared" si="37"/>
        <v/>
      </c>
      <c r="N176" s="37" t="str">
        <f>IF($H176="","",IFERROR(INDEX('Risk Library'!$T$5:$Y$411,MATCH($E176,'Risk Library'!$A$5:$A$411,0),$H176+1),""))</f>
        <v/>
      </c>
      <c r="O176" s="37" t="str">
        <f t="shared" si="38"/>
        <v/>
      </c>
      <c r="P176" s="37" t="str">
        <f t="shared" si="39"/>
        <v/>
      </c>
      <c r="Q176" s="37" t="str">
        <f t="shared" si="40"/>
        <v/>
      </c>
      <c r="R176" s="37" t="str">
        <f t="shared" si="41"/>
        <v/>
      </c>
      <c r="S176" s="38" t="str">
        <f t="shared" si="42"/>
        <v/>
      </c>
      <c r="T176" s="36" t="str">
        <f>IF($H176="","",IFERROR(INDEX('Risk Library'!$N$5:$S$411,MATCH($E176,'Risk Library'!$A$5:$A$411,0),$H176+1),""))</f>
        <v/>
      </c>
      <c r="U176" s="37">
        <f>IFERROR('Delivery Ops'!$G$14,"")</f>
        <v>5</v>
      </c>
      <c r="V176" s="37">
        <f>IFERROR('Delivery Ops'!$W$14,"")</f>
        <v>4</v>
      </c>
      <c r="W176" s="37">
        <f>IFERROR('Delivery Ops'!$X$14,"")</f>
        <v>5</v>
      </c>
      <c r="X176" s="37">
        <f>IFERROR('Delivery Ops'!$Y$14,"")</f>
        <v>5</v>
      </c>
      <c r="Y176" s="36" t="s">
        <v>3493</v>
      </c>
      <c r="Z176" s="36" t="s">
        <v>3494</v>
      </c>
      <c r="AA176" s="36" t="s">
        <v>3578</v>
      </c>
      <c r="AB176" s="36">
        <f>IFERROR('Delivery Ops'!$U$14,"")</f>
        <v>0</v>
      </c>
      <c r="AC176" s="36"/>
      <c r="AD176" s="36"/>
      <c r="AE176" s="36"/>
      <c r="AF176" s="36" t="s">
        <v>3577</v>
      </c>
      <c r="AO176" s="48" t="str">
        <f>IF($B176="Yes",IFERROR(SUMIFS(_TECH_Crisis_Model!$D$5:$D$191,_TECH_Crisis_Model!$A$5:$A$191,'Crisis Simulator'!$B$4,_TECH_Crisis_Model!$B$5:$B$191,$C176),1),"")</f>
        <v/>
      </c>
      <c r="AP176" s="48" t="str">
        <f t="shared" si="43"/>
        <v/>
      </c>
      <c r="AQ176" s="48" t="str">
        <f t="shared" si="44"/>
        <v/>
      </c>
      <c r="AR176" s="48" t="str">
        <f>IFERROR(INDEX(_TECH_Crisis_Model!$E$5:$E$191,MATCH('Crisis Simulator'!$B$4&amp;"|"&amp;$C176,_TECH_Crisis_Model!$I$5:$I$191,0)),"")</f>
        <v>Delivery capacity, SLA control and operational handover determine customer continuity.</v>
      </c>
      <c r="AS176" s="48" t="str">
        <f>IFERROR(INDEX(_TECH_Crisis_Model!$G$5:$G$191,MATCH('Crisis Simulator'!$B$4&amp;"|"&amp;$C176,_TECH_Crisis_Model!$I$5:$I$191,0)),"")</f>
        <v>Define alternative delivery models, capacity buffers, SLA triage and incident recovery procedures.</v>
      </c>
      <c r="AT176" s="48" t="str">
        <f>IFERROR(INDEX(_TECH_Initiative_Library!$A$5:$A$76,MATCH(1,INDEX((_TECH_Initiative_Library!$B$5:$B$76=$C176)*(_TECH_Initiative_Library!$C$5:$C$76=$D176),0),0)),"")</f>
        <v>INI-029</v>
      </c>
      <c r="AU176" s="48" t="str">
        <f>IFERROR(INDEX(_TECH_Initiative_Library!$F$5:$F$76,MATCH(1,INDEX((_TECH_Initiative_Library!$B$5:$B$76=$C176)*(_TECH_Initiative_Library!$C$5:$C$76=$D176),0),0)),"")</f>
        <v>Build capacity resilience and delivery continuity model</v>
      </c>
      <c r="AV176" s="48" t="str">
        <f ca="1">IFERROR(INDEX(_TECH_Initiative_Library!$AC$5:$AC$76,MATCH(1,INDEX((_TECH_Initiative_Library!$B$5:$B$76=$C176)*(_TECH_Initiative_Library!$C$5:$C$76=$D176),0),0)),"")</f>
        <v/>
      </c>
      <c r="AW176" s="48" t="str">
        <f ca="1">IFERROR(INDEX(_TECH_Initiative_Library!$AE$5:$AE$76,MATCH(1,INDEX((_TECH_Initiative_Library!$B$5:$B$76=$C176)*(_TECH_Initiative_Library!$C$5:$C$76=$D176),0),0)),"")</f>
        <v/>
      </c>
      <c r="AX176" s="48" t="str">
        <f>IF($B176="Yes",IFERROR(SUMIFS(_TECH_Industry_Templates!$E:$E,_TECH_Industry_Templates!$A:$A,'Company Profile'!$B$9,_TECH_Industry_Templates!$B:$B,$C176),1),"")</f>
        <v/>
      </c>
      <c r="AY176" s="48" t="str">
        <f t="shared" si="45"/>
        <v/>
      </c>
      <c r="AZ176" s="48" t="str">
        <f t="shared" si="46"/>
        <v/>
      </c>
      <c r="BA176" s="48" t="str">
        <f>IF($AZ176="","",RANK.EQ($AZ176,$AZ$8:$AZ$414,0)+COUNTIF($AZ$8:$AZ176,$AZ176)-1)</f>
        <v/>
      </c>
    </row>
    <row r="177" spans="1:53" ht="69.95" customHeight="1">
      <c r="A177" s="36" t="str">
        <f>IF($AZ177="","",RANK.EQ($AZ177,$AZ$8:$AZ$414,0)+COUNTIF($AZ$8:$AZ177,$AZ177)-1)</f>
        <v/>
      </c>
      <c r="B177" s="36" t="str">
        <f t="shared" si="33"/>
        <v/>
      </c>
      <c r="C177" s="36" t="s">
        <v>75</v>
      </c>
      <c r="D177" s="36" t="s">
        <v>1272</v>
      </c>
      <c r="E177" s="36" t="s">
        <v>3586</v>
      </c>
      <c r="F177" s="36" t="s">
        <v>190</v>
      </c>
      <c r="G177" s="36" t="str">
        <f>IF($H177="","",IFERROR(INDEX('Risk Library'!$H$5:$M$411,MATCH($E177,'Risk Library'!$A$5:$A$411,0),$H177+1),""))</f>
        <v/>
      </c>
      <c r="H177" s="37" t="str">
        <f>IF(OR(COUNTA('Delivery Ops'!$H$15)=0,'Delivery Ops'!$H$15="N/A"),"",VALUE('Delivery Ops'!$H$15))</f>
        <v/>
      </c>
      <c r="I177" s="36" t="str">
        <f>IF($H177="","",IFERROR(IF('Delivery Ops'!$L$15="",IF($H177&lt;=1,"Critical",IF($H177=2,"High",IF($H177=3,"Medium",IF($H177=4,"Low","Resilient")))),'Delivery Ops'!$L$15),IF($H177&lt;=1,"Critical",IF($H177=2,"High",IF($H177=3,"Medium",IF($H177=4,"Low","Resilient"))))))</f>
        <v/>
      </c>
      <c r="J177" s="37" t="str">
        <f t="shared" si="34"/>
        <v/>
      </c>
      <c r="K177" s="37" t="str">
        <f t="shared" si="35"/>
        <v/>
      </c>
      <c r="L177" s="37" t="str">
        <f t="shared" si="36"/>
        <v/>
      </c>
      <c r="M177" s="37" t="str">
        <f t="shared" si="37"/>
        <v/>
      </c>
      <c r="N177" s="37" t="str">
        <f>IF($H177="","",IFERROR(INDEX('Risk Library'!$T$5:$Y$411,MATCH($E177,'Risk Library'!$A$5:$A$411,0),$H177+1),""))</f>
        <v/>
      </c>
      <c r="O177" s="37" t="str">
        <f t="shared" si="38"/>
        <v/>
      </c>
      <c r="P177" s="37" t="str">
        <f t="shared" si="39"/>
        <v/>
      </c>
      <c r="Q177" s="37" t="str">
        <f t="shared" si="40"/>
        <v/>
      </c>
      <c r="R177" s="37" t="str">
        <f t="shared" si="41"/>
        <v/>
      </c>
      <c r="S177" s="38" t="str">
        <f t="shared" si="42"/>
        <v/>
      </c>
      <c r="T177" s="36" t="str">
        <f>IF($H177="","",IFERROR(INDEX('Risk Library'!$N$5:$S$411,MATCH($E177,'Risk Library'!$A$5:$A$411,0),$H177+1),""))</f>
        <v/>
      </c>
      <c r="U177" s="37">
        <f>IFERROR('Delivery Ops'!$G$15,"")</f>
        <v>5</v>
      </c>
      <c r="V177" s="37">
        <f>IFERROR('Delivery Ops'!$W$15,"")</f>
        <v>4</v>
      </c>
      <c r="W177" s="37">
        <f>IFERROR('Delivery Ops'!$X$15,"")</f>
        <v>5</v>
      </c>
      <c r="X177" s="37">
        <f>IFERROR('Delivery Ops'!$Y$15,"")</f>
        <v>5</v>
      </c>
      <c r="Y177" s="36" t="s">
        <v>3493</v>
      </c>
      <c r="Z177" s="36" t="s">
        <v>3494</v>
      </c>
      <c r="AA177" s="36" t="s">
        <v>3588</v>
      </c>
      <c r="AB177" s="36">
        <f>IFERROR('Delivery Ops'!$U$15,"")</f>
        <v>0</v>
      </c>
      <c r="AC177" s="36"/>
      <c r="AD177" s="36"/>
      <c r="AE177" s="36"/>
      <c r="AF177" s="36" t="s">
        <v>3587</v>
      </c>
      <c r="AO177" s="48" t="str">
        <f>IF($B177="Yes",IFERROR(SUMIFS(_TECH_Crisis_Model!$D$5:$D$191,_TECH_Crisis_Model!$A$5:$A$191,'Crisis Simulator'!$B$4,_TECH_Crisis_Model!$B$5:$B$191,$C177),1),"")</f>
        <v/>
      </c>
      <c r="AP177" s="48" t="str">
        <f t="shared" si="43"/>
        <v/>
      </c>
      <c r="AQ177" s="48" t="str">
        <f t="shared" si="44"/>
        <v/>
      </c>
      <c r="AR177" s="48" t="str">
        <f>IFERROR(INDEX(_TECH_Crisis_Model!$E$5:$E$191,MATCH('Crisis Simulator'!$B$4&amp;"|"&amp;$C177,_TECH_Crisis_Model!$I$5:$I$191,0)),"")</f>
        <v>Delivery capacity, SLA control and operational handover determine customer continuity.</v>
      </c>
      <c r="AS177" s="48" t="str">
        <f>IFERROR(INDEX(_TECH_Crisis_Model!$G$5:$G$191,MATCH('Crisis Simulator'!$B$4&amp;"|"&amp;$C177,_TECH_Crisis_Model!$I$5:$I$191,0)),"")</f>
        <v>Define alternative delivery models, capacity buffers, SLA triage and incident recovery procedures.</v>
      </c>
      <c r="AT177" s="48" t="str">
        <f>IFERROR(INDEX(_TECH_Initiative_Library!$A$5:$A$76,MATCH(1,INDEX((_TECH_Initiative_Library!$B$5:$B$76=$C177)*(_TECH_Initiative_Library!$C$5:$C$76=$D177),0),0)),"")</f>
        <v>INI-029</v>
      </c>
      <c r="AU177" s="48" t="str">
        <f>IFERROR(INDEX(_TECH_Initiative_Library!$F$5:$F$76,MATCH(1,INDEX((_TECH_Initiative_Library!$B$5:$B$76=$C177)*(_TECH_Initiative_Library!$C$5:$C$76=$D177),0),0)),"")</f>
        <v>Build capacity resilience and delivery continuity model</v>
      </c>
      <c r="AV177" s="48" t="str">
        <f ca="1">IFERROR(INDEX(_TECH_Initiative_Library!$AC$5:$AC$76,MATCH(1,INDEX((_TECH_Initiative_Library!$B$5:$B$76=$C177)*(_TECH_Initiative_Library!$C$5:$C$76=$D177),0),0)),"")</f>
        <v/>
      </c>
      <c r="AW177" s="48" t="str">
        <f ca="1">IFERROR(INDEX(_TECH_Initiative_Library!$AE$5:$AE$76,MATCH(1,INDEX((_TECH_Initiative_Library!$B$5:$B$76=$C177)*(_TECH_Initiative_Library!$C$5:$C$76=$D177),0),0)),"")</f>
        <v/>
      </c>
      <c r="AX177" s="48" t="str">
        <f>IF($B177="Yes",IFERROR(SUMIFS(_TECH_Industry_Templates!$E:$E,_TECH_Industry_Templates!$A:$A,'Company Profile'!$B$9,_TECH_Industry_Templates!$B:$B,$C177),1),"")</f>
        <v/>
      </c>
      <c r="AY177" s="48" t="str">
        <f t="shared" si="45"/>
        <v/>
      </c>
      <c r="AZ177" s="48" t="str">
        <f t="shared" si="46"/>
        <v/>
      </c>
      <c r="BA177" s="48" t="str">
        <f>IF($AZ177="","",RANK.EQ($AZ177,$AZ$8:$AZ$414,0)+COUNTIF($AZ$8:$AZ177,$AZ177)-1)</f>
        <v/>
      </c>
    </row>
    <row r="178" spans="1:53" ht="69.95" customHeight="1">
      <c r="A178" s="36" t="str">
        <f>IF($AZ178="","",RANK.EQ($AZ178,$AZ$8:$AZ$414,0)+COUNTIF($AZ$8:$AZ178,$AZ178)-1)</f>
        <v/>
      </c>
      <c r="B178" s="36" t="str">
        <f t="shared" si="33"/>
        <v/>
      </c>
      <c r="C178" s="36" t="s">
        <v>75</v>
      </c>
      <c r="D178" s="36" t="s">
        <v>1272</v>
      </c>
      <c r="E178" s="36" t="s">
        <v>3596</v>
      </c>
      <c r="F178" s="36" t="s">
        <v>190</v>
      </c>
      <c r="G178" s="36" t="str">
        <f>IF($H178="","",IFERROR(INDEX('Risk Library'!$H$5:$M$411,MATCH($E178,'Risk Library'!$A$5:$A$411,0),$H178+1),""))</f>
        <v/>
      </c>
      <c r="H178" s="37" t="str">
        <f>IF(OR(COUNTA('Delivery Ops'!$H$16)=0,'Delivery Ops'!$H$16="N/A"),"",VALUE('Delivery Ops'!$H$16))</f>
        <v/>
      </c>
      <c r="I178" s="36" t="str">
        <f>IF($H178="","",IFERROR(IF('Delivery Ops'!$L$16="",IF($H178&lt;=1,"Critical",IF($H178=2,"High",IF($H178=3,"Medium",IF($H178=4,"Low","Resilient")))),'Delivery Ops'!$L$16),IF($H178&lt;=1,"Critical",IF($H178=2,"High",IF($H178=3,"Medium",IF($H178=4,"Low","Resilient"))))))</f>
        <v/>
      </c>
      <c r="J178" s="37" t="str">
        <f t="shared" si="34"/>
        <v/>
      </c>
      <c r="K178" s="37" t="str">
        <f t="shared" si="35"/>
        <v/>
      </c>
      <c r="L178" s="37" t="str">
        <f t="shared" si="36"/>
        <v/>
      </c>
      <c r="M178" s="37" t="str">
        <f t="shared" si="37"/>
        <v/>
      </c>
      <c r="N178" s="37" t="str">
        <f>IF($H178="","",IFERROR(INDEX('Risk Library'!$T$5:$Y$411,MATCH($E178,'Risk Library'!$A$5:$A$411,0),$H178+1),""))</f>
        <v/>
      </c>
      <c r="O178" s="37" t="str">
        <f t="shared" si="38"/>
        <v/>
      </c>
      <c r="P178" s="37" t="str">
        <f t="shared" si="39"/>
        <v/>
      </c>
      <c r="Q178" s="37" t="str">
        <f t="shared" si="40"/>
        <v/>
      </c>
      <c r="R178" s="37" t="str">
        <f t="shared" si="41"/>
        <v/>
      </c>
      <c r="S178" s="38" t="str">
        <f t="shared" si="42"/>
        <v/>
      </c>
      <c r="T178" s="36" t="str">
        <f>IF($H178="","",IFERROR(INDEX('Risk Library'!$N$5:$S$411,MATCH($E178,'Risk Library'!$A$5:$A$411,0),$H178+1),""))</f>
        <v/>
      </c>
      <c r="U178" s="37">
        <f>IFERROR('Delivery Ops'!$G$16,"")</f>
        <v>5</v>
      </c>
      <c r="V178" s="37">
        <f>IFERROR('Delivery Ops'!$W$16,"")</f>
        <v>4</v>
      </c>
      <c r="W178" s="37">
        <f>IFERROR('Delivery Ops'!$X$16,"")</f>
        <v>5</v>
      </c>
      <c r="X178" s="37">
        <f>IFERROR('Delivery Ops'!$Y$16,"")</f>
        <v>5</v>
      </c>
      <c r="Y178" s="36" t="s">
        <v>3493</v>
      </c>
      <c r="Z178" s="36" t="s">
        <v>3494</v>
      </c>
      <c r="AA178" s="36" t="s">
        <v>3598</v>
      </c>
      <c r="AB178" s="36">
        <f>IFERROR('Delivery Ops'!$U$16,"")</f>
        <v>0</v>
      </c>
      <c r="AC178" s="36"/>
      <c r="AD178" s="36"/>
      <c r="AE178" s="36"/>
      <c r="AF178" s="36" t="s">
        <v>3597</v>
      </c>
      <c r="AO178" s="48" t="str">
        <f>IF($B178="Yes",IFERROR(SUMIFS(_TECH_Crisis_Model!$D$5:$D$191,_TECH_Crisis_Model!$A$5:$A$191,'Crisis Simulator'!$B$4,_TECH_Crisis_Model!$B$5:$B$191,$C178),1),"")</f>
        <v/>
      </c>
      <c r="AP178" s="48" t="str">
        <f t="shared" si="43"/>
        <v/>
      </c>
      <c r="AQ178" s="48" t="str">
        <f t="shared" si="44"/>
        <v/>
      </c>
      <c r="AR178" s="48" t="str">
        <f>IFERROR(INDEX(_TECH_Crisis_Model!$E$5:$E$191,MATCH('Crisis Simulator'!$B$4&amp;"|"&amp;$C178,_TECH_Crisis_Model!$I$5:$I$191,0)),"")</f>
        <v>Delivery capacity, SLA control and operational handover determine customer continuity.</v>
      </c>
      <c r="AS178" s="48" t="str">
        <f>IFERROR(INDEX(_TECH_Crisis_Model!$G$5:$G$191,MATCH('Crisis Simulator'!$B$4&amp;"|"&amp;$C178,_TECH_Crisis_Model!$I$5:$I$191,0)),"")</f>
        <v>Define alternative delivery models, capacity buffers, SLA triage and incident recovery procedures.</v>
      </c>
      <c r="AT178" s="48" t="str">
        <f>IFERROR(INDEX(_TECH_Initiative_Library!$A$5:$A$76,MATCH(1,INDEX((_TECH_Initiative_Library!$B$5:$B$76=$C178)*(_TECH_Initiative_Library!$C$5:$C$76=$D178),0),0)),"")</f>
        <v>INI-029</v>
      </c>
      <c r="AU178" s="48" t="str">
        <f>IFERROR(INDEX(_TECH_Initiative_Library!$F$5:$F$76,MATCH(1,INDEX((_TECH_Initiative_Library!$B$5:$B$76=$C178)*(_TECH_Initiative_Library!$C$5:$C$76=$D178),0),0)),"")</f>
        <v>Build capacity resilience and delivery continuity model</v>
      </c>
      <c r="AV178" s="48" t="str">
        <f ca="1">IFERROR(INDEX(_TECH_Initiative_Library!$AC$5:$AC$76,MATCH(1,INDEX((_TECH_Initiative_Library!$B$5:$B$76=$C178)*(_TECH_Initiative_Library!$C$5:$C$76=$D178),0),0)),"")</f>
        <v/>
      </c>
      <c r="AW178" s="48" t="str">
        <f ca="1">IFERROR(INDEX(_TECH_Initiative_Library!$AE$5:$AE$76,MATCH(1,INDEX((_TECH_Initiative_Library!$B$5:$B$76=$C178)*(_TECH_Initiative_Library!$C$5:$C$76=$D178),0),0)),"")</f>
        <v/>
      </c>
      <c r="AX178" s="48" t="str">
        <f>IF($B178="Yes",IFERROR(SUMIFS(_TECH_Industry_Templates!$E:$E,_TECH_Industry_Templates!$A:$A,'Company Profile'!$B$9,_TECH_Industry_Templates!$B:$B,$C178),1),"")</f>
        <v/>
      </c>
      <c r="AY178" s="48" t="str">
        <f t="shared" si="45"/>
        <v/>
      </c>
      <c r="AZ178" s="48" t="str">
        <f t="shared" si="46"/>
        <v/>
      </c>
      <c r="BA178" s="48" t="str">
        <f>IF($AZ178="","",RANK.EQ($AZ178,$AZ$8:$AZ$414,0)+COUNTIF($AZ$8:$AZ178,$AZ178)-1)</f>
        <v/>
      </c>
    </row>
    <row r="179" spans="1:53" ht="69.95" customHeight="1">
      <c r="A179" s="36" t="str">
        <f>IF($AZ179="","",RANK.EQ($AZ179,$AZ$8:$AZ$414,0)+COUNTIF($AZ$8:$AZ179,$AZ179)-1)</f>
        <v/>
      </c>
      <c r="B179" s="36" t="str">
        <f t="shared" si="33"/>
        <v/>
      </c>
      <c r="C179" s="36" t="s">
        <v>75</v>
      </c>
      <c r="D179" s="36" t="s">
        <v>1280</v>
      </c>
      <c r="E179" s="36" t="s">
        <v>3606</v>
      </c>
      <c r="F179" s="36" t="s">
        <v>190</v>
      </c>
      <c r="G179" s="36" t="str">
        <f>IF($H179="","",IFERROR(INDEX('Risk Library'!$H$5:$M$411,MATCH($E179,'Risk Library'!$A$5:$A$411,0),$H179+1),""))</f>
        <v/>
      </c>
      <c r="H179" s="37" t="str">
        <f>IF(OR(COUNTA('Delivery Ops'!$H$17)=0,'Delivery Ops'!$H$17="N/A"),"",VALUE('Delivery Ops'!$H$17))</f>
        <v/>
      </c>
      <c r="I179" s="36" t="str">
        <f>IF($H179="","",IFERROR(IF('Delivery Ops'!$L$17="",IF($H179&lt;=1,"Critical",IF($H179=2,"High",IF($H179=3,"Medium",IF($H179=4,"Low","Resilient")))),'Delivery Ops'!$L$17),IF($H179&lt;=1,"Critical",IF($H179=2,"High",IF($H179=3,"Medium",IF($H179=4,"Low","Resilient"))))))</f>
        <v/>
      </c>
      <c r="J179" s="37" t="str">
        <f t="shared" si="34"/>
        <v/>
      </c>
      <c r="K179" s="37" t="str">
        <f t="shared" si="35"/>
        <v/>
      </c>
      <c r="L179" s="37" t="str">
        <f t="shared" si="36"/>
        <v/>
      </c>
      <c r="M179" s="37" t="str">
        <f t="shared" si="37"/>
        <v/>
      </c>
      <c r="N179" s="37" t="str">
        <f>IF($H179="","",IFERROR(INDEX('Risk Library'!$T$5:$Y$411,MATCH($E179,'Risk Library'!$A$5:$A$411,0),$H179+1),""))</f>
        <v/>
      </c>
      <c r="O179" s="37" t="str">
        <f t="shared" si="38"/>
        <v/>
      </c>
      <c r="P179" s="37" t="str">
        <f t="shared" si="39"/>
        <v/>
      </c>
      <c r="Q179" s="37" t="str">
        <f t="shared" si="40"/>
        <v/>
      </c>
      <c r="R179" s="37" t="str">
        <f t="shared" si="41"/>
        <v/>
      </c>
      <c r="S179" s="38" t="str">
        <f t="shared" si="42"/>
        <v/>
      </c>
      <c r="T179" s="36" t="str">
        <f>IF($H179="","",IFERROR(INDEX('Risk Library'!$N$5:$S$411,MATCH($E179,'Risk Library'!$A$5:$A$411,0),$H179+1),""))</f>
        <v/>
      </c>
      <c r="U179" s="37">
        <f>IFERROR('Delivery Ops'!$G$17,"")</f>
        <v>5</v>
      </c>
      <c r="V179" s="37">
        <f>IFERROR('Delivery Ops'!$W$17,"")</f>
        <v>4</v>
      </c>
      <c r="W179" s="37">
        <f>IFERROR('Delivery Ops'!$X$17,"")</f>
        <v>5</v>
      </c>
      <c r="X179" s="37">
        <f>IFERROR('Delivery Ops'!$Y$17,"")</f>
        <v>5</v>
      </c>
      <c r="Y179" s="36" t="s">
        <v>3493</v>
      </c>
      <c r="Z179" s="36" t="s">
        <v>3494</v>
      </c>
      <c r="AA179" s="36" t="s">
        <v>3608</v>
      </c>
      <c r="AB179" s="36">
        <f>IFERROR('Delivery Ops'!$U$17,"")</f>
        <v>0</v>
      </c>
      <c r="AC179" s="36"/>
      <c r="AD179" s="36"/>
      <c r="AE179" s="36"/>
      <c r="AF179" s="36" t="s">
        <v>3607</v>
      </c>
      <c r="AO179" s="48" t="str">
        <f>IF($B179="Yes",IFERROR(SUMIFS(_TECH_Crisis_Model!$D$5:$D$191,_TECH_Crisis_Model!$A$5:$A$191,'Crisis Simulator'!$B$4,_TECH_Crisis_Model!$B$5:$B$191,$C179),1),"")</f>
        <v/>
      </c>
      <c r="AP179" s="48" t="str">
        <f t="shared" si="43"/>
        <v/>
      </c>
      <c r="AQ179" s="48" t="str">
        <f t="shared" si="44"/>
        <v/>
      </c>
      <c r="AR179" s="48" t="str">
        <f>IFERROR(INDEX(_TECH_Crisis_Model!$E$5:$E$191,MATCH('Crisis Simulator'!$B$4&amp;"|"&amp;$C179,_TECH_Crisis_Model!$I$5:$I$191,0)),"")</f>
        <v>Delivery capacity, SLA control and operational handover determine customer continuity.</v>
      </c>
      <c r="AS179" s="48" t="str">
        <f>IFERROR(INDEX(_TECH_Crisis_Model!$G$5:$G$191,MATCH('Crisis Simulator'!$B$4&amp;"|"&amp;$C179,_TECH_Crisis_Model!$I$5:$I$191,0)),"")</f>
        <v>Define alternative delivery models, capacity buffers, SLA triage and incident recovery procedures.</v>
      </c>
      <c r="AT179" s="48" t="str">
        <f>IFERROR(INDEX(_TECH_Initiative_Library!$A$5:$A$76,MATCH(1,INDEX((_TECH_Initiative_Library!$B$5:$B$76=$C179)*(_TECH_Initiative_Library!$C$5:$C$76=$D179),0),0)),"")</f>
        <v>INI-030</v>
      </c>
      <c r="AU179" s="48" t="str">
        <f>IFERROR(INDEX(_TECH_Initiative_Library!$F$5:$F$76,MATCH(1,INDEX((_TECH_Initiative_Library!$B$5:$B$76=$C179)*(_TECH_Initiative_Library!$C$5:$C$76=$D179),0),0)),"")</f>
        <v>Strengthen process control, SOPs and operational quality gates</v>
      </c>
      <c r="AV179" s="48" t="str">
        <f ca="1">IFERROR(INDEX(_TECH_Initiative_Library!$AC$5:$AC$76,MATCH(1,INDEX((_TECH_Initiative_Library!$B$5:$B$76=$C179)*(_TECH_Initiative_Library!$C$5:$C$76=$D179),0),0)),"")</f>
        <v/>
      </c>
      <c r="AW179" s="48" t="str">
        <f ca="1">IFERROR(INDEX(_TECH_Initiative_Library!$AE$5:$AE$76,MATCH(1,INDEX((_TECH_Initiative_Library!$B$5:$B$76=$C179)*(_TECH_Initiative_Library!$C$5:$C$76=$D179),0),0)),"")</f>
        <v/>
      </c>
      <c r="AX179" s="48" t="str">
        <f>IF($B179="Yes",IFERROR(SUMIFS(_TECH_Industry_Templates!$E:$E,_TECH_Industry_Templates!$A:$A,'Company Profile'!$B$9,_TECH_Industry_Templates!$B:$B,$C179),1),"")</f>
        <v/>
      </c>
      <c r="AY179" s="48" t="str">
        <f t="shared" si="45"/>
        <v/>
      </c>
      <c r="AZ179" s="48" t="str">
        <f t="shared" si="46"/>
        <v/>
      </c>
      <c r="BA179" s="48" t="str">
        <f>IF($AZ179="","",RANK.EQ($AZ179,$AZ$8:$AZ$414,0)+COUNTIF($AZ$8:$AZ179,$AZ179)-1)</f>
        <v/>
      </c>
    </row>
    <row r="180" spans="1:53" ht="69.95" customHeight="1">
      <c r="A180" s="36" t="str">
        <f>IF($AZ180="","",RANK.EQ($AZ180,$AZ$8:$AZ$414,0)+COUNTIF($AZ$8:$AZ180,$AZ180)-1)</f>
        <v/>
      </c>
      <c r="B180" s="36" t="str">
        <f t="shared" si="33"/>
        <v/>
      </c>
      <c r="C180" s="36" t="s">
        <v>75</v>
      </c>
      <c r="D180" s="36" t="s">
        <v>1280</v>
      </c>
      <c r="E180" s="36" t="s">
        <v>3616</v>
      </c>
      <c r="F180" s="36" t="s">
        <v>190</v>
      </c>
      <c r="G180" s="36" t="str">
        <f>IF($H180="","",IFERROR(INDEX('Risk Library'!$H$5:$M$411,MATCH($E180,'Risk Library'!$A$5:$A$411,0),$H180+1),""))</f>
        <v/>
      </c>
      <c r="H180" s="37" t="str">
        <f>IF(OR(COUNTA('Delivery Ops'!$H$18)=0,'Delivery Ops'!$H$18="N/A"),"",VALUE('Delivery Ops'!$H$18))</f>
        <v/>
      </c>
      <c r="I180" s="36" t="str">
        <f>IF($H180="","",IFERROR(IF('Delivery Ops'!$L$18="",IF($H180&lt;=1,"Critical",IF($H180=2,"High",IF($H180=3,"Medium",IF($H180=4,"Low","Resilient")))),'Delivery Ops'!$L$18),IF($H180&lt;=1,"Critical",IF($H180=2,"High",IF($H180=3,"Medium",IF($H180=4,"Low","Resilient"))))))</f>
        <v/>
      </c>
      <c r="J180" s="37" t="str">
        <f t="shared" si="34"/>
        <v/>
      </c>
      <c r="K180" s="37" t="str">
        <f t="shared" si="35"/>
        <v/>
      </c>
      <c r="L180" s="37" t="str">
        <f t="shared" si="36"/>
        <v/>
      </c>
      <c r="M180" s="37" t="str">
        <f t="shared" si="37"/>
        <v/>
      </c>
      <c r="N180" s="37" t="str">
        <f>IF($H180="","",IFERROR(INDEX('Risk Library'!$T$5:$Y$411,MATCH($E180,'Risk Library'!$A$5:$A$411,0),$H180+1),""))</f>
        <v/>
      </c>
      <c r="O180" s="37" t="str">
        <f t="shared" si="38"/>
        <v/>
      </c>
      <c r="P180" s="37" t="str">
        <f t="shared" si="39"/>
        <v/>
      </c>
      <c r="Q180" s="37" t="str">
        <f t="shared" si="40"/>
        <v/>
      </c>
      <c r="R180" s="37" t="str">
        <f t="shared" si="41"/>
        <v/>
      </c>
      <c r="S180" s="38" t="str">
        <f t="shared" si="42"/>
        <v/>
      </c>
      <c r="T180" s="36" t="str">
        <f>IF($H180="","",IFERROR(INDEX('Risk Library'!$N$5:$S$411,MATCH($E180,'Risk Library'!$A$5:$A$411,0),$H180+1),""))</f>
        <v/>
      </c>
      <c r="U180" s="37">
        <f>IFERROR('Delivery Ops'!$G$18,"")</f>
        <v>4</v>
      </c>
      <c r="V180" s="37">
        <f>IFERROR('Delivery Ops'!$W$18,"")</f>
        <v>4</v>
      </c>
      <c r="W180" s="37">
        <f>IFERROR('Delivery Ops'!$X$18,"")</f>
        <v>5</v>
      </c>
      <c r="X180" s="37">
        <f>IFERROR('Delivery Ops'!$Y$18,"")</f>
        <v>5</v>
      </c>
      <c r="Y180" s="36" t="s">
        <v>3493</v>
      </c>
      <c r="Z180" s="36" t="s">
        <v>3494</v>
      </c>
      <c r="AA180" s="36" t="s">
        <v>3618</v>
      </c>
      <c r="AB180" s="36">
        <f>IFERROR('Delivery Ops'!$U$18,"")</f>
        <v>0</v>
      </c>
      <c r="AC180" s="36"/>
      <c r="AD180" s="36"/>
      <c r="AE180" s="36"/>
      <c r="AF180" s="36" t="s">
        <v>3617</v>
      </c>
      <c r="AO180" s="48" t="str">
        <f>IF($B180="Yes",IFERROR(SUMIFS(_TECH_Crisis_Model!$D$5:$D$191,_TECH_Crisis_Model!$A$5:$A$191,'Crisis Simulator'!$B$4,_TECH_Crisis_Model!$B$5:$B$191,$C180),1),"")</f>
        <v/>
      </c>
      <c r="AP180" s="48" t="str">
        <f t="shared" si="43"/>
        <v/>
      </c>
      <c r="AQ180" s="48" t="str">
        <f t="shared" si="44"/>
        <v/>
      </c>
      <c r="AR180" s="48" t="str">
        <f>IFERROR(INDEX(_TECH_Crisis_Model!$E$5:$E$191,MATCH('Crisis Simulator'!$B$4&amp;"|"&amp;$C180,_TECH_Crisis_Model!$I$5:$I$191,0)),"")</f>
        <v>Delivery capacity, SLA control and operational handover determine customer continuity.</v>
      </c>
      <c r="AS180" s="48" t="str">
        <f>IFERROR(INDEX(_TECH_Crisis_Model!$G$5:$G$191,MATCH('Crisis Simulator'!$B$4&amp;"|"&amp;$C180,_TECH_Crisis_Model!$I$5:$I$191,0)),"")</f>
        <v>Define alternative delivery models, capacity buffers, SLA triage and incident recovery procedures.</v>
      </c>
      <c r="AT180" s="48" t="str">
        <f>IFERROR(INDEX(_TECH_Initiative_Library!$A$5:$A$76,MATCH(1,INDEX((_TECH_Initiative_Library!$B$5:$B$76=$C180)*(_TECH_Initiative_Library!$C$5:$C$76=$D180),0),0)),"")</f>
        <v>INI-030</v>
      </c>
      <c r="AU180" s="48" t="str">
        <f>IFERROR(INDEX(_TECH_Initiative_Library!$F$5:$F$76,MATCH(1,INDEX((_TECH_Initiative_Library!$B$5:$B$76=$C180)*(_TECH_Initiative_Library!$C$5:$C$76=$D180),0),0)),"")</f>
        <v>Strengthen process control, SOPs and operational quality gates</v>
      </c>
      <c r="AV180" s="48" t="str">
        <f ca="1">IFERROR(INDEX(_TECH_Initiative_Library!$AC$5:$AC$76,MATCH(1,INDEX((_TECH_Initiative_Library!$B$5:$B$76=$C180)*(_TECH_Initiative_Library!$C$5:$C$76=$D180),0),0)),"")</f>
        <v/>
      </c>
      <c r="AW180" s="48" t="str">
        <f ca="1">IFERROR(INDEX(_TECH_Initiative_Library!$AE$5:$AE$76,MATCH(1,INDEX((_TECH_Initiative_Library!$B$5:$B$76=$C180)*(_TECH_Initiative_Library!$C$5:$C$76=$D180),0),0)),"")</f>
        <v/>
      </c>
      <c r="AX180" s="48" t="str">
        <f>IF($B180="Yes",IFERROR(SUMIFS(_TECH_Industry_Templates!$E:$E,_TECH_Industry_Templates!$A:$A,'Company Profile'!$B$9,_TECH_Industry_Templates!$B:$B,$C180),1),"")</f>
        <v/>
      </c>
      <c r="AY180" s="48" t="str">
        <f t="shared" si="45"/>
        <v/>
      </c>
      <c r="AZ180" s="48" t="str">
        <f t="shared" si="46"/>
        <v/>
      </c>
      <c r="BA180" s="48" t="str">
        <f>IF($AZ180="","",RANK.EQ($AZ180,$AZ$8:$AZ$414,0)+COUNTIF($AZ$8:$AZ180,$AZ180)-1)</f>
        <v/>
      </c>
    </row>
    <row r="181" spans="1:53" ht="69.95" customHeight="1">
      <c r="A181" s="36" t="str">
        <f>IF($AZ181="","",RANK.EQ($AZ181,$AZ$8:$AZ$414,0)+COUNTIF($AZ$8:$AZ181,$AZ181)-1)</f>
        <v/>
      </c>
      <c r="B181" s="36" t="str">
        <f t="shared" si="33"/>
        <v/>
      </c>
      <c r="C181" s="36" t="s">
        <v>75</v>
      </c>
      <c r="D181" s="36" t="s">
        <v>1280</v>
      </c>
      <c r="E181" s="36" t="s">
        <v>3626</v>
      </c>
      <c r="F181" s="36" t="s">
        <v>190</v>
      </c>
      <c r="G181" s="36" t="str">
        <f>IF($H181="","",IFERROR(INDEX('Risk Library'!$H$5:$M$411,MATCH($E181,'Risk Library'!$A$5:$A$411,0),$H181+1),""))</f>
        <v/>
      </c>
      <c r="H181" s="37" t="str">
        <f>IF(OR(COUNTA('Delivery Ops'!$H$19)=0,'Delivery Ops'!$H$19="N/A"),"",VALUE('Delivery Ops'!$H$19))</f>
        <v/>
      </c>
      <c r="I181" s="36" t="str">
        <f>IF($H181="","",IFERROR(IF('Delivery Ops'!$L$19="",IF($H181&lt;=1,"Critical",IF($H181=2,"High",IF($H181=3,"Medium",IF($H181=4,"Low","Resilient")))),'Delivery Ops'!$L$19),IF($H181&lt;=1,"Critical",IF($H181=2,"High",IF($H181=3,"Medium",IF($H181=4,"Low","Resilient"))))))</f>
        <v/>
      </c>
      <c r="J181" s="37" t="str">
        <f t="shared" si="34"/>
        <v/>
      </c>
      <c r="K181" s="37" t="str">
        <f t="shared" si="35"/>
        <v/>
      </c>
      <c r="L181" s="37" t="str">
        <f t="shared" si="36"/>
        <v/>
      </c>
      <c r="M181" s="37" t="str">
        <f t="shared" si="37"/>
        <v/>
      </c>
      <c r="N181" s="37" t="str">
        <f>IF($H181="","",IFERROR(INDEX('Risk Library'!$T$5:$Y$411,MATCH($E181,'Risk Library'!$A$5:$A$411,0),$H181+1),""))</f>
        <v/>
      </c>
      <c r="O181" s="37" t="str">
        <f t="shared" si="38"/>
        <v/>
      </c>
      <c r="P181" s="37" t="str">
        <f t="shared" si="39"/>
        <v/>
      </c>
      <c r="Q181" s="37" t="str">
        <f t="shared" si="40"/>
        <v/>
      </c>
      <c r="R181" s="37" t="str">
        <f t="shared" si="41"/>
        <v/>
      </c>
      <c r="S181" s="38" t="str">
        <f t="shared" si="42"/>
        <v/>
      </c>
      <c r="T181" s="36" t="str">
        <f>IF($H181="","",IFERROR(INDEX('Risk Library'!$N$5:$S$411,MATCH($E181,'Risk Library'!$A$5:$A$411,0),$H181+1),""))</f>
        <v/>
      </c>
      <c r="U181" s="37">
        <f>IFERROR('Delivery Ops'!$G$19,"")</f>
        <v>5</v>
      </c>
      <c r="V181" s="37">
        <f>IFERROR('Delivery Ops'!$W$19,"")</f>
        <v>4</v>
      </c>
      <c r="W181" s="37">
        <f>IFERROR('Delivery Ops'!$X$19,"")</f>
        <v>5</v>
      </c>
      <c r="X181" s="37">
        <f>IFERROR('Delivery Ops'!$Y$19,"")</f>
        <v>5</v>
      </c>
      <c r="Y181" s="36" t="s">
        <v>3493</v>
      </c>
      <c r="Z181" s="36" t="s">
        <v>3494</v>
      </c>
      <c r="AA181" s="36" t="s">
        <v>3628</v>
      </c>
      <c r="AB181" s="36">
        <f>IFERROR('Delivery Ops'!$U$19,"")</f>
        <v>0</v>
      </c>
      <c r="AC181" s="36"/>
      <c r="AD181" s="36"/>
      <c r="AE181" s="36"/>
      <c r="AF181" s="36" t="s">
        <v>3627</v>
      </c>
      <c r="AO181" s="48" t="str">
        <f>IF($B181="Yes",IFERROR(SUMIFS(_TECH_Crisis_Model!$D$5:$D$191,_TECH_Crisis_Model!$A$5:$A$191,'Crisis Simulator'!$B$4,_TECH_Crisis_Model!$B$5:$B$191,$C181),1),"")</f>
        <v/>
      </c>
      <c r="AP181" s="48" t="str">
        <f t="shared" si="43"/>
        <v/>
      </c>
      <c r="AQ181" s="48" t="str">
        <f t="shared" si="44"/>
        <v/>
      </c>
      <c r="AR181" s="48" t="str">
        <f>IFERROR(INDEX(_TECH_Crisis_Model!$E$5:$E$191,MATCH('Crisis Simulator'!$B$4&amp;"|"&amp;$C181,_TECH_Crisis_Model!$I$5:$I$191,0)),"")</f>
        <v>Delivery capacity, SLA control and operational handover determine customer continuity.</v>
      </c>
      <c r="AS181" s="48" t="str">
        <f>IFERROR(INDEX(_TECH_Crisis_Model!$G$5:$G$191,MATCH('Crisis Simulator'!$B$4&amp;"|"&amp;$C181,_TECH_Crisis_Model!$I$5:$I$191,0)),"")</f>
        <v>Define alternative delivery models, capacity buffers, SLA triage and incident recovery procedures.</v>
      </c>
      <c r="AT181" s="48" t="str">
        <f>IFERROR(INDEX(_TECH_Initiative_Library!$A$5:$A$76,MATCH(1,INDEX((_TECH_Initiative_Library!$B$5:$B$76=$C181)*(_TECH_Initiative_Library!$C$5:$C$76=$D181),0),0)),"")</f>
        <v>INI-030</v>
      </c>
      <c r="AU181" s="48" t="str">
        <f>IFERROR(INDEX(_TECH_Initiative_Library!$F$5:$F$76,MATCH(1,INDEX((_TECH_Initiative_Library!$B$5:$B$76=$C181)*(_TECH_Initiative_Library!$C$5:$C$76=$D181),0),0)),"")</f>
        <v>Strengthen process control, SOPs and operational quality gates</v>
      </c>
      <c r="AV181" s="48" t="str">
        <f ca="1">IFERROR(INDEX(_TECH_Initiative_Library!$AC$5:$AC$76,MATCH(1,INDEX((_TECH_Initiative_Library!$B$5:$B$76=$C181)*(_TECH_Initiative_Library!$C$5:$C$76=$D181),0),0)),"")</f>
        <v/>
      </c>
      <c r="AW181" s="48" t="str">
        <f ca="1">IFERROR(INDEX(_TECH_Initiative_Library!$AE$5:$AE$76,MATCH(1,INDEX((_TECH_Initiative_Library!$B$5:$B$76=$C181)*(_TECH_Initiative_Library!$C$5:$C$76=$D181),0),0)),"")</f>
        <v/>
      </c>
      <c r="AX181" s="48" t="str">
        <f>IF($B181="Yes",IFERROR(SUMIFS(_TECH_Industry_Templates!$E:$E,_TECH_Industry_Templates!$A:$A,'Company Profile'!$B$9,_TECH_Industry_Templates!$B:$B,$C181),1),"")</f>
        <v/>
      </c>
      <c r="AY181" s="48" t="str">
        <f t="shared" si="45"/>
        <v/>
      </c>
      <c r="AZ181" s="48" t="str">
        <f t="shared" si="46"/>
        <v/>
      </c>
      <c r="BA181" s="48" t="str">
        <f>IF($AZ181="","",RANK.EQ($AZ181,$AZ$8:$AZ$414,0)+COUNTIF($AZ$8:$AZ181,$AZ181)-1)</f>
        <v/>
      </c>
    </row>
    <row r="182" spans="1:53" ht="69.95" customHeight="1">
      <c r="A182" s="36" t="str">
        <f>IF($AZ182="","",RANK.EQ($AZ182,$AZ$8:$AZ$414,0)+COUNTIF($AZ$8:$AZ182,$AZ182)-1)</f>
        <v/>
      </c>
      <c r="B182" s="36" t="str">
        <f t="shared" si="33"/>
        <v/>
      </c>
      <c r="C182" s="36" t="s">
        <v>75</v>
      </c>
      <c r="D182" s="36" t="s">
        <v>1280</v>
      </c>
      <c r="E182" s="36" t="s">
        <v>3636</v>
      </c>
      <c r="F182" s="36" t="s">
        <v>190</v>
      </c>
      <c r="G182" s="36" t="str">
        <f>IF($H182="","",IFERROR(INDEX('Risk Library'!$H$5:$M$411,MATCH($E182,'Risk Library'!$A$5:$A$411,0),$H182+1),""))</f>
        <v/>
      </c>
      <c r="H182" s="37" t="str">
        <f>IF(OR(COUNTA('Delivery Ops'!$H$20)=0,'Delivery Ops'!$H$20="N/A"),"",VALUE('Delivery Ops'!$H$20))</f>
        <v/>
      </c>
      <c r="I182" s="36" t="str">
        <f>IF($H182="","",IFERROR(IF('Delivery Ops'!$L$20="",IF($H182&lt;=1,"Critical",IF($H182=2,"High",IF($H182=3,"Medium",IF($H182=4,"Low","Resilient")))),'Delivery Ops'!$L$20),IF($H182&lt;=1,"Critical",IF($H182=2,"High",IF($H182=3,"Medium",IF($H182=4,"Low","Resilient"))))))</f>
        <v/>
      </c>
      <c r="J182" s="37" t="str">
        <f t="shared" si="34"/>
        <v/>
      </c>
      <c r="K182" s="37" t="str">
        <f t="shared" si="35"/>
        <v/>
      </c>
      <c r="L182" s="37" t="str">
        <f t="shared" si="36"/>
        <v/>
      </c>
      <c r="M182" s="37" t="str">
        <f t="shared" si="37"/>
        <v/>
      </c>
      <c r="N182" s="37" t="str">
        <f>IF($H182="","",IFERROR(INDEX('Risk Library'!$T$5:$Y$411,MATCH($E182,'Risk Library'!$A$5:$A$411,0),$H182+1),""))</f>
        <v/>
      </c>
      <c r="O182" s="37" t="str">
        <f t="shared" si="38"/>
        <v/>
      </c>
      <c r="P182" s="37" t="str">
        <f t="shared" si="39"/>
        <v/>
      </c>
      <c r="Q182" s="37" t="str">
        <f t="shared" si="40"/>
        <v/>
      </c>
      <c r="R182" s="37" t="str">
        <f t="shared" si="41"/>
        <v/>
      </c>
      <c r="S182" s="38" t="str">
        <f t="shared" si="42"/>
        <v/>
      </c>
      <c r="T182" s="36" t="str">
        <f>IF($H182="","",IFERROR(INDEX('Risk Library'!$N$5:$S$411,MATCH($E182,'Risk Library'!$A$5:$A$411,0),$H182+1),""))</f>
        <v/>
      </c>
      <c r="U182" s="37">
        <f>IFERROR('Delivery Ops'!$G$20,"")</f>
        <v>4</v>
      </c>
      <c r="V182" s="37">
        <f>IFERROR('Delivery Ops'!$W$20,"")</f>
        <v>4</v>
      </c>
      <c r="W182" s="37">
        <f>IFERROR('Delivery Ops'!$X$20,"")</f>
        <v>5</v>
      </c>
      <c r="X182" s="37">
        <f>IFERROR('Delivery Ops'!$Y$20,"")</f>
        <v>5</v>
      </c>
      <c r="Y182" s="36" t="s">
        <v>3493</v>
      </c>
      <c r="Z182" s="36" t="s">
        <v>3494</v>
      </c>
      <c r="AA182" s="36" t="s">
        <v>3638</v>
      </c>
      <c r="AB182" s="36">
        <f>IFERROR('Delivery Ops'!$U$20,"")</f>
        <v>0</v>
      </c>
      <c r="AC182" s="36"/>
      <c r="AD182" s="36"/>
      <c r="AE182" s="36"/>
      <c r="AF182" s="36" t="s">
        <v>3637</v>
      </c>
      <c r="AO182" s="48" t="str">
        <f>IF($B182="Yes",IFERROR(SUMIFS(_TECH_Crisis_Model!$D$5:$D$191,_TECH_Crisis_Model!$A$5:$A$191,'Crisis Simulator'!$B$4,_TECH_Crisis_Model!$B$5:$B$191,$C182),1),"")</f>
        <v/>
      </c>
      <c r="AP182" s="48" t="str">
        <f t="shared" si="43"/>
        <v/>
      </c>
      <c r="AQ182" s="48" t="str">
        <f t="shared" si="44"/>
        <v/>
      </c>
      <c r="AR182" s="48" t="str">
        <f>IFERROR(INDEX(_TECH_Crisis_Model!$E$5:$E$191,MATCH('Crisis Simulator'!$B$4&amp;"|"&amp;$C182,_TECH_Crisis_Model!$I$5:$I$191,0)),"")</f>
        <v>Delivery capacity, SLA control and operational handover determine customer continuity.</v>
      </c>
      <c r="AS182" s="48" t="str">
        <f>IFERROR(INDEX(_TECH_Crisis_Model!$G$5:$G$191,MATCH('Crisis Simulator'!$B$4&amp;"|"&amp;$C182,_TECH_Crisis_Model!$I$5:$I$191,0)),"")</f>
        <v>Define alternative delivery models, capacity buffers, SLA triage and incident recovery procedures.</v>
      </c>
      <c r="AT182" s="48" t="str">
        <f>IFERROR(INDEX(_TECH_Initiative_Library!$A$5:$A$76,MATCH(1,INDEX((_TECH_Initiative_Library!$B$5:$B$76=$C182)*(_TECH_Initiative_Library!$C$5:$C$76=$D182),0),0)),"")</f>
        <v>INI-030</v>
      </c>
      <c r="AU182" s="48" t="str">
        <f>IFERROR(INDEX(_TECH_Initiative_Library!$F$5:$F$76,MATCH(1,INDEX((_TECH_Initiative_Library!$B$5:$B$76=$C182)*(_TECH_Initiative_Library!$C$5:$C$76=$D182),0),0)),"")</f>
        <v>Strengthen process control, SOPs and operational quality gates</v>
      </c>
      <c r="AV182" s="48" t="str">
        <f ca="1">IFERROR(INDEX(_TECH_Initiative_Library!$AC$5:$AC$76,MATCH(1,INDEX((_TECH_Initiative_Library!$B$5:$B$76=$C182)*(_TECH_Initiative_Library!$C$5:$C$76=$D182),0),0)),"")</f>
        <v/>
      </c>
      <c r="AW182" s="48" t="str">
        <f ca="1">IFERROR(INDEX(_TECH_Initiative_Library!$AE$5:$AE$76,MATCH(1,INDEX((_TECH_Initiative_Library!$B$5:$B$76=$C182)*(_TECH_Initiative_Library!$C$5:$C$76=$D182),0),0)),"")</f>
        <v/>
      </c>
      <c r="AX182" s="48" t="str">
        <f>IF($B182="Yes",IFERROR(SUMIFS(_TECH_Industry_Templates!$E:$E,_TECH_Industry_Templates!$A:$A,'Company Profile'!$B$9,_TECH_Industry_Templates!$B:$B,$C182),1),"")</f>
        <v/>
      </c>
      <c r="AY182" s="48" t="str">
        <f t="shared" si="45"/>
        <v/>
      </c>
      <c r="AZ182" s="48" t="str">
        <f t="shared" si="46"/>
        <v/>
      </c>
      <c r="BA182" s="48" t="str">
        <f>IF($AZ182="","",RANK.EQ($AZ182,$AZ$8:$AZ$414,0)+COUNTIF($AZ$8:$AZ182,$AZ182)-1)</f>
        <v/>
      </c>
    </row>
    <row r="183" spans="1:53" ht="69.95" customHeight="1">
      <c r="A183" s="36" t="str">
        <f>IF($AZ183="","",RANK.EQ($AZ183,$AZ$8:$AZ$414,0)+COUNTIF($AZ$8:$AZ183,$AZ183)-1)</f>
        <v/>
      </c>
      <c r="B183" s="36" t="str">
        <f t="shared" si="33"/>
        <v/>
      </c>
      <c r="C183" s="36" t="s">
        <v>75</v>
      </c>
      <c r="D183" s="36" t="s">
        <v>1280</v>
      </c>
      <c r="E183" s="36" t="s">
        <v>3646</v>
      </c>
      <c r="F183" s="36" t="s">
        <v>190</v>
      </c>
      <c r="G183" s="36" t="str">
        <f>IF($H183="","",IFERROR(INDEX('Risk Library'!$H$5:$M$411,MATCH($E183,'Risk Library'!$A$5:$A$411,0),$H183+1),""))</f>
        <v/>
      </c>
      <c r="H183" s="37" t="str">
        <f>IF(OR(COUNTA('Delivery Ops'!$H$21)=0,'Delivery Ops'!$H$21="N/A"),"",VALUE('Delivery Ops'!$H$21))</f>
        <v/>
      </c>
      <c r="I183" s="36" t="str">
        <f>IF($H183="","",IFERROR(IF('Delivery Ops'!$L$21="",IF($H183&lt;=1,"Critical",IF($H183=2,"High",IF($H183=3,"Medium",IF($H183=4,"Low","Resilient")))),'Delivery Ops'!$L$21),IF($H183&lt;=1,"Critical",IF($H183=2,"High",IF($H183=3,"Medium",IF($H183=4,"Low","Resilient"))))))</f>
        <v/>
      </c>
      <c r="J183" s="37" t="str">
        <f t="shared" si="34"/>
        <v/>
      </c>
      <c r="K183" s="37" t="str">
        <f t="shared" si="35"/>
        <v/>
      </c>
      <c r="L183" s="37" t="str">
        <f t="shared" si="36"/>
        <v/>
      </c>
      <c r="M183" s="37" t="str">
        <f t="shared" si="37"/>
        <v/>
      </c>
      <c r="N183" s="37" t="str">
        <f>IF($H183="","",IFERROR(INDEX('Risk Library'!$T$5:$Y$411,MATCH($E183,'Risk Library'!$A$5:$A$411,0),$H183+1),""))</f>
        <v/>
      </c>
      <c r="O183" s="37" t="str">
        <f t="shared" si="38"/>
        <v/>
      </c>
      <c r="P183" s="37" t="str">
        <f t="shared" si="39"/>
        <v/>
      </c>
      <c r="Q183" s="37" t="str">
        <f t="shared" si="40"/>
        <v/>
      </c>
      <c r="R183" s="37" t="str">
        <f t="shared" si="41"/>
        <v/>
      </c>
      <c r="S183" s="38" t="str">
        <f t="shared" si="42"/>
        <v/>
      </c>
      <c r="T183" s="36" t="str">
        <f>IF($H183="","",IFERROR(INDEX('Risk Library'!$N$5:$S$411,MATCH($E183,'Risk Library'!$A$5:$A$411,0),$H183+1),""))</f>
        <v/>
      </c>
      <c r="U183" s="37">
        <f>IFERROR('Delivery Ops'!$G$21,"")</f>
        <v>3</v>
      </c>
      <c r="V183" s="37">
        <f>IFERROR('Delivery Ops'!$W$21,"")</f>
        <v>4</v>
      </c>
      <c r="W183" s="37">
        <f>IFERROR('Delivery Ops'!$X$21,"")</f>
        <v>5</v>
      </c>
      <c r="X183" s="37">
        <f>IFERROR('Delivery Ops'!$Y$21,"")</f>
        <v>5</v>
      </c>
      <c r="Y183" s="36" t="s">
        <v>3493</v>
      </c>
      <c r="Z183" s="36" t="s">
        <v>3494</v>
      </c>
      <c r="AA183" s="36" t="s">
        <v>3648</v>
      </c>
      <c r="AB183" s="36">
        <f>IFERROR('Delivery Ops'!$U$21,"")</f>
        <v>0</v>
      </c>
      <c r="AC183" s="36"/>
      <c r="AD183" s="36"/>
      <c r="AE183" s="36"/>
      <c r="AF183" s="36" t="s">
        <v>3647</v>
      </c>
      <c r="AO183" s="48" t="str">
        <f>IF($B183="Yes",IFERROR(SUMIFS(_TECH_Crisis_Model!$D$5:$D$191,_TECH_Crisis_Model!$A$5:$A$191,'Crisis Simulator'!$B$4,_TECH_Crisis_Model!$B$5:$B$191,$C183),1),"")</f>
        <v/>
      </c>
      <c r="AP183" s="48" t="str">
        <f t="shared" si="43"/>
        <v/>
      </c>
      <c r="AQ183" s="48" t="str">
        <f t="shared" si="44"/>
        <v/>
      </c>
      <c r="AR183" s="48" t="str">
        <f>IFERROR(INDEX(_TECH_Crisis_Model!$E$5:$E$191,MATCH('Crisis Simulator'!$B$4&amp;"|"&amp;$C183,_TECH_Crisis_Model!$I$5:$I$191,0)),"")</f>
        <v>Delivery capacity, SLA control and operational handover determine customer continuity.</v>
      </c>
      <c r="AS183" s="48" t="str">
        <f>IFERROR(INDEX(_TECH_Crisis_Model!$G$5:$G$191,MATCH('Crisis Simulator'!$B$4&amp;"|"&amp;$C183,_TECH_Crisis_Model!$I$5:$I$191,0)),"")</f>
        <v>Define alternative delivery models, capacity buffers, SLA triage and incident recovery procedures.</v>
      </c>
      <c r="AT183" s="48" t="str">
        <f>IFERROR(INDEX(_TECH_Initiative_Library!$A$5:$A$76,MATCH(1,INDEX((_TECH_Initiative_Library!$B$5:$B$76=$C183)*(_TECH_Initiative_Library!$C$5:$C$76=$D183),0),0)),"")</f>
        <v>INI-030</v>
      </c>
      <c r="AU183" s="48" t="str">
        <f>IFERROR(INDEX(_TECH_Initiative_Library!$F$5:$F$76,MATCH(1,INDEX((_TECH_Initiative_Library!$B$5:$B$76=$C183)*(_TECH_Initiative_Library!$C$5:$C$76=$D183),0),0)),"")</f>
        <v>Strengthen process control, SOPs and operational quality gates</v>
      </c>
      <c r="AV183" s="48" t="str">
        <f ca="1">IFERROR(INDEX(_TECH_Initiative_Library!$AC$5:$AC$76,MATCH(1,INDEX((_TECH_Initiative_Library!$B$5:$B$76=$C183)*(_TECH_Initiative_Library!$C$5:$C$76=$D183),0),0)),"")</f>
        <v/>
      </c>
      <c r="AW183" s="48" t="str">
        <f ca="1">IFERROR(INDEX(_TECH_Initiative_Library!$AE$5:$AE$76,MATCH(1,INDEX((_TECH_Initiative_Library!$B$5:$B$76=$C183)*(_TECH_Initiative_Library!$C$5:$C$76=$D183),0),0)),"")</f>
        <v/>
      </c>
      <c r="AX183" s="48" t="str">
        <f>IF($B183="Yes",IFERROR(SUMIFS(_TECH_Industry_Templates!$E:$E,_TECH_Industry_Templates!$A:$A,'Company Profile'!$B$9,_TECH_Industry_Templates!$B:$B,$C183),1),"")</f>
        <v/>
      </c>
      <c r="AY183" s="48" t="str">
        <f t="shared" si="45"/>
        <v/>
      </c>
      <c r="AZ183" s="48" t="str">
        <f t="shared" si="46"/>
        <v/>
      </c>
      <c r="BA183" s="48" t="str">
        <f>IF($AZ183="","",RANK.EQ($AZ183,$AZ$8:$AZ$414,0)+COUNTIF($AZ$8:$AZ183,$AZ183)-1)</f>
        <v/>
      </c>
    </row>
    <row r="184" spans="1:53" ht="69.95" customHeight="1">
      <c r="A184" s="36" t="str">
        <f>IF($AZ184="","",RANK.EQ($AZ184,$AZ$8:$AZ$414,0)+COUNTIF($AZ$8:$AZ184,$AZ184)-1)</f>
        <v/>
      </c>
      <c r="B184" s="36" t="str">
        <f t="shared" si="33"/>
        <v/>
      </c>
      <c r="C184" s="36" t="s">
        <v>75</v>
      </c>
      <c r="D184" s="36" t="s">
        <v>1280</v>
      </c>
      <c r="E184" s="36" t="s">
        <v>3656</v>
      </c>
      <c r="F184" s="36" t="s">
        <v>190</v>
      </c>
      <c r="G184" s="36" t="str">
        <f>IF($H184="","",IFERROR(INDEX('Risk Library'!$H$5:$M$411,MATCH($E184,'Risk Library'!$A$5:$A$411,0),$H184+1),""))</f>
        <v/>
      </c>
      <c r="H184" s="37" t="str">
        <f>IF(OR(COUNTA('Delivery Ops'!$H$22)=0,'Delivery Ops'!$H$22="N/A"),"",VALUE('Delivery Ops'!$H$22))</f>
        <v/>
      </c>
      <c r="I184" s="36" t="str">
        <f>IF($H184="","",IFERROR(IF('Delivery Ops'!$L$22="",IF($H184&lt;=1,"Critical",IF($H184=2,"High",IF($H184=3,"Medium",IF($H184=4,"Low","Resilient")))),'Delivery Ops'!$L$22),IF($H184&lt;=1,"Critical",IF($H184=2,"High",IF($H184=3,"Medium",IF($H184=4,"Low","Resilient"))))))</f>
        <v/>
      </c>
      <c r="J184" s="37" t="str">
        <f t="shared" si="34"/>
        <v/>
      </c>
      <c r="K184" s="37" t="str">
        <f t="shared" si="35"/>
        <v/>
      </c>
      <c r="L184" s="37" t="str">
        <f t="shared" si="36"/>
        <v/>
      </c>
      <c r="M184" s="37" t="str">
        <f t="shared" si="37"/>
        <v/>
      </c>
      <c r="N184" s="37" t="str">
        <f>IF($H184="","",IFERROR(INDEX('Risk Library'!$T$5:$Y$411,MATCH($E184,'Risk Library'!$A$5:$A$411,0),$H184+1),""))</f>
        <v/>
      </c>
      <c r="O184" s="37" t="str">
        <f t="shared" si="38"/>
        <v/>
      </c>
      <c r="P184" s="37" t="str">
        <f t="shared" si="39"/>
        <v/>
      </c>
      <c r="Q184" s="37" t="str">
        <f t="shared" si="40"/>
        <v/>
      </c>
      <c r="R184" s="37" t="str">
        <f t="shared" si="41"/>
        <v/>
      </c>
      <c r="S184" s="38" t="str">
        <f t="shared" si="42"/>
        <v/>
      </c>
      <c r="T184" s="36" t="str">
        <f>IF($H184="","",IFERROR(INDEX('Risk Library'!$N$5:$S$411,MATCH($E184,'Risk Library'!$A$5:$A$411,0),$H184+1),""))</f>
        <v/>
      </c>
      <c r="U184" s="37">
        <f>IFERROR('Delivery Ops'!$G$22,"")</f>
        <v>3</v>
      </c>
      <c r="V184" s="37">
        <f>IFERROR('Delivery Ops'!$W$22,"")</f>
        <v>4</v>
      </c>
      <c r="W184" s="37">
        <f>IFERROR('Delivery Ops'!$X$22,"")</f>
        <v>5</v>
      </c>
      <c r="X184" s="37">
        <f>IFERROR('Delivery Ops'!$Y$22,"")</f>
        <v>5</v>
      </c>
      <c r="Y184" s="36" t="s">
        <v>3493</v>
      </c>
      <c r="Z184" s="36" t="s">
        <v>3494</v>
      </c>
      <c r="AA184" s="36" t="s">
        <v>3658</v>
      </c>
      <c r="AB184" s="36">
        <f>IFERROR('Delivery Ops'!$U$22,"")</f>
        <v>0</v>
      </c>
      <c r="AC184" s="36"/>
      <c r="AD184" s="36"/>
      <c r="AE184" s="36"/>
      <c r="AF184" s="36" t="s">
        <v>3657</v>
      </c>
      <c r="AO184" s="48" t="str">
        <f>IF($B184="Yes",IFERROR(SUMIFS(_TECH_Crisis_Model!$D$5:$D$191,_TECH_Crisis_Model!$A$5:$A$191,'Crisis Simulator'!$B$4,_TECH_Crisis_Model!$B$5:$B$191,$C184),1),"")</f>
        <v/>
      </c>
      <c r="AP184" s="48" t="str">
        <f t="shared" si="43"/>
        <v/>
      </c>
      <c r="AQ184" s="48" t="str">
        <f t="shared" si="44"/>
        <v/>
      </c>
      <c r="AR184" s="48" t="str">
        <f>IFERROR(INDEX(_TECH_Crisis_Model!$E$5:$E$191,MATCH('Crisis Simulator'!$B$4&amp;"|"&amp;$C184,_TECH_Crisis_Model!$I$5:$I$191,0)),"")</f>
        <v>Delivery capacity, SLA control and operational handover determine customer continuity.</v>
      </c>
      <c r="AS184" s="48" t="str">
        <f>IFERROR(INDEX(_TECH_Crisis_Model!$G$5:$G$191,MATCH('Crisis Simulator'!$B$4&amp;"|"&amp;$C184,_TECH_Crisis_Model!$I$5:$I$191,0)),"")</f>
        <v>Define alternative delivery models, capacity buffers, SLA triage and incident recovery procedures.</v>
      </c>
      <c r="AT184" s="48" t="str">
        <f>IFERROR(INDEX(_TECH_Initiative_Library!$A$5:$A$76,MATCH(1,INDEX((_TECH_Initiative_Library!$B$5:$B$76=$C184)*(_TECH_Initiative_Library!$C$5:$C$76=$D184),0),0)),"")</f>
        <v>INI-030</v>
      </c>
      <c r="AU184" s="48" t="str">
        <f>IFERROR(INDEX(_TECH_Initiative_Library!$F$5:$F$76,MATCH(1,INDEX((_TECH_Initiative_Library!$B$5:$B$76=$C184)*(_TECH_Initiative_Library!$C$5:$C$76=$D184),0),0)),"")</f>
        <v>Strengthen process control, SOPs and operational quality gates</v>
      </c>
      <c r="AV184" s="48" t="str">
        <f ca="1">IFERROR(INDEX(_TECH_Initiative_Library!$AC$5:$AC$76,MATCH(1,INDEX((_TECH_Initiative_Library!$B$5:$B$76=$C184)*(_TECH_Initiative_Library!$C$5:$C$76=$D184),0),0)),"")</f>
        <v/>
      </c>
      <c r="AW184" s="48" t="str">
        <f ca="1">IFERROR(INDEX(_TECH_Initiative_Library!$AE$5:$AE$76,MATCH(1,INDEX((_TECH_Initiative_Library!$B$5:$B$76=$C184)*(_TECH_Initiative_Library!$C$5:$C$76=$D184),0),0)),"")</f>
        <v/>
      </c>
      <c r="AX184" s="48" t="str">
        <f>IF($B184="Yes",IFERROR(SUMIFS(_TECH_Industry_Templates!$E:$E,_TECH_Industry_Templates!$A:$A,'Company Profile'!$B$9,_TECH_Industry_Templates!$B:$B,$C184),1),"")</f>
        <v/>
      </c>
      <c r="AY184" s="48" t="str">
        <f t="shared" si="45"/>
        <v/>
      </c>
      <c r="AZ184" s="48" t="str">
        <f t="shared" si="46"/>
        <v/>
      </c>
      <c r="BA184" s="48" t="str">
        <f>IF($AZ184="","",RANK.EQ($AZ184,$AZ$8:$AZ$414,0)+COUNTIF($AZ$8:$AZ184,$AZ184)-1)</f>
        <v/>
      </c>
    </row>
    <row r="185" spans="1:53" ht="69.95" customHeight="1">
      <c r="A185" s="36" t="str">
        <f>IF($AZ185="","",RANK.EQ($AZ185,$AZ$8:$AZ$414,0)+COUNTIF($AZ$8:$AZ185,$AZ185)-1)</f>
        <v/>
      </c>
      <c r="B185" s="36" t="str">
        <f t="shared" si="33"/>
        <v/>
      </c>
      <c r="C185" s="36" t="s">
        <v>75</v>
      </c>
      <c r="D185" s="36" t="s">
        <v>1288</v>
      </c>
      <c r="E185" s="36" t="s">
        <v>3666</v>
      </c>
      <c r="F185" s="36" t="s">
        <v>190</v>
      </c>
      <c r="G185" s="36" t="str">
        <f>IF($H185="","",IFERROR(INDEX('Risk Library'!$H$5:$M$411,MATCH($E185,'Risk Library'!$A$5:$A$411,0),$H185+1),""))</f>
        <v/>
      </c>
      <c r="H185" s="37" t="str">
        <f>IF(OR(COUNTA('Delivery Ops'!$H$23)=0,'Delivery Ops'!$H$23="N/A"),"",VALUE('Delivery Ops'!$H$23))</f>
        <v/>
      </c>
      <c r="I185" s="36" t="str">
        <f>IF($H185="","",IFERROR(IF('Delivery Ops'!$L$23="",IF($H185&lt;=1,"Critical",IF($H185=2,"High",IF($H185=3,"Medium",IF($H185=4,"Low","Resilient")))),'Delivery Ops'!$L$23),IF($H185&lt;=1,"Critical",IF($H185=2,"High",IF($H185=3,"Medium",IF($H185=4,"Low","Resilient"))))))</f>
        <v/>
      </c>
      <c r="J185" s="37" t="str">
        <f t="shared" si="34"/>
        <v/>
      </c>
      <c r="K185" s="37" t="str">
        <f t="shared" si="35"/>
        <v/>
      </c>
      <c r="L185" s="37" t="str">
        <f t="shared" si="36"/>
        <v/>
      </c>
      <c r="M185" s="37" t="str">
        <f t="shared" si="37"/>
        <v/>
      </c>
      <c r="N185" s="37" t="str">
        <f>IF($H185="","",IFERROR(INDEX('Risk Library'!$T$5:$Y$411,MATCH($E185,'Risk Library'!$A$5:$A$411,0),$H185+1),""))</f>
        <v/>
      </c>
      <c r="O185" s="37" t="str">
        <f t="shared" si="38"/>
        <v/>
      </c>
      <c r="P185" s="37" t="str">
        <f t="shared" si="39"/>
        <v/>
      </c>
      <c r="Q185" s="37" t="str">
        <f t="shared" si="40"/>
        <v/>
      </c>
      <c r="R185" s="37" t="str">
        <f t="shared" si="41"/>
        <v/>
      </c>
      <c r="S185" s="38" t="str">
        <f t="shared" si="42"/>
        <v/>
      </c>
      <c r="T185" s="36" t="str">
        <f>IF($H185="","",IFERROR(INDEX('Risk Library'!$N$5:$S$411,MATCH($E185,'Risk Library'!$A$5:$A$411,0),$H185+1),""))</f>
        <v/>
      </c>
      <c r="U185" s="37">
        <f>IFERROR('Delivery Ops'!$G$23,"")</f>
        <v>5</v>
      </c>
      <c r="V185" s="37">
        <f>IFERROR('Delivery Ops'!$W$23,"")</f>
        <v>4</v>
      </c>
      <c r="W185" s="37">
        <f>IFERROR('Delivery Ops'!$X$23,"")</f>
        <v>5</v>
      </c>
      <c r="X185" s="37">
        <f>IFERROR('Delivery Ops'!$Y$23,"")</f>
        <v>5</v>
      </c>
      <c r="Y185" s="36" t="s">
        <v>3493</v>
      </c>
      <c r="Z185" s="36" t="s">
        <v>3494</v>
      </c>
      <c r="AA185" s="36" t="s">
        <v>3668</v>
      </c>
      <c r="AB185" s="36">
        <f>IFERROR('Delivery Ops'!$U$23,"")</f>
        <v>0</v>
      </c>
      <c r="AC185" s="36"/>
      <c r="AD185" s="36"/>
      <c r="AE185" s="36"/>
      <c r="AF185" s="36" t="s">
        <v>3667</v>
      </c>
      <c r="AO185" s="48" t="str">
        <f>IF($B185="Yes",IFERROR(SUMIFS(_TECH_Crisis_Model!$D$5:$D$191,_TECH_Crisis_Model!$A$5:$A$191,'Crisis Simulator'!$B$4,_TECH_Crisis_Model!$B$5:$B$191,$C185),1),"")</f>
        <v/>
      </c>
      <c r="AP185" s="48" t="str">
        <f t="shared" si="43"/>
        <v/>
      </c>
      <c r="AQ185" s="48" t="str">
        <f t="shared" si="44"/>
        <v/>
      </c>
      <c r="AR185" s="48" t="str">
        <f>IFERROR(INDEX(_TECH_Crisis_Model!$E$5:$E$191,MATCH('Crisis Simulator'!$B$4&amp;"|"&amp;$C185,_TECH_Crisis_Model!$I$5:$I$191,0)),"")</f>
        <v>Delivery capacity, SLA control and operational handover determine customer continuity.</v>
      </c>
      <c r="AS185" s="48" t="str">
        <f>IFERROR(INDEX(_TECH_Crisis_Model!$G$5:$G$191,MATCH('Crisis Simulator'!$B$4&amp;"|"&amp;$C185,_TECH_Crisis_Model!$I$5:$I$191,0)),"")</f>
        <v>Define alternative delivery models, capacity buffers, SLA triage and incident recovery procedures.</v>
      </c>
      <c r="AT185" s="48" t="str">
        <f>IFERROR(INDEX(_TECH_Initiative_Library!$A$5:$A$76,MATCH(1,INDEX((_TECH_Initiative_Library!$B$5:$B$76=$C185)*(_TECH_Initiative_Library!$C$5:$C$76=$D185),0),0)),"")</f>
        <v>INI-031</v>
      </c>
      <c r="AU185" s="48" t="str">
        <f>IFERROR(INDEX(_TECH_Initiative_Library!$F$5:$F$76,MATCH(1,INDEX((_TECH_Initiative_Library!$B$5:$B$76=$C185)*(_TECH_Initiative_Library!$C$5:$C$76=$D185),0),0)),"")</f>
        <v>Implement operational visibility dashboards and early warning</v>
      </c>
      <c r="AV185" s="48" t="str">
        <f ca="1">IFERROR(INDEX(_TECH_Initiative_Library!$AC$5:$AC$76,MATCH(1,INDEX((_TECH_Initiative_Library!$B$5:$B$76=$C185)*(_TECH_Initiative_Library!$C$5:$C$76=$D185),0),0)),"")</f>
        <v/>
      </c>
      <c r="AW185" s="48" t="str">
        <f ca="1">IFERROR(INDEX(_TECH_Initiative_Library!$AE$5:$AE$76,MATCH(1,INDEX((_TECH_Initiative_Library!$B$5:$B$76=$C185)*(_TECH_Initiative_Library!$C$5:$C$76=$D185),0),0)),"")</f>
        <v/>
      </c>
      <c r="AX185" s="48" t="str">
        <f>IF($B185="Yes",IFERROR(SUMIFS(_TECH_Industry_Templates!$E:$E,_TECH_Industry_Templates!$A:$A,'Company Profile'!$B$9,_TECH_Industry_Templates!$B:$B,$C185),1),"")</f>
        <v/>
      </c>
      <c r="AY185" s="48" t="str">
        <f t="shared" si="45"/>
        <v/>
      </c>
      <c r="AZ185" s="48" t="str">
        <f t="shared" si="46"/>
        <v/>
      </c>
      <c r="BA185" s="48" t="str">
        <f>IF($AZ185="","",RANK.EQ($AZ185,$AZ$8:$AZ$414,0)+COUNTIF($AZ$8:$AZ185,$AZ185)-1)</f>
        <v/>
      </c>
    </row>
    <row r="186" spans="1:53" ht="69.95" customHeight="1">
      <c r="A186" s="36" t="str">
        <f>IF($AZ186="","",RANK.EQ($AZ186,$AZ$8:$AZ$414,0)+COUNTIF($AZ$8:$AZ186,$AZ186)-1)</f>
        <v/>
      </c>
      <c r="B186" s="36" t="str">
        <f t="shared" si="33"/>
        <v/>
      </c>
      <c r="C186" s="36" t="s">
        <v>75</v>
      </c>
      <c r="D186" s="36" t="s">
        <v>1288</v>
      </c>
      <c r="E186" s="36" t="s">
        <v>3676</v>
      </c>
      <c r="F186" s="36" t="s">
        <v>190</v>
      </c>
      <c r="G186" s="36" t="str">
        <f>IF($H186="","",IFERROR(INDEX('Risk Library'!$H$5:$M$411,MATCH($E186,'Risk Library'!$A$5:$A$411,0),$H186+1),""))</f>
        <v/>
      </c>
      <c r="H186" s="37" t="str">
        <f>IF(OR(COUNTA('Delivery Ops'!$H$24)=0,'Delivery Ops'!$H$24="N/A"),"",VALUE('Delivery Ops'!$H$24))</f>
        <v/>
      </c>
      <c r="I186" s="36" t="str">
        <f>IF($H186="","",IFERROR(IF('Delivery Ops'!$L$24="",IF($H186&lt;=1,"Critical",IF($H186=2,"High",IF($H186=3,"Medium",IF($H186=4,"Low","Resilient")))),'Delivery Ops'!$L$24),IF($H186&lt;=1,"Critical",IF($H186=2,"High",IF($H186=3,"Medium",IF($H186=4,"Low","Resilient"))))))</f>
        <v/>
      </c>
      <c r="J186" s="37" t="str">
        <f t="shared" si="34"/>
        <v/>
      </c>
      <c r="K186" s="37" t="str">
        <f t="shared" si="35"/>
        <v/>
      </c>
      <c r="L186" s="37" t="str">
        <f t="shared" si="36"/>
        <v/>
      </c>
      <c r="M186" s="37" t="str">
        <f t="shared" si="37"/>
        <v/>
      </c>
      <c r="N186" s="37" t="str">
        <f>IF($H186="","",IFERROR(INDEX('Risk Library'!$T$5:$Y$411,MATCH($E186,'Risk Library'!$A$5:$A$411,0),$H186+1),""))</f>
        <v/>
      </c>
      <c r="O186" s="37" t="str">
        <f t="shared" si="38"/>
        <v/>
      </c>
      <c r="P186" s="37" t="str">
        <f t="shared" si="39"/>
        <v/>
      </c>
      <c r="Q186" s="37" t="str">
        <f t="shared" si="40"/>
        <v/>
      </c>
      <c r="R186" s="37" t="str">
        <f t="shared" si="41"/>
        <v/>
      </c>
      <c r="S186" s="38" t="str">
        <f t="shared" si="42"/>
        <v/>
      </c>
      <c r="T186" s="36" t="str">
        <f>IF($H186="","",IFERROR(INDEX('Risk Library'!$N$5:$S$411,MATCH($E186,'Risk Library'!$A$5:$A$411,0),$H186+1),""))</f>
        <v/>
      </c>
      <c r="U186" s="37">
        <f>IFERROR('Delivery Ops'!$G$24,"")</f>
        <v>5</v>
      </c>
      <c r="V186" s="37">
        <f>IFERROR('Delivery Ops'!$W$24,"")</f>
        <v>4</v>
      </c>
      <c r="W186" s="37">
        <f>IFERROR('Delivery Ops'!$X$24,"")</f>
        <v>5</v>
      </c>
      <c r="X186" s="37">
        <f>IFERROR('Delivery Ops'!$Y$24,"")</f>
        <v>5</v>
      </c>
      <c r="Y186" s="36" t="s">
        <v>3493</v>
      </c>
      <c r="Z186" s="36" t="s">
        <v>3494</v>
      </c>
      <c r="AA186" s="36" t="s">
        <v>3678</v>
      </c>
      <c r="AB186" s="36">
        <f>IFERROR('Delivery Ops'!$U$24,"")</f>
        <v>0</v>
      </c>
      <c r="AC186" s="36"/>
      <c r="AD186" s="36"/>
      <c r="AE186" s="36"/>
      <c r="AF186" s="36" t="s">
        <v>3677</v>
      </c>
      <c r="AO186" s="48" t="str">
        <f>IF($B186="Yes",IFERROR(SUMIFS(_TECH_Crisis_Model!$D$5:$D$191,_TECH_Crisis_Model!$A$5:$A$191,'Crisis Simulator'!$B$4,_TECH_Crisis_Model!$B$5:$B$191,$C186),1),"")</f>
        <v/>
      </c>
      <c r="AP186" s="48" t="str">
        <f t="shared" si="43"/>
        <v/>
      </c>
      <c r="AQ186" s="48" t="str">
        <f t="shared" si="44"/>
        <v/>
      </c>
      <c r="AR186" s="48" t="str">
        <f>IFERROR(INDEX(_TECH_Crisis_Model!$E$5:$E$191,MATCH('Crisis Simulator'!$B$4&amp;"|"&amp;$C186,_TECH_Crisis_Model!$I$5:$I$191,0)),"")</f>
        <v>Delivery capacity, SLA control and operational handover determine customer continuity.</v>
      </c>
      <c r="AS186" s="48" t="str">
        <f>IFERROR(INDEX(_TECH_Crisis_Model!$G$5:$G$191,MATCH('Crisis Simulator'!$B$4&amp;"|"&amp;$C186,_TECH_Crisis_Model!$I$5:$I$191,0)),"")</f>
        <v>Define alternative delivery models, capacity buffers, SLA triage and incident recovery procedures.</v>
      </c>
      <c r="AT186" s="48" t="str">
        <f>IFERROR(INDEX(_TECH_Initiative_Library!$A$5:$A$76,MATCH(1,INDEX((_TECH_Initiative_Library!$B$5:$B$76=$C186)*(_TECH_Initiative_Library!$C$5:$C$76=$D186),0),0)),"")</f>
        <v>INI-031</v>
      </c>
      <c r="AU186" s="48" t="str">
        <f>IFERROR(INDEX(_TECH_Initiative_Library!$F$5:$F$76,MATCH(1,INDEX((_TECH_Initiative_Library!$B$5:$B$76=$C186)*(_TECH_Initiative_Library!$C$5:$C$76=$D186),0),0)),"")</f>
        <v>Implement operational visibility dashboards and early warning</v>
      </c>
      <c r="AV186" s="48" t="str">
        <f ca="1">IFERROR(INDEX(_TECH_Initiative_Library!$AC$5:$AC$76,MATCH(1,INDEX((_TECH_Initiative_Library!$B$5:$B$76=$C186)*(_TECH_Initiative_Library!$C$5:$C$76=$D186),0),0)),"")</f>
        <v/>
      </c>
      <c r="AW186" s="48" t="str">
        <f ca="1">IFERROR(INDEX(_TECH_Initiative_Library!$AE$5:$AE$76,MATCH(1,INDEX((_TECH_Initiative_Library!$B$5:$B$76=$C186)*(_TECH_Initiative_Library!$C$5:$C$76=$D186),0),0)),"")</f>
        <v/>
      </c>
      <c r="AX186" s="48" t="str">
        <f>IF($B186="Yes",IFERROR(SUMIFS(_TECH_Industry_Templates!$E:$E,_TECH_Industry_Templates!$A:$A,'Company Profile'!$B$9,_TECH_Industry_Templates!$B:$B,$C186),1),"")</f>
        <v/>
      </c>
      <c r="AY186" s="48" t="str">
        <f t="shared" si="45"/>
        <v/>
      </c>
      <c r="AZ186" s="48" t="str">
        <f t="shared" si="46"/>
        <v/>
      </c>
      <c r="BA186" s="48" t="str">
        <f>IF($AZ186="","",RANK.EQ($AZ186,$AZ$8:$AZ$414,0)+COUNTIF($AZ$8:$AZ186,$AZ186)-1)</f>
        <v/>
      </c>
    </row>
    <row r="187" spans="1:53" ht="69.95" customHeight="1">
      <c r="A187" s="36" t="str">
        <f>IF($AZ187="","",RANK.EQ($AZ187,$AZ$8:$AZ$414,0)+COUNTIF($AZ$8:$AZ187,$AZ187)-1)</f>
        <v/>
      </c>
      <c r="B187" s="36" t="str">
        <f t="shared" si="33"/>
        <v/>
      </c>
      <c r="C187" s="36" t="s">
        <v>75</v>
      </c>
      <c r="D187" s="36" t="s">
        <v>1288</v>
      </c>
      <c r="E187" s="36" t="s">
        <v>3686</v>
      </c>
      <c r="F187" s="36" t="s">
        <v>190</v>
      </c>
      <c r="G187" s="36" t="str">
        <f>IF($H187="","",IFERROR(INDEX('Risk Library'!$H$5:$M$411,MATCH($E187,'Risk Library'!$A$5:$A$411,0),$H187+1),""))</f>
        <v/>
      </c>
      <c r="H187" s="37" t="str">
        <f>IF(OR(COUNTA('Delivery Ops'!$H$25)=0,'Delivery Ops'!$H$25="N/A"),"",VALUE('Delivery Ops'!$H$25))</f>
        <v/>
      </c>
      <c r="I187" s="36" t="str">
        <f>IF($H187="","",IFERROR(IF('Delivery Ops'!$L$25="",IF($H187&lt;=1,"Critical",IF($H187=2,"High",IF($H187=3,"Medium",IF($H187=4,"Low","Resilient")))),'Delivery Ops'!$L$25),IF($H187&lt;=1,"Critical",IF($H187=2,"High",IF($H187=3,"Medium",IF($H187=4,"Low","Resilient"))))))</f>
        <v/>
      </c>
      <c r="J187" s="37" t="str">
        <f t="shared" si="34"/>
        <v/>
      </c>
      <c r="K187" s="37" t="str">
        <f t="shared" si="35"/>
        <v/>
      </c>
      <c r="L187" s="37" t="str">
        <f t="shared" si="36"/>
        <v/>
      </c>
      <c r="M187" s="37" t="str">
        <f t="shared" si="37"/>
        <v/>
      </c>
      <c r="N187" s="37" t="str">
        <f>IF($H187="","",IFERROR(INDEX('Risk Library'!$T$5:$Y$411,MATCH($E187,'Risk Library'!$A$5:$A$411,0),$H187+1),""))</f>
        <v/>
      </c>
      <c r="O187" s="37" t="str">
        <f t="shared" si="38"/>
        <v/>
      </c>
      <c r="P187" s="37" t="str">
        <f t="shared" si="39"/>
        <v/>
      </c>
      <c r="Q187" s="37" t="str">
        <f t="shared" si="40"/>
        <v/>
      </c>
      <c r="R187" s="37" t="str">
        <f t="shared" si="41"/>
        <v/>
      </c>
      <c r="S187" s="38" t="str">
        <f t="shared" si="42"/>
        <v/>
      </c>
      <c r="T187" s="36" t="str">
        <f>IF($H187="","",IFERROR(INDEX('Risk Library'!$N$5:$S$411,MATCH($E187,'Risk Library'!$A$5:$A$411,0),$H187+1),""))</f>
        <v/>
      </c>
      <c r="U187" s="37">
        <f>IFERROR('Delivery Ops'!$G$25,"")</f>
        <v>4</v>
      </c>
      <c r="V187" s="37">
        <f>IFERROR('Delivery Ops'!$W$25,"")</f>
        <v>4</v>
      </c>
      <c r="W187" s="37">
        <f>IFERROR('Delivery Ops'!$X$25,"")</f>
        <v>5</v>
      </c>
      <c r="X187" s="37">
        <f>IFERROR('Delivery Ops'!$Y$25,"")</f>
        <v>5</v>
      </c>
      <c r="Y187" s="36" t="s">
        <v>3493</v>
      </c>
      <c r="Z187" s="36" t="s">
        <v>3494</v>
      </c>
      <c r="AA187" s="36" t="s">
        <v>3688</v>
      </c>
      <c r="AB187" s="36">
        <f>IFERROR('Delivery Ops'!$U$25,"")</f>
        <v>0</v>
      </c>
      <c r="AC187" s="36"/>
      <c r="AD187" s="36"/>
      <c r="AE187" s="36"/>
      <c r="AF187" s="36" t="s">
        <v>3687</v>
      </c>
      <c r="AO187" s="48" t="str">
        <f>IF($B187="Yes",IFERROR(SUMIFS(_TECH_Crisis_Model!$D$5:$D$191,_TECH_Crisis_Model!$A$5:$A$191,'Crisis Simulator'!$B$4,_TECH_Crisis_Model!$B$5:$B$191,$C187),1),"")</f>
        <v/>
      </c>
      <c r="AP187" s="48" t="str">
        <f t="shared" si="43"/>
        <v/>
      </c>
      <c r="AQ187" s="48" t="str">
        <f t="shared" si="44"/>
        <v/>
      </c>
      <c r="AR187" s="48" t="str">
        <f>IFERROR(INDEX(_TECH_Crisis_Model!$E$5:$E$191,MATCH('Crisis Simulator'!$B$4&amp;"|"&amp;$C187,_TECH_Crisis_Model!$I$5:$I$191,0)),"")</f>
        <v>Delivery capacity, SLA control and operational handover determine customer continuity.</v>
      </c>
      <c r="AS187" s="48" t="str">
        <f>IFERROR(INDEX(_TECH_Crisis_Model!$G$5:$G$191,MATCH('Crisis Simulator'!$B$4&amp;"|"&amp;$C187,_TECH_Crisis_Model!$I$5:$I$191,0)),"")</f>
        <v>Define alternative delivery models, capacity buffers, SLA triage and incident recovery procedures.</v>
      </c>
      <c r="AT187" s="48" t="str">
        <f>IFERROR(INDEX(_TECH_Initiative_Library!$A$5:$A$76,MATCH(1,INDEX((_TECH_Initiative_Library!$B$5:$B$76=$C187)*(_TECH_Initiative_Library!$C$5:$C$76=$D187),0),0)),"")</f>
        <v>INI-031</v>
      </c>
      <c r="AU187" s="48" t="str">
        <f>IFERROR(INDEX(_TECH_Initiative_Library!$F$5:$F$76,MATCH(1,INDEX((_TECH_Initiative_Library!$B$5:$B$76=$C187)*(_TECH_Initiative_Library!$C$5:$C$76=$D187),0),0)),"")</f>
        <v>Implement operational visibility dashboards and early warning</v>
      </c>
      <c r="AV187" s="48" t="str">
        <f ca="1">IFERROR(INDEX(_TECH_Initiative_Library!$AC$5:$AC$76,MATCH(1,INDEX((_TECH_Initiative_Library!$B$5:$B$76=$C187)*(_TECH_Initiative_Library!$C$5:$C$76=$D187),0),0)),"")</f>
        <v/>
      </c>
      <c r="AW187" s="48" t="str">
        <f ca="1">IFERROR(INDEX(_TECH_Initiative_Library!$AE$5:$AE$76,MATCH(1,INDEX((_TECH_Initiative_Library!$B$5:$B$76=$C187)*(_TECH_Initiative_Library!$C$5:$C$76=$D187),0),0)),"")</f>
        <v/>
      </c>
      <c r="AX187" s="48" t="str">
        <f>IF($B187="Yes",IFERROR(SUMIFS(_TECH_Industry_Templates!$E:$E,_TECH_Industry_Templates!$A:$A,'Company Profile'!$B$9,_TECH_Industry_Templates!$B:$B,$C187),1),"")</f>
        <v/>
      </c>
      <c r="AY187" s="48" t="str">
        <f t="shared" si="45"/>
        <v/>
      </c>
      <c r="AZ187" s="48" t="str">
        <f t="shared" si="46"/>
        <v/>
      </c>
      <c r="BA187" s="48" t="str">
        <f>IF($AZ187="","",RANK.EQ($AZ187,$AZ$8:$AZ$414,0)+COUNTIF($AZ$8:$AZ187,$AZ187)-1)</f>
        <v/>
      </c>
    </row>
    <row r="188" spans="1:53" ht="69.95" customHeight="1">
      <c r="A188" s="36" t="str">
        <f>IF($AZ188="","",RANK.EQ($AZ188,$AZ$8:$AZ$414,0)+COUNTIF($AZ$8:$AZ188,$AZ188)-1)</f>
        <v/>
      </c>
      <c r="B188" s="36" t="str">
        <f t="shared" si="33"/>
        <v/>
      </c>
      <c r="C188" s="36" t="s">
        <v>75</v>
      </c>
      <c r="D188" s="36" t="s">
        <v>1288</v>
      </c>
      <c r="E188" s="36" t="s">
        <v>3696</v>
      </c>
      <c r="F188" s="36" t="s">
        <v>190</v>
      </c>
      <c r="G188" s="36" t="str">
        <f>IF($H188="","",IFERROR(INDEX('Risk Library'!$H$5:$M$411,MATCH($E188,'Risk Library'!$A$5:$A$411,0),$H188+1),""))</f>
        <v/>
      </c>
      <c r="H188" s="37" t="str">
        <f>IF(OR(COUNTA('Delivery Ops'!$H$26)=0,'Delivery Ops'!$H$26="N/A"),"",VALUE('Delivery Ops'!$H$26))</f>
        <v/>
      </c>
      <c r="I188" s="36" t="str">
        <f>IF($H188="","",IFERROR(IF('Delivery Ops'!$L$26="",IF($H188&lt;=1,"Critical",IF($H188=2,"High",IF($H188=3,"Medium",IF($H188=4,"Low","Resilient")))),'Delivery Ops'!$L$26),IF($H188&lt;=1,"Critical",IF($H188=2,"High",IF($H188=3,"Medium",IF($H188=4,"Low","Resilient"))))))</f>
        <v/>
      </c>
      <c r="J188" s="37" t="str">
        <f t="shared" si="34"/>
        <v/>
      </c>
      <c r="K188" s="37" t="str">
        <f t="shared" si="35"/>
        <v/>
      </c>
      <c r="L188" s="37" t="str">
        <f t="shared" si="36"/>
        <v/>
      </c>
      <c r="M188" s="37" t="str">
        <f t="shared" si="37"/>
        <v/>
      </c>
      <c r="N188" s="37" t="str">
        <f>IF($H188="","",IFERROR(INDEX('Risk Library'!$T$5:$Y$411,MATCH($E188,'Risk Library'!$A$5:$A$411,0),$H188+1),""))</f>
        <v/>
      </c>
      <c r="O188" s="37" t="str">
        <f t="shared" si="38"/>
        <v/>
      </c>
      <c r="P188" s="37" t="str">
        <f t="shared" si="39"/>
        <v/>
      </c>
      <c r="Q188" s="37" t="str">
        <f t="shared" si="40"/>
        <v/>
      </c>
      <c r="R188" s="37" t="str">
        <f t="shared" si="41"/>
        <v/>
      </c>
      <c r="S188" s="38" t="str">
        <f t="shared" si="42"/>
        <v/>
      </c>
      <c r="T188" s="36" t="str">
        <f>IF($H188="","",IFERROR(INDEX('Risk Library'!$N$5:$S$411,MATCH($E188,'Risk Library'!$A$5:$A$411,0),$H188+1),""))</f>
        <v/>
      </c>
      <c r="U188" s="37">
        <f>IFERROR('Delivery Ops'!$G$26,"")</f>
        <v>5</v>
      </c>
      <c r="V188" s="37">
        <f>IFERROR('Delivery Ops'!$W$26,"")</f>
        <v>4</v>
      </c>
      <c r="W188" s="37">
        <f>IFERROR('Delivery Ops'!$X$26,"")</f>
        <v>5</v>
      </c>
      <c r="X188" s="37">
        <f>IFERROR('Delivery Ops'!$Y$26,"")</f>
        <v>5</v>
      </c>
      <c r="Y188" s="36" t="s">
        <v>3493</v>
      </c>
      <c r="Z188" s="36" t="s">
        <v>3494</v>
      </c>
      <c r="AA188" s="36" t="s">
        <v>3698</v>
      </c>
      <c r="AB188" s="36">
        <f>IFERROR('Delivery Ops'!$U$26,"")</f>
        <v>0</v>
      </c>
      <c r="AC188" s="36"/>
      <c r="AD188" s="36"/>
      <c r="AE188" s="36"/>
      <c r="AF188" s="36" t="s">
        <v>3697</v>
      </c>
      <c r="AO188" s="48" t="str">
        <f>IF($B188="Yes",IFERROR(SUMIFS(_TECH_Crisis_Model!$D$5:$D$191,_TECH_Crisis_Model!$A$5:$A$191,'Crisis Simulator'!$B$4,_TECH_Crisis_Model!$B$5:$B$191,$C188),1),"")</f>
        <v/>
      </c>
      <c r="AP188" s="48" t="str">
        <f t="shared" si="43"/>
        <v/>
      </c>
      <c r="AQ188" s="48" t="str">
        <f t="shared" si="44"/>
        <v/>
      </c>
      <c r="AR188" s="48" t="str">
        <f>IFERROR(INDEX(_TECH_Crisis_Model!$E$5:$E$191,MATCH('Crisis Simulator'!$B$4&amp;"|"&amp;$C188,_TECH_Crisis_Model!$I$5:$I$191,0)),"")</f>
        <v>Delivery capacity, SLA control and operational handover determine customer continuity.</v>
      </c>
      <c r="AS188" s="48" t="str">
        <f>IFERROR(INDEX(_TECH_Crisis_Model!$G$5:$G$191,MATCH('Crisis Simulator'!$B$4&amp;"|"&amp;$C188,_TECH_Crisis_Model!$I$5:$I$191,0)),"")</f>
        <v>Define alternative delivery models, capacity buffers, SLA triage and incident recovery procedures.</v>
      </c>
      <c r="AT188" s="48" t="str">
        <f>IFERROR(INDEX(_TECH_Initiative_Library!$A$5:$A$76,MATCH(1,INDEX((_TECH_Initiative_Library!$B$5:$B$76=$C188)*(_TECH_Initiative_Library!$C$5:$C$76=$D188),0),0)),"")</f>
        <v>INI-031</v>
      </c>
      <c r="AU188" s="48" t="str">
        <f>IFERROR(INDEX(_TECH_Initiative_Library!$F$5:$F$76,MATCH(1,INDEX((_TECH_Initiative_Library!$B$5:$B$76=$C188)*(_TECH_Initiative_Library!$C$5:$C$76=$D188),0),0)),"")</f>
        <v>Implement operational visibility dashboards and early warning</v>
      </c>
      <c r="AV188" s="48" t="str">
        <f ca="1">IFERROR(INDEX(_TECH_Initiative_Library!$AC$5:$AC$76,MATCH(1,INDEX((_TECH_Initiative_Library!$B$5:$B$76=$C188)*(_TECH_Initiative_Library!$C$5:$C$76=$D188),0),0)),"")</f>
        <v/>
      </c>
      <c r="AW188" s="48" t="str">
        <f ca="1">IFERROR(INDEX(_TECH_Initiative_Library!$AE$5:$AE$76,MATCH(1,INDEX((_TECH_Initiative_Library!$B$5:$B$76=$C188)*(_TECH_Initiative_Library!$C$5:$C$76=$D188),0),0)),"")</f>
        <v/>
      </c>
      <c r="AX188" s="48" t="str">
        <f>IF($B188="Yes",IFERROR(SUMIFS(_TECH_Industry_Templates!$E:$E,_TECH_Industry_Templates!$A:$A,'Company Profile'!$B$9,_TECH_Industry_Templates!$B:$B,$C188),1),"")</f>
        <v/>
      </c>
      <c r="AY188" s="48" t="str">
        <f t="shared" si="45"/>
        <v/>
      </c>
      <c r="AZ188" s="48" t="str">
        <f t="shared" si="46"/>
        <v/>
      </c>
      <c r="BA188" s="48" t="str">
        <f>IF($AZ188="","",RANK.EQ($AZ188,$AZ$8:$AZ$414,0)+COUNTIF($AZ$8:$AZ188,$AZ188)-1)</f>
        <v/>
      </c>
    </row>
    <row r="189" spans="1:53" ht="69.95" customHeight="1">
      <c r="A189" s="36" t="str">
        <f>IF($AZ189="","",RANK.EQ($AZ189,$AZ$8:$AZ$414,0)+COUNTIF($AZ$8:$AZ189,$AZ189)-1)</f>
        <v/>
      </c>
      <c r="B189" s="36" t="str">
        <f t="shared" si="33"/>
        <v/>
      </c>
      <c r="C189" s="36" t="s">
        <v>75</v>
      </c>
      <c r="D189" s="36" t="s">
        <v>1288</v>
      </c>
      <c r="E189" s="36" t="s">
        <v>3706</v>
      </c>
      <c r="F189" s="36" t="s">
        <v>190</v>
      </c>
      <c r="G189" s="36" t="str">
        <f>IF($H189="","",IFERROR(INDEX('Risk Library'!$H$5:$M$411,MATCH($E189,'Risk Library'!$A$5:$A$411,0),$H189+1),""))</f>
        <v/>
      </c>
      <c r="H189" s="37" t="str">
        <f>IF(OR(COUNTA('Delivery Ops'!$H$27)=0,'Delivery Ops'!$H$27="N/A"),"",VALUE('Delivery Ops'!$H$27))</f>
        <v/>
      </c>
      <c r="I189" s="36" t="str">
        <f>IF($H189="","",IFERROR(IF('Delivery Ops'!$L$27="",IF($H189&lt;=1,"Critical",IF($H189=2,"High",IF($H189=3,"Medium",IF($H189=4,"Low","Resilient")))),'Delivery Ops'!$L$27),IF($H189&lt;=1,"Critical",IF($H189=2,"High",IF($H189=3,"Medium",IF($H189=4,"Low","Resilient"))))))</f>
        <v/>
      </c>
      <c r="J189" s="37" t="str">
        <f t="shared" si="34"/>
        <v/>
      </c>
      <c r="K189" s="37" t="str">
        <f t="shared" si="35"/>
        <v/>
      </c>
      <c r="L189" s="37" t="str">
        <f t="shared" si="36"/>
        <v/>
      </c>
      <c r="M189" s="37" t="str">
        <f t="shared" si="37"/>
        <v/>
      </c>
      <c r="N189" s="37" t="str">
        <f>IF($H189="","",IFERROR(INDEX('Risk Library'!$T$5:$Y$411,MATCH($E189,'Risk Library'!$A$5:$A$411,0),$H189+1),""))</f>
        <v/>
      </c>
      <c r="O189" s="37" t="str">
        <f t="shared" si="38"/>
        <v/>
      </c>
      <c r="P189" s="37" t="str">
        <f t="shared" si="39"/>
        <v/>
      </c>
      <c r="Q189" s="37" t="str">
        <f t="shared" si="40"/>
        <v/>
      </c>
      <c r="R189" s="37" t="str">
        <f t="shared" si="41"/>
        <v/>
      </c>
      <c r="S189" s="38" t="str">
        <f t="shared" si="42"/>
        <v/>
      </c>
      <c r="T189" s="36" t="str">
        <f>IF($H189="","",IFERROR(INDEX('Risk Library'!$N$5:$S$411,MATCH($E189,'Risk Library'!$A$5:$A$411,0),$H189+1),""))</f>
        <v/>
      </c>
      <c r="U189" s="37">
        <f>IFERROR('Delivery Ops'!$G$27,"")</f>
        <v>5</v>
      </c>
      <c r="V189" s="37">
        <f>IFERROR('Delivery Ops'!$W$27,"")</f>
        <v>4</v>
      </c>
      <c r="W189" s="37">
        <f>IFERROR('Delivery Ops'!$X$27,"")</f>
        <v>5</v>
      </c>
      <c r="X189" s="37">
        <f>IFERROR('Delivery Ops'!$Y$27,"")</f>
        <v>5</v>
      </c>
      <c r="Y189" s="36" t="s">
        <v>3493</v>
      </c>
      <c r="Z189" s="36" t="s">
        <v>3494</v>
      </c>
      <c r="AA189" s="36" t="s">
        <v>3708</v>
      </c>
      <c r="AB189" s="36">
        <f>IFERROR('Delivery Ops'!$U$27,"")</f>
        <v>0</v>
      </c>
      <c r="AC189" s="36"/>
      <c r="AD189" s="36"/>
      <c r="AE189" s="36"/>
      <c r="AF189" s="36" t="s">
        <v>3707</v>
      </c>
      <c r="AO189" s="48" t="str">
        <f>IF($B189="Yes",IFERROR(SUMIFS(_TECH_Crisis_Model!$D$5:$D$191,_TECH_Crisis_Model!$A$5:$A$191,'Crisis Simulator'!$B$4,_TECH_Crisis_Model!$B$5:$B$191,$C189),1),"")</f>
        <v/>
      </c>
      <c r="AP189" s="48" t="str">
        <f t="shared" si="43"/>
        <v/>
      </c>
      <c r="AQ189" s="48" t="str">
        <f t="shared" si="44"/>
        <v/>
      </c>
      <c r="AR189" s="48" t="str">
        <f>IFERROR(INDEX(_TECH_Crisis_Model!$E$5:$E$191,MATCH('Crisis Simulator'!$B$4&amp;"|"&amp;$C189,_TECH_Crisis_Model!$I$5:$I$191,0)),"")</f>
        <v>Delivery capacity, SLA control and operational handover determine customer continuity.</v>
      </c>
      <c r="AS189" s="48" t="str">
        <f>IFERROR(INDEX(_TECH_Crisis_Model!$G$5:$G$191,MATCH('Crisis Simulator'!$B$4&amp;"|"&amp;$C189,_TECH_Crisis_Model!$I$5:$I$191,0)),"")</f>
        <v>Define alternative delivery models, capacity buffers, SLA triage and incident recovery procedures.</v>
      </c>
      <c r="AT189" s="48" t="str">
        <f>IFERROR(INDEX(_TECH_Initiative_Library!$A$5:$A$76,MATCH(1,INDEX((_TECH_Initiative_Library!$B$5:$B$76=$C189)*(_TECH_Initiative_Library!$C$5:$C$76=$D189),0),0)),"")</f>
        <v>INI-031</v>
      </c>
      <c r="AU189" s="48" t="str">
        <f>IFERROR(INDEX(_TECH_Initiative_Library!$F$5:$F$76,MATCH(1,INDEX((_TECH_Initiative_Library!$B$5:$B$76=$C189)*(_TECH_Initiative_Library!$C$5:$C$76=$D189),0),0)),"")</f>
        <v>Implement operational visibility dashboards and early warning</v>
      </c>
      <c r="AV189" s="48" t="str">
        <f ca="1">IFERROR(INDEX(_TECH_Initiative_Library!$AC$5:$AC$76,MATCH(1,INDEX((_TECH_Initiative_Library!$B$5:$B$76=$C189)*(_TECH_Initiative_Library!$C$5:$C$76=$D189),0),0)),"")</f>
        <v/>
      </c>
      <c r="AW189" s="48" t="str">
        <f ca="1">IFERROR(INDEX(_TECH_Initiative_Library!$AE$5:$AE$76,MATCH(1,INDEX((_TECH_Initiative_Library!$B$5:$B$76=$C189)*(_TECH_Initiative_Library!$C$5:$C$76=$D189),0),0)),"")</f>
        <v/>
      </c>
      <c r="AX189" s="48" t="str">
        <f>IF($B189="Yes",IFERROR(SUMIFS(_TECH_Industry_Templates!$E:$E,_TECH_Industry_Templates!$A:$A,'Company Profile'!$B$9,_TECH_Industry_Templates!$B:$B,$C189),1),"")</f>
        <v/>
      </c>
      <c r="AY189" s="48" t="str">
        <f t="shared" si="45"/>
        <v/>
      </c>
      <c r="AZ189" s="48" t="str">
        <f t="shared" si="46"/>
        <v/>
      </c>
      <c r="BA189" s="48" t="str">
        <f>IF($AZ189="","",RANK.EQ($AZ189,$AZ$8:$AZ$414,0)+COUNTIF($AZ$8:$AZ189,$AZ189)-1)</f>
        <v/>
      </c>
    </row>
    <row r="190" spans="1:53" ht="69.95" customHeight="1">
      <c r="A190" s="36" t="str">
        <f>IF($AZ190="","",RANK.EQ($AZ190,$AZ$8:$AZ$414,0)+COUNTIF($AZ$8:$AZ190,$AZ190)-1)</f>
        <v/>
      </c>
      <c r="B190" s="36" t="str">
        <f t="shared" si="33"/>
        <v/>
      </c>
      <c r="C190" s="36" t="s">
        <v>75</v>
      </c>
      <c r="D190" s="36" t="s">
        <v>1288</v>
      </c>
      <c r="E190" s="36" t="s">
        <v>3716</v>
      </c>
      <c r="F190" s="36" t="s">
        <v>190</v>
      </c>
      <c r="G190" s="36" t="str">
        <f>IF($H190="","",IFERROR(INDEX('Risk Library'!$H$5:$M$411,MATCH($E190,'Risk Library'!$A$5:$A$411,0),$H190+1),""))</f>
        <v/>
      </c>
      <c r="H190" s="37" t="str">
        <f>IF(OR(COUNTA('Delivery Ops'!$H$28)=0,'Delivery Ops'!$H$28="N/A"),"",VALUE('Delivery Ops'!$H$28))</f>
        <v/>
      </c>
      <c r="I190" s="36" t="str">
        <f>IF($H190="","",IFERROR(IF('Delivery Ops'!$L$28="",IF($H190&lt;=1,"Critical",IF($H190=2,"High",IF($H190=3,"Medium",IF($H190=4,"Low","Resilient")))),'Delivery Ops'!$L$28),IF($H190&lt;=1,"Critical",IF($H190=2,"High",IF($H190=3,"Medium",IF($H190=4,"Low","Resilient"))))))</f>
        <v/>
      </c>
      <c r="J190" s="37" t="str">
        <f t="shared" si="34"/>
        <v/>
      </c>
      <c r="K190" s="37" t="str">
        <f t="shared" si="35"/>
        <v/>
      </c>
      <c r="L190" s="37" t="str">
        <f t="shared" si="36"/>
        <v/>
      </c>
      <c r="M190" s="37" t="str">
        <f t="shared" si="37"/>
        <v/>
      </c>
      <c r="N190" s="37" t="str">
        <f>IF($H190="","",IFERROR(INDEX('Risk Library'!$T$5:$Y$411,MATCH($E190,'Risk Library'!$A$5:$A$411,0),$H190+1),""))</f>
        <v/>
      </c>
      <c r="O190" s="37" t="str">
        <f t="shared" si="38"/>
        <v/>
      </c>
      <c r="P190" s="37" t="str">
        <f t="shared" si="39"/>
        <v/>
      </c>
      <c r="Q190" s="37" t="str">
        <f t="shared" si="40"/>
        <v/>
      </c>
      <c r="R190" s="37" t="str">
        <f t="shared" si="41"/>
        <v/>
      </c>
      <c r="S190" s="38" t="str">
        <f t="shared" si="42"/>
        <v/>
      </c>
      <c r="T190" s="36" t="str">
        <f>IF($H190="","",IFERROR(INDEX('Risk Library'!$N$5:$S$411,MATCH($E190,'Risk Library'!$A$5:$A$411,0),$H190+1),""))</f>
        <v/>
      </c>
      <c r="U190" s="37">
        <f>IFERROR('Delivery Ops'!$G$28,"")</f>
        <v>5</v>
      </c>
      <c r="V190" s="37">
        <f>IFERROR('Delivery Ops'!$W$28,"")</f>
        <v>4</v>
      </c>
      <c r="W190" s="37">
        <f>IFERROR('Delivery Ops'!$X$28,"")</f>
        <v>5</v>
      </c>
      <c r="X190" s="37">
        <f>IFERROR('Delivery Ops'!$Y$28,"")</f>
        <v>5</v>
      </c>
      <c r="Y190" s="36" t="s">
        <v>3493</v>
      </c>
      <c r="Z190" s="36" t="s">
        <v>3494</v>
      </c>
      <c r="AA190" s="36" t="s">
        <v>3718</v>
      </c>
      <c r="AB190" s="36">
        <f>IFERROR('Delivery Ops'!$U$28,"")</f>
        <v>0</v>
      </c>
      <c r="AC190" s="36"/>
      <c r="AD190" s="36"/>
      <c r="AE190" s="36"/>
      <c r="AF190" s="36" t="s">
        <v>3717</v>
      </c>
      <c r="AO190" s="48" t="str">
        <f>IF($B190="Yes",IFERROR(SUMIFS(_TECH_Crisis_Model!$D$5:$D$191,_TECH_Crisis_Model!$A$5:$A$191,'Crisis Simulator'!$B$4,_TECH_Crisis_Model!$B$5:$B$191,$C190),1),"")</f>
        <v/>
      </c>
      <c r="AP190" s="48" t="str">
        <f t="shared" si="43"/>
        <v/>
      </c>
      <c r="AQ190" s="48" t="str">
        <f t="shared" si="44"/>
        <v/>
      </c>
      <c r="AR190" s="48" t="str">
        <f>IFERROR(INDEX(_TECH_Crisis_Model!$E$5:$E$191,MATCH('Crisis Simulator'!$B$4&amp;"|"&amp;$C190,_TECH_Crisis_Model!$I$5:$I$191,0)),"")</f>
        <v>Delivery capacity, SLA control and operational handover determine customer continuity.</v>
      </c>
      <c r="AS190" s="48" t="str">
        <f>IFERROR(INDEX(_TECH_Crisis_Model!$G$5:$G$191,MATCH('Crisis Simulator'!$B$4&amp;"|"&amp;$C190,_TECH_Crisis_Model!$I$5:$I$191,0)),"")</f>
        <v>Define alternative delivery models, capacity buffers, SLA triage and incident recovery procedures.</v>
      </c>
      <c r="AT190" s="48" t="str">
        <f>IFERROR(INDEX(_TECH_Initiative_Library!$A$5:$A$76,MATCH(1,INDEX((_TECH_Initiative_Library!$B$5:$B$76=$C190)*(_TECH_Initiative_Library!$C$5:$C$76=$D190),0),0)),"")</f>
        <v>INI-031</v>
      </c>
      <c r="AU190" s="48" t="str">
        <f>IFERROR(INDEX(_TECH_Initiative_Library!$F$5:$F$76,MATCH(1,INDEX((_TECH_Initiative_Library!$B$5:$B$76=$C190)*(_TECH_Initiative_Library!$C$5:$C$76=$D190),0),0)),"")</f>
        <v>Implement operational visibility dashboards and early warning</v>
      </c>
      <c r="AV190" s="48" t="str">
        <f ca="1">IFERROR(INDEX(_TECH_Initiative_Library!$AC$5:$AC$76,MATCH(1,INDEX((_TECH_Initiative_Library!$B$5:$B$76=$C190)*(_TECH_Initiative_Library!$C$5:$C$76=$D190),0),0)),"")</f>
        <v/>
      </c>
      <c r="AW190" s="48" t="str">
        <f ca="1">IFERROR(INDEX(_TECH_Initiative_Library!$AE$5:$AE$76,MATCH(1,INDEX((_TECH_Initiative_Library!$B$5:$B$76=$C190)*(_TECH_Initiative_Library!$C$5:$C$76=$D190),0),0)),"")</f>
        <v/>
      </c>
      <c r="AX190" s="48" t="str">
        <f>IF($B190="Yes",IFERROR(SUMIFS(_TECH_Industry_Templates!$E:$E,_TECH_Industry_Templates!$A:$A,'Company Profile'!$B$9,_TECH_Industry_Templates!$B:$B,$C190),1),"")</f>
        <v/>
      </c>
      <c r="AY190" s="48" t="str">
        <f t="shared" si="45"/>
        <v/>
      </c>
      <c r="AZ190" s="48" t="str">
        <f t="shared" si="46"/>
        <v/>
      </c>
      <c r="BA190" s="48" t="str">
        <f>IF($AZ190="","",RANK.EQ($AZ190,$AZ$8:$AZ$414,0)+COUNTIF($AZ$8:$AZ190,$AZ190)-1)</f>
        <v/>
      </c>
    </row>
    <row r="191" spans="1:53" ht="69.95" customHeight="1">
      <c r="A191" s="36" t="str">
        <f>IF($AZ191="","",RANK.EQ($AZ191,$AZ$8:$AZ$414,0)+COUNTIF($AZ$8:$AZ191,$AZ191)-1)</f>
        <v/>
      </c>
      <c r="B191" s="36" t="str">
        <f t="shared" si="33"/>
        <v/>
      </c>
      <c r="C191" s="36" t="s">
        <v>78</v>
      </c>
      <c r="D191" s="36" t="s">
        <v>1296</v>
      </c>
      <c r="E191" s="36" t="s">
        <v>3728</v>
      </c>
      <c r="F191" s="36" t="s">
        <v>191</v>
      </c>
      <c r="G191" s="36" t="str">
        <f>IF($H191="","",IFERROR(INDEX('Risk Library'!$H$5:$M$411,MATCH($E191,'Risk Library'!$A$5:$A$411,0),$H191+1),""))</f>
        <v/>
      </c>
      <c r="H191" s="37" t="str">
        <f>IF(OR(COUNTA('Supply Chain'!$H$5)=0,'Supply Chain'!$H$5="N/A"),"",VALUE('Supply Chain'!$H$5))</f>
        <v/>
      </c>
      <c r="I191" s="36" t="str">
        <f>IF($H191="","",IFERROR(IF('Supply Chain'!$L$5="",IF($H191&lt;=1,"Critical",IF($H191=2,"High",IF($H191=3,"Medium",IF($H191=4,"Low","Resilient")))),'Supply Chain'!$L$5),IF($H191&lt;=1,"Critical",IF($H191=2,"High",IF($H191=3,"Medium",IF($H191=4,"Low","Resilient"))))))</f>
        <v/>
      </c>
      <c r="J191" s="37" t="str">
        <f t="shared" si="34"/>
        <v/>
      </c>
      <c r="K191" s="37" t="str">
        <f t="shared" si="35"/>
        <v/>
      </c>
      <c r="L191" s="37" t="str">
        <f t="shared" si="36"/>
        <v/>
      </c>
      <c r="M191" s="37" t="str">
        <f t="shared" si="37"/>
        <v/>
      </c>
      <c r="N191" s="37" t="str">
        <f>IF($H191="","",IFERROR(INDEX('Risk Library'!$T$5:$Y$411,MATCH($E191,'Risk Library'!$A$5:$A$411,0),$H191+1),""))</f>
        <v/>
      </c>
      <c r="O191" s="37" t="str">
        <f t="shared" si="38"/>
        <v/>
      </c>
      <c r="P191" s="37" t="str">
        <f t="shared" si="39"/>
        <v/>
      </c>
      <c r="Q191" s="37" t="str">
        <f t="shared" si="40"/>
        <v/>
      </c>
      <c r="R191" s="37" t="str">
        <f t="shared" si="41"/>
        <v/>
      </c>
      <c r="S191" s="38" t="str">
        <f t="shared" si="42"/>
        <v/>
      </c>
      <c r="T191" s="36" t="str">
        <f>IF($H191="","",IFERROR(INDEX('Risk Library'!$N$5:$S$411,MATCH($E191,'Risk Library'!$A$5:$A$411,0),$H191+1),""))</f>
        <v/>
      </c>
      <c r="U191" s="37">
        <f>IFERROR('Supply Chain'!$G$5,"")</f>
        <v>5</v>
      </c>
      <c r="V191" s="37">
        <f>IFERROR('Supply Chain'!$W$5,"")</f>
        <v>4</v>
      </c>
      <c r="W191" s="37">
        <f>IFERROR('Supply Chain'!$X$5,"")</f>
        <v>5</v>
      </c>
      <c r="X191" s="37">
        <f>IFERROR('Supply Chain'!$Y$5,"")</f>
        <v>5</v>
      </c>
      <c r="Y191" s="36" t="s">
        <v>3739</v>
      </c>
      <c r="Z191" s="36" t="s">
        <v>3740</v>
      </c>
      <c r="AA191" s="36" t="s">
        <v>3732</v>
      </c>
      <c r="AB191" s="36">
        <f>IFERROR('Supply Chain'!$U$5,"")</f>
        <v>0</v>
      </c>
      <c r="AC191" s="36"/>
      <c r="AD191" s="36"/>
      <c r="AE191" s="36"/>
      <c r="AF191" s="36" t="s">
        <v>3729</v>
      </c>
      <c r="AO191" s="48" t="str">
        <f>IF($B191="Yes",IFERROR(SUMIFS(_TECH_Crisis_Model!$D$5:$D$191,_TECH_Crisis_Model!$A$5:$A$191,'Crisis Simulator'!$B$4,_TECH_Crisis_Model!$B$5:$B$191,$C191),1),"")</f>
        <v/>
      </c>
      <c r="AP191" s="48" t="str">
        <f t="shared" si="43"/>
        <v/>
      </c>
      <c r="AQ191" s="48" t="str">
        <f t="shared" si="44"/>
        <v/>
      </c>
      <c r="AR191" s="48" t="str">
        <f>IFERROR(INDEX(_TECH_Crisis_Model!$E$5:$E$191,MATCH('Crisis Simulator'!$B$4&amp;"|"&amp;$C191,_TECH_Crisis_Model!$I$5:$I$191,0)),"")</f>
        <v>Supplier concentration, logistics and inventory visibility determine production and delivery continuity.</v>
      </c>
      <c r="AS191" s="48" t="str">
        <f>IFERROR(INDEX(_TECH_Crisis_Model!$G$5:$G$191,MATCH('Crisis Simulator'!$B$4&amp;"|"&amp;$C191,_TECH_Crisis_Model!$I$5:$I$191,0)),"")</f>
        <v>Diversify suppliers, define safety stock, alternate routes, supplier monitoring and substitution rules.</v>
      </c>
      <c r="AT191" s="48" t="str">
        <f>IFERROR(INDEX(_TECH_Initiative_Library!$A$5:$A$76,MATCH(1,INDEX((_TECH_Initiative_Library!$B$5:$B$76=$C191)*(_TECH_Initiative_Library!$C$5:$C$76=$D191),0),0)),"")</f>
        <v>INI-032</v>
      </c>
      <c r="AU191" s="48" t="str">
        <f>IFERROR(INDEX(_TECH_Initiative_Library!$F$5:$F$76,MATCH(1,INDEX((_TECH_Initiative_Library!$B$5:$B$76=$C191)*(_TECH_Initiative_Library!$C$5:$C$76=$D191),0),0)),"")</f>
        <v>Redesign supply chain for resilience and alternative sourcing</v>
      </c>
      <c r="AV191" s="48" t="str">
        <f ca="1">IFERROR(INDEX(_TECH_Initiative_Library!$AC$5:$AC$76,MATCH(1,INDEX((_TECH_Initiative_Library!$B$5:$B$76=$C191)*(_TECH_Initiative_Library!$C$5:$C$76=$D191),0),0)),"")</f>
        <v/>
      </c>
      <c r="AW191" s="48" t="str">
        <f ca="1">IFERROR(INDEX(_TECH_Initiative_Library!$AE$5:$AE$76,MATCH(1,INDEX((_TECH_Initiative_Library!$B$5:$B$76=$C191)*(_TECH_Initiative_Library!$C$5:$C$76=$D191),0),0)),"")</f>
        <v/>
      </c>
      <c r="AX191" s="48" t="str">
        <f>IF($B191="Yes",IFERROR(SUMIFS(_TECH_Industry_Templates!$E:$E,_TECH_Industry_Templates!$A:$A,'Company Profile'!$B$9,_TECH_Industry_Templates!$B:$B,$C191),1),"")</f>
        <v/>
      </c>
      <c r="AY191" s="48" t="str">
        <f t="shared" si="45"/>
        <v/>
      </c>
      <c r="AZ191" s="48" t="str">
        <f t="shared" si="46"/>
        <v/>
      </c>
      <c r="BA191" s="48" t="str">
        <f>IF($AZ191="","",RANK.EQ($AZ191,$AZ$8:$AZ$414,0)+COUNTIF($AZ$8:$AZ191,$AZ191)-1)</f>
        <v/>
      </c>
    </row>
    <row r="192" spans="1:53" ht="69.95" customHeight="1">
      <c r="A192" s="36" t="str">
        <f>IF($AZ192="","",RANK.EQ($AZ192,$AZ$8:$AZ$414,0)+COUNTIF($AZ$8:$AZ192,$AZ192)-1)</f>
        <v/>
      </c>
      <c r="B192" s="36" t="str">
        <f t="shared" si="33"/>
        <v/>
      </c>
      <c r="C192" s="36" t="s">
        <v>78</v>
      </c>
      <c r="D192" s="36" t="s">
        <v>1296</v>
      </c>
      <c r="E192" s="36" t="s">
        <v>3742</v>
      </c>
      <c r="F192" s="36" t="s">
        <v>191</v>
      </c>
      <c r="G192" s="36" t="str">
        <f>IF($H192="","",IFERROR(INDEX('Risk Library'!$H$5:$M$411,MATCH($E192,'Risk Library'!$A$5:$A$411,0),$H192+1),""))</f>
        <v/>
      </c>
      <c r="H192" s="37" t="str">
        <f>IF(OR(COUNTA('Supply Chain'!$H$6)=0,'Supply Chain'!$H$6="N/A"),"",VALUE('Supply Chain'!$H$6))</f>
        <v/>
      </c>
      <c r="I192" s="36" t="str">
        <f>IF($H192="","",IFERROR(IF('Supply Chain'!$L$6="",IF($H192&lt;=1,"Critical",IF($H192=2,"High",IF($H192=3,"Medium",IF($H192=4,"Low","Resilient")))),'Supply Chain'!$L$6),IF($H192&lt;=1,"Critical",IF($H192=2,"High",IF($H192=3,"Medium",IF($H192=4,"Low","Resilient"))))))</f>
        <v/>
      </c>
      <c r="J192" s="37" t="str">
        <f t="shared" si="34"/>
        <v/>
      </c>
      <c r="K192" s="37" t="str">
        <f t="shared" si="35"/>
        <v/>
      </c>
      <c r="L192" s="37" t="str">
        <f t="shared" si="36"/>
        <v/>
      </c>
      <c r="M192" s="37" t="str">
        <f t="shared" si="37"/>
        <v/>
      </c>
      <c r="N192" s="37" t="str">
        <f>IF($H192="","",IFERROR(INDEX('Risk Library'!$T$5:$Y$411,MATCH($E192,'Risk Library'!$A$5:$A$411,0),$H192+1),""))</f>
        <v/>
      </c>
      <c r="O192" s="37" t="str">
        <f t="shared" si="38"/>
        <v/>
      </c>
      <c r="P192" s="37" t="str">
        <f t="shared" si="39"/>
        <v/>
      </c>
      <c r="Q192" s="37" t="str">
        <f t="shared" si="40"/>
        <v/>
      </c>
      <c r="R192" s="37" t="str">
        <f t="shared" si="41"/>
        <v/>
      </c>
      <c r="S192" s="38" t="str">
        <f t="shared" si="42"/>
        <v/>
      </c>
      <c r="T192" s="36" t="str">
        <f>IF($H192="","",IFERROR(INDEX('Risk Library'!$N$5:$S$411,MATCH($E192,'Risk Library'!$A$5:$A$411,0),$H192+1),""))</f>
        <v/>
      </c>
      <c r="U192" s="37">
        <f>IFERROR('Supply Chain'!$G$6,"")</f>
        <v>5</v>
      </c>
      <c r="V192" s="37">
        <f>IFERROR('Supply Chain'!$W$6,"")</f>
        <v>4</v>
      </c>
      <c r="W192" s="37">
        <f>IFERROR('Supply Chain'!$X$6,"")</f>
        <v>5</v>
      </c>
      <c r="X192" s="37">
        <f>IFERROR('Supply Chain'!$Y$6,"")</f>
        <v>5</v>
      </c>
      <c r="Y192" s="36" t="s">
        <v>3739</v>
      </c>
      <c r="Z192" s="36" t="s">
        <v>3740</v>
      </c>
      <c r="AA192" s="36" t="s">
        <v>3744</v>
      </c>
      <c r="AB192" s="36">
        <f>IFERROR('Supply Chain'!$U$6,"")</f>
        <v>0</v>
      </c>
      <c r="AC192" s="36"/>
      <c r="AD192" s="36"/>
      <c r="AE192" s="36"/>
      <c r="AF192" s="36" t="s">
        <v>3743</v>
      </c>
      <c r="AO192" s="48" t="str">
        <f>IF($B192="Yes",IFERROR(SUMIFS(_TECH_Crisis_Model!$D$5:$D$191,_TECH_Crisis_Model!$A$5:$A$191,'Crisis Simulator'!$B$4,_TECH_Crisis_Model!$B$5:$B$191,$C192),1),"")</f>
        <v/>
      </c>
      <c r="AP192" s="48" t="str">
        <f t="shared" si="43"/>
        <v/>
      </c>
      <c r="AQ192" s="48" t="str">
        <f t="shared" si="44"/>
        <v/>
      </c>
      <c r="AR192" s="48" t="str">
        <f>IFERROR(INDEX(_TECH_Crisis_Model!$E$5:$E$191,MATCH('Crisis Simulator'!$B$4&amp;"|"&amp;$C192,_TECH_Crisis_Model!$I$5:$I$191,0)),"")</f>
        <v>Supplier concentration, logistics and inventory visibility determine production and delivery continuity.</v>
      </c>
      <c r="AS192" s="48" t="str">
        <f>IFERROR(INDEX(_TECH_Crisis_Model!$G$5:$G$191,MATCH('Crisis Simulator'!$B$4&amp;"|"&amp;$C192,_TECH_Crisis_Model!$I$5:$I$191,0)),"")</f>
        <v>Diversify suppliers, define safety stock, alternate routes, supplier monitoring and substitution rules.</v>
      </c>
      <c r="AT192" s="48" t="str">
        <f>IFERROR(INDEX(_TECH_Initiative_Library!$A$5:$A$76,MATCH(1,INDEX((_TECH_Initiative_Library!$B$5:$B$76=$C192)*(_TECH_Initiative_Library!$C$5:$C$76=$D192),0),0)),"")</f>
        <v>INI-032</v>
      </c>
      <c r="AU192" s="48" t="str">
        <f>IFERROR(INDEX(_TECH_Initiative_Library!$F$5:$F$76,MATCH(1,INDEX((_TECH_Initiative_Library!$B$5:$B$76=$C192)*(_TECH_Initiative_Library!$C$5:$C$76=$D192),0),0)),"")</f>
        <v>Redesign supply chain for resilience and alternative sourcing</v>
      </c>
      <c r="AV192" s="48" t="str">
        <f ca="1">IFERROR(INDEX(_TECH_Initiative_Library!$AC$5:$AC$76,MATCH(1,INDEX((_TECH_Initiative_Library!$B$5:$B$76=$C192)*(_TECH_Initiative_Library!$C$5:$C$76=$D192),0),0)),"")</f>
        <v/>
      </c>
      <c r="AW192" s="48" t="str">
        <f ca="1">IFERROR(INDEX(_TECH_Initiative_Library!$AE$5:$AE$76,MATCH(1,INDEX((_TECH_Initiative_Library!$B$5:$B$76=$C192)*(_TECH_Initiative_Library!$C$5:$C$76=$D192),0),0)),"")</f>
        <v/>
      </c>
      <c r="AX192" s="48" t="str">
        <f>IF($B192="Yes",IFERROR(SUMIFS(_TECH_Industry_Templates!$E:$E,_TECH_Industry_Templates!$A:$A,'Company Profile'!$B$9,_TECH_Industry_Templates!$B:$B,$C192),1),"")</f>
        <v/>
      </c>
      <c r="AY192" s="48" t="str">
        <f t="shared" si="45"/>
        <v/>
      </c>
      <c r="AZ192" s="48" t="str">
        <f t="shared" si="46"/>
        <v/>
      </c>
      <c r="BA192" s="48" t="str">
        <f>IF($AZ192="","",RANK.EQ($AZ192,$AZ$8:$AZ$414,0)+COUNTIF($AZ$8:$AZ192,$AZ192)-1)</f>
        <v/>
      </c>
    </row>
    <row r="193" spans="1:53" ht="69.95" customHeight="1">
      <c r="A193" s="36" t="str">
        <f>IF($AZ193="","",RANK.EQ($AZ193,$AZ$8:$AZ$414,0)+COUNTIF($AZ$8:$AZ193,$AZ193)-1)</f>
        <v/>
      </c>
      <c r="B193" s="36" t="str">
        <f t="shared" si="33"/>
        <v/>
      </c>
      <c r="C193" s="36" t="s">
        <v>78</v>
      </c>
      <c r="D193" s="36" t="s">
        <v>1296</v>
      </c>
      <c r="E193" s="36" t="s">
        <v>3752</v>
      </c>
      <c r="F193" s="36" t="s">
        <v>191</v>
      </c>
      <c r="G193" s="36" t="str">
        <f>IF($H193="","",IFERROR(INDEX('Risk Library'!$H$5:$M$411,MATCH($E193,'Risk Library'!$A$5:$A$411,0),$H193+1),""))</f>
        <v/>
      </c>
      <c r="H193" s="37" t="str">
        <f>IF(OR(COUNTA('Supply Chain'!$H$7)=0,'Supply Chain'!$H$7="N/A"),"",VALUE('Supply Chain'!$H$7))</f>
        <v/>
      </c>
      <c r="I193" s="36" t="str">
        <f>IF($H193="","",IFERROR(IF('Supply Chain'!$L$7="",IF($H193&lt;=1,"Critical",IF($H193=2,"High",IF($H193=3,"Medium",IF($H193=4,"Low","Resilient")))),'Supply Chain'!$L$7),IF($H193&lt;=1,"Critical",IF($H193=2,"High",IF($H193=3,"Medium",IF($H193=4,"Low","Resilient"))))))</f>
        <v/>
      </c>
      <c r="J193" s="37" t="str">
        <f t="shared" si="34"/>
        <v/>
      </c>
      <c r="K193" s="37" t="str">
        <f t="shared" si="35"/>
        <v/>
      </c>
      <c r="L193" s="37" t="str">
        <f t="shared" si="36"/>
        <v/>
      </c>
      <c r="M193" s="37" t="str">
        <f t="shared" si="37"/>
        <v/>
      </c>
      <c r="N193" s="37" t="str">
        <f>IF($H193="","",IFERROR(INDEX('Risk Library'!$T$5:$Y$411,MATCH($E193,'Risk Library'!$A$5:$A$411,0),$H193+1),""))</f>
        <v/>
      </c>
      <c r="O193" s="37" t="str">
        <f t="shared" si="38"/>
        <v/>
      </c>
      <c r="P193" s="37" t="str">
        <f t="shared" si="39"/>
        <v/>
      </c>
      <c r="Q193" s="37" t="str">
        <f t="shared" si="40"/>
        <v/>
      </c>
      <c r="R193" s="37" t="str">
        <f t="shared" si="41"/>
        <v/>
      </c>
      <c r="S193" s="38" t="str">
        <f t="shared" si="42"/>
        <v/>
      </c>
      <c r="T193" s="36" t="str">
        <f>IF($H193="","",IFERROR(INDEX('Risk Library'!$N$5:$S$411,MATCH($E193,'Risk Library'!$A$5:$A$411,0),$H193+1),""))</f>
        <v/>
      </c>
      <c r="U193" s="37">
        <f>IFERROR('Supply Chain'!$G$7,"")</f>
        <v>5</v>
      </c>
      <c r="V193" s="37">
        <f>IFERROR('Supply Chain'!$W$7,"")</f>
        <v>4</v>
      </c>
      <c r="W193" s="37">
        <f>IFERROR('Supply Chain'!$X$7,"")</f>
        <v>5</v>
      </c>
      <c r="X193" s="37">
        <f>IFERROR('Supply Chain'!$Y$7,"")</f>
        <v>5</v>
      </c>
      <c r="Y193" s="36" t="s">
        <v>3739</v>
      </c>
      <c r="Z193" s="36" t="s">
        <v>3740</v>
      </c>
      <c r="AA193" s="36" t="s">
        <v>3754</v>
      </c>
      <c r="AB193" s="36">
        <f>IFERROR('Supply Chain'!$U$7,"")</f>
        <v>0</v>
      </c>
      <c r="AC193" s="36"/>
      <c r="AD193" s="36"/>
      <c r="AE193" s="36"/>
      <c r="AF193" s="36" t="s">
        <v>3753</v>
      </c>
      <c r="AO193" s="48" t="str">
        <f>IF($B193="Yes",IFERROR(SUMIFS(_TECH_Crisis_Model!$D$5:$D$191,_TECH_Crisis_Model!$A$5:$A$191,'Crisis Simulator'!$B$4,_TECH_Crisis_Model!$B$5:$B$191,$C193),1),"")</f>
        <v/>
      </c>
      <c r="AP193" s="48" t="str">
        <f t="shared" si="43"/>
        <v/>
      </c>
      <c r="AQ193" s="48" t="str">
        <f t="shared" si="44"/>
        <v/>
      </c>
      <c r="AR193" s="48" t="str">
        <f>IFERROR(INDEX(_TECH_Crisis_Model!$E$5:$E$191,MATCH('Crisis Simulator'!$B$4&amp;"|"&amp;$C193,_TECH_Crisis_Model!$I$5:$I$191,0)),"")</f>
        <v>Supplier concentration, logistics and inventory visibility determine production and delivery continuity.</v>
      </c>
      <c r="AS193" s="48" t="str">
        <f>IFERROR(INDEX(_TECH_Crisis_Model!$G$5:$G$191,MATCH('Crisis Simulator'!$B$4&amp;"|"&amp;$C193,_TECH_Crisis_Model!$I$5:$I$191,0)),"")</f>
        <v>Diversify suppliers, define safety stock, alternate routes, supplier monitoring and substitution rules.</v>
      </c>
      <c r="AT193" s="48" t="str">
        <f>IFERROR(INDEX(_TECH_Initiative_Library!$A$5:$A$76,MATCH(1,INDEX((_TECH_Initiative_Library!$B$5:$B$76=$C193)*(_TECH_Initiative_Library!$C$5:$C$76=$D193),0),0)),"")</f>
        <v>INI-032</v>
      </c>
      <c r="AU193" s="48" t="str">
        <f>IFERROR(INDEX(_TECH_Initiative_Library!$F$5:$F$76,MATCH(1,INDEX((_TECH_Initiative_Library!$B$5:$B$76=$C193)*(_TECH_Initiative_Library!$C$5:$C$76=$D193),0),0)),"")</f>
        <v>Redesign supply chain for resilience and alternative sourcing</v>
      </c>
      <c r="AV193" s="48" t="str">
        <f ca="1">IFERROR(INDEX(_TECH_Initiative_Library!$AC$5:$AC$76,MATCH(1,INDEX((_TECH_Initiative_Library!$B$5:$B$76=$C193)*(_TECH_Initiative_Library!$C$5:$C$76=$D193),0),0)),"")</f>
        <v/>
      </c>
      <c r="AW193" s="48" t="str">
        <f ca="1">IFERROR(INDEX(_TECH_Initiative_Library!$AE$5:$AE$76,MATCH(1,INDEX((_TECH_Initiative_Library!$B$5:$B$76=$C193)*(_TECH_Initiative_Library!$C$5:$C$76=$D193),0),0)),"")</f>
        <v/>
      </c>
      <c r="AX193" s="48" t="str">
        <f>IF($B193="Yes",IFERROR(SUMIFS(_TECH_Industry_Templates!$E:$E,_TECH_Industry_Templates!$A:$A,'Company Profile'!$B$9,_TECH_Industry_Templates!$B:$B,$C193),1),"")</f>
        <v/>
      </c>
      <c r="AY193" s="48" t="str">
        <f t="shared" si="45"/>
        <v/>
      </c>
      <c r="AZ193" s="48" t="str">
        <f t="shared" si="46"/>
        <v/>
      </c>
      <c r="BA193" s="48" t="str">
        <f>IF($AZ193="","",RANK.EQ($AZ193,$AZ$8:$AZ$414,0)+COUNTIF($AZ$8:$AZ193,$AZ193)-1)</f>
        <v/>
      </c>
    </row>
    <row r="194" spans="1:53" ht="69.95" customHeight="1">
      <c r="A194" s="36" t="str">
        <f>IF($AZ194="","",RANK.EQ($AZ194,$AZ$8:$AZ$414,0)+COUNTIF($AZ$8:$AZ194,$AZ194)-1)</f>
        <v/>
      </c>
      <c r="B194" s="36" t="str">
        <f t="shared" si="33"/>
        <v/>
      </c>
      <c r="C194" s="36" t="s">
        <v>78</v>
      </c>
      <c r="D194" s="36" t="s">
        <v>1296</v>
      </c>
      <c r="E194" s="36" t="s">
        <v>3762</v>
      </c>
      <c r="F194" s="36" t="s">
        <v>191</v>
      </c>
      <c r="G194" s="36" t="str">
        <f>IF($H194="","",IFERROR(INDEX('Risk Library'!$H$5:$M$411,MATCH($E194,'Risk Library'!$A$5:$A$411,0),$H194+1),""))</f>
        <v/>
      </c>
      <c r="H194" s="37" t="str">
        <f>IF(OR(COUNTA('Supply Chain'!$H$8)=0,'Supply Chain'!$H$8="N/A"),"",VALUE('Supply Chain'!$H$8))</f>
        <v/>
      </c>
      <c r="I194" s="36" t="str">
        <f>IF($H194="","",IFERROR(IF('Supply Chain'!$L$8="",IF($H194&lt;=1,"Critical",IF($H194=2,"High",IF($H194=3,"Medium",IF($H194=4,"Low","Resilient")))),'Supply Chain'!$L$8),IF($H194&lt;=1,"Critical",IF($H194=2,"High",IF($H194=3,"Medium",IF($H194=4,"Low","Resilient"))))))</f>
        <v/>
      </c>
      <c r="J194" s="37" t="str">
        <f t="shared" si="34"/>
        <v/>
      </c>
      <c r="K194" s="37" t="str">
        <f t="shared" si="35"/>
        <v/>
      </c>
      <c r="L194" s="37" t="str">
        <f t="shared" si="36"/>
        <v/>
      </c>
      <c r="M194" s="37" t="str">
        <f t="shared" si="37"/>
        <v/>
      </c>
      <c r="N194" s="37" t="str">
        <f>IF($H194="","",IFERROR(INDEX('Risk Library'!$T$5:$Y$411,MATCH($E194,'Risk Library'!$A$5:$A$411,0),$H194+1),""))</f>
        <v/>
      </c>
      <c r="O194" s="37" t="str">
        <f t="shared" si="38"/>
        <v/>
      </c>
      <c r="P194" s="37" t="str">
        <f t="shared" si="39"/>
        <v/>
      </c>
      <c r="Q194" s="37" t="str">
        <f t="shared" si="40"/>
        <v/>
      </c>
      <c r="R194" s="37" t="str">
        <f t="shared" si="41"/>
        <v/>
      </c>
      <c r="S194" s="38" t="str">
        <f t="shared" si="42"/>
        <v/>
      </c>
      <c r="T194" s="36" t="str">
        <f>IF($H194="","",IFERROR(INDEX('Risk Library'!$N$5:$S$411,MATCH($E194,'Risk Library'!$A$5:$A$411,0),$H194+1),""))</f>
        <v/>
      </c>
      <c r="U194" s="37">
        <f>IFERROR('Supply Chain'!$G$8,"")</f>
        <v>5</v>
      </c>
      <c r="V194" s="37">
        <f>IFERROR('Supply Chain'!$W$8,"")</f>
        <v>4</v>
      </c>
      <c r="W194" s="37">
        <f>IFERROR('Supply Chain'!$X$8,"")</f>
        <v>5</v>
      </c>
      <c r="X194" s="37">
        <f>IFERROR('Supply Chain'!$Y$8,"")</f>
        <v>5</v>
      </c>
      <c r="Y194" s="36" t="s">
        <v>3739</v>
      </c>
      <c r="Z194" s="36" t="s">
        <v>3740</v>
      </c>
      <c r="AA194" s="36" t="s">
        <v>3764</v>
      </c>
      <c r="AB194" s="36">
        <f>IFERROR('Supply Chain'!$U$8,"")</f>
        <v>0</v>
      </c>
      <c r="AC194" s="36"/>
      <c r="AD194" s="36"/>
      <c r="AE194" s="36"/>
      <c r="AF194" s="36" t="s">
        <v>3763</v>
      </c>
      <c r="AO194" s="48" t="str">
        <f>IF($B194="Yes",IFERROR(SUMIFS(_TECH_Crisis_Model!$D$5:$D$191,_TECH_Crisis_Model!$A$5:$A$191,'Crisis Simulator'!$B$4,_TECH_Crisis_Model!$B$5:$B$191,$C194),1),"")</f>
        <v/>
      </c>
      <c r="AP194" s="48" t="str">
        <f t="shared" si="43"/>
        <v/>
      </c>
      <c r="AQ194" s="48" t="str">
        <f t="shared" si="44"/>
        <v/>
      </c>
      <c r="AR194" s="48" t="str">
        <f>IFERROR(INDEX(_TECH_Crisis_Model!$E$5:$E$191,MATCH('Crisis Simulator'!$B$4&amp;"|"&amp;$C194,_TECH_Crisis_Model!$I$5:$I$191,0)),"")</f>
        <v>Supplier concentration, logistics and inventory visibility determine production and delivery continuity.</v>
      </c>
      <c r="AS194" s="48" t="str">
        <f>IFERROR(INDEX(_TECH_Crisis_Model!$G$5:$G$191,MATCH('Crisis Simulator'!$B$4&amp;"|"&amp;$C194,_TECH_Crisis_Model!$I$5:$I$191,0)),"")</f>
        <v>Diversify suppliers, define safety stock, alternate routes, supplier monitoring and substitution rules.</v>
      </c>
      <c r="AT194" s="48" t="str">
        <f>IFERROR(INDEX(_TECH_Initiative_Library!$A$5:$A$76,MATCH(1,INDEX((_TECH_Initiative_Library!$B$5:$B$76=$C194)*(_TECH_Initiative_Library!$C$5:$C$76=$D194),0),0)),"")</f>
        <v>INI-032</v>
      </c>
      <c r="AU194" s="48" t="str">
        <f>IFERROR(INDEX(_TECH_Initiative_Library!$F$5:$F$76,MATCH(1,INDEX((_TECH_Initiative_Library!$B$5:$B$76=$C194)*(_TECH_Initiative_Library!$C$5:$C$76=$D194),0),0)),"")</f>
        <v>Redesign supply chain for resilience and alternative sourcing</v>
      </c>
      <c r="AV194" s="48" t="str">
        <f ca="1">IFERROR(INDEX(_TECH_Initiative_Library!$AC$5:$AC$76,MATCH(1,INDEX((_TECH_Initiative_Library!$B$5:$B$76=$C194)*(_TECH_Initiative_Library!$C$5:$C$76=$D194),0),0)),"")</f>
        <v/>
      </c>
      <c r="AW194" s="48" t="str">
        <f ca="1">IFERROR(INDEX(_TECH_Initiative_Library!$AE$5:$AE$76,MATCH(1,INDEX((_TECH_Initiative_Library!$B$5:$B$76=$C194)*(_TECH_Initiative_Library!$C$5:$C$76=$D194),0),0)),"")</f>
        <v/>
      </c>
      <c r="AX194" s="48" t="str">
        <f>IF($B194="Yes",IFERROR(SUMIFS(_TECH_Industry_Templates!$E:$E,_TECH_Industry_Templates!$A:$A,'Company Profile'!$B$9,_TECH_Industry_Templates!$B:$B,$C194),1),"")</f>
        <v/>
      </c>
      <c r="AY194" s="48" t="str">
        <f t="shared" si="45"/>
        <v/>
      </c>
      <c r="AZ194" s="48" t="str">
        <f t="shared" si="46"/>
        <v/>
      </c>
      <c r="BA194" s="48" t="str">
        <f>IF($AZ194="","",RANK.EQ($AZ194,$AZ$8:$AZ$414,0)+COUNTIF($AZ$8:$AZ194,$AZ194)-1)</f>
        <v/>
      </c>
    </row>
    <row r="195" spans="1:53" ht="69.95" customHeight="1">
      <c r="A195" s="36" t="str">
        <f>IF($AZ195="","",RANK.EQ($AZ195,$AZ$8:$AZ$414,0)+COUNTIF($AZ$8:$AZ195,$AZ195)-1)</f>
        <v/>
      </c>
      <c r="B195" s="36" t="str">
        <f t="shared" si="33"/>
        <v/>
      </c>
      <c r="C195" s="36" t="s">
        <v>78</v>
      </c>
      <c r="D195" s="36" t="s">
        <v>1296</v>
      </c>
      <c r="E195" s="36" t="s">
        <v>3772</v>
      </c>
      <c r="F195" s="36" t="s">
        <v>191</v>
      </c>
      <c r="G195" s="36" t="str">
        <f>IF($H195="","",IFERROR(INDEX('Risk Library'!$H$5:$M$411,MATCH($E195,'Risk Library'!$A$5:$A$411,0),$H195+1),""))</f>
        <v/>
      </c>
      <c r="H195" s="37" t="str">
        <f>IF(OR(COUNTA('Supply Chain'!$H$9)=0,'Supply Chain'!$H$9="N/A"),"",VALUE('Supply Chain'!$H$9))</f>
        <v/>
      </c>
      <c r="I195" s="36" t="str">
        <f>IF($H195="","",IFERROR(IF('Supply Chain'!$L$9="",IF($H195&lt;=1,"Critical",IF($H195=2,"High",IF($H195=3,"Medium",IF($H195=4,"Low","Resilient")))),'Supply Chain'!$L$9),IF($H195&lt;=1,"Critical",IF($H195=2,"High",IF($H195=3,"Medium",IF($H195=4,"Low","Resilient"))))))</f>
        <v/>
      </c>
      <c r="J195" s="37" t="str">
        <f t="shared" si="34"/>
        <v/>
      </c>
      <c r="K195" s="37" t="str">
        <f t="shared" si="35"/>
        <v/>
      </c>
      <c r="L195" s="37" t="str">
        <f t="shared" si="36"/>
        <v/>
      </c>
      <c r="M195" s="37" t="str">
        <f t="shared" si="37"/>
        <v/>
      </c>
      <c r="N195" s="37" t="str">
        <f>IF($H195="","",IFERROR(INDEX('Risk Library'!$T$5:$Y$411,MATCH($E195,'Risk Library'!$A$5:$A$411,0),$H195+1),""))</f>
        <v/>
      </c>
      <c r="O195" s="37" t="str">
        <f t="shared" si="38"/>
        <v/>
      </c>
      <c r="P195" s="37" t="str">
        <f t="shared" si="39"/>
        <v/>
      </c>
      <c r="Q195" s="37" t="str">
        <f t="shared" si="40"/>
        <v/>
      </c>
      <c r="R195" s="37" t="str">
        <f t="shared" si="41"/>
        <v/>
      </c>
      <c r="S195" s="38" t="str">
        <f t="shared" si="42"/>
        <v/>
      </c>
      <c r="T195" s="36" t="str">
        <f>IF($H195="","",IFERROR(INDEX('Risk Library'!$N$5:$S$411,MATCH($E195,'Risk Library'!$A$5:$A$411,0),$H195+1),""))</f>
        <v/>
      </c>
      <c r="U195" s="37">
        <f>IFERROR('Supply Chain'!$G$9,"")</f>
        <v>5</v>
      </c>
      <c r="V195" s="37">
        <f>IFERROR('Supply Chain'!$W$9,"")</f>
        <v>4</v>
      </c>
      <c r="W195" s="37">
        <f>IFERROR('Supply Chain'!$X$9,"")</f>
        <v>5</v>
      </c>
      <c r="X195" s="37">
        <f>IFERROR('Supply Chain'!$Y$9,"")</f>
        <v>5</v>
      </c>
      <c r="Y195" s="36" t="s">
        <v>3739</v>
      </c>
      <c r="Z195" s="36" t="s">
        <v>3740</v>
      </c>
      <c r="AA195" s="36" t="s">
        <v>3774</v>
      </c>
      <c r="AB195" s="36">
        <f>IFERROR('Supply Chain'!$U$9,"")</f>
        <v>0</v>
      </c>
      <c r="AC195" s="36"/>
      <c r="AD195" s="36"/>
      <c r="AE195" s="36"/>
      <c r="AF195" s="36" t="s">
        <v>3773</v>
      </c>
      <c r="AO195" s="48" t="str">
        <f>IF($B195="Yes",IFERROR(SUMIFS(_TECH_Crisis_Model!$D$5:$D$191,_TECH_Crisis_Model!$A$5:$A$191,'Crisis Simulator'!$B$4,_TECH_Crisis_Model!$B$5:$B$191,$C195),1),"")</f>
        <v/>
      </c>
      <c r="AP195" s="48" t="str">
        <f t="shared" si="43"/>
        <v/>
      </c>
      <c r="AQ195" s="48" t="str">
        <f t="shared" si="44"/>
        <v/>
      </c>
      <c r="AR195" s="48" t="str">
        <f>IFERROR(INDEX(_TECH_Crisis_Model!$E$5:$E$191,MATCH('Crisis Simulator'!$B$4&amp;"|"&amp;$C195,_TECH_Crisis_Model!$I$5:$I$191,0)),"")</f>
        <v>Supplier concentration, logistics and inventory visibility determine production and delivery continuity.</v>
      </c>
      <c r="AS195" s="48" t="str">
        <f>IFERROR(INDEX(_TECH_Crisis_Model!$G$5:$G$191,MATCH('Crisis Simulator'!$B$4&amp;"|"&amp;$C195,_TECH_Crisis_Model!$I$5:$I$191,0)),"")</f>
        <v>Diversify suppliers, define safety stock, alternate routes, supplier monitoring and substitution rules.</v>
      </c>
      <c r="AT195" s="48" t="str">
        <f>IFERROR(INDEX(_TECH_Initiative_Library!$A$5:$A$76,MATCH(1,INDEX((_TECH_Initiative_Library!$B$5:$B$76=$C195)*(_TECH_Initiative_Library!$C$5:$C$76=$D195),0),0)),"")</f>
        <v>INI-032</v>
      </c>
      <c r="AU195" s="48" t="str">
        <f>IFERROR(INDEX(_TECH_Initiative_Library!$F$5:$F$76,MATCH(1,INDEX((_TECH_Initiative_Library!$B$5:$B$76=$C195)*(_TECH_Initiative_Library!$C$5:$C$76=$D195),0),0)),"")</f>
        <v>Redesign supply chain for resilience and alternative sourcing</v>
      </c>
      <c r="AV195" s="48" t="str">
        <f ca="1">IFERROR(INDEX(_TECH_Initiative_Library!$AC$5:$AC$76,MATCH(1,INDEX((_TECH_Initiative_Library!$B$5:$B$76=$C195)*(_TECH_Initiative_Library!$C$5:$C$76=$D195),0),0)),"")</f>
        <v/>
      </c>
      <c r="AW195" s="48" t="str">
        <f ca="1">IFERROR(INDEX(_TECH_Initiative_Library!$AE$5:$AE$76,MATCH(1,INDEX((_TECH_Initiative_Library!$B$5:$B$76=$C195)*(_TECH_Initiative_Library!$C$5:$C$76=$D195),0),0)),"")</f>
        <v/>
      </c>
      <c r="AX195" s="48" t="str">
        <f>IF($B195="Yes",IFERROR(SUMIFS(_TECH_Industry_Templates!$E:$E,_TECH_Industry_Templates!$A:$A,'Company Profile'!$B$9,_TECH_Industry_Templates!$B:$B,$C195),1),"")</f>
        <v/>
      </c>
      <c r="AY195" s="48" t="str">
        <f t="shared" si="45"/>
        <v/>
      </c>
      <c r="AZ195" s="48" t="str">
        <f t="shared" si="46"/>
        <v/>
      </c>
      <c r="BA195" s="48" t="str">
        <f>IF($AZ195="","",RANK.EQ($AZ195,$AZ$8:$AZ$414,0)+COUNTIF($AZ$8:$AZ195,$AZ195)-1)</f>
        <v/>
      </c>
    </row>
    <row r="196" spans="1:53" ht="69.95" customHeight="1">
      <c r="A196" s="36" t="str">
        <f>IF($AZ196="","",RANK.EQ($AZ196,$AZ$8:$AZ$414,0)+COUNTIF($AZ$8:$AZ196,$AZ196)-1)</f>
        <v/>
      </c>
      <c r="B196" s="36" t="str">
        <f t="shared" si="33"/>
        <v/>
      </c>
      <c r="C196" s="36" t="s">
        <v>78</v>
      </c>
      <c r="D196" s="36" t="s">
        <v>1296</v>
      </c>
      <c r="E196" s="36" t="s">
        <v>3782</v>
      </c>
      <c r="F196" s="36" t="s">
        <v>191</v>
      </c>
      <c r="G196" s="36" t="str">
        <f>IF($H196="","",IFERROR(INDEX('Risk Library'!$H$5:$M$411,MATCH($E196,'Risk Library'!$A$5:$A$411,0),$H196+1),""))</f>
        <v/>
      </c>
      <c r="H196" s="37" t="str">
        <f>IF(OR(COUNTA('Supply Chain'!$H$10)=0,'Supply Chain'!$H$10="N/A"),"",VALUE('Supply Chain'!$H$10))</f>
        <v/>
      </c>
      <c r="I196" s="36" t="str">
        <f>IF($H196="","",IFERROR(IF('Supply Chain'!$L$10="",IF($H196&lt;=1,"Critical",IF($H196=2,"High",IF($H196=3,"Medium",IF($H196=4,"Low","Resilient")))),'Supply Chain'!$L$10),IF($H196&lt;=1,"Critical",IF($H196=2,"High",IF($H196=3,"Medium",IF($H196=4,"Low","Resilient"))))))</f>
        <v/>
      </c>
      <c r="J196" s="37" t="str">
        <f t="shared" si="34"/>
        <v/>
      </c>
      <c r="K196" s="37" t="str">
        <f t="shared" si="35"/>
        <v/>
      </c>
      <c r="L196" s="37" t="str">
        <f t="shared" si="36"/>
        <v/>
      </c>
      <c r="M196" s="37" t="str">
        <f t="shared" si="37"/>
        <v/>
      </c>
      <c r="N196" s="37" t="str">
        <f>IF($H196="","",IFERROR(INDEX('Risk Library'!$T$5:$Y$411,MATCH($E196,'Risk Library'!$A$5:$A$411,0),$H196+1),""))</f>
        <v/>
      </c>
      <c r="O196" s="37" t="str">
        <f t="shared" si="38"/>
        <v/>
      </c>
      <c r="P196" s="37" t="str">
        <f t="shared" si="39"/>
        <v/>
      </c>
      <c r="Q196" s="37" t="str">
        <f t="shared" si="40"/>
        <v/>
      </c>
      <c r="R196" s="37" t="str">
        <f t="shared" si="41"/>
        <v/>
      </c>
      <c r="S196" s="38" t="str">
        <f t="shared" si="42"/>
        <v/>
      </c>
      <c r="T196" s="36" t="str">
        <f>IF($H196="","",IFERROR(INDEX('Risk Library'!$N$5:$S$411,MATCH($E196,'Risk Library'!$A$5:$A$411,0),$H196+1),""))</f>
        <v/>
      </c>
      <c r="U196" s="37">
        <f>IFERROR('Supply Chain'!$G$10,"")</f>
        <v>5</v>
      </c>
      <c r="V196" s="37">
        <f>IFERROR('Supply Chain'!$W$10,"")</f>
        <v>4</v>
      </c>
      <c r="W196" s="37">
        <f>IFERROR('Supply Chain'!$X$10,"")</f>
        <v>5</v>
      </c>
      <c r="X196" s="37">
        <f>IFERROR('Supply Chain'!$Y$10,"")</f>
        <v>5</v>
      </c>
      <c r="Y196" s="36" t="s">
        <v>3739</v>
      </c>
      <c r="Z196" s="36" t="s">
        <v>3740</v>
      </c>
      <c r="AA196" s="36" t="s">
        <v>3784</v>
      </c>
      <c r="AB196" s="36">
        <f>IFERROR('Supply Chain'!$U$10,"")</f>
        <v>0</v>
      </c>
      <c r="AC196" s="36"/>
      <c r="AD196" s="36"/>
      <c r="AE196" s="36"/>
      <c r="AF196" s="36" t="s">
        <v>3783</v>
      </c>
      <c r="AO196" s="48" t="str">
        <f>IF($B196="Yes",IFERROR(SUMIFS(_TECH_Crisis_Model!$D$5:$D$191,_TECH_Crisis_Model!$A$5:$A$191,'Crisis Simulator'!$B$4,_TECH_Crisis_Model!$B$5:$B$191,$C196),1),"")</f>
        <v/>
      </c>
      <c r="AP196" s="48" t="str">
        <f t="shared" si="43"/>
        <v/>
      </c>
      <c r="AQ196" s="48" t="str">
        <f t="shared" si="44"/>
        <v/>
      </c>
      <c r="AR196" s="48" t="str">
        <f>IFERROR(INDEX(_TECH_Crisis_Model!$E$5:$E$191,MATCH('Crisis Simulator'!$B$4&amp;"|"&amp;$C196,_TECH_Crisis_Model!$I$5:$I$191,0)),"")</f>
        <v>Supplier concentration, logistics and inventory visibility determine production and delivery continuity.</v>
      </c>
      <c r="AS196" s="48" t="str">
        <f>IFERROR(INDEX(_TECH_Crisis_Model!$G$5:$G$191,MATCH('Crisis Simulator'!$B$4&amp;"|"&amp;$C196,_TECH_Crisis_Model!$I$5:$I$191,0)),"")</f>
        <v>Diversify suppliers, define safety stock, alternate routes, supplier monitoring and substitution rules.</v>
      </c>
      <c r="AT196" s="48" t="str">
        <f>IFERROR(INDEX(_TECH_Initiative_Library!$A$5:$A$76,MATCH(1,INDEX((_TECH_Initiative_Library!$B$5:$B$76=$C196)*(_TECH_Initiative_Library!$C$5:$C$76=$D196),0),0)),"")</f>
        <v>INI-032</v>
      </c>
      <c r="AU196" s="48" t="str">
        <f>IFERROR(INDEX(_TECH_Initiative_Library!$F$5:$F$76,MATCH(1,INDEX((_TECH_Initiative_Library!$B$5:$B$76=$C196)*(_TECH_Initiative_Library!$C$5:$C$76=$D196),0),0)),"")</f>
        <v>Redesign supply chain for resilience and alternative sourcing</v>
      </c>
      <c r="AV196" s="48" t="str">
        <f ca="1">IFERROR(INDEX(_TECH_Initiative_Library!$AC$5:$AC$76,MATCH(1,INDEX((_TECH_Initiative_Library!$B$5:$B$76=$C196)*(_TECH_Initiative_Library!$C$5:$C$76=$D196),0),0)),"")</f>
        <v/>
      </c>
      <c r="AW196" s="48" t="str">
        <f ca="1">IFERROR(INDEX(_TECH_Initiative_Library!$AE$5:$AE$76,MATCH(1,INDEX((_TECH_Initiative_Library!$B$5:$B$76=$C196)*(_TECH_Initiative_Library!$C$5:$C$76=$D196),0),0)),"")</f>
        <v/>
      </c>
      <c r="AX196" s="48" t="str">
        <f>IF($B196="Yes",IFERROR(SUMIFS(_TECH_Industry_Templates!$E:$E,_TECH_Industry_Templates!$A:$A,'Company Profile'!$B$9,_TECH_Industry_Templates!$B:$B,$C196),1),"")</f>
        <v/>
      </c>
      <c r="AY196" s="48" t="str">
        <f t="shared" si="45"/>
        <v/>
      </c>
      <c r="AZ196" s="48" t="str">
        <f t="shared" si="46"/>
        <v/>
      </c>
      <c r="BA196" s="48" t="str">
        <f>IF($AZ196="","",RANK.EQ($AZ196,$AZ$8:$AZ$414,0)+COUNTIF($AZ$8:$AZ196,$AZ196)-1)</f>
        <v/>
      </c>
    </row>
    <row r="197" spans="1:53" ht="69.95" customHeight="1">
      <c r="A197" s="36" t="str">
        <f>IF($AZ197="","",RANK.EQ($AZ197,$AZ$8:$AZ$414,0)+COUNTIF($AZ$8:$AZ197,$AZ197)-1)</f>
        <v/>
      </c>
      <c r="B197" s="36" t="str">
        <f t="shared" si="33"/>
        <v/>
      </c>
      <c r="C197" s="36" t="s">
        <v>78</v>
      </c>
      <c r="D197" s="36" t="s">
        <v>1307</v>
      </c>
      <c r="E197" s="36" t="s">
        <v>3792</v>
      </c>
      <c r="F197" s="36" t="s">
        <v>191</v>
      </c>
      <c r="G197" s="36" t="str">
        <f>IF($H197="","",IFERROR(INDEX('Risk Library'!$H$5:$M$411,MATCH($E197,'Risk Library'!$A$5:$A$411,0),$H197+1),""))</f>
        <v/>
      </c>
      <c r="H197" s="37" t="str">
        <f>IF(OR(COUNTA('Supply Chain'!$H$11)=0,'Supply Chain'!$H$11="N/A"),"",VALUE('Supply Chain'!$H$11))</f>
        <v/>
      </c>
      <c r="I197" s="36" t="str">
        <f>IF($H197="","",IFERROR(IF('Supply Chain'!$L$11="",IF($H197&lt;=1,"Critical",IF($H197=2,"High",IF($H197=3,"Medium",IF($H197=4,"Low","Resilient")))),'Supply Chain'!$L$11),IF($H197&lt;=1,"Critical",IF($H197=2,"High",IF($H197=3,"Medium",IF($H197=4,"Low","Resilient"))))))</f>
        <v/>
      </c>
      <c r="J197" s="37" t="str">
        <f t="shared" si="34"/>
        <v/>
      </c>
      <c r="K197" s="37" t="str">
        <f t="shared" si="35"/>
        <v/>
      </c>
      <c r="L197" s="37" t="str">
        <f t="shared" si="36"/>
        <v/>
      </c>
      <c r="M197" s="37" t="str">
        <f t="shared" si="37"/>
        <v/>
      </c>
      <c r="N197" s="37" t="str">
        <f>IF($H197="","",IFERROR(INDEX('Risk Library'!$T$5:$Y$411,MATCH($E197,'Risk Library'!$A$5:$A$411,0),$H197+1),""))</f>
        <v/>
      </c>
      <c r="O197" s="37" t="str">
        <f t="shared" si="38"/>
        <v/>
      </c>
      <c r="P197" s="37" t="str">
        <f t="shared" si="39"/>
        <v/>
      </c>
      <c r="Q197" s="37" t="str">
        <f t="shared" si="40"/>
        <v/>
      </c>
      <c r="R197" s="37" t="str">
        <f t="shared" si="41"/>
        <v/>
      </c>
      <c r="S197" s="38" t="str">
        <f t="shared" si="42"/>
        <v/>
      </c>
      <c r="T197" s="36" t="str">
        <f>IF($H197="","",IFERROR(INDEX('Risk Library'!$N$5:$S$411,MATCH($E197,'Risk Library'!$A$5:$A$411,0),$H197+1),""))</f>
        <v/>
      </c>
      <c r="U197" s="37">
        <f>IFERROR('Supply Chain'!$G$11,"")</f>
        <v>5</v>
      </c>
      <c r="V197" s="37">
        <f>IFERROR('Supply Chain'!$W$11,"")</f>
        <v>4</v>
      </c>
      <c r="W197" s="37">
        <f>IFERROR('Supply Chain'!$X$11,"")</f>
        <v>5</v>
      </c>
      <c r="X197" s="37">
        <f>IFERROR('Supply Chain'!$Y$11,"")</f>
        <v>5</v>
      </c>
      <c r="Y197" s="36" t="s">
        <v>3739</v>
      </c>
      <c r="Z197" s="36" t="s">
        <v>3740</v>
      </c>
      <c r="AA197" s="36" t="s">
        <v>3794</v>
      </c>
      <c r="AB197" s="36">
        <f>IFERROR('Supply Chain'!$U$11,"")</f>
        <v>0</v>
      </c>
      <c r="AC197" s="36"/>
      <c r="AD197" s="36"/>
      <c r="AE197" s="36"/>
      <c r="AF197" s="36" t="s">
        <v>3793</v>
      </c>
      <c r="AO197" s="48" t="str">
        <f>IF($B197="Yes",IFERROR(SUMIFS(_TECH_Crisis_Model!$D$5:$D$191,_TECH_Crisis_Model!$A$5:$A$191,'Crisis Simulator'!$B$4,_TECH_Crisis_Model!$B$5:$B$191,$C197),1),"")</f>
        <v/>
      </c>
      <c r="AP197" s="48" t="str">
        <f t="shared" si="43"/>
        <v/>
      </c>
      <c r="AQ197" s="48" t="str">
        <f t="shared" si="44"/>
        <v/>
      </c>
      <c r="AR197" s="48" t="str">
        <f>IFERROR(INDEX(_TECH_Crisis_Model!$E$5:$E$191,MATCH('Crisis Simulator'!$B$4&amp;"|"&amp;$C197,_TECH_Crisis_Model!$I$5:$I$191,0)),"")</f>
        <v>Supplier concentration, logistics and inventory visibility determine production and delivery continuity.</v>
      </c>
      <c r="AS197" s="48" t="str">
        <f>IFERROR(INDEX(_TECH_Crisis_Model!$G$5:$G$191,MATCH('Crisis Simulator'!$B$4&amp;"|"&amp;$C197,_TECH_Crisis_Model!$I$5:$I$191,0)),"")</f>
        <v>Diversify suppliers, define safety stock, alternate routes, supplier monitoring and substitution rules.</v>
      </c>
      <c r="AT197" s="48" t="str">
        <f>IFERROR(INDEX(_TECH_Initiative_Library!$A$5:$A$76,MATCH(1,INDEX((_TECH_Initiative_Library!$B$5:$B$76=$C197)*(_TECH_Initiative_Library!$C$5:$C$76=$D197),0),0)),"")</f>
        <v>INI-033</v>
      </c>
      <c r="AU197" s="48" t="str">
        <f>IFERROR(INDEX(_TECH_Initiative_Library!$F$5:$F$76,MATCH(1,INDEX((_TECH_Initiative_Library!$B$5:$B$76=$C197)*(_TECH_Initiative_Library!$C$5:$C$76=$D197),0),0)),"")</f>
        <v>Build logistics continuity and transport fallback options</v>
      </c>
      <c r="AV197" s="48" t="str">
        <f ca="1">IFERROR(INDEX(_TECH_Initiative_Library!$AC$5:$AC$76,MATCH(1,INDEX((_TECH_Initiative_Library!$B$5:$B$76=$C197)*(_TECH_Initiative_Library!$C$5:$C$76=$D197),0),0)),"")</f>
        <v/>
      </c>
      <c r="AW197" s="48" t="str">
        <f ca="1">IFERROR(INDEX(_TECH_Initiative_Library!$AE$5:$AE$76,MATCH(1,INDEX((_TECH_Initiative_Library!$B$5:$B$76=$C197)*(_TECH_Initiative_Library!$C$5:$C$76=$D197),0),0)),"")</f>
        <v/>
      </c>
      <c r="AX197" s="48" t="str">
        <f>IF($B197="Yes",IFERROR(SUMIFS(_TECH_Industry_Templates!$E:$E,_TECH_Industry_Templates!$A:$A,'Company Profile'!$B$9,_TECH_Industry_Templates!$B:$B,$C197),1),"")</f>
        <v/>
      </c>
      <c r="AY197" s="48" t="str">
        <f t="shared" si="45"/>
        <v/>
      </c>
      <c r="AZ197" s="48" t="str">
        <f t="shared" si="46"/>
        <v/>
      </c>
      <c r="BA197" s="48" t="str">
        <f>IF($AZ197="","",RANK.EQ($AZ197,$AZ$8:$AZ$414,0)+COUNTIF($AZ$8:$AZ197,$AZ197)-1)</f>
        <v/>
      </c>
    </row>
    <row r="198" spans="1:53" ht="69.95" customHeight="1">
      <c r="A198" s="36" t="str">
        <f>IF($AZ198="","",RANK.EQ($AZ198,$AZ$8:$AZ$414,0)+COUNTIF($AZ$8:$AZ198,$AZ198)-1)</f>
        <v/>
      </c>
      <c r="B198" s="36" t="str">
        <f t="shared" si="33"/>
        <v/>
      </c>
      <c r="C198" s="36" t="s">
        <v>78</v>
      </c>
      <c r="D198" s="36" t="s">
        <v>1307</v>
      </c>
      <c r="E198" s="36" t="s">
        <v>3802</v>
      </c>
      <c r="F198" s="36" t="s">
        <v>191</v>
      </c>
      <c r="G198" s="36" t="str">
        <f>IF($H198="","",IFERROR(INDEX('Risk Library'!$H$5:$M$411,MATCH($E198,'Risk Library'!$A$5:$A$411,0),$H198+1),""))</f>
        <v/>
      </c>
      <c r="H198" s="37" t="str">
        <f>IF(OR(COUNTA('Supply Chain'!$H$12)=0,'Supply Chain'!$H$12="N/A"),"",VALUE('Supply Chain'!$H$12))</f>
        <v/>
      </c>
      <c r="I198" s="36" t="str">
        <f>IF($H198="","",IFERROR(IF('Supply Chain'!$L$12="",IF($H198&lt;=1,"Critical",IF($H198=2,"High",IF($H198=3,"Medium",IF($H198=4,"Low","Resilient")))),'Supply Chain'!$L$12),IF($H198&lt;=1,"Critical",IF($H198=2,"High",IF($H198=3,"Medium",IF($H198=4,"Low","Resilient"))))))</f>
        <v/>
      </c>
      <c r="J198" s="37" t="str">
        <f t="shared" si="34"/>
        <v/>
      </c>
      <c r="K198" s="37" t="str">
        <f t="shared" si="35"/>
        <v/>
      </c>
      <c r="L198" s="37" t="str">
        <f t="shared" si="36"/>
        <v/>
      </c>
      <c r="M198" s="37" t="str">
        <f t="shared" si="37"/>
        <v/>
      </c>
      <c r="N198" s="37" t="str">
        <f>IF($H198="","",IFERROR(INDEX('Risk Library'!$T$5:$Y$411,MATCH($E198,'Risk Library'!$A$5:$A$411,0),$H198+1),""))</f>
        <v/>
      </c>
      <c r="O198" s="37" t="str">
        <f t="shared" si="38"/>
        <v/>
      </c>
      <c r="P198" s="37" t="str">
        <f t="shared" si="39"/>
        <v/>
      </c>
      <c r="Q198" s="37" t="str">
        <f t="shared" si="40"/>
        <v/>
      </c>
      <c r="R198" s="37" t="str">
        <f t="shared" si="41"/>
        <v/>
      </c>
      <c r="S198" s="38" t="str">
        <f t="shared" si="42"/>
        <v/>
      </c>
      <c r="T198" s="36" t="str">
        <f>IF($H198="","",IFERROR(INDEX('Risk Library'!$N$5:$S$411,MATCH($E198,'Risk Library'!$A$5:$A$411,0),$H198+1),""))</f>
        <v/>
      </c>
      <c r="U198" s="37">
        <f>IFERROR('Supply Chain'!$G$12,"")</f>
        <v>3</v>
      </c>
      <c r="V198" s="37">
        <f>IFERROR('Supply Chain'!$W$12,"")</f>
        <v>4</v>
      </c>
      <c r="W198" s="37">
        <f>IFERROR('Supply Chain'!$X$12,"")</f>
        <v>5</v>
      </c>
      <c r="X198" s="37">
        <f>IFERROR('Supply Chain'!$Y$12,"")</f>
        <v>5</v>
      </c>
      <c r="Y198" s="36" t="s">
        <v>3739</v>
      </c>
      <c r="Z198" s="36" t="s">
        <v>3740</v>
      </c>
      <c r="AA198" s="36" t="s">
        <v>3804</v>
      </c>
      <c r="AB198" s="36">
        <f>IFERROR('Supply Chain'!$U$12,"")</f>
        <v>0</v>
      </c>
      <c r="AC198" s="36"/>
      <c r="AD198" s="36"/>
      <c r="AE198" s="36"/>
      <c r="AF198" s="36" t="s">
        <v>3803</v>
      </c>
      <c r="AO198" s="48" t="str">
        <f>IF($B198="Yes",IFERROR(SUMIFS(_TECH_Crisis_Model!$D$5:$D$191,_TECH_Crisis_Model!$A$5:$A$191,'Crisis Simulator'!$B$4,_TECH_Crisis_Model!$B$5:$B$191,$C198),1),"")</f>
        <v/>
      </c>
      <c r="AP198" s="48" t="str">
        <f t="shared" si="43"/>
        <v/>
      </c>
      <c r="AQ198" s="48" t="str">
        <f t="shared" si="44"/>
        <v/>
      </c>
      <c r="AR198" s="48" t="str">
        <f>IFERROR(INDEX(_TECH_Crisis_Model!$E$5:$E$191,MATCH('Crisis Simulator'!$B$4&amp;"|"&amp;$C198,_TECH_Crisis_Model!$I$5:$I$191,0)),"")</f>
        <v>Supplier concentration, logistics and inventory visibility determine production and delivery continuity.</v>
      </c>
      <c r="AS198" s="48" t="str">
        <f>IFERROR(INDEX(_TECH_Crisis_Model!$G$5:$G$191,MATCH('Crisis Simulator'!$B$4&amp;"|"&amp;$C198,_TECH_Crisis_Model!$I$5:$I$191,0)),"")</f>
        <v>Diversify suppliers, define safety stock, alternate routes, supplier monitoring and substitution rules.</v>
      </c>
      <c r="AT198" s="48" t="str">
        <f>IFERROR(INDEX(_TECH_Initiative_Library!$A$5:$A$76,MATCH(1,INDEX((_TECH_Initiative_Library!$B$5:$B$76=$C198)*(_TECH_Initiative_Library!$C$5:$C$76=$D198),0),0)),"")</f>
        <v>INI-033</v>
      </c>
      <c r="AU198" s="48" t="str">
        <f>IFERROR(INDEX(_TECH_Initiative_Library!$F$5:$F$76,MATCH(1,INDEX((_TECH_Initiative_Library!$B$5:$B$76=$C198)*(_TECH_Initiative_Library!$C$5:$C$76=$D198),0),0)),"")</f>
        <v>Build logistics continuity and transport fallback options</v>
      </c>
      <c r="AV198" s="48" t="str">
        <f ca="1">IFERROR(INDEX(_TECH_Initiative_Library!$AC$5:$AC$76,MATCH(1,INDEX((_TECH_Initiative_Library!$B$5:$B$76=$C198)*(_TECH_Initiative_Library!$C$5:$C$76=$D198),0),0)),"")</f>
        <v/>
      </c>
      <c r="AW198" s="48" t="str">
        <f ca="1">IFERROR(INDEX(_TECH_Initiative_Library!$AE$5:$AE$76,MATCH(1,INDEX((_TECH_Initiative_Library!$B$5:$B$76=$C198)*(_TECH_Initiative_Library!$C$5:$C$76=$D198),0),0)),"")</f>
        <v/>
      </c>
      <c r="AX198" s="48" t="str">
        <f>IF($B198="Yes",IFERROR(SUMIFS(_TECH_Industry_Templates!$E:$E,_TECH_Industry_Templates!$A:$A,'Company Profile'!$B$9,_TECH_Industry_Templates!$B:$B,$C198),1),"")</f>
        <v/>
      </c>
      <c r="AY198" s="48" t="str">
        <f t="shared" si="45"/>
        <v/>
      </c>
      <c r="AZ198" s="48" t="str">
        <f t="shared" si="46"/>
        <v/>
      </c>
      <c r="BA198" s="48" t="str">
        <f>IF($AZ198="","",RANK.EQ($AZ198,$AZ$8:$AZ$414,0)+COUNTIF($AZ$8:$AZ198,$AZ198)-1)</f>
        <v/>
      </c>
    </row>
    <row r="199" spans="1:53" ht="69.95" customHeight="1">
      <c r="A199" s="36" t="str">
        <f>IF($AZ199="","",RANK.EQ($AZ199,$AZ$8:$AZ$414,0)+COUNTIF($AZ$8:$AZ199,$AZ199)-1)</f>
        <v/>
      </c>
      <c r="B199" s="36" t="str">
        <f t="shared" si="33"/>
        <v/>
      </c>
      <c r="C199" s="36" t="s">
        <v>78</v>
      </c>
      <c r="D199" s="36" t="s">
        <v>1307</v>
      </c>
      <c r="E199" s="36" t="s">
        <v>3812</v>
      </c>
      <c r="F199" s="36" t="s">
        <v>191</v>
      </c>
      <c r="G199" s="36" t="str">
        <f>IF($H199="","",IFERROR(INDEX('Risk Library'!$H$5:$M$411,MATCH($E199,'Risk Library'!$A$5:$A$411,0),$H199+1),""))</f>
        <v/>
      </c>
      <c r="H199" s="37" t="str">
        <f>IF(OR(COUNTA('Supply Chain'!$H$13)=0,'Supply Chain'!$H$13="N/A"),"",VALUE('Supply Chain'!$H$13))</f>
        <v/>
      </c>
      <c r="I199" s="36" t="str">
        <f>IF($H199="","",IFERROR(IF('Supply Chain'!$L$13="",IF($H199&lt;=1,"Critical",IF($H199=2,"High",IF($H199=3,"Medium",IF($H199=4,"Low","Resilient")))),'Supply Chain'!$L$13),IF($H199&lt;=1,"Critical",IF($H199=2,"High",IF($H199=3,"Medium",IF($H199=4,"Low","Resilient"))))))</f>
        <v/>
      </c>
      <c r="J199" s="37" t="str">
        <f t="shared" si="34"/>
        <v/>
      </c>
      <c r="K199" s="37" t="str">
        <f t="shared" si="35"/>
        <v/>
      </c>
      <c r="L199" s="37" t="str">
        <f t="shared" si="36"/>
        <v/>
      </c>
      <c r="M199" s="37" t="str">
        <f t="shared" si="37"/>
        <v/>
      </c>
      <c r="N199" s="37" t="str">
        <f>IF($H199="","",IFERROR(INDEX('Risk Library'!$T$5:$Y$411,MATCH($E199,'Risk Library'!$A$5:$A$411,0),$H199+1),""))</f>
        <v/>
      </c>
      <c r="O199" s="37" t="str">
        <f t="shared" si="38"/>
        <v/>
      </c>
      <c r="P199" s="37" t="str">
        <f t="shared" si="39"/>
        <v/>
      </c>
      <c r="Q199" s="37" t="str">
        <f t="shared" si="40"/>
        <v/>
      </c>
      <c r="R199" s="37" t="str">
        <f t="shared" si="41"/>
        <v/>
      </c>
      <c r="S199" s="38" t="str">
        <f t="shared" si="42"/>
        <v/>
      </c>
      <c r="T199" s="36" t="str">
        <f>IF($H199="","",IFERROR(INDEX('Risk Library'!$N$5:$S$411,MATCH($E199,'Risk Library'!$A$5:$A$411,0),$H199+1),""))</f>
        <v/>
      </c>
      <c r="U199" s="37">
        <f>IFERROR('Supply Chain'!$G$13,"")</f>
        <v>3</v>
      </c>
      <c r="V199" s="37">
        <f>IFERROR('Supply Chain'!$W$13,"")</f>
        <v>4</v>
      </c>
      <c r="W199" s="37">
        <f>IFERROR('Supply Chain'!$X$13,"")</f>
        <v>5</v>
      </c>
      <c r="X199" s="37">
        <f>IFERROR('Supply Chain'!$Y$13,"")</f>
        <v>5</v>
      </c>
      <c r="Y199" s="36" t="s">
        <v>3739</v>
      </c>
      <c r="Z199" s="36" t="s">
        <v>3740</v>
      </c>
      <c r="AA199" s="36" t="s">
        <v>3814</v>
      </c>
      <c r="AB199" s="36">
        <f>IFERROR('Supply Chain'!$U$13,"")</f>
        <v>0</v>
      </c>
      <c r="AC199" s="36"/>
      <c r="AD199" s="36"/>
      <c r="AE199" s="36"/>
      <c r="AF199" s="36" t="s">
        <v>3813</v>
      </c>
      <c r="AO199" s="48" t="str">
        <f>IF($B199="Yes",IFERROR(SUMIFS(_TECH_Crisis_Model!$D$5:$D$191,_TECH_Crisis_Model!$A$5:$A$191,'Crisis Simulator'!$B$4,_TECH_Crisis_Model!$B$5:$B$191,$C199),1),"")</f>
        <v/>
      </c>
      <c r="AP199" s="48" t="str">
        <f t="shared" si="43"/>
        <v/>
      </c>
      <c r="AQ199" s="48" t="str">
        <f t="shared" si="44"/>
        <v/>
      </c>
      <c r="AR199" s="48" t="str">
        <f>IFERROR(INDEX(_TECH_Crisis_Model!$E$5:$E$191,MATCH('Crisis Simulator'!$B$4&amp;"|"&amp;$C199,_TECH_Crisis_Model!$I$5:$I$191,0)),"")</f>
        <v>Supplier concentration, logistics and inventory visibility determine production and delivery continuity.</v>
      </c>
      <c r="AS199" s="48" t="str">
        <f>IFERROR(INDEX(_TECH_Crisis_Model!$G$5:$G$191,MATCH('Crisis Simulator'!$B$4&amp;"|"&amp;$C199,_TECH_Crisis_Model!$I$5:$I$191,0)),"")</f>
        <v>Diversify suppliers, define safety stock, alternate routes, supplier monitoring and substitution rules.</v>
      </c>
      <c r="AT199" s="48" t="str">
        <f>IFERROR(INDEX(_TECH_Initiative_Library!$A$5:$A$76,MATCH(1,INDEX((_TECH_Initiative_Library!$B$5:$B$76=$C199)*(_TECH_Initiative_Library!$C$5:$C$76=$D199),0),0)),"")</f>
        <v>INI-033</v>
      </c>
      <c r="AU199" s="48" t="str">
        <f>IFERROR(INDEX(_TECH_Initiative_Library!$F$5:$F$76,MATCH(1,INDEX((_TECH_Initiative_Library!$B$5:$B$76=$C199)*(_TECH_Initiative_Library!$C$5:$C$76=$D199),0),0)),"")</f>
        <v>Build logistics continuity and transport fallback options</v>
      </c>
      <c r="AV199" s="48" t="str">
        <f ca="1">IFERROR(INDEX(_TECH_Initiative_Library!$AC$5:$AC$76,MATCH(1,INDEX((_TECH_Initiative_Library!$B$5:$B$76=$C199)*(_TECH_Initiative_Library!$C$5:$C$76=$D199),0),0)),"")</f>
        <v/>
      </c>
      <c r="AW199" s="48" t="str">
        <f ca="1">IFERROR(INDEX(_TECH_Initiative_Library!$AE$5:$AE$76,MATCH(1,INDEX((_TECH_Initiative_Library!$B$5:$B$76=$C199)*(_TECH_Initiative_Library!$C$5:$C$76=$D199),0),0)),"")</f>
        <v/>
      </c>
      <c r="AX199" s="48" t="str">
        <f>IF($B199="Yes",IFERROR(SUMIFS(_TECH_Industry_Templates!$E:$E,_TECH_Industry_Templates!$A:$A,'Company Profile'!$B$9,_TECH_Industry_Templates!$B:$B,$C199),1),"")</f>
        <v/>
      </c>
      <c r="AY199" s="48" t="str">
        <f t="shared" si="45"/>
        <v/>
      </c>
      <c r="AZ199" s="48" t="str">
        <f t="shared" si="46"/>
        <v/>
      </c>
      <c r="BA199" s="48" t="str">
        <f>IF($AZ199="","",RANK.EQ($AZ199,$AZ$8:$AZ$414,0)+COUNTIF($AZ$8:$AZ199,$AZ199)-1)</f>
        <v/>
      </c>
    </row>
    <row r="200" spans="1:53" ht="69.95" customHeight="1">
      <c r="A200" s="36" t="str">
        <f>IF($AZ200="","",RANK.EQ($AZ200,$AZ$8:$AZ$414,0)+COUNTIF($AZ$8:$AZ200,$AZ200)-1)</f>
        <v/>
      </c>
      <c r="B200" s="36" t="str">
        <f t="shared" ref="B200:B263" si="47">IF($H200="","",IF($H200&lt;5,"Yes","Maintain"))</f>
        <v/>
      </c>
      <c r="C200" s="36" t="s">
        <v>78</v>
      </c>
      <c r="D200" s="36" t="s">
        <v>1307</v>
      </c>
      <c r="E200" s="36" t="s">
        <v>3822</v>
      </c>
      <c r="F200" s="36" t="s">
        <v>191</v>
      </c>
      <c r="G200" s="36" t="str">
        <f>IF($H200="","",IFERROR(INDEX('Risk Library'!$H$5:$M$411,MATCH($E200,'Risk Library'!$A$5:$A$411,0),$H200+1),""))</f>
        <v/>
      </c>
      <c r="H200" s="37" t="str">
        <f>IF(OR(COUNTA('Supply Chain'!$H$14)=0,'Supply Chain'!$H$14="N/A"),"",VALUE('Supply Chain'!$H$14))</f>
        <v/>
      </c>
      <c r="I200" s="36" t="str">
        <f>IF($H200="","",IFERROR(IF('Supply Chain'!$L$14="",IF($H200&lt;=1,"Critical",IF($H200=2,"High",IF($H200=3,"Medium",IF($H200=4,"Low","Resilient")))),'Supply Chain'!$L$14),IF($H200&lt;=1,"Critical",IF($H200=2,"High",IF($H200=3,"Medium",IF($H200=4,"Low","Resilient"))))))</f>
        <v/>
      </c>
      <c r="J200" s="37" t="str">
        <f t="shared" ref="J200:J263" si="48">IF($H200="","",MAX(1,6-$H200))</f>
        <v/>
      </c>
      <c r="K200" s="37" t="str">
        <f t="shared" ref="K200:K263" si="49">IF($H200="","",MAX(1,MIN(5,ROUNDUP(($U200*0.45)+($W200*0.35)+($X200*0.2),0))))</f>
        <v/>
      </c>
      <c r="L200" s="37" t="str">
        <f t="shared" ref="L200:L263" si="50">IF($H200="","",$J200*$K200)</f>
        <v/>
      </c>
      <c r="M200" s="37" t="str">
        <f t="shared" ref="M200:M263" si="51">IF($H200="","",MAX(1,MIN(5,ROUNDUP($L200/5,0))))</f>
        <v/>
      </c>
      <c r="N200" s="37" t="str">
        <f>IF($H200="","",IFERROR(INDEX('Risk Library'!$T$5:$Y$411,MATCH($E200,'Risk Library'!$A$5:$A$411,0),$H200+1),""))</f>
        <v/>
      </c>
      <c r="O200" s="37" t="str">
        <f t="shared" ref="O200:O263" si="52">IF($H200="","",MAX(1,MIN(5,ROUND(($U200+$V200+$X200)/3,0))))</f>
        <v/>
      </c>
      <c r="P200" s="37" t="str">
        <f t="shared" ref="P200:P263" si="53">IF($H200="","",IF($I200="Critical",5,IF($I200="High",4,IF($I200="Medium",3,IF($I200="Low",2,1)))))</f>
        <v/>
      </c>
      <c r="Q200" s="37" t="str">
        <f t="shared" ref="Q200:Q263" si="54">IF($H200="","",MAX(1,MIN(5,ROUNDUP(((5-$H200)*0.65)+($W200*0.35),0))))</f>
        <v/>
      </c>
      <c r="R200" s="37" t="str">
        <f t="shared" ref="R200:R263" si="55">IF($H200="","",MAX(1,MIN(5,ROUND(($V200+$X200)/2,0))))</f>
        <v/>
      </c>
      <c r="S200" s="38" t="str">
        <f t="shared" ref="S200:S263" si="56">IF($H200="","",ROUND(($O200+$P200+$Q200+$R200)/$N200,2))</f>
        <v/>
      </c>
      <c r="T200" s="36" t="str">
        <f>IF($H200="","",IFERROR(INDEX('Risk Library'!$N$5:$S$411,MATCH($E200,'Risk Library'!$A$5:$A$411,0),$H200+1),""))</f>
        <v/>
      </c>
      <c r="U200" s="37">
        <f>IFERROR('Supply Chain'!$G$14,"")</f>
        <v>5</v>
      </c>
      <c r="V200" s="37">
        <f>IFERROR('Supply Chain'!$W$14,"")</f>
        <v>4</v>
      </c>
      <c r="W200" s="37">
        <f>IFERROR('Supply Chain'!$X$14,"")</f>
        <v>5</v>
      </c>
      <c r="X200" s="37">
        <f>IFERROR('Supply Chain'!$Y$14,"")</f>
        <v>5</v>
      </c>
      <c r="Y200" s="36" t="s">
        <v>3739</v>
      </c>
      <c r="Z200" s="36" t="s">
        <v>3740</v>
      </c>
      <c r="AA200" s="36" t="s">
        <v>3824</v>
      </c>
      <c r="AB200" s="36">
        <f>IFERROR('Supply Chain'!$U$14,"")</f>
        <v>0</v>
      </c>
      <c r="AC200" s="36"/>
      <c r="AD200" s="36"/>
      <c r="AE200" s="36"/>
      <c r="AF200" s="36" t="s">
        <v>3823</v>
      </c>
      <c r="AO200" s="48" t="str">
        <f>IF($B200="Yes",IFERROR(SUMIFS(_TECH_Crisis_Model!$D$5:$D$191,_TECH_Crisis_Model!$A$5:$A$191,'Crisis Simulator'!$B$4,_TECH_Crisis_Model!$B$5:$B$191,$C200),1),"")</f>
        <v/>
      </c>
      <c r="AP200" s="48" t="str">
        <f t="shared" ref="AP200:AP263" si="57">IF(AO200="","",ROUND($L200*AO200,1))</f>
        <v/>
      </c>
      <c r="AQ200" s="48" t="str">
        <f t="shared" ref="AQ200:AQ263" si="58">IF(AO200="","",ROUND($S200*(0.7+0.3*AO200),2))</f>
        <v/>
      </c>
      <c r="AR200" s="48" t="str">
        <f>IFERROR(INDEX(_TECH_Crisis_Model!$E$5:$E$191,MATCH('Crisis Simulator'!$B$4&amp;"|"&amp;$C200,_TECH_Crisis_Model!$I$5:$I$191,0)),"")</f>
        <v>Supplier concentration, logistics and inventory visibility determine production and delivery continuity.</v>
      </c>
      <c r="AS200" s="48" t="str">
        <f>IFERROR(INDEX(_TECH_Crisis_Model!$G$5:$G$191,MATCH('Crisis Simulator'!$B$4&amp;"|"&amp;$C200,_TECH_Crisis_Model!$I$5:$I$191,0)),"")</f>
        <v>Diversify suppliers, define safety stock, alternate routes, supplier monitoring and substitution rules.</v>
      </c>
      <c r="AT200" s="48" t="str">
        <f>IFERROR(INDEX(_TECH_Initiative_Library!$A$5:$A$76,MATCH(1,INDEX((_TECH_Initiative_Library!$B$5:$B$76=$C200)*(_TECH_Initiative_Library!$C$5:$C$76=$D200),0),0)),"")</f>
        <v>INI-033</v>
      </c>
      <c r="AU200" s="48" t="str">
        <f>IFERROR(INDEX(_TECH_Initiative_Library!$F$5:$F$76,MATCH(1,INDEX((_TECH_Initiative_Library!$B$5:$B$76=$C200)*(_TECH_Initiative_Library!$C$5:$C$76=$D200),0),0)),"")</f>
        <v>Build logistics continuity and transport fallback options</v>
      </c>
      <c r="AV200" s="48" t="str">
        <f ca="1">IFERROR(INDEX(_TECH_Initiative_Library!$AC$5:$AC$76,MATCH(1,INDEX((_TECH_Initiative_Library!$B$5:$B$76=$C200)*(_TECH_Initiative_Library!$C$5:$C$76=$D200),0),0)),"")</f>
        <v/>
      </c>
      <c r="AW200" s="48" t="str">
        <f ca="1">IFERROR(INDEX(_TECH_Initiative_Library!$AE$5:$AE$76,MATCH(1,INDEX((_TECH_Initiative_Library!$B$5:$B$76=$C200)*(_TECH_Initiative_Library!$C$5:$C$76=$D200),0),0)),"")</f>
        <v/>
      </c>
      <c r="AX200" s="48" t="str">
        <f>IF($B200="Yes",IFERROR(SUMIFS(_TECH_Industry_Templates!$E:$E,_TECH_Industry_Templates!$A:$A,'Company Profile'!$B$9,_TECH_Industry_Templates!$B:$B,$C200),1),"")</f>
        <v/>
      </c>
      <c r="AY200" s="48" t="str">
        <f t="shared" ref="AY200:AY263" si="59">IF($L200="","",ROUND(IF($AP200="",$L200,$AP200)*$AX200,2))</f>
        <v/>
      </c>
      <c r="AZ200" s="48" t="str">
        <f t="shared" ref="AZ200:AZ263" si="60">IF($S200="","",ROUND(IF($AQ200="",$S200,$AQ200)*$AX200,2))</f>
        <v/>
      </c>
      <c r="BA200" s="48" t="str">
        <f>IF($AZ200="","",RANK.EQ($AZ200,$AZ$8:$AZ$414,0)+COUNTIF($AZ$8:$AZ200,$AZ200)-1)</f>
        <v/>
      </c>
    </row>
    <row r="201" spans="1:53" ht="69.95" customHeight="1">
      <c r="A201" s="36" t="str">
        <f>IF($AZ201="","",RANK.EQ($AZ201,$AZ$8:$AZ$414,0)+COUNTIF($AZ$8:$AZ201,$AZ201)-1)</f>
        <v/>
      </c>
      <c r="B201" s="36" t="str">
        <f t="shared" si="47"/>
        <v/>
      </c>
      <c r="C201" s="36" t="s">
        <v>78</v>
      </c>
      <c r="D201" s="36" t="s">
        <v>1307</v>
      </c>
      <c r="E201" s="36" t="s">
        <v>3832</v>
      </c>
      <c r="F201" s="36" t="s">
        <v>191</v>
      </c>
      <c r="G201" s="36" t="str">
        <f>IF($H201="","",IFERROR(INDEX('Risk Library'!$H$5:$M$411,MATCH($E201,'Risk Library'!$A$5:$A$411,0),$H201+1),""))</f>
        <v/>
      </c>
      <c r="H201" s="37" t="str">
        <f>IF(OR(COUNTA('Supply Chain'!$H$15)=0,'Supply Chain'!$H$15="N/A"),"",VALUE('Supply Chain'!$H$15))</f>
        <v/>
      </c>
      <c r="I201" s="36" t="str">
        <f>IF($H201="","",IFERROR(IF('Supply Chain'!$L$15="",IF($H201&lt;=1,"Critical",IF($H201=2,"High",IF($H201=3,"Medium",IF($H201=4,"Low","Resilient")))),'Supply Chain'!$L$15),IF($H201&lt;=1,"Critical",IF($H201=2,"High",IF($H201=3,"Medium",IF($H201=4,"Low","Resilient"))))))</f>
        <v/>
      </c>
      <c r="J201" s="37" t="str">
        <f t="shared" si="48"/>
        <v/>
      </c>
      <c r="K201" s="37" t="str">
        <f t="shared" si="49"/>
        <v/>
      </c>
      <c r="L201" s="37" t="str">
        <f t="shared" si="50"/>
        <v/>
      </c>
      <c r="M201" s="37" t="str">
        <f t="shared" si="51"/>
        <v/>
      </c>
      <c r="N201" s="37" t="str">
        <f>IF($H201="","",IFERROR(INDEX('Risk Library'!$T$5:$Y$411,MATCH($E201,'Risk Library'!$A$5:$A$411,0),$H201+1),""))</f>
        <v/>
      </c>
      <c r="O201" s="37" t="str">
        <f t="shared" si="52"/>
        <v/>
      </c>
      <c r="P201" s="37" t="str">
        <f t="shared" si="53"/>
        <v/>
      </c>
      <c r="Q201" s="37" t="str">
        <f t="shared" si="54"/>
        <v/>
      </c>
      <c r="R201" s="37" t="str">
        <f t="shared" si="55"/>
        <v/>
      </c>
      <c r="S201" s="38" t="str">
        <f t="shared" si="56"/>
        <v/>
      </c>
      <c r="T201" s="36" t="str">
        <f>IF($H201="","",IFERROR(INDEX('Risk Library'!$N$5:$S$411,MATCH($E201,'Risk Library'!$A$5:$A$411,0),$H201+1),""))</f>
        <v/>
      </c>
      <c r="U201" s="37">
        <f>IFERROR('Supply Chain'!$G$15,"")</f>
        <v>3</v>
      </c>
      <c r="V201" s="37">
        <f>IFERROR('Supply Chain'!$W$15,"")</f>
        <v>4</v>
      </c>
      <c r="W201" s="37">
        <f>IFERROR('Supply Chain'!$X$15,"")</f>
        <v>5</v>
      </c>
      <c r="X201" s="37">
        <f>IFERROR('Supply Chain'!$Y$15,"")</f>
        <v>5</v>
      </c>
      <c r="Y201" s="36" t="s">
        <v>3739</v>
      </c>
      <c r="Z201" s="36" t="s">
        <v>3740</v>
      </c>
      <c r="AA201" s="36" t="s">
        <v>3834</v>
      </c>
      <c r="AB201" s="36">
        <f>IFERROR('Supply Chain'!$U$15,"")</f>
        <v>0</v>
      </c>
      <c r="AC201" s="36"/>
      <c r="AD201" s="36"/>
      <c r="AE201" s="36"/>
      <c r="AF201" s="36" t="s">
        <v>3833</v>
      </c>
      <c r="AO201" s="48" t="str">
        <f>IF($B201="Yes",IFERROR(SUMIFS(_TECH_Crisis_Model!$D$5:$D$191,_TECH_Crisis_Model!$A$5:$A$191,'Crisis Simulator'!$B$4,_TECH_Crisis_Model!$B$5:$B$191,$C201),1),"")</f>
        <v/>
      </c>
      <c r="AP201" s="48" t="str">
        <f t="shared" si="57"/>
        <v/>
      </c>
      <c r="AQ201" s="48" t="str">
        <f t="shared" si="58"/>
        <v/>
      </c>
      <c r="AR201" s="48" t="str">
        <f>IFERROR(INDEX(_TECH_Crisis_Model!$E$5:$E$191,MATCH('Crisis Simulator'!$B$4&amp;"|"&amp;$C201,_TECH_Crisis_Model!$I$5:$I$191,0)),"")</f>
        <v>Supplier concentration, logistics and inventory visibility determine production and delivery continuity.</v>
      </c>
      <c r="AS201" s="48" t="str">
        <f>IFERROR(INDEX(_TECH_Crisis_Model!$G$5:$G$191,MATCH('Crisis Simulator'!$B$4&amp;"|"&amp;$C201,_TECH_Crisis_Model!$I$5:$I$191,0)),"")</f>
        <v>Diversify suppliers, define safety stock, alternate routes, supplier monitoring and substitution rules.</v>
      </c>
      <c r="AT201" s="48" t="str">
        <f>IFERROR(INDEX(_TECH_Initiative_Library!$A$5:$A$76,MATCH(1,INDEX((_TECH_Initiative_Library!$B$5:$B$76=$C201)*(_TECH_Initiative_Library!$C$5:$C$76=$D201),0),0)),"")</f>
        <v>INI-033</v>
      </c>
      <c r="AU201" s="48" t="str">
        <f>IFERROR(INDEX(_TECH_Initiative_Library!$F$5:$F$76,MATCH(1,INDEX((_TECH_Initiative_Library!$B$5:$B$76=$C201)*(_TECH_Initiative_Library!$C$5:$C$76=$D201),0),0)),"")</f>
        <v>Build logistics continuity and transport fallback options</v>
      </c>
      <c r="AV201" s="48" t="str">
        <f ca="1">IFERROR(INDEX(_TECH_Initiative_Library!$AC$5:$AC$76,MATCH(1,INDEX((_TECH_Initiative_Library!$B$5:$B$76=$C201)*(_TECH_Initiative_Library!$C$5:$C$76=$D201),0),0)),"")</f>
        <v/>
      </c>
      <c r="AW201" s="48" t="str">
        <f ca="1">IFERROR(INDEX(_TECH_Initiative_Library!$AE$5:$AE$76,MATCH(1,INDEX((_TECH_Initiative_Library!$B$5:$B$76=$C201)*(_TECH_Initiative_Library!$C$5:$C$76=$D201),0),0)),"")</f>
        <v/>
      </c>
      <c r="AX201" s="48" t="str">
        <f>IF($B201="Yes",IFERROR(SUMIFS(_TECH_Industry_Templates!$E:$E,_TECH_Industry_Templates!$A:$A,'Company Profile'!$B$9,_TECH_Industry_Templates!$B:$B,$C201),1),"")</f>
        <v/>
      </c>
      <c r="AY201" s="48" t="str">
        <f t="shared" si="59"/>
        <v/>
      </c>
      <c r="AZ201" s="48" t="str">
        <f t="shared" si="60"/>
        <v/>
      </c>
      <c r="BA201" s="48" t="str">
        <f>IF($AZ201="","",RANK.EQ($AZ201,$AZ$8:$AZ$414,0)+COUNTIF($AZ$8:$AZ201,$AZ201)-1)</f>
        <v/>
      </c>
    </row>
    <row r="202" spans="1:53" ht="69.95" customHeight="1">
      <c r="A202" s="36" t="str">
        <f>IF($AZ202="","",RANK.EQ($AZ202,$AZ$8:$AZ$414,0)+COUNTIF($AZ$8:$AZ202,$AZ202)-1)</f>
        <v/>
      </c>
      <c r="B202" s="36" t="str">
        <f t="shared" si="47"/>
        <v/>
      </c>
      <c r="C202" s="36" t="s">
        <v>78</v>
      </c>
      <c r="D202" s="36" t="s">
        <v>1307</v>
      </c>
      <c r="E202" s="36" t="s">
        <v>3842</v>
      </c>
      <c r="F202" s="36" t="s">
        <v>191</v>
      </c>
      <c r="G202" s="36" t="str">
        <f>IF($H202="","",IFERROR(INDEX('Risk Library'!$H$5:$M$411,MATCH($E202,'Risk Library'!$A$5:$A$411,0),$H202+1),""))</f>
        <v/>
      </c>
      <c r="H202" s="37" t="str">
        <f>IF(OR(COUNTA('Supply Chain'!$H$16)=0,'Supply Chain'!$H$16="N/A"),"",VALUE('Supply Chain'!$H$16))</f>
        <v/>
      </c>
      <c r="I202" s="36" t="str">
        <f>IF($H202="","",IFERROR(IF('Supply Chain'!$L$16="",IF($H202&lt;=1,"Critical",IF($H202=2,"High",IF($H202=3,"Medium",IF($H202=4,"Low","Resilient")))),'Supply Chain'!$L$16),IF($H202&lt;=1,"Critical",IF($H202=2,"High",IF($H202=3,"Medium",IF($H202=4,"Low","Resilient"))))))</f>
        <v/>
      </c>
      <c r="J202" s="37" t="str">
        <f t="shared" si="48"/>
        <v/>
      </c>
      <c r="K202" s="37" t="str">
        <f t="shared" si="49"/>
        <v/>
      </c>
      <c r="L202" s="37" t="str">
        <f t="shared" si="50"/>
        <v/>
      </c>
      <c r="M202" s="37" t="str">
        <f t="shared" si="51"/>
        <v/>
      </c>
      <c r="N202" s="37" t="str">
        <f>IF($H202="","",IFERROR(INDEX('Risk Library'!$T$5:$Y$411,MATCH($E202,'Risk Library'!$A$5:$A$411,0),$H202+1),""))</f>
        <v/>
      </c>
      <c r="O202" s="37" t="str">
        <f t="shared" si="52"/>
        <v/>
      </c>
      <c r="P202" s="37" t="str">
        <f t="shared" si="53"/>
        <v/>
      </c>
      <c r="Q202" s="37" t="str">
        <f t="shared" si="54"/>
        <v/>
      </c>
      <c r="R202" s="37" t="str">
        <f t="shared" si="55"/>
        <v/>
      </c>
      <c r="S202" s="38" t="str">
        <f t="shared" si="56"/>
        <v/>
      </c>
      <c r="T202" s="36" t="str">
        <f>IF($H202="","",IFERROR(INDEX('Risk Library'!$N$5:$S$411,MATCH($E202,'Risk Library'!$A$5:$A$411,0),$H202+1),""))</f>
        <v/>
      </c>
      <c r="U202" s="37">
        <f>IFERROR('Supply Chain'!$G$16,"")</f>
        <v>5</v>
      </c>
      <c r="V202" s="37">
        <f>IFERROR('Supply Chain'!$W$16,"")</f>
        <v>4</v>
      </c>
      <c r="W202" s="37">
        <f>IFERROR('Supply Chain'!$X$16,"")</f>
        <v>5</v>
      </c>
      <c r="X202" s="37">
        <f>IFERROR('Supply Chain'!$Y$16,"")</f>
        <v>5</v>
      </c>
      <c r="Y202" s="36" t="s">
        <v>3739</v>
      </c>
      <c r="Z202" s="36" t="s">
        <v>3740</v>
      </c>
      <c r="AA202" s="36" t="s">
        <v>3844</v>
      </c>
      <c r="AB202" s="36">
        <f>IFERROR('Supply Chain'!$U$16,"")</f>
        <v>0</v>
      </c>
      <c r="AC202" s="36"/>
      <c r="AD202" s="36"/>
      <c r="AE202" s="36"/>
      <c r="AF202" s="36" t="s">
        <v>3843</v>
      </c>
      <c r="AO202" s="48" t="str">
        <f>IF($B202="Yes",IFERROR(SUMIFS(_TECH_Crisis_Model!$D$5:$D$191,_TECH_Crisis_Model!$A$5:$A$191,'Crisis Simulator'!$B$4,_TECH_Crisis_Model!$B$5:$B$191,$C202),1),"")</f>
        <v/>
      </c>
      <c r="AP202" s="48" t="str">
        <f t="shared" si="57"/>
        <v/>
      </c>
      <c r="AQ202" s="48" t="str">
        <f t="shared" si="58"/>
        <v/>
      </c>
      <c r="AR202" s="48" t="str">
        <f>IFERROR(INDEX(_TECH_Crisis_Model!$E$5:$E$191,MATCH('Crisis Simulator'!$B$4&amp;"|"&amp;$C202,_TECH_Crisis_Model!$I$5:$I$191,0)),"")</f>
        <v>Supplier concentration, logistics and inventory visibility determine production and delivery continuity.</v>
      </c>
      <c r="AS202" s="48" t="str">
        <f>IFERROR(INDEX(_TECH_Crisis_Model!$G$5:$G$191,MATCH('Crisis Simulator'!$B$4&amp;"|"&amp;$C202,_TECH_Crisis_Model!$I$5:$I$191,0)),"")</f>
        <v>Diversify suppliers, define safety stock, alternate routes, supplier monitoring and substitution rules.</v>
      </c>
      <c r="AT202" s="48" t="str">
        <f>IFERROR(INDEX(_TECH_Initiative_Library!$A$5:$A$76,MATCH(1,INDEX((_TECH_Initiative_Library!$B$5:$B$76=$C202)*(_TECH_Initiative_Library!$C$5:$C$76=$D202),0),0)),"")</f>
        <v>INI-033</v>
      </c>
      <c r="AU202" s="48" t="str">
        <f>IFERROR(INDEX(_TECH_Initiative_Library!$F$5:$F$76,MATCH(1,INDEX((_TECH_Initiative_Library!$B$5:$B$76=$C202)*(_TECH_Initiative_Library!$C$5:$C$76=$D202),0),0)),"")</f>
        <v>Build logistics continuity and transport fallback options</v>
      </c>
      <c r="AV202" s="48" t="str">
        <f ca="1">IFERROR(INDEX(_TECH_Initiative_Library!$AC$5:$AC$76,MATCH(1,INDEX((_TECH_Initiative_Library!$B$5:$B$76=$C202)*(_TECH_Initiative_Library!$C$5:$C$76=$D202),0),0)),"")</f>
        <v/>
      </c>
      <c r="AW202" s="48" t="str">
        <f ca="1">IFERROR(INDEX(_TECH_Initiative_Library!$AE$5:$AE$76,MATCH(1,INDEX((_TECH_Initiative_Library!$B$5:$B$76=$C202)*(_TECH_Initiative_Library!$C$5:$C$76=$D202),0),0)),"")</f>
        <v/>
      </c>
      <c r="AX202" s="48" t="str">
        <f>IF($B202="Yes",IFERROR(SUMIFS(_TECH_Industry_Templates!$E:$E,_TECH_Industry_Templates!$A:$A,'Company Profile'!$B$9,_TECH_Industry_Templates!$B:$B,$C202),1),"")</f>
        <v/>
      </c>
      <c r="AY202" s="48" t="str">
        <f t="shared" si="59"/>
        <v/>
      </c>
      <c r="AZ202" s="48" t="str">
        <f t="shared" si="60"/>
        <v/>
      </c>
      <c r="BA202" s="48" t="str">
        <f>IF($AZ202="","",RANK.EQ($AZ202,$AZ$8:$AZ$414,0)+COUNTIF($AZ$8:$AZ202,$AZ202)-1)</f>
        <v/>
      </c>
    </row>
    <row r="203" spans="1:53" ht="69.95" customHeight="1">
      <c r="A203" s="36" t="str">
        <f>IF($AZ203="","",RANK.EQ($AZ203,$AZ$8:$AZ$414,0)+COUNTIF($AZ$8:$AZ203,$AZ203)-1)</f>
        <v/>
      </c>
      <c r="B203" s="36" t="str">
        <f t="shared" si="47"/>
        <v/>
      </c>
      <c r="C203" s="36" t="s">
        <v>78</v>
      </c>
      <c r="D203" s="36" t="s">
        <v>1315</v>
      </c>
      <c r="E203" s="36" t="s">
        <v>3852</v>
      </c>
      <c r="F203" s="36" t="s">
        <v>191</v>
      </c>
      <c r="G203" s="36" t="str">
        <f>IF($H203="","",IFERROR(INDEX('Risk Library'!$H$5:$M$411,MATCH($E203,'Risk Library'!$A$5:$A$411,0),$H203+1),""))</f>
        <v/>
      </c>
      <c r="H203" s="37" t="str">
        <f>IF(OR(COUNTA('Supply Chain'!$H$17)=0,'Supply Chain'!$H$17="N/A"),"",VALUE('Supply Chain'!$H$17))</f>
        <v/>
      </c>
      <c r="I203" s="36" t="str">
        <f>IF($H203="","",IFERROR(IF('Supply Chain'!$L$17="",IF($H203&lt;=1,"Critical",IF($H203=2,"High",IF($H203=3,"Medium",IF($H203=4,"Low","Resilient")))),'Supply Chain'!$L$17),IF($H203&lt;=1,"Critical",IF($H203=2,"High",IF($H203=3,"Medium",IF($H203=4,"Low","Resilient"))))))</f>
        <v/>
      </c>
      <c r="J203" s="37" t="str">
        <f t="shared" si="48"/>
        <v/>
      </c>
      <c r="K203" s="37" t="str">
        <f t="shared" si="49"/>
        <v/>
      </c>
      <c r="L203" s="37" t="str">
        <f t="shared" si="50"/>
        <v/>
      </c>
      <c r="M203" s="37" t="str">
        <f t="shared" si="51"/>
        <v/>
      </c>
      <c r="N203" s="37" t="str">
        <f>IF($H203="","",IFERROR(INDEX('Risk Library'!$T$5:$Y$411,MATCH($E203,'Risk Library'!$A$5:$A$411,0),$H203+1),""))</f>
        <v/>
      </c>
      <c r="O203" s="37" t="str">
        <f t="shared" si="52"/>
        <v/>
      </c>
      <c r="P203" s="37" t="str">
        <f t="shared" si="53"/>
        <v/>
      </c>
      <c r="Q203" s="37" t="str">
        <f t="shared" si="54"/>
        <v/>
      </c>
      <c r="R203" s="37" t="str">
        <f t="shared" si="55"/>
        <v/>
      </c>
      <c r="S203" s="38" t="str">
        <f t="shared" si="56"/>
        <v/>
      </c>
      <c r="T203" s="36" t="str">
        <f>IF($H203="","",IFERROR(INDEX('Risk Library'!$N$5:$S$411,MATCH($E203,'Risk Library'!$A$5:$A$411,0),$H203+1),""))</f>
        <v/>
      </c>
      <c r="U203" s="37">
        <f>IFERROR('Supply Chain'!$G$17,"")</f>
        <v>5</v>
      </c>
      <c r="V203" s="37">
        <f>IFERROR('Supply Chain'!$W$17,"")</f>
        <v>4</v>
      </c>
      <c r="W203" s="37">
        <f>IFERROR('Supply Chain'!$X$17,"")</f>
        <v>5</v>
      </c>
      <c r="X203" s="37">
        <f>IFERROR('Supply Chain'!$Y$17,"")</f>
        <v>5</v>
      </c>
      <c r="Y203" s="36" t="s">
        <v>3739</v>
      </c>
      <c r="Z203" s="36" t="s">
        <v>3740</v>
      </c>
      <c r="AA203" s="36" t="s">
        <v>3854</v>
      </c>
      <c r="AB203" s="36">
        <f>IFERROR('Supply Chain'!$U$17,"")</f>
        <v>0</v>
      </c>
      <c r="AC203" s="36"/>
      <c r="AD203" s="36"/>
      <c r="AE203" s="36"/>
      <c r="AF203" s="36" t="s">
        <v>3853</v>
      </c>
      <c r="AO203" s="48" t="str">
        <f>IF($B203="Yes",IFERROR(SUMIFS(_TECH_Crisis_Model!$D$5:$D$191,_TECH_Crisis_Model!$A$5:$A$191,'Crisis Simulator'!$B$4,_TECH_Crisis_Model!$B$5:$B$191,$C203),1),"")</f>
        <v/>
      </c>
      <c r="AP203" s="48" t="str">
        <f t="shared" si="57"/>
        <v/>
      </c>
      <c r="AQ203" s="48" t="str">
        <f t="shared" si="58"/>
        <v/>
      </c>
      <c r="AR203" s="48" t="str">
        <f>IFERROR(INDEX(_TECH_Crisis_Model!$E$5:$E$191,MATCH('Crisis Simulator'!$B$4&amp;"|"&amp;$C203,_TECH_Crisis_Model!$I$5:$I$191,0)),"")</f>
        <v>Supplier concentration, logistics and inventory visibility determine production and delivery continuity.</v>
      </c>
      <c r="AS203" s="48" t="str">
        <f>IFERROR(INDEX(_TECH_Crisis_Model!$G$5:$G$191,MATCH('Crisis Simulator'!$B$4&amp;"|"&amp;$C203,_TECH_Crisis_Model!$I$5:$I$191,0)),"")</f>
        <v>Diversify suppliers, define safety stock, alternate routes, supplier monitoring and substitution rules.</v>
      </c>
      <c r="AT203" s="48" t="str">
        <f>IFERROR(INDEX(_TECH_Initiative_Library!$A$5:$A$76,MATCH(1,INDEX((_TECH_Initiative_Library!$B$5:$B$76=$C203)*(_TECH_Initiative_Library!$C$5:$C$76=$D203),0),0)),"")</f>
        <v>INI-034</v>
      </c>
      <c r="AU203" s="48" t="str">
        <f>IFERROR(INDEX(_TECH_Initiative_Library!$F$5:$F$76,MATCH(1,INDEX((_TECH_Initiative_Library!$B$5:$B$76=$C203)*(_TECH_Initiative_Library!$C$5:$C$76=$D203),0),0)),"")</f>
        <v>Implement inventory visibility and demand/supply planning</v>
      </c>
      <c r="AV203" s="48" t="str">
        <f ca="1">IFERROR(INDEX(_TECH_Initiative_Library!$AC$5:$AC$76,MATCH(1,INDEX((_TECH_Initiative_Library!$B$5:$B$76=$C203)*(_TECH_Initiative_Library!$C$5:$C$76=$D203),0),0)),"")</f>
        <v/>
      </c>
      <c r="AW203" s="48" t="str">
        <f ca="1">IFERROR(INDEX(_TECH_Initiative_Library!$AE$5:$AE$76,MATCH(1,INDEX((_TECH_Initiative_Library!$B$5:$B$76=$C203)*(_TECH_Initiative_Library!$C$5:$C$76=$D203),0),0)),"")</f>
        <v/>
      </c>
      <c r="AX203" s="48" t="str">
        <f>IF($B203="Yes",IFERROR(SUMIFS(_TECH_Industry_Templates!$E:$E,_TECH_Industry_Templates!$A:$A,'Company Profile'!$B$9,_TECH_Industry_Templates!$B:$B,$C203),1),"")</f>
        <v/>
      </c>
      <c r="AY203" s="48" t="str">
        <f t="shared" si="59"/>
        <v/>
      </c>
      <c r="AZ203" s="48" t="str">
        <f t="shared" si="60"/>
        <v/>
      </c>
      <c r="BA203" s="48" t="str">
        <f>IF($AZ203="","",RANK.EQ($AZ203,$AZ$8:$AZ$414,0)+COUNTIF($AZ$8:$AZ203,$AZ203)-1)</f>
        <v/>
      </c>
    </row>
    <row r="204" spans="1:53" ht="69.95" customHeight="1">
      <c r="A204" s="36" t="str">
        <f>IF($AZ204="","",RANK.EQ($AZ204,$AZ$8:$AZ$414,0)+COUNTIF($AZ$8:$AZ204,$AZ204)-1)</f>
        <v/>
      </c>
      <c r="B204" s="36" t="str">
        <f t="shared" si="47"/>
        <v/>
      </c>
      <c r="C204" s="36" t="s">
        <v>78</v>
      </c>
      <c r="D204" s="36" t="s">
        <v>1315</v>
      </c>
      <c r="E204" s="36" t="s">
        <v>3862</v>
      </c>
      <c r="F204" s="36" t="s">
        <v>191</v>
      </c>
      <c r="G204" s="36" t="str">
        <f>IF($H204="","",IFERROR(INDEX('Risk Library'!$H$5:$M$411,MATCH($E204,'Risk Library'!$A$5:$A$411,0),$H204+1),""))</f>
        <v/>
      </c>
      <c r="H204" s="37" t="str">
        <f>IF(OR(COUNTA('Supply Chain'!$H$18)=0,'Supply Chain'!$H$18="N/A"),"",VALUE('Supply Chain'!$H$18))</f>
        <v/>
      </c>
      <c r="I204" s="36" t="str">
        <f>IF($H204="","",IFERROR(IF('Supply Chain'!$L$18="",IF($H204&lt;=1,"Critical",IF($H204=2,"High",IF($H204=3,"Medium",IF($H204=4,"Low","Resilient")))),'Supply Chain'!$L$18),IF($H204&lt;=1,"Critical",IF($H204=2,"High",IF($H204=3,"Medium",IF($H204=4,"Low","Resilient"))))))</f>
        <v/>
      </c>
      <c r="J204" s="37" t="str">
        <f t="shared" si="48"/>
        <v/>
      </c>
      <c r="K204" s="37" t="str">
        <f t="shared" si="49"/>
        <v/>
      </c>
      <c r="L204" s="37" t="str">
        <f t="shared" si="50"/>
        <v/>
      </c>
      <c r="M204" s="37" t="str">
        <f t="shared" si="51"/>
        <v/>
      </c>
      <c r="N204" s="37" t="str">
        <f>IF($H204="","",IFERROR(INDEX('Risk Library'!$T$5:$Y$411,MATCH($E204,'Risk Library'!$A$5:$A$411,0),$H204+1),""))</f>
        <v/>
      </c>
      <c r="O204" s="37" t="str">
        <f t="shared" si="52"/>
        <v/>
      </c>
      <c r="P204" s="37" t="str">
        <f t="shared" si="53"/>
        <v/>
      </c>
      <c r="Q204" s="37" t="str">
        <f t="shared" si="54"/>
        <v/>
      </c>
      <c r="R204" s="37" t="str">
        <f t="shared" si="55"/>
        <v/>
      </c>
      <c r="S204" s="38" t="str">
        <f t="shared" si="56"/>
        <v/>
      </c>
      <c r="T204" s="36" t="str">
        <f>IF($H204="","",IFERROR(INDEX('Risk Library'!$N$5:$S$411,MATCH($E204,'Risk Library'!$A$5:$A$411,0),$H204+1),""))</f>
        <v/>
      </c>
      <c r="U204" s="37">
        <f>IFERROR('Supply Chain'!$G$18,"")</f>
        <v>4</v>
      </c>
      <c r="V204" s="37">
        <f>IFERROR('Supply Chain'!$W$18,"")</f>
        <v>4</v>
      </c>
      <c r="W204" s="37">
        <f>IFERROR('Supply Chain'!$X$18,"")</f>
        <v>5</v>
      </c>
      <c r="X204" s="37">
        <f>IFERROR('Supply Chain'!$Y$18,"")</f>
        <v>5</v>
      </c>
      <c r="Y204" s="36" t="s">
        <v>3739</v>
      </c>
      <c r="Z204" s="36" t="s">
        <v>3740</v>
      </c>
      <c r="AA204" s="36" t="s">
        <v>3864</v>
      </c>
      <c r="AB204" s="36">
        <f>IFERROR('Supply Chain'!$U$18,"")</f>
        <v>0</v>
      </c>
      <c r="AC204" s="36"/>
      <c r="AD204" s="36"/>
      <c r="AE204" s="36"/>
      <c r="AF204" s="36" t="s">
        <v>3863</v>
      </c>
      <c r="AO204" s="48" t="str">
        <f>IF($B204="Yes",IFERROR(SUMIFS(_TECH_Crisis_Model!$D$5:$D$191,_TECH_Crisis_Model!$A$5:$A$191,'Crisis Simulator'!$B$4,_TECH_Crisis_Model!$B$5:$B$191,$C204),1),"")</f>
        <v/>
      </c>
      <c r="AP204" s="48" t="str">
        <f t="shared" si="57"/>
        <v/>
      </c>
      <c r="AQ204" s="48" t="str">
        <f t="shared" si="58"/>
        <v/>
      </c>
      <c r="AR204" s="48" t="str">
        <f>IFERROR(INDEX(_TECH_Crisis_Model!$E$5:$E$191,MATCH('Crisis Simulator'!$B$4&amp;"|"&amp;$C204,_TECH_Crisis_Model!$I$5:$I$191,0)),"")</f>
        <v>Supplier concentration, logistics and inventory visibility determine production and delivery continuity.</v>
      </c>
      <c r="AS204" s="48" t="str">
        <f>IFERROR(INDEX(_TECH_Crisis_Model!$G$5:$G$191,MATCH('Crisis Simulator'!$B$4&amp;"|"&amp;$C204,_TECH_Crisis_Model!$I$5:$I$191,0)),"")</f>
        <v>Diversify suppliers, define safety stock, alternate routes, supplier monitoring and substitution rules.</v>
      </c>
      <c r="AT204" s="48" t="str">
        <f>IFERROR(INDEX(_TECH_Initiative_Library!$A$5:$A$76,MATCH(1,INDEX((_TECH_Initiative_Library!$B$5:$B$76=$C204)*(_TECH_Initiative_Library!$C$5:$C$76=$D204),0),0)),"")</f>
        <v>INI-034</v>
      </c>
      <c r="AU204" s="48" t="str">
        <f>IFERROR(INDEX(_TECH_Initiative_Library!$F$5:$F$76,MATCH(1,INDEX((_TECH_Initiative_Library!$B$5:$B$76=$C204)*(_TECH_Initiative_Library!$C$5:$C$76=$D204),0),0)),"")</f>
        <v>Implement inventory visibility and demand/supply planning</v>
      </c>
      <c r="AV204" s="48" t="str">
        <f ca="1">IFERROR(INDEX(_TECH_Initiative_Library!$AC$5:$AC$76,MATCH(1,INDEX((_TECH_Initiative_Library!$B$5:$B$76=$C204)*(_TECH_Initiative_Library!$C$5:$C$76=$D204),0),0)),"")</f>
        <v/>
      </c>
      <c r="AW204" s="48" t="str">
        <f ca="1">IFERROR(INDEX(_TECH_Initiative_Library!$AE$5:$AE$76,MATCH(1,INDEX((_TECH_Initiative_Library!$B$5:$B$76=$C204)*(_TECH_Initiative_Library!$C$5:$C$76=$D204),0),0)),"")</f>
        <v/>
      </c>
      <c r="AX204" s="48" t="str">
        <f>IF($B204="Yes",IFERROR(SUMIFS(_TECH_Industry_Templates!$E:$E,_TECH_Industry_Templates!$A:$A,'Company Profile'!$B$9,_TECH_Industry_Templates!$B:$B,$C204),1),"")</f>
        <v/>
      </c>
      <c r="AY204" s="48" t="str">
        <f t="shared" si="59"/>
        <v/>
      </c>
      <c r="AZ204" s="48" t="str">
        <f t="shared" si="60"/>
        <v/>
      </c>
      <c r="BA204" s="48" t="str">
        <f>IF($AZ204="","",RANK.EQ($AZ204,$AZ$8:$AZ$414,0)+COUNTIF($AZ$8:$AZ204,$AZ204)-1)</f>
        <v/>
      </c>
    </row>
    <row r="205" spans="1:53" ht="69.95" customHeight="1">
      <c r="A205" s="36" t="str">
        <f>IF($AZ205="","",RANK.EQ($AZ205,$AZ$8:$AZ$414,0)+COUNTIF($AZ$8:$AZ205,$AZ205)-1)</f>
        <v/>
      </c>
      <c r="B205" s="36" t="str">
        <f t="shared" si="47"/>
        <v/>
      </c>
      <c r="C205" s="36" t="s">
        <v>78</v>
      </c>
      <c r="D205" s="36" t="s">
        <v>1315</v>
      </c>
      <c r="E205" s="36" t="s">
        <v>3872</v>
      </c>
      <c r="F205" s="36" t="s">
        <v>191</v>
      </c>
      <c r="G205" s="36" t="str">
        <f>IF($H205="","",IFERROR(INDEX('Risk Library'!$H$5:$M$411,MATCH($E205,'Risk Library'!$A$5:$A$411,0),$H205+1),""))</f>
        <v/>
      </c>
      <c r="H205" s="37" t="str">
        <f>IF(OR(COUNTA('Supply Chain'!$H$19)=0,'Supply Chain'!$H$19="N/A"),"",VALUE('Supply Chain'!$H$19))</f>
        <v/>
      </c>
      <c r="I205" s="36" t="str">
        <f>IF($H205="","",IFERROR(IF('Supply Chain'!$L$19="",IF($H205&lt;=1,"Critical",IF($H205=2,"High",IF($H205=3,"Medium",IF($H205=4,"Low","Resilient")))),'Supply Chain'!$L$19),IF($H205&lt;=1,"Critical",IF($H205=2,"High",IF($H205=3,"Medium",IF($H205=4,"Low","Resilient"))))))</f>
        <v/>
      </c>
      <c r="J205" s="37" t="str">
        <f t="shared" si="48"/>
        <v/>
      </c>
      <c r="K205" s="37" t="str">
        <f t="shared" si="49"/>
        <v/>
      </c>
      <c r="L205" s="37" t="str">
        <f t="shared" si="50"/>
        <v/>
      </c>
      <c r="M205" s="37" t="str">
        <f t="shared" si="51"/>
        <v/>
      </c>
      <c r="N205" s="37" t="str">
        <f>IF($H205="","",IFERROR(INDEX('Risk Library'!$T$5:$Y$411,MATCH($E205,'Risk Library'!$A$5:$A$411,0),$H205+1),""))</f>
        <v/>
      </c>
      <c r="O205" s="37" t="str">
        <f t="shared" si="52"/>
        <v/>
      </c>
      <c r="P205" s="37" t="str">
        <f t="shared" si="53"/>
        <v/>
      </c>
      <c r="Q205" s="37" t="str">
        <f t="shared" si="54"/>
        <v/>
      </c>
      <c r="R205" s="37" t="str">
        <f t="shared" si="55"/>
        <v/>
      </c>
      <c r="S205" s="38" t="str">
        <f t="shared" si="56"/>
        <v/>
      </c>
      <c r="T205" s="36" t="str">
        <f>IF($H205="","",IFERROR(INDEX('Risk Library'!$N$5:$S$411,MATCH($E205,'Risk Library'!$A$5:$A$411,0),$H205+1),""))</f>
        <v/>
      </c>
      <c r="U205" s="37">
        <f>IFERROR('Supply Chain'!$G$19,"")</f>
        <v>4</v>
      </c>
      <c r="V205" s="37">
        <f>IFERROR('Supply Chain'!$W$19,"")</f>
        <v>4</v>
      </c>
      <c r="W205" s="37">
        <f>IFERROR('Supply Chain'!$X$19,"")</f>
        <v>5</v>
      </c>
      <c r="X205" s="37">
        <f>IFERROR('Supply Chain'!$Y$19,"")</f>
        <v>5</v>
      </c>
      <c r="Y205" s="36" t="s">
        <v>3739</v>
      </c>
      <c r="Z205" s="36" t="s">
        <v>3740</v>
      </c>
      <c r="AA205" s="36" t="s">
        <v>3874</v>
      </c>
      <c r="AB205" s="36">
        <f>IFERROR('Supply Chain'!$U$19,"")</f>
        <v>0</v>
      </c>
      <c r="AC205" s="36"/>
      <c r="AD205" s="36"/>
      <c r="AE205" s="36"/>
      <c r="AF205" s="36" t="s">
        <v>3873</v>
      </c>
      <c r="AO205" s="48" t="str">
        <f>IF($B205="Yes",IFERROR(SUMIFS(_TECH_Crisis_Model!$D$5:$D$191,_TECH_Crisis_Model!$A$5:$A$191,'Crisis Simulator'!$B$4,_TECH_Crisis_Model!$B$5:$B$191,$C205),1),"")</f>
        <v/>
      </c>
      <c r="AP205" s="48" t="str">
        <f t="shared" si="57"/>
        <v/>
      </c>
      <c r="AQ205" s="48" t="str">
        <f t="shared" si="58"/>
        <v/>
      </c>
      <c r="AR205" s="48" t="str">
        <f>IFERROR(INDEX(_TECH_Crisis_Model!$E$5:$E$191,MATCH('Crisis Simulator'!$B$4&amp;"|"&amp;$C205,_TECH_Crisis_Model!$I$5:$I$191,0)),"")</f>
        <v>Supplier concentration, logistics and inventory visibility determine production and delivery continuity.</v>
      </c>
      <c r="AS205" s="48" t="str">
        <f>IFERROR(INDEX(_TECH_Crisis_Model!$G$5:$G$191,MATCH('Crisis Simulator'!$B$4&amp;"|"&amp;$C205,_TECH_Crisis_Model!$I$5:$I$191,0)),"")</f>
        <v>Diversify suppliers, define safety stock, alternate routes, supplier monitoring and substitution rules.</v>
      </c>
      <c r="AT205" s="48" t="str">
        <f>IFERROR(INDEX(_TECH_Initiative_Library!$A$5:$A$76,MATCH(1,INDEX((_TECH_Initiative_Library!$B$5:$B$76=$C205)*(_TECH_Initiative_Library!$C$5:$C$76=$D205),0),0)),"")</f>
        <v>INI-034</v>
      </c>
      <c r="AU205" s="48" t="str">
        <f>IFERROR(INDEX(_TECH_Initiative_Library!$F$5:$F$76,MATCH(1,INDEX((_TECH_Initiative_Library!$B$5:$B$76=$C205)*(_TECH_Initiative_Library!$C$5:$C$76=$D205),0),0)),"")</f>
        <v>Implement inventory visibility and demand/supply planning</v>
      </c>
      <c r="AV205" s="48" t="str">
        <f ca="1">IFERROR(INDEX(_TECH_Initiative_Library!$AC$5:$AC$76,MATCH(1,INDEX((_TECH_Initiative_Library!$B$5:$B$76=$C205)*(_TECH_Initiative_Library!$C$5:$C$76=$D205),0),0)),"")</f>
        <v/>
      </c>
      <c r="AW205" s="48" t="str">
        <f ca="1">IFERROR(INDEX(_TECH_Initiative_Library!$AE$5:$AE$76,MATCH(1,INDEX((_TECH_Initiative_Library!$B$5:$B$76=$C205)*(_TECH_Initiative_Library!$C$5:$C$76=$D205),0),0)),"")</f>
        <v/>
      </c>
      <c r="AX205" s="48" t="str">
        <f>IF($B205="Yes",IFERROR(SUMIFS(_TECH_Industry_Templates!$E:$E,_TECH_Industry_Templates!$A:$A,'Company Profile'!$B$9,_TECH_Industry_Templates!$B:$B,$C205),1),"")</f>
        <v/>
      </c>
      <c r="AY205" s="48" t="str">
        <f t="shared" si="59"/>
        <v/>
      </c>
      <c r="AZ205" s="48" t="str">
        <f t="shared" si="60"/>
        <v/>
      </c>
      <c r="BA205" s="48" t="str">
        <f>IF($AZ205="","",RANK.EQ($AZ205,$AZ$8:$AZ$414,0)+COUNTIF($AZ$8:$AZ205,$AZ205)-1)</f>
        <v/>
      </c>
    </row>
    <row r="206" spans="1:53" ht="69.95" customHeight="1">
      <c r="A206" s="36" t="str">
        <f>IF($AZ206="","",RANK.EQ($AZ206,$AZ$8:$AZ$414,0)+COUNTIF($AZ$8:$AZ206,$AZ206)-1)</f>
        <v/>
      </c>
      <c r="B206" s="36" t="str">
        <f t="shared" si="47"/>
        <v/>
      </c>
      <c r="C206" s="36" t="s">
        <v>78</v>
      </c>
      <c r="D206" s="36" t="s">
        <v>1315</v>
      </c>
      <c r="E206" s="36" t="s">
        <v>3882</v>
      </c>
      <c r="F206" s="36" t="s">
        <v>191</v>
      </c>
      <c r="G206" s="36" t="str">
        <f>IF($H206="","",IFERROR(INDEX('Risk Library'!$H$5:$M$411,MATCH($E206,'Risk Library'!$A$5:$A$411,0),$H206+1),""))</f>
        <v/>
      </c>
      <c r="H206" s="37" t="str">
        <f>IF(OR(COUNTA('Supply Chain'!$H$20)=0,'Supply Chain'!$H$20="N/A"),"",VALUE('Supply Chain'!$H$20))</f>
        <v/>
      </c>
      <c r="I206" s="36" t="str">
        <f>IF($H206="","",IFERROR(IF('Supply Chain'!$L$20="",IF($H206&lt;=1,"Critical",IF($H206=2,"High",IF($H206=3,"Medium",IF($H206=4,"Low","Resilient")))),'Supply Chain'!$L$20),IF($H206&lt;=1,"Critical",IF($H206=2,"High",IF($H206=3,"Medium",IF($H206=4,"Low","Resilient"))))))</f>
        <v/>
      </c>
      <c r="J206" s="37" t="str">
        <f t="shared" si="48"/>
        <v/>
      </c>
      <c r="K206" s="37" t="str">
        <f t="shared" si="49"/>
        <v/>
      </c>
      <c r="L206" s="37" t="str">
        <f t="shared" si="50"/>
        <v/>
      </c>
      <c r="M206" s="37" t="str">
        <f t="shared" si="51"/>
        <v/>
      </c>
      <c r="N206" s="37" t="str">
        <f>IF($H206="","",IFERROR(INDEX('Risk Library'!$T$5:$Y$411,MATCH($E206,'Risk Library'!$A$5:$A$411,0),$H206+1),""))</f>
        <v/>
      </c>
      <c r="O206" s="37" t="str">
        <f t="shared" si="52"/>
        <v/>
      </c>
      <c r="P206" s="37" t="str">
        <f t="shared" si="53"/>
        <v/>
      </c>
      <c r="Q206" s="37" t="str">
        <f t="shared" si="54"/>
        <v/>
      </c>
      <c r="R206" s="37" t="str">
        <f t="shared" si="55"/>
        <v/>
      </c>
      <c r="S206" s="38" t="str">
        <f t="shared" si="56"/>
        <v/>
      </c>
      <c r="T206" s="36" t="str">
        <f>IF($H206="","",IFERROR(INDEX('Risk Library'!$N$5:$S$411,MATCH($E206,'Risk Library'!$A$5:$A$411,0),$H206+1),""))</f>
        <v/>
      </c>
      <c r="U206" s="37">
        <f>IFERROR('Supply Chain'!$G$20,"")</f>
        <v>5</v>
      </c>
      <c r="V206" s="37">
        <f>IFERROR('Supply Chain'!$W$20,"")</f>
        <v>4</v>
      </c>
      <c r="W206" s="37">
        <f>IFERROR('Supply Chain'!$X$20,"")</f>
        <v>5</v>
      </c>
      <c r="X206" s="37">
        <f>IFERROR('Supply Chain'!$Y$20,"")</f>
        <v>5</v>
      </c>
      <c r="Y206" s="36" t="s">
        <v>3739</v>
      </c>
      <c r="Z206" s="36" t="s">
        <v>3740</v>
      </c>
      <c r="AA206" s="36" t="s">
        <v>3884</v>
      </c>
      <c r="AB206" s="36">
        <f>IFERROR('Supply Chain'!$U$20,"")</f>
        <v>0</v>
      </c>
      <c r="AC206" s="36"/>
      <c r="AD206" s="36"/>
      <c r="AE206" s="36"/>
      <c r="AF206" s="36" t="s">
        <v>3883</v>
      </c>
      <c r="AO206" s="48" t="str">
        <f>IF($B206="Yes",IFERROR(SUMIFS(_TECH_Crisis_Model!$D$5:$D$191,_TECH_Crisis_Model!$A$5:$A$191,'Crisis Simulator'!$B$4,_TECH_Crisis_Model!$B$5:$B$191,$C206),1),"")</f>
        <v/>
      </c>
      <c r="AP206" s="48" t="str">
        <f t="shared" si="57"/>
        <v/>
      </c>
      <c r="AQ206" s="48" t="str">
        <f t="shared" si="58"/>
        <v/>
      </c>
      <c r="AR206" s="48" t="str">
        <f>IFERROR(INDEX(_TECH_Crisis_Model!$E$5:$E$191,MATCH('Crisis Simulator'!$B$4&amp;"|"&amp;$C206,_TECH_Crisis_Model!$I$5:$I$191,0)),"")</f>
        <v>Supplier concentration, logistics and inventory visibility determine production and delivery continuity.</v>
      </c>
      <c r="AS206" s="48" t="str">
        <f>IFERROR(INDEX(_TECH_Crisis_Model!$G$5:$G$191,MATCH('Crisis Simulator'!$B$4&amp;"|"&amp;$C206,_TECH_Crisis_Model!$I$5:$I$191,0)),"")</f>
        <v>Diversify suppliers, define safety stock, alternate routes, supplier monitoring and substitution rules.</v>
      </c>
      <c r="AT206" s="48" t="str">
        <f>IFERROR(INDEX(_TECH_Initiative_Library!$A$5:$A$76,MATCH(1,INDEX((_TECH_Initiative_Library!$B$5:$B$76=$C206)*(_TECH_Initiative_Library!$C$5:$C$76=$D206),0),0)),"")</f>
        <v>INI-034</v>
      </c>
      <c r="AU206" s="48" t="str">
        <f>IFERROR(INDEX(_TECH_Initiative_Library!$F$5:$F$76,MATCH(1,INDEX((_TECH_Initiative_Library!$B$5:$B$76=$C206)*(_TECH_Initiative_Library!$C$5:$C$76=$D206),0),0)),"")</f>
        <v>Implement inventory visibility and demand/supply planning</v>
      </c>
      <c r="AV206" s="48" t="str">
        <f ca="1">IFERROR(INDEX(_TECH_Initiative_Library!$AC$5:$AC$76,MATCH(1,INDEX((_TECH_Initiative_Library!$B$5:$B$76=$C206)*(_TECH_Initiative_Library!$C$5:$C$76=$D206),0),0)),"")</f>
        <v/>
      </c>
      <c r="AW206" s="48" t="str">
        <f ca="1">IFERROR(INDEX(_TECH_Initiative_Library!$AE$5:$AE$76,MATCH(1,INDEX((_TECH_Initiative_Library!$B$5:$B$76=$C206)*(_TECH_Initiative_Library!$C$5:$C$76=$D206),0),0)),"")</f>
        <v/>
      </c>
      <c r="AX206" s="48" t="str">
        <f>IF($B206="Yes",IFERROR(SUMIFS(_TECH_Industry_Templates!$E:$E,_TECH_Industry_Templates!$A:$A,'Company Profile'!$B$9,_TECH_Industry_Templates!$B:$B,$C206),1),"")</f>
        <v/>
      </c>
      <c r="AY206" s="48" t="str">
        <f t="shared" si="59"/>
        <v/>
      </c>
      <c r="AZ206" s="48" t="str">
        <f t="shared" si="60"/>
        <v/>
      </c>
      <c r="BA206" s="48" t="str">
        <f>IF($AZ206="","",RANK.EQ($AZ206,$AZ$8:$AZ$414,0)+COUNTIF($AZ$8:$AZ206,$AZ206)-1)</f>
        <v/>
      </c>
    </row>
    <row r="207" spans="1:53" ht="69.95" customHeight="1">
      <c r="A207" s="36" t="str">
        <f>IF($AZ207="","",RANK.EQ($AZ207,$AZ$8:$AZ$414,0)+COUNTIF($AZ$8:$AZ207,$AZ207)-1)</f>
        <v/>
      </c>
      <c r="B207" s="36" t="str">
        <f t="shared" si="47"/>
        <v/>
      </c>
      <c r="C207" s="36" t="s">
        <v>78</v>
      </c>
      <c r="D207" s="36" t="s">
        <v>1315</v>
      </c>
      <c r="E207" s="36" t="s">
        <v>3892</v>
      </c>
      <c r="F207" s="36" t="s">
        <v>191</v>
      </c>
      <c r="G207" s="36" t="str">
        <f>IF($H207="","",IFERROR(INDEX('Risk Library'!$H$5:$M$411,MATCH($E207,'Risk Library'!$A$5:$A$411,0),$H207+1),""))</f>
        <v/>
      </c>
      <c r="H207" s="37" t="str">
        <f>IF(OR(COUNTA('Supply Chain'!$H$21)=0,'Supply Chain'!$H$21="N/A"),"",VALUE('Supply Chain'!$H$21))</f>
        <v/>
      </c>
      <c r="I207" s="36" t="str">
        <f>IF($H207="","",IFERROR(IF('Supply Chain'!$L$21="",IF($H207&lt;=1,"Critical",IF($H207=2,"High",IF($H207=3,"Medium",IF($H207=4,"Low","Resilient")))),'Supply Chain'!$L$21),IF($H207&lt;=1,"Critical",IF($H207=2,"High",IF($H207=3,"Medium",IF($H207=4,"Low","Resilient"))))))</f>
        <v/>
      </c>
      <c r="J207" s="37" t="str">
        <f t="shared" si="48"/>
        <v/>
      </c>
      <c r="K207" s="37" t="str">
        <f t="shared" si="49"/>
        <v/>
      </c>
      <c r="L207" s="37" t="str">
        <f t="shared" si="50"/>
        <v/>
      </c>
      <c r="M207" s="37" t="str">
        <f t="shared" si="51"/>
        <v/>
      </c>
      <c r="N207" s="37" t="str">
        <f>IF($H207="","",IFERROR(INDEX('Risk Library'!$T$5:$Y$411,MATCH($E207,'Risk Library'!$A$5:$A$411,0),$H207+1),""))</f>
        <v/>
      </c>
      <c r="O207" s="37" t="str">
        <f t="shared" si="52"/>
        <v/>
      </c>
      <c r="P207" s="37" t="str">
        <f t="shared" si="53"/>
        <v/>
      </c>
      <c r="Q207" s="37" t="str">
        <f t="shared" si="54"/>
        <v/>
      </c>
      <c r="R207" s="37" t="str">
        <f t="shared" si="55"/>
        <v/>
      </c>
      <c r="S207" s="38" t="str">
        <f t="shared" si="56"/>
        <v/>
      </c>
      <c r="T207" s="36" t="str">
        <f>IF($H207="","",IFERROR(INDEX('Risk Library'!$N$5:$S$411,MATCH($E207,'Risk Library'!$A$5:$A$411,0),$H207+1),""))</f>
        <v/>
      </c>
      <c r="U207" s="37">
        <f>IFERROR('Supply Chain'!$G$21,"")</f>
        <v>5</v>
      </c>
      <c r="V207" s="37">
        <f>IFERROR('Supply Chain'!$W$21,"")</f>
        <v>4</v>
      </c>
      <c r="W207" s="37">
        <f>IFERROR('Supply Chain'!$X$21,"")</f>
        <v>5</v>
      </c>
      <c r="X207" s="37">
        <f>IFERROR('Supply Chain'!$Y$21,"")</f>
        <v>5</v>
      </c>
      <c r="Y207" s="36" t="s">
        <v>3739</v>
      </c>
      <c r="Z207" s="36" t="s">
        <v>3740</v>
      </c>
      <c r="AA207" s="36" t="s">
        <v>3894</v>
      </c>
      <c r="AB207" s="36">
        <f>IFERROR('Supply Chain'!$U$21,"")</f>
        <v>0</v>
      </c>
      <c r="AC207" s="36"/>
      <c r="AD207" s="36"/>
      <c r="AE207" s="36"/>
      <c r="AF207" s="36" t="s">
        <v>3893</v>
      </c>
      <c r="AO207" s="48" t="str">
        <f>IF($B207="Yes",IFERROR(SUMIFS(_TECH_Crisis_Model!$D$5:$D$191,_TECH_Crisis_Model!$A$5:$A$191,'Crisis Simulator'!$B$4,_TECH_Crisis_Model!$B$5:$B$191,$C207),1),"")</f>
        <v/>
      </c>
      <c r="AP207" s="48" t="str">
        <f t="shared" si="57"/>
        <v/>
      </c>
      <c r="AQ207" s="48" t="str">
        <f t="shared" si="58"/>
        <v/>
      </c>
      <c r="AR207" s="48" t="str">
        <f>IFERROR(INDEX(_TECH_Crisis_Model!$E$5:$E$191,MATCH('Crisis Simulator'!$B$4&amp;"|"&amp;$C207,_TECH_Crisis_Model!$I$5:$I$191,0)),"")</f>
        <v>Supplier concentration, logistics and inventory visibility determine production and delivery continuity.</v>
      </c>
      <c r="AS207" s="48" t="str">
        <f>IFERROR(INDEX(_TECH_Crisis_Model!$G$5:$G$191,MATCH('Crisis Simulator'!$B$4&amp;"|"&amp;$C207,_TECH_Crisis_Model!$I$5:$I$191,0)),"")</f>
        <v>Diversify suppliers, define safety stock, alternate routes, supplier monitoring and substitution rules.</v>
      </c>
      <c r="AT207" s="48" t="str">
        <f>IFERROR(INDEX(_TECH_Initiative_Library!$A$5:$A$76,MATCH(1,INDEX((_TECH_Initiative_Library!$B$5:$B$76=$C207)*(_TECH_Initiative_Library!$C$5:$C$76=$D207),0),0)),"")</f>
        <v>INI-034</v>
      </c>
      <c r="AU207" s="48" t="str">
        <f>IFERROR(INDEX(_TECH_Initiative_Library!$F$5:$F$76,MATCH(1,INDEX((_TECH_Initiative_Library!$B$5:$B$76=$C207)*(_TECH_Initiative_Library!$C$5:$C$76=$D207),0),0)),"")</f>
        <v>Implement inventory visibility and demand/supply planning</v>
      </c>
      <c r="AV207" s="48" t="str">
        <f ca="1">IFERROR(INDEX(_TECH_Initiative_Library!$AC$5:$AC$76,MATCH(1,INDEX((_TECH_Initiative_Library!$B$5:$B$76=$C207)*(_TECH_Initiative_Library!$C$5:$C$76=$D207),0),0)),"")</f>
        <v/>
      </c>
      <c r="AW207" s="48" t="str">
        <f ca="1">IFERROR(INDEX(_TECH_Initiative_Library!$AE$5:$AE$76,MATCH(1,INDEX((_TECH_Initiative_Library!$B$5:$B$76=$C207)*(_TECH_Initiative_Library!$C$5:$C$76=$D207),0),0)),"")</f>
        <v/>
      </c>
      <c r="AX207" s="48" t="str">
        <f>IF($B207="Yes",IFERROR(SUMIFS(_TECH_Industry_Templates!$E:$E,_TECH_Industry_Templates!$A:$A,'Company Profile'!$B$9,_TECH_Industry_Templates!$B:$B,$C207),1),"")</f>
        <v/>
      </c>
      <c r="AY207" s="48" t="str">
        <f t="shared" si="59"/>
        <v/>
      </c>
      <c r="AZ207" s="48" t="str">
        <f t="shared" si="60"/>
        <v/>
      </c>
      <c r="BA207" s="48" t="str">
        <f>IF($AZ207="","",RANK.EQ($AZ207,$AZ$8:$AZ$414,0)+COUNTIF($AZ$8:$AZ207,$AZ207)-1)</f>
        <v/>
      </c>
    </row>
    <row r="208" spans="1:53" ht="69.95" customHeight="1">
      <c r="A208" s="36" t="str">
        <f>IF($AZ208="","",RANK.EQ($AZ208,$AZ$8:$AZ$414,0)+COUNTIF($AZ$8:$AZ208,$AZ208)-1)</f>
        <v/>
      </c>
      <c r="B208" s="36" t="str">
        <f t="shared" si="47"/>
        <v/>
      </c>
      <c r="C208" s="36" t="s">
        <v>78</v>
      </c>
      <c r="D208" s="36" t="s">
        <v>1315</v>
      </c>
      <c r="E208" s="36" t="s">
        <v>3902</v>
      </c>
      <c r="F208" s="36" t="s">
        <v>191</v>
      </c>
      <c r="G208" s="36" t="str">
        <f>IF($H208="","",IFERROR(INDEX('Risk Library'!$H$5:$M$411,MATCH($E208,'Risk Library'!$A$5:$A$411,0),$H208+1),""))</f>
        <v/>
      </c>
      <c r="H208" s="37" t="str">
        <f>IF(OR(COUNTA('Supply Chain'!$H$22)=0,'Supply Chain'!$H$22="N/A"),"",VALUE('Supply Chain'!$H$22))</f>
        <v/>
      </c>
      <c r="I208" s="36" t="str">
        <f>IF($H208="","",IFERROR(IF('Supply Chain'!$L$22="",IF($H208&lt;=1,"Critical",IF($H208=2,"High",IF($H208=3,"Medium",IF($H208=4,"Low","Resilient")))),'Supply Chain'!$L$22),IF($H208&lt;=1,"Critical",IF($H208=2,"High",IF($H208=3,"Medium",IF($H208=4,"Low","Resilient"))))))</f>
        <v/>
      </c>
      <c r="J208" s="37" t="str">
        <f t="shared" si="48"/>
        <v/>
      </c>
      <c r="K208" s="37" t="str">
        <f t="shared" si="49"/>
        <v/>
      </c>
      <c r="L208" s="37" t="str">
        <f t="shared" si="50"/>
        <v/>
      </c>
      <c r="M208" s="37" t="str">
        <f t="shared" si="51"/>
        <v/>
      </c>
      <c r="N208" s="37" t="str">
        <f>IF($H208="","",IFERROR(INDEX('Risk Library'!$T$5:$Y$411,MATCH($E208,'Risk Library'!$A$5:$A$411,0),$H208+1),""))</f>
        <v/>
      </c>
      <c r="O208" s="37" t="str">
        <f t="shared" si="52"/>
        <v/>
      </c>
      <c r="P208" s="37" t="str">
        <f t="shared" si="53"/>
        <v/>
      </c>
      <c r="Q208" s="37" t="str">
        <f t="shared" si="54"/>
        <v/>
      </c>
      <c r="R208" s="37" t="str">
        <f t="shared" si="55"/>
        <v/>
      </c>
      <c r="S208" s="38" t="str">
        <f t="shared" si="56"/>
        <v/>
      </c>
      <c r="T208" s="36" t="str">
        <f>IF($H208="","",IFERROR(INDEX('Risk Library'!$N$5:$S$411,MATCH($E208,'Risk Library'!$A$5:$A$411,0),$H208+1),""))</f>
        <v/>
      </c>
      <c r="U208" s="37">
        <f>IFERROR('Supply Chain'!$G$22,"")</f>
        <v>5</v>
      </c>
      <c r="V208" s="37">
        <f>IFERROR('Supply Chain'!$W$22,"")</f>
        <v>4</v>
      </c>
      <c r="W208" s="37">
        <f>IFERROR('Supply Chain'!$X$22,"")</f>
        <v>5</v>
      </c>
      <c r="X208" s="37">
        <f>IFERROR('Supply Chain'!$Y$22,"")</f>
        <v>5</v>
      </c>
      <c r="Y208" s="36" t="s">
        <v>3739</v>
      </c>
      <c r="Z208" s="36" t="s">
        <v>3740</v>
      </c>
      <c r="AA208" s="36" t="s">
        <v>3904</v>
      </c>
      <c r="AB208" s="36">
        <f>IFERROR('Supply Chain'!$U$22,"")</f>
        <v>0</v>
      </c>
      <c r="AC208" s="36"/>
      <c r="AD208" s="36"/>
      <c r="AE208" s="36"/>
      <c r="AF208" s="36" t="s">
        <v>3903</v>
      </c>
      <c r="AO208" s="48" t="str">
        <f>IF($B208="Yes",IFERROR(SUMIFS(_TECH_Crisis_Model!$D$5:$D$191,_TECH_Crisis_Model!$A$5:$A$191,'Crisis Simulator'!$B$4,_TECH_Crisis_Model!$B$5:$B$191,$C208),1),"")</f>
        <v/>
      </c>
      <c r="AP208" s="48" t="str">
        <f t="shared" si="57"/>
        <v/>
      </c>
      <c r="AQ208" s="48" t="str">
        <f t="shared" si="58"/>
        <v/>
      </c>
      <c r="AR208" s="48" t="str">
        <f>IFERROR(INDEX(_TECH_Crisis_Model!$E$5:$E$191,MATCH('Crisis Simulator'!$B$4&amp;"|"&amp;$C208,_TECH_Crisis_Model!$I$5:$I$191,0)),"")</f>
        <v>Supplier concentration, logistics and inventory visibility determine production and delivery continuity.</v>
      </c>
      <c r="AS208" s="48" t="str">
        <f>IFERROR(INDEX(_TECH_Crisis_Model!$G$5:$G$191,MATCH('Crisis Simulator'!$B$4&amp;"|"&amp;$C208,_TECH_Crisis_Model!$I$5:$I$191,0)),"")</f>
        <v>Diversify suppliers, define safety stock, alternate routes, supplier monitoring and substitution rules.</v>
      </c>
      <c r="AT208" s="48" t="str">
        <f>IFERROR(INDEX(_TECH_Initiative_Library!$A$5:$A$76,MATCH(1,INDEX((_TECH_Initiative_Library!$B$5:$B$76=$C208)*(_TECH_Initiative_Library!$C$5:$C$76=$D208),0),0)),"")</f>
        <v>INI-034</v>
      </c>
      <c r="AU208" s="48" t="str">
        <f>IFERROR(INDEX(_TECH_Initiative_Library!$F$5:$F$76,MATCH(1,INDEX((_TECH_Initiative_Library!$B$5:$B$76=$C208)*(_TECH_Initiative_Library!$C$5:$C$76=$D208),0),0)),"")</f>
        <v>Implement inventory visibility and demand/supply planning</v>
      </c>
      <c r="AV208" s="48" t="str">
        <f ca="1">IFERROR(INDEX(_TECH_Initiative_Library!$AC$5:$AC$76,MATCH(1,INDEX((_TECH_Initiative_Library!$B$5:$B$76=$C208)*(_TECH_Initiative_Library!$C$5:$C$76=$D208),0),0)),"")</f>
        <v/>
      </c>
      <c r="AW208" s="48" t="str">
        <f ca="1">IFERROR(INDEX(_TECH_Initiative_Library!$AE$5:$AE$76,MATCH(1,INDEX((_TECH_Initiative_Library!$B$5:$B$76=$C208)*(_TECH_Initiative_Library!$C$5:$C$76=$D208),0),0)),"")</f>
        <v/>
      </c>
      <c r="AX208" s="48" t="str">
        <f>IF($B208="Yes",IFERROR(SUMIFS(_TECH_Industry_Templates!$E:$E,_TECH_Industry_Templates!$A:$A,'Company Profile'!$B$9,_TECH_Industry_Templates!$B:$B,$C208),1),"")</f>
        <v/>
      </c>
      <c r="AY208" s="48" t="str">
        <f t="shared" si="59"/>
        <v/>
      </c>
      <c r="AZ208" s="48" t="str">
        <f t="shared" si="60"/>
        <v/>
      </c>
      <c r="BA208" s="48" t="str">
        <f>IF($AZ208="","",RANK.EQ($AZ208,$AZ$8:$AZ$414,0)+COUNTIF($AZ$8:$AZ208,$AZ208)-1)</f>
        <v/>
      </c>
    </row>
    <row r="209" spans="1:53" ht="69.95" customHeight="1">
      <c r="A209" s="36" t="str">
        <f>IF($AZ209="","",RANK.EQ($AZ209,$AZ$8:$AZ$414,0)+COUNTIF($AZ$8:$AZ209,$AZ209)-1)</f>
        <v/>
      </c>
      <c r="B209" s="36" t="str">
        <f t="shared" si="47"/>
        <v/>
      </c>
      <c r="C209" s="36" t="s">
        <v>78</v>
      </c>
      <c r="D209" s="36" t="s">
        <v>1315</v>
      </c>
      <c r="E209" s="36" t="s">
        <v>3912</v>
      </c>
      <c r="F209" s="36" t="s">
        <v>191</v>
      </c>
      <c r="G209" s="36" t="str">
        <f>IF($H209="","",IFERROR(INDEX('Risk Library'!$H$5:$M$411,MATCH($E209,'Risk Library'!$A$5:$A$411,0),$H209+1),""))</f>
        <v/>
      </c>
      <c r="H209" s="37" t="str">
        <f>IF(OR(COUNTA('Supply Chain'!$H$23)=0,'Supply Chain'!$H$23="N/A"),"",VALUE('Supply Chain'!$H$23))</f>
        <v/>
      </c>
      <c r="I209" s="36" t="str">
        <f>IF($H209="","",IFERROR(IF('Supply Chain'!$L$23="",IF($H209&lt;=1,"Critical",IF($H209=2,"High",IF($H209=3,"Medium",IF($H209=4,"Low","Resilient")))),'Supply Chain'!$L$23),IF($H209&lt;=1,"Critical",IF($H209=2,"High",IF($H209=3,"Medium",IF($H209=4,"Low","Resilient"))))))</f>
        <v/>
      </c>
      <c r="J209" s="37" t="str">
        <f t="shared" si="48"/>
        <v/>
      </c>
      <c r="K209" s="37" t="str">
        <f t="shared" si="49"/>
        <v/>
      </c>
      <c r="L209" s="37" t="str">
        <f t="shared" si="50"/>
        <v/>
      </c>
      <c r="M209" s="37" t="str">
        <f t="shared" si="51"/>
        <v/>
      </c>
      <c r="N209" s="37" t="str">
        <f>IF($H209="","",IFERROR(INDEX('Risk Library'!$T$5:$Y$411,MATCH($E209,'Risk Library'!$A$5:$A$411,0),$H209+1),""))</f>
        <v/>
      </c>
      <c r="O209" s="37" t="str">
        <f t="shared" si="52"/>
        <v/>
      </c>
      <c r="P209" s="37" t="str">
        <f t="shared" si="53"/>
        <v/>
      </c>
      <c r="Q209" s="37" t="str">
        <f t="shared" si="54"/>
        <v/>
      </c>
      <c r="R209" s="37" t="str">
        <f t="shared" si="55"/>
        <v/>
      </c>
      <c r="S209" s="38" t="str">
        <f t="shared" si="56"/>
        <v/>
      </c>
      <c r="T209" s="36" t="str">
        <f>IF($H209="","",IFERROR(INDEX('Risk Library'!$N$5:$S$411,MATCH($E209,'Risk Library'!$A$5:$A$411,0),$H209+1),""))</f>
        <v/>
      </c>
      <c r="U209" s="37">
        <f>IFERROR('Supply Chain'!$G$23,"")</f>
        <v>5</v>
      </c>
      <c r="V209" s="37">
        <f>IFERROR('Supply Chain'!$W$23,"")</f>
        <v>5</v>
      </c>
      <c r="W209" s="37">
        <f>IFERROR('Supply Chain'!$X$23,"")</f>
        <v>5</v>
      </c>
      <c r="X209" s="37">
        <f>IFERROR('Supply Chain'!$Y$23,"")</f>
        <v>5</v>
      </c>
      <c r="Y209" s="36" t="s">
        <v>3739</v>
      </c>
      <c r="Z209" s="36" t="s">
        <v>3740</v>
      </c>
      <c r="AA209" s="36" t="s">
        <v>3914</v>
      </c>
      <c r="AB209" s="36">
        <f>IFERROR('Supply Chain'!$U$23,"")</f>
        <v>0</v>
      </c>
      <c r="AC209" s="36"/>
      <c r="AD209" s="36"/>
      <c r="AE209" s="36"/>
      <c r="AF209" s="36" t="s">
        <v>3913</v>
      </c>
      <c r="AO209" s="48" t="str">
        <f>IF($B209="Yes",IFERROR(SUMIFS(_TECH_Crisis_Model!$D$5:$D$191,_TECH_Crisis_Model!$A$5:$A$191,'Crisis Simulator'!$B$4,_TECH_Crisis_Model!$B$5:$B$191,$C209),1),"")</f>
        <v/>
      </c>
      <c r="AP209" s="48" t="str">
        <f t="shared" si="57"/>
        <v/>
      </c>
      <c r="AQ209" s="48" t="str">
        <f t="shared" si="58"/>
        <v/>
      </c>
      <c r="AR209" s="48" t="str">
        <f>IFERROR(INDEX(_TECH_Crisis_Model!$E$5:$E$191,MATCH('Crisis Simulator'!$B$4&amp;"|"&amp;$C209,_TECH_Crisis_Model!$I$5:$I$191,0)),"")</f>
        <v>Supplier concentration, logistics and inventory visibility determine production and delivery continuity.</v>
      </c>
      <c r="AS209" s="48" t="str">
        <f>IFERROR(INDEX(_TECH_Crisis_Model!$G$5:$G$191,MATCH('Crisis Simulator'!$B$4&amp;"|"&amp;$C209,_TECH_Crisis_Model!$I$5:$I$191,0)),"")</f>
        <v>Diversify suppliers, define safety stock, alternate routes, supplier monitoring and substitution rules.</v>
      </c>
      <c r="AT209" s="48" t="str">
        <f>IFERROR(INDEX(_TECH_Initiative_Library!$A$5:$A$76,MATCH(1,INDEX((_TECH_Initiative_Library!$B$5:$B$76=$C209)*(_TECH_Initiative_Library!$C$5:$C$76=$D209),0),0)),"")</f>
        <v>INI-034</v>
      </c>
      <c r="AU209" s="48" t="str">
        <f>IFERROR(INDEX(_TECH_Initiative_Library!$F$5:$F$76,MATCH(1,INDEX((_TECH_Initiative_Library!$B$5:$B$76=$C209)*(_TECH_Initiative_Library!$C$5:$C$76=$D209),0),0)),"")</f>
        <v>Implement inventory visibility and demand/supply planning</v>
      </c>
      <c r="AV209" s="48" t="str">
        <f ca="1">IFERROR(INDEX(_TECH_Initiative_Library!$AC$5:$AC$76,MATCH(1,INDEX((_TECH_Initiative_Library!$B$5:$B$76=$C209)*(_TECH_Initiative_Library!$C$5:$C$76=$D209),0),0)),"")</f>
        <v/>
      </c>
      <c r="AW209" s="48" t="str">
        <f ca="1">IFERROR(INDEX(_TECH_Initiative_Library!$AE$5:$AE$76,MATCH(1,INDEX((_TECH_Initiative_Library!$B$5:$B$76=$C209)*(_TECH_Initiative_Library!$C$5:$C$76=$D209),0),0)),"")</f>
        <v/>
      </c>
      <c r="AX209" s="48" t="str">
        <f>IF($B209="Yes",IFERROR(SUMIFS(_TECH_Industry_Templates!$E:$E,_TECH_Industry_Templates!$A:$A,'Company Profile'!$B$9,_TECH_Industry_Templates!$B:$B,$C209),1),"")</f>
        <v/>
      </c>
      <c r="AY209" s="48" t="str">
        <f t="shared" si="59"/>
        <v/>
      </c>
      <c r="AZ209" s="48" t="str">
        <f t="shared" si="60"/>
        <v/>
      </c>
      <c r="BA209" s="48" t="str">
        <f>IF($AZ209="","",RANK.EQ($AZ209,$AZ$8:$AZ$414,0)+COUNTIF($AZ$8:$AZ209,$AZ209)-1)</f>
        <v/>
      </c>
    </row>
    <row r="210" spans="1:53" ht="69.95" customHeight="1">
      <c r="A210" s="36" t="str">
        <f>IF($AZ210="","",RANK.EQ($AZ210,$AZ$8:$AZ$414,0)+COUNTIF($AZ$8:$AZ210,$AZ210)-1)</f>
        <v/>
      </c>
      <c r="B210" s="36" t="str">
        <f t="shared" si="47"/>
        <v/>
      </c>
      <c r="C210" s="36" t="s">
        <v>78</v>
      </c>
      <c r="D210" s="36" t="s">
        <v>1323</v>
      </c>
      <c r="E210" s="36" t="s">
        <v>3922</v>
      </c>
      <c r="F210" s="36" t="s">
        <v>191</v>
      </c>
      <c r="G210" s="36" t="str">
        <f>IF($H210="","",IFERROR(INDEX('Risk Library'!$H$5:$M$411,MATCH($E210,'Risk Library'!$A$5:$A$411,0),$H210+1),""))</f>
        <v/>
      </c>
      <c r="H210" s="37" t="str">
        <f>IF(OR(COUNTA('Supply Chain'!$H$24)=0,'Supply Chain'!$H$24="N/A"),"",VALUE('Supply Chain'!$H$24))</f>
        <v/>
      </c>
      <c r="I210" s="36" t="str">
        <f>IF($H210="","",IFERROR(IF('Supply Chain'!$L$24="",IF($H210&lt;=1,"Critical",IF($H210=2,"High",IF($H210=3,"Medium",IF($H210=4,"Low","Resilient")))),'Supply Chain'!$L$24),IF($H210&lt;=1,"Critical",IF($H210=2,"High",IF($H210=3,"Medium",IF($H210=4,"Low","Resilient"))))))</f>
        <v/>
      </c>
      <c r="J210" s="37" t="str">
        <f t="shared" si="48"/>
        <v/>
      </c>
      <c r="K210" s="37" t="str">
        <f t="shared" si="49"/>
        <v/>
      </c>
      <c r="L210" s="37" t="str">
        <f t="shared" si="50"/>
        <v/>
      </c>
      <c r="M210" s="37" t="str">
        <f t="shared" si="51"/>
        <v/>
      </c>
      <c r="N210" s="37" t="str">
        <f>IF($H210="","",IFERROR(INDEX('Risk Library'!$T$5:$Y$411,MATCH($E210,'Risk Library'!$A$5:$A$411,0),$H210+1),""))</f>
        <v/>
      </c>
      <c r="O210" s="37" t="str">
        <f t="shared" si="52"/>
        <v/>
      </c>
      <c r="P210" s="37" t="str">
        <f t="shared" si="53"/>
        <v/>
      </c>
      <c r="Q210" s="37" t="str">
        <f t="shared" si="54"/>
        <v/>
      </c>
      <c r="R210" s="37" t="str">
        <f t="shared" si="55"/>
        <v/>
      </c>
      <c r="S210" s="38" t="str">
        <f t="shared" si="56"/>
        <v/>
      </c>
      <c r="T210" s="36" t="str">
        <f>IF($H210="","",IFERROR(INDEX('Risk Library'!$N$5:$S$411,MATCH($E210,'Risk Library'!$A$5:$A$411,0),$H210+1),""))</f>
        <v/>
      </c>
      <c r="U210" s="37">
        <f>IFERROR('Supply Chain'!$G$24,"")</f>
        <v>5</v>
      </c>
      <c r="V210" s="37">
        <f>IFERROR('Supply Chain'!$W$24,"")</f>
        <v>5</v>
      </c>
      <c r="W210" s="37">
        <f>IFERROR('Supply Chain'!$X$24,"")</f>
        <v>5</v>
      </c>
      <c r="X210" s="37">
        <f>IFERROR('Supply Chain'!$Y$24,"")</f>
        <v>5</v>
      </c>
      <c r="Y210" s="36" t="s">
        <v>3739</v>
      </c>
      <c r="Z210" s="36" t="s">
        <v>3740</v>
      </c>
      <c r="AA210" s="36" t="s">
        <v>3924</v>
      </c>
      <c r="AB210" s="36">
        <f>IFERROR('Supply Chain'!$U$24,"")</f>
        <v>0</v>
      </c>
      <c r="AC210" s="36"/>
      <c r="AD210" s="36"/>
      <c r="AE210" s="36"/>
      <c r="AF210" s="36" t="s">
        <v>3923</v>
      </c>
      <c r="AO210" s="48" t="str">
        <f>IF($B210="Yes",IFERROR(SUMIFS(_TECH_Crisis_Model!$D$5:$D$191,_TECH_Crisis_Model!$A$5:$A$191,'Crisis Simulator'!$B$4,_TECH_Crisis_Model!$B$5:$B$191,$C210),1),"")</f>
        <v/>
      </c>
      <c r="AP210" s="48" t="str">
        <f t="shared" si="57"/>
        <v/>
      </c>
      <c r="AQ210" s="48" t="str">
        <f t="shared" si="58"/>
        <v/>
      </c>
      <c r="AR210" s="48" t="str">
        <f>IFERROR(INDEX(_TECH_Crisis_Model!$E$5:$E$191,MATCH('Crisis Simulator'!$B$4&amp;"|"&amp;$C210,_TECH_Crisis_Model!$I$5:$I$191,0)),"")</f>
        <v>Supplier concentration, logistics and inventory visibility determine production and delivery continuity.</v>
      </c>
      <c r="AS210" s="48" t="str">
        <f>IFERROR(INDEX(_TECH_Crisis_Model!$G$5:$G$191,MATCH('Crisis Simulator'!$B$4&amp;"|"&amp;$C210,_TECH_Crisis_Model!$I$5:$I$191,0)),"")</f>
        <v>Diversify suppliers, define safety stock, alternate routes, supplier monitoring and substitution rules.</v>
      </c>
      <c r="AT210" s="48" t="str">
        <f>IFERROR(INDEX(_TECH_Initiative_Library!$A$5:$A$76,MATCH(1,INDEX((_TECH_Initiative_Library!$B$5:$B$76=$C210)*(_TECH_Initiative_Library!$C$5:$C$76=$D210),0),0)),"")</f>
        <v>INI-035</v>
      </c>
      <c r="AU210" s="48" t="str">
        <f>IFERROR(INDEX(_TECH_Initiative_Library!$F$5:$F$76,MATCH(1,INDEX((_TECH_Initiative_Library!$B$5:$B$76=$C210)*(_TECH_Initiative_Library!$C$5:$C$76=$D210),0),0)),"")</f>
        <v>Implement supply-chain technology, risk monitoring and supplier data</v>
      </c>
      <c r="AV210" s="48" t="str">
        <f ca="1">IFERROR(INDEX(_TECH_Initiative_Library!$AC$5:$AC$76,MATCH(1,INDEX((_TECH_Initiative_Library!$B$5:$B$76=$C210)*(_TECH_Initiative_Library!$C$5:$C$76=$D210),0),0)),"")</f>
        <v/>
      </c>
      <c r="AW210" s="48" t="str">
        <f ca="1">IFERROR(INDEX(_TECH_Initiative_Library!$AE$5:$AE$76,MATCH(1,INDEX((_TECH_Initiative_Library!$B$5:$B$76=$C210)*(_TECH_Initiative_Library!$C$5:$C$76=$D210),0),0)),"")</f>
        <v/>
      </c>
      <c r="AX210" s="48" t="str">
        <f>IF($B210="Yes",IFERROR(SUMIFS(_TECH_Industry_Templates!$E:$E,_TECH_Industry_Templates!$A:$A,'Company Profile'!$B$9,_TECH_Industry_Templates!$B:$B,$C210),1),"")</f>
        <v/>
      </c>
      <c r="AY210" s="48" t="str">
        <f t="shared" si="59"/>
        <v/>
      </c>
      <c r="AZ210" s="48" t="str">
        <f t="shared" si="60"/>
        <v/>
      </c>
      <c r="BA210" s="48" t="str">
        <f>IF($AZ210="","",RANK.EQ($AZ210,$AZ$8:$AZ$414,0)+COUNTIF($AZ$8:$AZ210,$AZ210)-1)</f>
        <v/>
      </c>
    </row>
    <row r="211" spans="1:53" ht="69.95" customHeight="1">
      <c r="A211" s="36" t="str">
        <f>IF($AZ211="","",RANK.EQ($AZ211,$AZ$8:$AZ$414,0)+COUNTIF($AZ$8:$AZ211,$AZ211)-1)</f>
        <v/>
      </c>
      <c r="B211" s="36" t="str">
        <f t="shared" si="47"/>
        <v/>
      </c>
      <c r="C211" s="36" t="s">
        <v>78</v>
      </c>
      <c r="D211" s="36" t="s">
        <v>1323</v>
      </c>
      <c r="E211" s="36" t="s">
        <v>3932</v>
      </c>
      <c r="F211" s="36" t="s">
        <v>191</v>
      </c>
      <c r="G211" s="36" t="str">
        <f>IF($H211="","",IFERROR(INDEX('Risk Library'!$H$5:$M$411,MATCH($E211,'Risk Library'!$A$5:$A$411,0),$H211+1),""))</f>
        <v/>
      </c>
      <c r="H211" s="37" t="str">
        <f>IF(OR(COUNTA('Supply Chain'!$H$25)=0,'Supply Chain'!$H$25="N/A"),"",VALUE('Supply Chain'!$H$25))</f>
        <v/>
      </c>
      <c r="I211" s="36" t="str">
        <f>IF($H211="","",IFERROR(IF('Supply Chain'!$L$25="",IF($H211&lt;=1,"Critical",IF($H211=2,"High",IF($H211=3,"Medium",IF($H211=4,"Low","Resilient")))),'Supply Chain'!$L$25),IF($H211&lt;=1,"Critical",IF($H211=2,"High",IF($H211=3,"Medium",IF($H211=4,"Low","Resilient"))))))</f>
        <v/>
      </c>
      <c r="J211" s="37" t="str">
        <f t="shared" si="48"/>
        <v/>
      </c>
      <c r="K211" s="37" t="str">
        <f t="shared" si="49"/>
        <v/>
      </c>
      <c r="L211" s="37" t="str">
        <f t="shared" si="50"/>
        <v/>
      </c>
      <c r="M211" s="37" t="str">
        <f t="shared" si="51"/>
        <v/>
      </c>
      <c r="N211" s="37" t="str">
        <f>IF($H211="","",IFERROR(INDEX('Risk Library'!$T$5:$Y$411,MATCH($E211,'Risk Library'!$A$5:$A$411,0),$H211+1),""))</f>
        <v/>
      </c>
      <c r="O211" s="37" t="str">
        <f t="shared" si="52"/>
        <v/>
      </c>
      <c r="P211" s="37" t="str">
        <f t="shared" si="53"/>
        <v/>
      </c>
      <c r="Q211" s="37" t="str">
        <f t="shared" si="54"/>
        <v/>
      </c>
      <c r="R211" s="37" t="str">
        <f t="shared" si="55"/>
        <v/>
      </c>
      <c r="S211" s="38" t="str">
        <f t="shared" si="56"/>
        <v/>
      </c>
      <c r="T211" s="36" t="str">
        <f>IF($H211="","",IFERROR(INDEX('Risk Library'!$N$5:$S$411,MATCH($E211,'Risk Library'!$A$5:$A$411,0),$H211+1),""))</f>
        <v/>
      </c>
      <c r="U211" s="37">
        <f>IFERROR('Supply Chain'!$G$25,"")</f>
        <v>5</v>
      </c>
      <c r="V211" s="37">
        <f>IFERROR('Supply Chain'!$W$25,"")</f>
        <v>4</v>
      </c>
      <c r="W211" s="37">
        <f>IFERROR('Supply Chain'!$X$25,"")</f>
        <v>5</v>
      </c>
      <c r="X211" s="37">
        <f>IFERROR('Supply Chain'!$Y$25,"")</f>
        <v>5</v>
      </c>
      <c r="Y211" s="36" t="s">
        <v>3739</v>
      </c>
      <c r="Z211" s="36" t="s">
        <v>3740</v>
      </c>
      <c r="AA211" s="36" t="s">
        <v>3934</v>
      </c>
      <c r="AB211" s="36">
        <f>IFERROR('Supply Chain'!$U$25,"")</f>
        <v>0</v>
      </c>
      <c r="AC211" s="36"/>
      <c r="AD211" s="36"/>
      <c r="AE211" s="36"/>
      <c r="AF211" s="36" t="s">
        <v>3933</v>
      </c>
      <c r="AO211" s="48" t="str">
        <f>IF($B211="Yes",IFERROR(SUMIFS(_TECH_Crisis_Model!$D$5:$D$191,_TECH_Crisis_Model!$A$5:$A$191,'Crisis Simulator'!$B$4,_TECH_Crisis_Model!$B$5:$B$191,$C211),1),"")</f>
        <v/>
      </c>
      <c r="AP211" s="48" t="str">
        <f t="shared" si="57"/>
        <v/>
      </c>
      <c r="AQ211" s="48" t="str">
        <f t="shared" si="58"/>
        <v/>
      </c>
      <c r="AR211" s="48" t="str">
        <f>IFERROR(INDEX(_TECH_Crisis_Model!$E$5:$E$191,MATCH('Crisis Simulator'!$B$4&amp;"|"&amp;$C211,_TECH_Crisis_Model!$I$5:$I$191,0)),"")</f>
        <v>Supplier concentration, logistics and inventory visibility determine production and delivery continuity.</v>
      </c>
      <c r="AS211" s="48" t="str">
        <f>IFERROR(INDEX(_TECH_Crisis_Model!$G$5:$G$191,MATCH('Crisis Simulator'!$B$4&amp;"|"&amp;$C211,_TECH_Crisis_Model!$I$5:$I$191,0)),"")</f>
        <v>Diversify suppliers, define safety stock, alternate routes, supplier monitoring and substitution rules.</v>
      </c>
      <c r="AT211" s="48" t="str">
        <f>IFERROR(INDEX(_TECH_Initiative_Library!$A$5:$A$76,MATCH(1,INDEX((_TECH_Initiative_Library!$B$5:$B$76=$C211)*(_TECH_Initiative_Library!$C$5:$C$76=$D211),0),0)),"")</f>
        <v>INI-035</v>
      </c>
      <c r="AU211" s="48" t="str">
        <f>IFERROR(INDEX(_TECH_Initiative_Library!$F$5:$F$76,MATCH(1,INDEX((_TECH_Initiative_Library!$B$5:$B$76=$C211)*(_TECH_Initiative_Library!$C$5:$C$76=$D211),0),0)),"")</f>
        <v>Implement supply-chain technology, risk monitoring and supplier data</v>
      </c>
      <c r="AV211" s="48" t="str">
        <f ca="1">IFERROR(INDEX(_TECH_Initiative_Library!$AC$5:$AC$76,MATCH(1,INDEX((_TECH_Initiative_Library!$B$5:$B$76=$C211)*(_TECH_Initiative_Library!$C$5:$C$76=$D211),0),0)),"")</f>
        <v/>
      </c>
      <c r="AW211" s="48" t="str">
        <f ca="1">IFERROR(INDEX(_TECH_Initiative_Library!$AE$5:$AE$76,MATCH(1,INDEX((_TECH_Initiative_Library!$B$5:$B$76=$C211)*(_TECH_Initiative_Library!$C$5:$C$76=$D211),0),0)),"")</f>
        <v/>
      </c>
      <c r="AX211" s="48" t="str">
        <f>IF($B211="Yes",IFERROR(SUMIFS(_TECH_Industry_Templates!$E:$E,_TECH_Industry_Templates!$A:$A,'Company Profile'!$B$9,_TECH_Industry_Templates!$B:$B,$C211),1),"")</f>
        <v/>
      </c>
      <c r="AY211" s="48" t="str">
        <f t="shared" si="59"/>
        <v/>
      </c>
      <c r="AZ211" s="48" t="str">
        <f t="shared" si="60"/>
        <v/>
      </c>
      <c r="BA211" s="48" t="str">
        <f>IF($AZ211="","",RANK.EQ($AZ211,$AZ$8:$AZ$414,0)+COUNTIF($AZ$8:$AZ211,$AZ211)-1)</f>
        <v/>
      </c>
    </row>
    <row r="212" spans="1:53" ht="69.95" customHeight="1">
      <c r="A212" s="36" t="str">
        <f>IF($AZ212="","",RANK.EQ($AZ212,$AZ$8:$AZ$414,0)+COUNTIF($AZ$8:$AZ212,$AZ212)-1)</f>
        <v/>
      </c>
      <c r="B212" s="36" t="str">
        <f t="shared" si="47"/>
        <v/>
      </c>
      <c r="C212" s="36" t="s">
        <v>78</v>
      </c>
      <c r="D212" s="36" t="s">
        <v>1323</v>
      </c>
      <c r="E212" s="36" t="s">
        <v>3942</v>
      </c>
      <c r="F212" s="36" t="s">
        <v>191</v>
      </c>
      <c r="G212" s="36" t="str">
        <f>IF($H212="","",IFERROR(INDEX('Risk Library'!$H$5:$M$411,MATCH($E212,'Risk Library'!$A$5:$A$411,0),$H212+1),""))</f>
        <v/>
      </c>
      <c r="H212" s="37" t="str">
        <f>IF(OR(COUNTA('Supply Chain'!$H$26)=0,'Supply Chain'!$H$26="N/A"),"",VALUE('Supply Chain'!$H$26))</f>
        <v/>
      </c>
      <c r="I212" s="36" t="str">
        <f>IF($H212="","",IFERROR(IF('Supply Chain'!$L$26="",IF($H212&lt;=1,"Critical",IF($H212=2,"High",IF($H212=3,"Medium",IF($H212=4,"Low","Resilient")))),'Supply Chain'!$L$26),IF($H212&lt;=1,"Critical",IF($H212=2,"High",IF($H212=3,"Medium",IF($H212=4,"Low","Resilient"))))))</f>
        <v/>
      </c>
      <c r="J212" s="37" t="str">
        <f t="shared" si="48"/>
        <v/>
      </c>
      <c r="K212" s="37" t="str">
        <f t="shared" si="49"/>
        <v/>
      </c>
      <c r="L212" s="37" t="str">
        <f t="shared" si="50"/>
        <v/>
      </c>
      <c r="M212" s="37" t="str">
        <f t="shared" si="51"/>
        <v/>
      </c>
      <c r="N212" s="37" t="str">
        <f>IF($H212="","",IFERROR(INDEX('Risk Library'!$T$5:$Y$411,MATCH($E212,'Risk Library'!$A$5:$A$411,0),$H212+1),""))</f>
        <v/>
      </c>
      <c r="O212" s="37" t="str">
        <f t="shared" si="52"/>
        <v/>
      </c>
      <c r="P212" s="37" t="str">
        <f t="shared" si="53"/>
        <v/>
      </c>
      <c r="Q212" s="37" t="str">
        <f t="shared" si="54"/>
        <v/>
      </c>
      <c r="R212" s="37" t="str">
        <f t="shared" si="55"/>
        <v/>
      </c>
      <c r="S212" s="38" t="str">
        <f t="shared" si="56"/>
        <v/>
      </c>
      <c r="T212" s="36" t="str">
        <f>IF($H212="","",IFERROR(INDEX('Risk Library'!$N$5:$S$411,MATCH($E212,'Risk Library'!$A$5:$A$411,0),$H212+1),""))</f>
        <v/>
      </c>
      <c r="U212" s="37">
        <f>IFERROR('Supply Chain'!$G$26,"")</f>
        <v>3</v>
      </c>
      <c r="V212" s="37">
        <f>IFERROR('Supply Chain'!$W$26,"")</f>
        <v>4</v>
      </c>
      <c r="W212" s="37">
        <f>IFERROR('Supply Chain'!$X$26,"")</f>
        <v>5</v>
      </c>
      <c r="X212" s="37">
        <f>IFERROR('Supply Chain'!$Y$26,"")</f>
        <v>5</v>
      </c>
      <c r="Y212" s="36" t="s">
        <v>3739</v>
      </c>
      <c r="Z212" s="36" t="s">
        <v>3740</v>
      </c>
      <c r="AA212" s="36" t="s">
        <v>3944</v>
      </c>
      <c r="AB212" s="36">
        <f>IFERROR('Supply Chain'!$U$26,"")</f>
        <v>0</v>
      </c>
      <c r="AC212" s="36"/>
      <c r="AD212" s="36"/>
      <c r="AE212" s="36"/>
      <c r="AF212" s="36" t="s">
        <v>3943</v>
      </c>
      <c r="AO212" s="48" t="str">
        <f>IF($B212="Yes",IFERROR(SUMIFS(_TECH_Crisis_Model!$D$5:$D$191,_TECH_Crisis_Model!$A$5:$A$191,'Crisis Simulator'!$B$4,_TECH_Crisis_Model!$B$5:$B$191,$C212),1),"")</f>
        <v/>
      </c>
      <c r="AP212" s="48" t="str">
        <f t="shared" si="57"/>
        <v/>
      </c>
      <c r="AQ212" s="48" t="str">
        <f t="shared" si="58"/>
        <v/>
      </c>
      <c r="AR212" s="48" t="str">
        <f>IFERROR(INDEX(_TECH_Crisis_Model!$E$5:$E$191,MATCH('Crisis Simulator'!$B$4&amp;"|"&amp;$C212,_TECH_Crisis_Model!$I$5:$I$191,0)),"")</f>
        <v>Supplier concentration, logistics and inventory visibility determine production and delivery continuity.</v>
      </c>
      <c r="AS212" s="48" t="str">
        <f>IFERROR(INDEX(_TECH_Crisis_Model!$G$5:$G$191,MATCH('Crisis Simulator'!$B$4&amp;"|"&amp;$C212,_TECH_Crisis_Model!$I$5:$I$191,0)),"")</f>
        <v>Diversify suppliers, define safety stock, alternate routes, supplier monitoring and substitution rules.</v>
      </c>
      <c r="AT212" s="48" t="str">
        <f>IFERROR(INDEX(_TECH_Initiative_Library!$A$5:$A$76,MATCH(1,INDEX((_TECH_Initiative_Library!$B$5:$B$76=$C212)*(_TECH_Initiative_Library!$C$5:$C$76=$D212),0),0)),"")</f>
        <v>INI-035</v>
      </c>
      <c r="AU212" s="48" t="str">
        <f>IFERROR(INDEX(_TECH_Initiative_Library!$F$5:$F$76,MATCH(1,INDEX((_TECH_Initiative_Library!$B$5:$B$76=$C212)*(_TECH_Initiative_Library!$C$5:$C$76=$D212),0),0)),"")</f>
        <v>Implement supply-chain technology, risk monitoring and supplier data</v>
      </c>
      <c r="AV212" s="48" t="str">
        <f ca="1">IFERROR(INDEX(_TECH_Initiative_Library!$AC$5:$AC$76,MATCH(1,INDEX((_TECH_Initiative_Library!$B$5:$B$76=$C212)*(_TECH_Initiative_Library!$C$5:$C$76=$D212),0),0)),"")</f>
        <v/>
      </c>
      <c r="AW212" s="48" t="str">
        <f ca="1">IFERROR(INDEX(_TECH_Initiative_Library!$AE$5:$AE$76,MATCH(1,INDEX((_TECH_Initiative_Library!$B$5:$B$76=$C212)*(_TECH_Initiative_Library!$C$5:$C$76=$D212),0),0)),"")</f>
        <v/>
      </c>
      <c r="AX212" s="48" t="str">
        <f>IF($B212="Yes",IFERROR(SUMIFS(_TECH_Industry_Templates!$E:$E,_TECH_Industry_Templates!$A:$A,'Company Profile'!$B$9,_TECH_Industry_Templates!$B:$B,$C212),1),"")</f>
        <v/>
      </c>
      <c r="AY212" s="48" t="str">
        <f t="shared" si="59"/>
        <v/>
      </c>
      <c r="AZ212" s="48" t="str">
        <f t="shared" si="60"/>
        <v/>
      </c>
      <c r="BA212" s="48" t="str">
        <f>IF($AZ212="","",RANK.EQ($AZ212,$AZ$8:$AZ$414,0)+COUNTIF($AZ$8:$AZ212,$AZ212)-1)</f>
        <v/>
      </c>
    </row>
    <row r="213" spans="1:53" ht="69.95" customHeight="1">
      <c r="A213" s="36" t="str">
        <f>IF($AZ213="","",RANK.EQ($AZ213,$AZ$8:$AZ$414,0)+COUNTIF($AZ$8:$AZ213,$AZ213)-1)</f>
        <v/>
      </c>
      <c r="B213" s="36" t="str">
        <f t="shared" si="47"/>
        <v/>
      </c>
      <c r="C213" s="36" t="s">
        <v>78</v>
      </c>
      <c r="D213" s="36" t="s">
        <v>1323</v>
      </c>
      <c r="E213" s="36" t="s">
        <v>3952</v>
      </c>
      <c r="F213" s="36" t="s">
        <v>191</v>
      </c>
      <c r="G213" s="36" t="str">
        <f>IF($H213="","",IFERROR(INDEX('Risk Library'!$H$5:$M$411,MATCH($E213,'Risk Library'!$A$5:$A$411,0),$H213+1),""))</f>
        <v/>
      </c>
      <c r="H213" s="37" t="str">
        <f>IF(OR(COUNTA('Supply Chain'!$H$27)=0,'Supply Chain'!$H$27="N/A"),"",VALUE('Supply Chain'!$H$27))</f>
        <v/>
      </c>
      <c r="I213" s="36" t="str">
        <f>IF($H213="","",IFERROR(IF('Supply Chain'!$L$27="",IF($H213&lt;=1,"Critical",IF($H213=2,"High",IF($H213=3,"Medium",IF($H213=4,"Low","Resilient")))),'Supply Chain'!$L$27),IF($H213&lt;=1,"Critical",IF($H213=2,"High",IF($H213=3,"Medium",IF($H213=4,"Low","Resilient"))))))</f>
        <v/>
      </c>
      <c r="J213" s="37" t="str">
        <f t="shared" si="48"/>
        <v/>
      </c>
      <c r="K213" s="37" t="str">
        <f t="shared" si="49"/>
        <v/>
      </c>
      <c r="L213" s="37" t="str">
        <f t="shared" si="50"/>
        <v/>
      </c>
      <c r="M213" s="37" t="str">
        <f t="shared" si="51"/>
        <v/>
      </c>
      <c r="N213" s="37" t="str">
        <f>IF($H213="","",IFERROR(INDEX('Risk Library'!$T$5:$Y$411,MATCH($E213,'Risk Library'!$A$5:$A$411,0),$H213+1),""))</f>
        <v/>
      </c>
      <c r="O213" s="37" t="str">
        <f t="shared" si="52"/>
        <v/>
      </c>
      <c r="P213" s="37" t="str">
        <f t="shared" si="53"/>
        <v/>
      </c>
      <c r="Q213" s="37" t="str">
        <f t="shared" si="54"/>
        <v/>
      </c>
      <c r="R213" s="37" t="str">
        <f t="shared" si="55"/>
        <v/>
      </c>
      <c r="S213" s="38" t="str">
        <f t="shared" si="56"/>
        <v/>
      </c>
      <c r="T213" s="36" t="str">
        <f>IF($H213="","",IFERROR(INDEX('Risk Library'!$N$5:$S$411,MATCH($E213,'Risk Library'!$A$5:$A$411,0),$H213+1),""))</f>
        <v/>
      </c>
      <c r="U213" s="37">
        <f>IFERROR('Supply Chain'!$G$27,"")</f>
        <v>4</v>
      </c>
      <c r="V213" s="37">
        <f>IFERROR('Supply Chain'!$W$27,"")</f>
        <v>4</v>
      </c>
      <c r="W213" s="37">
        <f>IFERROR('Supply Chain'!$X$27,"")</f>
        <v>5</v>
      </c>
      <c r="X213" s="37">
        <f>IFERROR('Supply Chain'!$Y$27,"")</f>
        <v>5</v>
      </c>
      <c r="Y213" s="36" t="s">
        <v>3739</v>
      </c>
      <c r="Z213" s="36" t="s">
        <v>3740</v>
      </c>
      <c r="AA213" s="36" t="s">
        <v>3954</v>
      </c>
      <c r="AB213" s="36">
        <f>IFERROR('Supply Chain'!$U$27,"")</f>
        <v>0</v>
      </c>
      <c r="AC213" s="36"/>
      <c r="AD213" s="36"/>
      <c r="AE213" s="36"/>
      <c r="AF213" s="36" t="s">
        <v>3953</v>
      </c>
      <c r="AO213" s="48" t="str">
        <f>IF($B213="Yes",IFERROR(SUMIFS(_TECH_Crisis_Model!$D$5:$D$191,_TECH_Crisis_Model!$A$5:$A$191,'Crisis Simulator'!$B$4,_TECH_Crisis_Model!$B$5:$B$191,$C213),1),"")</f>
        <v/>
      </c>
      <c r="AP213" s="48" t="str">
        <f t="shared" si="57"/>
        <v/>
      </c>
      <c r="AQ213" s="48" t="str">
        <f t="shared" si="58"/>
        <v/>
      </c>
      <c r="AR213" s="48" t="str">
        <f>IFERROR(INDEX(_TECH_Crisis_Model!$E$5:$E$191,MATCH('Crisis Simulator'!$B$4&amp;"|"&amp;$C213,_TECH_Crisis_Model!$I$5:$I$191,0)),"")</f>
        <v>Supplier concentration, logistics and inventory visibility determine production and delivery continuity.</v>
      </c>
      <c r="AS213" s="48" t="str">
        <f>IFERROR(INDEX(_TECH_Crisis_Model!$G$5:$G$191,MATCH('Crisis Simulator'!$B$4&amp;"|"&amp;$C213,_TECH_Crisis_Model!$I$5:$I$191,0)),"")</f>
        <v>Diversify suppliers, define safety stock, alternate routes, supplier monitoring and substitution rules.</v>
      </c>
      <c r="AT213" s="48" t="str">
        <f>IFERROR(INDEX(_TECH_Initiative_Library!$A$5:$A$76,MATCH(1,INDEX((_TECH_Initiative_Library!$B$5:$B$76=$C213)*(_TECH_Initiative_Library!$C$5:$C$76=$D213),0),0)),"")</f>
        <v>INI-035</v>
      </c>
      <c r="AU213" s="48" t="str">
        <f>IFERROR(INDEX(_TECH_Initiative_Library!$F$5:$F$76,MATCH(1,INDEX((_TECH_Initiative_Library!$B$5:$B$76=$C213)*(_TECH_Initiative_Library!$C$5:$C$76=$D213),0),0)),"")</f>
        <v>Implement supply-chain technology, risk monitoring and supplier data</v>
      </c>
      <c r="AV213" s="48" t="str">
        <f ca="1">IFERROR(INDEX(_TECH_Initiative_Library!$AC$5:$AC$76,MATCH(1,INDEX((_TECH_Initiative_Library!$B$5:$B$76=$C213)*(_TECH_Initiative_Library!$C$5:$C$76=$D213),0),0)),"")</f>
        <v/>
      </c>
      <c r="AW213" s="48" t="str">
        <f ca="1">IFERROR(INDEX(_TECH_Initiative_Library!$AE$5:$AE$76,MATCH(1,INDEX((_TECH_Initiative_Library!$B$5:$B$76=$C213)*(_TECH_Initiative_Library!$C$5:$C$76=$D213),0),0)),"")</f>
        <v/>
      </c>
      <c r="AX213" s="48" t="str">
        <f>IF($B213="Yes",IFERROR(SUMIFS(_TECH_Industry_Templates!$E:$E,_TECH_Industry_Templates!$A:$A,'Company Profile'!$B$9,_TECH_Industry_Templates!$B:$B,$C213),1),"")</f>
        <v/>
      </c>
      <c r="AY213" s="48" t="str">
        <f t="shared" si="59"/>
        <v/>
      </c>
      <c r="AZ213" s="48" t="str">
        <f t="shared" si="60"/>
        <v/>
      </c>
      <c r="BA213" s="48" t="str">
        <f>IF($AZ213="","",RANK.EQ($AZ213,$AZ$8:$AZ$414,0)+COUNTIF($AZ$8:$AZ213,$AZ213)-1)</f>
        <v/>
      </c>
    </row>
    <row r="214" spans="1:53" ht="69.95" customHeight="1">
      <c r="A214" s="36" t="str">
        <f>IF($AZ214="","",RANK.EQ($AZ214,$AZ$8:$AZ$414,0)+COUNTIF($AZ$8:$AZ214,$AZ214)-1)</f>
        <v/>
      </c>
      <c r="B214" s="36" t="str">
        <f t="shared" si="47"/>
        <v/>
      </c>
      <c r="C214" s="36" t="s">
        <v>78</v>
      </c>
      <c r="D214" s="36" t="s">
        <v>1323</v>
      </c>
      <c r="E214" s="36" t="s">
        <v>3962</v>
      </c>
      <c r="F214" s="36" t="s">
        <v>191</v>
      </c>
      <c r="G214" s="36" t="str">
        <f>IF($H214="","",IFERROR(INDEX('Risk Library'!$H$5:$M$411,MATCH($E214,'Risk Library'!$A$5:$A$411,0),$H214+1),""))</f>
        <v/>
      </c>
      <c r="H214" s="37" t="str">
        <f>IF(OR(COUNTA('Supply Chain'!$H$28)=0,'Supply Chain'!$H$28="N/A"),"",VALUE('Supply Chain'!$H$28))</f>
        <v/>
      </c>
      <c r="I214" s="36" t="str">
        <f>IF($H214="","",IFERROR(IF('Supply Chain'!$L$28="",IF($H214&lt;=1,"Critical",IF($H214=2,"High",IF($H214=3,"Medium",IF($H214=4,"Low","Resilient")))),'Supply Chain'!$L$28),IF($H214&lt;=1,"Critical",IF($H214=2,"High",IF($H214=3,"Medium",IF($H214=4,"Low","Resilient"))))))</f>
        <v/>
      </c>
      <c r="J214" s="37" t="str">
        <f t="shared" si="48"/>
        <v/>
      </c>
      <c r="K214" s="37" t="str">
        <f t="shared" si="49"/>
        <v/>
      </c>
      <c r="L214" s="37" t="str">
        <f t="shared" si="50"/>
        <v/>
      </c>
      <c r="M214" s="37" t="str">
        <f t="shared" si="51"/>
        <v/>
      </c>
      <c r="N214" s="37" t="str">
        <f>IF($H214="","",IFERROR(INDEX('Risk Library'!$T$5:$Y$411,MATCH($E214,'Risk Library'!$A$5:$A$411,0),$H214+1),""))</f>
        <v/>
      </c>
      <c r="O214" s="37" t="str">
        <f t="shared" si="52"/>
        <v/>
      </c>
      <c r="P214" s="37" t="str">
        <f t="shared" si="53"/>
        <v/>
      </c>
      <c r="Q214" s="37" t="str">
        <f t="shared" si="54"/>
        <v/>
      </c>
      <c r="R214" s="37" t="str">
        <f t="shared" si="55"/>
        <v/>
      </c>
      <c r="S214" s="38" t="str">
        <f t="shared" si="56"/>
        <v/>
      </c>
      <c r="T214" s="36" t="str">
        <f>IF($H214="","",IFERROR(INDEX('Risk Library'!$N$5:$S$411,MATCH($E214,'Risk Library'!$A$5:$A$411,0),$H214+1),""))</f>
        <v/>
      </c>
      <c r="U214" s="37">
        <f>IFERROR('Supply Chain'!$G$28,"")</f>
        <v>5</v>
      </c>
      <c r="V214" s="37">
        <f>IFERROR('Supply Chain'!$W$28,"")</f>
        <v>5</v>
      </c>
      <c r="W214" s="37">
        <f>IFERROR('Supply Chain'!$X$28,"")</f>
        <v>5</v>
      </c>
      <c r="X214" s="37">
        <f>IFERROR('Supply Chain'!$Y$28,"")</f>
        <v>5</v>
      </c>
      <c r="Y214" s="36" t="s">
        <v>3739</v>
      </c>
      <c r="Z214" s="36" t="s">
        <v>3740</v>
      </c>
      <c r="AA214" s="36" t="s">
        <v>3964</v>
      </c>
      <c r="AB214" s="36">
        <f>IFERROR('Supply Chain'!$U$28,"")</f>
        <v>0</v>
      </c>
      <c r="AC214" s="36"/>
      <c r="AD214" s="36"/>
      <c r="AE214" s="36"/>
      <c r="AF214" s="36" t="s">
        <v>3963</v>
      </c>
      <c r="AO214" s="48" t="str">
        <f>IF($B214="Yes",IFERROR(SUMIFS(_TECH_Crisis_Model!$D$5:$D$191,_TECH_Crisis_Model!$A$5:$A$191,'Crisis Simulator'!$B$4,_TECH_Crisis_Model!$B$5:$B$191,$C214),1),"")</f>
        <v/>
      </c>
      <c r="AP214" s="48" t="str">
        <f t="shared" si="57"/>
        <v/>
      </c>
      <c r="AQ214" s="48" t="str">
        <f t="shared" si="58"/>
        <v/>
      </c>
      <c r="AR214" s="48" t="str">
        <f>IFERROR(INDEX(_TECH_Crisis_Model!$E$5:$E$191,MATCH('Crisis Simulator'!$B$4&amp;"|"&amp;$C214,_TECH_Crisis_Model!$I$5:$I$191,0)),"")</f>
        <v>Supplier concentration, logistics and inventory visibility determine production and delivery continuity.</v>
      </c>
      <c r="AS214" s="48" t="str">
        <f>IFERROR(INDEX(_TECH_Crisis_Model!$G$5:$G$191,MATCH('Crisis Simulator'!$B$4&amp;"|"&amp;$C214,_TECH_Crisis_Model!$I$5:$I$191,0)),"")</f>
        <v>Diversify suppliers, define safety stock, alternate routes, supplier monitoring and substitution rules.</v>
      </c>
      <c r="AT214" s="48" t="str">
        <f>IFERROR(INDEX(_TECH_Initiative_Library!$A$5:$A$76,MATCH(1,INDEX((_TECH_Initiative_Library!$B$5:$B$76=$C214)*(_TECH_Initiative_Library!$C$5:$C$76=$D214),0),0)),"")</f>
        <v>INI-035</v>
      </c>
      <c r="AU214" s="48" t="str">
        <f>IFERROR(INDEX(_TECH_Initiative_Library!$F$5:$F$76,MATCH(1,INDEX((_TECH_Initiative_Library!$B$5:$B$76=$C214)*(_TECH_Initiative_Library!$C$5:$C$76=$D214),0),0)),"")</f>
        <v>Implement supply-chain technology, risk monitoring and supplier data</v>
      </c>
      <c r="AV214" s="48" t="str">
        <f ca="1">IFERROR(INDEX(_TECH_Initiative_Library!$AC$5:$AC$76,MATCH(1,INDEX((_TECH_Initiative_Library!$B$5:$B$76=$C214)*(_TECH_Initiative_Library!$C$5:$C$76=$D214),0),0)),"")</f>
        <v/>
      </c>
      <c r="AW214" s="48" t="str">
        <f ca="1">IFERROR(INDEX(_TECH_Initiative_Library!$AE$5:$AE$76,MATCH(1,INDEX((_TECH_Initiative_Library!$B$5:$B$76=$C214)*(_TECH_Initiative_Library!$C$5:$C$76=$D214),0),0)),"")</f>
        <v/>
      </c>
      <c r="AX214" s="48" t="str">
        <f>IF($B214="Yes",IFERROR(SUMIFS(_TECH_Industry_Templates!$E:$E,_TECH_Industry_Templates!$A:$A,'Company Profile'!$B$9,_TECH_Industry_Templates!$B:$B,$C214),1),"")</f>
        <v/>
      </c>
      <c r="AY214" s="48" t="str">
        <f t="shared" si="59"/>
        <v/>
      </c>
      <c r="AZ214" s="48" t="str">
        <f t="shared" si="60"/>
        <v/>
      </c>
      <c r="BA214" s="48" t="str">
        <f>IF($AZ214="","",RANK.EQ($AZ214,$AZ$8:$AZ$414,0)+COUNTIF($AZ$8:$AZ214,$AZ214)-1)</f>
        <v/>
      </c>
    </row>
    <row r="215" spans="1:53" ht="69.95" customHeight="1">
      <c r="A215" s="36" t="str">
        <f>IF($AZ215="","",RANK.EQ($AZ215,$AZ$8:$AZ$414,0)+COUNTIF($AZ$8:$AZ215,$AZ215)-1)</f>
        <v/>
      </c>
      <c r="B215" s="36" t="str">
        <f t="shared" si="47"/>
        <v/>
      </c>
      <c r="C215" s="36" t="s">
        <v>78</v>
      </c>
      <c r="D215" s="36" t="s">
        <v>1323</v>
      </c>
      <c r="E215" s="36" t="s">
        <v>3972</v>
      </c>
      <c r="F215" s="36" t="s">
        <v>191</v>
      </c>
      <c r="G215" s="36" t="str">
        <f>IF($H215="","",IFERROR(INDEX('Risk Library'!$H$5:$M$411,MATCH($E215,'Risk Library'!$A$5:$A$411,0),$H215+1),""))</f>
        <v/>
      </c>
      <c r="H215" s="37" t="str">
        <f>IF(OR(COUNTA('Supply Chain'!$H$29)=0,'Supply Chain'!$H$29="N/A"),"",VALUE('Supply Chain'!$H$29))</f>
        <v/>
      </c>
      <c r="I215" s="36" t="str">
        <f>IF($H215="","",IFERROR(IF('Supply Chain'!$L$29="",IF($H215&lt;=1,"Critical",IF($H215=2,"High",IF($H215=3,"Medium",IF($H215=4,"Low","Resilient")))),'Supply Chain'!$L$29),IF($H215&lt;=1,"Critical",IF($H215=2,"High",IF($H215=3,"Medium",IF($H215=4,"Low","Resilient"))))))</f>
        <v/>
      </c>
      <c r="J215" s="37" t="str">
        <f t="shared" si="48"/>
        <v/>
      </c>
      <c r="K215" s="37" t="str">
        <f t="shared" si="49"/>
        <v/>
      </c>
      <c r="L215" s="37" t="str">
        <f t="shared" si="50"/>
        <v/>
      </c>
      <c r="M215" s="37" t="str">
        <f t="shared" si="51"/>
        <v/>
      </c>
      <c r="N215" s="37" t="str">
        <f>IF($H215="","",IFERROR(INDEX('Risk Library'!$T$5:$Y$411,MATCH($E215,'Risk Library'!$A$5:$A$411,0),$H215+1),""))</f>
        <v/>
      </c>
      <c r="O215" s="37" t="str">
        <f t="shared" si="52"/>
        <v/>
      </c>
      <c r="P215" s="37" t="str">
        <f t="shared" si="53"/>
        <v/>
      </c>
      <c r="Q215" s="37" t="str">
        <f t="shared" si="54"/>
        <v/>
      </c>
      <c r="R215" s="37" t="str">
        <f t="shared" si="55"/>
        <v/>
      </c>
      <c r="S215" s="38" t="str">
        <f t="shared" si="56"/>
        <v/>
      </c>
      <c r="T215" s="36" t="str">
        <f>IF($H215="","",IFERROR(INDEX('Risk Library'!$N$5:$S$411,MATCH($E215,'Risk Library'!$A$5:$A$411,0),$H215+1),""))</f>
        <v/>
      </c>
      <c r="U215" s="37">
        <f>IFERROR('Supply Chain'!$G$29,"")</f>
        <v>5</v>
      </c>
      <c r="V215" s="37">
        <f>IFERROR('Supply Chain'!$W$29,"")</f>
        <v>4</v>
      </c>
      <c r="W215" s="37">
        <f>IFERROR('Supply Chain'!$X$29,"")</f>
        <v>5</v>
      </c>
      <c r="X215" s="37">
        <f>IFERROR('Supply Chain'!$Y$29,"")</f>
        <v>5</v>
      </c>
      <c r="Y215" s="36" t="s">
        <v>3739</v>
      </c>
      <c r="Z215" s="36" t="s">
        <v>3740</v>
      </c>
      <c r="AA215" s="36" t="s">
        <v>3974</v>
      </c>
      <c r="AB215" s="36">
        <f>IFERROR('Supply Chain'!$U$29,"")</f>
        <v>0</v>
      </c>
      <c r="AC215" s="36"/>
      <c r="AD215" s="36"/>
      <c r="AE215" s="36"/>
      <c r="AF215" s="36" t="s">
        <v>3973</v>
      </c>
      <c r="AO215" s="48" t="str">
        <f>IF($B215="Yes",IFERROR(SUMIFS(_TECH_Crisis_Model!$D$5:$D$191,_TECH_Crisis_Model!$A$5:$A$191,'Crisis Simulator'!$B$4,_TECH_Crisis_Model!$B$5:$B$191,$C215),1),"")</f>
        <v/>
      </c>
      <c r="AP215" s="48" t="str">
        <f t="shared" si="57"/>
        <v/>
      </c>
      <c r="AQ215" s="48" t="str">
        <f t="shared" si="58"/>
        <v/>
      </c>
      <c r="AR215" s="48" t="str">
        <f>IFERROR(INDEX(_TECH_Crisis_Model!$E$5:$E$191,MATCH('Crisis Simulator'!$B$4&amp;"|"&amp;$C215,_TECH_Crisis_Model!$I$5:$I$191,0)),"")</f>
        <v>Supplier concentration, logistics and inventory visibility determine production and delivery continuity.</v>
      </c>
      <c r="AS215" s="48" t="str">
        <f>IFERROR(INDEX(_TECH_Crisis_Model!$G$5:$G$191,MATCH('Crisis Simulator'!$B$4&amp;"|"&amp;$C215,_TECH_Crisis_Model!$I$5:$I$191,0)),"")</f>
        <v>Diversify suppliers, define safety stock, alternate routes, supplier monitoring and substitution rules.</v>
      </c>
      <c r="AT215" s="48" t="str">
        <f>IFERROR(INDEX(_TECH_Initiative_Library!$A$5:$A$76,MATCH(1,INDEX((_TECH_Initiative_Library!$B$5:$B$76=$C215)*(_TECH_Initiative_Library!$C$5:$C$76=$D215),0),0)),"")</f>
        <v>INI-035</v>
      </c>
      <c r="AU215" s="48" t="str">
        <f>IFERROR(INDEX(_TECH_Initiative_Library!$F$5:$F$76,MATCH(1,INDEX((_TECH_Initiative_Library!$B$5:$B$76=$C215)*(_TECH_Initiative_Library!$C$5:$C$76=$D215),0),0)),"")</f>
        <v>Implement supply-chain technology, risk monitoring and supplier data</v>
      </c>
      <c r="AV215" s="48" t="str">
        <f ca="1">IFERROR(INDEX(_TECH_Initiative_Library!$AC$5:$AC$76,MATCH(1,INDEX((_TECH_Initiative_Library!$B$5:$B$76=$C215)*(_TECH_Initiative_Library!$C$5:$C$76=$D215),0),0)),"")</f>
        <v/>
      </c>
      <c r="AW215" s="48" t="str">
        <f ca="1">IFERROR(INDEX(_TECH_Initiative_Library!$AE$5:$AE$76,MATCH(1,INDEX((_TECH_Initiative_Library!$B$5:$B$76=$C215)*(_TECH_Initiative_Library!$C$5:$C$76=$D215),0),0)),"")</f>
        <v/>
      </c>
      <c r="AX215" s="48" t="str">
        <f>IF($B215="Yes",IFERROR(SUMIFS(_TECH_Industry_Templates!$E:$E,_TECH_Industry_Templates!$A:$A,'Company Profile'!$B$9,_TECH_Industry_Templates!$B:$B,$C215),1),"")</f>
        <v/>
      </c>
      <c r="AY215" s="48" t="str">
        <f t="shared" si="59"/>
        <v/>
      </c>
      <c r="AZ215" s="48" t="str">
        <f t="shared" si="60"/>
        <v/>
      </c>
      <c r="BA215" s="48" t="str">
        <f>IF($AZ215="","",RANK.EQ($AZ215,$AZ$8:$AZ$414,0)+COUNTIF($AZ$8:$AZ215,$AZ215)-1)</f>
        <v/>
      </c>
    </row>
    <row r="216" spans="1:53" ht="69.95" customHeight="1">
      <c r="A216" s="36" t="str">
        <f>IF($AZ216="","",RANK.EQ($AZ216,$AZ$8:$AZ$414,0)+COUNTIF($AZ$8:$AZ216,$AZ216)-1)</f>
        <v/>
      </c>
      <c r="B216" s="36" t="str">
        <f t="shared" si="47"/>
        <v/>
      </c>
      <c r="C216" s="36" t="s">
        <v>81</v>
      </c>
      <c r="D216" s="36" t="s">
        <v>1331</v>
      </c>
      <c r="E216" s="36" t="s">
        <v>3984</v>
      </c>
      <c r="F216" s="36" t="s">
        <v>192</v>
      </c>
      <c r="G216" s="36" t="str">
        <f>IF($H216="","",IFERROR(INDEX('Risk Library'!$H$5:$M$411,MATCH($E216,'Risk Library'!$A$5:$A$411,0),$H216+1),""))</f>
        <v/>
      </c>
      <c r="H216" s="37" t="str">
        <f>IF(OR(COUNTA('Manufacturing MES'!$H$5)=0,'Manufacturing MES'!$H$5="N/A"),"",VALUE('Manufacturing MES'!$H$5))</f>
        <v/>
      </c>
      <c r="I216" s="36" t="str">
        <f>IF($H216="","",IFERROR(IF('Manufacturing MES'!$L$5="",IF($H216&lt;=1,"Critical",IF($H216=2,"High",IF($H216=3,"Medium",IF($H216=4,"Low","Resilient")))),'Manufacturing MES'!$L$5),IF($H216&lt;=1,"Critical",IF($H216=2,"High",IF($H216=3,"Medium",IF($H216=4,"Low","Resilient"))))))</f>
        <v/>
      </c>
      <c r="J216" s="37" t="str">
        <f t="shared" si="48"/>
        <v/>
      </c>
      <c r="K216" s="37" t="str">
        <f t="shared" si="49"/>
        <v/>
      </c>
      <c r="L216" s="37" t="str">
        <f t="shared" si="50"/>
        <v/>
      </c>
      <c r="M216" s="37" t="str">
        <f t="shared" si="51"/>
        <v/>
      </c>
      <c r="N216" s="37" t="str">
        <f>IF($H216="","",IFERROR(INDEX('Risk Library'!$T$5:$Y$411,MATCH($E216,'Risk Library'!$A$5:$A$411,0),$H216+1),""))</f>
        <v/>
      </c>
      <c r="O216" s="37" t="str">
        <f t="shared" si="52"/>
        <v/>
      </c>
      <c r="P216" s="37" t="str">
        <f t="shared" si="53"/>
        <v/>
      </c>
      <c r="Q216" s="37" t="str">
        <f t="shared" si="54"/>
        <v/>
      </c>
      <c r="R216" s="37" t="str">
        <f t="shared" si="55"/>
        <v/>
      </c>
      <c r="S216" s="38" t="str">
        <f t="shared" si="56"/>
        <v/>
      </c>
      <c r="T216" s="36" t="str">
        <f>IF($H216="","",IFERROR(INDEX('Risk Library'!$N$5:$S$411,MATCH($E216,'Risk Library'!$A$5:$A$411,0),$H216+1),""))</f>
        <v/>
      </c>
      <c r="U216" s="37">
        <f>IFERROR('Manufacturing MES'!$G$5,"")</f>
        <v>5</v>
      </c>
      <c r="V216" s="37">
        <f>IFERROR('Manufacturing MES'!$W$5,"")</f>
        <v>5</v>
      </c>
      <c r="W216" s="37">
        <f>IFERROR('Manufacturing MES'!$X$5,"")</f>
        <v>5</v>
      </c>
      <c r="X216" s="37">
        <f>IFERROR('Manufacturing MES'!$Y$5,"")</f>
        <v>5</v>
      </c>
      <c r="Y216" s="36" t="s">
        <v>3995</v>
      </c>
      <c r="Z216" s="36" t="s">
        <v>3996</v>
      </c>
      <c r="AA216" s="36" t="s">
        <v>3988</v>
      </c>
      <c r="AB216" s="36">
        <f>IFERROR('Manufacturing MES'!$U$5,"")</f>
        <v>0</v>
      </c>
      <c r="AC216" s="36"/>
      <c r="AD216" s="36"/>
      <c r="AE216" s="36"/>
      <c r="AF216" s="36" t="s">
        <v>3985</v>
      </c>
      <c r="AO216" s="48" t="str">
        <f>IF($B216="Yes",IFERROR(SUMIFS(_TECH_Crisis_Model!$D$5:$D$191,_TECH_Crisis_Model!$A$5:$A$191,'Crisis Simulator'!$B$4,_TECH_Crisis_Model!$B$5:$B$191,$C216),1),"")</f>
        <v/>
      </c>
      <c r="AP216" s="48" t="str">
        <f t="shared" si="57"/>
        <v/>
      </c>
      <c r="AQ216" s="48" t="str">
        <f t="shared" si="58"/>
        <v/>
      </c>
      <c r="AR216" s="48" t="str">
        <f>IFERROR(INDEX(_TECH_Crisis_Model!$E$5:$E$191,MATCH('Crisis Simulator'!$B$4&amp;"|"&amp;$C216,_TECH_Crisis_Model!$I$5:$I$191,0)),"")</f>
        <v>Production assets, MES, maintenance and utilities determine manufacturing recoverability.</v>
      </c>
      <c r="AS216" s="48" t="str">
        <f>IFERROR(INDEX(_TECH_Crisis_Model!$G$5:$G$191,MATCH('Crisis Simulator'!$B$4&amp;"|"&amp;$C216,_TECH_Crisis_Model!$I$5:$I$191,0)),"")</f>
        <v>Define production fallback, maintenance priorities, spare parts, MES continuity and utility backup.</v>
      </c>
      <c r="AT216" s="48" t="str">
        <f>IFERROR(INDEX(_TECH_Initiative_Library!$A$5:$A$76,MATCH(1,INDEX((_TECH_Initiative_Library!$B$5:$B$76=$C216)*(_TECH_Initiative_Library!$C$5:$C$76=$D216),0),0)),"")</f>
        <v>INI-036</v>
      </c>
      <c r="AU216" s="48" t="str">
        <f>IFERROR(INDEX(_TECH_Initiative_Library!$F$5:$F$76,MATCH(1,INDEX((_TECH_Initiative_Library!$B$5:$B$76=$C216)*(_TECH_Initiative_Library!$C$5:$C$76=$D216),0),0)),"")</f>
        <v>Assess production footprint and build alternate production options</v>
      </c>
      <c r="AV216" s="48" t="str">
        <f ca="1">IFERROR(INDEX(_TECH_Initiative_Library!$AC$5:$AC$76,MATCH(1,INDEX((_TECH_Initiative_Library!$B$5:$B$76=$C216)*(_TECH_Initiative_Library!$C$5:$C$76=$D216),0),0)),"")</f>
        <v/>
      </c>
      <c r="AW216" s="48" t="str">
        <f ca="1">IFERROR(INDEX(_TECH_Initiative_Library!$AE$5:$AE$76,MATCH(1,INDEX((_TECH_Initiative_Library!$B$5:$B$76=$C216)*(_TECH_Initiative_Library!$C$5:$C$76=$D216),0),0)),"")</f>
        <v/>
      </c>
      <c r="AX216" s="48" t="str">
        <f>IF($B216="Yes",IFERROR(SUMIFS(_TECH_Industry_Templates!$E:$E,_TECH_Industry_Templates!$A:$A,'Company Profile'!$B$9,_TECH_Industry_Templates!$B:$B,$C216),1),"")</f>
        <v/>
      </c>
      <c r="AY216" s="48" t="str">
        <f t="shared" si="59"/>
        <v/>
      </c>
      <c r="AZ216" s="48" t="str">
        <f t="shared" si="60"/>
        <v/>
      </c>
      <c r="BA216" s="48" t="str">
        <f>IF($AZ216="","",RANK.EQ($AZ216,$AZ$8:$AZ$414,0)+COUNTIF($AZ$8:$AZ216,$AZ216)-1)</f>
        <v/>
      </c>
    </row>
    <row r="217" spans="1:53" ht="69.95" customHeight="1">
      <c r="A217" s="36" t="str">
        <f>IF($AZ217="","",RANK.EQ($AZ217,$AZ$8:$AZ$414,0)+COUNTIF($AZ$8:$AZ217,$AZ217)-1)</f>
        <v/>
      </c>
      <c r="B217" s="36" t="str">
        <f t="shared" si="47"/>
        <v/>
      </c>
      <c r="C217" s="36" t="s">
        <v>81</v>
      </c>
      <c r="D217" s="36" t="s">
        <v>1331</v>
      </c>
      <c r="E217" s="36" t="s">
        <v>3998</v>
      </c>
      <c r="F217" s="36" t="s">
        <v>192</v>
      </c>
      <c r="G217" s="36" t="str">
        <f>IF($H217="","",IFERROR(INDEX('Risk Library'!$H$5:$M$411,MATCH($E217,'Risk Library'!$A$5:$A$411,0),$H217+1),""))</f>
        <v/>
      </c>
      <c r="H217" s="37" t="str">
        <f>IF(OR(COUNTA('Manufacturing MES'!$H$6)=0,'Manufacturing MES'!$H$6="N/A"),"",VALUE('Manufacturing MES'!$H$6))</f>
        <v/>
      </c>
      <c r="I217" s="36" t="str">
        <f>IF($H217="","",IFERROR(IF('Manufacturing MES'!$L$6="",IF($H217&lt;=1,"Critical",IF($H217=2,"High",IF($H217=3,"Medium",IF($H217=4,"Low","Resilient")))),'Manufacturing MES'!$L$6),IF($H217&lt;=1,"Critical",IF($H217=2,"High",IF($H217=3,"Medium",IF($H217=4,"Low","Resilient"))))))</f>
        <v/>
      </c>
      <c r="J217" s="37" t="str">
        <f t="shared" si="48"/>
        <v/>
      </c>
      <c r="K217" s="37" t="str">
        <f t="shared" si="49"/>
        <v/>
      </c>
      <c r="L217" s="37" t="str">
        <f t="shared" si="50"/>
        <v/>
      </c>
      <c r="M217" s="37" t="str">
        <f t="shared" si="51"/>
        <v/>
      </c>
      <c r="N217" s="37" t="str">
        <f>IF($H217="","",IFERROR(INDEX('Risk Library'!$T$5:$Y$411,MATCH($E217,'Risk Library'!$A$5:$A$411,0),$H217+1),""))</f>
        <v/>
      </c>
      <c r="O217" s="37" t="str">
        <f t="shared" si="52"/>
        <v/>
      </c>
      <c r="P217" s="37" t="str">
        <f t="shared" si="53"/>
        <v/>
      </c>
      <c r="Q217" s="37" t="str">
        <f t="shared" si="54"/>
        <v/>
      </c>
      <c r="R217" s="37" t="str">
        <f t="shared" si="55"/>
        <v/>
      </c>
      <c r="S217" s="38" t="str">
        <f t="shared" si="56"/>
        <v/>
      </c>
      <c r="T217" s="36" t="str">
        <f>IF($H217="","",IFERROR(INDEX('Risk Library'!$N$5:$S$411,MATCH($E217,'Risk Library'!$A$5:$A$411,0),$H217+1),""))</f>
        <v/>
      </c>
      <c r="U217" s="37">
        <f>IFERROR('Manufacturing MES'!$G$6,"")</f>
        <v>5</v>
      </c>
      <c r="V217" s="37">
        <f>IFERROR('Manufacturing MES'!$W$6,"")</f>
        <v>5</v>
      </c>
      <c r="W217" s="37">
        <f>IFERROR('Manufacturing MES'!$X$6,"")</f>
        <v>5</v>
      </c>
      <c r="X217" s="37">
        <f>IFERROR('Manufacturing MES'!$Y$6,"")</f>
        <v>5</v>
      </c>
      <c r="Y217" s="36" t="s">
        <v>3995</v>
      </c>
      <c r="Z217" s="36" t="s">
        <v>3996</v>
      </c>
      <c r="AA217" s="36" t="s">
        <v>4000</v>
      </c>
      <c r="AB217" s="36">
        <f>IFERROR('Manufacturing MES'!$U$6,"")</f>
        <v>0</v>
      </c>
      <c r="AC217" s="36"/>
      <c r="AD217" s="36"/>
      <c r="AE217" s="36"/>
      <c r="AF217" s="36" t="s">
        <v>3999</v>
      </c>
      <c r="AO217" s="48" t="str">
        <f>IF($B217="Yes",IFERROR(SUMIFS(_TECH_Crisis_Model!$D$5:$D$191,_TECH_Crisis_Model!$A$5:$A$191,'Crisis Simulator'!$B$4,_TECH_Crisis_Model!$B$5:$B$191,$C217),1),"")</f>
        <v/>
      </c>
      <c r="AP217" s="48" t="str">
        <f t="shared" si="57"/>
        <v/>
      </c>
      <c r="AQ217" s="48" t="str">
        <f t="shared" si="58"/>
        <v/>
      </c>
      <c r="AR217" s="48" t="str">
        <f>IFERROR(INDEX(_TECH_Crisis_Model!$E$5:$E$191,MATCH('Crisis Simulator'!$B$4&amp;"|"&amp;$C217,_TECH_Crisis_Model!$I$5:$I$191,0)),"")</f>
        <v>Production assets, MES, maintenance and utilities determine manufacturing recoverability.</v>
      </c>
      <c r="AS217" s="48" t="str">
        <f>IFERROR(INDEX(_TECH_Crisis_Model!$G$5:$G$191,MATCH('Crisis Simulator'!$B$4&amp;"|"&amp;$C217,_TECH_Crisis_Model!$I$5:$I$191,0)),"")</f>
        <v>Define production fallback, maintenance priorities, spare parts, MES continuity and utility backup.</v>
      </c>
      <c r="AT217" s="48" t="str">
        <f>IFERROR(INDEX(_TECH_Initiative_Library!$A$5:$A$76,MATCH(1,INDEX((_TECH_Initiative_Library!$B$5:$B$76=$C217)*(_TECH_Initiative_Library!$C$5:$C$76=$D217),0),0)),"")</f>
        <v>INI-036</v>
      </c>
      <c r="AU217" s="48" t="str">
        <f>IFERROR(INDEX(_TECH_Initiative_Library!$F$5:$F$76,MATCH(1,INDEX((_TECH_Initiative_Library!$B$5:$B$76=$C217)*(_TECH_Initiative_Library!$C$5:$C$76=$D217),0),0)),"")</f>
        <v>Assess production footprint and build alternate production options</v>
      </c>
      <c r="AV217" s="48" t="str">
        <f ca="1">IFERROR(INDEX(_TECH_Initiative_Library!$AC$5:$AC$76,MATCH(1,INDEX((_TECH_Initiative_Library!$B$5:$B$76=$C217)*(_TECH_Initiative_Library!$C$5:$C$76=$D217),0),0)),"")</f>
        <v/>
      </c>
      <c r="AW217" s="48" t="str">
        <f ca="1">IFERROR(INDEX(_TECH_Initiative_Library!$AE$5:$AE$76,MATCH(1,INDEX((_TECH_Initiative_Library!$B$5:$B$76=$C217)*(_TECH_Initiative_Library!$C$5:$C$76=$D217),0),0)),"")</f>
        <v/>
      </c>
      <c r="AX217" s="48" t="str">
        <f>IF($B217="Yes",IFERROR(SUMIFS(_TECH_Industry_Templates!$E:$E,_TECH_Industry_Templates!$A:$A,'Company Profile'!$B$9,_TECH_Industry_Templates!$B:$B,$C217),1),"")</f>
        <v/>
      </c>
      <c r="AY217" s="48" t="str">
        <f t="shared" si="59"/>
        <v/>
      </c>
      <c r="AZ217" s="48" t="str">
        <f t="shared" si="60"/>
        <v/>
      </c>
      <c r="BA217" s="48" t="str">
        <f>IF($AZ217="","",RANK.EQ($AZ217,$AZ$8:$AZ$414,0)+COUNTIF($AZ$8:$AZ217,$AZ217)-1)</f>
        <v/>
      </c>
    </row>
    <row r="218" spans="1:53" ht="69.95" customHeight="1">
      <c r="A218" s="36" t="str">
        <f>IF($AZ218="","",RANK.EQ($AZ218,$AZ$8:$AZ$414,0)+COUNTIF($AZ$8:$AZ218,$AZ218)-1)</f>
        <v/>
      </c>
      <c r="B218" s="36" t="str">
        <f t="shared" si="47"/>
        <v/>
      </c>
      <c r="C218" s="36" t="s">
        <v>81</v>
      </c>
      <c r="D218" s="36" t="s">
        <v>1331</v>
      </c>
      <c r="E218" s="36" t="s">
        <v>4008</v>
      </c>
      <c r="F218" s="36" t="s">
        <v>192</v>
      </c>
      <c r="G218" s="36" t="str">
        <f>IF($H218="","",IFERROR(INDEX('Risk Library'!$H$5:$M$411,MATCH($E218,'Risk Library'!$A$5:$A$411,0),$H218+1),""))</f>
        <v/>
      </c>
      <c r="H218" s="37" t="str">
        <f>IF(OR(COUNTA('Manufacturing MES'!$H$7)=0,'Manufacturing MES'!$H$7="N/A"),"",VALUE('Manufacturing MES'!$H$7))</f>
        <v/>
      </c>
      <c r="I218" s="36" t="str">
        <f>IF($H218="","",IFERROR(IF('Manufacturing MES'!$L$7="",IF($H218&lt;=1,"Critical",IF($H218=2,"High",IF($H218=3,"Medium",IF($H218=4,"Low","Resilient")))),'Manufacturing MES'!$L$7),IF($H218&lt;=1,"Critical",IF($H218=2,"High",IF($H218=3,"Medium",IF($H218=4,"Low","Resilient"))))))</f>
        <v/>
      </c>
      <c r="J218" s="37" t="str">
        <f t="shared" si="48"/>
        <v/>
      </c>
      <c r="K218" s="37" t="str">
        <f t="shared" si="49"/>
        <v/>
      </c>
      <c r="L218" s="37" t="str">
        <f t="shared" si="50"/>
        <v/>
      </c>
      <c r="M218" s="37" t="str">
        <f t="shared" si="51"/>
        <v/>
      </c>
      <c r="N218" s="37" t="str">
        <f>IF($H218="","",IFERROR(INDEX('Risk Library'!$T$5:$Y$411,MATCH($E218,'Risk Library'!$A$5:$A$411,0),$H218+1),""))</f>
        <v/>
      </c>
      <c r="O218" s="37" t="str">
        <f t="shared" si="52"/>
        <v/>
      </c>
      <c r="P218" s="37" t="str">
        <f t="shared" si="53"/>
        <v/>
      </c>
      <c r="Q218" s="37" t="str">
        <f t="shared" si="54"/>
        <v/>
      </c>
      <c r="R218" s="37" t="str">
        <f t="shared" si="55"/>
        <v/>
      </c>
      <c r="S218" s="38" t="str">
        <f t="shared" si="56"/>
        <v/>
      </c>
      <c r="T218" s="36" t="str">
        <f>IF($H218="","",IFERROR(INDEX('Risk Library'!$N$5:$S$411,MATCH($E218,'Risk Library'!$A$5:$A$411,0),$H218+1),""))</f>
        <v/>
      </c>
      <c r="U218" s="37">
        <f>IFERROR('Manufacturing MES'!$G$7,"")</f>
        <v>3</v>
      </c>
      <c r="V218" s="37">
        <f>IFERROR('Manufacturing MES'!$W$7,"")</f>
        <v>5</v>
      </c>
      <c r="W218" s="37">
        <f>IFERROR('Manufacturing MES'!$X$7,"")</f>
        <v>5</v>
      </c>
      <c r="X218" s="37">
        <f>IFERROR('Manufacturing MES'!$Y$7,"")</f>
        <v>5</v>
      </c>
      <c r="Y218" s="36" t="s">
        <v>3995</v>
      </c>
      <c r="Z218" s="36" t="s">
        <v>3996</v>
      </c>
      <c r="AA218" s="36" t="s">
        <v>4010</v>
      </c>
      <c r="AB218" s="36">
        <f>IFERROR('Manufacturing MES'!$U$7,"")</f>
        <v>0</v>
      </c>
      <c r="AC218" s="36"/>
      <c r="AD218" s="36"/>
      <c r="AE218" s="36"/>
      <c r="AF218" s="36" t="s">
        <v>4009</v>
      </c>
      <c r="AO218" s="48" t="str">
        <f>IF($B218="Yes",IFERROR(SUMIFS(_TECH_Crisis_Model!$D$5:$D$191,_TECH_Crisis_Model!$A$5:$A$191,'Crisis Simulator'!$B$4,_TECH_Crisis_Model!$B$5:$B$191,$C218),1),"")</f>
        <v/>
      </c>
      <c r="AP218" s="48" t="str">
        <f t="shared" si="57"/>
        <v/>
      </c>
      <c r="AQ218" s="48" t="str">
        <f t="shared" si="58"/>
        <v/>
      </c>
      <c r="AR218" s="48" t="str">
        <f>IFERROR(INDEX(_TECH_Crisis_Model!$E$5:$E$191,MATCH('Crisis Simulator'!$B$4&amp;"|"&amp;$C218,_TECH_Crisis_Model!$I$5:$I$191,0)),"")</f>
        <v>Production assets, MES, maintenance and utilities determine manufacturing recoverability.</v>
      </c>
      <c r="AS218" s="48" t="str">
        <f>IFERROR(INDEX(_TECH_Crisis_Model!$G$5:$G$191,MATCH('Crisis Simulator'!$B$4&amp;"|"&amp;$C218,_TECH_Crisis_Model!$I$5:$I$191,0)),"")</f>
        <v>Define production fallback, maintenance priorities, spare parts, MES continuity and utility backup.</v>
      </c>
      <c r="AT218" s="48" t="str">
        <f>IFERROR(INDEX(_TECH_Initiative_Library!$A$5:$A$76,MATCH(1,INDEX((_TECH_Initiative_Library!$B$5:$B$76=$C218)*(_TECH_Initiative_Library!$C$5:$C$76=$D218),0),0)),"")</f>
        <v>INI-036</v>
      </c>
      <c r="AU218" s="48" t="str">
        <f>IFERROR(INDEX(_TECH_Initiative_Library!$F$5:$F$76,MATCH(1,INDEX((_TECH_Initiative_Library!$B$5:$B$76=$C218)*(_TECH_Initiative_Library!$C$5:$C$76=$D218),0),0)),"")</f>
        <v>Assess production footprint and build alternate production options</v>
      </c>
      <c r="AV218" s="48" t="str">
        <f ca="1">IFERROR(INDEX(_TECH_Initiative_Library!$AC$5:$AC$76,MATCH(1,INDEX((_TECH_Initiative_Library!$B$5:$B$76=$C218)*(_TECH_Initiative_Library!$C$5:$C$76=$D218),0),0)),"")</f>
        <v/>
      </c>
      <c r="AW218" s="48" t="str">
        <f ca="1">IFERROR(INDEX(_TECH_Initiative_Library!$AE$5:$AE$76,MATCH(1,INDEX((_TECH_Initiative_Library!$B$5:$B$76=$C218)*(_TECH_Initiative_Library!$C$5:$C$76=$D218),0),0)),"")</f>
        <v/>
      </c>
      <c r="AX218" s="48" t="str">
        <f>IF($B218="Yes",IFERROR(SUMIFS(_TECH_Industry_Templates!$E:$E,_TECH_Industry_Templates!$A:$A,'Company Profile'!$B$9,_TECH_Industry_Templates!$B:$B,$C218),1),"")</f>
        <v/>
      </c>
      <c r="AY218" s="48" t="str">
        <f t="shared" si="59"/>
        <v/>
      </c>
      <c r="AZ218" s="48" t="str">
        <f t="shared" si="60"/>
        <v/>
      </c>
      <c r="BA218" s="48" t="str">
        <f>IF($AZ218="","",RANK.EQ($AZ218,$AZ$8:$AZ$414,0)+COUNTIF($AZ$8:$AZ218,$AZ218)-1)</f>
        <v/>
      </c>
    </row>
    <row r="219" spans="1:53" ht="69.95" customHeight="1">
      <c r="A219" s="36" t="str">
        <f>IF($AZ219="","",RANK.EQ($AZ219,$AZ$8:$AZ$414,0)+COUNTIF($AZ$8:$AZ219,$AZ219)-1)</f>
        <v/>
      </c>
      <c r="B219" s="36" t="str">
        <f t="shared" si="47"/>
        <v/>
      </c>
      <c r="C219" s="36" t="s">
        <v>81</v>
      </c>
      <c r="D219" s="36" t="s">
        <v>1331</v>
      </c>
      <c r="E219" s="36" t="s">
        <v>4018</v>
      </c>
      <c r="F219" s="36" t="s">
        <v>192</v>
      </c>
      <c r="G219" s="36" t="str">
        <f>IF($H219="","",IFERROR(INDEX('Risk Library'!$H$5:$M$411,MATCH($E219,'Risk Library'!$A$5:$A$411,0),$H219+1),""))</f>
        <v/>
      </c>
      <c r="H219" s="37" t="str">
        <f>IF(OR(COUNTA('Manufacturing MES'!$H$8)=0,'Manufacturing MES'!$H$8="N/A"),"",VALUE('Manufacturing MES'!$H$8))</f>
        <v/>
      </c>
      <c r="I219" s="36" t="str">
        <f>IF($H219="","",IFERROR(IF('Manufacturing MES'!$L$8="",IF($H219&lt;=1,"Critical",IF($H219=2,"High",IF($H219=3,"Medium",IF($H219=4,"Low","Resilient")))),'Manufacturing MES'!$L$8),IF($H219&lt;=1,"Critical",IF($H219=2,"High",IF($H219=3,"Medium",IF($H219=4,"Low","Resilient"))))))</f>
        <v/>
      </c>
      <c r="J219" s="37" t="str">
        <f t="shared" si="48"/>
        <v/>
      </c>
      <c r="K219" s="37" t="str">
        <f t="shared" si="49"/>
        <v/>
      </c>
      <c r="L219" s="37" t="str">
        <f t="shared" si="50"/>
        <v/>
      </c>
      <c r="M219" s="37" t="str">
        <f t="shared" si="51"/>
        <v/>
      </c>
      <c r="N219" s="37" t="str">
        <f>IF($H219="","",IFERROR(INDEX('Risk Library'!$T$5:$Y$411,MATCH($E219,'Risk Library'!$A$5:$A$411,0),$H219+1),""))</f>
        <v/>
      </c>
      <c r="O219" s="37" t="str">
        <f t="shared" si="52"/>
        <v/>
      </c>
      <c r="P219" s="37" t="str">
        <f t="shared" si="53"/>
        <v/>
      </c>
      <c r="Q219" s="37" t="str">
        <f t="shared" si="54"/>
        <v/>
      </c>
      <c r="R219" s="37" t="str">
        <f t="shared" si="55"/>
        <v/>
      </c>
      <c r="S219" s="38" t="str">
        <f t="shared" si="56"/>
        <v/>
      </c>
      <c r="T219" s="36" t="str">
        <f>IF($H219="","",IFERROR(INDEX('Risk Library'!$N$5:$S$411,MATCH($E219,'Risk Library'!$A$5:$A$411,0),$H219+1),""))</f>
        <v/>
      </c>
      <c r="U219" s="37">
        <f>IFERROR('Manufacturing MES'!$G$8,"")</f>
        <v>5</v>
      </c>
      <c r="V219" s="37">
        <f>IFERROR('Manufacturing MES'!$W$8,"")</f>
        <v>5</v>
      </c>
      <c r="W219" s="37">
        <f>IFERROR('Manufacturing MES'!$X$8,"")</f>
        <v>5</v>
      </c>
      <c r="X219" s="37">
        <f>IFERROR('Manufacturing MES'!$Y$8,"")</f>
        <v>5</v>
      </c>
      <c r="Y219" s="36" t="s">
        <v>3995</v>
      </c>
      <c r="Z219" s="36" t="s">
        <v>3996</v>
      </c>
      <c r="AA219" s="36" t="s">
        <v>4020</v>
      </c>
      <c r="AB219" s="36">
        <f>IFERROR('Manufacturing MES'!$U$8,"")</f>
        <v>0</v>
      </c>
      <c r="AC219" s="36"/>
      <c r="AD219" s="36"/>
      <c r="AE219" s="36"/>
      <c r="AF219" s="36" t="s">
        <v>4019</v>
      </c>
      <c r="AO219" s="48" t="str">
        <f>IF($B219="Yes",IFERROR(SUMIFS(_TECH_Crisis_Model!$D$5:$D$191,_TECH_Crisis_Model!$A$5:$A$191,'Crisis Simulator'!$B$4,_TECH_Crisis_Model!$B$5:$B$191,$C219),1),"")</f>
        <v/>
      </c>
      <c r="AP219" s="48" t="str">
        <f t="shared" si="57"/>
        <v/>
      </c>
      <c r="AQ219" s="48" t="str">
        <f t="shared" si="58"/>
        <v/>
      </c>
      <c r="AR219" s="48" t="str">
        <f>IFERROR(INDEX(_TECH_Crisis_Model!$E$5:$E$191,MATCH('Crisis Simulator'!$B$4&amp;"|"&amp;$C219,_TECH_Crisis_Model!$I$5:$I$191,0)),"")</f>
        <v>Production assets, MES, maintenance and utilities determine manufacturing recoverability.</v>
      </c>
      <c r="AS219" s="48" t="str">
        <f>IFERROR(INDEX(_TECH_Crisis_Model!$G$5:$G$191,MATCH('Crisis Simulator'!$B$4&amp;"|"&amp;$C219,_TECH_Crisis_Model!$I$5:$I$191,0)),"")</f>
        <v>Define production fallback, maintenance priorities, spare parts, MES continuity and utility backup.</v>
      </c>
      <c r="AT219" s="48" t="str">
        <f>IFERROR(INDEX(_TECH_Initiative_Library!$A$5:$A$76,MATCH(1,INDEX((_TECH_Initiative_Library!$B$5:$B$76=$C219)*(_TECH_Initiative_Library!$C$5:$C$76=$D219),0),0)),"")</f>
        <v>INI-036</v>
      </c>
      <c r="AU219" s="48" t="str">
        <f>IFERROR(INDEX(_TECH_Initiative_Library!$F$5:$F$76,MATCH(1,INDEX((_TECH_Initiative_Library!$B$5:$B$76=$C219)*(_TECH_Initiative_Library!$C$5:$C$76=$D219),0),0)),"")</f>
        <v>Assess production footprint and build alternate production options</v>
      </c>
      <c r="AV219" s="48" t="str">
        <f ca="1">IFERROR(INDEX(_TECH_Initiative_Library!$AC$5:$AC$76,MATCH(1,INDEX((_TECH_Initiative_Library!$B$5:$B$76=$C219)*(_TECH_Initiative_Library!$C$5:$C$76=$D219),0),0)),"")</f>
        <v/>
      </c>
      <c r="AW219" s="48" t="str">
        <f ca="1">IFERROR(INDEX(_TECH_Initiative_Library!$AE$5:$AE$76,MATCH(1,INDEX((_TECH_Initiative_Library!$B$5:$B$76=$C219)*(_TECH_Initiative_Library!$C$5:$C$76=$D219),0),0)),"")</f>
        <v/>
      </c>
      <c r="AX219" s="48" t="str">
        <f>IF($B219="Yes",IFERROR(SUMIFS(_TECH_Industry_Templates!$E:$E,_TECH_Industry_Templates!$A:$A,'Company Profile'!$B$9,_TECH_Industry_Templates!$B:$B,$C219),1),"")</f>
        <v/>
      </c>
      <c r="AY219" s="48" t="str">
        <f t="shared" si="59"/>
        <v/>
      </c>
      <c r="AZ219" s="48" t="str">
        <f t="shared" si="60"/>
        <v/>
      </c>
      <c r="BA219" s="48" t="str">
        <f>IF($AZ219="","",RANK.EQ($AZ219,$AZ$8:$AZ$414,0)+COUNTIF($AZ$8:$AZ219,$AZ219)-1)</f>
        <v/>
      </c>
    </row>
    <row r="220" spans="1:53" ht="69.95" customHeight="1">
      <c r="A220" s="36" t="str">
        <f>IF($AZ220="","",RANK.EQ($AZ220,$AZ$8:$AZ$414,0)+COUNTIF($AZ$8:$AZ220,$AZ220)-1)</f>
        <v/>
      </c>
      <c r="B220" s="36" t="str">
        <f t="shared" si="47"/>
        <v/>
      </c>
      <c r="C220" s="36" t="s">
        <v>81</v>
      </c>
      <c r="D220" s="36" t="s">
        <v>1331</v>
      </c>
      <c r="E220" s="36" t="s">
        <v>4028</v>
      </c>
      <c r="F220" s="36" t="s">
        <v>192</v>
      </c>
      <c r="G220" s="36" t="str">
        <f>IF($H220="","",IFERROR(INDEX('Risk Library'!$H$5:$M$411,MATCH($E220,'Risk Library'!$A$5:$A$411,0),$H220+1),""))</f>
        <v/>
      </c>
      <c r="H220" s="37" t="str">
        <f>IF(OR(COUNTA('Manufacturing MES'!$H$9)=0,'Manufacturing MES'!$H$9="N/A"),"",VALUE('Manufacturing MES'!$H$9))</f>
        <v/>
      </c>
      <c r="I220" s="36" t="str">
        <f>IF($H220="","",IFERROR(IF('Manufacturing MES'!$L$9="",IF($H220&lt;=1,"Critical",IF($H220=2,"High",IF($H220=3,"Medium",IF($H220=4,"Low","Resilient")))),'Manufacturing MES'!$L$9),IF($H220&lt;=1,"Critical",IF($H220=2,"High",IF($H220=3,"Medium",IF($H220=4,"Low","Resilient"))))))</f>
        <v/>
      </c>
      <c r="J220" s="37" t="str">
        <f t="shared" si="48"/>
        <v/>
      </c>
      <c r="K220" s="37" t="str">
        <f t="shared" si="49"/>
        <v/>
      </c>
      <c r="L220" s="37" t="str">
        <f t="shared" si="50"/>
        <v/>
      </c>
      <c r="M220" s="37" t="str">
        <f t="shared" si="51"/>
        <v/>
      </c>
      <c r="N220" s="37" t="str">
        <f>IF($H220="","",IFERROR(INDEX('Risk Library'!$T$5:$Y$411,MATCH($E220,'Risk Library'!$A$5:$A$411,0),$H220+1),""))</f>
        <v/>
      </c>
      <c r="O220" s="37" t="str">
        <f t="shared" si="52"/>
        <v/>
      </c>
      <c r="P220" s="37" t="str">
        <f t="shared" si="53"/>
        <v/>
      </c>
      <c r="Q220" s="37" t="str">
        <f t="shared" si="54"/>
        <v/>
      </c>
      <c r="R220" s="37" t="str">
        <f t="shared" si="55"/>
        <v/>
      </c>
      <c r="S220" s="38" t="str">
        <f t="shared" si="56"/>
        <v/>
      </c>
      <c r="T220" s="36" t="str">
        <f>IF($H220="","",IFERROR(INDEX('Risk Library'!$N$5:$S$411,MATCH($E220,'Risk Library'!$A$5:$A$411,0),$H220+1),""))</f>
        <v/>
      </c>
      <c r="U220" s="37">
        <f>IFERROR('Manufacturing MES'!$G$9,"")</f>
        <v>5</v>
      </c>
      <c r="V220" s="37">
        <f>IFERROR('Manufacturing MES'!$W$9,"")</f>
        <v>5</v>
      </c>
      <c r="W220" s="37">
        <f>IFERROR('Manufacturing MES'!$X$9,"")</f>
        <v>5</v>
      </c>
      <c r="X220" s="37">
        <f>IFERROR('Manufacturing MES'!$Y$9,"")</f>
        <v>5</v>
      </c>
      <c r="Y220" s="36" t="s">
        <v>3995</v>
      </c>
      <c r="Z220" s="36" t="s">
        <v>3996</v>
      </c>
      <c r="AA220" s="36" t="s">
        <v>4030</v>
      </c>
      <c r="AB220" s="36">
        <f>IFERROR('Manufacturing MES'!$U$9,"")</f>
        <v>0</v>
      </c>
      <c r="AC220" s="36"/>
      <c r="AD220" s="36"/>
      <c r="AE220" s="36"/>
      <c r="AF220" s="36" t="s">
        <v>4029</v>
      </c>
      <c r="AO220" s="48" t="str">
        <f>IF($B220="Yes",IFERROR(SUMIFS(_TECH_Crisis_Model!$D$5:$D$191,_TECH_Crisis_Model!$A$5:$A$191,'Crisis Simulator'!$B$4,_TECH_Crisis_Model!$B$5:$B$191,$C220),1),"")</f>
        <v/>
      </c>
      <c r="AP220" s="48" t="str">
        <f t="shared" si="57"/>
        <v/>
      </c>
      <c r="AQ220" s="48" t="str">
        <f t="shared" si="58"/>
        <v/>
      </c>
      <c r="AR220" s="48" t="str">
        <f>IFERROR(INDEX(_TECH_Crisis_Model!$E$5:$E$191,MATCH('Crisis Simulator'!$B$4&amp;"|"&amp;$C220,_TECH_Crisis_Model!$I$5:$I$191,0)),"")</f>
        <v>Production assets, MES, maintenance and utilities determine manufacturing recoverability.</v>
      </c>
      <c r="AS220" s="48" t="str">
        <f>IFERROR(INDEX(_TECH_Crisis_Model!$G$5:$G$191,MATCH('Crisis Simulator'!$B$4&amp;"|"&amp;$C220,_TECH_Crisis_Model!$I$5:$I$191,0)),"")</f>
        <v>Define production fallback, maintenance priorities, spare parts, MES continuity and utility backup.</v>
      </c>
      <c r="AT220" s="48" t="str">
        <f>IFERROR(INDEX(_TECH_Initiative_Library!$A$5:$A$76,MATCH(1,INDEX((_TECH_Initiative_Library!$B$5:$B$76=$C220)*(_TECH_Initiative_Library!$C$5:$C$76=$D220),0),0)),"")</f>
        <v>INI-036</v>
      </c>
      <c r="AU220" s="48" t="str">
        <f>IFERROR(INDEX(_TECH_Initiative_Library!$F$5:$F$76,MATCH(1,INDEX((_TECH_Initiative_Library!$B$5:$B$76=$C220)*(_TECH_Initiative_Library!$C$5:$C$76=$D220),0),0)),"")</f>
        <v>Assess production footprint and build alternate production options</v>
      </c>
      <c r="AV220" s="48" t="str">
        <f ca="1">IFERROR(INDEX(_TECH_Initiative_Library!$AC$5:$AC$76,MATCH(1,INDEX((_TECH_Initiative_Library!$B$5:$B$76=$C220)*(_TECH_Initiative_Library!$C$5:$C$76=$D220),0),0)),"")</f>
        <v/>
      </c>
      <c r="AW220" s="48" t="str">
        <f ca="1">IFERROR(INDEX(_TECH_Initiative_Library!$AE$5:$AE$76,MATCH(1,INDEX((_TECH_Initiative_Library!$B$5:$B$76=$C220)*(_TECH_Initiative_Library!$C$5:$C$76=$D220),0),0)),"")</f>
        <v/>
      </c>
      <c r="AX220" s="48" t="str">
        <f>IF($B220="Yes",IFERROR(SUMIFS(_TECH_Industry_Templates!$E:$E,_TECH_Industry_Templates!$A:$A,'Company Profile'!$B$9,_TECH_Industry_Templates!$B:$B,$C220),1),"")</f>
        <v/>
      </c>
      <c r="AY220" s="48" t="str">
        <f t="shared" si="59"/>
        <v/>
      </c>
      <c r="AZ220" s="48" t="str">
        <f t="shared" si="60"/>
        <v/>
      </c>
      <c r="BA220" s="48" t="str">
        <f>IF($AZ220="","",RANK.EQ($AZ220,$AZ$8:$AZ$414,0)+COUNTIF($AZ$8:$AZ220,$AZ220)-1)</f>
        <v/>
      </c>
    </row>
    <row r="221" spans="1:53" ht="69.95" customHeight="1">
      <c r="A221" s="36" t="str">
        <f>IF($AZ221="","",RANK.EQ($AZ221,$AZ$8:$AZ$414,0)+COUNTIF($AZ$8:$AZ221,$AZ221)-1)</f>
        <v/>
      </c>
      <c r="B221" s="36" t="str">
        <f t="shared" si="47"/>
        <v/>
      </c>
      <c r="C221" s="36" t="s">
        <v>81</v>
      </c>
      <c r="D221" s="36" t="s">
        <v>1331</v>
      </c>
      <c r="E221" s="36" t="s">
        <v>4038</v>
      </c>
      <c r="F221" s="36" t="s">
        <v>192</v>
      </c>
      <c r="G221" s="36" t="str">
        <f>IF($H221="","",IFERROR(INDEX('Risk Library'!$H$5:$M$411,MATCH($E221,'Risk Library'!$A$5:$A$411,0),$H221+1),""))</f>
        <v/>
      </c>
      <c r="H221" s="37" t="str">
        <f>IF(OR(COUNTA('Manufacturing MES'!$H$10)=0,'Manufacturing MES'!$H$10="N/A"),"",VALUE('Manufacturing MES'!$H$10))</f>
        <v/>
      </c>
      <c r="I221" s="36" t="str">
        <f>IF($H221="","",IFERROR(IF('Manufacturing MES'!$L$10="",IF($H221&lt;=1,"Critical",IF($H221=2,"High",IF($H221=3,"Medium",IF($H221=4,"Low","Resilient")))),'Manufacturing MES'!$L$10),IF($H221&lt;=1,"Critical",IF($H221=2,"High",IF($H221=3,"Medium",IF($H221=4,"Low","Resilient"))))))</f>
        <v/>
      </c>
      <c r="J221" s="37" t="str">
        <f t="shared" si="48"/>
        <v/>
      </c>
      <c r="K221" s="37" t="str">
        <f t="shared" si="49"/>
        <v/>
      </c>
      <c r="L221" s="37" t="str">
        <f t="shared" si="50"/>
        <v/>
      </c>
      <c r="M221" s="37" t="str">
        <f t="shared" si="51"/>
        <v/>
      </c>
      <c r="N221" s="37" t="str">
        <f>IF($H221="","",IFERROR(INDEX('Risk Library'!$T$5:$Y$411,MATCH($E221,'Risk Library'!$A$5:$A$411,0),$H221+1),""))</f>
        <v/>
      </c>
      <c r="O221" s="37" t="str">
        <f t="shared" si="52"/>
        <v/>
      </c>
      <c r="P221" s="37" t="str">
        <f t="shared" si="53"/>
        <v/>
      </c>
      <c r="Q221" s="37" t="str">
        <f t="shared" si="54"/>
        <v/>
      </c>
      <c r="R221" s="37" t="str">
        <f t="shared" si="55"/>
        <v/>
      </c>
      <c r="S221" s="38" t="str">
        <f t="shared" si="56"/>
        <v/>
      </c>
      <c r="T221" s="36" t="str">
        <f>IF($H221="","",IFERROR(INDEX('Risk Library'!$N$5:$S$411,MATCH($E221,'Risk Library'!$A$5:$A$411,0),$H221+1),""))</f>
        <v/>
      </c>
      <c r="U221" s="37">
        <f>IFERROR('Manufacturing MES'!$G$10,"")</f>
        <v>5</v>
      </c>
      <c r="V221" s="37">
        <f>IFERROR('Manufacturing MES'!$W$10,"")</f>
        <v>5</v>
      </c>
      <c r="W221" s="37">
        <f>IFERROR('Manufacturing MES'!$X$10,"")</f>
        <v>5</v>
      </c>
      <c r="X221" s="37">
        <f>IFERROR('Manufacturing MES'!$Y$10,"")</f>
        <v>5</v>
      </c>
      <c r="Y221" s="36" t="s">
        <v>3995</v>
      </c>
      <c r="Z221" s="36" t="s">
        <v>3996</v>
      </c>
      <c r="AA221" s="36" t="s">
        <v>4040</v>
      </c>
      <c r="AB221" s="36">
        <f>IFERROR('Manufacturing MES'!$U$10,"")</f>
        <v>0</v>
      </c>
      <c r="AC221" s="36"/>
      <c r="AD221" s="36"/>
      <c r="AE221" s="36"/>
      <c r="AF221" s="36" t="s">
        <v>4039</v>
      </c>
      <c r="AO221" s="48" t="str">
        <f>IF($B221="Yes",IFERROR(SUMIFS(_TECH_Crisis_Model!$D$5:$D$191,_TECH_Crisis_Model!$A$5:$A$191,'Crisis Simulator'!$B$4,_TECH_Crisis_Model!$B$5:$B$191,$C221),1),"")</f>
        <v/>
      </c>
      <c r="AP221" s="48" t="str">
        <f t="shared" si="57"/>
        <v/>
      </c>
      <c r="AQ221" s="48" t="str">
        <f t="shared" si="58"/>
        <v/>
      </c>
      <c r="AR221" s="48" t="str">
        <f>IFERROR(INDEX(_TECH_Crisis_Model!$E$5:$E$191,MATCH('Crisis Simulator'!$B$4&amp;"|"&amp;$C221,_TECH_Crisis_Model!$I$5:$I$191,0)),"")</f>
        <v>Production assets, MES, maintenance and utilities determine manufacturing recoverability.</v>
      </c>
      <c r="AS221" s="48" t="str">
        <f>IFERROR(INDEX(_TECH_Crisis_Model!$G$5:$G$191,MATCH('Crisis Simulator'!$B$4&amp;"|"&amp;$C221,_TECH_Crisis_Model!$I$5:$I$191,0)),"")</f>
        <v>Define production fallback, maintenance priorities, spare parts, MES continuity and utility backup.</v>
      </c>
      <c r="AT221" s="48" t="str">
        <f>IFERROR(INDEX(_TECH_Initiative_Library!$A$5:$A$76,MATCH(1,INDEX((_TECH_Initiative_Library!$B$5:$B$76=$C221)*(_TECH_Initiative_Library!$C$5:$C$76=$D221),0),0)),"")</f>
        <v>INI-036</v>
      </c>
      <c r="AU221" s="48" t="str">
        <f>IFERROR(INDEX(_TECH_Initiative_Library!$F$5:$F$76,MATCH(1,INDEX((_TECH_Initiative_Library!$B$5:$B$76=$C221)*(_TECH_Initiative_Library!$C$5:$C$76=$D221),0),0)),"")</f>
        <v>Assess production footprint and build alternate production options</v>
      </c>
      <c r="AV221" s="48" t="str">
        <f ca="1">IFERROR(INDEX(_TECH_Initiative_Library!$AC$5:$AC$76,MATCH(1,INDEX((_TECH_Initiative_Library!$B$5:$B$76=$C221)*(_TECH_Initiative_Library!$C$5:$C$76=$D221),0),0)),"")</f>
        <v/>
      </c>
      <c r="AW221" s="48" t="str">
        <f ca="1">IFERROR(INDEX(_TECH_Initiative_Library!$AE$5:$AE$76,MATCH(1,INDEX((_TECH_Initiative_Library!$B$5:$B$76=$C221)*(_TECH_Initiative_Library!$C$5:$C$76=$D221),0),0)),"")</f>
        <v/>
      </c>
      <c r="AX221" s="48" t="str">
        <f>IF($B221="Yes",IFERROR(SUMIFS(_TECH_Industry_Templates!$E:$E,_TECH_Industry_Templates!$A:$A,'Company Profile'!$B$9,_TECH_Industry_Templates!$B:$B,$C221),1),"")</f>
        <v/>
      </c>
      <c r="AY221" s="48" t="str">
        <f t="shared" si="59"/>
        <v/>
      </c>
      <c r="AZ221" s="48" t="str">
        <f t="shared" si="60"/>
        <v/>
      </c>
      <c r="BA221" s="48" t="str">
        <f>IF($AZ221="","",RANK.EQ($AZ221,$AZ$8:$AZ$414,0)+COUNTIF($AZ$8:$AZ221,$AZ221)-1)</f>
        <v/>
      </c>
    </row>
    <row r="222" spans="1:53" ht="69.95" customHeight="1">
      <c r="A222" s="36" t="str">
        <f>IF($AZ222="","",RANK.EQ($AZ222,$AZ$8:$AZ$414,0)+COUNTIF($AZ$8:$AZ222,$AZ222)-1)</f>
        <v/>
      </c>
      <c r="B222" s="36" t="str">
        <f t="shared" si="47"/>
        <v/>
      </c>
      <c r="C222" s="36" t="s">
        <v>81</v>
      </c>
      <c r="D222" s="36" t="s">
        <v>1346</v>
      </c>
      <c r="E222" s="36" t="s">
        <v>4048</v>
      </c>
      <c r="F222" s="36" t="s">
        <v>192</v>
      </c>
      <c r="G222" s="36" t="str">
        <f>IF($H222="","",IFERROR(INDEX('Risk Library'!$H$5:$M$411,MATCH($E222,'Risk Library'!$A$5:$A$411,0),$H222+1),""))</f>
        <v/>
      </c>
      <c r="H222" s="37" t="str">
        <f>IF(OR(COUNTA('Manufacturing MES'!$H$11)=0,'Manufacturing MES'!$H$11="N/A"),"",VALUE('Manufacturing MES'!$H$11))</f>
        <v/>
      </c>
      <c r="I222" s="36" t="str">
        <f>IF($H222="","",IFERROR(IF('Manufacturing MES'!$L$11="",IF($H222&lt;=1,"Critical",IF($H222=2,"High",IF($H222=3,"Medium",IF($H222=4,"Low","Resilient")))),'Manufacturing MES'!$L$11),IF($H222&lt;=1,"Critical",IF($H222=2,"High",IF($H222=3,"Medium",IF($H222=4,"Low","Resilient"))))))</f>
        <v/>
      </c>
      <c r="J222" s="37" t="str">
        <f t="shared" si="48"/>
        <v/>
      </c>
      <c r="K222" s="37" t="str">
        <f t="shared" si="49"/>
        <v/>
      </c>
      <c r="L222" s="37" t="str">
        <f t="shared" si="50"/>
        <v/>
      </c>
      <c r="M222" s="37" t="str">
        <f t="shared" si="51"/>
        <v/>
      </c>
      <c r="N222" s="37" t="str">
        <f>IF($H222="","",IFERROR(INDEX('Risk Library'!$T$5:$Y$411,MATCH($E222,'Risk Library'!$A$5:$A$411,0),$H222+1),""))</f>
        <v/>
      </c>
      <c r="O222" s="37" t="str">
        <f t="shared" si="52"/>
        <v/>
      </c>
      <c r="P222" s="37" t="str">
        <f t="shared" si="53"/>
        <v/>
      </c>
      <c r="Q222" s="37" t="str">
        <f t="shared" si="54"/>
        <v/>
      </c>
      <c r="R222" s="37" t="str">
        <f t="shared" si="55"/>
        <v/>
      </c>
      <c r="S222" s="38" t="str">
        <f t="shared" si="56"/>
        <v/>
      </c>
      <c r="T222" s="36" t="str">
        <f>IF($H222="","",IFERROR(INDEX('Risk Library'!$N$5:$S$411,MATCH($E222,'Risk Library'!$A$5:$A$411,0),$H222+1),""))</f>
        <v/>
      </c>
      <c r="U222" s="37">
        <f>IFERROR('Manufacturing MES'!$G$11,"")</f>
        <v>5</v>
      </c>
      <c r="V222" s="37">
        <f>IFERROR('Manufacturing MES'!$W$11,"")</f>
        <v>5</v>
      </c>
      <c r="W222" s="37">
        <f>IFERROR('Manufacturing MES'!$X$11,"")</f>
        <v>5</v>
      </c>
      <c r="X222" s="37">
        <f>IFERROR('Manufacturing MES'!$Y$11,"")</f>
        <v>5</v>
      </c>
      <c r="Y222" s="36" t="s">
        <v>3995</v>
      </c>
      <c r="Z222" s="36" t="s">
        <v>3996</v>
      </c>
      <c r="AA222" s="36" t="s">
        <v>4050</v>
      </c>
      <c r="AB222" s="36">
        <f>IFERROR('Manufacturing MES'!$U$11,"")</f>
        <v>0</v>
      </c>
      <c r="AC222" s="36"/>
      <c r="AD222" s="36"/>
      <c r="AE222" s="36"/>
      <c r="AF222" s="36" t="s">
        <v>4049</v>
      </c>
      <c r="AO222" s="48" t="str">
        <f>IF($B222="Yes",IFERROR(SUMIFS(_TECH_Crisis_Model!$D$5:$D$191,_TECH_Crisis_Model!$A$5:$A$191,'Crisis Simulator'!$B$4,_TECH_Crisis_Model!$B$5:$B$191,$C222),1),"")</f>
        <v/>
      </c>
      <c r="AP222" s="48" t="str">
        <f t="shared" si="57"/>
        <v/>
      </c>
      <c r="AQ222" s="48" t="str">
        <f t="shared" si="58"/>
        <v/>
      </c>
      <c r="AR222" s="48" t="str">
        <f>IFERROR(INDEX(_TECH_Crisis_Model!$E$5:$E$191,MATCH('Crisis Simulator'!$B$4&amp;"|"&amp;$C222,_TECH_Crisis_Model!$I$5:$I$191,0)),"")</f>
        <v>Production assets, MES, maintenance and utilities determine manufacturing recoverability.</v>
      </c>
      <c r="AS222" s="48" t="str">
        <f>IFERROR(INDEX(_TECH_Crisis_Model!$G$5:$G$191,MATCH('Crisis Simulator'!$B$4&amp;"|"&amp;$C222,_TECH_Crisis_Model!$I$5:$I$191,0)),"")</f>
        <v>Define production fallback, maintenance priorities, spare parts, MES continuity and utility backup.</v>
      </c>
      <c r="AT222" s="48" t="str">
        <f>IFERROR(INDEX(_TECH_Initiative_Library!$A$5:$A$76,MATCH(1,INDEX((_TECH_Initiative_Library!$B$5:$B$76=$C222)*(_TECH_Initiative_Library!$C$5:$C$76=$D222),0),0)),"")</f>
        <v>INI-037</v>
      </c>
      <c r="AU222" s="48" t="str">
        <f>IFERROR(INDEX(_TECH_Initiative_Library!$F$5:$F$76,MATCH(1,INDEX((_TECH_Initiative_Library!$B$5:$B$76=$C222)*(_TECH_Initiative_Library!$C$5:$C$76=$D222),0),0)),"")</f>
        <v>Implement MES and shop-floor digital control foundation</v>
      </c>
      <c r="AV222" s="48" t="str">
        <f ca="1">IFERROR(INDEX(_TECH_Initiative_Library!$AC$5:$AC$76,MATCH(1,INDEX((_TECH_Initiative_Library!$B$5:$B$76=$C222)*(_TECH_Initiative_Library!$C$5:$C$76=$D222),0),0)),"")</f>
        <v/>
      </c>
      <c r="AW222" s="48" t="str">
        <f ca="1">IFERROR(INDEX(_TECH_Initiative_Library!$AE$5:$AE$76,MATCH(1,INDEX((_TECH_Initiative_Library!$B$5:$B$76=$C222)*(_TECH_Initiative_Library!$C$5:$C$76=$D222),0),0)),"")</f>
        <v/>
      </c>
      <c r="AX222" s="48" t="str">
        <f>IF($B222="Yes",IFERROR(SUMIFS(_TECH_Industry_Templates!$E:$E,_TECH_Industry_Templates!$A:$A,'Company Profile'!$B$9,_TECH_Industry_Templates!$B:$B,$C222),1),"")</f>
        <v/>
      </c>
      <c r="AY222" s="48" t="str">
        <f t="shared" si="59"/>
        <v/>
      </c>
      <c r="AZ222" s="48" t="str">
        <f t="shared" si="60"/>
        <v/>
      </c>
      <c r="BA222" s="48" t="str">
        <f>IF($AZ222="","",RANK.EQ($AZ222,$AZ$8:$AZ$414,0)+COUNTIF($AZ$8:$AZ222,$AZ222)-1)</f>
        <v/>
      </c>
    </row>
    <row r="223" spans="1:53" ht="69.95" customHeight="1">
      <c r="A223" s="36" t="str">
        <f>IF($AZ223="","",RANK.EQ($AZ223,$AZ$8:$AZ$414,0)+COUNTIF($AZ$8:$AZ223,$AZ223)-1)</f>
        <v/>
      </c>
      <c r="B223" s="36" t="str">
        <f t="shared" si="47"/>
        <v/>
      </c>
      <c r="C223" s="36" t="s">
        <v>81</v>
      </c>
      <c r="D223" s="36" t="s">
        <v>1346</v>
      </c>
      <c r="E223" s="36" t="s">
        <v>4058</v>
      </c>
      <c r="F223" s="36" t="s">
        <v>192</v>
      </c>
      <c r="G223" s="36" t="str">
        <f>IF($H223="","",IFERROR(INDEX('Risk Library'!$H$5:$M$411,MATCH($E223,'Risk Library'!$A$5:$A$411,0),$H223+1),""))</f>
        <v/>
      </c>
      <c r="H223" s="37" t="str">
        <f>IF(OR(COUNTA('Manufacturing MES'!$H$12)=0,'Manufacturing MES'!$H$12="N/A"),"",VALUE('Manufacturing MES'!$H$12))</f>
        <v/>
      </c>
      <c r="I223" s="36" t="str">
        <f>IF($H223="","",IFERROR(IF('Manufacturing MES'!$L$12="",IF($H223&lt;=1,"Critical",IF($H223=2,"High",IF($H223=3,"Medium",IF($H223=4,"Low","Resilient")))),'Manufacturing MES'!$L$12),IF($H223&lt;=1,"Critical",IF($H223=2,"High",IF($H223=3,"Medium",IF($H223=4,"Low","Resilient"))))))</f>
        <v/>
      </c>
      <c r="J223" s="37" t="str">
        <f t="shared" si="48"/>
        <v/>
      </c>
      <c r="K223" s="37" t="str">
        <f t="shared" si="49"/>
        <v/>
      </c>
      <c r="L223" s="37" t="str">
        <f t="shared" si="50"/>
        <v/>
      </c>
      <c r="M223" s="37" t="str">
        <f t="shared" si="51"/>
        <v/>
      </c>
      <c r="N223" s="37" t="str">
        <f>IF($H223="","",IFERROR(INDEX('Risk Library'!$T$5:$Y$411,MATCH($E223,'Risk Library'!$A$5:$A$411,0),$H223+1),""))</f>
        <v/>
      </c>
      <c r="O223" s="37" t="str">
        <f t="shared" si="52"/>
        <v/>
      </c>
      <c r="P223" s="37" t="str">
        <f t="shared" si="53"/>
        <v/>
      </c>
      <c r="Q223" s="37" t="str">
        <f t="shared" si="54"/>
        <v/>
      </c>
      <c r="R223" s="37" t="str">
        <f t="shared" si="55"/>
        <v/>
      </c>
      <c r="S223" s="38" t="str">
        <f t="shared" si="56"/>
        <v/>
      </c>
      <c r="T223" s="36" t="str">
        <f>IF($H223="","",IFERROR(INDEX('Risk Library'!$N$5:$S$411,MATCH($E223,'Risk Library'!$A$5:$A$411,0),$H223+1),""))</f>
        <v/>
      </c>
      <c r="U223" s="37">
        <f>IFERROR('Manufacturing MES'!$G$12,"")</f>
        <v>5</v>
      </c>
      <c r="V223" s="37">
        <f>IFERROR('Manufacturing MES'!$W$12,"")</f>
        <v>5</v>
      </c>
      <c r="W223" s="37">
        <f>IFERROR('Manufacturing MES'!$X$12,"")</f>
        <v>5</v>
      </c>
      <c r="X223" s="37">
        <f>IFERROR('Manufacturing MES'!$Y$12,"")</f>
        <v>5</v>
      </c>
      <c r="Y223" s="36" t="s">
        <v>3995</v>
      </c>
      <c r="Z223" s="36" t="s">
        <v>3996</v>
      </c>
      <c r="AA223" s="36" t="s">
        <v>4060</v>
      </c>
      <c r="AB223" s="36">
        <f>IFERROR('Manufacturing MES'!$U$12,"")</f>
        <v>0</v>
      </c>
      <c r="AC223" s="36"/>
      <c r="AD223" s="36"/>
      <c r="AE223" s="36"/>
      <c r="AF223" s="36" t="s">
        <v>4059</v>
      </c>
      <c r="AO223" s="48" t="str">
        <f>IF($B223="Yes",IFERROR(SUMIFS(_TECH_Crisis_Model!$D$5:$D$191,_TECH_Crisis_Model!$A$5:$A$191,'Crisis Simulator'!$B$4,_TECH_Crisis_Model!$B$5:$B$191,$C223),1),"")</f>
        <v/>
      </c>
      <c r="AP223" s="48" t="str">
        <f t="shared" si="57"/>
        <v/>
      </c>
      <c r="AQ223" s="48" t="str">
        <f t="shared" si="58"/>
        <v/>
      </c>
      <c r="AR223" s="48" t="str">
        <f>IFERROR(INDEX(_TECH_Crisis_Model!$E$5:$E$191,MATCH('Crisis Simulator'!$B$4&amp;"|"&amp;$C223,_TECH_Crisis_Model!$I$5:$I$191,0)),"")</f>
        <v>Production assets, MES, maintenance and utilities determine manufacturing recoverability.</v>
      </c>
      <c r="AS223" s="48" t="str">
        <f>IFERROR(INDEX(_TECH_Crisis_Model!$G$5:$G$191,MATCH('Crisis Simulator'!$B$4&amp;"|"&amp;$C223,_TECH_Crisis_Model!$I$5:$I$191,0)),"")</f>
        <v>Define production fallback, maintenance priorities, spare parts, MES continuity and utility backup.</v>
      </c>
      <c r="AT223" s="48" t="str">
        <f>IFERROR(INDEX(_TECH_Initiative_Library!$A$5:$A$76,MATCH(1,INDEX((_TECH_Initiative_Library!$B$5:$B$76=$C223)*(_TECH_Initiative_Library!$C$5:$C$76=$D223),0),0)),"")</f>
        <v>INI-037</v>
      </c>
      <c r="AU223" s="48" t="str">
        <f>IFERROR(INDEX(_TECH_Initiative_Library!$F$5:$F$76,MATCH(1,INDEX((_TECH_Initiative_Library!$B$5:$B$76=$C223)*(_TECH_Initiative_Library!$C$5:$C$76=$D223),0),0)),"")</f>
        <v>Implement MES and shop-floor digital control foundation</v>
      </c>
      <c r="AV223" s="48" t="str">
        <f ca="1">IFERROR(INDEX(_TECH_Initiative_Library!$AC$5:$AC$76,MATCH(1,INDEX((_TECH_Initiative_Library!$B$5:$B$76=$C223)*(_TECH_Initiative_Library!$C$5:$C$76=$D223),0),0)),"")</f>
        <v/>
      </c>
      <c r="AW223" s="48" t="str">
        <f ca="1">IFERROR(INDEX(_TECH_Initiative_Library!$AE$5:$AE$76,MATCH(1,INDEX((_TECH_Initiative_Library!$B$5:$B$76=$C223)*(_TECH_Initiative_Library!$C$5:$C$76=$D223),0),0)),"")</f>
        <v/>
      </c>
      <c r="AX223" s="48" t="str">
        <f>IF($B223="Yes",IFERROR(SUMIFS(_TECH_Industry_Templates!$E:$E,_TECH_Industry_Templates!$A:$A,'Company Profile'!$B$9,_TECH_Industry_Templates!$B:$B,$C223),1),"")</f>
        <v/>
      </c>
      <c r="AY223" s="48" t="str">
        <f t="shared" si="59"/>
        <v/>
      </c>
      <c r="AZ223" s="48" t="str">
        <f t="shared" si="60"/>
        <v/>
      </c>
      <c r="BA223" s="48" t="str">
        <f>IF($AZ223="","",RANK.EQ($AZ223,$AZ$8:$AZ$414,0)+COUNTIF($AZ$8:$AZ223,$AZ223)-1)</f>
        <v/>
      </c>
    </row>
    <row r="224" spans="1:53" ht="69.95" customHeight="1">
      <c r="A224" s="36" t="str">
        <f>IF($AZ224="","",RANK.EQ($AZ224,$AZ$8:$AZ$414,0)+COUNTIF($AZ$8:$AZ224,$AZ224)-1)</f>
        <v/>
      </c>
      <c r="B224" s="36" t="str">
        <f t="shared" si="47"/>
        <v/>
      </c>
      <c r="C224" s="36" t="s">
        <v>81</v>
      </c>
      <c r="D224" s="36" t="s">
        <v>1346</v>
      </c>
      <c r="E224" s="36" t="s">
        <v>4068</v>
      </c>
      <c r="F224" s="36" t="s">
        <v>192</v>
      </c>
      <c r="G224" s="36" t="str">
        <f>IF($H224="","",IFERROR(INDEX('Risk Library'!$H$5:$M$411,MATCH($E224,'Risk Library'!$A$5:$A$411,0),$H224+1),""))</f>
        <v/>
      </c>
      <c r="H224" s="37" t="str">
        <f>IF(OR(COUNTA('Manufacturing MES'!$H$13)=0,'Manufacturing MES'!$H$13="N/A"),"",VALUE('Manufacturing MES'!$H$13))</f>
        <v/>
      </c>
      <c r="I224" s="36" t="str">
        <f>IF($H224="","",IFERROR(IF('Manufacturing MES'!$L$13="",IF($H224&lt;=1,"Critical",IF($H224=2,"High",IF($H224=3,"Medium",IF($H224=4,"Low","Resilient")))),'Manufacturing MES'!$L$13),IF($H224&lt;=1,"Critical",IF($H224=2,"High",IF($H224=3,"Medium",IF($H224=4,"Low","Resilient"))))))</f>
        <v/>
      </c>
      <c r="J224" s="37" t="str">
        <f t="shared" si="48"/>
        <v/>
      </c>
      <c r="K224" s="37" t="str">
        <f t="shared" si="49"/>
        <v/>
      </c>
      <c r="L224" s="37" t="str">
        <f t="shared" si="50"/>
        <v/>
      </c>
      <c r="M224" s="37" t="str">
        <f t="shared" si="51"/>
        <v/>
      </c>
      <c r="N224" s="37" t="str">
        <f>IF($H224="","",IFERROR(INDEX('Risk Library'!$T$5:$Y$411,MATCH($E224,'Risk Library'!$A$5:$A$411,0),$H224+1),""))</f>
        <v/>
      </c>
      <c r="O224" s="37" t="str">
        <f t="shared" si="52"/>
        <v/>
      </c>
      <c r="P224" s="37" t="str">
        <f t="shared" si="53"/>
        <v/>
      </c>
      <c r="Q224" s="37" t="str">
        <f t="shared" si="54"/>
        <v/>
      </c>
      <c r="R224" s="37" t="str">
        <f t="shared" si="55"/>
        <v/>
      </c>
      <c r="S224" s="38" t="str">
        <f t="shared" si="56"/>
        <v/>
      </c>
      <c r="T224" s="36" t="str">
        <f>IF($H224="","",IFERROR(INDEX('Risk Library'!$N$5:$S$411,MATCH($E224,'Risk Library'!$A$5:$A$411,0),$H224+1),""))</f>
        <v/>
      </c>
      <c r="U224" s="37">
        <f>IFERROR('Manufacturing MES'!$G$13,"")</f>
        <v>5</v>
      </c>
      <c r="V224" s="37">
        <f>IFERROR('Manufacturing MES'!$W$13,"")</f>
        <v>5</v>
      </c>
      <c r="W224" s="37">
        <f>IFERROR('Manufacturing MES'!$X$13,"")</f>
        <v>5</v>
      </c>
      <c r="X224" s="37">
        <f>IFERROR('Manufacturing MES'!$Y$13,"")</f>
        <v>5</v>
      </c>
      <c r="Y224" s="36" t="s">
        <v>3995</v>
      </c>
      <c r="Z224" s="36" t="s">
        <v>3996</v>
      </c>
      <c r="AA224" s="36" t="s">
        <v>4070</v>
      </c>
      <c r="AB224" s="36">
        <f>IFERROR('Manufacturing MES'!$U$13,"")</f>
        <v>0</v>
      </c>
      <c r="AC224" s="36"/>
      <c r="AD224" s="36"/>
      <c r="AE224" s="36"/>
      <c r="AF224" s="36" t="s">
        <v>4069</v>
      </c>
      <c r="AO224" s="48" t="str">
        <f>IF($B224="Yes",IFERROR(SUMIFS(_TECH_Crisis_Model!$D$5:$D$191,_TECH_Crisis_Model!$A$5:$A$191,'Crisis Simulator'!$B$4,_TECH_Crisis_Model!$B$5:$B$191,$C224),1),"")</f>
        <v/>
      </c>
      <c r="AP224" s="48" t="str">
        <f t="shared" si="57"/>
        <v/>
      </c>
      <c r="AQ224" s="48" t="str">
        <f t="shared" si="58"/>
        <v/>
      </c>
      <c r="AR224" s="48" t="str">
        <f>IFERROR(INDEX(_TECH_Crisis_Model!$E$5:$E$191,MATCH('Crisis Simulator'!$B$4&amp;"|"&amp;$C224,_TECH_Crisis_Model!$I$5:$I$191,0)),"")</f>
        <v>Production assets, MES, maintenance and utilities determine manufacturing recoverability.</v>
      </c>
      <c r="AS224" s="48" t="str">
        <f>IFERROR(INDEX(_TECH_Crisis_Model!$G$5:$G$191,MATCH('Crisis Simulator'!$B$4&amp;"|"&amp;$C224,_TECH_Crisis_Model!$I$5:$I$191,0)),"")</f>
        <v>Define production fallback, maintenance priorities, spare parts, MES continuity and utility backup.</v>
      </c>
      <c r="AT224" s="48" t="str">
        <f>IFERROR(INDEX(_TECH_Initiative_Library!$A$5:$A$76,MATCH(1,INDEX((_TECH_Initiative_Library!$B$5:$B$76=$C224)*(_TECH_Initiative_Library!$C$5:$C$76=$D224),0),0)),"")</f>
        <v>INI-037</v>
      </c>
      <c r="AU224" s="48" t="str">
        <f>IFERROR(INDEX(_TECH_Initiative_Library!$F$5:$F$76,MATCH(1,INDEX((_TECH_Initiative_Library!$B$5:$B$76=$C224)*(_TECH_Initiative_Library!$C$5:$C$76=$D224),0),0)),"")</f>
        <v>Implement MES and shop-floor digital control foundation</v>
      </c>
      <c r="AV224" s="48" t="str">
        <f ca="1">IFERROR(INDEX(_TECH_Initiative_Library!$AC$5:$AC$76,MATCH(1,INDEX((_TECH_Initiative_Library!$B$5:$B$76=$C224)*(_TECH_Initiative_Library!$C$5:$C$76=$D224),0),0)),"")</f>
        <v/>
      </c>
      <c r="AW224" s="48" t="str">
        <f ca="1">IFERROR(INDEX(_TECH_Initiative_Library!$AE$5:$AE$76,MATCH(1,INDEX((_TECH_Initiative_Library!$B$5:$B$76=$C224)*(_TECH_Initiative_Library!$C$5:$C$76=$D224),0),0)),"")</f>
        <v/>
      </c>
      <c r="AX224" s="48" t="str">
        <f>IF($B224="Yes",IFERROR(SUMIFS(_TECH_Industry_Templates!$E:$E,_TECH_Industry_Templates!$A:$A,'Company Profile'!$B$9,_TECH_Industry_Templates!$B:$B,$C224),1),"")</f>
        <v/>
      </c>
      <c r="AY224" s="48" t="str">
        <f t="shared" si="59"/>
        <v/>
      </c>
      <c r="AZ224" s="48" t="str">
        <f t="shared" si="60"/>
        <v/>
      </c>
      <c r="BA224" s="48" t="str">
        <f>IF($AZ224="","",RANK.EQ($AZ224,$AZ$8:$AZ$414,0)+COUNTIF($AZ$8:$AZ224,$AZ224)-1)</f>
        <v/>
      </c>
    </row>
    <row r="225" spans="1:53" ht="69.95" customHeight="1">
      <c r="A225" s="36" t="str">
        <f>IF($AZ225="","",RANK.EQ($AZ225,$AZ$8:$AZ$414,0)+COUNTIF($AZ$8:$AZ225,$AZ225)-1)</f>
        <v/>
      </c>
      <c r="B225" s="36" t="str">
        <f t="shared" si="47"/>
        <v/>
      </c>
      <c r="C225" s="36" t="s">
        <v>81</v>
      </c>
      <c r="D225" s="36" t="s">
        <v>1346</v>
      </c>
      <c r="E225" s="36" t="s">
        <v>4078</v>
      </c>
      <c r="F225" s="36" t="s">
        <v>192</v>
      </c>
      <c r="G225" s="36" t="str">
        <f>IF($H225="","",IFERROR(INDEX('Risk Library'!$H$5:$M$411,MATCH($E225,'Risk Library'!$A$5:$A$411,0),$H225+1),""))</f>
        <v/>
      </c>
      <c r="H225" s="37" t="str">
        <f>IF(OR(COUNTA('Manufacturing MES'!$H$14)=0,'Manufacturing MES'!$H$14="N/A"),"",VALUE('Manufacturing MES'!$H$14))</f>
        <v/>
      </c>
      <c r="I225" s="36" t="str">
        <f>IF($H225="","",IFERROR(IF('Manufacturing MES'!$L$14="",IF($H225&lt;=1,"Critical",IF($H225=2,"High",IF($H225=3,"Medium",IF($H225=4,"Low","Resilient")))),'Manufacturing MES'!$L$14),IF($H225&lt;=1,"Critical",IF($H225=2,"High",IF($H225=3,"Medium",IF($H225=4,"Low","Resilient"))))))</f>
        <v/>
      </c>
      <c r="J225" s="37" t="str">
        <f t="shared" si="48"/>
        <v/>
      </c>
      <c r="K225" s="37" t="str">
        <f t="shared" si="49"/>
        <v/>
      </c>
      <c r="L225" s="37" t="str">
        <f t="shared" si="50"/>
        <v/>
      </c>
      <c r="M225" s="37" t="str">
        <f t="shared" si="51"/>
        <v/>
      </c>
      <c r="N225" s="37" t="str">
        <f>IF($H225="","",IFERROR(INDEX('Risk Library'!$T$5:$Y$411,MATCH($E225,'Risk Library'!$A$5:$A$411,0),$H225+1),""))</f>
        <v/>
      </c>
      <c r="O225" s="37" t="str">
        <f t="shared" si="52"/>
        <v/>
      </c>
      <c r="P225" s="37" t="str">
        <f t="shared" si="53"/>
        <v/>
      </c>
      <c r="Q225" s="37" t="str">
        <f t="shared" si="54"/>
        <v/>
      </c>
      <c r="R225" s="37" t="str">
        <f t="shared" si="55"/>
        <v/>
      </c>
      <c r="S225" s="38" t="str">
        <f t="shared" si="56"/>
        <v/>
      </c>
      <c r="T225" s="36" t="str">
        <f>IF($H225="","",IFERROR(INDEX('Risk Library'!$N$5:$S$411,MATCH($E225,'Risk Library'!$A$5:$A$411,0),$H225+1),""))</f>
        <v/>
      </c>
      <c r="U225" s="37">
        <f>IFERROR('Manufacturing MES'!$G$14,"")</f>
        <v>4</v>
      </c>
      <c r="V225" s="37">
        <f>IFERROR('Manufacturing MES'!$W$14,"")</f>
        <v>5</v>
      </c>
      <c r="W225" s="37">
        <f>IFERROR('Manufacturing MES'!$X$14,"")</f>
        <v>5</v>
      </c>
      <c r="X225" s="37">
        <f>IFERROR('Manufacturing MES'!$Y$14,"")</f>
        <v>5</v>
      </c>
      <c r="Y225" s="36" t="s">
        <v>3995</v>
      </c>
      <c r="Z225" s="36" t="s">
        <v>3996</v>
      </c>
      <c r="AA225" s="36" t="s">
        <v>4080</v>
      </c>
      <c r="AB225" s="36">
        <f>IFERROR('Manufacturing MES'!$U$14,"")</f>
        <v>0</v>
      </c>
      <c r="AC225" s="36"/>
      <c r="AD225" s="36"/>
      <c r="AE225" s="36"/>
      <c r="AF225" s="36" t="s">
        <v>4079</v>
      </c>
      <c r="AO225" s="48" t="str">
        <f>IF($B225="Yes",IFERROR(SUMIFS(_TECH_Crisis_Model!$D$5:$D$191,_TECH_Crisis_Model!$A$5:$A$191,'Crisis Simulator'!$B$4,_TECH_Crisis_Model!$B$5:$B$191,$C225),1),"")</f>
        <v/>
      </c>
      <c r="AP225" s="48" t="str">
        <f t="shared" si="57"/>
        <v/>
      </c>
      <c r="AQ225" s="48" t="str">
        <f t="shared" si="58"/>
        <v/>
      </c>
      <c r="AR225" s="48" t="str">
        <f>IFERROR(INDEX(_TECH_Crisis_Model!$E$5:$E$191,MATCH('Crisis Simulator'!$B$4&amp;"|"&amp;$C225,_TECH_Crisis_Model!$I$5:$I$191,0)),"")</f>
        <v>Production assets, MES, maintenance and utilities determine manufacturing recoverability.</v>
      </c>
      <c r="AS225" s="48" t="str">
        <f>IFERROR(INDEX(_TECH_Crisis_Model!$G$5:$G$191,MATCH('Crisis Simulator'!$B$4&amp;"|"&amp;$C225,_TECH_Crisis_Model!$I$5:$I$191,0)),"")</f>
        <v>Define production fallback, maintenance priorities, spare parts, MES continuity and utility backup.</v>
      </c>
      <c r="AT225" s="48" t="str">
        <f>IFERROR(INDEX(_TECH_Initiative_Library!$A$5:$A$76,MATCH(1,INDEX((_TECH_Initiative_Library!$B$5:$B$76=$C225)*(_TECH_Initiative_Library!$C$5:$C$76=$D225),0),0)),"")</f>
        <v>INI-037</v>
      </c>
      <c r="AU225" s="48" t="str">
        <f>IFERROR(INDEX(_TECH_Initiative_Library!$F$5:$F$76,MATCH(1,INDEX((_TECH_Initiative_Library!$B$5:$B$76=$C225)*(_TECH_Initiative_Library!$C$5:$C$76=$D225),0),0)),"")</f>
        <v>Implement MES and shop-floor digital control foundation</v>
      </c>
      <c r="AV225" s="48" t="str">
        <f ca="1">IFERROR(INDEX(_TECH_Initiative_Library!$AC$5:$AC$76,MATCH(1,INDEX((_TECH_Initiative_Library!$B$5:$B$76=$C225)*(_TECH_Initiative_Library!$C$5:$C$76=$D225),0),0)),"")</f>
        <v/>
      </c>
      <c r="AW225" s="48" t="str">
        <f ca="1">IFERROR(INDEX(_TECH_Initiative_Library!$AE$5:$AE$76,MATCH(1,INDEX((_TECH_Initiative_Library!$B$5:$B$76=$C225)*(_TECH_Initiative_Library!$C$5:$C$76=$D225),0),0)),"")</f>
        <v/>
      </c>
      <c r="AX225" s="48" t="str">
        <f>IF($B225="Yes",IFERROR(SUMIFS(_TECH_Industry_Templates!$E:$E,_TECH_Industry_Templates!$A:$A,'Company Profile'!$B$9,_TECH_Industry_Templates!$B:$B,$C225),1),"")</f>
        <v/>
      </c>
      <c r="AY225" s="48" t="str">
        <f t="shared" si="59"/>
        <v/>
      </c>
      <c r="AZ225" s="48" t="str">
        <f t="shared" si="60"/>
        <v/>
      </c>
      <c r="BA225" s="48" t="str">
        <f>IF($AZ225="","",RANK.EQ($AZ225,$AZ$8:$AZ$414,0)+COUNTIF($AZ$8:$AZ225,$AZ225)-1)</f>
        <v/>
      </c>
    </row>
    <row r="226" spans="1:53" ht="69.95" customHeight="1">
      <c r="A226" s="36" t="str">
        <f>IF($AZ226="","",RANK.EQ($AZ226,$AZ$8:$AZ$414,0)+COUNTIF($AZ$8:$AZ226,$AZ226)-1)</f>
        <v/>
      </c>
      <c r="B226" s="36" t="str">
        <f t="shared" si="47"/>
        <v/>
      </c>
      <c r="C226" s="36" t="s">
        <v>81</v>
      </c>
      <c r="D226" s="36" t="s">
        <v>1346</v>
      </c>
      <c r="E226" s="36" t="s">
        <v>4088</v>
      </c>
      <c r="F226" s="36" t="s">
        <v>192</v>
      </c>
      <c r="G226" s="36" t="str">
        <f>IF($H226="","",IFERROR(INDEX('Risk Library'!$H$5:$M$411,MATCH($E226,'Risk Library'!$A$5:$A$411,0),$H226+1),""))</f>
        <v/>
      </c>
      <c r="H226" s="37" t="str">
        <f>IF(OR(COUNTA('Manufacturing MES'!$H$15)=0,'Manufacturing MES'!$H$15="N/A"),"",VALUE('Manufacturing MES'!$H$15))</f>
        <v/>
      </c>
      <c r="I226" s="36" t="str">
        <f>IF($H226="","",IFERROR(IF('Manufacturing MES'!$L$15="",IF($H226&lt;=1,"Critical",IF($H226=2,"High",IF($H226=3,"Medium",IF($H226=4,"Low","Resilient")))),'Manufacturing MES'!$L$15),IF($H226&lt;=1,"Critical",IF($H226=2,"High",IF($H226=3,"Medium",IF($H226=4,"Low","Resilient"))))))</f>
        <v/>
      </c>
      <c r="J226" s="37" t="str">
        <f t="shared" si="48"/>
        <v/>
      </c>
      <c r="K226" s="37" t="str">
        <f t="shared" si="49"/>
        <v/>
      </c>
      <c r="L226" s="37" t="str">
        <f t="shared" si="50"/>
        <v/>
      </c>
      <c r="M226" s="37" t="str">
        <f t="shared" si="51"/>
        <v/>
      </c>
      <c r="N226" s="37" t="str">
        <f>IF($H226="","",IFERROR(INDEX('Risk Library'!$T$5:$Y$411,MATCH($E226,'Risk Library'!$A$5:$A$411,0),$H226+1),""))</f>
        <v/>
      </c>
      <c r="O226" s="37" t="str">
        <f t="shared" si="52"/>
        <v/>
      </c>
      <c r="P226" s="37" t="str">
        <f t="shared" si="53"/>
        <v/>
      </c>
      <c r="Q226" s="37" t="str">
        <f t="shared" si="54"/>
        <v/>
      </c>
      <c r="R226" s="37" t="str">
        <f t="shared" si="55"/>
        <v/>
      </c>
      <c r="S226" s="38" t="str">
        <f t="shared" si="56"/>
        <v/>
      </c>
      <c r="T226" s="36" t="str">
        <f>IF($H226="","",IFERROR(INDEX('Risk Library'!$N$5:$S$411,MATCH($E226,'Risk Library'!$A$5:$A$411,0),$H226+1),""))</f>
        <v/>
      </c>
      <c r="U226" s="37">
        <f>IFERROR('Manufacturing MES'!$G$15,"")</f>
        <v>3</v>
      </c>
      <c r="V226" s="37">
        <f>IFERROR('Manufacturing MES'!$W$15,"")</f>
        <v>5</v>
      </c>
      <c r="W226" s="37">
        <f>IFERROR('Manufacturing MES'!$X$15,"")</f>
        <v>5</v>
      </c>
      <c r="X226" s="37">
        <f>IFERROR('Manufacturing MES'!$Y$15,"")</f>
        <v>5</v>
      </c>
      <c r="Y226" s="36" t="s">
        <v>3995</v>
      </c>
      <c r="Z226" s="36" t="s">
        <v>3996</v>
      </c>
      <c r="AA226" s="36" t="s">
        <v>4090</v>
      </c>
      <c r="AB226" s="36">
        <f>IFERROR('Manufacturing MES'!$U$15,"")</f>
        <v>0</v>
      </c>
      <c r="AC226" s="36"/>
      <c r="AD226" s="36"/>
      <c r="AE226" s="36"/>
      <c r="AF226" s="36" t="s">
        <v>4089</v>
      </c>
      <c r="AO226" s="48" t="str">
        <f>IF($B226="Yes",IFERROR(SUMIFS(_TECH_Crisis_Model!$D$5:$D$191,_TECH_Crisis_Model!$A$5:$A$191,'Crisis Simulator'!$B$4,_TECH_Crisis_Model!$B$5:$B$191,$C226),1),"")</f>
        <v/>
      </c>
      <c r="AP226" s="48" t="str">
        <f t="shared" si="57"/>
        <v/>
      </c>
      <c r="AQ226" s="48" t="str">
        <f t="shared" si="58"/>
        <v/>
      </c>
      <c r="AR226" s="48" t="str">
        <f>IFERROR(INDEX(_TECH_Crisis_Model!$E$5:$E$191,MATCH('Crisis Simulator'!$B$4&amp;"|"&amp;$C226,_TECH_Crisis_Model!$I$5:$I$191,0)),"")</f>
        <v>Production assets, MES, maintenance and utilities determine manufacturing recoverability.</v>
      </c>
      <c r="AS226" s="48" t="str">
        <f>IFERROR(INDEX(_TECH_Crisis_Model!$G$5:$G$191,MATCH('Crisis Simulator'!$B$4&amp;"|"&amp;$C226,_TECH_Crisis_Model!$I$5:$I$191,0)),"")</f>
        <v>Define production fallback, maintenance priorities, spare parts, MES continuity and utility backup.</v>
      </c>
      <c r="AT226" s="48" t="str">
        <f>IFERROR(INDEX(_TECH_Initiative_Library!$A$5:$A$76,MATCH(1,INDEX((_TECH_Initiative_Library!$B$5:$B$76=$C226)*(_TECH_Initiative_Library!$C$5:$C$76=$D226),0),0)),"")</f>
        <v>INI-037</v>
      </c>
      <c r="AU226" s="48" t="str">
        <f>IFERROR(INDEX(_TECH_Initiative_Library!$F$5:$F$76,MATCH(1,INDEX((_TECH_Initiative_Library!$B$5:$B$76=$C226)*(_TECH_Initiative_Library!$C$5:$C$76=$D226),0),0)),"")</f>
        <v>Implement MES and shop-floor digital control foundation</v>
      </c>
      <c r="AV226" s="48" t="str">
        <f ca="1">IFERROR(INDEX(_TECH_Initiative_Library!$AC$5:$AC$76,MATCH(1,INDEX((_TECH_Initiative_Library!$B$5:$B$76=$C226)*(_TECH_Initiative_Library!$C$5:$C$76=$D226),0),0)),"")</f>
        <v/>
      </c>
      <c r="AW226" s="48" t="str">
        <f ca="1">IFERROR(INDEX(_TECH_Initiative_Library!$AE$5:$AE$76,MATCH(1,INDEX((_TECH_Initiative_Library!$B$5:$B$76=$C226)*(_TECH_Initiative_Library!$C$5:$C$76=$D226),0),0)),"")</f>
        <v/>
      </c>
      <c r="AX226" s="48" t="str">
        <f>IF($B226="Yes",IFERROR(SUMIFS(_TECH_Industry_Templates!$E:$E,_TECH_Industry_Templates!$A:$A,'Company Profile'!$B$9,_TECH_Industry_Templates!$B:$B,$C226),1),"")</f>
        <v/>
      </c>
      <c r="AY226" s="48" t="str">
        <f t="shared" si="59"/>
        <v/>
      </c>
      <c r="AZ226" s="48" t="str">
        <f t="shared" si="60"/>
        <v/>
      </c>
      <c r="BA226" s="48" t="str">
        <f>IF($AZ226="","",RANK.EQ($AZ226,$AZ$8:$AZ$414,0)+COUNTIF($AZ$8:$AZ226,$AZ226)-1)</f>
        <v/>
      </c>
    </row>
    <row r="227" spans="1:53" ht="69.95" customHeight="1">
      <c r="A227" s="36" t="str">
        <f>IF($AZ227="","",RANK.EQ($AZ227,$AZ$8:$AZ$414,0)+COUNTIF($AZ$8:$AZ227,$AZ227)-1)</f>
        <v/>
      </c>
      <c r="B227" s="36" t="str">
        <f t="shared" si="47"/>
        <v/>
      </c>
      <c r="C227" s="36" t="s">
        <v>81</v>
      </c>
      <c r="D227" s="36" t="s">
        <v>1346</v>
      </c>
      <c r="E227" s="36" t="s">
        <v>4098</v>
      </c>
      <c r="F227" s="36" t="s">
        <v>192</v>
      </c>
      <c r="G227" s="36" t="str">
        <f>IF($H227="","",IFERROR(INDEX('Risk Library'!$H$5:$M$411,MATCH($E227,'Risk Library'!$A$5:$A$411,0),$H227+1),""))</f>
        <v/>
      </c>
      <c r="H227" s="37" t="str">
        <f>IF(OR(COUNTA('Manufacturing MES'!$H$16)=0,'Manufacturing MES'!$H$16="N/A"),"",VALUE('Manufacturing MES'!$H$16))</f>
        <v/>
      </c>
      <c r="I227" s="36" t="str">
        <f>IF($H227="","",IFERROR(IF('Manufacturing MES'!$L$16="",IF($H227&lt;=1,"Critical",IF($H227=2,"High",IF($H227=3,"Medium",IF($H227=4,"Low","Resilient")))),'Manufacturing MES'!$L$16),IF($H227&lt;=1,"Critical",IF($H227=2,"High",IF($H227=3,"Medium",IF($H227=4,"Low","Resilient"))))))</f>
        <v/>
      </c>
      <c r="J227" s="37" t="str">
        <f t="shared" si="48"/>
        <v/>
      </c>
      <c r="K227" s="37" t="str">
        <f t="shared" si="49"/>
        <v/>
      </c>
      <c r="L227" s="37" t="str">
        <f t="shared" si="50"/>
        <v/>
      </c>
      <c r="M227" s="37" t="str">
        <f t="shared" si="51"/>
        <v/>
      </c>
      <c r="N227" s="37" t="str">
        <f>IF($H227="","",IFERROR(INDEX('Risk Library'!$T$5:$Y$411,MATCH($E227,'Risk Library'!$A$5:$A$411,0),$H227+1),""))</f>
        <v/>
      </c>
      <c r="O227" s="37" t="str">
        <f t="shared" si="52"/>
        <v/>
      </c>
      <c r="P227" s="37" t="str">
        <f t="shared" si="53"/>
        <v/>
      </c>
      <c r="Q227" s="37" t="str">
        <f t="shared" si="54"/>
        <v/>
      </c>
      <c r="R227" s="37" t="str">
        <f t="shared" si="55"/>
        <v/>
      </c>
      <c r="S227" s="38" t="str">
        <f t="shared" si="56"/>
        <v/>
      </c>
      <c r="T227" s="36" t="str">
        <f>IF($H227="","",IFERROR(INDEX('Risk Library'!$N$5:$S$411,MATCH($E227,'Risk Library'!$A$5:$A$411,0),$H227+1),""))</f>
        <v/>
      </c>
      <c r="U227" s="37">
        <f>IFERROR('Manufacturing MES'!$G$16,"")</f>
        <v>5</v>
      </c>
      <c r="V227" s="37">
        <f>IFERROR('Manufacturing MES'!$W$16,"")</f>
        <v>5</v>
      </c>
      <c r="W227" s="37">
        <f>IFERROR('Manufacturing MES'!$X$16,"")</f>
        <v>5</v>
      </c>
      <c r="X227" s="37">
        <f>IFERROR('Manufacturing MES'!$Y$16,"")</f>
        <v>5</v>
      </c>
      <c r="Y227" s="36" t="s">
        <v>3995</v>
      </c>
      <c r="Z227" s="36" t="s">
        <v>3996</v>
      </c>
      <c r="AA227" s="36" t="s">
        <v>4100</v>
      </c>
      <c r="AB227" s="36">
        <f>IFERROR('Manufacturing MES'!$U$16,"")</f>
        <v>0</v>
      </c>
      <c r="AC227" s="36"/>
      <c r="AD227" s="36"/>
      <c r="AE227" s="36"/>
      <c r="AF227" s="36" t="s">
        <v>4099</v>
      </c>
      <c r="AO227" s="48" t="str">
        <f>IF($B227="Yes",IFERROR(SUMIFS(_TECH_Crisis_Model!$D$5:$D$191,_TECH_Crisis_Model!$A$5:$A$191,'Crisis Simulator'!$B$4,_TECH_Crisis_Model!$B$5:$B$191,$C227),1),"")</f>
        <v/>
      </c>
      <c r="AP227" s="48" t="str">
        <f t="shared" si="57"/>
        <v/>
      </c>
      <c r="AQ227" s="48" t="str">
        <f t="shared" si="58"/>
        <v/>
      </c>
      <c r="AR227" s="48" t="str">
        <f>IFERROR(INDEX(_TECH_Crisis_Model!$E$5:$E$191,MATCH('Crisis Simulator'!$B$4&amp;"|"&amp;$C227,_TECH_Crisis_Model!$I$5:$I$191,0)),"")</f>
        <v>Production assets, MES, maintenance and utilities determine manufacturing recoverability.</v>
      </c>
      <c r="AS227" s="48" t="str">
        <f>IFERROR(INDEX(_TECH_Crisis_Model!$G$5:$G$191,MATCH('Crisis Simulator'!$B$4&amp;"|"&amp;$C227,_TECH_Crisis_Model!$I$5:$I$191,0)),"")</f>
        <v>Define production fallback, maintenance priorities, spare parts, MES continuity and utility backup.</v>
      </c>
      <c r="AT227" s="48" t="str">
        <f>IFERROR(INDEX(_TECH_Initiative_Library!$A$5:$A$76,MATCH(1,INDEX((_TECH_Initiative_Library!$B$5:$B$76=$C227)*(_TECH_Initiative_Library!$C$5:$C$76=$D227),0),0)),"")</f>
        <v>INI-037</v>
      </c>
      <c r="AU227" s="48" t="str">
        <f>IFERROR(INDEX(_TECH_Initiative_Library!$F$5:$F$76,MATCH(1,INDEX((_TECH_Initiative_Library!$B$5:$B$76=$C227)*(_TECH_Initiative_Library!$C$5:$C$76=$D227),0),0)),"")</f>
        <v>Implement MES and shop-floor digital control foundation</v>
      </c>
      <c r="AV227" s="48" t="str">
        <f ca="1">IFERROR(INDEX(_TECH_Initiative_Library!$AC$5:$AC$76,MATCH(1,INDEX((_TECH_Initiative_Library!$B$5:$B$76=$C227)*(_TECH_Initiative_Library!$C$5:$C$76=$D227),0),0)),"")</f>
        <v/>
      </c>
      <c r="AW227" s="48" t="str">
        <f ca="1">IFERROR(INDEX(_TECH_Initiative_Library!$AE$5:$AE$76,MATCH(1,INDEX((_TECH_Initiative_Library!$B$5:$B$76=$C227)*(_TECH_Initiative_Library!$C$5:$C$76=$D227),0),0)),"")</f>
        <v/>
      </c>
      <c r="AX227" s="48" t="str">
        <f>IF($B227="Yes",IFERROR(SUMIFS(_TECH_Industry_Templates!$E:$E,_TECH_Industry_Templates!$A:$A,'Company Profile'!$B$9,_TECH_Industry_Templates!$B:$B,$C227),1),"")</f>
        <v/>
      </c>
      <c r="AY227" s="48" t="str">
        <f t="shared" si="59"/>
        <v/>
      </c>
      <c r="AZ227" s="48" t="str">
        <f t="shared" si="60"/>
        <v/>
      </c>
      <c r="BA227" s="48" t="str">
        <f>IF($AZ227="","",RANK.EQ($AZ227,$AZ$8:$AZ$414,0)+COUNTIF($AZ$8:$AZ227,$AZ227)-1)</f>
        <v/>
      </c>
    </row>
    <row r="228" spans="1:53" ht="69.95" customHeight="1">
      <c r="A228" s="36" t="str">
        <f>IF($AZ228="","",RANK.EQ($AZ228,$AZ$8:$AZ$414,0)+COUNTIF($AZ$8:$AZ228,$AZ228)-1)</f>
        <v/>
      </c>
      <c r="B228" s="36" t="str">
        <f t="shared" si="47"/>
        <v/>
      </c>
      <c r="C228" s="36" t="s">
        <v>81</v>
      </c>
      <c r="D228" s="36" t="s">
        <v>1354</v>
      </c>
      <c r="E228" s="36" t="s">
        <v>4108</v>
      </c>
      <c r="F228" s="36" t="s">
        <v>192</v>
      </c>
      <c r="G228" s="36" t="str">
        <f>IF($H228="","",IFERROR(INDEX('Risk Library'!$H$5:$M$411,MATCH($E228,'Risk Library'!$A$5:$A$411,0),$H228+1),""))</f>
        <v/>
      </c>
      <c r="H228" s="37" t="str">
        <f>IF(OR(COUNTA('Manufacturing MES'!$H$17)=0,'Manufacturing MES'!$H$17="N/A"),"",VALUE('Manufacturing MES'!$H$17))</f>
        <v/>
      </c>
      <c r="I228" s="36" t="str">
        <f>IF($H228="","",IFERROR(IF('Manufacturing MES'!$L$17="",IF($H228&lt;=1,"Critical",IF($H228=2,"High",IF($H228=3,"Medium",IF($H228=4,"Low","Resilient")))),'Manufacturing MES'!$L$17),IF($H228&lt;=1,"Critical",IF($H228=2,"High",IF($H228=3,"Medium",IF($H228=4,"Low","Resilient"))))))</f>
        <v/>
      </c>
      <c r="J228" s="37" t="str">
        <f t="shared" si="48"/>
        <v/>
      </c>
      <c r="K228" s="37" t="str">
        <f t="shared" si="49"/>
        <v/>
      </c>
      <c r="L228" s="37" t="str">
        <f t="shared" si="50"/>
        <v/>
      </c>
      <c r="M228" s="37" t="str">
        <f t="shared" si="51"/>
        <v/>
      </c>
      <c r="N228" s="37" t="str">
        <f>IF($H228="","",IFERROR(INDEX('Risk Library'!$T$5:$Y$411,MATCH($E228,'Risk Library'!$A$5:$A$411,0),$H228+1),""))</f>
        <v/>
      </c>
      <c r="O228" s="37" t="str">
        <f t="shared" si="52"/>
        <v/>
      </c>
      <c r="P228" s="37" t="str">
        <f t="shared" si="53"/>
        <v/>
      </c>
      <c r="Q228" s="37" t="str">
        <f t="shared" si="54"/>
        <v/>
      </c>
      <c r="R228" s="37" t="str">
        <f t="shared" si="55"/>
        <v/>
      </c>
      <c r="S228" s="38" t="str">
        <f t="shared" si="56"/>
        <v/>
      </c>
      <c r="T228" s="36" t="str">
        <f>IF($H228="","",IFERROR(INDEX('Risk Library'!$N$5:$S$411,MATCH($E228,'Risk Library'!$A$5:$A$411,0),$H228+1),""))</f>
        <v/>
      </c>
      <c r="U228" s="37">
        <f>IFERROR('Manufacturing MES'!$G$17,"")</f>
        <v>5</v>
      </c>
      <c r="V228" s="37">
        <f>IFERROR('Manufacturing MES'!$W$17,"")</f>
        <v>5</v>
      </c>
      <c r="W228" s="37">
        <f>IFERROR('Manufacturing MES'!$X$17,"")</f>
        <v>5</v>
      </c>
      <c r="X228" s="37">
        <f>IFERROR('Manufacturing MES'!$Y$17,"")</f>
        <v>5</v>
      </c>
      <c r="Y228" s="36" t="s">
        <v>3995</v>
      </c>
      <c r="Z228" s="36" t="s">
        <v>3996</v>
      </c>
      <c r="AA228" s="36" t="s">
        <v>4110</v>
      </c>
      <c r="AB228" s="36">
        <f>IFERROR('Manufacturing MES'!$U$17,"")</f>
        <v>0</v>
      </c>
      <c r="AC228" s="36"/>
      <c r="AD228" s="36"/>
      <c r="AE228" s="36"/>
      <c r="AF228" s="36" t="s">
        <v>4109</v>
      </c>
      <c r="AO228" s="48" t="str">
        <f>IF($B228="Yes",IFERROR(SUMIFS(_TECH_Crisis_Model!$D$5:$D$191,_TECH_Crisis_Model!$A$5:$A$191,'Crisis Simulator'!$B$4,_TECH_Crisis_Model!$B$5:$B$191,$C228),1),"")</f>
        <v/>
      </c>
      <c r="AP228" s="48" t="str">
        <f t="shared" si="57"/>
        <v/>
      </c>
      <c r="AQ228" s="48" t="str">
        <f t="shared" si="58"/>
        <v/>
      </c>
      <c r="AR228" s="48" t="str">
        <f>IFERROR(INDEX(_TECH_Crisis_Model!$E$5:$E$191,MATCH('Crisis Simulator'!$B$4&amp;"|"&amp;$C228,_TECH_Crisis_Model!$I$5:$I$191,0)),"")</f>
        <v>Production assets, MES, maintenance and utilities determine manufacturing recoverability.</v>
      </c>
      <c r="AS228" s="48" t="str">
        <f>IFERROR(INDEX(_TECH_Crisis_Model!$G$5:$G$191,MATCH('Crisis Simulator'!$B$4&amp;"|"&amp;$C228,_TECH_Crisis_Model!$I$5:$I$191,0)),"")</f>
        <v>Define production fallback, maintenance priorities, spare parts, MES continuity and utility backup.</v>
      </c>
      <c r="AT228" s="48" t="str">
        <f>IFERROR(INDEX(_TECH_Initiative_Library!$A$5:$A$76,MATCH(1,INDEX((_TECH_Initiative_Library!$B$5:$B$76=$C228)*(_TECH_Initiative_Library!$C$5:$C$76=$D228),0),0)),"")</f>
        <v>INI-038</v>
      </c>
      <c r="AU228" s="48" t="str">
        <f>IFERROR(INDEX(_TECH_Initiative_Library!$F$5:$F$76,MATCH(1,INDEX((_TECH_Initiative_Library!$B$5:$B$76=$C228)*(_TECH_Initiative_Library!$C$5:$C$76=$D228),0),0)),"")</f>
        <v>Build maintenance, spare-parts and asset resilience program</v>
      </c>
      <c r="AV228" s="48" t="str">
        <f ca="1">IFERROR(INDEX(_TECH_Initiative_Library!$AC$5:$AC$76,MATCH(1,INDEX((_TECH_Initiative_Library!$B$5:$B$76=$C228)*(_TECH_Initiative_Library!$C$5:$C$76=$D228),0),0)),"")</f>
        <v/>
      </c>
      <c r="AW228" s="48" t="str">
        <f ca="1">IFERROR(INDEX(_TECH_Initiative_Library!$AE$5:$AE$76,MATCH(1,INDEX((_TECH_Initiative_Library!$B$5:$B$76=$C228)*(_TECH_Initiative_Library!$C$5:$C$76=$D228),0),0)),"")</f>
        <v/>
      </c>
      <c r="AX228" s="48" t="str">
        <f>IF($B228="Yes",IFERROR(SUMIFS(_TECH_Industry_Templates!$E:$E,_TECH_Industry_Templates!$A:$A,'Company Profile'!$B$9,_TECH_Industry_Templates!$B:$B,$C228),1),"")</f>
        <v/>
      </c>
      <c r="AY228" s="48" t="str">
        <f t="shared" si="59"/>
        <v/>
      </c>
      <c r="AZ228" s="48" t="str">
        <f t="shared" si="60"/>
        <v/>
      </c>
      <c r="BA228" s="48" t="str">
        <f>IF($AZ228="","",RANK.EQ($AZ228,$AZ$8:$AZ$414,0)+COUNTIF($AZ$8:$AZ228,$AZ228)-1)</f>
        <v/>
      </c>
    </row>
    <row r="229" spans="1:53" ht="69.95" customHeight="1">
      <c r="A229" s="36" t="str">
        <f>IF($AZ229="","",RANK.EQ($AZ229,$AZ$8:$AZ$414,0)+COUNTIF($AZ$8:$AZ229,$AZ229)-1)</f>
        <v/>
      </c>
      <c r="B229" s="36" t="str">
        <f t="shared" si="47"/>
        <v/>
      </c>
      <c r="C229" s="36" t="s">
        <v>81</v>
      </c>
      <c r="D229" s="36" t="s">
        <v>1354</v>
      </c>
      <c r="E229" s="36" t="s">
        <v>4118</v>
      </c>
      <c r="F229" s="36" t="s">
        <v>192</v>
      </c>
      <c r="G229" s="36" t="str">
        <f>IF($H229="","",IFERROR(INDEX('Risk Library'!$H$5:$M$411,MATCH($E229,'Risk Library'!$A$5:$A$411,0),$H229+1),""))</f>
        <v/>
      </c>
      <c r="H229" s="37" t="str">
        <f>IF(OR(COUNTA('Manufacturing MES'!$H$18)=0,'Manufacturing MES'!$H$18="N/A"),"",VALUE('Manufacturing MES'!$H$18))</f>
        <v/>
      </c>
      <c r="I229" s="36" t="str">
        <f>IF($H229="","",IFERROR(IF('Manufacturing MES'!$L$18="",IF($H229&lt;=1,"Critical",IF($H229=2,"High",IF($H229=3,"Medium",IF($H229=4,"Low","Resilient")))),'Manufacturing MES'!$L$18),IF($H229&lt;=1,"Critical",IF($H229=2,"High",IF($H229=3,"Medium",IF($H229=4,"Low","Resilient"))))))</f>
        <v/>
      </c>
      <c r="J229" s="37" t="str">
        <f t="shared" si="48"/>
        <v/>
      </c>
      <c r="K229" s="37" t="str">
        <f t="shared" si="49"/>
        <v/>
      </c>
      <c r="L229" s="37" t="str">
        <f t="shared" si="50"/>
        <v/>
      </c>
      <c r="M229" s="37" t="str">
        <f t="shared" si="51"/>
        <v/>
      </c>
      <c r="N229" s="37" t="str">
        <f>IF($H229="","",IFERROR(INDEX('Risk Library'!$T$5:$Y$411,MATCH($E229,'Risk Library'!$A$5:$A$411,0),$H229+1),""))</f>
        <v/>
      </c>
      <c r="O229" s="37" t="str">
        <f t="shared" si="52"/>
        <v/>
      </c>
      <c r="P229" s="37" t="str">
        <f t="shared" si="53"/>
        <v/>
      </c>
      <c r="Q229" s="37" t="str">
        <f t="shared" si="54"/>
        <v/>
      </c>
      <c r="R229" s="37" t="str">
        <f t="shared" si="55"/>
        <v/>
      </c>
      <c r="S229" s="38" t="str">
        <f t="shared" si="56"/>
        <v/>
      </c>
      <c r="T229" s="36" t="str">
        <f>IF($H229="","",IFERROR(INDEX('Risk Library'!$N$5:$S$411,MATCH($E229,'Risk Library'!$A$5:$A$411,0),$H229+1),""))</f>
        <v/>
      </c>
      <c r="U229" s="37">
        <f>IFERROR('Manufacturing MES'!$G$18,"")</f>
        <v>5</v>
      </c>
      <c r="V229" s="37">
        <f>IFERROR('Manufacturing MES'!$W$18,"")</f>
        <v>5</v>
      </c>
      <c r="W229" s="37">
        <f>IFERROR('Manufacturing MES'!$X$18,"")</f>
        <v>5</v>
      </c>
      <c r="X229" s="37">
        <f>IFERROR('Manufacturing MES'!$Y$18,"")</f>
        <v>5</v>
      </c>
      <c r="Y229" s="36" t="s">
        <v>3995</v>
      </c>
      <c r="Z229" s="36" t="s">
        <v>3996</v>
      </c>
      <c r="AA229" s="36" t="s">
        <v>4120</v>
      </c>
      <c r="AB229" s="36">
        <f>IFERROR('Manufacturing MES'!$U$18,"")</f>
        <v>0</v>
      </c>
      <c r="AC229" s="36"/>
      <c r="AD229" s="36"/>
      <c r="AE229" s="36"/>
      <c r="AF229" s="36" t="s">
        <v>4119</v>
      </c>
      <c r="AO229" s="48" t="str">
        <f>IF($B229="Yes",IFERROR(SUMIFS(_TECH_Crisis_Model!$D$5:$D$191,_TECH_Crisis_Model!$A$5:$A$191,'Crisis Simulator'!$B$4,_TECH_Crisis_Model!$B$5:$B$191,$C229),1),"")</f>
        <v/>
      </c>
      <c r="AP229" s="48" t="str">
        <f t="shared" si="57"/>
        <v/>
      </c>
      <c r="AQ229" s="48" t="str">
        <f t="shared" si="58"/>
        <v/>
      </c>
      <c r="AR229" s="48" t="str">
        <f>IFERROR(INDEX(_TECH_Crisis_Model!$E$5:$E$191,MATCH('Crisis Simulator'!$B$4&amp;"|"&amp;$C229,_TECH_Crisis_Model!$I$5:$I$191,0)),"")</f>
        <v>Production assets, MES, maintenance and utilities determine manufacturing recoverability.</v>
      </c>
      <c r="AS229" s="48" t="str">
        <f>IFERROR(INDEX(_TECH_Crisis_Model!$G$5:$G$191,MATCH('Crisis Simulator'!$B$4&amp;"|"&amp;$C229,_TECH_Crisis_Model!$I$5:$I$191,0)),"")</f>
        <v>Define production fallback, maintenance priorities, spare parts, MES continuity and utility backup.</v>
      </c>
      <c r="AT229" s="48" t="str">
        <f>IFERROR(INDEX(_TECH_Initiative_Library!$A$5:$A$76,MATCH(1,INDEX((_TECH_Initiative_Library!$B$5:$B$76=$C229)*(_TECH_Initiative_Library!$C$5:$C$76=$D229),0),0)),"")</f>
        <v>INI-038</v>
      </c>
      <c r="AU229" s="48" t="str">
        <f>IFERROR(INDEX(_TECH_Initiative_Library!$F$5:$F$76,MATCH(1,INDEX((_TECH_Initiative_Library!$B$5:$B$76=$C229)*(_TECH_Initiative_Library!$C$5:$C$76=$D229),0),0)),"")</f>
        <v>Build maintenance, spare-parts and asset resilience program</v>
      </c>
      <c r="AV229" s="48" t="str">
        <f ca="1">IFERROR(INDEX(_TECH_Initiative_Library!$AC$5:$AC$76,MATCH(1,INDEX((_TECH_Initiative_Library!$B$5:$B$76=$C229)*(_TECH_Initiative_Library!$C$5:$C$76=$D229),0),0)),"")</f>
        <v/>
      </c>
      <c r="AW229" s="48" t="str">
        <f ca="1">IFERROR(INDEX(_TECH_Initiative_Library!$AE$5:$AE$76,MATCH(1,INDEX((_TECH_Initiative_Library!$B$5:$B$76=$C229)*(_TECH_Initiative_Library!$C$5:$C$76=$D229),0),0)),"")</f>
        <v/>
      </c>
      <c r="AX229" s="48" t="str">
        <f>IF($B229="Yes",IFERROR(SUMIFS(_TECH_Industry_Templates!$E:$E,_TECH_Industry_Templates!$A:$A,'Company Profile'!$B$9,_TECH_Industry_Templates!$B:$B,$C229),1),"")</f>
        <v/>
      </c>
      <c r="AY229" s="48" t="str">
        <f t="shared" si="59"/>
        <v/>
      </c>
      <c r="AZ229" s="48" t="str">
        <f t="shared" si="60"/>
        <v/>
      </c>
      <c r="BA229" s="48" t="str">
        <f>IF($AZ229="","",RANK.EQ($AZ229,$AZ$8:$AZ$414,0)+COUNTIF($AZ$8:$AZ229,$AZ229)-1)</f>
        <v/>
      </c>
    </row>
    <row r="230" spans="1:53" ht="69.95" customHeight="1">
      <c r="A230" s="36" t="str">
        <f>IF($AZ230="","",RANK.EQ($AZ230,$AZ$8:$AZ$414,0)+COUNTIF($AZ$8:$AZ230,$AZ230)-1)</f>
        <v/>
      </c>
      <c r="B230" s="36" t="str">
        <f t="shared" si="47"/>
        <v/>
      </c>
      <c r="C230" s="36" t="s">
        <v>81</v>
      </c>
      <c r="D230" s="36" t="s">
        <v>1354</v>
      </c>
      <c r="E230" s="36" t="s">
        <v>4128</v>
      </c>
      <c r="F230" s="36" t="s">
        <v>192</v>
      </c>
      <c r="G230" s="36" t="str">
        <f>IF($H230="","",IFERROR(INDEX('Risk Library'!$H$5:$M$411,MATCH($E230,'Risk Library'!$A$5:$A$411,0),$H230+1),""))</f>
        <v/>
      </c>
      <c r="H230" s="37" t="str">
        <f>IF(OR(COUNTA('Manufacturing MES'!$H$19)=0,'Manufacturing MES'!$H$19="N/A"),"",VALUE('Manufacturing MES'!$H$19))</f>
        <v/>
      </c>
      <c r="I230" s="36" t="str">
        <f>IF($H230="","",IFERROR(IF('Manufacturing MES'!$L$19="",IF($H230&lt;=1,"Critical",IF($H230=2,"High",IF($H230=3,"Medium",IF($H230=4,"Low","Resilient")))),'Manufacturing MES'!$L$19),IF($H230&lt;=1,"Critical",IF($H230=2,"High",IF($H230=3,"Medium",IF($H230=4,"Low","Resilient"))))))</f>
        <v/>
      </c>
      <c r="J230" s="37" t="str">
        <f t="shared" si="48"/>
        <v/>
      </c>
      <c r="K230" s="37" t="str">
        <f t="shared" si="49"/>
        <v/>
      </c>
      <c r="L230" s="37" t="str">
        <f t="shared" si="50"/>
        <v/>
      </c>
      <c r="M230" s="37" t="str">
        <f t="shared" si="51"/>
        <v/>
      </c>
      <c r="N230" s="37" t="str">
        <f>IF($H230="","",IFERROR(INDEX('Risk Library'!$T$5:$Y$411,MATCH($E230,'Risk Library'!$A$5:$A$411,0),$H230+1),""))</f>
        <v/>
      </c>
      <c r="O230" s="37" t="str">
        <f t="shared" si="52"/>
        <v/>
      </c>
      <c r="P230" s="37" t="str">
        <f t="shared" si="53"/>
        <v/>
      </c>
      <c r="Q230" s="37" t="str">
        <f t="shared" si="54"/>
        <v/>
      </c>
      <c r="R230" s="37" t="str">
        <f t="shared" si="55"/>
        <v/>
      </c>
      <c r="S230" s="38" t="str">
        <f t="shared" si="56"/>
        <v/>
      </c>
      <c r="T230" s="36" t="str">
        <f>IF($H230="","",IFERROR(INDEX('Risk Library'!$N$5:$S$411,MATCH($E230,'Risk Library'!$A$5:$A$411,0),$H230+1),""))</f>
        <v/>
      </c>
      <c r="U230" s="37">
        <f>IFERROR('Manufacturing MES'!$G$19,"")</f>
        <v>5</v>
      </c>
      <c r="V230" s="37">
        <f>IFERROR('Manufacturing MES'!$W$19,"")</f>
        <v>5</v>
      </c>
      <c r="W230" s="37">
        <f>IFERROR('Manufacturing MES'!$X$19,"")</f>
        <v>5</v>
      </c>
      <c r="X230" s="37">
        <f>IFERROR('Manufacturing MES'!$Y$19,"")</f>
        <v>5</v>
      </c>
      <c r="Y230" s="36" t="s">
        <v>3995</v>
      </c>
      <c r="Z230" s="36" t="s">
        <v>3996</v>
      </c>
      <c r="AA230" s="36" t="s">
        <v>4130</v>
      </c>
      <c r="AB230" s="36">
        <f>IFERROR('Manufacturing MES'!$U$19,"")</f>
        <v>0</v>
      </c>
      <c r="AC230" s="36"/>
      <c r="AD230" s="36"/>
      <c r="AE230" s="36"/>
      <c r="AF230" s="36" t="s">
        <v>4129</v>
      </c>
      <c r="AO230" s="48" t="str">
        <f>IF($B230="Yes",IFERROR(SUMIFS(_TECH_Crisis_Model!$D$5:$D$191,_TECH_Crisis_Model!$A$5:$A$191,'Crisis Simulator'!$B$4,_TECH_Crisis_Model!$B$5:$B$191,$C230),1),"")</f>
        <v/>
      </c>
      <c r="AP230" s="48" t="str">
        <f t="shared" si="57"/>
        <v/>
      </c>
      <c r="AQ230" s="48" t="str">
        <f t="shared" si="58"/>
        <v/>
      </c>
      <c r="AR230" s="48" t="str">
        <f>IFERROR(INDEX(_TECH_Crisis_Model!$E$5:$E$191,MATCH('Crisis Simulator'!$B$4&amp;"|"&amp;$C230,_TECH_Crisis_Model!$I$5:$I$191,0)),"")</f>
        <v>Production assets, MES, maintenance and utilities determine manufacturing recoverability.</v>
      </c>
      <c r="AS230" s="48" t="str">
        <f>IFERROR(INDEX(_TECH_Crisis_Model!$G$5:$G$191,MATCH('Crisis Simulator'!$B$4&amp;"|"&amp;$C230,_TECH_Crisis_Model!$I$5:$I$191,0)),"")</f>
        <v>Define production fallback, maintenance priorities, spare parts, MES continuity and utility backup.</v>
      </c>
      <c r="AT230" s="48" t="str">
        <f>IFERROR(INDEX(_TECH_Initiative_Library!$A$5:$A$76,MATCH(1,INDEX((_TECH_Initiative_Library!$B$5:$B$76=$C230)*(_TECH_Initiative_Library!$C$5:$C$76=$D230),0),0)),"")</f>
        <v>INI-038</v>
      </c>
      <c r="AU230" s="48" t="str">
        <f>IFERROR(INDEX(_TECH_Initiative_Library!$F$5:$F$76,MATCH(1,INDEX((_TECH_Initiative_Library!$B$5:$B$76=$C230)*(_TECH_Initiative_Library!$C$5:$C$76=$D230),0),0)),"")</f>
        <v>Build maintenance, spare-parts and asset resilience program</v>
      </c>
      <c r="AV230" s="48" t="str">
        <f ca="1">IFERROR(INDEX(_TECH_Initiative_Library!$AC$5:$AC$76,MATCH(1,INDEX((_TECH_Initiative_Library!$B$5:$B$76=$C230)*(_TECH_Initiative_Library!$C$5:$C$76=$D230),0),0)),"")</f>
        <v/>
      </c>
      <c r="AW230" s="48" t="str">
        <f ca="1">IFERROR(INDEX(_TECH_Initiative_Library!$AE$5:$AE$76,MATCH(1,INDEX((_TECH_Initiative_Library!$B$5:$B$76=$C230)*(_TECH_Initiative_Library!$C$5:$C$76=$D230),0),0)),"")</f>
        <v/>
      </c>
      <c r="AX230" s="48" t="str">
        <f>IF($B230="Yes",IFERROR(SUMIFS(_TECH_Industry_Templates!$E:$E,_TECH_Industry_Templates!$A:$A,'Company Profile'!$B$9,_TECH_Industry_Templates!$B:$B,$C230),1),"")</f>
        <v/>
      </c>
      <c r="AY230" s="48" t="str">
        <f t="shared" si="59"/>
        <v/>
      </c>
      <c r="AZ230" s="48" t="str">
        <f t="shared" si="60"/>
        <v/>
      </c>
      <c r="BA230" s="48" t="str">
        <f>IF($AZ230="","",RANK.EQ($AZ230,$AZ$8:$AZ$414,0)+COUNTIF($AZ$8:$AZ230,$AZ230)-1)</f>
        <v/>
      </c>
    </row>
    <row r="231" spans="1:53" ht="69.95" customHeight="1">
      <c r="A231" s="36" t="str">
        <f>IF($AZ231="","",RANK.EQ($AZ231,$AZ$8:$AZ$414,0)+COUNTIF($AZ$8:$AZ231,$AZ231)-1)</f>
        <v/>
      </c>
      <c r="B231" s="36" t="str">
        <f t="shared" si="47"/>
        <v/>
      </c>
      <c r="C231" s="36" t="s">
        <v>81</v>
      </c>
      <c r="D231" s="36" t="s">
        <v>1354</v>
      </c>
      <c r="E231" s="36" t="s">
        <v>4138</v>
      </c>
      <c r="F231" s="36" t="s">
        <v>192</v>
      </c>
      <c r="G231" s="36" t="str">
        <f>IF($H231="","",IFERROR(INDEX('Risk Library'!$H$5:$M$411,MATCH($E231,'Risk Library'!$A$5:$A$411,0),$H231+1),""))</f>
        <v/>
      </c>
      <c r="H231" s="37" t="str">
        <f>IF(OR(COUNTA('Manufacturing MES'!$H$20)=0,'Manufacturing MES'!$H$20="N/A"),"",VALUE('Manufacturing MES'!$H$20))</f>
        <v/>
      </c>
      <c r="I231" s="36" t="str">
        <f>IF($H231="","",IFERROR(IF('Manufacturing MES'!$L$20="",IF($H231&lt;=1,"Critical",IF($H231=2,"High",IF($H231=3,"Medium",IF($H231=4,"Low","Resilient")))),'Manufacturing MES'!$L$20),IF($H231&lt;=1,"Critical",IF($H231=2,"High",IF($H231=3,"Medium",IF($H231=4,"Low","Resilient"))))))</f>
        <v/>
      </c>
      <c r="J231" s="37" t="str">
        <f t="shared" si="48"/>
        <v/>
      </c>
      <c r="K231" s="37" t="str">
        <f t="shared" si="49"/>
        <v/>
      </c>
      <c r="L231" s="37" t="str">
        <f t="shared" si="50"/>
        <v/>
      </c>
      <c r="M231" s="37" t="str">
        <f t="shared" si="51"/>
        <v/>
      </c>
      <c r="N231" s="37" t="str">
        <f>IF($H231="","",IFERROR(INDEX('Risk Library'!$T$5:$Y$411,MATCH($E231,'Risk Library'!$A$5:$A$411,0),$H231+1),""))</f>
        <v/>
      </c>
      <c r="O231" s="37" t="str">
        <f t="shared" si="52"/>
        <v/>
      </c>
      <c r="P231" s="37" t="str">
        <f t="shared" si="53"/>
        <v/>
      </c>
      <c r="Q231" s="37" t="str">
        <f t="shared" si="54"/>
        <v/>
      </c>
      <c r="R231" s="37" t="str">
        <f t="shared" si="55"/>
        <v/>
      </c>
      <c r="S231" s="38" t="str">
        <f t="shared" si="56"/>
        <v/>
      </c>
      <c r="T231" s="36" t="str">
        <f>IF($H231="","",IFERROR(INDEX('Risk Library'!$N$5:$S$411,MATCH($E231,'Risk Library'!$A$5:$A$411,0),$H231+1),""))</f>
        <v/>
      </c>
      <c r="U231" s="37">
        <f>IFERROR('Manufacturing MES'!$G$20,"")</f>
        <v>3</v>
      </c>
      <c r="V231" s="37">
        <f>IFERROR('Manufacturing MES'!$W$20,"")</f>
        <v>5</v>
      </c>
      <c r="W231" s="37">
        <f>IFERROR('Manufacturing MES'!$X$20,"")</f>
        <v>5</v>
      </c>
      <c r="X231" s="37">
        <f>IFERROR('Manufacturing MES'!$Y$20,"")</f>
        <v>5</v>
      </c>
      <c r="Y231" s="36" t="s">
        <v>3995</v>
      </c>
      <c r="Z231" s="36" t="s">
        <v>3996</v>
      </c>
      <c r="AA231" s="36" t="s">
        <v>4140</v>
      </c>
      <c r="AB231" s="36">
        <f>IFERROR('Manufacturing MES'!$U$20,"")</f>
        <v>0</v>
      </c>
      <c r="AC231" s="36"/>
      <c r="AD231" s="36"/>
      <c r="AE231" s="36"/>
      <c r="AF231" s="36" t="s">
        <v>4139</v>
      </c>
      <c r="AO231" s="48" t="str">
        <f>IF($B231="Yes",IFERROR(SUMIFS(_TECH_Crisis_Model!$D$5:$D$191,_TECH_Crisis_Model!$A$5:$A$191,'Crisis Simulator'!$B$4,_TECH_Crisis_Model!$B$5:$B$191,$C231),1),"")</f>
        <v/>
      </c>
      <c r="AP231" s="48" t="str">
        <f t="shared" si="57"/>
        <v/>
      </c>
      <c r="AQ231" s="48" t="str">
        <f t="shared" si="58"/>
        <v/>
      </c>
      <c r="AR231" s="48" t="str">
        <f>IFERROR(INDEX(_TECH_Crisis_Model!$E$5:$E$191,MATCH('Crisis Simulator'!$B$4&amp;"|"&amp;$C231,_TECH_Crisis_Model!$I$5:$I$191,0)),"")</f>
        <v>Production assets, MES, maintenance and utilities determine manufacturing recoverability.</v>
      </c>
      <c r="AS231" s="48" t="str">
        <f>IFERROR(INDEX(_TECH_Crisis_Model!$G$5:$G$191,MATCH('Crisis Simulator'!$B$4&amp;"|"&amp;$C231,_TECH_Crisis_Model!$I$5:$I$191,0)),"")</f>
        <v>Define production fallback, maintenance priorities, spare parts, MES continuity and utility backup.</v>
      </c>
      <c r="AT231" s="48" t="str">
        <f>IFERROR(INDEX(_TECH_Initiative_Library!$A$5:$A$76,MATCH(1,INDEX((_TECH_Initiative_Library!$B$5:$B$76=$C231)*(_TECH_Initiative_Library!$C$5:$C$76=$D231),0),0)),"")</f>
        <v>INI-038</v>
      </c>
      <c r="AU231" s="48" t="str">
        <f>IFERROR(INDEX(_TECH_Initiative_Library!$F$5:$F$76,MATCH(1,INDEX((_TECH_Initiative_Library!$B$5:$B$76=$C231)*(_TECH_Initiative_Library!$C$5:$C$76=$D231),0),0)),"")</f>
        <v>Build maintenance, spare-parts and asset resilience program</v>
      </c>
      <c r="AV231" s="48" t="str">
        <f ca="1">IFERROR(INDEX(_TECH_Initiative_Library!$AC$5:$AC$76,MATCH(1,INDEX((_TECH_Initiative_Library!$B$5:$B$76=$C231)*(_TECH_Initiative_Library!$C$5:$C$76=$D231),0),0)),"")</f>
        <v/>
      </c>
      <c r="AW231" s="48" t="str">
        <f ca="1">IFERROR(INDEX(_TECH_Initiative_Library!$AE$5:$AE$76,MATCH(1,INDEX((_TECH_Initiative_Library!$B$5:$B$76=$C231)*(_TECH_Initiative_Library!$C$5:$C$76=$D231),0),0)),"")</f>
        <v/>
      </c>
      <c r="AX231" s="48" t="str">
        <f>IF($B231="Yes",IFERROR(SUMIFS(_TECH_Industry_Templates!$E:$E,_TECH_Industry_Templates!$A:$A,'Company Profile'!$B$9,_TECH_Industry_Templates!$B:$B,$C231),1),"")</f>
        <v/>
      </c>
      <c r="AY231" s="48" t="str">
        <f t="shared" si="59"/>
        <v/>
      </c>
      <c r="AZ231" s="48" t="str">
        <f t="shared" si="60"/>
        <v/>
      </c>
      <c r="BA231" s="48" t="str">
        <f>IF($AZ231="","",RANK.EQ($AZ231,$AZ$8:$AZ$414,0)+COUNTIF($AZ$8:$AZ231,$AZ231)-1)</f>
        <v/>
      </c>
    </row>
    <row r="232" spans="1:53" ht="69.95" customHeight="1">
      <c r="A232" s="36" t="str">
        <f>IF($AZ232="","",RANK.EQ($AZ232,$AZ$8:$AZ$414,0)+COUNTIF($AZ$8:$AZ232,$AZ232)-1)</f>
        <v/>
      </c>
      <c r="B232" s="36" t="str">
        <f t="shared" si="47"/>
        <v/>
      </c>
      <c r="C232" s="36" t="s">
        <v>81</v>
      </c>
      <c r="D232" s="36" t="s">
        <v>1354</v>
      </c>
      <c r="E232" s="36" t="s">
        <v>4148</v>
      </c>
      <c r="F232" s="36" t="s">
        <v>192</v>
      </c>
      <c r="G232" s="36" t="str">
        <f>IF($H232="","",IFERROR(INDEX('Risk Library'!$H$5:$M$411,MATCH($E232,'Risk Library'!$A$5:$A$411,0),$H232+1),""))</f>
        <v/>
      </c>
      <c r="H232" s="37" t="str">
        <f>IF(OR(COUNTA('Manufacturing MES'!$H$21)=0,'Manufacturing MES'!$H$21="N/A"),"",VALUE('Manufacturing MES'!$H$21))</f>
        <v/>
      </c>
      <c r="I232" s="36" t="str">
        <f>IF($H232="","",IFERROR(IF('Manufacturing MES'!$L$21="",IF($H232&lt;=1,"Critical",IF($H232=2,"High",IF($H232=3,"Medium",IF($H232=4,"Low","Resilient")))),'Manufacturing MES'!$L$21),IF($H232&lt;=1,"Critical",IF($H232=2,"High",IF($H232=3,"Medium",IF($H232=4,"Low","Resilient"))))))</f>
        <v/>
      </c>
      <c r="J232" s="37" t="str">
        <f t="shared" si="48"/>
        <v/>
      </c>
      <c r="K232" s="37" t="str">
        <f t="shared" si="49"/>
        <v/>
      </c>
      <c r="L232" s="37" t="str">
        <f t="shared" si="50"/>
        <v/>
      </c>
      <c r="M232" s="37" t="str">
        <f t="shared" si="51"/>
        <v/>
      </c>
      <c r="N232" s="37" t="str">
        <f>IF($H232="","",IFERROR(INDEX('Risk Library'!$T$5:$Y$411,MATCH($E232,'Risk Library'!$A$5:$A$411,0),$H232+1),""))</f>
        <v/>
      </c>
      <c r="O232" s="37" t="str">
        <f t="shared" si="52"/>
        <v/>
      </c>
      <c r="P232" s="37" t="str">
        <f t="shared" si="53"/>
        <v/>
      </c>
      <c r="Q232" s="37" t="str">
        <f t="shared" si="54"/>
        <v/>
      </c>
      <c r="R232" s="37" t="str">
        <f t="shared" si="55"/>
        <v/>
      </c>
      <c r="S232" s="38" t="str">
        <f t="shared" si="56"/>
        <v/>
      </c>
      <c r="T232" s="36" t="str">
        <f>IF($H232="","",IFERROR(INDEX('Risk Library'!$N$5:$S$411,MATCH($E232,'Risk Library'!$A$5:$A$411,0),$H232+1),""))</f>
        <v/>
      </c>
      <c r="U232" s="37">
        <f>IFERROR('Manufacturing MES'!$G$21,"")</f>
        <v>5</v>
      </c>
      <c r="V232" s="37">
        <f>IFERROR('Manufacturing MES'!$W$21,"")</f>
        <v>5</v>
      </c>
      <c r="W232" s="37">
        <f>IFERROR('Manufacturing MES'!$X$21,"")</f>
        <v>5</v>
      </c>
      <c r="X232" s="37">
        <f>IFERROR('Manufacturing MES'!$Y$21,"")</f>
        <v>5</v>
      </c>
      <c r="Y232" s="36" t="s">
        <v>3995</v>
      </c>
      <c r="Z232" s="36" t="s">
        <v>3996</v>
      </c>
      <c r="AA232" s="36" t="s">
        <v>4150</v>
      </c>
      <c r="AB232" s="36">
        <f>IFERROR('Manufacturing MES'!$U$21,"")</f>
        <v>0</v>
      </c>
      <c r="AC232" s="36"/>
      <c r="AD232" s="36"/>
      <c r="AE232" s="36"/>
      <c r="AF232" s="36" t="s">
        <v>4149</v>
      </c>
      <c r="AO232" s="48" t="str">
        <f>IF($B232="Yes",IFERROR(SUMIFS(_TECH_Crisis_Model!$D$5:$D$191,_TECH_Crisis_Model!$A$5:$A$191,'Crisis Simulator'!$B$4,_TECH_Crisis_Model!$B$5:$B$191,$C232),1),"")</f>
        <v/>
      </c>
      <c r="AP232" s="48" t="str">
        <f t="shared" si="57"/>
        <v/>
      </c>
      <c r="AQ232" s="48" t="str">
        <f t="shared" si="58"/>
        <v/>
      </c>
      <c r="AR232" s="48" t="str">
        <f>IFERROR(INDEX(_TECH_Crisis_Model!$E$5:$E$191,MATCH('Crisis Simulator'!$B$4&amp;"|"&amp;$C232,_TECH_Crisis_Model!$I$5:$I$191,0)),"")</f>
        <v>Production assets, MES, maintenance and utilities determine manufacturing recoverability.</v>
      </c>
      <c r="AS232" s="48" t="str">
        <f>IFERROR(INDEX(_TECH_Crisis_Model!$G$5:$G$191,MATCH('Crisis Simulator'!$B$4&amp;"|"&amp;$C232,_TECH_Crisis_Model!$I$5:$I$191,0)),"")</f>
        <v>Define production fallback, maintenance priorities, spare parts, MES continuity and utility backup.</v>
      </c>
      <c r="AT232" s="48" t="str">
        <f>IFERROR(INDEX(_TECH_Initiative_Library!$A$5:$A$76,MATCH(1,INDEX((_TECH_Initiative_Library!$B$5:$B$76=$C232)*(_TECH_Initiative_Library!$C$5:$C$76=$D232),0),0)),"")</f>
        <v>INI-038</v>
      </c>
      <c r="AU232" s="48" t="str">
        <f>IFERROR(INDEX(_TECH_Initiative_Library!$F$5:$F$76,MATCH(1,INDEX((_TECH_Initiative_Library!$B$5:$B$76=$C232)*(_TECH_Initiative_Library!$C$5:$C$76=$D232),0),0)),"")</f>
        <v>Build maintenance, spare-parts and asset resilience program</v>
      </c>
      <c r="AV232" s="48" t="str">
        <f ca="1">IFERROR(INDEX(_TECH_Initiative_Library!$AC$5:$AC$76,MATCH(1,INDEX((_TECH_Initiative_Library!$B$5:$B$76=$C232)*(_TECH_Initiative_Library!$C$5:$C$76=$D232),0),0)),"")</f>
        <v/>
      </c>
      <c r="AW232" s="48" t="str">
        <f ca="1">IFERROR(INDEX(_TECH_Initiative_Library!$AE$5:$AE$76,MATCH(1,INDEX((_TECH_Initiative_Library!$B$5:$B$76=$C232)*(_TECH_Initiative_Library!$C$5:$C$76=$D232),0),0)),"")</f>
        <v/>
      </c>
      <c r="AX232" s="48" t="str">
        <f>IF($B232="Yes",IFERROR(SUMIFS(_TECH_Industry_Templates!$E:$E,_TECH_Industry_Templates!$A:$A,'Company Profile'!$B$9,_TECH_Industry_Templates!$B:$B,$C232),1),"")</f>
        <v/>
      </c>
      <c r="AY232" s="48" t="str">
        <f t="shared" si="59"/>
        <v/>
      </c>
      <c r="AZ232" s="48" t="str">
        <f t="shared" si="60"/>
        <v/>
      </c>
      <c r="BA232" s="48" t="str">
        <f>IF($AZ232="","",RANK.EQ($AZ232,$AZ$8:$AZ$414,0)+COUNTIF($AZ$8:$AZ232,$AZ232)-1)</f>
        <v/>
      </c>
    </row>
    <row r="233" spans="1:53" ht="69.95" customHeight="1">
      <c r="A233" s="36" t="str">
        <f>IF($AZ233="","",RANK.EQ($AZ233,$AZ$8:$AZ$414,0)+COUNTIF($AZ$8:$AZ233,$AZ233)-1)</f>
        <v/>
      </c>
      <c r="B233" s="36" t="str">
        <f t="shared" si="47"/>
        <v/>
      </c>
      <c r="C233" s="36" t="s">
        <v>81</v>
      </c>
      <c r="D233" s="36" t="s">
        <v>1354</v>
      </c>
      <c r="E233" s="36" t="s">
        <v>4158</v>
      </c>
      <c r="F233" s="36" t="s">
        <v>192</v>
      </c>
      <c r="G233" s="36" t="str">
        <f>IF($H233="","",IFERROR(INDEX('Risk Library'!$H$5:$M$411,MATCH($E233,'Risk Library'!$A$5:$A$411,0),$H233+1),""))</f>
        <v/>
      </c>
      <c r="H233" s="37" t="str">
        <f>IF(OR(COUNTA('Manufacturing MES'!$H$22)=0,'Manufacturing MES'!$H$22="N/A"),"",VALUE('Manufacturing MES'!$H$22))</f>
        <v/>
      </c>
      <c r="I233" s="36" t="str">
        <f>IF($H233="","",IFERROR(IF('Manufacturing MES'!$L$22="",IF($H233&lt;=1,"Critical",IF($H233=2,"High",IF($H233=3,"Medium",IF($H233=4,"Low","Resilient")))),'Manufacturing MES'!$L$22),IF($H233&lt;=1,"Critical",IF($H233=2,"High",IF($H233=3,"Medium",IF($H233=4,"Low","Resilient"))))))</f>
        <v/>
      </c>
      <c r="J233" s="37" t="str">
        <f t="shared" si="48"/>
        <v/>
      </c>
      <c r="K233" s="37" t="str">
        <f t="shared" si="49"/>
        <v/>
      </c>
      <c r="L233" s="37" t="str">
        <f t="shared" si="50"/>
        <v/>
      </c>
      <c r="M233" s="37" t="str">
        <f t="shared" si="51"/>
        <v/>
      </c>
      <c r="N233" s="37" t="str">
        <f>IF($H233="","",IFERROR(INDEX('Risk Library'!$T$5:$Y$411,MATCH($E233,'Risk Library'!$A$5:$A$411,0),$H233+1),""))</f>
        <v/>
      </c>
      <c r="O233" s="37" t="str">
        <f t="shared" si="52"/>
        <v/>
      </c>
      <c r="P233" s="37" t="str">
        <f t="shared" si="53"/>
        <v/>
      </c>
      <c r="Q233" s="37" t="str">
        <f t="shared" si="54"/>
        <v/>
      </c>
      <c r="R233" s="37" t="str">
        <f t="shared" si="55"/>
        <v/>
      </c>
      <c r="S233" s="38" t="str">
        <f t="shared" si="56"/>
        <v/>
      </c>
      <c r="T233" s="36" t="str">
        <f>IF($H233="","",IFERROR(INDEX('Risk Library'!$N$5:$S$411,MATCH($E233,'Risk Library'!$A$5:$A$411,0),$H233+1),""))</f>
        <v/>
      </c>
      <c r="U233" s="37">
        <f>IFERROR('Manufacturing MES'!$G$22,"")</f>
        <v>5</v>
      </c>
      <c r="V233" s="37">
        <f>IFERROR('Manufacturing MES'!$W$22,"")</f>
        <v>5</v>
      </c>
      <c r="W233" s="37">
        <f>IFERROR('Manufacturing MES'!$X$22,"")</f>
        <v>5</v>
      </c>
      <c r="X233" s="37">
        <f>IFERROR('Manufacturing MES'!$Y$22,"")</f>
        <v>5</v>
      </c>
      <c r="Y233" s="36" t="s">
        <v>3995</v>
      </c>
      <c r="Z233" s="36" t="s">
        <v>3996</v>
      </c>
      <c r="AA233" s="36" t="s">
        <v>4160</v>
      </c>
      <c r="AB233" s="36">
        <f>IFERROR('Manufacturing MES'!$U$22,"")</f>
        <v>0</v>
      </c>
      <c r="AC233" s="36"/>
      <c r="AD233" s="36"/>
      <c r="AE233" s="36"/>
      <c r="AF233" s="36" t="s">
        <v>4159</v>
      </c>
      <c r="AO233" s="48" t="str">
        <f>IF($B233="Yes",IFERROR(SUMIFS(_TECH_Crisis_Model!$D$5:$D$191,_TECH_Crisis_Model!$A$5:$A$191,'Crisis Simulator'!$B$4,_TECH_Crisis_Model!$B$5:$B$191,$C233),1),"")</f>
        <v/>
      </c>
      <c r="AP233" s="48" t="str">
        <f t="shared" si="57"/>
        <v/>
      </c>
      <c r="AQ233" s="48" t="str">
        <f t="shared" si="58"/>
        <v/>
      </c>
      <c r="AR233" s="48" t="str">
        <f>IFERROR(INDEX(_TECH_Crisis_Model!$E$5:$E$191,MATCH('Crisis Simulator'!$B$4&amp;"|"&amp;$C233,_TECH_Crisis_Model!$I$5:$I$191,0)),"")</f>
        <v>Production assets, MES, maintenance and utilities determine manufacturing recoverability.</v>
      </c>
      <c r="AS233" s="48" t="str">
        <f>IFERROR(INDEX(_TECH_Crisis_Model!$G$5:$G$191,MATCH('Crisis Simulator'!$B$4&amp;"|"&amp;$C233,_TECH_Crisis_Model!$I$5:$I$191,0)),"")</f>
        <v>Define production fallback, maintenance priorities, spare parts, MES continuity and utility backup.</v>
      </c>
      <c r="AT233" s="48" t="str">
        <f>IFERROR(INDEX(_TECH_Initiative_Library!$A$5:$A$76,MATCH(1,INDEX((_TECH_Initiative_Library!$B$5:$B$76=$C233)*(_TECH_Initiative_Library!$C$5:$C$76=$D233),0),0)),"")</f>
        <v>INI-038</v>
      </c>
      <c r="AU233" s="48" t="str">
        <f>IFERROR(INDEX(_TECH_Initiative_Library!$F$5:$F$76,MATCH(1,INDEX((_TECH_Initiative_Library!$B$5:$B$76=$C233)*(_TECH_Initiative_Library!$C$5:$C$76=$D233),0),0)),"")</f>
        <v>Build maintenance, spare-parts and asset resilience program</v>
      </c>
      <c r="AV233" s="48" t="str">
        <f ca="1">IFERROR(INDEX(_TECH_Initiative_Library!$AC$5:$AC$76,MATCH(1,INDEX((_TECH_Initiative_Library!$B$5:$B$76=$C233)*(_TECH_Initiative_Library!$C$5:$C$76=$D233),0),0)),"")</f>
        <v/>
      </c>
      <c r="AW233" s="48" t="str">
        <f ca="1">IFERROR(INDEX(_TECH_Initiative_Library!$AE$5:$AE$76,MATCH(1,INDEX((_TECH_Initiative_Library!$B$5:$B$76=$C233)*(_TECH_Initiative_Library!$C$5:$C$76=$D233),0),0)),"")</f>
        <v/>
      </c>
      <c r="AX233" s="48" t="str">
        <f>IF($B233="Yes",IFERROR(SUMIFS(_TECH_Industry_Templates!$E:$E,_TECH_Industry_Templates!$A:$A,'Company Profile'!$B$9,_TECH_Industry_Templates!$B:$B,$C233),1),"")</f>
        <v/>
      </c>
      <c r="AY233" s="48" t="str">
        <f t="shared" si="59"/>
        <v/>
      </c>
      <c r="AZ233" s="48" t="str">
        <f t="shared" si="60"/>
        <v/>
      </c>
      <c r="BA233" s="48" t="str">
        <f>IF($AZ233="","",RANK.EQ($AZ233,$AZ$8:$AZ$414,0)+COUNTIF($AZ$8:$AZ233,$AZ233)-1)</f>
        <v/>
      </c>
    </row>
    <row r="234" spans="1:53" ht="69.95" customHeight="1">
      <c r="A234" s="36" t="str">
        <f>IF($AZ234="","",RANK.EQ($AZ234,$AZ$8:$AZ$414,0)+COUNTIF($AZ$8:$AZ234,$AZ234)-1)</f>
        <v/>
      </c>
      <c r="B234" s="36" t="str">
        <f t="shared" si="47"/>
        <v/>
      </c>
      <c r="C234" s="36" t="s">
        <v>81</v>
      </c>
      <c r="D234" s="36" t="s">
        <v>1362</v>
      </c>
      <c r="E234" s="36" t="s">
        <v>4168</v>
      </c>
      <c r="F234" s="36" t="s">
        <v>192</v>
      </c>
      <c r="G234" s="36" t="str">
        <f>IF($H234="","",IFERROR(INDEX('Risk Library'!$H$5:$M$411,MATCH($E234,'Risk Library'!$A$5:$A$411,0),$H234+1),""))</f>
        <v/>
      </c>
      <c r="H234" s="37" t="str">
        <f>IF(OR(COUNTA('Manufacturing MES'!$H$23)=0,'Manufacturing MES'!$H$23="N/A"),"",VALUE('Manufacturing MES'!$H$23))</f>
        <v/>
      </c>
      <c r="I234" s="36" t="str">
        <f>IF($H234="","",IFERROR(IF('Manufacturing MES'!$L$23="",IF($H234&lt;=1,"Critical",IF($H234=2,"High",IF($H234=3,"Medium",IF($H234=4,"Low","Resilient")))),'Manufacturing MES'!$L$23),IF($H234&lt;=1,"Critical",IF($H234=2,"High",IF($H234=3,"Medium",IF($H234=4,"Low","Resilient"))))))</f>
        <v/>
      </c>
      <c r="J234" s="37" t="str">
        <f t="shared" si="48"/>
        <v/>
      </c>
      <c r="K234" s="37" t="str">
        <f t="shared" si="49"/>
        <v/>
      </c>
      <c r="L234" s="37" t="str">
        <f t="shared" si="50"/>
        <v/>
      </c>
      <c r="M234" s="37" t="str">
        <f t="shared" si="51"/>
        <v/>
      </c>
      <c r="N234" s="37" t="str">
        <f>IF($H234="","",IFERROR(INDEX('Risk Library'!$T$5:$Y$411,MATCH($E234,'Risk Library'!$A$5:$A$411,0),$H234+1),""))</f>
        <v/>
      </c>
      <c r="O234" s="37" t="str">
        <f t="shared" si="52"/>
        <v/>
      </c>
      <c r="P234" s="37" t="str">
        <f t="shared" si="53"/>
        <v/>
      </c>
      <c r="Q234" s="37" t="str">
        <f t="shared" si="54"/>
        <v/>
      </c>
      <c r="R234" s="37" t="str">
        <f t="shared" si="55"/>
        <v/>
      </c>
      <c r="S234" s="38" t="str">
        <f t="shared" si="56"/>
        <v/>
      </c>
      <c r="T234" s="36" t="str">
        <f>IF($H234="","",IFERROR(INDEX('Risk Library'!$N$5:$S$411,MATCH($E234,'Risk Library'!$A$5:$A$411,0),$H234+1),""))</f>
        <v/>
      </c>
      <c r="U234" s="37">
        <f>IFERROR('Manufacturing MES'!$G$23,"")</f>
        <v>5</v>
      </c>
      <c r="V234" s="37">
        <f>IFERROR('Manufacturing MES'!$W$23,"")</f>
        <v>5</v>
      </c>
      <c r="W234" s="37">
        <f>IFERROR('Manufacturing MES'!$X$23,"")</f>
        <v>5</v>
      </c>
      <c r="X234" s="37">
        <f>IFERROR('Manufacturing MES'!$Y$23,"")</f>
        <v>5</v>
      </c>
      <c r="Y234" s="36" t="s">
        <v>3995</v>
      </c>
      <c r="Z234" s="36" t="s">
        <v>3996</v>
      </c>
      <c r="AA234" s="36" t="s">
        <v>4170</v>
      </c>
      <c r="AB234" s="36">
        <f>IFERROR('Manufacturing MES'!$U$23,"")</f>
        <v>0</v>
      </c>
      <c r="AC234" s="36"/>
      <c r="AD234" s="36"/>
      <c r="AE234" s="36"/>
      <c r="AF234" s="36" t="s">
        <v>4169</v>
      </c>
      <c r="AO234" s="48" t="str">
        <f>IF($B234="Yes",IFERROR(SUMIFS(_TECH_Crisis_Model!$D$5:$D$191,_TECH_Crisis_Model!$A$5:$A$191,'Crisis Simulator'!$B$4,_TECH_Crisis_Model!$B$5:$B$191,$C234),1),"")</f>
        <v/>
      </c>
      <c r="AP234" s="48" t="str">
        <f t="shared" si="57"/>
        <v/>
      </c>
      <c r="AQ234" s="48" t="str">
        <f t="shared" si="58"/>
        <v/>
      </c>
      <c r="AR234" s="48" t="str">
        <f>IFERROR(INDEX(_TECH_Crisis_Model!$E$5:$E$191,MATCH('Crisis Simulator'!$B$4&amp;"|"&amp;$C234,_TECH_Crisis_Model!$I$5:$I$191,0)),"")</f>
        <v>Production assets, MES, maintenance and utilities determine manufacturing recoverability.</v>
      </c>
      <c r="AS234" s="48" t="str">
        <f>IFERROR(INDEX(_TECH_Crisis_Model!$G$5:$G$191,MATCH('Crisis Simulator'!$B$4&amp;"|"&amp;$C234,_TECH_Crisis_Model!$I$5:$I$191,0)),"")</f>
        <v>Define production fallback, maintenance priorities, spare parts, MES continuity and utility backup.</v>
      </c>
      <c r="AT234" s="48" t="str">
        <f>IFERROR(INDEX(_TECH_Initiative_Library!$A$5:$A$76,MATCH(1,INDEX((_TECH_Initiative_Library!$B$5:$B$76=$C234)*(_TECH_Initiative_Library!$C$5:$C$76=$D234),0),0)),"")</f>
        <v>INI-039</v>
      </c>
      <c r="AU234" s="48" t="str">
        <f>IFERROR(INDEX(_TECH_Initiative_Library!$F$5:$F$76,MATCH(1,INDEX((_TECH_Initiative_Library!$B$5:$B$76=$C234)*(_TECH_Initiative_Library!$C$5:$C$76=$D234),0),0)),"")</f>
        <v>Strengthen manufacturing quality, safety and release controls</v>
      </c>
      <c r="AV234" s="48" t="str">
        <f ca="1">IFERROR(INDEX(_TECH_Initiative_Library!$AC$5:$AC$76,MATCH(1,INDEX((_TECH_Initiative_Library!$B$5:$B$76=$C234)*(_TECH_Initiative_Library!$C$5:$C$76=$D234),0),0)),"")</f>
        <v/>
      </c>
      <c r="AW234" s="48" t="str">
        <f ca="1">IFERROR(INDEX(_TECH_Initiative_Library!$AE$5:$AE$76,MATCH(1,INDEX((_TECH_Initiative_Library!$B$5:$B$76=$C234)*(_TECH_Initiative_Library!$C$5:$C$76=$D234),0),0)),"")</f>
        <v/>
      </c>
      <c r="AX234" s="48" t="str">
        <f>IF($B234="Yes",IFERROR(SUMIFS(_TECH_Industry_Templates!$E:$E,_TECH_Industry_Templates!$A:$A,'Company Profile'!$B$9,_TECH_Industry_Templates!$B:$B,$C234),1),"")</f>
        <v/>
      </c>
      <c r="AY234" s="48" t="str">
        <f t="shared" si="59"/>
        <v/>
      </c>
      <c r="AZ234" s="48" t="str">
        <f t="shared" si="60"/>
        <v/>
      </c>
      <c r="BA234" s="48" t="str">
        <f>IF($AZ234="","",RANK.EQ($AZ234,$AZ$8:$AZ$414,0)+COUNTIF($AZ$8:$AZ234,$AZ234)-1)</f>
        <v/>
      </c>
    </row>
    <row r="235" spans="1:53" ht="69.95" customHeight="1">
      <c r="A235" s="36" t="str">
        <f>IF($AZ235="","",RANK.EQ($AZ235,$AZ$8:$AZ$414,0)+COUNTIF($AZ$8:$AZ235,$AZ235)-1)</f>
        <v/>
      </c>
      <c r="B235" s="36" t="str">
        <f t="shared" si="47"/>
        <v/>
      </c>
      <c r="C235" s="36" t="s">
        <v>81</v>
      </c>
      <c r="D235" s="36" t="s">
        <v>1362</v>
      </c>
      <c r="E235" s="36" t="s">
        <v>4178</v>
      </c>
      <c r="F235" s="36" t="s">
        <v>192</v>
      </c>
      <c r="G235" s="36" t="str">
        <f>IF($H235="","",IFERROR(INDEX('Risk Library'!$H$5:$M$411,MATCH($E235,'Risk Library'!$A$5:$A$411,0),$H235+1),""))</f>
        <v/>
      </c>
      <c r="H235" s="37" t="str">
        <f>IF(OR(COUNTA('Manufacturing MES'!$H$24)=0,'Manufacturing MES'!$H$24="N/A"),"",VALUE('Manufacturing MES'!$H$24))</f>
        <v/>
      </c>
      <c r="I235" s="36" t="str">
        <f>IF($H235="","",IFERROR(IF('Manufacturing MES'!$L$24="",IF($H235&lt;=1,"Critical",IF($H235=2,"High",IF($H235=3,"Medium",IF($H235=4,"Low","Resilient")))),'Manufacturing MES'!$L$24),IF($H235&lt;=1,"Critical",IF($H235=2,"High",IF($H235=3,"Medium",IF($H235=4,"Low","Resilient"))))))</f>
        <v/>
      </c>
      <c r="J235" s="37" t="str">
        <f t="shared" si="48"/>
        <v/>
      </c>
      <c r="K235" s="37" t="str">
        <f t="shared" si="49"/>
        <v/>
      </c>
      <c r="L235" s="37" t="str">
        <f t="shared" si="50"/>
        <v/>
      </c>
      <c r="M235" s="37" t="str">
        <f t="shared" si="51"/>
        <v/>
      </c>
      <c r="N235" s="37" t="str">
        <f>IF($H235="","",IFERROR(INDEX('Risk Library'!$T$5:$Y$411,MATCH($E235,'Risk Library'!$A$5:$A$411,0),$H235+1),""))</f>
        <v/>
      </c>
      <c r="O235" s="37" t="str">
        <f t="shared" si="52"/>
        <v/>
      </c>
      <c r="P235" s="37" t="str">
        <f t="shared" si="53"/>
        <v/>
      </c>
      <c r="Q235" s="37" t="str">
        <f t="shared" si="54"/>
        <v/>
      </c>
      <c r="R235" s="37" t="str">
        <f t="shared" si="55"/>
        <v/>
      </c>
      <c r="S235" s="38" t="str">
        <f t="shared" si="56"/>
        <v/>
      </c>
      <c r="T235" s="36" t="str">
        <f>IF($H235="","",IFERROR(INDEX('Risk Library'!$N$5:$S$411,MATCH($E235,'Risk Library'!$A$5:$A$411,0),$H235+1),""))</f>
        <v/>
      </c>
      <c r="U235" s="37">
        <f>IFERROR('Manufacturing MES'!$G$24,"")</f>
        <v>3</v>
      </c>
      <c r="V235" s="37">
        <f>IFERROR('Manufacturing MES'!$W$24,"")</f>
        <v>5</v>
      </c>
      <c r="W235" s="37">
        <f>IFERROR('Manufacturing MES'!$X$24,"")</f>
        <v>5</v>
      </c>
      <c r="X235" s="37">
        <f>IFERROR('Manufacturing MES'!$Y$24,"")</f>
        <v>5</v>
      </c>
      <c r="Y235" s="36" t="s">
        <v>3995</v>
      </c>
      <c r="Z235" s="36" t="s">
        <v>3996</v>
      </c>
      <c r="AA235" s="36" t="s">
        <v>4180</v>
      </c>
      <c r="AB235" s="36">
        <f>IFERROR('Manufacturing MES'!$U$24,"")</f>
        <v>0</v>
      </c>
      <c r="AC235" s="36"/>
      <c r="AD235" s="36"/>
      <c r="AE235" s="36"/>
      <c r="AF235" s="36" t="s">
        <v>4179</v>
      </c>
      <c r="AO235" s="48" t="str">
        <f>IF($B235="Yes",IFERROR(SUMIFS(_TECH_Crisis_Model!$D$5:$D$191,_TECH_Crisis_Model!$A$5:$A$191,'Crisis Simulator'!$B$4,_TECH_Crisis_Model!$B$5:$B$191,$C235),1),"")</f>
        <v/>
      </c>
      <c r="AP235" s="48" t="str">
        <f t="shared" si="57"/>
        <v/>
      </c>
      <c r="AQ235" s="48" t="str">
        <f t="shared" si="58"/>
        <v/>
      </c>
      <c r="AR235" s="48" t="str">
        <f>IFERROR(INDEX(_TECH_Crisis_Model!$E$5:$E$191,MATCH('Crisis Simulator'!$B$4&amp;"|"&amp;$C235,_TECH_Crisis_Model!$I$5:$I$191,0)),"")</f>
        <v>Production assets, MES, maintenance and utilities determine manufacturing recoverability.</v>
      </c>
      <c r="AS235" s="48" t="str">
        <f>IFERROR(INDEX(_TECH_Crisis_Model!$G$5:$G$191,MATCH('Crisis Simulator'!$B$4&amp;"|"&amp;$C235,_TECH_Crisis_Model!$I$5:$I$191,0)),"")</f>
        <v>Define production fallback, maintenance priorities, spare parts, MES continuity and utility backup.</v>
      </c>
      <c r="AT235" s="48" t="str">
        <f>IFERROR(INDEX(_TECH_Initiative_Library!$A$5:$A$76,MATCH(1,INDEX((_TECH_Initiative_Library!$B$5:$B$76=$C235)*(_TECH_Initiative_Library!$C$5:$C$76=$D235),0),0)),"")</f>
        <v>INI-039</v>
      </c>
      <c r="AU235" s="48" t="str">
        <f>IFERROR(INDEX(_TECH_Initiative_Library!$F$5:$F$76,MATCH(1,INDEX((_TECH_Initiative_Library!$B$5:$B$76=$C235)*(_TECH_Initiative_Library!$C$5:$C$76=$D235),0),0)),"")</f>
        <v>Strengthen manufacturing quality, safety and release controls</v>
      </c>
      <c r="AV235" s="48" t="str">
        <f ca="1">IFERROR(INDEX(_TECH_Initiative_Library!$AC$5:$AC$76,MATCH(1,INDEX((_TECH_Initiative_Library!$B$5:$B$76=$C235)*(_TECH_Initiative_Library!$C$5:$C$76=$D235),0),0)),"")</f>
        <v/>
      </c>
      <c r="AW235" s="48" t="str">
        <f ca="1">IFERROR(INDEX(_TECH_Initiative_Library!$AE$5:$AE$76,MATCH(1,INDEX((_TECH_Initiative_Library!$B$5:$B$76=$C235)*(_TECH_Initiative_Library!$C$5:$C$76=$D235),0),0)),"")</f>
        <v/>
      </c>
      <c r="AX235" s="48" t="str">
        <f>IF($B235="Yes",IFERROR(SUMIFS(_TECH_Industry_Templates!$E:$E,_TECH_Industry_Templates!$A:$A,'Company Profile'!$B$9,_TECH_Industry_Templates!$B:$B,$C235),1),"")</f>
        <v/>
      </c>
      <c r="AY235" s="48" t="str">
        <f t="shared" si="59"/>
        <v/>
      </c>
      <c r="AZ235" s="48" t="str">
        <f t="shared" si="60"/>
        <v/>
      </c>
      <c r="BA235" s="48" t="str">
        <f>IF($AZ235="","",RANK.EQ($AZ235,$AZ$8:$AZ$414,0)+COUNTIF($AZ$8:$AZ235,$AZ235)-1)</f>
        <v/>
      </c>
    </row>
    <row r="236" spans="1:53" ht="69.95" customHeight="1">
      <c r="A236" s="36" t="str">
        <f>IF($AZ236="","",RANK.EQ($AZ236,$AZ$8:$AZ$414,0)+COUNTIF($AZ$8:$AZ236,$AZ236)-1)</f>
        <v/>
      </c>
      <c r="B236" s="36" t="str">
        <f t="shared" si="47"/>
        <v/>
      </c>
      <c r="C236" s="36" t="s">
        <v>81</v>
      </c>
      <c r="D236" s="36" t="s">
        <v>1362</v>
      </c>
      <c r="E236" s="36" t="s">
        <v>4188</v>
      </c>
      <c r="F236" s="36" t="s">
        <v>192</v>
      </c>
      <c r="G236" s="36" t="str">
        <f>IF($H236="","",IFERROR(INDEX('Risk Library'!$H$5:$M$411,MATCH($E236,'Risk Library'!$A$5:$A$411,0),$H236+1),""))</f>
        <v/>
      </c>
      <c r="H236" s="37" t="str">
        <f>IF(OR(COUNTA('Manufacturing MES'!$H$25)=0,'Manufacturing MES'!$H$25="N/A"),"",VALUE('Manufacturing MES'!$H$25))</f>
        <v/>
      </c>
      <c r="I236" s="36" t="str">
        <f>IF($H236="","",IFERROR(IF('Manufacturing MES'!$L$25="",IF($H236&lt;=1,"Critical",IF($H236=2,"High",IF($H236=3,"Medium",IF($H236=4,"Low","Resilient")))),'Manufacturing MES'!$L$25),IF($H236&lt;=1,"Critical",IF($H236=2,"High",IF($H236=3,"Medium",IF($H236=4,"Low","Resilient"))))))</f>
        <v/>
      </c>
      <c r="J236" s="37" t="str">
        <f t="shared" si="48"/>
        <v/>
      </c>
      <c r="K236" s="37" t="str">
        <f t="shared" si="49"/>
        <v/>
      </c>
      <c r="L236" s="37" t="str">
        <f t="shared" si="50"/>
        <v/>
      </c>
      <c r="M236" s="37" t="str">
        <f t="shared" si="51"/>
        <v/>
      </c>
      <c r="N236" s="37" t="str">
        <f>IF($H236="","",IFERROR(INDEX('Risk Library'!$T$5:$Y$411,MATCH($E236,'Risk Library'!$A$5:$A$411,0),$H236+1),""))</f>
        <v/>
      </c>
      <c r="O236" s="37" t="str">
        <f t="shared" si="52"/>
        <v/>
      </c>
      <c r="P236" s="37" t="str">
        <f t="shared" si="53"/>
        <v/>
      </c>
      <c r="Q236" s="37" t="str">
        <f t="shared" si="54"/>
        <v/>
      </c>
      <c r="R236" s="37" t="str">
        <f t="shared" si="55"/>
        <v/>
      </c>
      <c r="S236" s="38" t="str">
        <f t="shared" si="56"/>
        <v/>
      </c>
      <c r="T236" s="36" t="str">
        <f>IF($H236="","",IFERROR(INDEX('Risk Library'!$N$5:$S$411,MATCH($E236,'Risk Library'!$A$5:$A$411,0),$H236+1),""))</f>
        <v/>
      </c>
      <c r="U236" s="37">
        <f>IFERROR('Manufacturing MES'!$G$25,"")</f>
        <v>5</v>
      </c>
      <c r="V236" s="37">
        <f>IFERROR('Manufacturing MES'!$W$25,"")</f>
        <v>5</v>
      </c>
      <c r="W236" s="37">
        <f>IFERROR('Manufacturing MES'!$X$25,"")</f>
        <v>5</v>
      </c>
      <c r="X236" s="37">
        <f>IFERROR('Manufacturing MES'!$Y$25,"")</f>
        <v>5</v>
      </c>
      <c r="Y236" s="36" t="s">
        <v>3995</v>
      </c>
      <c r="Z236" s="36" t="s">
        <v>3996</v>
      </c>
      <c r="AA236" s="36" t="s">
        <v>4190</v>
      </c>
      <c r="AB236" s="36">
        <f>IFERROR('Manufacturing MES'!$U$25,"")</f>
        <v>0</v>
      </c>
      <c r="AC236" s="36"/>
      <c r="AD236" s="36"/>
      <c r="AE236" s="36"/>
      <c r="AF236" s="36" t="s">
        <v>4189</v>
      </c>
      <c r="AO236" s="48" t="str">
        <f>IF($B236="Yes",IFERROR(SUMIFS(_TECH_Crisis_Model!$D$5:$D$191,_TECH_Crisis_Model!$A$5:$A$191,'Crisis Simulator'!$B$4,_TECH_Crisis_Model!$B$5:$B$191,$C236),1),"")</f>
        <v/>
      </c>
      <c r="AP236" s="48" t="str">
        <f t="shared" si="57"/>
        <v/>
      </c>
      <c r="AQ236" s="48" t="str">
        <f t="shared" si="58"/>
        <v/>
      </c>
      <c r="AR236" s="48" t="str">
        <f>IFERROR(INDEX(_TECH_Crisis_Model!$E$5:$E$191,MATCH('Crisis Simulator'!$B$4&amp;"|"&amp;$C236,_TECH_Crisis_Model!$I$5:$I$191,0)),"")</f>
        <v>Production assets, MES, maintenance and utilities determine manufacturing recoverability.</v>
      </c>
      <c r="AS236" s="48" t="str">
        <f>IFERROR(INDEX(_TECH_Crisis_Model!$G$5:$G$191,MATCH('Crisis Simulator'!$B$4&amp;"|"&amp;$C236,_TECH_Crisis_Model!$I$5:$I$191,0)),"")</f>
        <v>Define production fallback, maintenance priorities, spare parts, MES continuity and utility backup.</v>
      </c>
      <c r="AT236" s="48" t="str">
        <f>IFERROR(INDEX(_TECH_Initiative_Library!$A$5:$A$76,MATCH(1,INDEX((_TECH_Initiative_Library!$B$5:$B$76=$C236)*(_TECH_Initiative_Library!$C$5:$C$76=$D236),0),0)),"")</f>
        <v>INI-039</v>
      </c>
      <c r="AU236" s="48" t="str">
        <f>IFERROR(INDEX(_TECH_Initiative_Library!$F$5:$F$76,MATCH(1,INDEX((_TECH_Initiative_Library!$B$5:$B$76=$C236)*(_TECH_Initiative_Library!$C$5:$C$76=$D236),0),0)),"")</f>
        <v>Strengthen manufacturing quality, safety and release controls</v>
      </c>
      <c r="AV236" s="48" t="str">
        <f ca="1">IFERROR(INDEX(_TECH_Initiative_Library!$AC$5:$AC$76,MATCH(1,INDEX((_TECH_Initiative_Library!$B$5:$B$76=$C236)*(_TECH_Initiative_Library!$C$5:$C$76=$D236),0),0)),"")</f>
        <v/>
      </c>
      <c r="AW236" s="48" t="str">
        <f ca="1">IFERROR(INDEX(_TECH_Initiative_Library!$AE$5:$AE$76,MATCH(1,INDEX((_TECH_Initiative_Library!$B$5:$B$76=$C236)*(_TECH_Initiative_Library!$C$5:$C$76=$D236),0),0)),"")</f>
        <v/>
      </c>
      <c r="AX236" s="48" t="str">
        <f>IF($B236="Yes",IFERROR(SUMIFS(_TECH_Industry_Templates!$E:$E,_TECH_Industry_Templates!$A:$A,'Company Profile'!$B$9,_TECH_Industry_Templates!$B:$B,$C236),1),"")</f>
        <v/>
      </c>
      <c r="AY236" s="48" t="str">
        <f t="shared" si="59"/>
        <v/>
      </c>
      <c r="AZ236" s="48" t="str">
        <f t="shared" si="60"/>
        <v/>
      </c>
      <c r="BA236" s="48" t="str">
        <f>IF($AZ236="","",RANK.EQ($AZ236,$AZ$8:$AZ$414,0)+COUNTIF($AZ$8:$AZ236,$AZ236)-1)</f>
        <v/>
      </c>
    </row>
    <row r="237" spans="1:53" ht="69.95" customHeight="1">
      <c r="A237" s="36" t="str">
        <f>IF($AZ237="","",RANK.EQ($AZ237,$AZ$8:$AZ$414,0)+COUNTIF($AZ$8:$AZ237,$AZ237)-1)</f>
        <v/>
      </c>
      <c r="B237" s="36" t="str">
        <f t="shared" si="47"/>
        <v/>
      </c>
      <c r="C237" s="36" t="s">
        <v>81</v>
      </c>
      <c r="D237" s="36" t="s">
        <v>1362</v>
      </c>
      <c r="E237" s="36" t="s">
        <v>4198</v>
      </c>
      <c r="F237" s="36" t="s">
        <v>192</v>
      </c>
      <c r="G237" s="36" t="str">
        <f>IF($H237="","",IFERROR(INDEX('Risk Library'!$H$5:$M$411,MATCH($E237,'Risk Library'!$A$5:$A$411,0),$H237+1),""))</f>
        <v/>
      </c>
      <c r="H237" s="37" t="str">
        <f>IF(OR(COUNTA('Manufacturing MES'!$H$26)=0,'Manufacturing MES'!$H$26="N/A"),"",VALUE('Manufacturing MES'!$H$26))</f>
        <v/>
      </c>
      <c r="I237" s="36" t="str">
        <f>IF($H237="","",IFERROR(IF('Manufacturing MES'!$L$26="",IF($H237&lt;=1,"Critical",IF($H237=2,"High",IF($H237=3,"Medium",IF($H237=4,"Low","Resilient")))),'Manufacturing MES'!$L$26),IF($H237&lt;=1,"Critical",IF($H237=2,"High",IF($H237=3,"Medium",IF($H237=4,"Low","Resilient"))))))</f>
        <v/>
      </c>
      <c r="J237" s="37" t="str">
        <f t="shared" si="48"/>
        <v/>
      </c>
      <c r="K237" s="37" t="str">
        <f t="shared" si="49"/>
        <v/>
      </c>
      <c r="L237" s="37" t="str">
        <f t="shared" si="50"/>
        <v/>
      </c>
      <c r="M237" s="37" t="str">
        <f t="shared" si="51"/>
        <v/>
      </c>
      <c r="N237" s="37" t="str">
        <f>IF($H237="","",IFERROR(INDEX('Risk Library'!$T$5:$Y$411,MATCH($E237,'Risk Library'!$A$5:$A$411,0),$H237+1),""))</f>
        <v/>
      </c>
      <c r="O237" s="37" t="str">
        <f t="shared" si="52"/>
        <v/>
      </c>
      <c r="P237" s="37" t="str">
        <f t="shared" si="53"/>
        <v/>
      </c>
      <c r="Q237" s="37" t="str">
        <f t="shared" si="54"/>
        <v/>
      </c>
      <c r="R237" s="37" t="str">
        <f t="shared" si="55"/>
        <v/>
      </c>
      <c r="S237" s="38" t="str">
        <f t="shared" si="56"/>
        <v/>
      </c>
      <c r="T237" s="36" t="str">
        <f>IF($H237="","",IFERROR(INDEX('Risk Library'!$N$5:$S$411,MATCH($E237,'Risk Library'!$A$5:$A$411,0),$H237+1),""))</f>
        <v/>
      </c>
      <c r="U237" s="37">
        <f>IFERROR('Manufacturing MES'!$G$26,"")</f>
        <v>5</v>
      </c>
      <c r="V237" s="37">
        <f>IFERROR('Manufacturing MES'!$W$26,"")</f>
        <v>5</v>
      </c>
      <c r="W237" s="37">
        <f>IFERROR('Manufacturing MES'!$X$26,"")</f>
        <v>5</v>
      </c>
      <c r="X237" s="37">
        <f>IFERROR('Manufacturing MES'!$Y$26,"")</f>
        <v>5</v>
      </c>
      <c r="Y237" s="36" t="s">
        <v>3995</v>
      </c>
      <c r="Z237" s="36" t="s">
        <v>3996</v>
      </c>
      <c r="AA237" s="36" t="s">
        <v>4200</v>
      </c>
      <c r="AB237" s="36">
        <f>IFERROR('Manufacturing MES'!$U$26,"")</f>
        <v>0</v>
      </c>
      <c r="AC237" s="36"/>
      <c r="AD237" s="36"/>
      <c r="AE237" s="36"/>
      <c r="AF237" s="36" t="s">
        <v>4199</v>
      </c>
      <c r="AO237" s="48" t="str">
        <f>IF($B237="Yes",IFERROR(SUMIFS(_TECH_Crisis_Model!$D$5:$D$191,_TECH_Crisis_Model!$A$5:$A$191,'Crisis Simulator'!$B$4,_TECH_Crisis_Model!$B$5:$B$191,$C237),1),"")</f>
        <v/>
      </c>
      <c r="AP237" s="48" t="str">
        <f t="shared" si="57"/>
        <v/>
      </c>
      <c r="AQ237" s="48" t="str">
        <f t="shared" si="58"/>
        <v/>
      </c>
      <c r="AR237" s="48" t="str">
        <f>IFERROR(INDEX(_TECH_Crisis_Model!$E$5:$E$191,MATCH('Crisis Simulator'!$B$4&amp;"|"&amp;$C237,_TECH_Crisis_Model!$I$5:$I$191,0)),"")</f>
        <v>Production assets, MES, maintenance and utilities determine manufacturing recoverability.</v>
      </c>
      <c r="AS237" s="48" t="str">
        <f>IFERROR(INDEX(_TECH_Crisis_Model!$G$5:$G$191,MATCH('Crisis Simulator'!$B$4&amp;"|"&amp;$C237,_TECH_Crisis_Model!$I$5:$I$191,0)),"")</f>
        <v>Define production fallback, maintenance priorities, spare parts, MES continuity and utility backup.</v>
      </c>
      <c r="AT237" s="48" t="str">
        <f>IFERROR(INDEX(_TECH_Initiative_Library!$A$5:$A$76,MATCH(1,INDEX((_TECH_Initiative_Library!$B$5:$B$76=$C237)*(_TECH_Initiative_Library!$C$5:$C$76=$D237),0),0)),"")</f>
        <v>INI-039</v>
      </c>
      <c r="AU237" s="48" t="str">
        <f>IFERROR(INDEX(_TECH_Initiative_Library!$F$5:$F$76,MATCH(1,INDEX((_TECH_Initiative_Library!$B$5:$B$76=$C237)*(_TECH_Initiative_Library!$C$5:$C$76=$D237),0),0)),"")</f>
        <v>Strengthen manufacturing quality, safety and release controls</v>
      </c>
      <c r="AV237" s="48" t="str">
        <f ca="1">IFERROR(INDEX(_TECH_Initiative_Library!$AC$5:$AC$76,MATCH(1,INDEX((_TECH_Initiative_Library!$B$5:$B$76=$C237)*(_TECH_Initiative_Library!$C$5:$C$76=$D237),0),0)),"")</f>
        <v/>
      </c>
      <c r="AW237" s="48" t="str">
        <f ca="1">IFERROR(INDEX(_TECH_Initiative_Library!$AE$5:$AE$76,MATCH(1,INDEX((_TECH_Initiative_Library!$B$5:$B$76=$C237)*(_TECH_Initiative_Library!$C$5:$C$76=$D237),0),0)),"")</f>
        <v/>
      </c>
      <c r="AX237" s="48" t="str">
        <f>IF($B237="Yes",IFERROR(SUMIFS(_TECH_Industry_Templates!$E:$E,_TECH_Industry_Templates!$A:$A,'Company Profile'!$B$9,_TECH_Industry_Templates!$B:$B,$C237),1),"")</f>
        <v/>
      </c>
      <c r="AY237" s="48" t="str">
        <f t="shared" si="59"/>
        <v/>
      </c>
      <c r="AZ237" s="48" t="str">
        <f t="shared" si="60"/>
        <v/>
      </c>
      <c r="BA237" s="48" t="str">
        <f>IF($AZ237="","",RANK.EQ($AZ237,$AZ$8:$AZ$414,0)+COUNTIF($AZ$8:$AZ237,$AZ237)-1)</f>
        <v/>
      </c>
    </row>
    <row r="238" spans="1:53" ht="69.95" customHeight="1">
      <c r="A238" s="36" t="str">
        <f>IF($AZ238="","",RANK.EQ($AZ238,$AZ$8:$AZ$414,0)+COUNTIF($AZ$8:$AZ238,$AZ238)-1)</f>
        <v/>
      </c>
      <c r="B238" s="36" t="str">
        <f t="shared" si="47"/>
        <v/>
      </c>
      <c r="C238" s="36" t="s">
        <v>81</v>
      </c>
      <c r="D238" s="36" t="s">
        <v>1362</v>
      </c>
      <c r="E238" s="36" t="s">
        <v>4208</v>
      </c>
      <c r="F238" s="36" t="s">
        <v>192</v>
      </c>
      <c r="G238" s="36" t="str">
        <f>IF($H238="","",IFERROR(INDEX('Risk Library'!$H$5:$M$411,MATCH($E238,'Risk Library'!$A$5:$A$411,0),$H238+1),""))</f>
        <v/>
      </c>
      <c r="H238" s="37" t="str">
        <f>IF(OR(COUNTA('Manufacturing MES'!$H$27)=0,'Manufacturing MES'!$H$27="N/A"),"",VALUE('Manufacturing MES'!$H$27))</f>
        <v/>
      </c>
      <c r="I238" s="36" t="str">
        <f>IF($H238="","",IFERROR(IF('Manufacturing MES'!$L$27="",IF($H238&lt;=1,"Critical",IF($H238=2,"High",IF($H238=3,"Medium",IF($H238=4,"Low","Resilient")))),'Manufacturing MES'!$L$27),IF($H238&lt;=1,"Critical",IF($H238=2,"High",IF($H238=3,"Medium",IF($H238=4,"Low","Resilient"))))))</f>
        <v/>
      </c>
      <c r="J238" s="37" t="str">
        <f t="shared" si="48"/>
        <v/>
      </c>
      <c r="K238" s="37" t="str">
        <f t="shared" si="49"/>
        <v/>
      </c>
      <c r="L238" s="37" t="str">
        <f t="shared" si="50"/>
        <v/>
      </c>
      <c r="M238" s="37" t="str">
        <f t="shared" si="51"/>
        <v/>
      </c>
      <c r="N238" s="37" t="str">
        <f>IF($H238="","",IFERROR(INDEX('Risk Library'!$T$5:$Y$411,MATCH($E238,'Risk Library'!$A$5:$A$411,0),$H238+1),""))</f>
        <v/>
      </c>
      <c r="O238" s="37" t="str">
        <f t="shared" si="52"/>
        <v/>
      </c>
      <c r="P238" s="37" t="str">
        <f t="shared" si="53"/>
        <v/>
      </c>
      <c r="Q238" s="37" t="str">
        <f t="shared" si="54"/>
        <v/>
      </c>
      <c r="R238" s="37" t="str">
        <f t="shared" si="55"/>
        <v/>
      </c>
      <c r="S238" s="38" t="str">
        <f t="shared" si="56"/>
        <v/>
      </c>
      <c r="T238" s="36" t="str">
        <f>IF($H238="","",IFERROR(INDEX('Risk Library'!$N$5:$S$411,MATCH($E238,'Risk Library'!$A$5:$A$411,0),$H238+1),""))</f>
        <v/>
      </c>
      <c r="U238" s="37">
        <f>IFERROR('Manufacturing MES'!$G$27,"")</f>
        <v>5</v>
      </c>
      <c r="V238" s="37">
        <f>IFERROR('Manufacturing MES'!$W$27,"")</f>
        <v>5</v>
      </c>
      <c r="W238" s="37">
        <f>IFERROR('Manufacturing MES'!$X$27,"")</f>
        <v>5</v>
      </c>
      <c r="X238" s="37">
        <f>IFERROR('Manufacturing MES'!$Y$27,"")</f>
        <v>5</v>
      </c>
      <c r="Y238" s="36" t="s">
        <v>3995</v>
      </c>
      <c r="Z238" s="36" t="s">
        <v>3996</v>
      </c>
      <c r="AA238" s="36" t="s">
        <v>4210</v>
      </c>
      <c r="AB238" s="36">
        <f>IFERROR('Manufacturing MES'!$U$27,"")</f>
        <v>0</v>
      </c>
      <c r="AC238" s="36"/>
      <c r="AD238" s="36"/>
      <c r="AE238" s="36"/>
      <c r="AF238" s="36" t="s">
        <v>4209</v>
      </c>
      <c r="AO238" s="48" t="str">
        <f>IF($B238="Yes",IFERROR(SUMIFS(_TECH_Crisis_Model!$D$5:$D$191,_TECH_Crisis_Model!$A$5:$A$191,'Crisis Simulator'!$B$4,_TECH_Crisis_Model!$B$5:$B$191,$C238),1),"")</f>
        <v/>
      </c>
      <c r="AP238" s="48" t="str">
        <f t="shared" si="57"/>
        <v/>
      </c>
      <c r="AQ238" s="48" t="str">
        <f t="shared" si="58"/>
        <v/>
      </c>
      <c r="AR238" s="48" t="str">
        <f>IFERROR(INDEX(_TECH_Crisis_Model!$E$5:$E$191,MATCH('Crisis Simulator'!$B$4&amp;"|"&amp;$C238,_TECH_Crisis_Model!$I$5:$I$191,0)),"")</f>
        <v>Production assets, MES, maintenance and utilities determine manufacturing recoverability.</v>
      </c>
      <c r="AS238" s="48" t="str">
        <f>IFERROR(INDEX(_TECH_Crisis_Model!$G$5:$G$191,MATCH('Crisis Simulator'!$B$4&amp;"|"&amp;$C238,_TECH_Crisis_Model!$I$5:$I$191,0)),"")</f>
        <v>Define production fallback, maintenance priorities, spare parts, MES continuity and utility backup.</v>
      </c>
      <c r="AT238" s="48" t="str">
        <f>IFERROR(INDEX(_TECH_Initiative_Library!$A$5:$A$76,MATCH(1,INDEX((_TECH_Initiative_Library!$B$5:$B$76=$C238)*(_TECH_Initiative_Library!$C$5:$C$76=$D238),0),0)),"")</f>
        <v>INI-039</v>
      </c>
      <c r="AU238" s="48" t="str">
        <f>IFERROR(INDEX(_TECH_Initiative_Library!$F$5:$F$76,MATCH(1,INDEX((_TECH_Initiative_Library!$B$5:$B$76=$C238)*(_TECH_Initiative_Library!$C$5:$C$76=$D238),0),0)),"")</f>
        <v>Strengthen manufacturing quality, safety and release controls</v>
      </c>
      <c r="AV238" s="48" t="str">
        <f ca="1">IFERROR(INDEX(_TECH_Initiative_Library!$AC$5:$AC$76,MATCH(1,INDEX((_TECH_Initiative_Library!$B$5:$B$76=$C238)*(_TECH_Initiative_Library!$C$5:$C$76=$D238),0),0)),"")</f>
        <v/>
      </c>
      <c r="AW238" s="48" t="str">
        <f ca="1">IFERROR(INDEX(_TECH_Initiative_Library!$AE$5:$AE$76,MATCH(1,INDEX((_TECH_Initiative_Library!$B$5:$B$76=$C238)*(_TECH_Initiative_Library!$C$5:$C$76=$D238),0),0)),"")</f>
        <v/>
      </c>
      <c r="AX238" s="48" t="str">
        <f>IF($B238="Yes",IFERROR(SUMIFS(_TECH_Industry_Templates!$E:$E,_TECH_Industry_Templates!$A:$A,'Company Profile'!$B$9,_TECH_Industry_Templates!$B:$B,$C238),1),"")</f>
        <v/>
      </c>
      <c r="AY238" s="48" t="str">
        <f t="shared" si="59"/>
        <v/>
      </c>
      <c r="AZ238" s="48" t="str">
        <f t="shared" si="60"/>
        <v/>
      </c>
      <c r="BA238" s="48" t="str">
        <f>IF($AZ238="","",RANK.EQ($AZ238,$AZ$8:$AZ$414,0)+COUNTIF($AZ$8:$AZ238,$AZ238)-1)</f>
        <v/>
      </c>
    </row>
    <row r="239" spans="1:53" ht="69.95" customHeight="1">
      <c r="A239" s="36" t="str">
        <f>IF($AZ239="","",RANK.EQ($AZ239,$AZ$8:$AZ$414,0)+COUNTIF($AZ$8:$AZ239,$AZ239)-1)</f>
        <v/>
      </c>
      <c r="B239" s="36" t="str">
        <f t="shared" si="47"/>
        <v/>
      </c>
      <c r="C239" s="36" t="s">
        <v>81</v>
      </c>
      <c r="D239" s="36" t="s">
        <v>1362</v>
      </c>
      <c r="E239" s="36" t="s">
        <v>4218</v>
      </c>
      <c r="F239" s="36" t="s">
        <v>192</v>
      </c>
      <c r="G239" s="36" t="str">
        <f>IF($H239="","",IFERROR(INDEX('Risk Library'!$H$5:$M$411,MATCH($E239,'Risk Library'!$A$5:$A$411,0),$H239+1),""))</f>
        <v/>
      </c>
      <c r="H239" s="37" t="str">
        <f>IF(OR(COUNTA('Manufacturing MES'!$H$28)=0,'Manufacturing MES'!$H$28="N/A"),"",VALUE('Manufacturing MES'!$H$28))</f>
        <v/>
      </c>
      <c r="I239" s="36" t="str">
        <f>IF($H239="","",IFERROR(IF('Manufacturing MES'!$L$28="",IF($H239&lt;=1,"Critical",IF($H239=2,"High",IF($H239=3,"Medium",IF($H239=4,"Low","Resilient")))),'Manufacturing MES'!$L$28),IF($H239&lt;=1,"Critical",IF($H239=2,"High",IF($H239=3,"Medium",IF($H239=4,"Low","Resilient"))))))</f>
        <v/>
      </c>
      <c r="J239" s="37" t="str">
        <f t="shared" si="48"/>
        <v/>
      </c>
      <c r="K239" s="37" t="str">
        <f t="shared" si="49"/>
        <v/>
      </c>
      <c r="L239" s="37" t="str">
        <f t="shared" si="50"/>
        <v/>
      </c>
      <c r="M239" s="37" t="str">
        <f t="shared" si="51"/>
        <v/>
      </c>
      <c r="N239" s="37" t="str">
        <f>IF($H239="","",IFERROR(INDEX('Risk Library'!$T$5:$Y$411,MATCH($E239,'Risk Library'!$A$5:$A$411,0),$H239+1),""))</f>
        <v/>
      </c>
      <c r="O239" s="37" t="str">
        <f t="shared" si="52"/>
        <v/>
      </c>
      <c r="P239" s="37" t="str">
        <f t="shared" si="53"/>
        <v/>
      </c>
      <c r="Q239" s="37" t="str">
        <f t="shared" si="54"/>
        <v/>
      </c>
      <c r="R239" s="37" t="str">
        <f t="shared" si="55"/>
        <v/>
      </c>
      <c r="S239" s="38" t="str">
        <f t="shared" si="56"/>
        <v/>
      </c>
      <c r="T239" s="36" t="str">
        <f>IF($H239="","",IFERROR(INDEX('Risk Library'!$N$5:$S$411,MATCH($E239,'Risk Library'!$A$5:$A$411,0),$H239+1),""))</f>
        <v/>
      </c>
      <c r="U239" s="37">
        <f>IFERROR('Manufacturing MES'!$G$28,"")</f>
        <v>3</v>
      </c>
      <c r="V239" s="37">
        <f>IFERROR('Manufacturing MES'!$W$28,"")</f>
        <v>5</v>
      </c>
      <c r="W239" s="37">
        <f>IFERROR('Manufacturing MES'!$X$28,"")</f>
        <v>5</v>
      </c>
      <c r="X239" s="37">
        <f>IFERROR('Manufacturing MES'!$Y$28,"")</f>
        <v>5</v>
      </c>
      <c r="Y239" s="36" t="s">
        <v>3995</v>
      </c>
      <c r="Z239" s="36" t="s">
        <v>3996</v>
      </c>
      <c r="AA239" s="36" t="s">
        <v>4220</v>
      </c>
      <c r="AB239" s="36">
        <f>IFERROR('Manufacturing MES'!$U$28,"")</f>
        <v>0</v>
      </c>
      <c r="AC239" s="36"/>
      <c r="AD239" s="36"/>
      <c r="AE239" s="36"/>
      <c r="AF239" s="36" t="s">
        <v>4219</v>
      </c>
      <c r="AO239" s="48" t="str">
        <f>IF($B239="Yes",IFERROR(SUMIFS(_TECH_Crisis_Model!$D$5:$D$191,_TECH_Crisis_Model!$A$5:$A$191,'Crisis Simulator'!$B$4,_TECH_Crisis_Model!$B$5:$B$191,$C239),1),"")</f>
        <v/>
      </c>
      <c r="AP239" s="48" t="str">
        <f t="shared" si="57"/>
        <v/>
      </c>
      <c r="AQ239" s="48" t="str">
        <f t="shared" si="58"/>
        <v/>
      </c>
      <c r="AR239" s="48" t="str">
        <f>IFERROR(INDEX(_TECH_Crisis_Model!$E$5:$E$191,MATCH('Crisis Simulator'!$B$4&amp;"|"&amp;$C239,_TECH_Crisis_Model!$I$5:$I$191,0)),"")</f>
        <v>Production assets, MES, maintenance and utilities determine manufacturing recoverability.</v>
      </c>
      <c r="AS239" s="48" t="str">
        <f>IFERROR(INDEX(_TECH_Crisis_Model!$G$5:$G$191,MATCH('Crisis Simulator'!$B$4&amp;"|"&amp;$C239,_TECH_Crisis_Model!$I$5:$I$191,0)),"")</f>
        <v>Define production fallback, maintenance priorities, spare parts, MES continuity and utility backup.</v>
      </c>
      <c r="AT239" s="48" t="str">
        <f>IFERROR(INDEX(_TECH_Initiative_Library!$A$5:$A$76,MATCH(1,INDEX((_TECH_Initiative_Library!$B$5:$B$76=$C239)*(_TECH_Initiative_Library!$C$5:$C$76=$D239),0),0)),"")</f>
        <v>INI-039</v>
      </c>
      <c r="AU239" s="48" t="str">
        <f>IFERROR(INDEX(_TECH_Initiative_Library!$F$5:$F$76,MATCH(1,INDEX((_TECH_Initiative_Library!$B$5:$B$76=$C239)*(_TECH_Initiative_Library!$C$5:$C$76=$D239),0),0)),"")</f>
        <v>Strengthen manufacturing quality, safety and release controls</v>
      </c>
      <c r="AV239" s="48" t="str">
        <f ca="1">IFERROR(INDEX(_TECH_Initiative_Library!$AC$5:$AC$76,MATCH(1,INDEX((_TECH_Initiative_Library!$B$5:$B$76=$C239)*(_TECH_Initiative_Library!$C$5:$C$76=$D239),0),0)),"")</f>
        <v/>
      </c>
      <c r="AW239" s="48" t="str">
        <f ca="1">IFERROR(INDEX(_TECH_Initiative_Library!$AE$5:$AE$76,MATCH(1,INDEX((_TECH_Initiative_Library!$B$5:$B$76=$C239)*(_TECH_Initiative_Library!$C$5:$C$76=$D239),0),0)),"")</f>
        <v/>
      </c>
      <c r="AX239" s="48" t="str">
        <f>IF($B239="Yes",IFERROR(SUMIFS(_TECH_Industry_Templates!$E:$E,_TECH_Industry_Templates!$A:$A,'Company Profile'!$B$9,_TECH_Industry_Templates!$B:$B,$C239),1),"")</f>
        <v/>
      </c>
      <c r="AY239" s="48" t="str">
        <f t="shared" si="59"/>
        <v/>
      </c>
      <c r="AZ239" s="48" t="str">
        <f t="shared" si="60"/>
        <v/>
      </c>
      <c r="BA239" s="48" t="str">
        <f>IF($AZ239="","",RANK.EQ($AZ239,$AZ$8:$AZ$414,0)+COUNTIF($AZ$8:$AZ239,$AZ239)-1)</f>
        <v/>
      </c>
    </row>
    <row r="240" spans="1:53" ht="69.95" customHeight="1">
      <c r="A240" s="36" t="str">
        <f>IF($AZ240="","",RANK.EQ($AZ240,$AZ$8:$AZ$414,0)+COUNTIF($AZ$8:$AZ240,$AZ240)-1)</f>
        <v/>
      </c>
      <c r="B240" s="36" t="str">
        <f t="shared" si="47"/>
        <v/>
      </c>
      <c r="C240" s="36" t="s">
        <v>81</v>
      </c>
      <c r="D240" s="36" t="s">
        <v>1370</v>
      </c>
      <c r="E240" s="36" t="s">
        <v>4228</v>
      </c>
      <c r="F240" s="36" t="s">
        <v>192</v>
      </c>
      <c r="G240" s="36" t="str">
        <f>IF($H240="","",IFERROR(INDEX('Risk Library'!$H$5:$M$411,MATCH($E240,'Risk Library'!$A$5:$A$411,0),$H240+1),""))</f>
        <v/>
      </c>
      <c r="H240" s="37" t="str">
        <f>IF(OR(COUNTA('Manufacturing MES'!$H$29)=0,'Manufacturing MES'!$H$29="N/A"),"",VALUE('Manufacturing MES'!$H$29))</f>
        <v/>
      </c>
      <c r="I240" s="36" t="str">
        <f>IF($H240="","",IFERROR(IF('Manufacturing MES'!$L$29="",IF($H240&lt;=1,"Critical",IF($H240=2,"High",IF($H240=3,"Medium",IF($H240=4,"Low","Resilient")))),'Manufacturing MES'!$L$29),IF($H240&lt;=1,"Critical",IF($H240=2,"High",IF($H240=3,"Medium",IF($H240=4,"Low","Resilient"))))))</f>
        <v/>
      </c>
      <c r="J240" s="37" t="str">
        <f t="shared" si="48"/>
        <v/>
      </c>
      <c r="K240" s="37" t="str">
        <f t="shared" si="49"/>
        <v/>
      </c>
      <c r="L240" s="37" t="str">
        <f t="shared" si="50"/>
        <v/>
      </c>
      <c r="M240" s="37" t="str">
        <f t="shared" si="51"/>
        <v/>
      </c>
      <c r="N240" s="37" t="str">
        <f>IF($H240="","",IFERROR(INDEX('Risk Library'!$T$5:$Y$411,MATCH($E240,'Risk Library'!$A$5:$A$411,0),$H240+1),""))</f>
        <v/>
      </c>
      <c r="O240" s="37" t="str">
        <f t="shared" si="52"/>
        <v/>
      </c>
      <c r="P240" s="37" t="str">
        <f t="shared" si="53"/>
        <v/>
      </c>
      <c r="Q240" s="37" t="str">
        <f t="shared" si="54"/>
        <v/>
      </c>
      <c r="R240" s="37" t="str">
        <f t="shared" si="55"/>
        <v/>
      </c>
      <c r="S240" s="38" t="str">
        <f t="shared" si="56"/>
        <v/>
      </c>
      <c r="T240" s="36" t="str">
        <f>IF($H240="","",IFERROR(INDEX('Risk Library'!$N$5:$S$411,MATCH($E240,'Risk Library'!$A$5:$A$411,0),$H240+1),""))</f>
        <v/>
      </c>
      <c r="U240" s="37">
        <f>IFERROR('Manufacturing MES'!$G$29,"")</f>
        <v>4</v>
      </c>
      <c r="V240" s="37">
        <f>IFERROR('Manufacturing MES'!$W$29,"")</f>
        <v>5</v>
      </c>
      <c r="W240" s="37">
        <f>IFERROR('Manufacturing MES'!$X$29,"")</f>
        <v>5</v>
      </c>
      <c r="X240" s="37">
        <f>IFERROR('Manufacturing MES'!$Y$29,"")</f>
        <v>5</v>
      </c>
      <c r="Y240" s="36" t="s">
        <v>3995</v>
      </c>
      <c r="Z240" s="36" t="s">
        <v>3996</v>
      </c>
      <c r="AA240" s="36" t="s">
        <v>4230</v>
      </c>
      <c r="AB240" s="36">
        <f>IFERROR('Manufacturing MES'!$U$29,"")</f>
        <v>0</v>
      </c>
      <c r="AC240" s="36"/>
      <c r="AD240" s="36"/>
      <c r="AE240" s="36"/>
      <c r="AF240" s="36" t="s">
        <v>4229</v>
      </c>
      <c r="AO240" s="48" t="str">
        <f>IF($B240="Yes",IFERROR(SUMIFS(_TECH_Crisis_Model!$D$5:$D$191,_TECH_Crisis_Model!$A$5:$A$191,'Crisis Simulator'!$B$4,_TECH_Crisis_Model!$B$5:$B$191,$C240),1),"")</f>
        <v/>
      </c>
      <c r="AP240" s="48" t="str">
        <f t="shared" si="57"/>
        <v/>
      </c>
      <c r="AQ240" s="48" t="str">
        <f t="shared" si="58"/>
        <v/>
      </c>
      <c r="AR240" s="48" t="str">
        <f>IFERROR(INDEX(_TECH_Crisis_Model!$E$5:$E$191,MATCH('Crisis Simulator'!$B$4&amp;"|"&amp;$C240,_TECH_Crisis_Model!$I$5:$I$191,0)),"")</f>
        <v>Production assets, MES, maintenance and utilities determine manufacturing recoverability.</v>
      </c>
      <c r="AS240" s="48" t="str">
        <f>IFERROR(INDEX(_TECH_Crisis_Model!$G$5:$G$191,MATCH('Crisis Simulator'!$B$4&amp;"|"&amp;$C240,_TECH_Crisis_Model!$I$5:$I$191,0)),"")</f>
        <v>Define production fallback, maintenance priorities, spare parts, MES continuity and utility backup.</v>
      </c>
      <c r="AT240" s="48" t="str">
        <f>IFERROR(INDEX(_TECH_Initiative_Library!$A$5:$A$76,MATCH(1,INDEX((_TECH_Initiative_Library!$B$5:$B$76=$C240)*(_TECH_Initiative_Library!$C$5:$C$76=$D240),0),0)),"")</f>
        <v>INI-040</v>
      </c>
      <c r="AU240" s="48" t="str">
        <f>IFERROR(INDEX(_TECH_Initiative_Library!$F$5:$F$76,MATCH(1,INDEX((_TECH_Initiative_Library!$B$5:$B$76=$C240)*(_TECH_Initiative_Library!$C$5:$C$76=$D240),0),0)),"")</f>
        <v>Implement OT security and industrial network resilience controls</v>
      </c>
      <c r="AV240" s="48" t="str">
        <f ca="1">IFERROR(INDEX(_TECH_Initiative_Library!$AC$5:$AC$76,MATCH(1,INDEX((_TECH_Initiative_Library!$B$5:$B$76=$C240)*(_TECH_Initiative_Library!$C$5:$C$76=$D240),0),0)),"")</f>
        <v/>
      </c>
      <c r="AW240" s="48" t="str">
        <f ca="1">IFERROR(INDEX(_TECH_Initiative_Library!$AE$5:$AE$76,MATCH(1,INDEX((_TECH_Initiative_Library!$B$5:$B$76=$C240)*(_TECH_Initiative_Library!$C$5:$C$76=$D240),0),0)),"")</f>
        <v/>
      </c>
      <c r="AX240" s="48" t="str">
        <f>IF($B240="Yes",IFERROR(SUMIFS(_TECH_Industry_Templates!$E:$E,_TECH_Industry_Templates!$A:$A,'Company Profile'!$B$9,_TECH_Industry_Templates!$B:$B,$C240),1),"")</f>
        <v/>
      </c>
      <c r="AY240" s="48" t="str">
        <f t="shared" si="59"/>
        <v/>
      </c>
      <c r="AZ240" s="48" t="str">
        <f t="shared" si="60"/>
        <v/>
      </c>
      <c r="BA240" s="48" t="str">
        <f>IF($AZ240="","",RANK.EQ($AZ240,$AZ$8:$AZ$414,0)+COUNTIF($AZ$8:$AZ240,$AZ240)-1)</f>
        <v/>
      </c>
    </row>
    <row r="241" spans="1:53" ht="69.95" customHeight="1">
      <c r="A241" s="36" t="str">
        <f>IF($AZ241="","",RANK.EQ($AZ241,$AZ$8:$AZ$414,0)+COUNTIF($AZ$8:$AZ241,$AZ241)-1)</f>
        <v/>
      </c>
      <c r="B241" s="36" t="str">
        <f t="shared" si="47"/>
        <v/>
      </c>
      <c r="C241" s="36" t="s">
        <v>81</v>
      </c>
      <c r="D241" s="36" t="s">
        <v>1370</v>
      </c>
      <c r="E241" s="36" t="s">
        <v>4238</v>
      </c>
      <c r="F241" s="36" t="s">
        <v>192</v>
      </c>
      <c r="G241" s="36" t="str">
        <f>IF($H241="","",IFERROR(INDEX('Risk Library'!$H$5:$M$411,MATCH($E241,'Risk Library'!$A$5:$A$411,0),$H241+1),""))</f>
        <v/>
      </c>
      <c r="H241" s="37" t="str">
        <f>IF(OR(COUNTA('Manufacturing MES'!$H$30)=0,'Manufacturing MES'!$H$30="N/A"),"",VALUE('Manufacturing MES'!$H$30))</f>
        <v/>
      </c>
      <c r="I241" s="36" t="str">
        <f>IF($H241="","",IFERROR(IF('Manufacturing MES'!$L$30="",IF($H241&lt;=1,"Critical",IF($H241=2,"High",IF($H241=3,"Medium",IF($H241=4,"Low","Resilient")))),'Manufacturing MES'!$L$30),IF($H241&lt;=1,"Critical",IF($H241=2,"High",IF($H241=3,"Medium",IF($H241=4,"Low","Resilient"))))))</f>
        <v/>
      </c>
      <c r="J241" s="37" t="str">
        <f t="shared" si="48"/>
        <v/>
      </c>
      <c r="K241" s="37" t="str">
        <f t="shared" si="49"/>
        <v/>
      </c>
      <c r="L241" s="37" t="str">
        <f t="shared" si="50"/>
        <v/>
      </c>
      <c r="M241" s="37" t="str">
        <f t="shared" si="51"/>
        <v/>
      </c>
      <c r="N241" s="37" t="str">
        <f>IF($H241="","",IFERROR(INDEX('Risk Library'!$T$5:$Y$411,MATCH($E241,'Risk Library'!$A$5:$A$411,0),$H241+1),""))</f>
        <v/>
      </c>
      <c r="O241" s="37" t="str">
        <f t="shared" si="52"/>
        <v/>
      </c>
      <c r="P241" s="37" t="str">
        <f t="shared" si="53"/>
        <v/>
      </c>
      <c r="Q241" s="37" t="str">
        <f t="shared" si="54"/>
        <v/>
      </c>
      <c r="R241" s="37" t="str">
        <f t="shared" si="55"/>
        <v/>
      </c>
      <c r="S241" s="38" t="str">
        <f t="shared" si="56"/>
        <v/>
      </c>
      <c r="T241" s="36" t="str">
        <f>IF($H241="","",IFERROR(INDEX('Risk Library'!$N$5:$S$411,MATCH($E241,'Risk Library'!$A$5:$A$411,0),$H241+1),""))</f>
        <v/>
      </c>
      <c r="U241" s="37">
        <f>IFERROR('Manufacturing MES'!$G$30,"")</f>
        <v>4</v>
      </c>
      <c r="V241" s="37">
        <f>IFERROR('Manufacturing MES'!$W$30,"")</f>
        <v>5</v>
      </c>
      <c r="W241" s="37">
        <f>IFERROR('Manufacturing MES'!$X$30,"")</f>
        <v>5</v>
      </c>
      <c r="X241" s="37">
        <f>IFERROR('Manufacturing MES'!$Y$30,"")</f>
        <v>5</v>
      </c>
      <c r="Y241" s="36" t="s">
        <v>3995</v>
      </c>
      <c r="Z241" s="36" t="s">
        <v>3996</v>
      </c>
      <c r="AA241" s="36" t="s">
        <v>4240</v>
      </c>
      <c r="AB241" s="36">
        <f>IFERROR('Manufacturing MES'!$U$30,"")</f>
        <v>0</v>
      </c>
      <c r="AC241" s="36"/>
      <c r="AD241" s="36"/>
      <c r="AE241" s="36"/>
      <c r="AF241" s="36" t="s">
        <v>4239</v>
      </c>
      <c r="AO241" s="48" t="str">
        <f>IF($B241="Yes",IFERROR(SUMIFS(_TECH_Crisis_Model!$D$5:$D$191,_TECH_Crisis_Model!$A$5:$A$191,'Crisis Simulator'!$B$4,_TECH_Crisis_Model!$B$5:$B$191,$C241),1),"")</f>
        <v/>
      </c>
      <c r="AP241" s="48" t="str">
        <f t="shared" si="57"/>
        <v/>
      </c>
      <c r="AQ241" s="48" t="str">
        <f t="shared" si="58"/>
        <v/>
      </c>
      <c r="AR241" s="48" t="str">
        <f>IFERROR(INDEX(_TECH_Crisis_Model!$E$5:$E$191,MATCH('Crisis Simulator'!$B$4&amp;"|"&amp;$C241,_TECH_Crisis_Model!$I$5:$I$191,0)),"")</f>
        <v>Production assets, MES, maintenance and utilities determine manufacturing recoverability.</v>
      </c>
      <c r="AS241" s="48" t="str">
        <f>IFERROR(INDEX(_TECH_Crisis_Model!$G$5:$G$191,MATCH('Crisis Simulator'!$B$4&amp;"|"&amp;$C241,_TECH_Crisis_Model!$I$5:$I$191,0)),"")</f>
        <v>Define production fallback, maintenance priorities, spare parts, MES continuity and utility backup.</v>
      </c>
      <c r="AT241" s="48" t="str">
        <f>IFERROR(INDEX(_TECH_Initiative_Library!$A$5:$A$76,MATCH(1,INDEX((_TECH_Initiative_Library!$B$5:$B$76=$C241)*(_TECH_Initiative_Library!$C$5:$C$76=$D241),0),0)),"")</f>
        <v>INI-040</v>
      </c>
      <c r="AU241" s="48" t="str">
        <f>IFERROR(INDEX(_TECH_Initiative_Library!$F$5:$F$76,MATCH(1,INDEX((_TECH_Initiative_Library!$B$5:$B$76=$C241)*(_TECH_Initiative_Library!$C$5:$C$76=$D241),0),0)),"")</f>
        <v>Implement OT security and industrial network resilience controls</v>
      </c>
      <c r="AV241" s="48" t="str">
        <f ca="1">IFERROR(INDEX(_TECH_Initiative_Library!$AC$5:$AC$76,MATCH(1,INDEX((_TECH_Initiative_Library!$B$5:$B$76=$C241)*(_TECH_Initiative_Library!$C$5:$C$76=$D241),0),0)),"")</f>
        <v/>
      </c>
      <c r="AW241" s="48" t="str">
        <f ca="1">IFERROR(INDEX(_TECH_Initiative_Library!$AE$5:$AE$76,MATCH(1,INDEX((_TECH_Initiative_Library!$B$5:$B$76=$C241)*(_TECH_Initiative_Library!$C$5:$C$76=$D241),0),0)),"")</f>
        <v/>
      </c>
      <c r="AX241" s="48" t="str">
        <f>IF($B241="Yes",IFERROR(SUMIFS(_TECH_Industry_Templates!$E:$E,_TECH_Industry_Templates!$A:$A,'Company Profile'!$B$9,_TECH_Industry_Templates!$B:$B,$C241),1),"")</f>
        <v/>
      </c>
      <c r="AY241" s="48" t="str">
        <f t="shared" si="59"/>
        <v/>
      </c>
      <c r="AZ241" s="48" t="str">
        <f t="shared" si="60"/>
        <v/>
      </c>
      <c r="BA241" s="48" t="str">
        <f>IF($AZ241="","",RANK.EQ($AZ241,$AZ$8:$AZ$414,0)+COUNTIF($AZ$8:$AZ241,$AZ241)-1)</f>
        <v/>
      </c>
    </row>
    <row r="242" spans="1:53" ht="69.95" customHeight="1">
      <c r="A242" s="36" t="str">
        <f>IF($AZ242="","",RANK.EQ($AZ242,$AZ$8:$AZ$414,0)+COUNTIF($AZ$8:$AZ242,$AZ242)-1)</f>
        <v/>
      </c>
      <c r="B242" s="36" t="str">
        <f t="shared" si="47"/>
        <v/>
      </c>
      <c r="C242" s="36" t="s">
        <v>81</v>
      </c>
      <c r="D242" s="36" t="s">
        <v>1370</v>
      </c>
      <c r="E242" s="36" t="s">
        <v>4248</v>
      </c>
      <c r="F242" s="36" t="s">
        <v>192</v>
      </c>
      <c r="G242" s="36" t="str">
        <f>IF($H242="","",IFERROR(INDEX('Risk Library'!$H$5:$M$411,MATCH($E242,'Risk Library'!$A$5:$A$411,0),$H242+1),""))</f>
        <v/>
      </c>
      <c r="H242" s="37" t="str">
        <f>IF(OR(COUNTA('Manufacturing MES'!$H$31)=0,'Manufacturing MES'!$H$31="N/A"),"",VALUE('Manufacturing MES'!$H$31))</f>
        <v/>
      </c>
      <c r="I242" s="36" t="str">
        <f>IF($H242="","",IFERROR(IF('Manufacturing MES'!$L$31="",IF($H242&lt;=1,"Critical",IF($H242=2,"High",IF($H242=3,"Medium",IF($H242=4,"Low","Resilient")))),'Manufacturing MES'!$L$31),IF($H242&lt;=1,"Critical",IF($H242=2,"High",IF($H242=3,"Medium",IF($H242=4,"Low","Resilient"))))))</f>
        <v/>
      </c>
      <c r="J242" s="37" t="str">
        <f t="shared" si="48"/>
        <v/>
      </c>
      <c r="K242" s="37" t="str">
        <f t="shared" si="49"/>
        <v/>
      </c>
      <c r="L242" s="37" t="str">
        <f t="shared" si="50"/>
        <v/>
      </c>
      <c r="M242" s="37" t="str">
        <f t="shared" si="51"/>
        <v/>
      </c>
      <c r="N242" s="37" t="str">
        <f>IF($H242="","",IFERROR(INDEX('Risk Library'!$T$5:$Y$411,MATCH($E242,'Risk Library'!$A$5:$A$411,0),$H242+1),""))</f>
        <v/>
      </c>
      <c r="O242" s="37" t="str">
        <f t="shared" si="52"/>
        <v/>
      </c>
      <c r="P242" s="37" t="str">
        <f t="shared" si="53"/>
        <v/>
      </c>
      <c r="Q242" s="37" t="str">
        <f t="shared" si="54"/>
        <v/>
      </c>
      <c r="R242" s="37" t="str">
        <f t="shared" si="55"/>
        <v/>
      </c>
      <c r="S242" s="38" t="str">
        <f t="shared" si="56"/>
        <v/>
      </c>
      <c r="T242" s="36" t="str">
        <f>IF($H242="","",IFERROR(INDEX('Risk Library'!$N$5:$S$411,MATCH($E242,'Risk Library'!$A$5:$A$411,0),$H242+1),""))</f>
        <v/>
      </c>
      <c r="U242" s="37">
        <f>IFERROR('Manufacturing MES'!$G$31,"")</f>
        <v>5</v>
      </c>
      <c r="V242" s="37">
        <f>IFERROR('Manufacturing MES'!$W$31,"")</f>
        <v>5</v>
      </c>
      <c r="W242" s="37">
        <f>IFERROR('Manufacturing MES'!$X$31,"")</f>
        <v>5</v>
      </c>
      <c r="X242" s="37">
        <f>IFERROR('Manufacturing MES'!$Y$31,"")</f>
        <v>5</v>
      </c>
      <c r="Y242" s="36" t="s">
        <v>3995</v>
      </c>
      <c r="Z242" s="36" t="s">
        <v>3996</v>
      </c>
      <c r="AA242" s="36" t="s">
        <v>4250</v>
      </c>
      <c r="AB242" s="36">
        <f>IFERROR('Manufacturing MES'!$U$31,"")</f>
        <v>0</v>
      </c>
      <c r="AC242" s="36"/>
      <c r="AD242" s="36"/>
      <c r="AE242" s="36"/>
      <c r="AF242" s="36" t="s">
        <v>4249</v>
      </c>
      <c r="AO242" s="48" t="str">
        <f>IF($B242="Yes",IFERROR(SUMIFS(_TECH_Crisis_Model!$D$5:$D$191,_TECH_Crisis_Model!$A$5:$A$191,'Crisis Simulator'!$B$4,_TECH_Crisis_Model!$B$5:$B$191,$C242),1),"")</f>
        <v/>
      </c>
      <c r="AP242" s="48" t="str">
        <f t="shared" si="57"/>
        <v/>
      </c>
      <c r="AQ242" s="48" t="str">
        <f t="shared" si="58"/>
        <v/>
      </c>
      <c r="AR242" s="48" t="str">
        <f>IFERROR(INDEX(_TECH_Crisis_Model!$E$5:$E$191,MATCH('Crisis Simulator'!$B$4&amp;"|"&amp;$C242,_TECH_Crisis_Model!$I$5:$I$191,0)),"")</f>
        <v>Production assets, MES, maintenance and utilities determine manufacturing recoverability.</v>
      </c>
      <c r="AS242" s="48" t="str">
        <f>IFERROR(INDEX(_TECH_Crisis_Model!$G$5:$G$191,MATCH('Crisis Simulator'!$B$4&amp;"|"&amp;$C242,_TECH_Crisis_Model!$I$5:$I$191,0)),"")</f>
        <v>Define production fallback, maintenance priorities, spare parts, MES continuity and utility backup.</v>
      </c>
      <c r="AT242" s="48" t="str">
        <f>IFERROR(INDEX(_TECH_Initiative_Library!$A$5:$A$76,MATCH(1,INDEX((_TECH_Initiative_Library!$B$5:$B$76=$C242)*(_TECH_Initiative_Library!$C$5:$C$76=$D242),0),0)),"")</f>
        <v>INI-040</v>
      </c>
      <c r="AU242" s="48" t="str">
        <f>IFERROR(INDEX(_TECH_Initiative_Library!$F$5:$F$76,MATCH(1,INDEX((_TECH_Initiative_Library!$B$5:$B$76=$C242)*(_TECH_Initiative_Library!$C$5:$C$76=$D242),0),0)),"")</f>
        <v>Implement OT security and industrial network resilience controls</v>
      </c>
      <c r="AV242" s="48" t="str">
        <f ca="1">IFERROR(INDEX(_TECH_Initiative_Library!$AC$5:$AC$76,MATCH(1,INDEX((_TECH_Initiative_Library!$B$5:$B$76=$C242)*(_TECH_Initiative_Library!$C$5:$C$76=$D242),0),0)),"")</f>
        <v/>
      </c>
      <c r="AW242" s="48" t="str">
        <f ca="1">IFERROR(INDEX(_TECH_Initiative_Library!$AE$5:$AE$76,MATCH(1,INDEX((_TECH_Initiative_Library!$B$5:$B$76=$C242)*(_TECH_Initiative_Library!$C$5:$C$76=$D242),0),0)),"")</f>
        <v/>
      </c>
      <c r="AX242" s="48" t="str">
        <f>IF($B242="Yes",IFERROR(SUMIFS(_TECH_Industry_Templates!$E:$E,_TECH_Industry_Templates!$A:$A,'Company Profile'!$B$9,_TECH_Industry_Templates!$B:$B,$C242),1),"")</f>
        <v/>
      </c>
      <c r="AY242" s="48" t="str">
        <f t="shared" si="59"/>
        <v/>
      </c>
      <c r="AZ242" s="48" t="str">
        <f t="shared" si="60"/>
        <v/>
      </c>
      <c r="BA242" s="48" t="str">
        <f>IF($AZ242="","",RANK.EQ($AZ242,$AZ$8:$AZ$414,0)+COUNTIF($AZ$8:$AZ242,$AZ242)-1)</f>
        <v/>
      </c>
    </row>
    <row r="243" spans="1:53" ht="69.95" customHeight="1">
      <c r="A243" s="36" t="str">
        <f>IF($AZ243="","",RANK.EQ($AZ243,$AZ$8:$AZ$414,0)+COUNTIF($AZ$8:$AZ243,$AZ243)-1)</f>
        <v/>
      </c>
      <c r="B243" s="36" t="str">
        <f t="shared" si="47"/>
        <v/>
      </c>
      <c r="C243" s="36" t="s">
        <v>81</v>
      </c>
      <c r="D243" s="36" t="s">
        <v>1370</v>
      </c>
      <c r="E243" s="36" t="s">
        <v>4258</v>
      </c>
      <c r="F243" s="36" t="s">
        <v>192</v>
      </c>
      <c r="G243" s="36" t="str">
        <f>IF($H243="","",IFERROR(INDEX('Risk Library'!$H$5:$M$411,MATCH($E243,'Risk Library'!$A$5:$A$411,0),$H243+1),""))</f>
        <v/>
      </c>
      <c r="H243" s="37" t="str">
        <f>IF(OR(COUNTA('Manufacturing MES'!$H$32)=0,'Manufacturing MES'!$H$32="N/A"),"",VALUE('Manufacturing MES'!$H$32))</f>
        <v/>
      </c>
      <c r="I243" s="36" t="str">
        <f>IF($H243="","",IFERROR(IF('Manufacturing MES'!$L$32="",IF($H243&lt;=1,"Critical",IF($H243=2,"High",IF($H243=3,"Medium",IF($H243=4,"Low","Resilient")))),'Manufacturing MES'!$L$32),IF($H243&lt;=1,"Critical",IF($H243=2,"High",IF($H243=3,"Medium",IF($H243=4,"Low","Resilient"))))))</f>
        <v/>
      </c>
      <c r="J243" s="37" t="str">
        <f t="shared" si="48"/>
        <v/>
      </c>
      <c r="K243" s="37" t="str">
        <f t="shared" si="49"/>
        <v/>
      </c>
      <c r="L243" s="37" t="str">
        <f t="shared" si="50"/>
        <v/>
      </c>
      <c r="M243" s="37" t="str">
        <f t="shared" si="51"/>
        <v/>
      </c>
      <c r="N243" s="37" t="str">
        <f>IF($H243="","",IFERROR(INDEX('Risk Library'!$T$5:$Y$411,MATCH($E243,'Risk Library'!$A$5:$A$411,0),$H243+1),""))</f>
        <v/>
      </c>
      <c r="O243" s="37" t="str">
        <f t="shared" si="52"/>
        <v/>
      </c>
      <c r="P243" s="37" t="str">
        <f t="shared" si="53"/>
        <v/>
      </c>
      <c r="Q243" s="37" t="str">
        <f t="shared" si="54"/>
        <v/>
      </c>
      <c r="R243" s="37" t="str">
        <f t="shared" si="55"/>
        <v/>
      </c>
      <c r="S243" s="38" t="str">
        <f t="shared" si="56"/>
        <v/>
      </c>
      <c r="T243" s="36" t="str">
        <f>IF($H243="","",IFERROR(INDEX('Risk Library'!$N$5:$S$411,MATCH($E243,'Risk Library'!$A$5:$A$411,0),$H243+1),""))</f>
        <v/>
      </c>
      <c r="U243" s="37">
        <f>IFERROR('Manufacturing MES'!$G$32,"")</f>
        <v>5</v>
      </c>
      <c r="V243" s="37">
        <f>IFERROR('Manufacturing MES'!$W$32,"")</f>
        <v>5</v>
      </c>
      <c r="W243" s="37">
        <f>IFERROR('Manufacturing MES'!$X$32,"")</f>
        <v>5</v>
      </c>
      <c r="X243" s="37">
        <f>IFERROR('Manufacturing MES'!$Y$32,"")</f>
        <v>5</v>
      </c>
      <c r="Y243" s="36" t="s">
        <v>3995</v>
      </c>
      <c r="Z243" s="36" t="s">
        <v>3996</v>
      </c>
      <c r="AA243" s="36" t="s">
        <v>4260</v>
      </c>
      <c r="AB243" s="36">
        <f>IFERROR('Manufacturing MES'!$U$32,"")</f>
        <v>0</v>
      </c>
      <c r="AC243" s="36"/>
      <c r="AD243" s="36"/>
      <c r="AE243" s="36"/>
      <c r="AF243" s="36" t="s">
        <v>4259</v>
      </c>
      <c r="AO243" s="48" t="str">
        <f>IF($B243="Yes",IFERROR(SUMIFS(_TECH_Crisis_Model!$D$5:$D$191,_TECH_Crisis_Model!$A$5:$A$191,'Crisis Simulator'!$B$4,_TECH_Crisis_Model!$B$5:$B$191,$C243),1),"")</f>
        <v/>
      </c>
      <c r="AP243" s="48" t="str">
        <f t="shared" si="57"/>
        <v/>
      </c>
      <c r="AQ243" s="48" t="str">
        <f t="shared" si="58"/>
        <v/>
      </c>
      <c r="AR243" s="48" t="str">
        <f>IFERROR(INDEX(_TECH_Crisis_Model!$E$5:$E$191,MATCH('Crisis Simulator'!$B$4&amp;"|"&amp;$C243,_TECH_Crisis_Model!$I$5:$I$191,0)),"")</f>
        <v>Production assets, MES, maintenance and utilities determine manufacturing recoverability.</v>
      </c>
      <c r="AS243" s="48" t="str">
        <f>IFERROR(INDEX(_TECH_Crisis_Model!$G$5:$G$191,MATCH('Crisis Simulator'!$B$4&amp;"|"&amp;$C243,_TECH_Crisis_Model!$I$5:$I$191,0)),"")</f>
        <v>Define production fallback, maintenance priorities, spare parts, MES continuity and utility backup.</v>
      </c>
      <c r="AT243" s="48" t="str">
        <f>IFERROR(INDEX(_TECH_Initiative_Library!$A$5:$A$76,MATCH(1,INDEX((_TECH_Initiative_Library!$B$5:$B$76=$C243)*(_TECH_Initiative_Library!$C$5:$C$76=$D243),0),0)),"")</f>
        <v>INI-040</v>
      </c>
      <c r="AU243" s="48" t="str">
        <f>IFERROR(INDEX(_TECH_Initiative_Library!$F$5:$F$76,MATCH(1,INDEX((_TECH_Initiative_Library!$B$5:$B$76=$C243)*(_TECH_Initiative_Library!$C$5:$C$76=$D243),0),0)),"")</f>
        <v>Implement OT security and industrial network resilience controls</v>
      </c>
      <c r="AV243" s="48" t="str">
        <f ca="1">IFERROR(INDEX(_TECH_Initiative_Library!$AC$5:$AC$76,MATCH(1,INDEX((_TECH_Initiative_Library!$B$5:$B$76=$C243)*(_TECH_Initiative_Library!$C$5:$C$76=$D243),0),0)),"")</f>
        <v/>
      </c>
      <c r="AW243" s="48" t="str">
        <f ca="1">IFERROR(INDEX(_TECH_Initiative_Library!$AE$5:$AE$76,MATCH(1,INDEX((_TECH_Initiative_Library!$B$5:$B$76=$C243)*(_TECH_Initiative_Library!$C$5:$C$76=$D243),0),0)),"")</f>
        <v/>
      </c>
      <c r="AX243" s="48" t="str">
        <f>IF($B243="Yes",IFERROR(SUMIFS(_TECH_Industry_Templates!$E:$E,_TECH_Industry_Templates!$A:$A,'Company Profile'!$B$9,_TECH_Industry_Templates!$B:$B,$C243),1),"")</f>
        <v/>
      </c>
      <c r="AY243" s="48" t="str">
        <f t="shared" si="59"/>
        <v/>
      </c>
      <c r="AZ243" s="48" t="str">
        <f t="shared" si="60"/>
        <v/>
      </c>
      <c r="BA243" s="48" t="str">
        <f>IF($AZ243="","",RANK.EQ($AZ243,$AZ$8:$AZ$414,0)+COUNTIF($AZ$8:$AZ243,$AZ243)-1)</f>
        <v/>
      </c>
    </row>
    <row r="244" spans="1:53" ht="69.95" customHeight="1">
      <c r="A244" s="36" t="str">
        <f>IF($AZ244="","",RANK.EQ($AZ244,$AZ$8:$AZ$414,0)+COUNTIF($AZ$8:$AZ244,$AZ244)-1)</f>
        <v/>
      </c>
      <c r="B244" s="36" t="str">
        <f t="shared" si="47"/>
        <v/>
      </c>
      <c r="C244" s="36" t="s">
        <v>84</v>
      </c>
      <c r="D244" s="36" t="s">
        <v>1378</v>
      </c>
      <c r="E244" s="36" t="s">
        <v>4270</v>
      </c>
      <c r="F244" s="36" t="s">
        <v>193</v>
      </c>
      <c r="G244" s="36" t="str">
        <f>IF($H244="","",IFERROR(INDEX('Risk Library'!$H$5:$M$411,MATCH($E244,'Risk Library'!$A$5:$A$411,0),$H244+1),""))</f>
        <v/>
      </c>
      <c r="H244" s="37" t="str">
        <f>IF(OR(COUNTA('Sales CRM'!$H$5)=0,'Sales CRM'!$H$5="N/A"),"",VALUE('Sales CRM'!$H$5))</f>
        <v/>
      </c>
      <c r="I244" s="36" t="str">
        <f>IF($H244="","",IFERROR(IF('Sales CRM'!$L$5="",IF($H244&lt;=1,"Critical",IF($H244=2,"High",IF($H244=3,"Medium",IF($H244=4,"Low","Resilient")))),'Sales CRM'!$L$5),IF($H244&lt;=1,"Critical",IF($H244=2,"High",IF($H244=3,"Medium",IF($H244=4,"Low","Resilient"))))))</f>
        <v/>
      </c>
      <c r="J244" s="37" t="str">
        <f t="shared" si="48"/>
        <v/>
      </c>
      <c r="K244" s="37" t="str">
        <f t="shared" si="49"/>
        <v/>
      </c>
      <c r="L244" s="37" t="str">
        <f t="shared" si="50"/>
        <v/>
      </c>
      <c r="M244" s="37" t="str">
        <f t="shared" si="51"/>
        <v/>
      </c>
      <c r="N244" s="37" t="str">
        <f>IF($H244="","",IFERROR(INDEX('Risk Library'!$T$5:$Y$411,MATCH($E244,'Risk Library'!$A$5:$A$411,0),$H244+1),""))</f>
        <v/>
      </c>
      <c r="O244" s="37" t="str">
        <f t="shared" si="52"/>
        <v/>
      </c>
      <c r="P244" s="37" t="str">
        <f t="shared" si="53"/>
        <v/>
      </c>
      <c r="Q244" s="37" t="str">
        <f t="shared" si="54"/>
        <v/>
      </c>
      <c r="R244" s="37" t="str">
        <f t="shared" si="55"/>
        <v/>
      </c>
      <c r="S244" s="38" t="str">
        <f t="shared" si="56"/>
        <v/>
      </c>
      <c r="T244" s="36" t="str">
        <f>IF($H244="","",IFERROR(INDEX('Risk Library'!$N$5:$S$411,MATCH($E244,'Risk Library'!$A$5:$A$411,0),$H244+1),""))</f>
        <v/>
      </c>
      <c r="U244" s="37">
        <f>IFERROR('Sales CRM'!$G$5,"")</f>
        <v>4</v>
      </c>
      <c r="V244" s="37">
        <f>IFERROR('Sales CRM'!$W$5,"")</f>
        <v>5</v>
      </c>
      <c r="W244" s="37">
        <f>IFERROR('Sales CRM'!$X$5,"")</f>
        <v>5</v>
      </c>
      <c r="X244" s="37">
        <f>IFERROR('Sales CRM'!$Y$5,"")</f>
        <v>5</v>
      </c>
      <c r="Y244" s="36" t="s">
        <v>4281</v>
      </c>
      <c r="Z244" s="36" t="s">
        <v>4282</v>
      </c>
      <c r="AA244" s="36" t="s">
        <v>4274</v>
      </c>
      <c r="AB244" s="36">
        <f>IFERROR('Sales CRM'!$U$5,"")</f>
        <v>0</v>
      </c>
      <c r="AC244" s="36"/>
      <c r="AD244" s="36"/>
      <c r="AE244" s="36"/>
      <c r="AF244" s="36" t="s">
        <v>4271</v>
      </c>
      <c r="AO244" s="48" t="str">
        <f>IF($B244="Yes",IFERROR(SUMIFS(_TECH_Crisis_Model!$D$5:$D$191,_TECH_Crisis_Model!$A$5:$A$191,'Crisis Simulator'!$B$4,_TECH_Crisis_Model!$B$5:$B$191,$C244),1),"")</f>
        <v/>
      </c>
      <c r="AP244" s="48" t="str">
        <f t="shared" si="57"/>
        <v/>
      </c>
      <c r="AQ244" s="48" t="str">
        <f t="shared" si="58"/>
        <v/>
      </c>
      <c r="AR244" s="48" t="str">
        <f>IFERROR(INDEX(_TECH_Crisis_Model!$E$5:$E$191,MATCH('Crisis Simulator'!$B$4&amp;"|"&amp;$C244,_TECH_Crisis_Model!$I$5:$I$191,0)),"")</f>
        <v>CRM discipline, pipeline visibility and retention actions determine revenue protection.</v>
      </c>
      <c r="AS244" s="48" t="str">
        <f>IFERROR(INDEX(_TECH_Crisis_Model!$G$5:$G$191,MATCH('Crisis Simulator'!$B$4&amp;"|"&amp;$C244,_TECH_Crisis_Model!$I$5:$I$191,0)),"")</f>
        <v>Improve CRM hygiene, retention playbooks, pipeline scenarios and customer segmentation.</v>
      </c>
      <c r="AT244" s="48" t="str">
        <f>IFERROR(INDEX(_TECH_Initiative_Library!$A$5:$A$76,MATCH(1,INDEX((_TECH_Initiative_Library!$B$5:$B$76=$C244)*(_TECH_Initiative_Library!$C$5:$C$76=$D244),0),0)),"")</f>
        <v>INI-041</v>
      </c>
      <c r="AU244" s="48" t="str">
        <f>IFERROR(INDEX(_TECH_Initiative_Library!$F$5:$F$76,MATCH(1,INDEX((_TECH_Initiative_Library!$B$5:$B$76=$C244)*(_TECH_Initiative_Library!$C$5:$C$76=$D244),0),0)),"")</f>
        <v>Stabilize CRM data model, ownership and adoption</v>
      </c>
      <c r="AV244" s="48" t="str">
        <f ca="1">IFERROR(INDEX(_TECH_Initiative_Library!$AC$5:$AC$76,MATCH(1,INDEX((_TECH_Initiative_Library!$B$5:$B$76=$C244)*(_TECH_Initiative_Library!$C$5:$C$76=$D244),0),0)),"")</f>
        <v/>
      </c>
      <c r="AW244" s="48" t="str">
        <f ca="1">IFERROR(INDEX(_TECH_Initiative_Library!$AE$5:$AE$76,MATCH(1,INDEX((_TECH_Initiative_Library!$B$5:$B$76=$C244)*(_TECH_Initiative_Library!$C$5:$C$76=$D244),0),0)),"")</f>
        <v/>
      </c>
      <c r="AX244" s="48" t="str">
        <f>IF($B244="Yes",IFERROR(SUMIFS(_TECH_Industry_Templates!$E:$E,_TECH_Industry_Templates!$A:$A,'Company Profile'!$B$9,_TECH_Industry_Templates!$B:$B,$C244),1),"")</f>
        <v/>
      </c>
      <c r="AY244" s="48" t="str">
        <f t="shared" si="59"/>
        <v/>
      </c>
      <c r="AZ244" s="48" t="str">
        <f t="shared" si="60"/>
        <v/>
      </c>
      <c r="BA244" s="48" t="str">
        <f>IF($AZ244="","",RANK.EQ($AZ244,$AZ$8:$AZ$414,0)+COUNTIF($AZ$8:$AZ244,$AZ244)-1)</f>
        <v/>
      </c>
    </row>
    <row r="245" spans="1:53" ht="69.95" customHeight="1">
      <c r="A245" s="36" t="str">
        <f>IF($AZ245="","",RANK.EQ($AZ245,$AZ$8:$AZ$414,0)+COUNTIF($AZ$8:$AZ245,$AZ245)-1)</f>
        <v/>
      </c>
      <c r="B245" s="36" t="str">
        <f t="shared" si="47"/>
        <v/>
      </c>
      <c r="C245" s="36" t="s">
        <v>84</v>
      </c>
      <c r="D245" s="36" t="s">
        <v>1378</v>
      </c>
      <c r="E245" s="36" t="s">
        <v>4284</v>
      </c>
      <c r="F245" s="36" t="s">
        <v>193</v>
      </c>
      <c r="G245" s="36" t="str">
        <f>IF($H245="","",IFERROR(INDEX('Risk Library'!$H$5:$M$411,MATCH($E245,'Risk Library'!$A$5:$A$411,0),$H245+1),""))</f>
        <v/>
      </c>
      <c r="H245" s="37" t="str">
        <f>IF(OR(COUNTA('Sales CRM'!$H$6)=0,'Sales CRM'!$H$6="N/A"),"",VALUE('Sales CRM'!$H$6))</f>
        <v/>
      </c>
      <c r="I245" s="36" t="str">
        <f>IF($H245="","",IFERROR(IF('Sales CRM'!$L$6="",IF($H245&lt;=1,"Critical",IF($H245=2,"High",IF($H245=3,"Medium",IF($H245=4,"Low","Resilient")))),'Sales CRM'!$L$6),IF($H245&lt;=1,"Critical",IF($H245=2,"High",IF($H245=3,"Medium",IF($H245=4,"Low","Resilient"))))))</f>
        <v/>
      </c>
      <c r="J245" s="37" t="str">
        <f t="shared" si="48"/>
        <v/>
      </c>
      <c r="K245" s="37" t="str">
        <f t="shared" si="49"/>
        <v/>
      </c>
      <c r="L245" s="37" t="str">
        <f t="shared" si="50"/>
        <v/>
      </c>
      <c r="M245" s="37" t="str">
        <f t="shared" si="51"/>
        <v/>
      </c>
      <c r="N245" s="37" t="str">
        <f>IF($H245="","",IFERROR(INDEX('Risk Library'!$T$5:$Y$411,MATCH($E245,'Risk Library'!$A$5:$A$411,0),$H245+1),""))</f>
        <v/>
      </c>
      <c r="O245" s="37" t="str">
        <f t="shared" si="52"/>
        <v/>
      </c>
      <c r="P245" s="37" t="str">
        <f t="shared" si="53"/>
        <v/>
      </c>
      <c r="Q245" s="37" t="str">
        <f t="shared" si="54"/>
        <v/>
      </c>
      <c r="R245" s="37" t="str">
        <f t="shared" si="55"/>
        <v/>
      </c>
      <c r="S245" s="38" t="str">
        <f t="shared" si="56"/>
        <v/>
      </c>
      <c r="T245" s="36" t="str">
        <f>IF($H245="","",IFERROR(INDEX('Risk Library'!$N$5:$S$411,MATCH($E245,'Risk Library'!$A$5:$A$411,0),$H245+1),""))</f>
        <v/>
      </c>
      <c r="U245" s="37">
        <f>IFERROR('Sales CRM'!$G$6,"")</f>
        <v>4</v>
      </c>
      <c r="V245" s="37">
        <f>IFERROR('Sales CRM'!$W$6,"")</f>
        <v>5</v>
      </c>
      <c r="W245" s="37">
        <f>IFERROR('Sales CRM'!$X$6,"")</f>
        <v>5</v>
      </c>
      <c r="X245" s="37">
        <f>IFERROR('Sales CRM'!$Y$6,"")</f>
        <v>5</v>
      </c>
      <c r="Y245" s="36" t="s">
        <v>4281</v>
      </c>
      <c r="Z245" s="36" t="s">
        <v>4282</v>
      </c>
      <c r="AA245" s="36" t="s">
        <v>4286</v>
      </c>
      <c r="AB245" s="36">
        <f>IFERROR('Sales CRM'!$U$6,"")</f>
        <v>0</v>
      </c>
      <c r="AC245" s="36"/>
      <c r="AD245" s="36"/>
      <c r="AE245" s="36"/>
      <c r="AF245" s="36" t="s">
        <v>4285</v>
      </c>
      <c r="AO245" s="48" t="str">
        <f>IF($B245="Yes",IFERROR(SUMIFS(_TECH_Crisis_Model!$D$5:$D$191,_TECH_Crisis_Model!$A$5:$A$191,'Crisis Simulator'!$B$4,_TECH_Crisis_Model!$B$5:$B$191,$C245),1),"")</f>
        <v/>
      </c>
      <c r="AP245" s="48" t="str">
        <f t="shared" si="57"/>
        <v/>
      </c>
      <c r="AQ245" s="48" t="str">
        <f t="shared" si="58"/>
        <v/>
      </c>
      <c r="AR245" s="48" t="str">
        <f>IFERROR(INDEX(_TECH_Crisis_Model!$E$5:$E$191,MATCH('Crisis Simulator'!$B$4&amp;"|"&amp;$C245,_TECH_Crisis_Model!$I$5:$I$191,0)),"")</f>
        <v>CRM discipline, pipeline visibility and retention actions determine revenue protection.</v>
      </c>
      <c r="AS245" s="48" t="str">
        <f>IFERROR(INDEX(_TECH_Crisis_Model!$G$5:$G$191,MATCH('Crisis Simulator'!$B$4&amp;"|"&amp;$C245,_TECH_Crisis_Model!$I$5:$I$191,0)),"")</f>
        <v>Improve CRM hygiene, retention playbooks, pipeline scenarios and customer segmentation.</v>
      </c>
      <c r="AT245" s="48" t="str">
        <f>IFERROR(INDEX(_TECH_Initiative_Library!$A$5:$A$76,MATCH(1,INDEX((_TECH_Initiative_Library!$B$5:$B$76=$C245)*(_TECH_Initiative_Library!$C$5:$C$76=$D245),0),0)),"")</f>
        <v>INI-041</v>
      </c>
      <c r="AU245" s="48" t="str">
        <f>IFERROR(INDEX(_TECH_Initiative_Library!$F$5:$F$76,MATCH(1,INDEX((_TECH_Initiative_Library!$B$5:$B$76=$C245)*(_TECH_Initiative_Library!$C$5:$C$76=$D245),0),0)),"")</f>
        <v>Stabilize CRM data model, ownership and adoption</v>
      </c>
      <c r="AV245" s="48" t="str">
        <f ca="1">IFERROR(INDEX(_TECH_Initiative_Library!$AC$5:$AC$76,MATCH(1,INDEX((_TECH_Initiative_Library!$B$5:$B$76=$C245)*(_TECH_Initiative_Library!$C$5:$C$76=$D245),0),0)),"")</f>
        <v/>
      </c>
      <c r="AW245" s="48" t="str">
        <f ca="1">IFERROR(INDEX(_TECH_Initiative_Library!$AE$5:$AE$76,MATCH(1,INDEX((_TECH_Initiative_Library!$B$5:$B$76=$C245)*(_TECH_Initiative_Library!$C$5:$C$76=$D245),0),0)),"")</f>
        <v/>
      </c>
      <c r="AX245" s="48" t="str">
        <f>IF($B245="Yes",IFERROR(SUMIFS(_TECH_Industry_Templates!$E:$E,_TECH_Industry_Templates!$A:$A,'Company Profile'!$B$9,_TECH_Industry_Templates!$B:$B,$C245),1),"")</f>
        <v/>
      </c>
      <c r="AY245" s="48" t="str">
        <f t="shared" si="59"/>
        <v/>
      </c>
      <c r="AZ245" s="48" t="str">
        <f t="shared" si="60"/>
        <v/>
      </c>
      <c r="BA245" s="48" t="str">
        <f>IF($AZ245="","",RANK.EQ($AZ245,$AZ$8:$AZ$414,0)+COUNTIF($AZ$8:$AZ245,$AZ245)-1)</f>
        <v/>
      </c>
    </row>
    <row r="246" spans="1:53" ht="69.95" customHeight="1">
      <c r="A246" s="36" t="str">
        <f>IF($AZ246="","",RANK.EQ($AZ246,$AZ$8:$AZ$414,0)+COUNTIF($AZ$8:$AZ246,$AZ246)-1)</f>
        <v/>
      </c>
      <c r="B246" s="36" t="str">
        <f t="shared" si="47"/>
        <v/>
      </c>
      <c r="C246" s="36" t="s">
        <v>84</v>
      </c>
      <c r="D246" s="36" t="s">
        <v>1378</v>
      </c>
      <c r="E246" s="36" t="s">
        <v>4294</v>
      </c>
      <c r="F246" s="36" t="s">
        <v>193</v>
      </c>
      <c r="G246" s="36" t="str">
        <f>IF($H246="","",IFERROR(INDEX('Risk Library'!$H$5:$M$411,MATCH($E246,'Risk Library'!$A$5:$A$411,0),$H246+1),""))</f>
        <v/>
      </c>
      <c r="H246" s="37" t="str">
        <f>IF(OR(COUNTA('Sales CRM'!$H$7)=0,'Sales CRM'!$H$7="N/A"),"",VALUE('Sales CRM'!$H$7))</f>
        <v/>
      </c>
      <c r="I246" s="36" t="str">
        <f>IF($H246="","",IFERROR(IF('Sales CRM'!$L$7="",IF($H246&lt;=1,"Critical",IF($H246=2,"High",IF($H246=3,"Medium",IF($H246=4,"Low","Resilient")))),'Sales CRM'!$L$7),IF($H246&lt;=1,"Critical",IF($H246=2,"High",IF($H246=3,"Medium",IF($H246=4,"Low","Resilient"))))))</f>
        <v/>
      </c>
      <c r="J246" s="37" t="str">
        <f t="shared" si="48"/>
        <v/>
      </c>
      <c r="K246" s="37" t="str">
        <f t="shared" si="49"/>
        <v/>
      </c>
      <c r="L246" s="37" t="str">
        <f t="shared" si="50"/>
        <v/>
      </c>
      <c r="M246" s="37" t="str">
        <f t="shared" si="51"/>
        <v/>
      </c>
      <c r="N246" s="37" t="str">
        <f>IF($H246="","",IFERROR(INDEX('Risk Library'!$T$5:$Y$411,MATCH($E246,'Risk Library'!$A$5:$A$411,0),$H246+1),""))</f>
        <v/>
      </c>
      <c r="O246" s="37" t="str">
        <f t="shared" si="52"/>
        <v/>
      </c>
      <c r="P246" s="37" t="str">
        <f t="shared" si="53"/>
        <v/>
      </c>
      <c r="Q246" s="37" t="str">
        <f t="shared" si="54"/>
        <v/>
      </c>
      <c r="R246" s="37" t="str">
        <f t="shared" si="55"/>
        <v/>
      </c>
      <c r="S246" s="38" t="str">
        <f t="shared" si="56"/>
        <v/>
      </c>
      <c r="T246" s="36" t="str">
        <f>IF($H246="","",IFERROR(INDEX('Risk Library'!$N$5:$S$411,MATCH($E246,'Risk Library'!$A$5:$A$411,0),$H246+1),""))</f>
        <v/>
      </c>
      <c r="U246" s="37">
        <f>IFERROR('Sales CRM'!$G$7,"")</f>
        <v>5</v>
      </c>
      <c r="V246" s="37">
        <f>IFERROR('Sales CRM'!$W$7,"")</f>
        <v>5</v>
      </c>
      <c r="W246" s="37">
        <f>IFERROR('Sales CRM'!$X$7,"")</f>
        <v>5</v>
      </c>
      <c r="X246" s="37">
        <f>IFERROR('Sales CRM'!$Y$7,"")</f>
        <v>5</v>
      </c>
      <c r="Y246" s="36" t="s">
        <v>4281</v>
      </c>
      <c r="Z246" s="36" t="s">
        <v>4282</v>
      </c>
      <c r="AA246" s="36" t="s">
        <v>4296</v>
      </c>
      <c r="AB246" s="36">
        <f>IFERROR('Sales CRM'!$U$7,"")</f>
        <v>0</v>
      </c>
      <c r="AC246" s="36"/>
      <c r="AD246" s="36"/>
      <c r="AE246" s="36"/>
      <c r="AF246" s="36" t="s">
        <v>4295</v>
      </c>
      <c r="AO246" s="48" t="str">
        <f>IF($B246="Yes",IFERROR(SUMIFS(_TECH_Crisis_Model!$D$5:$D$191,_TECH_Crisis_Model!$A$5:$A$191,'Crisis Simulator'!$B$4,_TECH_Crisis_Model!$B$5:$B$191,$C246),1),"")</f>
        <v/>
      </c>
      <c r="AP246" s="48" t="str">
        <f t="shared" si="57"/>
        <v/>
      </c>
      <c r="AQ246" s="48" t="str">
        <f t="shared" si="58"/>
        <v/>
      </c>
      <c r="AR246" s="48" t="str">
        <f>IFERROR(INDEX(_TECH_Crisis_Model!$E$5:$E$191,MATCH('Crisis Simulator'!$B$4&amp;"|"&amp;$C246,_TECH_Crisis_Model!$I$5:$I$191,0)),"")</f>
        <v>CRM discipline, pipeline visibility and retention actions determine revenue protection.</v>
      </c>
      <c r="AS246" s="48" t="str">
        <f>IFERROR(INDEX(_TECH_Crisis_Model!$G$5:$G$191,MATCH('Crisis Simulator'!$B$4&amp;"|"&amp;$C246,_TECH_Crisis_Model!$I$5:$I$191,0)),"")</f>
        <v>Improve CRM hygiene, retention playbooks, pipeline scenarios and customer segmentation.</v>
      </c>
      <c r="AT246" s="48" t="str">
        <f>IFERROR(INDEX(_TECH_Initiative_Library!$A$5:$A$76,MATCH(1,INDEX((_TECH_Initiative_Library!$B$5:$B$76=$C246)*(_TECH_Initiative_Library!$C$5:$C$76=$D246),0),0)),"")</f>
        <v>INI-041</v>
      </c>
      <c r="AU246" s="48" t="str">
        <f>IFERROR(INDEX(_TECH_Initiative_Library!$F$5:$F$76,MATCH(1,INDEX((_TECH_Initiative_Library!$B$5:$B$76=$C246)*(_TECH_Initiative_Library!$C$5:$C$76=$D246),0),0)),"")</f>
        <v>Stabilize CRM data model, ownership and adoption</v>
      </c>
      <c r="AV246" s="48" t="str">
        <f ca="1">IFERROR(INDEX(_TECH_Initiative_Library!$AC$5:$AC$76,MATCH(1,INDEX((_TECH_Initiative_Library!$B$5:$B$76=$C246)*(_TECH_Initiative_Library!$C$5:$C$76=$D246),0),0)),"")</f>
        <v/>
      </c>
      <c r="AW246" s="48" t="str">
        <f ca="1">IFERROR(INDEX(_TECH_Initiative_Library!$AE$5:$AE$76,MATCH(1,INDEX((_TECH_Initiative_Library!$B$5:$B$76=$C246)*(_TECH_Initiative_Library!$C$5:$C$76=$D246),0),0)),"")</f>
        <v/>
      </c>
      <c r="AX246" s="48" t="str">
        <f>IF($B246="Yes",IFERROR(SUMIFS(_TECH_Industry_Templates!$E:$E,_TECH_Industry_Templates!$A:$A,'Company Profile'!$B$9,_TECH_Industry_Templates!$B:$B,$C246),1),"")</f>
        <v/>
      </c>
      <c r="AY246" s="48" t="str">
        <f t="shared" si="59"/>
        <v/>
      </c>
      <c r="AZ246" s="48" t="str">
        <f t="shared" si="60"/>
        <v/>
      </c>
      <c r="BA246" s="48" t="str">
        <f>IF($AZ246="","",RANK.EQ($AZ246,$AZ$8:$AZ$414,0)+COUNTIF($AZ$8:$AZ246,$AZ246)-1)</f>
        <v/>
      </c>
    </row>
    <row r="247" spans="1:53" ht="69.95" customHeight="1">
      <c r="A247" s="36" t="str">
        <f>IF($AZ247="","",RANK.EQ($AZ247,$AZ$8:$AZ$414,0)+COUNTIF($AZ$8:$AZ247,$AZ247)-1)</f>
        <v/>
      </c>
      <c r="B247" s="36" t="str">
        <f t="shared" si="47"/>
        <v/>
      </c>
      <c r="C247" s="36" t="s">
        <v>84</v>
      </c>
      <c r="D247" s="36" t="s">
        <v>1378</v>
      </c>
      <c r="E247" s="36" t="s">
        <v>4304</v>
      </c>
      <c r="F247" s="36" t="s">
        <v>193</v>
      </c>
      <c r="G247" s="36" t="str">
        <f>IF($H247="","",IFERROR(INDEX('Risk Library'!$H$5:$M$411,MATCH($E247,'Risk Library'!$A$5:$A$411,0),$H247+1),""))</f>
        <v/>
      </c>
      <c r="H247" s="37" t="str">
        <f>IF(OR(COUNTA('Sales CRM'!$H$8)=0,'Sales CRM'!$H$8="N/A"),"",VALUE('Sales CRM'!$H$8))</f>
        <v/>
      </c>
      <c r="I247" s="36" t="str">
        <f>IF($H247="","",IFERROR(IF('Sales CRM'!$L$8="",IF($H247&lt;=1,"Critical",IF($H247=2,"High",IF($H247=3,"Medium",IF($H247=4,"Low","Resilient")))),'Sales CRM'!$L$8),IF($H247&lt;=1,"Critical",IF($H247=2,"High",IF($H247=3,"Medium",IF($H247=4,"Low","Resilient"))))))</f>
        <v/>
      </c>
      <c r="J247" s="37" t="str">
        <f t="shared" si="48"/>
        <v/>
      </c>
      <c r="K247" s="37" t="str">
        <f t="shared" si="49"/>
        <v/>
      </c>
      <c r="L247" s="37" t="str">
        <f t="shared" si="50"/>
        <v/>
      </c>
      <c r="M247" s="37" t="str">
        <f t="shared" si="51"/>
        <v/>
      </c>
      <c r="N247" s="37" t="str">
        <f>IF($H247="","",IFERROR(INDEX('Risk Library'!$T$5:$Y$411,MATCH($E247,'Risk Library'!$A$5:$A$411,0),$H247+1),""))</f>
        <v/>
      </c>
      <c r="O247" s="37" t="str">
        <f t="shared" si="52"/>
        <v/>
      </c>
      <c r="P247" s="37" t="str">
        <f t="shared" si="53"/>
        <v/>
      </c>
      <c r="Q247" s="37" t="str">
        <f t="shared" si="54"/>
        <v/>
      </c>
      <c r="R247" s="37" t="str">
        <f t="shared" si="55"/>
        <v/>
      </c>
      <c r="S247" s="38" t="str">
        <f t="shared" si="56"/>
        <v/>
      </c>
      <c r="T247" s="36" t="str">
        <f>IF($H247="","",IFERROR(INDEX('Risk Library'!$N$5:$S$411,MATCH($E247,'Risk Library'!$A$5:$A$411,0),$H247+1),""))</f>
        <v/>
      </c>
      <c r="U247" s="37">
        <f>IFERROR('Sales CRM'!$G$8,"")</f>
        <v>4</v>
      </c>
      <c r="V247" s="37">
        <f>IFERROR('Sales CRM'!$W$8,"")</f>
        <v>5</v>
      </c>
      <c r="W247" s="37">
        <f>IFERROR('Sales CRM'!$X$8,"")</f>
        <v>5</v>
      </c>
      <c r="X247" s="37">
        <f>IFERROR('Sales CRM'!$Y$8,"")</f>
        <v>5</v>
      </c>
      <c r="Y247" s="36" t="s">
        <v>4281</v>
      </c>
      <c r="Z247" s="36" t="s">
        <v>4282</v>
      </c>
      <c r="AA247" s="36" t="s">
        <v>4306</v>
      </c>
      <c r="AB247" s="36">
        <f>IFERROR('Sales CRM'!$U$8,"")</f>
        <v>0</v>
      </c>
      <c r="AC247" s="36"/>
      <c r="AD247" s="36"/>
      <c r="AE247" s="36"/>
      <c r="AF247" s="36" t="s">
        <v>4305</v>
      </c>
      <c r="AO247" s="48" t="str">
        <f>IF($B247="Yes",IFERROR(SUMIFS(_TECH_Crisis_Model!$D$5:$D$191,_TECH_Crisis_Model!$A$5:$A$191,'Crisis Simulator'!$B$4,_TECH_Crisis_Model!$B$5:$B$191,$C247),1),"")</f>
        <v/>
      </c>
      <c r="AP247" s="48" t="str">
        <f t="shared" si="57"/>
        <v/>
      </c>
      <c r="AQ247" s="48" t="str">
        <f t="shared" si="58"/>
        <v/>
      </c>
      <c r="AR247" s="48" t="str">
        <f>IFERROR(INDEX(_TECH_Crisis_Model!$E$5:$E$191,MATCH('Crisis Simulator'!$B$4&amp;"|"&amp;$C247,_TECH_Crisis_Model!$I$5:$I$191,0)),"")</f>
        <v>CRM discipline, pipeline visibility and retention actions determine revenue protection.</v>
      </c>
      <c r="AS247" s="48" t="str">
        <f>IFERROR(INDEX(_TECH_Crisis_Model!$G$5:$G$191,MATCH('Crisis Simulator'!$B$4&amp;"|"&amp;$C247,_TECH_Crisis_Model!$I$5:$I$191,0)),"")</f>
        <v>Improve CRM hygiene, retention playbooks, pipeline scenarios and customer segmentation.</v>
      </c>
      <c r="AT247" s="48" t="str">
        <f>IFERROR(INDEX(_TECH_Initiative_Library!$A$5:$A$76,MATCH(1,INDEX((_TECH_Initiative_Library!$B$5:$B$76=$C247)*(_TECH_Initiative_Library!$C$5:$C$76=$D247),0),0)),"")</f>
        <v>INI-041</v>
      </c>
      <c r="AU247" s="48" t="str">
        <f>IFERROR(INDEX(_TECH_Initiative_Library!$F$5:$F$76,MATCH(1,INDEX((_TECH_Initiative_Library!$B$5:$B$76=$C247)*(_TECH_Initiative_Library!$C$5:$C$76=$D247),0),0)),"")</f>
        <v>Stabilize CRM data model, ownership and adoption</v>
      </c>
      <c r="AV247" s="48" t="str">
        <f ca="1">IFERROR(INDEX(_TECH_Initiative_Library!$AC$5:$AC$76,MATCH(1,INDEX((_TECH_Initiative_Library!$B$5:$B$76=$C247)*(_TECH_Initiative_Library!$C$5:$C$76=$D247),0),0)),"")</f>
        <v/>
      </c>
      <c r="AW247" s="48" t="str">
        <f ca="1">IFERROR(INDEX(_TECH_Initiative_Library!$AE$5:$AE$76,MATCH(1,INDEX((_TECH_Initiative_Library!$B$5:$B$76=$C247)*(_TECH_Initiative_Library!$C$5:$C$76=$D247),0),0)),"")</f>
        <v/>
      </c>
      <c r="AX247" s="48" t="str">
        <f>IF($B247="Yes",IFERROR(SUMIFS(_TECH_Industry_Templates!$E:$E,_TECH_Industry_Templates!$A:$A,'Company Profile'!$B$9,_TECH_Industry_Templates!$B:$B,$C247),1),"")</f>
        <v/>
      </c>
      <c r="AY247" s="48" t="str">
        <f t="shared" si="59"/>
        <v/>
      </c>
      <c r="AZ247" s="48" t="str">
        <f t="shared" si="60"/>
        <v/>
      </c>
      <c r="BA247" s="48" t="str">
        <f>IF($AZ247="","",RANK.EQ($AZ247,$AZ$8:$AZ$414,0)+COUNTIF($AZ$8:$AZ247,$AZ247)-1)</f>
        <v/>
      </c>
    </row>
    <row r="248" spans="1:53" ht="69.95" customHeight="1">
      <c r="A248" s="36" t="str">
        <f>IF($AZ248="","",RANK.EQ($AZ248,$AZ$8:$AZ$414,0)+COUNTIF($AZ$8:$AZ248,$AZ248)-1)</f>
        <v/>
      </c>
      <c r="B248" s="36" t="str">
        <f t="shared" si="47"/>
        <v/>
      </c>
      <c r="C248" s="36" t="s">
        <v>84</v>
      </c>
      <c r="D248" s="36" t="s">
        <v>1378</v>
      </c>
      <c r="E248" s="36" t="s">
        <v>4314</v>
      </c>
      <c r="F248" s="36" t="s">
        <v>193</v>
      </c>
      <c r="G248" s="36" t="str">
        <f>IF($H248="","",IFERROR(INDEX('Risk Library'!$H$5:$M$411,MATCH($E248,'Risk Library'!$A$5:$A$411,0),$H248+1),""))</f>
        <v/>
      </c>
      <c r="H248" s="37" t="str">
        <f>IF(OR(COUNTA('Sales CRM'!$H$9)=0,'Sales CRM'!$H$9="N/A"),"",VALUE('Sales CRM'!$H$9))</f>
        <v/>
      </c>
      <c r="I248" s="36" t="str">
        <f>IF($H248="","",IFERROR(IF('Sales CRM'!$L$9="",IF($H248&lt;=1,"Critical",IF($H248=2,"High",IF($H248=3,"Medium",IF($H248=4,"Low","Resilient")))),'Sales CRM'!$L$9),IF($H248&lt;=1,"Critical",IF($H248=2,"High",IF($H248=3,"Medium",IF($H248=4,"Low","Resilient"))))))</f>
        <v/>
      </c>
      <c r="J248" s="37" t="str">
        <f t="shared" si="48"/>
        <v/>
      </c>
      <c r="K248" s="37" t="str">
        <f t="shared" si="49"/>
        <v/>
      </c>
      <c r="L248" s="37" t="str">
        <f t="shared" si="50"/>
        <v/>
      </c>
      <c r="M248" s="37" t="str">
        <f t="shared" si="51"/>
        <v/>
      </c>
      <c r="N248" s="37" t="str">
        <f>IF($H248="","",IFERROR(INDEX('Risk Library'!$T$5:$Y$411,MATCH($E248,'Risk Library'!$A$5:$A$411,0),$H248+1),""))</f>
        <v/>
      </c>
      <c r="O248" s="37" t="str">
        <f t="shared" si="52"/>
        <v/>
      </c>
      <c r="P248" s="37" t="str">
        <f t="shared" si="53"/>
        <v/>
      </c>
      <c r="Q248" s="37" t="str">
        <f t="shared" si="54"/>
        <v/>
      </c>
      <c r="R248" s="37" t="str">
        <f t="shared" si="55"/>
        <v/>
      </c>
      <c r="S248" s="38" t="str">
        <f t="shared" si="56"/>
        <v/>
      </c>
      <c r="T248" s="36" t="str">
        <f>IF($H248="","",IFERROR(INDEX('Risk Library'!$N$5:$S$411,MATCH($E248,'Risk Library'!$A$5:$A$411,0),$H248+1),""))</f>
        <v/>
      </c>
      <c r="U248" s="37">
        <f>IFERROR('Sales CRM'!$G$9,"")</f>
        <v>4</v>
      </c>
      <c r="V248" s="37">
        <f>IFERROR('Sales CRM'!$W$9,"")</f>
        <v>5</v>
      </c>
      <c r="W248" s="37">
        <f>IFERROR('Sales CRM'!$X$9,"")</f>
        <v>5</v>
      </c>
      <c r="X248" s="37">
        <f>IFERROR('Sales CRM'!$Y$9,"")</f>
        <v>5</v>
      </c>
      <c r="Y248" s="36" t="s">
        <v>4281</v>
      </c>
      <c r="Z248" s="36" t="s">
        <v>4282</v>
      </c>
      <c r="AA248" s="36" t="s">
        <v>4316</v>
      </c>
      <c r="AB248" s="36">
        <f>IFERROR('Sales CRM'!$U$9,"")</f>
        <v>0</v>
      </c>
      <c r="AC248" s="36"/>
      <c r="AD248" s="36"/>
      <c r="AE248" s="36"/>
      <c r="AF248" s="36" t="s">
        <v>4315</v>
      </c>
      <c r="AO248" s="48" t="str">
        <f>IF($B248="Yes",IFERROR(SUMIFS(_TECH_Crisis_Model!$D$5:$D$191,_TECH_Crisis_Model!$A$5:$A$191,'Crisis Simulator'!$B$4,_TECH_Crisis_Model!$B$5:$B$191,$C248),1),"")</f>
        <v/>
      </c>
      <c r="AP248" s="48" t="str">
        <f t="shared" si="57"/>
        <v/>
      </c>
      <c r="AQ248" s="48" t="str">
        <f t="shared" si="58"/>
        <v/>
      </c>
      <c r="AR248" s="48" t="str">
        <f>IFERROR(INDEX(_TECH_Crisis_Model!$E$5:$E$191,MATCH('Crisis Simulator'!$B$4&amp;"|"&amp;$C248,_TECH_Crisis_Model!$I$5:$I$191,0)),"")</f>
        <v>CRM discipline, pipeline visibility and retention actions determine revenue protection.</v>
      </c>
      <c r="AS248" s="48" t="str">
        <f>IFERROR(INDEX(_TECH_Crisis_Model!$G$5:$G$191,MATCH('Crisis Simulator'!$B$4&amp;"|"&amp;$C248,_TECH_Crisis_Model!$I$5:$I$191,0)),"")</f>
        <v>Improve CRM hygiene, retention playbooks, pipeline scenarios and customer segmentation.</v>
      </c>
      <c r="AT248" s="48" t="str">
        <f>IFERROR(INDEX(_TECH_Initiative_Library!$A$5:$A$76,MATCH(1,INDEX((_TECH_Initiative_Library!$B$5:$B$76=$C248)*(_TECH_Initiative_Library!$C$5:$C$76=$D248),0),0)),"")</f>
        <v>INI-041</v>
      </c>
      <c r="AU248" s="48" t="str">
        <f>IFERROR(INDEX(_TECH_Initiative_Library!$F$5:$F$76,MATCH(1,INDEX((_TECH_Initiative_Library!$B$5:$B$76=$C248)*(_TECH_Initiative_Library!$C$5:$C$76=$D248),0),0)),"")</f>
        <v>Stabilize CRM data model, ownership and adoption</v>
      </c>
      <c r="AV248" s="48" t="str">
        <f ca="1">IFERROR(INDEX(_TECH_Initiative_Library!$AC$5:$AC$76,MATCH(1,INDEX((_TECH_Initiative_Library!$B$5:$B$76=$C248)*(_TECH_Initiative_Library!$C$5:$C$76=$D248),0),0)),"")</f>
        <v/>
      </c>
      <c r="AW248" s="48" t="str">
        <f ca="1">IFERROR(INDEX(_TECH_Initiative_Library!$AE$5:$AE$76,MATCH(1,INDEX((_TECH_Initiative_Library!$B$5:$B$76=$C248)*(_TECH_Initiative_Library!$C$5:$C$76=$D248),0),0)),"")</f>
        <v/>
      </c>
      <c r="AX248" s="48" t="str">
        <f>IF($B248="Yes",IFERROR(SUMIFS(_TECH_Industry_Templates!$E:$E,_TECH_Industry_Templates!$A:$A,'Company Profile'!$B$9,_TECH_Industry_Templates!$B:$B,$C248),1),"")</f>
        <v/>
      </c>
      <c r="AY248" s="48" t="str">
        <f t="shared" si="59"/>
        <v/>
      </c>
      <c r="AZ248" s="48" t="str">
        <f t="shared" si="60"/>
        <v/>
      </c>
      <c r="BA248" s="48" t="str">
        <f>IF($AZ248="","",RANK.EQ($AZ248,$AZ$8:$AZ$414,0)+COUNTIF($AZ$8:$AZ248,$AZ248)-1)</f>
        <v/>
      </c>
    </row>
    <row r="249" spans="1:53" ht="69.95" customHeight="1">
      <c r="A249" s="36" t="str">
        <f>IF($AZ249="","",RANK.EQ($AZ249,$AZ$8:$AZ$414,0)+COUNTIF($AZ$8:$AZ249,$AZ249)-1)</f>
        <v/>
      </c>
      <c r="B249" s="36" t="str">
        <f t="shared" si="47"/>
        <v/>
      </c>
      <c r="C249" s="36" t="s">
        <v>84</v>
      </c>
      <c r="D249" s="36" t="s">
        <v>1391</v>
      </c>
      <c r="E249" s="36" t="s">
        <v>4324</v>
      </c>
      <c r="F249" s="36" t="s">
        <v>193</v>
      </c>
      <c r="G249" s="36" t="str">
        <f>IF($H249="","",IFERROR(INDEX('Risk Library'!$H$5:$M$411,MATCH($E249,'Risk Library'!$A$5:$A$411,0),$H249+1),""))</f>
        <v/>
      </c>
      <c r="H249" s="37" t="str">
        <f>IF(OR(COUNTA('Sales CRM'!$H$10)=0,'Sales CRM'!$H$10="N/A"),"",VALUE('Sales CRM'!$H$10))</f>
        <v/>
      </c>
      <c r="I249" s="36" t="str">
        <f>IF($H249="","",IFERROR(IF('Sales CRM'!$L$10="",IF($H249&lt;=1,"Critical",IF($H249=2,"High",IF($H249=3,"Medium",IF($H249=4,"Low","Resilient")))),'Sales CRM'!$L$10),IF($H249&lt;=1,"Critical",IF($H249=2,"High",IF($H249=3,"Medium",IF($H249=4,"Low","Resilient"))))))</f>
        <v/>
      </c>
      <c r="J249" s="37" t="str">
        <f t="shared" si="48"/>
        <v/>
      </c>
      <c r="K249" s="37" t="str">
        <f t="shared" si="49"/>
        <v/>
      </c>
      <c r="L249" s="37" t="str">
        <f t="shared" si="50"/>
        <v/>
      </c>
      <c r="M249" s="37" t="str">
        <f t="shared" si="51"/>
        <v/>
      </c>
      <c r="N249" s="37" t="str">
        <f>IF($H249="","",IFERROR(INDEX('Risk Library'!$T$5:$Y$411,MATCH($E249,'Risk Library'!$A$5:$A$411,0),$H249+1),""))</f>
        <v/>
      </c>
      <c r="O249" s="37" t="str">
        <f t="shared" si="52"/>
        <v/>
      </c>
      <c r="P249" s="37" t="str">
        <f t="shared" si="53"/>
        <v/>
      </c>
      <c r="Q249" s="37" t="str">
        <f t="shared" si="54"/>
        <v/>
      </c>
      <c r="R249" s="37" t="str">
        <f t="shared" si="55"/>
        <v/>
      </c>
      <c r="S249" s="38" t="str">
        <f t="shared" si="56"/>
        <v/>
      </c>
      <c r="T249" s="36" t="str">
        <f>IF($H249="","",IFERROR(INDEX('Risk Library'!$N$5:$S$411,MATCH($E249,'Risk Library'!$A$5:$A$411,0),$H249+1),""))</f>
        <v/>
      </c>
      <c r="U249" s="37">
        <f>IFERROR('Sales CRM'!$G$10,"")</f>
        <v>4</v>
      </c>
      <c r="V249" s="37">
        <f>IFERROR('Sales CRM'!$W$10,"")</f>
        <v>4</v>
      </c>
      <c r="W249" s="37">
        <f>IFERROR('Sales CRM'!$X$10,"")</f>
        <v>5</v>
      </c>
      <c r="X249" s="37">
        <f>IFERROR('Sales CRM'!$Y$10,"")</f>
        <v>5</v>
      </c>
      <c r="Y249" s="36" t="s">
        <v>4281</v>
      </c>
      <c r="Z249" s="36" t="s">
        <v>4282</v>
      </c>
      <c r="AA249" s="36" t="s">
        <v>4326</v>
      </c>
      <c r="AB249" s="36">
        <f>IFERROR('Sales CRM'!$U$10,"")</f>
        <v>0</v>
      </c>
      <c r="AC249" s="36"/>
      <c r="AD249" s="36"/>
      <c r="AE249" s="36"/>
      <c r="AF249" s="36" t="s">
        <v>4325</v>
      </c>
      <c r="AO249" s="48" t="str">
        <f>IF($B249="Yes",IFERROR(SUMIFS(_TECH_Crisis_Model!$D$5:$D$191,_TECH_Crisis_Model!$A$5:$A$191,'Crisis Simulator'!$B$4,_TECH_Crisis_Model!$B$5:$B$191,$C249),1),"")</f>
        <v/>
      </c>
      <c r="AP249" s="48" t="str">
        <f t="shared" si="57"/>
        <v/>
      </c>
      <c r="AQ249" s="48" t="str">
        <f t="shared" si="58"/>
        <v/>
      </c>
      <c r="AR249" s="48" t="str">
        <f>IFERROR(INDEX(_TECH_Crisis_Model!$E$5:$E$191,MATCH('Crisis Simulator'!$B$4&amp;"|"&amp;$C249,_TECH_Crisis_Model!$I$5:$I$191,0)),"")</f>
        <v>CRM discipline, pipeline visibility and retention actions determine revenue protection.</v>
      </c>
      <c r="AS249" s="48" t="str">
        <f>IFERROR(INDEX(_TECH_Crisis_Model!$G$5:$G$191,MATCH('Crisis Simulator'!$B$4&amp;"|"&amp;$C249,_TECH_Crisis_Model!$I$5:$I$191,0)),"")</f>
        <v>Improve CRM hygiene, retention playbooks, pipeline scenarios and customer segmentation.</v>
      </c>
      <c r="AT249" s="48" t="str">
        <f>IFERROR(INDEX(_TECH_Initiative_Library!$A$5:$A$76,MATCH(1,INDEX((_TECH_Initiative_Library!$B$5:$B$76=$C249)*(_TECH_Initiative_Library!$C$5:$C$76=$D249),0),0)),"")</f>
        <v>INI-042</v>
      </c>
      <c r="AU249" s="48" t="str">
        <f>IFERROR(INDEX(_TECH_Initiative_Library!$F$5:$F$76,MATCH(1,INDEX((_TECH_Initiative_Library!$B$5:$B$76=$C249)*(_TECH_Initiative_Library!$C$5:$C$76=$D249),0),0)),"")</f>
        <v>Build pipeline visibility, forecast discipline and revenue scenarios</v>
      </c>
      <c r="AV249" s="48" t="str">
        <f ca="1">IFERROR(INDEX(_TECH_Initiative_Library!$AC$5:$AC$76,MATCH(1,INDEX((_TECH_Initiative_Library!$B$5:$B$76=$C249)*(_TECH_Initiative_Library!$C$5:$C$76=$D249),0),0)),"")</f>
        <v/>
      </c>
      <c r="AW249" s="48" t="str">
        <f ca="1">IFERROR(INDEX(_TECH_Initiative_Library!$AE$5:$AE$76,MATCH(1,INDEX((_TECH_Initiative_Library!$B$5:$B$76=$C249)*(_TECH_Initiative_Library!$C$5:$C$76=$D249),0),0)),"")</f>
        <v/>
      </c>
      <c r="AX249" s="48" t="str">
        <f>IF($B249="Yes",IFERROR(SUMIFS(_TECH_Industry_Templates!$E:$E,_TECH_Industry_Templates!$A:$A,'Company Profile'!$B$9,_TECH_Industry_Templates!$B:$B,$C249),1),"")</f>
        <v/>
      </c>
      <c r="AY249" s="48" t="str">
        <f t="shared" si="59"/>
        <v/>
      </c>
      <c r="AZ249" s="48" t="str">
        <f t="shared" si="60"/>
        <v/>
      </c>
      <c r="BA249" s="48" t="str">
        <f>IF($AZ249="","",RANK.EQ($AZ249,$AZ$8:$AZ$414,0)+COUNTIF($AZ$8:$AZ249,$AZ249)-1)</f>
        <v/>
      </c>
    </row>
    <row r="250" spans="1:53" ht="69.95" customHeight="1">
      <c r="A250" s="36" t="str">
        <f>IF($AZ250="","",RANK.EQ($AZ250,$AZ$8:$AZ$414,0)+COUNTIF($AZ$8:$AZ250,$AZ250)-1)</f>
        <v/>
      </c>
      <c r="B250" s="36" t="str">
        <f t="shared" si="47"/>
        <v/>
      </c>
      <c r="C250" s="36" t="s">
        <v>84</v>
      </c>
      <c r="D250" s="36" t="s">
        <v>1391</v>
      </c>
      <c r="E250" s="36" t="s">
        <v>4334</v>
      </c>
      <c r="F250" s="36" t="s">
        <v>193</v>
      </c>
      <c r="G250" s="36" t="str">
        <f>IF($H250="","",IFERROR(INDEX('Risk Library'!$H$5:$M$411,MATCH($E250,'Risk Library'!$A$5:$A$411,0),$H250+1),""))</f>
        <v/>
      </c>
      <c r="H250" s="37" t="str">
        <f>IF(OR(COUNTA('Sales CRM'!$H$11)=0,'Sales CRM'!$H$11="N/A"),"",VALUE('Sales CRM'!$H$11))</f>
        <v/>
      </c>
      <c r="I250" s="36" t="str">
        <f>IF($H250="","",IFERROR(IF('Sales CRM'!$L$11="",IF($H250&lt;=1,"Critical",IF($H250=2,"High",IF($H250=3,"Medium",IF($H250=4,"Low","Resilient")))),'Sales CRM'!$L$11),IF($H250&lt;=1,"Critical",IF($H250=2,"High",IF($H250=3,"Medium",IF($H250=4,"Low","Resilient"))))))</f>
        <v/>
      </c>
      <c r="J250" s="37" t="str">
        <f t="shared" si="48"/>
        <v/>
      </c>
      <c r="K250" s="37" t="str">
        <f t="shared" si="49"/>
        <v/>
      </c>
      <c r="L250" s="37" t="str">
        <f t="shared" si="50"/>
        <v/>
      </c>
      <c r="M250" s="37" t="str">
        <f t="shared" si="51"/>
        <v/>
      </c>
      <c r="N250" s="37" t="str">
        <f>IF($H250="","",IFERROR(INDEX('Risk Library'!$T$5:$Y$411,MATCH($E250,'Risk Library'!$A$5:$A$411,0),$H250+1),""))</f>
        <v/>
      </c>
      <c r="O250" s="37" t="str">
        <f t="shared" si="52"/>
        <v/>
      </c>
      <c r="P250" s="37" t="str">
        <f t="shared" si="53"/>
        <v/>
      </c>
      <c r="Q250" s="37" t="str">
        <f t="shared" si="54"/>
        <v/>
      </c>
      <c r="R250" s="37" t="str">
        <f t="shared" si="55"/>
        <v/>
      </c>
      <c r="S250" s="38" t="str">
        <f t="shared" si="56"/>
        <v/>
      </c>
      <c r="T250" s="36" t="str">
        <f>IF($H250="","",IFERROR(INDEX('Risk Library'!$N$5:$S$411,MATCH($E250,'Risk Library'!$A$5:$A$411,0),$H250+1),""))</f>
        <v/>
      </c>
      <c r="U250" s="37">
        <f>IFERROR('Sales CRM'!$G$11,"")</f>
        <v>5</v>
      </c>
      <c r="V250" s="37">
        <f>IFERROR('Sales CRM'!$W$11,"")</f>
        <v>4</v>
      </c>
      <c r="W250" s="37">
        <f>IFERROR('Sales CRM'!$X$11,"")</f>
        <v>5</v>
      </c>
      <c r="X250" s="37">
        <f>IFERROR('Sales CRM'!$Y$11,"")</f>
        <v>5</v>
      </c>
      <c r="Y250" s="36" t="s">
        <v>4281</v>
      </c>
      <c r="Z250" s="36" t="s">
        <v>4282</v>
      </c>
      <c r="AA250" s="36" t="s">
        <v>4336</v>
      </c>
      <c r="AB250" s="36">
        <f>IFERROR('Sales CRM'!$U$11,"")</f>
        <v>0</v>
      </c>
      <c r="AC250" s="36"/>
      <c r="AD250" s="36"/>
      <c r="AE250" s="36"/>
      <c r="AF250" s="36" t="s">
        <v>4335</v>
      </c>
      <c r="AO250" s="48" t="str">
        <f>IF($B250="Yes",IFERROR(SUMIFS(_TECH_Crisis_Model!$D$5:$D$191,_TECH_Crisis_Model!$A$5:$A$191,'Crisis Simulator'!$B$4,_TECH_Crisis_Model!$B$5:$B$191,$C250),1),"")</f>
        <v/>
      </c>
      <c r="AP250" s="48" t="str">
        <f t="shared" si="57"/>
        <v/>
      </c>
      <c r="AQ250" s="48" t="str">
        <f t="shared" si="58"/>
        <v/>
      </c>
      <c r="AR250" s="48" t="str">
        <f>IFERROR(INDEX(_TECH_Crisis_Model!$E$5:$E$191,MATCH('Crisis Simulator'!$B$4&amp;"|"&amp;$C250,_TECH_Crisis_Model!$I$5:$I$191,0)),"")</f>
        <v>CRM discipline, pipeline visibility and retention actions determine revenue protection.</v>
      </c>
      <c r="AS250" s="48" t="str">
        <f>IFERROR(INDEX(_TECH_Crisis_Model!$G$5:$G$191,MATCH('Crisis Simulator'!$B$4&amp;"|"&amp;$C250,_TECH_Crisis_Model!$I$5:$I$191,0)),"")</f>
        <v>Improve CRM hygiene, retention playbooks, pipeline scenarios and customer segmentation.</v>
      </c>
      <c r="AT250" s="48" t="str">
        <f>IFERROR(INDEX(_TECH_Initiative_Library!$A$5:$A$76,MATCH(1,INDEX((_TECH_Initiative_Library!$B$5:$B$76=$C250)*(_TECH_Initiative_Library!$C$5:$C$76=$D250),0),0)),"")</f>
        <v>INI-042</v>
      </c>
      <c r="AU250" s="48" t="str">
        <f>IFERROR(INDEX(_TECH_Initiative_Library!$F$5:$F$76,MATCH(1,INDEX((_TECH_Initiative_Library!$B$5:$B$76=$C250)*(_TECH_Initiative_Library!$C$5:$C$76=$D250),0),0)),"")</f>
        <v>Build pipeline visibility, forecast discipline and revenue scenarios</v>
      </c>
      <c r="AV250" s="48" t="str">
        <f ca="1">IFERROR(INDEX(_TECH_Initiative_Library!$AC$5:$AC$76,MATCH(1,INDEX((_TECH_Initiative_Library!$B$5:$B$76=$C250)*(_TECH_Initiative_Library!$C$5:$C$76=$D250),0),0)),"")</f>
        <v/>
      </c>
      <c r="AW250" s="48" t="str">
        <f ca="1">IFERROR(INDEX(_TECH_Initiative_Library!$AE$5:$AE$76,MATCH(1,INDEX((_TECH_Initiative_Library!$B$5:$B$76=$C250)*(_TECH_Initiative_Library!$C$5:$C$76=$D250),0),0)),"")</f>
        <v/>
      </c>
      <c r="AX250" s="48" t="str">
        <f>IF($B250="Yes",IFERROR(SUMIFS(_TECH_Industry_Templates!$E:$E,_TECH_Industry_Templates!$A:$A,'Company Profile'!$B$9,_TECH_Industry_Templates!$B:$B,$C250),1),"")</f>
        <v/>
      </c>
      <c r="AY250" s="48" t="str">
        <f t="shared" si="59"/>
        <v/>
      </c>
      <c r="AZ250" s="48" t="str">
        <f t="shared" si="60"/>
        <v/>
      </c>
      <c r="BA250" s="48" t="str">
        <f>IF($AZ250="","",RANK.EQ($AZ250,$AZ$8:$AZ$414,0)+COUNTIF($AZ$8:$AZ250,$AZ250)-1)</f>
        <v/>
      </c>
    </row>
    <row r="251" spans="1:53" ht="69.95" customHeight="1">
      <c r="A251" s="36" t="str">
        <f>IF($AZ251="","",RANK.EQ($AZ251,$AZ$8:$AZ$414,0)+COUNTIF($AZ$8:$AZ251,$AZ251)-1)</f>
        <v/>
      </c>
      <c r="B251" s="36" t="str">
        <f t="shared" si="47"/>
        <v/>
      </c>
      <c r="C251" s="36" t="s">
        <v>84</v>
      </c>
      <c r="D251" s="36" t="s">
        <v>1391</v>
      </c>
      <c r="E251" s="36" t="s">
        <v>4344</v>
      </c>
      <c r="F251" s="36" t="s">
        <v>193</v>
      </c>
      <c r="G251" s="36" t="str">
        <f>IF($H251="","",IFERROR(INDEX('Risk Library'!$H$5:$M$411,MATCH($E251,'Risk Library'!$A$5:$A$411,0),$H251+1),""))</f>
        <v/>
      </c>
      <c r="H251" s="37" t="str">
        <f>IF(OR(COUNTA('Sales CRM'!$H$12)=0,'Sales CRM'!$H$12="N/A"),"",VALUE('Sales CRM'!$H$12))</f>
        <v/>
      </c>
      <c r="I251" s="36" t="str">
        <f>IF($H251="","",IFERROR(IF('Sales CRM'!$L$12="",IF($H251&lt;=1,"Critical",IF($H251=2,"High",IF($H251=3,"Medium",IF($H251=4,"Low","Resilient")))),'Sales CRM'!$L$12),IF($H251&lt;=1,"Critical",IF($H251=2,"High",IF($H251=3,"Medium",IF($H251=4,"Low","Resilient"))))))</f>
        <v/>
      </c>
      <c r="J251" s="37" t="str">
        <f t="shared" si="48"/>
        <v/>
      </c>
      <c r="K251" s="37" t="str">
        <f t="shared" si="49"/>
        <v/>
      </c>
      <c r="L251" s="37" t="str">
        <f t="shared" si="50"/>
        <v/>
      </c>
      <c r="M251" s="37" t="str">
        <f t="shared" si="51"/>
        <v/>
      </c>
      <c r="N251" s="37" t="str">
        <f>IF($H251="","",IFERROR(INDEX('Risk Library'!$T$5:$Y$411,MATCH($E251,'Risk Library'!$A$5:$A$411,0),$H251+1),""))</f>
        <v/>
      </c>
      <c r="O251" s="37" t="str">
        <f t="shared" si="52"/>
        <v/>
      </c>
      <c r="P251" s="37" t="str">
        <f t="shared" si="53"/>
        <v/>
      </c>
      <c r="Q251" s="37" t="str">
        <f t="shared" si="54"/>
        <v/>
      </c>
      <c r="R251" s="37" t="str">
        <f t="shared" si="55"/>
        <v/>
      </c>
      <c r="S251" s="38" t="str">
        <f t="shared" si="56"/>
        <v/>
      </c>
      <c r="T251" s="36" t="str">
        <f>IF($H251="","",IFERROR(INDEX('Risk Library'!$N$5:$S$411,MATCH($E251,'Risk Library'!$A$5:$A$411,0),$H251+1),""))</f>
        <v/>
      </c>
      <c r="U251" s="37">
        <f>IFERROR('Sales CRM'!$G$12,"")</f>
        <v>4</v>
      </c>
      <c r="V251" s="37">
        <f>IFERROR('Sales CRM'!$W$12,"")</f>
        <v>4</v>
      </c>
      <c r="W251" s="37">
        <f>IFERROR('Sales CRM'!$X$12,"")</f>
        <v>5</v>
      </c>
      <c r="X251" s="37">
        <f>IFERROR('Sales CRM'!$Y$12,"")</f>
        <v>5</v>
      </c>
      <c r="Y251" s="36" t="s">
        <v>4281</v>
      </c>
      <c r="Z251" s="36" t="s">
        <v>4282</v>
      </c>
      <c r="AA251" s="36" t="s">
        <v>4346</v>
      </c>
      <c r="AB251" s="36">
        <f>IFERROR('Sales CRM'!$U$12,"")</f>
        <v>0</v>
      </c>
      <c r="AC251" s="36"/>
      <c r="AD251" s="36"/>
      <c r="AE251" s="36"/>
      <c r="AF251" s="36" t="s">
        <v>4345</v>
      </c>
      <c r="AO251" s="48" t="str">
        <f>IF($B251="Yes",IFERROR(SUMIFS(_TECH_Crisis_Model!$D$5:$D$191,_TECH_Crisis_Model!$A$5:$A$191,'Crisis Simulator'!$B$4,_TECH_Crisis_Model!$B$5:$B$191,$C251),1),"")</f>
        <v/>
      </c>
      <c r="AP251" s="48" t="str">
        <f t="shared" si="57"/>
        <v/>
      </c>
      <c r="AQ251" s="48" t="str">
        <f t="shared" si="58"/>
        <v/>
      </c>
      <c r="AR251" s="48" t="str">
        <f>IFERROR(INDEX(_TECH_Crisis_Model!$E$5:$E$191,MATCH('Crisis Simulator'!$B$4&amp;"|"&amp;$C251,_TECH_Crisis_Model!$I$5:$I$191,0)),"")</f>
        <v>CRM discipline, pipeline visibility and retention actions determine revenue protection.</v>
      </c>
      <c r="AS251" s="48" t="str">
        <f>IFERROR(INDEX(_TECH_Crisis_Model!$G$5:$G$191,MATCH('Crisis Simulator'!$B$4&amp;"|"&amp;$C251,_TECH_Crisis_Model!$I$5:$I$191,0)),"")</f>
        <v>Improve CRM hygiene, retention playbooks, pipeline scenarios and customer segmentation.</v>
      </c>
      <c r="AT251" s="48" t="str">
        <f>IFERROR(INDEX(_TECH_Initiative_Library!$A$5:$A$76,MATCH(1,INDEX((_TECH_Initiative_Library!$B$5:$B$76=$C251)*(_TECH_Initiative_Library!$C$5:$C$76=$D251),0),0)),"")</f>
        <v>INI-042</v>
      </c>
      <c r="AU251" s="48" t="str">
        <f>IFERROR(INDEX(_TECH_Initiative_Library!$F$5:$F$76,MATCH(1,INDEX((_TECH_Initiative_Library!$B$5:$B$76=$C251)*(_TECH_Initiative_Library!$C$5:$C$76=$D251),0),0)),"")</f>
        <v>Build pipeline visibility, forecast discipline and revenue scenarios</v>
      </c>
      <c r="AV251" s="48" t="str">
        <f ca="1">IFERROR(INDEX(_TECH_Initiative_Library!$AC$5:$AC$76,MATCH(1,INDEX((_TECH_Initiative_Library!$B$5:$B$76=$C251)*(_TECH_Initiative_Library!$C$5:$C$76=$D251),0),0)),"")</f>
        <v/>
      </c>
      <c r="AW251" s="48" t="str">
        <f ca="1">IFERROR(INDEX(_TECH_Initiative_Library!$AE$5:$AE$76,MATCH(1,INDEX((_TECH_Initiative_Library!$B$5:$B$76=$C251)*(_TECH_Initiative_Library!$C$5:$C$76=$D251),0),0)),"")</f>
        <v/>
      </c>
      <c r="AX251" s="48" t="str">
        <f>IF($B251="Yes",IFERROR(SUMIFS(_TECH_Industry_Templates!$E:$E,_TECH_Industry_Templates!$A:$A,'Company Profile'!$B$9,_TECH_Industry_Templates!$B:$B,$C251),1),"")</f>
        <v/>
      </c>
      <c r="AY251" s="48" t="str">
        <f t="shared" si="59"/>
        <v/>
      </c>
      <c r="AZ251" s="48" t="str">
        <f t="shared" si="60"/>
        <v/>
      </c>
      <c r="BA251" s="48" t="str">
        <f>IF($AZ251="","",RANK.EQ($AZ251,$AZ$8:$AZ$414,0)+COUNTIF($AZ$8:$AZ251,$AZ251)-1)</f>
        <v/>
      </c>
    </row>
    <row r="252" spans="1:53" ht="69.95" customHeight="1">
      <c r="A252" s="36" t="str">
        <f>IF($AZ252="","",RANK.EQ($AZ252,$AZ$8:$AZ$414,0)+COUNTIF($AZ$8:$AZ252,$AZ252)-1)</f>
        <v/>
      </c>
      <c r="B252" s="36" t="str">
        <f t="shared" si="47"/>
        <v/>
      </c>
      <c r="C252" s="36" t="s">
        <v>84</v>
      </c>
      <c r="D252" s="36" t="s">
        <v>1391</v>
      </c>
      <c r="E252" s="36" t="s">
        <v>4354</v>
      </c>
      <c r="F252" s="36" t="s">
        <v>193</v>
      </c>
      <c r="G252" s="36" t="str">
        <f>IF($H252="","",IFERROR(INDEX('Risk Library'!$H$5:$M$411,MATCH($E252,'Risk Library'!$A$5:$A$411,0),$H252+1),""))</f>
        <v/>
      </c>
      <c r="H252" s="37" t="str">
        <f>IF(OR(COUNTA('Sales CRM'!$H$13)=0,'Sales CRM'!$H$13="N/A"),"",VALUE('Sales CRM'!$H$13))</f>
        <v/>
      </c>
      <c r="I252" s="36" t="str">
        <f>IF($H252="","",IFERROR(IF('Sales CRM'!$L$13="",IF($H252&lt;=1,"Critical",IF($H252=2,"High",IF($H252=3,"Medium",IF($H252=4,"Low","Resilient")))),'Sales CRM'!$L$13),IF($H252&lt;=1,"Critical",IF($H252=2,"High",IF($H252=3,"Medium",IF($H252=4,"Low","Resilient"))))))</f>
        <v/>
      </c>
      <c r="J252" s="37" t="str">
        <f t="shared" si="48"/>
        <v/>
      </c>
      <c r="K252" s="37" t="str">
        <f t="shared" si="49"/>
        <v/>
      </c>
      <c r="L252" s="37" t="str">
        <f t="shared" si="50"/>
        <v/>
      </c>
      <c r="M252" s="37" t="str">
        <f t="shared" si="51"/>
        <v/>
      </c>
      <c r="N252" s="37" t="str">
        <f>IF($H252="","",IFERROR(INDEX('Risk Library'!$T$5:$Y$411,MATCH($E252,'Risk Library'!$A$5:$A$411,0),$H252+1),""))</f>
        <v/>
      </c>
      <c r="O252" s="37" t="str">
        <f t="shared" si="52"/>
        <v/>
      </c>
      <c r="P252" s="37" t="str">
        <f t="shared" si="53"/>
        <v/>
      </c>
      <c r="Q252" s="37" t="str">
        <f t="shared" si="54"/>
        <v/>
      </c>
      <c r="R252" s="37" t="str">
        <f t="shared" si="55"/>
        <v/>
      </c>
      <c r="S252" s="38" t="str">
        <f t="shared" si="56"/>
        <v/>
      </c>
      <c r="T252" s="36" t="str">
        <f>IF($H252="","",IFERROR(INDEX('Risk Library'!$N$5:$S$411,MATCH($E252,'Risk Library'!$A$5:$A$411,0),$H252+1),""))</f>
        <v/>
      </c>
      <c r="U252" s="37">
        <f>IFERROR('Sales CRM'!$G$13,"")</f>
        <v>4</v>
      </c>
      <c r="V252" s="37">
        <f>IFERROR('Sales CRM'!$W$13,"")</f>
        <v>4</v>
      </c>
      <c r="W252" s="37">
        <f>IFERROR('Sales CRM'!$X$13,"")</f>
        <v>5</v>
      </c>
      <c r="X252" s="37">
        <f>IFERROR('Sales CRM'!$Y$13,"")</f>
        <v>5</v>
      </c>
      <c r="Y252" s="36" t="s">
        <v>4281</v>
      </c>
      <c r="Z252" s="36" t="s">
        <v>4282</v>
      </c>
      <c r="AA252" s="36" t="s">
        <v>4356</v>
      </c>
      <c r="AB252" s="36">
        <f>IFERROR('Sales CRM'!$U$13,"")</f>
        <v>0</v>
      </c>
      <c r="AC252" s="36"/>
      <c r="AD252" s="36"/>
      <c r="AE252" s="36"/>
      <c r="AF252" s="36" t="s">
        <v>4355</v>
      </c>
      <c r="AO252" s="48" t="str">
        <f>IF($B252="Yes",IFERROR(SUMIFS(_TECH_Crisis_Model!$D$5:$D$191,_TECH_Crisis_Model!$A$5:$A$191,'Crisis Simulator'!$B$4,_TECH_Crisis_Model!$B$5:$B$191,$C252),1),"")</f>
        <v/>
      </c>
      <c r="AP252" s="48" t="str">
        <f t="shared" si="57"/>
        <v/>
      </c>
      <c r="AQ252" s="48" t="str">
        <f t="shared" si="58"/>
        <v/>
      </c>
      <c r="AR252" s="48" t="str">
        <f>IFERROR(INDEX(_TECH_Crisis_Model!$E$5:$E$191,MATCH('Crisis Simulator'!$B$4&amp;"|"&amp;$C252,_TECH_Crisis_Model!$I$5:$I$191,0)),"")</f>
        <v>CRM discipline, pipeline visibility and retention actions determine revenue protection.</v>
      </c>
      <c r="AS252" s="48" t="str">
        <f>IFERROR(INDEX(_TECH_Crisis_Model!$G$5:$G$191,MATCH('Crisis Simulator'!$B$4&amp;"|"&amp;$C252,_TECH_Crisis_Model!$I$5:$I$191,0)),"")</f>
        <v>Improve CRM hygiene, retention playbooks, pipeline scenarios and customer segmentation.</v>
      </c>
      <c r="AT252" s="48" t="str">
        <f>IFERROR(INDEX(_TECH_Initiative_Library!$A$5:$A$76,MATCH(1,INDEX((_TECH_Initiative_Library!$B$5:$B$76=$C252)*(_TECH_Initiative_Library!$C$5:$C$76=$D252),0),0)),"")</f>
        <v>INI-042</v>
      </c>
      <c r="AU252" s="48" t="str">
        <f>IFERROR(INDEX(_TECH_Initiative_Library!$F$5:$F$76,MATCH(1,INDEX((_TECH_Initiative_Library!$B$5:$B$76=$C252)*(_TECH_Initiative_Library!$C$5:$C$76=$D252),0),0)),"")</f>
        <v>Build pipeline visibility, forecast discipline and revenue scenarios</v>
      </c>
      <c r="AV252" s="48" t="str">
        <f ca="1">IFERROR(INDEX(_TECH_Initiative_Library!$AC$5:$AC$76,MATCH(1,INDEX((_TECH_Initiative_Library!$B$5:$B$76=$C252)*(_TECH_Initiative_Library!$C$5:$C$76=$D252),0),0)),"")</f>
        <v/>
      </c>
      <c r="AW252" s="48" t="str">
        <f ca="1">IFERROR(INDEX(_TECH_Initiative_Library!$AE$5:$AE$76,MATCH(1,INDEX((_TECH_Initiative_Library!$B$5:$B$76=$C252)*(_TECH_Initiative_Library!$C$5:$C$76=$D252),0),0)),"")</f>
        <v/>
      </c>
      <c r="AX252" s="48" t="str">
        <f>IF($B252="Yes",IFERROR(SUMIFS(_TECH_Industry_Templates!$E:$E,_TECH_Industry_Templates!$A:$A,'Company Profile'!$B$9,_TECH_Industry_Templates!$B:$B,$C252),1),"")</f>
        <v/>
      </c>
      <c r="AY252" s="48" t="str">
        <f t="shared" si="59"/>
        <v/>
      </c>
      <c r="AZ252" s="48" t="str">
        <f t="shared" si="60"/>
        <v/>
      </c>
      <c r="BA252" s="48" t="str">
        <f>IF($AZ252="","",RANK.EQ($AZ252,$AZ$8:$AZ$414,0)+COUNTIF($AZ$8:$AZ252,$AZ252)-1)</f>
        <v/>
      </c>
    </row>
    <row r="253" spans="1:53" ht="69.95" customHeight="1">
      <c r="A253" s="36" t="str">
        <f>IF($AZ253="","",RANK.EQ($AZ253,$AZ$8:$AZ$414,0)+COUNTIF($AZ$8:$AZ253,$AZ253)-1)</f>
        <v/>
      </c>
      <c r="B253" s="36" t="str">
        <f t="shared" si="47"/>
        <v/>
      </c>
      <c r="C253" s="36" t="s">
        <v>84</v>
      </c>
      <c r="D253" s="36" t="s">
        <v>1391</v>
      </c>
      <c r="E253" s="36" t="s">
        <v>4364</v>
      </c>
      <c r="F253" s="36" t="s">
        <v>193</v>
      </c>
      <c r="G253" s="36" t="str">
        <f>IF($H253="","",IFERROR(INDEX('Risk Library'!$H$5:$M$411,MATCH($E253,'Risk Library'!$A$5:$A$411,0),$H253+1),""))</f>
        <v/>
      </c>
      <c r="H253" s="37" t="str">
        <f>IF(OR(COUNTA('Sales CRM'!$H$14)=0,'Sales CRM'!$H$14="N/A"),"",VALUE('Sales CRM'!$H$14))</f>
        <v/>
      </c>
      <c r="I253" s="36" t="str">
        <f>IF($H253="","",IFERROR(IF('Sales CRM'!$L$14="",IF($H253&lt;=1,"Critical",IF($H253=2,"High",IF($H253=3,"Medium",IF($H253=4,"Low","Resilient")))),'Sales CRM'!$L$14),IF($H253&lt;=1,"Critical",IF($H253=2,"High",IF($H253=3,"Medium",IF($H253=4,"Low","Resilient"))))))</f>
        <v/>
      </c>
      <c r="J253" s="37" t="str">
        <f t="shared" si="48"/>
        <v/>
      </c>
      <c r="K253" s="37" t="str">
        <f t="shared" si="49"/>
        <v/>
      </c>
      <c r="L253" s="37" t="str">
        <f t="shared" si="50"/>
        <v/>
      </c>
      <c r="M253" s="37" t="str">
        <f t="shared" si="51"/>
        <v/>
      </c>
      <c r="N253" s="37" t="str">
        <f>IF($H253="","",IFERROR(INDEX('Risk Library'!$T$5:$Y$411,MATCH($E253,'Risk Library'!$A$5:$A$411,0),$H253+1),""))</f>
        <v/>
      </c>
      <c r="O253" s="37" t="str">
        <f t="shared" si="52"/>
        <v/>
      </c>
      <c r="P253" s="37" t="str">
        <f t="shared" si="53"/>
        <v/>
      </c>
      <c r="Q253" s="37" t="str">
        <f t="shared" si="54"/>
        <v/>
      </c>
      <c r="R253" s="37" t="str">
        <f t="shared" si="55"/>
        <v/>
      </c>
      <c r="S253" s="38" t="str">
        <f t="shared" si="56"/>
        <v/>
      </c>
      <c r="T253" s="36" t="str">
        <f>IF($H253="","",IFERROR(INDEX('Risk Library'!$N$5:$S$411,MATCH($E253,'Risk Library'!$A$5:$A$411,0),$H253+1),""))</f>
        <v/>
      </c>
      <c r="U253" s="37">
        <f>IFERROR('Sales CRM'!$G$14,"")</f>
        <v>3</v>
      </c>
      <c r="V253" s="37">
        <f>IFERROR('Sales CRM'!$W$14,"")</f>
        <v>5</v>
      </c>
      <c r="W253" s="37">
        <f>IFERROR('Sales CRM'!$X$14,"")</f>
        <v>5</v>
      </c>
      <c r="X253" s="37">
        <f>IFERROR('Sales CRM'!$Y$14,"")</f>
        <v>5</v>
      </c>
      <c r="Y253" s="36" t="s">
        <v>4281</v>
      </c>
      <c r="Z253" s="36" t="s">
        <v>4282</v>
      </c>
      <c r="AA253" s="36" t="s">
        <v>4366</v>
      </c>
      <c r="AB253" s="36">
        <f>IFERROR('Sales CRM'!$U$14,"")</f>
        <v>0</v>
      </c>
      <c r="AC253" s="36"/>
      <c r="AD253" s="36"/>
      <c r="AE253" s="36"/>
      <c r="AF253" s="36" t="s">
        <v>4365</v>
      </c>
      <c r="AO253" s="48" t="str">
        <f>IF($B253="Yes",IFERROR(SUMIFS(_TECH_Crisis_Model!$D$5:$D$191,_TECH_Crisis_Model!$A$5:$A$191,'Crisis Simulator'!$B$4,_TECH_Crisis_Model!$B$5:$B$191,$C253),1),"")</f>
        <v/>
      </c>
      <c r="AP253" s="48" t="str">
        <f t="shared" si="57"/>
        <v/>
      </c>
      <c r="AQ253" s="48" t="str">
        <f t="shared" si="58"/>
        <v/>
      </c>
      <c r="AR253" s="48" t="str">
        <f>IFERROR(INDEX(_TECH_Crisis_Model!$E$5:$E$191,MATCH('Crisis Simulator'!$B$4&amp;"|"&amp;$C253,_TECH_Crisis_Model!$I$5:$I$191,0)),"")</f>
        <v>CRM discipline, pipeline visibility and retention actions determine revenue protection.</v>
      </c>
      <c r="AS253" s="48" t="str">
        <f>IFERROR(INDEX(_TECH_Crisis_Model!$G$5:$G$191,MATCH('Crisis Simulator'!$B$4&amp;"|"&amp;$C253,_TECH_Crisis_Model!$I$5:$I$191,0)),"")</f>
        <v>Improve CRM hygiene, retention playbooks, pipeline scenarios and customer segmentation.</v>
      </c>
      <c r="AT253" s="48" t="str">
        <f>IFERROR(INDEX(_TECH_Initiative_Library!$A$5:$A$76,MATCH(1,INDEX((_TECH_Initiative_Library!$B$5:$B$76=$C253)*(_TECH_Initiative_Library!$C$5:$C$76=$D253),0),0)),"")</f>
        <v>INI-042</v>
      </c>
      <c r="AU253" s="48" t="str">
        <f>IFERROR(INDEX(_TECH_Initiative_Library!$F$5:$F$76,MATCH(1,INDEX((_TECH_Initiative_Library!$B$5:$B$76=$C253)*(_TECH_Initiative_Library!$C$5:$C$76=$D253),0),0)),"")</f>
        <v>Build pipeline visibility, forecast discipline and revenue scenarios</v>
      </c>
      <c r="AV253" s="48" t="str">
        <f ca="1">IFERROR(INDEX(_TECH_Initiative_Library!$AC$5:$AC$76,MATCH(1,INDEX((_TECH_Initiative_Library!$B$5:$B$76=$C253)*(_TECH_Initiative_Library!$C$5:$C$76=$D253),0),0)),"")</f>
        <v/>
      </c>
      <c r="AW253" s="48" t="str">
        <f ca="1">IFERROR(INDEX(_TECH_Initiative_Library!$AE$5:$AE$76,MATCH(1,INDEX((_TECH_Initiative_Library!$B$5:$B$76=$C253)*(_TECH_Initiative_Library!$C$5:$C$76=$D253),0),0)),"")</f>
        <v/>
      </c>
      <c r="AX253" s="48" t="str">
        <f>IF($B253="Yes",IFERROR(SUMIFS(_TECH_Industry_Templates!$E:$E,_TECH_Industry_Templates!$A:$A,'Company Profile'!$B$9,_TECH_Industry_Templates!$B:$B,$C253),1),"")</f>
        <v/>
      </c>
      <c r="AY253" s="48" t="str">
        <f t="shared" si="59"/>
        <v/>
      </c>
      <c r="AZ253" s="48" t="str">
        <f t="shared" si="60"/>
        <v/>
      </c>
      <c r="BA253" s="48" t="str">
        <f>IF($AZ253="","",RANK.EQ($AZ253,$AZ$8:$AZ$414,0)+COUNTIF($AZ$8:$AZ253,$AZ253)-1)</f>
        <v/>
      </c>
    </row>
    <row r="254" spans="1:53" ht="69.95" customHeight="1">
      <c r="A254" s="36" t="str">
        <f>IF($AZ254="","",RANK.EQ($AZ254,$AZ$8:$AZ$414,0)+COUNTIF($AZ$8:$AZ254,$AZ254)-1)</f>
        <v/>
      </c>
      <c r="B254" s="36" t="str">
        <f t="shared" si="47"/>
        <v/>
      </c>
      <c r="C254" s="36" t="s">
        <v>84</v>
      </c>
      <c r="D254" s="36" t="s">
        <v>1399</v>
      </c>
      <c r="E254" s="36" t="s">
        <v>4374</v>
      </c>
      <c r="F254" s="36" t="s">
        <v>193</v>
      </c>
      <c r="G254" s="36" t="str">
        <f>IF($H254="","",IFERROR(INDEX('Risk Library'!$H$5:$M$411,MATCH($E254,'Risk Library'!$A$5:$A$411,0),$H254+1),""))</f>
        <v/>
      </c>
      <c r="H254" s="37" t="str">
        <f>IF(OR(COUNTA('Sales CRM'!$H$15)=0,'Sales CRM'!$H$15="N/A"),"",VALUE('Sales CRM'!$H$15))</f>
        <v/>
      </c>
      <c r="I254" s="36" t="str">
        <f>IF($H254="","",IFERROR(IF('Sales CRM'!$L$15="",IF($H254&lt;=1,"Critical",IF($H254=2,"High",IF($H254=3,"Medium",IF($H254=4,"Low","Resilient")))),'Sales CRM'!$L$15),IF($H254&lt;=1,"Critical",IF($H254=2,"High",IF($H254=3,"Medium",IF($H254=4,"Low","Resilient"))))))</f>
        <v/>
      </c>
      <c r="J254" s="37" t="str">
        <f t="shared" si="48"/>
        <v/>
      </c>
      <c r="K254" s="37" t="str">
        <f t="shared" si="49"/>
        <v/>
      </c>
      <c r="L254" s="37" t="str">
        <f t="shared" si="50"/>
        <v/>
      </c>
      <c r="M254" s="37" t="str">
        <f t="shared" si="51"/>
        <v/>
      </c>
      <c r="N254" s="37" t="str">
        <f>IF($H254="","",IFERROR(INDEX('Risk Library'!$T$5:$Y$411,MATCH($E254,'Risk Library'!$A$5:$A$411,0),$H254+1),""))</f>
        <v/>
      </c>
      <c r="O254" s="37" t="str">
        <f t="shared" si="52"/>
        <v/>
      </c>
      <c r="P254" s="37" t="str">
        <f t="shared" si="53"/>
        <v/>
      </c>
      <c r="Q254" s="37" t="str">
        <f t="shared" si="54"/>
        <v/>
      </c>
      <c r="R254" s="37" t="str">
        <f t="shared" si="55"/>
        <v/>
      </c>
      <c r="S254" s="38" t="str">
        <f t="shared" si="56"/>
        <v/>
      </c>
      <c r="T254" s="36" t="str">
        <f>IF($H254="","",IFERROR(INDEX('Risk Library'!$N$5:$S$411,MATCH($E254,'Risk Library'!$A$5:$A$411,0),$H254+1),""))</f>
        <v/>
      </c>
      <c r="U254" s="37">
        <f>IFERROR('Sales CRM'!$G$15,"")</f>
        <v>4</v>
      </c>
      <c r="V254" s="37">
        <f>IFERROR('Sales CRM'!$W$15,"")</f>
        <v>4</v>
      </c>
      <c r="W254" s="37">
        <f>IFERROR('Sales CRM'!$X$15,"")</f>
        <v>5</v>
      </c>
      <c r="X254" s="37">
        <f>IFERROR('Sales CRM'!$Y$15,"")</f>
        <v>5</v>
      </c>
      <c r="Y254" s="36" t="s">
        <v>4281</v>
      </c>
      <c r="Z254" s="36" t="s">
        <v>4282</v>
      </c>
      <c r="AA254" s="36" t="s">
        <v>4376</v>
      </c>
      <c r="AB254" s="36">
        <f>IFERROR('Sales CRM'!$U$15,"")</f>
        <v>0</v>
      </c>
      <c r="AC254" s="36"/>
      <c r="AD254" s="36"/>
      <c r="AE254" s="36"/>
      <c r="AF254" s="36" t="s">
        <v>4375</v>
      </c>
      <c r="AO254" s="48" t="str">
        <f>IF($B254="Yes",IFERROR(SUMIFS(_TECH_Crisis_Model!$D$5:$D$191,_TECH_Crisis_Model!$A$5:$A$191,'Crisis Simulator'!$B$4,_TECH_Crisis_Model!$B$5:$B$191,$C254),1),"")</f>
        <v/>
      </c>
      <c r="AP254" s="48" t="str">
        <f t="shared" si="57"/>
        <v/>
      </c>
      <c r="AQ254" s="48" t="str">
        <f t="shared" si="58"/>
        <v/>
      </c>
      <c r="AR254" s="48" t="str">
        <f>IFERROR(INDEX(_TECH_Crisis_Model!$E$5:$E$191,MATCH('Crisis Simulator'!$B$4&amp;"|"&amp;$C254,_TECH_Crisis_Model!$I$5:$I$191,0)),"")</f>
        <v>CRM discipline, pipeline visibility and retention actions determine revenue protection.</v>
      </c>
      <c r="AS254" s="48" t="str">
        <f>IFERROR(INDEX(_TECH_Crisis_Model!$G$5:$G$191,MATCH('Crisis Simulator'!$B$4&amp;"|"&amp;$C254,_TECH_Crisis_Model!$I$5:$I$191,0)),"")</f>
        <v>Improve CRM hygiene, retention playbooks, pipeline scenarios and customer segmentation.</v>
      </c>
      <c r="AT254" s="48" t="str">
        <f>IFERROR(INDEX(_TECH_Initiative_Library!$A$5:$A$76,MATCH(1,INDEX((_TECH_Initiative_Library!$B$5:$B$76=$C254)*(_TECH_Initiative_Library!$C$5:$C$76=$D254),0),0)),"")</f>
        <v>INI-043</v>
      </c>
      <c r="AU254" s="48" t="str">
        <f>IFERROR(INDEX(_TECH_Initiative_Library!$F$5:$F$76,MATCH(1,INDEX((_TECH_Initiative_Library!$B$5:$B$76=$C254)*(_TECH_Initiative_Library!$C$5:$C$76=$D254),0),0)),"")</f>
        <v>Implement customer continuity and key-account protection program</v>
      </c>
      <c r="AV254" s="48" t="str">
        <f ca="1">IFERROR(INDEX(_TECH_Initiative_Library!$AC$5:$AC$76,MATCH(1,INDEX((_TECH_Initiative_Library!$B$5:$B$76=$C254)*(_TECH_Initiative_Library!$C$5:$C$76=$D254),0),0)),"")</f>
        <v/>
      </c>
      <c r="AW254" s="48" t="str">
        <f ca="1">IFERROR(INDEX(_TECH_Initiative_Library!$AE$5:$AE$76,MATCH(1,INDEX((_TECH_Initiative_Library!$B$5:$B$76=$C254)*(_TECH_Initiative_Library!$C$5:$C$76=$D254),0),0)),"")</f>
        <v/>
      </c>
      <c r="AX254" s="48" t="str">
        <f>IF($B254="Yes",IFERROR(SUMIFS(_TECH_Industry_Templates!$E:$E,_TECH_Industry_Templates!$A:$A,'Company Profile'!$B$9,_TECH_Industry_Templates!$B:$B,$C254),1),"")</f>
        <v/>
      </c>
      <c r="AY254" s="48" t="str">
        <f t="shared" si="59"/>
        <v/>
      </c>
      <c r="AZ254" s="48" t="str">
        <f t="shared" si="60"/>
        <v/>
      </c>
      <c r="BA254" s="48" t="str">
        <f>IF($AZ254="","",RANK.EQ($AZ254,$AZ$8:$AZ$414,0)+COUNTIF($AZ$8:$AZ254,$AZ254)-1)</f>
        <v/>
      </c>
    </row>
    <row r="255" spans="1:53" ht="69.95" customHeight="1">
      <c r="A255" s="36" t="str">
        <f>IF($AZ255="","",RANK.EQ($AZ255,$AZ$8:$AZ$414,0)+COUNTIF($AZ$8:$AZ255,$AZ255)-1)</f>
        <v/>
      </c>
      <c r="B255" s="36" t="str">
        <f t="shared" si="47"/>
        <v/>
      </c>
      <c r="C255" s="36" t="s">
        <v>84</v>
      </c>
      <c r="D255" s="36" t="s">
        <v>1399</v>
      </c>
      <c r="E255" s="36" t="s">
        <v>4384</v>
      </c>
      <c r="F255" s="36" t="s">
        <v>193</v>
      </c>
      <c r="G255" s="36" t="str">
        <f>IF($H255="","",IFERROR(INDEX('Risk Library'!$H$5:$M$411,MATCH($E255,'Risk Library'!$A$5:$A$411,0),$H255+1),""))</f>
        <v/>
      </c>
      <c r="H255" s="37" t="str">
        <f>IF(OR(COUNTA('Sales CRM'!$H$16)=0,'Sales CRM'!$H$16="N/A"),"",VALUE('Sales CRM'!$H$16))</f>
        <v/>
      </c>
      <c r="I255" s="36" t="str">
        <f>IF($H255="","",IFERROR(IF('Sales CRM'!$L$16="",IF($H255&lt;=1,"Critical",IF($H255=2,"High",IF($H255=3,"Medium",IF($H255=4,"Low","Resilient")))),'Sales CRM'!$L$16),IF($H255&lt;=1,"Critical",IF($H255=2,"High",IF($H255=3,"Medium",IF($H255=4,"Low","Resilient"))))))</f>
        <v/>
      </c>
      <c r="J255" s="37" t="str">
        <f t="shared" si="48"/>
        <v/>
      </c>
      <c r="K255" s="37" t="str">
        <f t="shared" si="49"/>
        <v/>
      </c>
      <c r="L255" s="37" t="str">
        <f t="shared" si="50"/>
        <v/>
      </c>
      <c r="M255" s="37" t="str">
        <f t="shared" si="51"/>
        <v/>
      </c>
      <c r="N255" s="37" t="str">
        <f>IF($H255="","",IFERROR(INDEX('Risk Library'!$T$5:$Y$411,MATCH($E255,'Risk Library'!$A$5:$A$411,0),$H255+1),""))</f>
        <v/>
      </c>
      <c r="O255" s="37" t="str">
        <f t="shared" si="52"/>
        <v/>
      </c>
      <c r="P255" s="37" t="str">
        <f t="shared" si="53"/>
        <v/>
      </c>
      <c r="Q255" s="37" t="str">
        <f t="shared" si="54"/>
        <v/>
      </c>
      <c r="R255" s="37" t="str">
        <f t="shared" si="55"/>
        <v/>
      </c>
      <c r="S255" s="38" t="str">
        <f t="shared" si="56"/>
        <v/>
      </c>
      <c r="T255" s="36" t="str">
        <f>IF($H255="","",IFERROR(INDEX('Risk Library'!$N$5:$S$411,MATCH($E255,'Risk Library'!$A$5:$A$411,0),$H255+1),""))</f>
        <v/>
      </c>
      <c r="U255" s="37">
        <f>IFERROR('Sales CRM'!$G$16,"")</f>
        <v>4</v>
      </c>
      <c r="V255" s="37">
        <f>IFERROR('Sales CRM'!$W$16,"")</f>
        <v>4</v>
      </c>
      <c r="W255" s="37">
        <f>IFERROR('Sales CRM'!$X$16,"")</f>
        <v>5</v>
      </c>
      <c r="X255" s="37">
        <f>IFERROR('Sales CRM'!$Y$16,"")</f>
        <v>5</v>
      </c>
      <c r="Y255" s="36" t="s">
        <v>4281</v>
      </c>
      <c r="Z255" s="36" t="s">
        <v>4282</v>
      </c>
      <c r="AA255" s="36" t="s">
        <v>4386</v>
      </c>
      <c r="AB255" s="36">
        <f>IFERROR('Sales CRM'!$U$16,"")</f>
        <v>0</v>
      </c>
      <c r="AC255" s="36"/>
      <c r="AD255" s="36"/>
      <c r="AE255" s="36"/>
      <c r="AF255" s="36" t="s">
        <v>4385</v>
      </c>
      <c r="AO255" s="48" t="str">
        <f>IF($B255="Yes",IFERROR(SUMIFS(_TECH_Crisis_Model!$D$5:$D$191,_TECH_Crisis_Model!$A$5:$A$191,'Crisis Simulator'!$B$4,_TECH_Crisis_Model!$B$5:$B$191,$C255),1),"")</f>
        <v/>
      </c>
      <c r="AP255" s="48" t="str">
        <f t="shared" si="57"/>
        <v/>
      </c>
      <c r="AQ255" s="48" t="str">
        <f t="shared" si="58"/>
        <v/>
      </c>
      <c r="AR255" s="48" t="str">
        <f>IFERROR(INDEX(_TECH_Crisis_Model!$E$5:$E$191,MATCH('Crisis Simulator'!$B$4&amp;"|"&amp;$C255,_TECH_Crisis_Model!$I$5:$I$191,0)),"")</f>
        <v>CRM discipline, pipeline visibility and retention actions determine revenue protection.</v>
      </c>
      <c r="AS255" s="48" t="str">
        <f>IFERROR(INDEX(_TECH_Crisis_Model!$G$5:$G$191,MATCH('Crisis Simulator'!$B$4&amp;"|"&amp;$C255,_TECH_Crisis_Model!$I$5:$I$191,0)),"")</f>
        <v>Improve CRM hygiene, retention playbooks, pipeline scenarios and customer segmentation.</v>
      </c>
      <c r="AT255" s="48" t="str">
        <f>IFERROR(INDEX(_TECH_Initiative_Library!$A$5:$A$76,MATCH(1,INDEX((_TECH_Initiative_Library!$B$5:$B$76=$C255)*(_TECH_Initiative_Library!$C$5:$C$76=$D255),0),0)),"")</f>
        <v>INI-043</v>
      </c>
      <c r="AU255" s="48" t="str">
        <f>IFERROR(INDEX(_TECH_Initiative_Library!$F$5:$F$76,MATCH(1,INDEX((_TECH_Initiative_Library!$B$5:$B$76=$C255)*(_TECH_Initiative_Library!$C$5:$C$76=$D255),0),0)),"")</f>
        <v>Implement customer continuity and key-account protection program</v>
      </c>
      <c r="AV255" s="48" t="str">
        <f ca="1">IFERROR(INDEX(_TECH_Initiative_Library!$AC$5:$AC$76,MATCH(1,INDEX((_TECH_Initiative_Library!$B$5:$B$76=$C255)*(_TECH_Initiative_Library!$C$5:$C$76=$D255),0),0)),"")</f>
        <v/>
      </c>
      <c r="AW255" s="48" t="str">
        <f ca="1">IFERROR(INDEX(_TECH_Initiative_Library!$AE$5:$AE$76,MATCH(1,INDEX((_TECH_Initiative_Library!$B$5:$B$76=$C255)*(_TECH_Initiative_Library!$C$5:$C$76=$D255),0),0)),"")</f>
        <v/>
      </c>
      <c r="AX255" s="48" t="str">
        <f>IF($B255="Yes",IFERROR(SUMIFS(_TECH_Industry_Templates!$E:$E,_TECH_Industry_Templates!$A:$A,'Company Profile'!$B$9,_TECH_Industry_Templates!$B:$B,$C255),1),"")</f>
        <v/>
      </c>
      <c r="AY255" s="48" t="str">
        <f t="shared" si="59"/>
        <v/>
      </c>
      <c r="AZ255" s="48" t="str">
        <f t="shared" si="60"/>
        <v/>
      </c>
      <c r="BA255" s="48" t="str">
        <f>IF($AZ255="","",RANK.EQ($AZ255,$AZ$8:$AZ$414,0)+COUNTIF($AZ$8:$AZ255,$AZ255)-1)</f>
        <v/>
      </c>
    </row>
    <row r="256" spans="1:53" ht="69.95" customHeight="1">
      <c r="A256" s="36" t="str">
        <f>IF($AZ256="","",RANK.EQ($AZ256,$AZ$8:$AZ$414,0)+COUNTIF($AZ$8:$AZ256,$AZ256)-1)</f>
        <v/>
      </c>
      <c r="B256" s="36" t="str">
        <f t="shared" si="47"/>
        <v/>
      </c>
      <c r="C256" s="36" t="s">
        <v>84</v>
      </c>
      <c r="D256" s="36" t="s">
        <v>1399</v>
      </c>
      <c r="E256" s="36" t="s">
        <v>4394</v>
      </c>
      <c r="F256" s="36" t="s">
        <v>193</v>
      </c>
      <c r="G256" s="36" t="str">
        <f>IF($H256="","",IFERROR(INDEX('Risk Library'!$H$5:$M$411,MATCH($E256,'Risk Library'!$A$5:$A$411,0),$H256+1),""))</f>
        <v/>
      </c>
      <c r="H256" s="37" t="str">
        <f>IF(OR(COUNTA('Sales CRM'!$H$17)=0,'Sales CRM'!$H$17="N/A"),"",VALUE('Sales CRM'!$H$17))</f>
        <v/>
      </c>
      <c r="I256" s="36" t="str">
        <f>IF($H256="","",IFERROR(IF('Sales CRM'!$L$17="",IF($H256&lt;=1,"Critical",IF($H256=2,"High",IF($H256=3,"Medium",IF($H256=4,"Low","Resilient")))),'Sales CRM'!$L$17),IF($H256&lt;=1,"Critical",IF($H256=2,"High",IF($H256=3,"Medium",IF($H256=4,"Low","Resilient"))))))</f>
        <v/>
      </c>
      <c r="J256" s="37" t="str">
        <f t="shared" si="48"/>
        <v/>
      </c>
      <c r="K256" s="37" t="str">
        <f t="shared" si="49"/>
        <v/>
      </c>
      <c r="L256" s="37" t="str">
        <f t="shared" si="50"/>
        <v/>
      </c>
      <c r="M256" s="37" t="str">
        <f t="shared" si="51"/>
        <v/>
      </c>
      <c r="N256" s="37" t="str">
        <f>IF($H256="","",IFERROR(INDEX('Risk Library'!$T$5:$Y$411,MATCH($E256,'Risk Library'!$A$5:$A$411,0),$H256+1),""))</f>
        <v/>
      </c>
      <c r="O256" s="37" t="str">
        <f t="shared" si="52"/>
        <v/>
      </c>
      <c r="P256" s="37" t="str">
        <f t="shared" si="53"/>
        <v/>
      </c>
      <c r="Q256" s="37" t="str">
        <f t="shared" si="54"/>
        <v/>
      </c>
      <c r="R256" s="37" t="str">
        <f t="shared" si="55"/>
        <v/>
      </c>
      <c r="S256" s="38" t="str">
        <f t="shared" si="56"/>
        <v/>
      </c>
      <c r="T256" s="36" t="str">
        <f>IF($H256="","",IFERROR(INDEX('Risk Library'!$N$5:$S$411,MATCH($E256,'Risk Library'!$A$5:$A$411,0),$H256+1),""))</f>
        <v/>
      </c>
      <c r="U256" s="37">
        <f>IFERROR('Sales CRM'!$G$17,"")</f>
        <v>3</v>
      </c>
      <c r="V256" s="37">
        <f>IFERROR('Sales CRM'!$W$17,"")</f>
        <v>4</v>
      </c>
      <c r="W256" s="37">
        <f>IFERROR('Sales CRM'!$X$17,"")</f>
        <v>5</v>
      </c>
      <c r="X256" s="37">
        <f>IFERROR('Sales CRM'!$Y$17,"")</f>
        <v>5</v>
      </c>
      <c r="Y256" s="36" t="s">
        <v>4281</v>
      </c>
      <c r="Z256" s="36" t="s">
        <v>4282</v>
      </c>
      <c r="AA256" s="36" t="s">
        <v>4396</v>
      </c>
      <c r="AB256" s="36">
        <f>IFERROR('Sales CRM'!$U$17,"")</f>
        <v>0</v>
      </c>
      <c r="AC256" s="36"/>
      <c r="AD256" s="36"/>
      <c r="AE256" s="36"/>
      <c r="AF256" s="36" t="s">
        <v>4395</v>
      </c>
      <c r="AO256" s="48" t="str">
        <f>IF($B256="Yes",IFERROR(SUMIFS(_TECH_Crisis_Model!$D$5:$D$191,_TECH_Crisis_Model!$A$5:$A$191,'Crisis Simulator'!$B$4,_TECH_Crisis_Model!$B$5:$B$191,$C256),1),"")</f>
        <v/>
      </c>
      <c r="AP256" s="48" t="str">
        <f t="shared" si="57"/>
        <v/>
      </c>
      <c r="AQ256" s="48" t="str">
        <f t="shared" si="58"/>
        <v/>
      </c>
      <c r="AR256" s="48" t="str">
        <f>IFERROR(INDEX(_TECH_Crisis_Model!$E$5:$E$191,MATCH('Crisis Simulator'!$B$4&amp;"|"&amp;$C256,_TECH_Crisis_Model!$I$5:$I$191,0)),"")</f>
        <v>CRM discipline, pipeline visibility and retention actions determine revenue protection.</v>
      </c>
      <c r="AS256" s="48" t="str">
        <f>IFERROR(INDEX(_TECH_Crisis_Model!$G$5:$G$191,MATCH('Crisis Simulator'!$B$4&amp;"|"&amp;$C256,_TECH_Crisis_Model!$I$5:$I$191,0)),"")</f>
        <v>Improve CRM hygiene, retention playbooks, pipeline scenarios and customer segmentation.</v>
      </c>
      <c r="AT256" s="48" t="str">
        <f>IFERROR(INDEX(_TECH_Initiative_Library!$A$5:$A$76,MATCH(1,INDEX((_TECH_Initiative_Library!$B$5:$B$76=$C256)*(_TECH_Initiative_Library!$C$5:$C$76=$D256),0),0)),"")</f>
        <v>INI-043</v>
      </c>
      <c r="AU256" s="48" t="str">
        <f>IFERROR(INDEX(_TECH_Initiative_Library!$F$5:$F$76,MATCH(1,INDEX((_TECH_Initiative_Library!$B$5:$B$76=$C256)*(_TECH_Initiative_Library!$C$5:$C$76=$D256),0),0)),"")</f>
        <v>Implement customer continuity and key-account protection program</v>
      </c>
      <c r="AV256" s="48" t="str">
        <f ca="1">IFERROR(INDEX(_TECH_Initiative_Library!$AC$5:$AC$76,MATCH(1,INDEX((_TECH_Initiative_Library!$B$5:$B$76=$C256)*(_TECH_Initiative_Library!$C$5:$C$76=$D256),0),0)),"")</f>
        <v/>
      </c>
      <c r="AW256" s="48" t="str">
        <f ca="1">IFERROR(INDEX(_TECH_Initiative_Library!$AE$5:$AE$76,MATCH(1,INDEX((_TECH_Initiative_Library!$B$5:$B$76=$C256)*(_TECH_Initiative_Library!$C$5:$C$76=$D256),0),0)),"")</f>
        <v/>
      </c>
      <c r="AX256" s="48" t="str">
        <f>IF($B256="Yes",IFERROR(SUMIFS(_TECH_Industry_Templates!$E:$E,_TECH_Industry_Templates!$A:$A,'Company Profile'!$B$9,_TECH_Industry_Templates!$B:$B,$C256),1),"")</f>
        <v/>
      </c>
      <c r="AY256" s="48" t="str">
        <f t="shared" si="59"/>
        <v/>
      </c>
      <c r="AZ256" s="48" t="str">
        <f t="shared" si="60"/>
        <v/>
      </c>
      <c r="BA256" s="48" t="str">
        <f>IF($AZ256="","",RANK.EQ($AZ256,$AZ$8:$AZ$414,0)+COUNTIF($AZ$8:$AZ256,$AZ256)-1)</f>
        <v/>
      </c>
    </row>
    <row r="257" spans="1:53" ht="69.95" customHeight="1">
      <c r="A257" s="36" t="str">
        <f>IF($AZ257="","",RANK.EQ($AZ257,$AZ$8:$AZ$414,0)+COUNTIF($AZ$8:$AZ257,$AZ257)-1)</f>
        <v/>
      </c>
      <c r="B257" s="36" t="str">
        <f t="shared" si="47"/>
        <v/>
      </c>
      <c r="C257" s="36" t="s">
        <v>84</v>
      </c>
      <c r="D257" s="36" t="s">
        <v>1399</v>
      </c>
      <c r="E257" s="36" t="s">
        <v>4404</v>
      </c>
      <c r="F257" s="36" t="s">
        <v>193</v>
      </c>
      <c r="G257" s="36" t="str">
        <f>IF($H257="","",IFERROR(INDEX('Risk Library'!$H$5:$M$411,MATCH($E257,'Risk Library'!$A$5:$A$411,0),$H257+1),""))</f>
        <v/>
      </c>
      <c r="H257" s="37" t="str">
        <f>IF(OR(COUNTA('Sales CRM'!$H$18)=0,'Sales CRM'!$H$18="N/A"),"",VALUE('Sales CRM'!$H$18))</f>
        <v/>
      </c>
      <c r="I257" s="36" t="str">
        <f>IF($H257="","",IFERROR(IF('Sales CRM'!$L$18="",IF($H257&lt;=1,"Critical",IF($H257=2,"High",IF($H257=3,"Medium",IF($H257=4,"Low","Resilient")))),'Sales CRM'!$L$18),IF($H257&lt;=1,"Critical",IF($H257=2,"High",IF($H257=3,"Medium",IF($H257=4,"Low","Resilient"))))))</f>
        <v/>
      </c>
      <c r="J257" s="37" t="str">
        <f t="shared" si="48"/>
        <v/>
      </c>
      <c r="K257" s="37" t="str">
        <f t="shared" si="49"/>
        <v/>
      </c>
      <c r="L257" s="37" t="str">
        <f t="shared" si="50"/>
        <v/>
      </c>
      <c r="M257" s="37" t="str">
        <f t="shared" si="51"/>
        <v/>
      </c>
      <c r="N257" s="37" t="str">
        <f>IF($H257="","",IFERROR(INDEX('Risk Library'!$T$5:$Y$411,MATCH($E257,'Risk Library'!$A$5:$A$411,0),$H257+1),""))</f>
        <v/>
      </c>
      <c r="O257" s="37" t="str">
        <f t="shared" si="52"/>
        <v/>
      </c>
      <c r="P257" s="37" t="str">
        <f t="shared" si="53"/>
        <v/>
      </c>
      <c r="Q257" s="37" t="str">
        <f t="shared" si="54"/>
        <v/>
      </c>
      <c r="R257" s="37" t="str">
        <f t="shared" si="55"/>
        <v/>
      </c>
      <c r="S257" s="38" t="str">
        <f t="shared" si="56"/>
        <v/>
      </c>
      <c r="T257" s="36" t="str">
        <f>IF($H257="","",IFERROR(INDEX('Risk Library'!$N$5:$S$411,MATCH($E257,'Risk Library'!$A$5:$A$411,0),$H257+1),""))</f>
        <v/>
      </c>
      <c r="U257" s="37">
        <f>IFERROR('Sales CRM'!$G$18,"")</f>
        <v>5</v>
      </c>
      <c r="V257" s="37">
        <f>IFERROR('Sales CRM'!$W$18,"")</f>
        <v>4</v>
      </c>
      <c r="W257" s="37">
        <f>IFERROR('Sales CRM'!$X$18,"")</f>
        <v>5</v>
      </c>
      <c r="X257" s="37">
        <f>IFERROR('Sales CRM'!$Y$18,"")</f>
        <v>5</v>
      </c>
      <c r="Y257" s="36" t="s">
        <v>4281</v>
      </c>
      <c r="Z257" s="36" t="s">
        <v>4282</v>
      </c>
      <c r="AA257" s="36" t="s">
        <v>4406</v>
      </c>
      <c r="AB257" s="36">
        <f>IFERROR('Sales CRM'!$U$18,"")</f>
        <v>0</v>
      </c>
      <c r="AC257" s="36"/>
      <c r="AD257" s="36"/>
      <c r="AE257" s="36"/>
      <c r="AF257" s="36" t="s">
        <v>4405</v>
      </c>
      <c r="AO257" s="48" t="str">
        <f>IF($B257="Yes",IFERROR(SUMIFS(_TECH_Crisis_Model!$D$5:$D$191,_TECH_Crisis_Model!$A$5:$A$191,'Crisis Simulator'!$B$4,_TECH_Crisis_Model!$B$5:$B$191,$C257),1),"")</f>
        <v/>
      </c>
      <c r="AP257" s="48" t="str">
        <f t="shared" si="57"/>
        <v/>
      </c>
      <c r="AQ257" s="48" t="str">
        <f t="shared" si="58"/>
        <v/>
      </c>
      <c r="AR257" s="48" t="str">
        <f>IFERROR(INDEX(_TECH_Crisis_Model!$E$5:$E$191,MATCH('Crisis Simulator'!$B$4&amp;"|"&amp;$C257,_TECH_Crisis_Model!$I$5:$I$191,0)),"")</f>
        <v>CRM discipline, pipeline visibility and retention actions determine revenue protection.</v>
      </c>
      <c r="AS257" s="48" t="str">
        <f>IFERROR(INDEX(_TECH_Crisis_Model!$G$5:$G$191,MATCH('Crisis Simulator'!$B$4&amp;"|"&amp;$C257,_TECH_Crisis_Model!$I$5:$I$191,0)),"")</f>
        <v>Improve CRM hygiene, retention playbooks, pipeline scenarios and customer segmentation.</v>
      </c>
      <c r="AT257" s="48" t="str">
        <f>IFERROR(INDEX(_TECH_Initiative_Library!$A$5:$A$76,MATCH(1,INDEX((_TECH_Initiative_Library!$B$5:$B$76=$C257)*(_TECH_Initiative_Library!$C$5:$C$76=$D257),0),0)),"")</f>
        <v>INI-043</v>
      </c>
      <c r="AU257" s="48" t="str">
        <f>IFERROR(INDEX(_TECH_Initiative_Library!$F$5:$F$76,MATCH(1,INDEX((_TECH_Initiative_Library!$B$5:$B$76=$C257)*(_TECH_Initiative_Library!$C$5:$C$76=$D257),0),0)),"")</f>
        <v>Implement customer continuity and key-account protection program</v>
      </c>
      <c r="AV257" s="48" t="str">
        <f ca="1">IFERROR(INDEX(_TECH_Initiative_Library!$AC$5:$AC$76,MATCH(1,INDEX((_TECH_Initiative_Library!$B$5:$B$76=$C257)*(_TECH_Initiative_Library!$C$5:$C$76=$D257),0),0)),"")</f>
        <v/>
      </c>
      <c r="AW257" s="48" t="str">
        <f ca="1">IFERROR(INDEX(_TECH_Initiative_Library!$AE$5:$AE$76,MATCH(1,INDEX((_TECH_Initiative_Library!$B$5:$B$76=$C257)*(_TECH_Initiative_Library!$C$5:$C$76=$D257),0),0)),"")</f>
        <v/>
      </c>
      <c r="AX257" s="48" t="str">
        <f>IF($B257="Yes",IFERROR(SUMIFS(_TECH_Industry_Templates!$E:$E,_TECH_Industry_Templates!$A:$A,'Company Profile'!$B$9,_TECH_Industry_Templates!$B:$B,$C257),1),"")</f>
        <v/>
      </c>
      <c r="AY257" s="48" t="str">
        <f t="shared" si="59"/>
        <v/>
      </c>
      <c r="AZ257" s="48" t="str">
        <f t="shared" si="60"/>
        <v/>
      </c>
      <c r="BA257" s="48" t="str">
        <f>IF($AZ257="","",RANK.EQ($AZ257,$AZ$8:$AZ$414,0)+COUNTIF($AZ$8:$AZ257,$AZ257)-1)</f>
        <v/>
      </c>
    </row>
    <row r="258" spans="1:53" ht="69.95" customHeight="1">
      <c r="A258" s="36" t="str">
        <f>IF($AZ258="","",RANK.EQ($AZ258,$AZ$8:$AZ$414,0)+COUNTIF($AZ$8:$AZ258,$AZ258)-1)</f>
        <v/>
      </c>
      <c r="B258" s="36" t="str">
        <f t="shared" si="47"/>
        <v/>
      </c>
      <c r="C258" s="36" t="s">
        <v>84</v>
      </c>
      <c r="D258" s="36" t="s">
        <v>1399</v>
      </c>
      <c r="E258" s="36" t="s">
        <v>4414</v>
      </c>
      <c r="F258" s="36" t="s">
        <v>193</v>
      </c>
      <c r="G258" s="36" t="str">
        <f>IF($H258="","",IFERROR(INDEX('Risk Library'!$H$5:$M$411,MATCH($E258,'Risk Library'!$A$5:$A$411,0),$H258+1),""))</f>
        <v/>
      </c>
      <c r="H258" s="37" t="str">
        <f>IF(OR(COUNTA('Sales CRM'!$H$19)=0,'Sales CRM'!$H$19="N/A"),"",VALUE('Sales CRM'!$H$19))</f>
        <v/>
      </c>
      <c r="I258" s="36" t="str">
        <f>IF($H258="","",IFERROR(IF('Sales CRM'!$L$19="",IF($H258&lt;=1,"Critical",IF($H258=2,"High",IF($H258=3,"Medium",IF($H258=4,"Low","Resilient")))),'Sales CRM'!$L$19),IF($H258&lt;=1,"Critical",IF($H258=2,"High",IF($H258=3,"Medium",IF($H258=4,"Low","Resilient"))))))</f>
        <v/>
      </c>
      <c r="J258" s="37" t="str">
        <f t="shared" si="48"/>
        <v/>
      </c>
      <c r="K258" s="37" t="str">
        <f t="shared" si="49"/>
        <v/>
      </c>
      <c r="L258" s="37" t="str">
        <f t="shared" si="50"/>
        <v/>
      </c>
      <c r="M258" s="37" t="str">
        <f t="shared" si="51"/>
        <v/>
      </c>
      <c r="N258" s="37" t="str">
        <f>IF($H258="","",IFERROR(INDEX('Risk Library'!$T$5:$Y$411,MATCH($E258,'Risk Library'!$A$5:$A$411,0),$H258+1),""))</f>
        <v/>
      </c>
      <c r="O258" s="37" t="str">
        <f t="shared" si="52"/>
        <v/>
      </c>
      <c r="P258" s="37" t="str">
        <f t="shared" si="53"/>
        <v/>
      </c>
      <c r="Q258" s="37" t="str">
        <f t="shared" si="54"/>
        <v/>
      </c>
      <c r="R258" s="37" t="str">
        <f t="shared" si="55"/>
        <v/>
      </c>
      <c r="S258" s="38" t="str">
        <f t="shared" si="56"/>
        <v/>
      </c>
      <c r="T258" s="36" t="str">
        <f>IF($H258="","",IFERROR(INDEX('Risk Library'!$N$5:$S$411,MATCH($E258,'Risk Library'!$A$5:$A$411,0),$H258+1),""))</f>
        <v/>
      </c>
      <c r="U258" s="37">
        <f>IFERROR('Sales CRM'!$G$19,"")</f>
        <v>5</v>
      </c>
      <c r="V258" s="37">
        <f>IFERROR('Sales CRM'!$W$19,"")</f>
        <v>5</v>
      </c>
      <c r="W258" s="37">
        <f>IFERROR('Sales CRM'!$X$19,"")</f>
        <v>5</v>
      </c>
      <c r="X258" s="37">
        <f>IFERROR('Sales CRM'!$Y$19,"")</f>
        <v>5</v>
      </c>
      <c r="Y258" s="36" t="s">
        <v>4281</v>
      </c>
      <c r="Z258" s="36" t="s">
        <v>4282</v>
      </c>
      <c r="AA258" s="36" t="s">
        <v>4416</v>
      </c>
      <c r="AB258" s="36">
        <f>IFERROR('Sales CRM'!$U$19,"")</f>
        <v>0</v>
      </c>
      <c r="AC258" s="36"/>
      <c r="AD258" s="36"/>
      <c r="AE258" s="36"/>
      <c r="AF258" s="36" t="s">
        <v>4415</v>
      </c>
      <c r="AO258" s="48" t="str">
        <f>IF($B258="Yes",IFERROR(SUMIFS(_TECH_Crisis_Model!$D$5:$D$191,_TECH_Crisis_Model!$A$5:$A$191,'Crisis Simulator'!$B$4,_TECH_Crisis_Model!$B$5:$B$191,$C258),1),"")</f>
        <v/>
      </c>
      <c r="AP258" s="48" t="str">
        <f t="shared" si="57"/>
        <v/>
      </c>
      <c r="AQ258" s="48" t="str">
        <f t="shared" si="58"/>
        <v/>
      </c>
      <c r="AR258" s="48" t="str">
        <f>IFERROR(INDEX(_TECH_Crisis_Model!$E$5:$E$191,MATCH('Crisis Simulator'!$B$4&amp;"|"&amp;$C258,_TECH_Crisis_Model!$I$5:$I$191,0)),"")</f>
        <v>CRM discipline, pipeline visibility and retention actions determine revenue protection.</v>
      </c>
      <c r="AS258" s="48" t="str">
        <f>IFERROR(INDEX(_TECH_Crisis_Model!$G$5:$G$191,MATCH('Crisis Simulator'!$B$4&amp;"|"&amp;$C258,_TECH_Crisis_Model!$I$5:$I$191,0)),"")</f>
        <v>Improve CRM hygiene, retention playbooks, pipeline scenarios and customer segmentation.</v>
      </c>
      <c r="AT258" s="48" t="str">
        <f>IFERROR(INDEX(_TECH_Initiative_Library!$A$5:$A$76,MATCH(1,INDEX((_TECH_Initiative_Library!$B$5:$B$76=$C258)*(_TECH_Initiative_Library!$C$5:$C$76=$D258),0),0)),"")</f>
        <v>INI-043</v>
      </c>
      <c r="AU258" s="48" t="str">
        <f>IFERROR(INDEX(_TECH_Initiative_Library!$F$5:$F$76,MATCH(1,INDEX((_TECH_Initiative_Library!$B$5:$B$76=$C258)*(_TECH_Initiative_Library!$C$5:$C$76=$D258),0),0)),"")</f>
        <v>Implement customer continuity and key-account protection program</v>
      </c>
      <c r="AV258" s="48" t="str">
        <f ca="1">IFERROR(INDEX(_TECH_Initiative_Library!$AC$5:$AC$76,MATCH(1,INDEX((_TECH_Initiative_Library!$B$5:$B$76=$C258)*(_TECH_Initiative_Library!$C$5:$C$76=$D258),0),0)),"")</f>
        <v/>
      </c>
      <c r="AW258" s="48" t="str">
        <f ca="1">IFERROR(INDEX(_TECH_Initiative_Library!$AE$5:$AE$76,MATCH(1,INDEX((_TECH_Initiative_Library!$B$5:$B$76=$C258)*(_TECH_Initiative_Library!$C$5:$C$76=$D258),0),0)),"")</f>
        <v/>
      </c>
      <c r="AX258" s="48" t="str">
        <f>IF($B258="Yes",IFERROR(SUMIFS(_TECH_Industry_Templates!$E:$E,_TECH_Industry_Templates!$A:$A,'Company Profile'!$B$9,_TECH_Industry_Templates!$B:$B,$C258),1),"")</f>
        <v/>
      </c>
      <c r="AY258" s="48" t="str">
        <f t="shared" si="59"/>
        <v/>
      </c>
      <c r="AZ258" s="48" t="str">
        <f t="shared" si="60"/>
        <v/>
      </c>
      <c r="BA258" s="48" t="str">
        <f>IF($AZ258="","",RANK.EQ($AZ258,$AZ$8:$AZ$414,0)+COUNTIF($AZ$8:$AZ258,$AZ258)-1)</f>
        <v/>
      </c>
    </row>
    <row r="259" spans="1:53" ht="69.95" customHeight="1">
      <c r="A259" s="36" t="str">
        <f>IF($AZ259="","",RANK.EQ($AZ259,$AZ$8:$AZ$414,0)+COUNTIF($AZ$8:$AZ259,$AZ259)-1)</f>
        <v/>
      </c>
      <c r="B259" s="36" t="str">
        <f t="shared" si="47"/>
        <v/>
      </c>
      <c r="C259" s="36" t="s">
        <v>84</v>
      </c>
      <c r="D259" s="36" t="s">
        <v>1399</v>
      </c>
      <c r="E259" s="36" t="s">
        <v>4424</v>
      </c>
      <c r="F259" s="36" t="s">
        <v>193</v>
      </c>
      <c r="G259" s="36" t="str">
        <f>IF($H259="","",IFERROR(INDEX('Risk Library'!$H$5:$M$411,MATCH($E259,'Risk Library'!$A$5:$A$411,0),$H259+1),""))</f>
        <v/>
      </c>
      <c r="H259" s="37" t="str">
        <f>IF(OR(COUNTA('Sales CRM'!$H$20)=0,'Sales CRM'!$H$20="N/A"),"",VALUE('Sales CRM'!$H$20))</f>
        <v/>
      </c>
      <c r="I259" s="36" t="str">
        <f>IF($H259="","",IFERROR(IF('Sales CRM'!$L$20="",IF($H259&lt;=1,"Critical",IF($H259=2,"High",IF($H259=3,"Medium",IF($H259=4,"Low","Resilient")))),'Sales CRM'!$L$20),IF($H259&lt;=1,"Critical",IF($H259=2,"High",IF($H259=3,"Medium",IF($H259=4,"Low","Resilient"))))))</f>
        <v/>
      </c>
      <c r="J259" s="37" t="str">
        <f t="shared" si="48"/>
        <v/>
      </c>
      <c r="K259" s="37" t="str">
        <f t="shared" si="49"/>
        <v/>
      </c>
      <c r="L259" s="37" t="str">
        <f t="shared" si="50"/>
        <v/>
      </c>
      <c r="M259" s="37" t="str">
        <f t="shared" si="51"/>
        <v/>
      </c>
      <c r="N259" s="37" t="str">
        <f>IF($H259="","",IFERROR(INDEX('Risk Library'!$T$5:$Y$411,MATCH($E259,'Risk Library'!$A$5:$A$411,0),$H259+1),""))</f>
        <v/>
      </c>
      <c r="O259" s="37" t="str">
        <f t="shared" si="52"/>
        <v/>
      </c>
      <c r="P259" s="37" t="str">
        <f t="shared" si="53"/>
        <v/>
      </c>
      <c r="Q259" s="37" t="str">
        <f t="shared" si="54"/>
        <v/>
      </c>
      <c r="R259" s="37" t="str">
        <f t="shared" si="55"/>
        <v/>
      </c>
      <c r="S259" s="38" t="str">
        <f t="shared" si="56"/>
        <v/>
      </c>
      <c r="T259" s="36" t="str">
        <f>IF($H259="","",IFERROR(INDEX('Risk Library'!$N$5:$S$411,MATCH($E259,'Risk Library'!$A$5:$A$411,0),$H259+1),""))</f>
        <v/>
      </c>
      <c r="U259" s="37">
        <f>IFERROR('Sales CRM'!$G$20,"")</f>
        <v>3</v>
      </c>
      <c r="V259" s="37">
        <f>IFERROR('Sales CRM'!$W$20,"")</f>
        <v>4</v>
      </c>
      <c r="W259" s="37">
        <f>IFERROR('Sales CRM'!$X$20,"")</f>
        <v>5</v>
      </c>
      <c r="X259" s="37">
        <f>IFERROR('Sales CRM'!$Y$20,"")</f>
        <v>5</v>
      </c>
      <c r="Y259" s="36" t="s">
        <v>4281</v>
      </c>
      <c r="Z259" s="36" t="s">
        <v>4282</v>
      </c>
      <c r="AA259" s="36" t="s">
        <v>4426</v>
      </c>
      <c r="AB259" s="36">
        <f>IFERROR('Sales CRM'!$U$20,"")</f>
        <v>0</v>
      </c>
      <c r="AC259" s="36"/>
      <c r="AD259" s="36"/>
      <c r="AE259" s="36"/>
      <c r="AF259" s="36" t="s">
        <v>4425</v>
      </c>
      <c r="AO259" s="48" t="str">
        <f>IF($B259="Yes",IFERROR(SUMIFS(_TECH_Crisis_Model!$D$5:$D$191,_TECH_Crisis_Model!$A$5:$A$191,'Crisis Simulator'!$B$4,_TECH_Crisis_Model!$B$5:$B$191,$C259),1),"")</f>
        <v/>
      </c>
      <c r="AP259" s="48" t="str">
        <f t="shared" si="57"/>
        <v/>
      </c>
      <c r="AQ259" s="48" t="str">
        <f t="shared" si="58"/>
        <v/>
      </c>
      <c r="AR259" s="48" t="str">
        <f>IFERROR(INDEX(_TECH_Crisis_Model!$E$5:$E$191,MATCH('Crisis Simulator'!$B$4&amp;"|"&amp;$C259,_TECH_Crisis_Model!$I$5:$I$191,0)),"")</f>
        <v>CRM discipline, pipeline visibility and retention actions determine revenue protection.</v>
      </c>
      <c r="AS259" s="48" t="str">
        <f>IFERROR(INDEX(_TECH_Crisis_Model!$G$5:$G$191,MATCH('Crisis Simulator'!$B$4&amp;"|"&amp;$C259,_TECH_Crisis_Model!$I$5:$I$191,0)),"")</f>
        <v>Improve CRM hygiene, retention playbooks, pipeline scenarios and customer segmentation.</v>
      </c>
      <c r="AT259" s="48" t="str">
        <f>IFERROR(INDEX(_TECH_Initiative_Library!$A$5:$A$76,MATCH(1,INDEX((_TECH_Initiative_Library!$B$5:$B$76=$C259)*(_TECH_Initiative_Library!$C$5:$C$76=$D259),0),0)),"")</f>
        <v>INI-043</v>
      </c>
      <c r="AU259" s="48" t="str">
        <f>IFERROR(INDEX(_TECH_Initiative_Library!$F$5:$F$76,MATCH(1,INDEX((_TECH_Initiative_Library!$B$5:$B$76=$C259)*(_TECH_Initiative_Library!$C$5:$C$76=$D259),0),0)),"")</f>
        <v>Implement customer continuity and key-account protection program</v>
      </c>
      <c r="AV259" s="48" t="str">
        <f ca="1">IFERROR(INDEX(_TECH_Initiative_Library!$AC$5:$AC$76,MATCH(1,INDEX((_TECH_Initiative_Library!$B$5:$B$76=$C259)*(_TECH_Initiative_Library!$C$5:$C$76=$D259),0),0)),"")</f>
        <v/>
      </c>
      <c r="AW259" s="48" t="str">
        <f ca="1">IFERROR(INDEX(_TECH_Initiative_Library!$AE$5:$AE$76,MATCH(1,INDEX((_TECH_Initiative_Library!$B$5:$B$76=$C259)*(_TECH_Initiative_Library!$C$5:$C$76=$D259),0),0)),"")</f>
        <v/>
      </c>
      <c r="AX259" s="48" t="str">
        <f>IF($B259="Yes",IFERROR(SUMIFS(_TECH_Industry_Templates!$E:$E,_TECH_Industry_Templates!$A:$A,'Company Profile'!$B$9,_TECH_Industry_Templates!$B:$B,$C259),1),"")</f>
        <v/>
      </c>
      <c r="AY259" s="48" t="str">
        <f t="shared" si="59"/>
        <v/>
      </c>
      <c r="AZ259" s="48" t="str">
        <f t="shared" si="60"/>
        <v/>
      </c>
      <c r="BA259" s="48" t="str">
        <f>IF($AZ259="","",RANK.EQ($AZ259,$AZ$8:$AZ$414,0)+COUNTIF($AZ$8:$AZ259,$AZ259)-1)</f>
        <v/>
      </c>
    </row>
    <row r="260" spans="1:53" ht="69.95" customHeight="1">
      <c r="A260" s="36" t="str">
        <f>IF($AZ260="","",RANK.EQ($AZ260,$AZ$8:$AZ$414,0)+COUNTIF($AZ$8:$AZ260,$AZ260)-1)</f>
        <v/>
      </c>
      <c r="B260" s="36" t="str">
        <f t="shared" si="47"/>
        <v/>
      </c>
      <c r="C260" s="36" t="s">
        <v>84</v>
      </c>
      <c r="D260" s="36" t="s">
        <v>1407</v>
      </c>
      <c r="E260" s="36" t="s">
        <v>4434</v>
      </c>
      <c r="F260" s="36" t="s">
        <v>193</v>
      </c>
      <c r="G260" s="36" t="str">
        <f>IF($H260="","",IFERROR(INDEX('Risk Library'!$H$5:$M$411,MATCH($E260,'Risk Library'!$A$5:$A$411,0),$H260+1),""))</f>
        <v/>
      </c>
      <c r="H260" s="37" t="str">
        <f>IF(OR(COUNTA('Sales CRM'!$H$21)=0,'Sales CRM'!$H$21="N/A"),"",VALUE('Sales CRM'!$H$21))</f>
        <v/>
      </c>
      <c r="I260" s="36" t="str">
        <f>IF($H260="","",IFERROR(IF('Sales CRM'!$L$21="",IF($H260&lt;=1,"Critical",IF($H260=2,"High",IF($H260=3,"Medium",IF($H260=4,"Low","Resilient")))),'Sales CRM'!$L$21),IF($H260&lt;=1,"Critical",IF($H260=2,"High",IF($H260=3,"Medium",IF($H260=4,"Low","Resilient"))))))</f>
        <v/>
      </c>
      <c r="J260" s="37" t="str">
        <f t="shared" si="48"/>
        <v/>
      </c>
      <c r="K260" s="37" t="str">
        <f t="shared" si="49"/>
        <v/>
      </c>
      <c r="L260" s="37" t="str">
        <f t="shared" si="50"/>
        <v/>
      </c>
      <c r="M260" s="37" t="str">
        <f t="shared" si="51"/>
        <v/>
      </c>
      <c r="N260" s="37" t="str">
        <f>IF($H260="","",IFERROR(INDEX('Risk Library'!$T$5:$Y$411,MATCH($E260,'Risk Library'!$A$5:$A$411,0),$H260+1),""))</f>
        <v/>
      </c>
      <c r="O260" s="37" t="str">
        <f t="shared" si="52"/>
        <v/>
      </c>
      <c r="P260" s="37" t="str">
        <f t="shared" si="53"/>
        <v/>
      </c>
      <c r="Q260" s="37" t="str">
        <f t="shared" si="54"/>
        <v/>
      </c>
      <c r="R260" s="37" t="str">
        <f t="shared" si="55"/>
        <v/>
      </c>
      <c r="S260" s="38" t="str">
        <f t="shared" si="56"/>
        <v/>
      </c>
      <c r="T260" s="36" t="str">
        <f>IF($H260="","",IFERROR(INDEX('Risk Library'!$N$5:$S$411,MATCH($E260,'Risk Library'!$A$5:$A$411,0),$H260+1),""))</f>
        <v/>
      </c>
      <c r="U260" s="37">
        <f>IFERROR('Sales CRM'!$G$21,"")</f>
        <v>4</v>
      </c>
      <c r="V260" s="37">
        <f>IFERROR('Sales CRM'!$W$21,"")</f>
        <v>4</v>
      </c>
      <c r="W260" s="37">
        <f>IFERROR('Sales CRM'!$X$21,"")</f>
        <v>5</v>
      </c>
      <c r="X260" s="37">
        <f>IFERROR('Sales CRM'!$Y$21,"")</f>
        <v>5</v>
      </c>
      <c r="Y260" s="36" t="s">
        <v>4281</v>
      </c>
      <c r="Z260" s="36" t="s">
        <v>4282</v>
      </c>
      <c r="AA260" s="36" t="s">
        <v>4436</v>
      </c>
      <c r="AB260" s="36">
        <f>IFERROR('Sales CRM'!$U$21,"")</f>
        <v>0</v>
      </c>
      <c r="AC260" s="36"/>
      <c r="AD260" s="36"/>
      <c r="AE260" s="36"/>
      <c r="AF260" s="36" t="s">
        <v>4435</v>
      </c>
      <c r="AO260" s="48" t="str">
        <f>IF($B260="Yes",IFERROR(SUMIFS(_TECH_Crisis_Model!$D$5:$D$191,_TECH_Crisis_Model!$A$5:$A$191,'Crisis Simulator'!$B$4,_TECH_Crisis_Model!$B$5:$B$191,$C260),1),"")</f>
        <v/>
      </c>
      <c r="AP260" s="48" t="str">
        <f t="shared" si="57"/>
        <v/>
      </c>
      <c r="AQ260" s="48" t="str">
        <f t="shared" si="58"/>
        <v/>
      </c>
      <c r="AR260" s="48" t="str">
        <f>IFERROR(INDEX(_TECH_Crisis_Model!$E$5:$E$191,MATCH('Crisis Simulator'!$B$4&amp;"|"&amp;$C260,_TECH_Crisis_Model!$I$5:$I$191,0)),"")</f>
        <v>CRM discipline, pipeline visibility and retention actions determine revenue protection.</v>
      </c>
      <c r="AS260" s="48" t="str">
        <f>IFERROR(INDEX(_TECH_Crisis_Model!$G$5:$G$191,MATCH('Crisis Simulator'!$B$4&amp;"|"&amp;$C260,_TECH_Crisis_Model!$I$5:$I$191,0)),"")</f>
        <v>Improve CRM hygiene, retention playbooks, pipeline scenarios and customer segmentation.</v>
      </c>
      <c r="AT260" s="48" t="str">
        <f>IFERROR(INDEX(_TECH_Initiative_Library!$A$5:$A$76,MATCH(1,INDEX((_TECH_Initiative_Library!$B$5:$B$76=$C260)*(_TECH_Initiative_Library!$C$5:$C$76=$D260),0),0)),"")</f>
        <v>INI-044</v>
      </c>
      <c r="AU260" s="48" t="str">
        <f>IFERROR(INDEX(_TECH_Initiative_Library!$F$5:$F$76,MATCH(1,INDEX((_TECH_Initiative_Library!$B$5:$B$76=$C260)*(_TECH_Initiative_Library!$C$5:$C$76=$D260),0),0)),"")</f>
        <v>Strengthen pricing, discounting and revenue-control governance</v>
      </c>
      <c r="AV260" s="48" t="str">
        <f ca="1">IFERROR(INDEX(_TECH_Initiative_Library!$AC$5:$AC$76,MATCH(1,INDEX((_TECH_Initiative_Library!$B$5:$B$76=$C260)*(_TECH_Initiative_Library!$C$5:$C$76=$D260),0),0)),"")</f>
        <v/>
      </c>
      <c r="AW260" s="48" t="str">
        <f ca="1">IFERROR(INDEX(_TECH_Initiative_Library!$AE$5:$AE$76,MATCH(1,INDEX((_TECH_Initiative_Library!$B$5:$B$76=$C260)*(_TECH_Initiative_Library!$C$5:$C$76=$D260),0),0)),"")</f>
        <v/>
      </c>
      <c r="AX260" s="48" t="str">
        <f>IF($B260="Yes",IFERROR(SUMIFS(_TECH_Industry_Templates!$E:$E,_TECH_Industry_Templates!$A:$A,'Company Profile'!$B$9,_TECH_Industry_Templates!$B:$B,$C260),1),"")</f>
        <v/>
      </c>
      <c r="AY260" s="48" t="str">
        <f t="shared" si="59"/>
        <v/>
      </c>
      <c r="AZ260" s="48" t="str">
        <f t="shared" si="60"/>
        <v/>
      </c>
      <c r="BA260" s="48" t="str">
        <f>IF($AZ260="","",RANK.EQ($AZ260,$AZ$8:$AZ$414,0)+COUNTIF($AZ$8:$AZ260,$AZ260)-1)</f>
        <v/>
      </c>
    </row>
    <row r="261" spans="1:53" ht="69.95" customHeight="1">
      <c r="A261" s="36" t="str">
        <f>IF($AZ261="","",RANK.EQ($AZ261,$AZ$8:$AZ$414,0)+COUNTIF($AZ$8:$AZ261,$AZ261)-1)</f>
        <v/>
      </c>
      <c r="B261" s="36" t="str">
        <f t="shared" si="47"/>
        <v/>
      </c>
      <c r="C261" s="36" t="s">
        <v>84</v>
      </c>
      <c r="D261" s="36" t="s">
        <v>1407</v>
      </c>
      <c r="E261" s="36" t="s">
        <v>4444</v>
      </c>
      <c r="F261" s="36" t="s">
        <v>193</v>
      </c>
      <c r="G261" s="36" t="str">
        <f>IF($H261="","",IFERROR(INDEX('Risk Library'!$H$5:$M$411,MATCH($E261,'Risk Library'!$A$5:$A$411,0),$H261+1),""))</f>
        <v/>
      </c>
      <c r="H261" s="37" t="str">
        <f>IF(OR(COUNTA('Sales CRM'!$H$22)=0,'Sales CRM'!$H$22="N/A"),"",VALUE('Sales CRM'!$H$22))</f>
        <v/>
      </c>
      <c r="I261" s="36" t="str">
        <f>IF($H261="","",IFERROR(IF('Sales CRM'!$L$22="",IF($H261&lt;=1,"Critical",IF($H261=2,"High",IF($H261=3,"Medium",IF($H261=4,"Low","Resilient")))),'Sales CRM'!$L$22),IF($H261&lt;=1,"Critical",IF($H261=2,"High",IF($H261=3,"Medium",IF($H261=4,"Low","Resilient"))))))</f>
        <v/>
      </c>
      <c r="J261" s="37" t="str">
        <f t="shared" si="48"/>
        <v/>
      </c>
      <c r="K261" s="37" t="str">
        <f t="shared" si="49"/>
        <v/>
      </c>
      <c r="L261" s="37" t="str">
        <f t="shared" si="50"/>
        <v/>
      </c>
      <c r="M261" s="37" t="str">
        <f t="shared" si="51"/>
        <v/>
      </c>
      <c r="N261" s="37" t="str">
        <f>IF($H261="","",IFERROR(INDEX('Risk Library'!$T$5:$Y$411,MATCH($E261,'Risk Library'!$A$5:$A$411,0),$H261+1),""))</f>
        <v/>
      </c>
      <c r="O261" s="37" t="str">
        <f t="shared" si="52"/>
        <v/>
      </c>
      <c r="P261" s="37" t="str">
        <f t="shared" si="53"/>
        <v/>
      </c>
      <c r="Q261" s="37" t="str">
        <f t="shared" si="54"/>
        <v/>
      </c>
      <c r="R261" s="37" t="str">
        <f t="shared" si="55"/>
        <v/>
      </c>
      <c r="S261" s="38" t="str">
        <f t="shared" si="56"/>
        <v/>
      </c>
      <c r="T261" s="36" t="str">
        <f>IF($H261="","",IFERROR(INDEX('Risk Library'!$N$5:$S$411,MATCH($E261,'Risk Library'!$A$5:$A$411,0),$H261+1),""))</f>
        <v/>
      </c>
      <c r="U261" s="37">
        <f>IFERROR('Sales CRM'!$G$22,"")</f>
        <v>5</v>
      </c>
      <c r="V261" s="37">
        <f>IFERROR('Sales CRM'!$W$22,"")</f>
        <v>4</v>
      </c>
      <c r="W261" s="37">
        <f>IFERROR('Sales CRM'!$X$22,"")</f>
        <v>5</v>
      </c>
      <c r="X261" s="37">
        <f>IFERROR('Sales CRM'!$Y$22,"")</f>
        <v>5</v>
      </c>
      <c r="Y261" s="36" t="s">
        <v>4281</v>
      </c>
      <c r="Z261" s="36" t="s">
        <v>4282</v>
      </c>
      <c r="AA261" s="36" t="s">
        <v>4446</v>
      </c>
      <c r="AB261" s="36">
        <f>IFERROR('Sales CRM'!$U$22,"")</f>
        <v>0</v>
      </c>
      <c r="AC261" s="36"/>
      <c r="AD261" s="36"/>
      <c r="AE261" s="36"/>
      <c r="AF261" s="36" t="s">
        <v>4445</v>
      </c>
      <c r="AO261" s="48" t="str">
        <f>IF($B261="Yes",IFERROR(SUMIFS(_TECH_Crisis_Model!$D$5:$D$191,_TECH_Crisis_Model!$A$5:$A$191,'Crisis Simulator'!$B$4,_TECH_Crisis_Model!$B$5:$B$191,$C261),1),"")</f>
        <v/>
      </c>
      <c r="AP261" s="48" t="str">
        <f t="shared" si="57"/>
        <v/>
      </c>
      <c r="AQ261" s="48" t="str">
        <f t="shared" si="58"/>
        <v/>
      </c>
      <c r="AR261" s="48" t="str">
        <f>IFERROR(INDEX(_TECH_Crisis_Model!$E$5:$E$191,MATCH('Crisis Simulator'!$B$4&amp;"|"&amp;$C261,_TECH_Crisis_Model!$I$5:$I$191,0)),"")</f>
        <v>CRM discipline, pipeline visibility and retention actions determine revenue protection.</v>
      </c>
      <c r="AS261" s="48" t="str">
        <f>IFERROR(INDEX(_TECH_Crisis_Model!$G$5:$G$191,MATCH('Crisis Simulator'!$B$4&amp;"|"&amp;$C261,_TECH_Crisis_Model!$I$5:$I$191,0)),"")</f>
        <v>Improve CRM hygiene, retention playbooks, pipeline scenarios and customer segmentation.</v>
      </c>
      <c r="AT261" s="48" t="str">
        <f>IFERROR(INDEX(_TECH_Initiative_Library!$A$5:$A$76,MATCH(1,INDEX((_TECH_Initiative_Library!$B$5:$B$76=$C261)*(_TECH_Initiative_Library!$C$5:$C$76=$D261),0),0)),"")</f>
        <v>INI-044</v>
      </c>
      <c r="AU261" s="48" t="str">
        <f>IFERROR(INDEX(_TECH_Initiative_Library!$F$5:$F$76,MATCH(1,INDEX((_TECH_Initiative_Library!$B$5:$B$76=$C261)*(_TECH_Initiative_Library!$C$5:$C$76=$D261),0),0)),"")</f>
        <v>Strengthen pricing, discounting and revenue-control governance</v>
      </c>
      <c r="AV261" s="48" t="str">
        <f ca="1">IFERROR(INDEX(_TECH_Initiative_Library!$AC$5:$AC$76,MATCH(1,INDEX((_TECH_Initiative_Library!$B$5:$B$76=$C261)*(_TECH_Initiative_Library!$C$5:$C$76=$D261),0),0)),"")</f>
        <v/>
      </c>
      <c r="AW261" s="48" t="str">
        <f ca="1">IFERROR(INDEX(_TECH_Initiative_Library!$AE$5:$AE$76,MATCH(1,INDEX((_TECH_Initiative_Library!$B$5:$B$76=$C261)*(_TECH_Initiative_Library!$C$5:$C$76=$D261),0),0)),"")</f>
        <v/>
      </c>
      <c r="AX261" s="48" t="str">
        <f>IF($B261="Yes",IFERROR(SUMIFS(_TECH_Industry_Templates!$E:$E,_TECH_Industry_Templates!$A:$A,'Company Profile'!$B$9,_TECH_Industry_Templates!$B:$B,$C261),1),"")</f>
        <v/>
      </c>
      <c r="AY261" s="48" t="str">
        <f t="shared" si="59"/>
        <v/>
      </c>
      <c r="AZ261" s="48" t="str">
        <f t="shared" si="60"/>
        <v/>
      </c>
      <c r="BA261" s="48" t="str">
        <f>IF($AZ261="","",RANK.EQ($AZ261,$AZ$8:$AZ$414,0)+COUNTIF($AZ$8:$AZ261,$AZ261)-1)</f>
        <v/>
      </c>
    </row>
    <row r="262" spans="1:53" ht="69.95" customHeight="1">
      <c r="A262" s="36" t="str">
        <f>IF($AZ262="","",RANK.EQ($AZ262,$AZ$8:$AZ$414,0)+COUNTIF($AZ$8:$AZ262,$AZ262)-1)</f>
        <v/>
      </c>
      <c r="B262" s="36" t="str">
        <f t="shared" si="47"/>
        <v/>
      </c>
      <c r="C262" s="36" t="s">
        <v>84</v>
      </c>
      <c r="D262" s="36" t="s">
        <v>1407</v>
      </c>
      <c r="E262" s="36" t="s">
        <v>4454</v>
      </c>
      <c r="F262" s="36" t="s">
        <v>193</v>
      </c>
      <c r="G262" s="36" t="str">
        <f>IF($H262="","",IFERROR(INDEX('Risk Library'!$H$5:$M$411,MATCH($E262,'Risk Library'!$A$5:$A$411,0),$H262+1),""))</f>
        <v/>
      </c>
      <c r="H262" s="37" t="str">
        <f>IF(OR(COUNTA('Sales CRM'!$H$23)=0,'Sales CRM'!$H$23="N/A"),"",VALUE('Sales CRM'!$H$23))</f>
        <v/>
      </c>
      <c r="I262" s="36" t="str">
        <f>IF($H262="","",IFERROR(IF('Sales CRM'!$L$23="",IF($H262&lt;=1,"Critical",IF($H262=2,"High",IF($H262=3,"Medium",IF($H262=4,"Low","Resilient")))),'Sales CRM'!$L$23),IF($H262&lt;=1,"Critical",IF($H262=2,"High",IF($H262=3,"Medium",IF($H262=4,"Low","Resilient"))))))</f>
        <v/>
      </c>
      <c r="J262" s="37" t="str">
        <f t="shared" si="48"/>
        <v/>
      </c>
      <c r="K262" s="37" t="str">
        <f t="shared" si="49"/>
        <v/>
      </c>
      <c r="L262" s="37" t="str">
        <f t="shared" si="50"/>
        <v/>
      </c>
      <c r="M262" s="37" t="str">
        <f t="shared" si="51"/>
        <v/>
      </c>
      <c r="N262" s="37" t="str">
        <f>IF($H262="","",IFERROR(INDEX('Risk Library'!$T$5:$Y$411,MATCH($E262,'Risk Library'!$A$5:$A$411,0),$H262+1),""))</f>
        <v/>
      </c>
      <c r="O262" s="37" t="str">
        <f t="shared" si="52"/>
        <v/>
      </c>
      <c r="P262" s="37" t="str">
        <f t="shared" si="53"/>
        <v/>
      </c>
      <c r="Q262" s="37" t="str">
        <f t="shared" si="54"/>
        <v/>
      </c>
      <c r="R262" s="37" t="str">
        <f t="shared" si="55"/>
        <v/>
      </c>
      <c r="S262" s="38" t="str">
        <f t="shared" si="56"/>
        <v/>
      </c>
      <c r="T262" s="36" t="str">
        <f>IF($H262="","",IFERROR(INDEX('Risk Library'!$N$5:$S$411,MATCH($E262,'Risk Library'!$A$5:$A$411,0),$H262+1),""))</f>
        <v/>
      </c>
      <c r="U262" s="37">
        <f>IFERROR('Sales CRM'!$G$23,"")</f>
        <v>4</v>
      </c>
      <c r="V262" s="37">
        <f>IFERROR('Sales CRM'!$W$23,"")</f>
        <v>4</v>
      </c>
      <c r="W262" s="37">
        <f>IFERROR('Sales CRM'!$X$23,"")</f>
        <v>5</v>
      </c>
      <c r="X262" s="37">
        <f>IFERROR('Sales CRM'!$Y$23,"")</f>
        <v>5</v>
      </c>
      <c r="Y262" s="36" t="s">
        <v>4281</v>
      </c>
      <c r="Z262" s="36" t="s">
        <v>4282</v>
      </c>
      <c r="AA262" s="36" t="s">
        <v>4456</v>
      </c>
      <c r="AB262" s="36">
        <f>IFERROR('Sales CRM'!$U$23,"")</f>
        <v>0</v>
      </c>
      <c r="AC262" s="36"/>
      <c r="AD262" s="36"/>
      <c r="AE262" s="36"/>
      <c r="AF262" s="36" t="s">
        <v>4455</v>
      </c>
      <c r="AO262" s="48" t="str">
        <f>IF($B262="Yes",IFERROR(SUMIFS(_TECH_Crisis_Model!$D$5:$D$191,_TECH_Crisis_Model!$A$5:$A$191,'Crisis Simulator'!$B$4,_TECH_Crisis_Model!$B$5:$B$191,$C262),1),"")</f>
        <v/>
      </c>
      <c r="AP262" s="48" t="str">
        <f t="shared" si="57"/>
        <v/>
      </c>
      <c r="AQ262" s="48" t="str">
        <f t="shared" si="58"/>
        <v/>
      </c>
      <c r="AR262" s="48" t="str">
        <f>IFERROR(INDEX(_TECH_Crisis_Model!$E$5:$E$191,MATCH('Crisis Simulator'!$B$4&amp;"|"&amp;$C262,_TECH_Crisis_Model!$I$5:$I$191,0)),"")</f>
        <v>CRM discipline, pipeline visibility and retention actions determine revenue protection.</v>
      </c>
      <c r="AS262" s="48" t="str">
        <f>IFERROR(INDEX(_TECH_Crisis_Model!$G$5:$G$191,MATCH('Crisis Simulator'!$B$4&amp;"|"&amp;$C262,_TECH_Crisis_Model!$I$5:$I$191,0)),"")</f>
        <v>Improve CRM hygiene, retention playbooks, pipeline scenarios and customer segmentation.</v>
      </c>
      <c r="AT262" s="48" t="str">
        <f>IFERROR(INDEX(_TECH_Initiative_Library!$A$5:$A$76,MATCH(1,INDEX((_TECH_Initiative_Library!$B$5:$B$76=$C262)*(_TECH_Initiative_Library!$C$5:$C$76=$D262),0),0)),"")</f>
        <v>INI-044</v>
      </c>
      <c r="AU262" s="48" t="str">
        <f>IFERROR(INDEX(_TECH_Initiative_Library!$F$5:$F$76,MATCH(1,INDEX((_TECH_Initiative_Library!$B$5:$B$76=$C262)*(_TECH_Initiative_Library!$C$5:$C$76=$D262),0),0)),"")</f>
        <v>Strengthen pricing, discounting and revenue-control governance</v>
      </c>
      <c r="AV262" s="48" t="str">
        <f ca="1">IFERROR(INDEX(_TECH_Initiative_Library!$AC$5:$AC$76,MATCH(1,INDEX((_TECH_Initiative_Library!$B$5:$B$76=$C262)*(_TECH_Initiative_Library!$C$5:$C$76=$D262),0),0)),"")</f>
        <v/>
      </c>
      <c r="AW262" s="48" t="str">
        <f ca="1">IFERROR(INDEX(_TECH_Initiative_Library!$AE$5:$AE$76,MATCH(1,INDEX((_TECH_Initiative_Library!$B$5:$B$76=$C262)*(_TECH_Initiative_Library!$C$5:$C$76=$D262),0),0)),"")</f>
        <v/>
      </c>
      <c r="AX262" s="48" t="str">
        <f>IF($B262="Yes",IFERROR(SUMIFS(_TECH_Industry_Templates!$E:$E,_TECH_Industry_Templates!$A:$A,'Company Profile'!$B$9,_TECH_Industry_Templates!$B:$B,$C262),1),"")</f>
        <v/>
      </c>
      <c r="AY262" s="48" t="str">
        <f t="shared" si="59"/>
        <v/>
      </c>
      <c r="AZ262" s="48" t="str">
        <f t="shared" si="60"/>
        <v/>
      </c>
      <c r="BA262" s="48" t="str">
        <f>IF($AZ262="","",RANK.EQ($AZ262,$AZ$8:$AZ$414,0)+COUNTIF($AZ$8:$AZ262,$AZ262)-1)</f>
        <v/>
      </c>
    </row>
    <row r="263" spans="1:53" ht="69.95" customHeight="1">
      <c r="A263" s="36" t="str">
        <f>IF($AZ263="","",RANK.EQ($AZ263,$AZ$8:$AZ$414,0)+COUNTIF($AZ$8:$AZ263,$AZ263)-1)</f>
        <v/>
      </c>
      <c r="B263" s="36" t="str">
        <f t="shared" si="47"/>
        <v/>
      </c>
      <c r="C263" s="36" t="s">
        <v>84</v>
      </c>
      <c r="D263" s="36" t="s">
        <v>1407</v>
      </c>
      <c r="E263" s="36" t="s">
        <v>4464</v>
      </c>
      <c r="F263" s="36" t="s">
        <v>193</v>
      </c>
      <c r="G263" s="36" t="str">
        <f>IF($H263="","",IFERROR(INDEX('Risk Library'!$H$5:$M$411,MATCH($E263,'Risk Library'!$A$5:$A$411,0),$H263+1),""))</f>
        <v/>
      </c>
      <c r="H263" s="37" t="str">
        <f>IF(OR(COUNTA('Sales CRM'!$H$24)=0,'Sales CRM'!$H$24="N/A"),"",VALUE('Sales CRM'!$H$24))</f>
        <v/>
      </c>
      <c r="I263" s="36" t="str">
        <f>IF($H263="","",IFERROR(IF('Sales CRM'!$L$24="",IF($H263&lt;=1,"Critical",IF($H263=2,"High",IF($H263=3,"Medium",IF($H263=4,"Low","Resilient")))),'Sales CRM'!$L$24),IF($H263&lt;=1,"Critical",IF($H263=2,"High",IF($H263=3,"Medium",IF($H263=4,"Low","Resilient"))))))</f>
        <v/>
      </c>
      <c r="J263" s="37" t="str">
        <f t="shared" si="48"/>
        <v/>
      </c>
      <c r="K263" s="37" t="str">
        <f t="shared" si="49"/>
        <v/>
      </c>
      <c r="L263" s="37" t="str">
        <f t="shared" si="50"/>
        <v/>
      </c>
      <c r="M263" s="37" t="str">
        <f t="shared" si="51"/>
        <v/>
      </c>
      <c r="N263" s="37" t="str">
        <f>IF($H263="","",IFERROR(INDEX('Risk Library'!$T$5:$Y$411,MATCH($E263,'Risk Library'!$A$5:$A$411,0),$H263+1),""))</f>
        <v/>
      </c>
      <c r="O263" s="37" t="str">
        <f t="shared" si="52"/>
        <v/>
      </c>
      <c r="P263" s="37" t="str">
        <f t="shared" si="53"/>
        <v/>
      </c>
      <c r="Q263" s="37" t="str">
        <f t="shared" si="54"/>
        <v/>
      </c>
      <c r="R263" s="37" t="str">
        <f t="shared" si="55"/>
        <v/>
      </c>
      <c r="S263" s="38" t="str">
        <f t="shared" si="56"/>
        <v/>
      </c>
      <c r="T263" s="36" t="str">
        <f>IF($H263="","",IFERROR(INDEX('Risk Library'!$N$5:$S$411,MATCH($E263,'Risk Library'!$A$5:$A$411,0),$H263+1),""))</f>
        <v/>
      </c>
      <c r="U263" s="37">
        <f>IFERROR('Sales CRM'!$G$24,"")</f>
        <v>5</v>
      </c>
      <c r="V263" s="37">
        <f>IFERROR('Sales CRM'!$W$24,"")</f>
        <v>4</v>
      </c>
      <c r="W263" s="37">
        <f>IFERROR('Sales CRM'!$X$24,"")</f>
        <v>5</v>
      </c>
      <c r="X263" s="37">
        <f>IFERROR('Sales CRM'!$Y$24,"")</f>
        <v>5</v>
      </c>
      <c r="Y263" s="36" t="s">
        <v>4281</v>
      </c>
      <c r="Z263" s="36" t="s">
        <v>4282</v>
      </c>
      <c r="AA263" s="36" t="s">
        <v>4466</v>
      </c>
      <c r="AB263" s="36">
        <f>IFERROR('Sales CRM'!$U$24,"")</f>
        <v>0</v>
      </c>
      <c r="AC263" s="36"/>
      <c r="AD263" s="36"/>
      <c r="AE263" s="36"/>
      <c r="AF263" s="36" t="s">
        <v>4465</v>
      </c>
      <c r="AO263" s="48" t="str">
        <f>IF($B263="Yes",IFERROR(SUMIFS(_TECH_Crisis_Model!$D$5:$D$191,_TECH_Crisis_Model!$A$5:$A$191,'Crisis Simulator'!$B$4,_TECH_Crisis_Model!$B$5:$B$191,$C263),1),"")</f>
        <v/>
      </c>
      <c r="AP263" s="48" t="str">
        <f t="shared" si="57"/>
        <v/>
      </c>
      <c r="AQ263" s="48" t="str">
        <f t="shared" si="58"/>
        <v/>
      </c>
      <c r="AR263" s="48" t="str">
        <f>IFERROR(INDEX(_TECH_Crisis_Model!$E$5:$E$191,MATCH('Crisis Simulator'!$B$4&amp;"|"&amp;$C263,_TECH_Crisis_Model!$I$5:$I$191,0)),"")</f>
        <v>CRM discipline, pipeline visibility and retention actions determine revenue protection.</v>
      </c>
      <c r="AS263" s="48" t="str">
        <f>IFERROR(INDEX(_TECH_Crisis_Model!$G$5:$G$191,MATCH('Crisis Simulator'!$B$4&amp;"|"&amp;$C263,_TECH_Crisis_Model!$I$5:$I$191,0)),"")</f>
        <v>Improve CRM hygiene, retention playbooks, pipeline scenarios and customer segmentation.</v>
      </c>
      <c r="AT263" s="48" t="str">
        <f>IFERROR(INDEX(_TECH_Initiative_Library!$A$5:$A$76,MATCH(1,INDEX((_TECH_Initiative_Library!$B$5:$B$76=$C263)*(_TECH_Initiative_Library!$C$5:$C$76=$D263),0),0)),"")</f>
        <v>INI-044</v>
      </c>
      <c r="AU263" s="48" t="str">
        <f>IFERROR(INDEX(_TECH_Initiative_Library!$F$5:$F$76,MATCH(1,INDEX((_TECH_Initiative_Library!$B$5:$B$76=$C263)*(_TECH_Initiative_Library!$C$5:$C$76=$D263),0),0)),"")</f>
        <v>Strengthen pricing, discounting and revenue-control governance</v>
      </c>
      <c r="AV263" s="48" t="str">
        <f ca="1">IFERROR(INDEX(_TECH_Initiative_Library!$AC$5:$AC$76,MATCH(1,INDEX((_TECH_Initiative_Library!$B$5:$B$76=$C263)*(_TECH_Initiative_Library!$C$5:$C$76=$D263),0),0)),"")</f>
        <v/>
      </c>
      <c r="AW263" s="48" t="str">
        <f ca="1">IFERROR(INDEX(_TECH_Initiative_Library!$AE$5:$AE$76,MATCH(1,INDEX((_TECH_Initiative_Library!$B$5:$B$76=$C263)*(_TECH_Initiative_Library!$C$5:$C$76=$D263),0),0)),"")</f>
        <v/>
      </c>
      <c r="AX263" s="48" t="str">
        <f>IF($B263="Yes",IFERROR(SUMIFS(_TECH_Industry_Templates!$E:$E,_TECH_Industry_Templates!$A:$A,'Company Profile'!$B$9,_TECH_Industry_Templates!$B:$B,$C263),1),"")</f>
        <v/>
      </c>
      <c r="AY263" s="48" t="str">
        <f t="shared" si="59"/>
        <v/>
      </c>
      <c r="AZ263" s="48" t="str">
        <f t="shared" si="60"/>
        <v/>
      </c>
      <c r="BA263" s="48" t="str">
        <f>IF($AZ263="","",RANK.EQ($AZ263,$AZ$8:$AZ$414,0)+COUNTIF($AZ$8:$AZ263,$AZ263)-1)</f>
        <v/>
      </c>
    </row>
    <row r="264" spans="1:53" ht="69.95" customHeight="1">
      <c r="A264" s="36" t="str">
        <f>IF($AZ264="","",RANK.EQ($AZ264,$AZ$8:$AZ$414,0)+COUNTIF($AZ$8:$AZ264,$AZ264)-1)</f>
        <v/>
      </c>
      <c r="B264" s="36" t="str">
        <f t="shared" ref="B264:B327" si="61">IF($H264="","",IF($H264&lt;5,"Yes","Maintain"))</f>
        <v/>
      </c>
      <c r="C264" s="36" t="s">
        <v>84</v>
      </c>
      <c r="D264" s="36" t="s">
        <v>1407</v>
      </c>
      <c r="E264" s="36" t="s">
        <v>4474</v>
      </c>
      <c r="F264" s="36" t="s">
        <v>193</v>
      </c>
      <c r="G264" s="36" t="str">
        <f>IF($H264="","",IFERROR(INDEX('Risk Library'!$H$5:$M$411,MATCH($E264,'Risk Library'!$A$5:$A$411,0),$H264+1),""))</f>
        <v/>
      </c>
      <c r="H264" s="37" t="str">
        <f>IF(OR(COUNTA('Sales CRM'!$H$25)=0,'Sales CRM'!$H$25="N/A"),"",VALUE('Sales CRM'!$H$25))</f>
        <v/>
      </c>
      <c r="I264" s="36" t="str">
        <f>IF($H264="","",IFERROR(IF('Sales CRM'!$L$25="",IF($H264&lt;=1,"Critical",IF($H264=2,"High",IF($H264=3,"Medium",IF($H264=4,"Low","Resilient")))),'Sales CRM'!$L$25),IF($H264&lt;=1,"Critical",IF($H264=2,"High",IF($H264=3,"Medium",IF($H264=4,"Low","Resilient"))))))</f>
        <v/>
      </c>
      <c r="J264" s="37" t="str">
        <f t="shared" ref="J264:J327" si="62">IF($H264="","",MAX(1,6-$H264))</f>
        <v/>
      </c>
      <c r="K264" s="37" t="str">
        <f t="shared" ref="K264:K327" si="63">IF($H264="","",MAX(1,MIN(5,ROUNDUP(($U264*0.45)+($W264*0.35)+($X264*0.2),0))))</f>
        <v/>
      </c>
      <c r="L264" s="37" t="str">
        <f t="shared" ref="L264:L327" si="64">IF($H264="","",$J264*$K264)</f>
        <v/>
      </c>
      <c r="M264" s="37" t="str">
        <f t="shared" ref="M264:M327" si="65">IF($H264="","",MAX(1,MIN(5,ROUNDUP($L264/5,0))))</f>
        <v/>
      </c>
      <c r="N264" s="37" t="str">
        <f>IF($H264="","",IFERROR(INDEX('Risk Library'!$T$5:$Y$411,MATCH($E264,'Risk Library'!$A$5:$A$411,0),$H264+1),""))</f>
        <v/>
      </c>
      <c r="O264" s="37" t="str">
        <f t="shared" ref="O264:O327" si="66">IF($H264="","",MAX(1,MIN(5,ROUND(($U264+$V264+$X264)/3,0))))</f>
        <v/>
      </c>
      <c r="P264" s="37" t="str">
        <f t="shared" ref="P264:P327" si="67">IF($H264="","",IF($I264="Critical",5,IF($I264="High",4,IF($I264="Medium",3,IF($I264="Low",2,1)))))</f>
        <v/>
      </c>
      <c r="Q264" s="37" t="str">
        <f t="shared" ref="Q264:Q327" si="68">IF($H264="","",MAX(1,MIN(5,ROUNDUP(((5-$H264)*0.65)+($W264*0.35),0))))</f>
        <v/>
      </c>
      <c r="R264" s="37" t="str">
        <f t="shared" ref="R264:R327" si="69">IF($H264="","",MAX(1,MIN(5,ROUND(($V264+$X264)/2,0))))</f>
        <v/>
      </c>
      <c r="S264" s="38" t="str">
        <f t="shared" ref="S264:S327" si="70">IF($H264="","",ROUND(($O264+$P264+$Q264+$R264)/$N264,2))</f>
        <v/>
      </c>
      <c r="T264" s="36" t="str">
        <f>IF($H264="","",IFERROR(INDEX('Risk Library'!$N$5:$S$411,MATCH($E264,'Risk Library'!$A$5:$A$411,0),$H264+1),""))</f>
        <v/>
      </c>
      <c r="U264" s="37">
        <f>IFERROR('Sales CRM'!$G$25,"")</f>
        <v>5</v>
      </c>
      <c r="V264" s="37">
        <f>IFERROR('Sales CRM'!$W$25,"")</f>
        <v>4</v>
      </c>
      <c r="W264" s="37">
        <f>IFERROR('Sales CRM'!$X$25,"")</f>
        <v>5</v>
      </c>
      <c r="X264" s="37">
        <f>IFERROR('Sales CRM'!$Y$25,"")</f>
        <v>5</v>
      </c>
      <c r="Y264" s="36" t="s">
        <v>4281</v>
      </c>
      <c r="Z264" s="36" t="s">
        <v>4282</v>
      </c>
      <c r="AA264" s="36" t="s">
        <v>4476</v>
      </c>
      <c r="AB264" s="36">
        <f>IFERROR('Sales CRM'!$U$25,"")</f>
        <v>0</v>
      </c>
      <c r="AC264" s="36"/>
      <c r="AD264" s="36"/>
      <c r="AE264" s="36"/>
      <c r="AF264" s="36" t="s">
        <v>4475</v>
      </c>
      <c r="AO264" s="48" t="str">
        <f>IF($B264="Yes",IFERROR(SUMIFS(_TECH_Crisis_Model!$D$5:$D$191,_TECH_Crisis_Model!$A$5:$A$191,'Crisis Simulator'!$B$4,_TECH_Crisis_Model!$B$5:$B$191,$C264),1),"")</f>
        <v/>
      </c>
      <c r="AP264" s="48" t="str">
        <f t="shared" ref="AP264:AP327" si="71">IF(AO264="","",ROUND($L264*AO264,1))</f>
        <v/>
      </c>
      <c r="AQ264" s="48" t="str">
        <f t="shared" ref="AQ264:AQ327" si="72">IF(AO264="","",ROUND($S264*(0.7+0.3*AO264),2))</f>
        <v/>
      </c>
      <c r="AR264" s="48" t="str">
        <f>IFERROR(INDEX(_TECH_Crisis_Model!$E$5:$E$191,MATCH('Crisis Simulator'!$B$4&amp;"|"&amp;$C264,_TECH_Crisis_Model!$I$5:$I$191,0)),"")</f>
        <v>CRM discipline, pipeline visibility and retention actions determine revenue protection.</v>
      </c>
      <c r="AS264" s="48" t="str">
        <f>IFERROR(INDEX(_TECH_Crisis_Model!$G$5:$G$191,MATCH('Crisis Simulator'!$B$4&amp;"|"&amp;$C264,_TECH_Crisis_Model!$I$5:$I$191,0)),"")</f>
        <v>Improve CRM hygiene, retention playbooks, pipeline scenarios and customer segmentation.</v>
      </c>
      <c r="AT264" s="48" t="str">
        <f>IFERROR(INDEX(_TECH_Initiative_Library!$A$5:$A$76,MATCH(1,INDEX((_TECH_Initiative_Library!$B$5:$B$76=$C264)*(_TECH_Initiative_Library!$C$5:$C$76=$D264),0),0)),"")</f>
        <v>INI-044</v>
      </c>
      <c r="AU264" s="48" t="str">
        <f>IFERROR(INDEX(_TECH_Initiative_Library!$F$5:$F$76,MATCH(1,INDEX((_TECH_Initiative_Library!$B$5:$B$76=$C264)*(_TECH_Initiative_Library!$C$5:$C$76=$D264),0),0)),"")</f>
        <v>Strengthen pricing, discounting and revenue-control governance</v>
      </c>
      <c r="AV264" s="48" t="str">
        <f ca="1">IFERROR(INDEX(_TECH_Initiative_Library!$AC$5:$AC$76,MATCH(1,INDEX((_TECH_Initiative_Library!$B$5:$B$76=$C264)*(_TECH_Initiative_Library!$C$5:$C$76=$D264),0),0)),"")</f>
        <v/>
      </c>
      <c r="AW264" s="48" t="str">
        <f ca="1">IFERROR(INDEX(_TECH_Initiative_Library!$AE$5:$AE$76,MATCH(1,INDEX((_TECH_Initiative_Library!$B$5:$B$76=$C264)*(_TECH_Initiative_Library!$C$5:$C$76=$D264),0),0)),"")</f>
        <v/>
      </c>
      <c r="AX264" s="48" t="str">
        <f>IF($B264="Yes",IFERROR(SUMIFS(_TECH_Industry_Templates!$E:$E,_TECH_Industry_Templates!$A:$A,'Company Profile'!$B$9,_TECH_Industry_Templates!$B:$B,$C264),1),"")</f>
        <v/>
      </c>
      <c r="AY264" s="48" t="str">
        <f t="shared" ref="AY264:AY327" si="73">IF($L264="","",ROUND(IF($AP264="",$L264,$AP264)*$AX264,2))</f>
        <v/>
      </c>
      <c r="AZ264" s="48" t="str">
        <f t="shared" ref="AZ264:AZ327" si="74">IF($S264="","",ROUND(IF($AQ264="",$S264,$AQ264)*$AX264,2))</f>
        <v/>
      </c>
      <c r="BA264" s="48" t="str">
        <f>IF($AZ264="","",RANK.EQ($AZ264,$AZ$8:$AZ$414,0)+COUNTIF($AZ$8:$AZ264,$AZ264)-1)</f>
        <v/>
      </c>
    </row>
    <row r="265" spans="1:53" ht="69.95" customHeight="1">
      <c r="A265" s="36" t="str">
        <f>IF($AZ265="","",RANK.EQ($AZ265,$AZ$8:$AZ$414,0)+COUNTIF($AZ$8:$AZ265,$AZ265)-1)</f>
        <v/>
      </c>
      <c r="B265" s="36" t="str">
        <f t="shared" si="61"/>
        <v/>
      </c>
      <c r="C265" s="36" t="s">
        <v>87</v>
      </c>
      <c r="D265" s="36" t="s">
        <v>1415</v>
      </c>
      <c r="E265" s="36" t="s">
        <v>4486</v>
      </c>
      <c r="F265" s="36" t="s">
        <v>194</v>
      </c>
      <c r="G265" s="36" t="str">
        <f>IF($H265="","",IFERROR(INDEX('Risk Library'!$H$5:$M$411,MATCH($E265,'Risk Library'!$A$5:$A$411,0),$H265+1),""))</f>
        <v/>
      </c>
      <c r="H265" s="37" t="str">
        <f>IF(OR(COUNTA('Marketing Comms'!$H$5)=0,'Marketing Comms'!$H$5="N/A"),"",VALUE('Marketing Comms'!$H$5))</f>
        <v/>
      </c>
      <c r="I265" s="36" t="str">
        <f>IF($H265="","",IFERROR(IF('Marketing Comms'!$L$5="",IF($H265&lt;=1,"Critical",IF($H265=2,"High",IF($H265=3,"Medium",IF($H265=4,"Low","Resilient")))),'Marketing Comms'!$L$5),IF($H265&lt;=1,"Critical",IF($H265=2,"High",IF($H265=3,"Medium",IF($H265=4,"Low","Resilient"))))))</f>
        <v/>
      </c>
      <c r="J265" s="37" t="str">
        <f t="shared" si="62"/>
        <v/>
      </c>
      <c r="K265" s="37" t="str">
        <f t="shared" si="63"/>
        <v/>
      </c>
      <c r="L265" s="37" t="str">
        <f t="shared" si="64"/>
        <v/>
      </c>
      <c r="M265" s="37" t="str">
        <f t="shared" si="65"/>
        <v/>
      </c>
      <c r="N265" s="37" t="str">
        <f>IF($H265="","",IFERROR(INDEX('Risk Library'!$T$5:$Y$411,MATCH($E265,'Risk Library'!$A$5:$A$411,0),$H265+1),""))</f>
        <v/>
      </c>
      <c r="O265" s="37" t="str">
        <f t="shared" si="66"/>
        <v/>
      </c>
      <c r="P265" s="37" t="str">
        <f t="shared" si="67"/>
        <v/>
      </c>
      <c r="Q265" s="37" t="str">
        <f t="shared" si="68"/>
        <v/>
      </c>
      <c r="R265" s="37" t="str">
        <f t="shared" si="69"/>
        <v/>
      </c>
      <c r="S265" s="38" t="str">
        <f t="shared" si="70"/>
        <v/>
      </c>
      <c r="T265" s="36" t="str">
        <f>IF($H265="","",IFERROR(INDEX('Risk Library'!$N$5:$S$411,MATCH($E265,'Risk Library'!$A$5:$A$411,0),$H265+1),""))</f>
        <v/>
      </c>
      <c r="U265" s="37">
        <f>IFERROR('Marketing Comms'!$G$5,"")</f>
        <v>3</v>
      </c>
      <c r="V265" s="37">
        <f>IFERROR('Marketing Comms'!$W$5,"")</f>
        <v>4</v>
      </c>
      <c r="W265" s="37">
        <f>IFERROR('Marketing Comms'!$X$5,"")</f>
        <v>5</v>
      </c>
      <c r="X265" s="37">
        <f>IFERROR('Marketing Comms'!$Y$5,"")</f>
        <v>5</v>
      </c>
      <c r="Y265" s="36" t="s">
        <v>4497</v>
      </c>
      <c r="Z265" s="36" t="s">
        <v>4498</v>
      </c>
      <c r="AA265" s="36" t="s">
        <v>4490</v>
      </c>
      <c r="AB265" s="36">
        <f>IFERROR('Marketing Comms'!$U$5,"")</f>
        <v>0</v>
      </c>
      <c r="AC265" s="36"/>
      <c r="AD265" s="36"/>
      <c r="AE265" s="36"/>
      <c r="AF265" s="36" t="s">
        <v>4487</v>
      </c>
      <c r="AO265" s="48" t="str">
        <f>IF($B265="Yes",IFERROR(SUMIFS(_TECH_Crisis_Model!$D$5:$D$191,_TECH_Crisis_Model!$A$5:$A$191,'Crisis Simulator'!$B$4,_TECH_Crisis_Model!$B$5:$B$191,$C265),1),"")</f>
        <v/>
      </c>
      <c r="AP265" s="48" t="str">
        <f t="shared" si="71"/>
        <v/>
      </c>
      <c r="AQ265" s="48" t="str">
        <f t="shared" si="72"/>
        <v/>
      </c>
      <c r="AR265" s="48" t="str">
        <f>IFERROR(INDEX(_TECH_Crisis_Model!$E$5:$E$191,MATCH('Crisis Simulator'!$B$4&amp;"|"&amp;$C265,_TECH_Crisis_Model!$I$5:$I$191,0)),"")</f>
        <v>Customer communication and reputation control determine trust during uncertainty.</v>
      </c>
      <c r="AS265" s="48" t="str">
        <f>IFERROR(INDEX(_TECH_Crisis_Model!$G$5:$G$191,MATCH('Crisis Simulator'!$B$4&amp;"|"&amp;$C265,_TECH_Crisis_Model!$I$5:$I$191,0)),"")</f>
        <v>Prepare crisis messages, customer notification templates, comms approval flow and brand monitoring.</v>
      </c>
      <c r="AT265" s="48" t="str">
        <f>IFERROR(INDEX(_TECH_Initiative_Library!$A$5:$A$76,MATCH(1,INDEX((_TECH_Initiative_Library!$B$5:$B$76=$C265)*(_TECH_Initiative_Library!$C$5:$C$76=$D265),0),0)),"")</f>
        <v>INI-045</v>
      </c>
      <c r="AU265" s="48" t="str">
        <f>IFERROR(INDEX(_TECH_Initiative_Library!$F$5:$F$76,MATCH(1,INDEX((_TECH_Initiative_Library!$B$5:$B$76=$C265)*(_TECH_Initiative_Library!$C$5:$C$76=$D265),0),0)),"")</f>
        <v>Build resilient brand presence and digital demand generation</v>
      </c>
      <c r="AV265" s="48" t="str">
        <f ca="1">IFERROR(INDEX(_TECH_Initiative_Library!$AC$5:$AC$76,MATCH(1,INDEX((_TECH_Initiative_Library!$B$5:$B$76=$C265)*(_TECH_Initiative_Library!$C$5:$C$76=$D265),0),0)),"")</f>
        <v/>
      </c>
      <c r="AW265" s="48" t="str">
        <f ca="1">IFERROR(INDEX(_TECH_Initiative_Library!$AE$5:$AE$76,MATCH(1,INDEX((_TECH_Initiative_Library!$B$5:$B$76=$C265)*(_TECH_Initiative_Library!$C$5:$C$76=$D265),0),0)),"")</f>
        <v/>
      </c>
      <c r="AX265" s="48" t="str">
        <f>IF($B265="Yes",IFERROR(SUMIFS(_TECH_Industry_Templates!$E:$E,_TECH_Industry_Templates!$A:$A,'Company Profile'!$B$9,_TECH_Industry_Templates!$B:$B,$C265),1),"")</f>
        <v/>
      </c>
      <c r="AY265" s="48" t="str">
        <f t="shared" si="73"/>
        <v/>
      </c>
      <c r="AZ265" s="48" t="str">
        <f t="shared" si="74"/>
        <v/>
      </c>
      <c r="BA265" s="48" t="str">
        <f>IF($AZ265="","",RANK.EQ($AZ265,$AZ$8:$AZ$414,0)+COUNTIF($AZ$8:$AZ265,$AZ265)-1)</f>
        <v/>
      </c>
    </row>
    <row r="266" spans="1:53" ht="69.95" customHeight="1">
      <c r="A266" s="36" t="str">
        <f>IF($AZ266="","",RANK.EQ($AZ266,$AZ$8:$AZ$414,0)+COUNTIF($AZ$8:$AZ266,$AZ266)-1)</f>
        <v/>
      </c>
      <c r="B266" s="36" t="str">
        <f t="shared" si="61"/>
        <v/>
      </c>
      <c r="C266" s="36" t="s">
        <v>87</v>
      </c>
      <c r="D266" s="36" t="s">
        <v>1415</v>
      </c>
      <c r="E266" s="36" t="s">
        <v>4500</v>
      </c>
      <c r="F266" s="36" t="s">
        <v>194</v>
      </c>
      <c r="G266" s="36" t="str">
        <f>IF($H266="","",IFERROR(INDEX('Risk Library'!$H$5:$M$411,MATCH($E266,'Risk Library'!$A$5:$A$411,0),$H266+1),""))</f>
        <v/>
      </c>
      <c r="H266" s="37" t="str">
        <f>IF(OR(COUNTA('Marketing Comms'!$H$6)=0,'Marketing Comms'!$H$6="N/A"),"",VALUE('Marketing Comms'!$H$6))</f>
        <v/>
      </c>
      <c r="I266" s="36" t="str">
        <f>IF($H266="","",IFERROR(IF('Marketing Comms'!$L$6="",IF($H266&lt;=1,"Critical",IF($H266=2,"High",IF($H266=3,"Medium",IF($H266=4,"Low","Resilient")))),'Marketing Comms'!$L$6),IF($H266&lt;=1,"Critical",IF($H266=2,"High",IF($H266=3,"Medium",IF($H266=4,"Low","Resilient"))))))</f>
        <v/>
      </c>
      <c r="J266" s="37" t="str">
        <f t="shared" si="62"/>
        <v/>
      </c>
      <c r="K266" s="37" t="str">
        <f t="shared" si="63"/>
        <v/>
      </c>
      <c r="L266" s="37" t="str">
        <f t="shared" si="64"/>
        <v/>
      </c>
      <c r="M266" s="37" t="str">
        <f t="shared" si="65"/>
        <v/>
      </c>
      <c r="N266" s="37" t="str">
        <f>IF($H266="","",IFERROR(INDEX('Risk Library'!$T$5:$Y$411,MATCH($E266,'Risk Library'!$A$5:$A$411,0),$H266+1),""))</f>
        <v/>
      </c>
      <c r="O266" s="37" t="str">
        <f t="shared" si="66"/>
        <v/>
      </c>
      <c r="P266" s="37" t="str">
        <f t="shared" si="67"/>
        <v/>
      </c>
      <c r="Q266" s="37" t="str">
        <f t="shared" si="68"/>
        <v/>
      </c>
      <c r="R266" s="37" t="str">
        <f t="shared" si="69"/>
        <v/>
      </c>
      <c r="S266" s="38" t="str">
        <f t="shared" si="70"/>
        <v/>
      </c>
      <c r="T266" s="36" t="str">
        <f>IF($H266="","",IFERROR(INDEX('Risk Library'!$N$5:$S$411,MATCH($E266,'Risk Library'!$A$5:$A$411,0),$H266+1),""))</f>
        <v/>
      </c>
      <c r="U266" s="37">
        <f>IFERROR('Marketing Comms'!$G$6,"")</f>
        <v>5</v>
      </c>
      <c r="V266" s="37">
        <f>IFERROR('Marketing Comms'!$W$6,"")</f>
        <v>4</v>
      </c>
      <c r="W266" s="37">
        <f>IFERROR('Marketing Comms'!$X$6,"")</f>
        <v>5</v>
      </c>
      <c r="X266" s="37">
        <f>IFERROR('Marketing Comms'!$Y$6,"")</f>
        <v>5</v>
      </c>
      <c r="Y266" s="36" t="s">
        <v>4497</v>
      </c>
      <c r="Z266" s="36" t="s">
        <v>4498</v>
      </c>
      <c r="AA266" s="36" t="s">
        <v>4502</v>
      </c>
      <c r="AB266" s="36">
        <f>IFERROR('Marketing Comms'!$U$6,"")</f>
        <v>0</v>
      </c>
      <c r="AC266" s="36"/>
      <c r="AD266" s="36"/>
      <c r="AE266" s="36"/>
      <c r="AF266" s="36" t="s">
        <v>4501</v>
      </c>
      <c r="AO266" s="48" t="str">
        <f>IF($B266="Yes",IFERROR(SUMIFS(_TECH_Crisis_Model!$D$5:$D$191,_TECH_Crisis_Model!$A$5:$A$191,'Crisis Simulator'!$B$4,_TECH_Crisis_Model!$B$5:$B$191,$C266),1),"")</f>
        <v/>
      </c>
      <c r="AP266" s="48" t="str">
        <f t="shared" si="71"/>
        <v/>
      </c>
      <c r="AQ266" s="48" t="str">
        <f t="shared" si="72"/>
        <v/>
      </c>
      <c r="AR266" s="48" t="str">
        <f>IFERROR(INDEX(_TECH_Crisis_Model!$E$5:$E$191,MATCH('Crisis Simulator'!$B$4&amp;"|"&amp;$C266,_TECH_Crisis_Model!$I$5:$I$191,0)),"")</f>
        <v>Customer communication and reputation control determine trust during uncertainty.</v>
      </c>
      <c r="AS266" s="48" t="str">
        <f>IFERROR(INDEX(_TECH_Crisis_Model!$G$5:$G$191,MATCH('Crisis Simulator'!$B$4&amp;"|"&amp;$C266,_TECH_Crisis_Model!$I$5:$I$191,0)),"")</f>
        <v>Prepare crisis messages, customer notification templates, comms approval flow and brand monitoring.</v>
      </c>
      <c r="AT266" s="48" t="str">
        <f>IFERROR(INDEX(_TECH_Initiative_Library!$A$5:$A$76,MATCH(1,INDEX((_TECH_Initiative_Library!$B$5:$B$76=$C266)*(_TECH_Initiative_Library!$C$5:$C$76=$D266),0),0)),"")</f>
        <v>INI-045</v>
      </c>
      <c r="AU266" s="48" t="str">
        <f>IFERROR(INDEX(_TECH_Initiative_Library!$F$5:$F$76,MATCH(1,INDEX((_TECH_Initiative_Library!$B$5:$B$76=$C266)*(_TECH_Initiative_Library!$C$5:$C$76=$D266),0),0)),"")</f>
        <v>Build resilient brand presence and digital demand generation</v>
      </c>
      <c r="AV266" s="48" t="str">
        <f ca="1">IFERROR(INDEX(_TECH_Initiative_Library!$AC$5:$AC$76,MATCH(1,INDEX((_TECH_Initiative_Library!$B$5:$B$76=$C266)*(_TECH_Initiative_Library!$C$5:$C$76=$D266),0),0)),"")</f>
        <v/>
      </c>
      <c r="AW266" s="48" t="str">
        <f ca="1">IFERROR(INDEX(_TECH_Initiative_Library!$AE$5:$AE$76,MATCH(1,INDEX((_TECH_Initiative_Library!$B$5:$B$76=$C266)*(_TECH_Initiative_Library!$C$5:$C$76=$D266),0),0)),"")</f>
        <v/>
      </c>
      <c r="AX266" s="48" t="str">
        <f>IF($B266="Yes",IFERROR(SUMIFS(_TECH_Industry_Templates!$E:$E,_TECH_Industry_Templates!$A:$A,'Company Profile'!$B$9,_TECH_Industry_Templates!$B:$B,$C266),1),"")</f>
        <v/>
      </c>
      <c r="AY266" s="48" t="str">
        <f t="shared" si="73"/>
        <v/>
      </c>
      <c r="AZ266" s="48" t="str">
        <f t="shared" si="74"/>
        <v/>
      </c>
      <c r="BA266" s="48" t="str">
        <f>IF($AZ266="","",RANK.EQ($AZ266,$AZ$8:$AZ$414,0)+COUNTIF($AZ$8:$AZ266,$AZ266)-1)</f>
        <v/>
      </c>
    </row>
    <row r="267" spans="1:53" ht="69.95" customHeight="1">
      <c r="A267" s="36" t="str">
        <f>IF($AZ267="","",RANK.EQ($AZ267,$AZ$8:$AZ$414,0)+COUNTIF($AZ$8:$AZ267,$AZ267)-1)</f>
        <v/>
      </c>
      <c r="B267" s="36" t="str">
        <f t="shared" si="61"/>
        <v/>
      </c>
      <c r="C267" s="36" t="s">
        <v>87</v>
      </c>
      <c r="D267" s="36" t="s">
        <v>1415</v>
      </c>
      <c r="E267" s="36" t="s">
        <v>4510</v>
      </c>
      <c r="F267" s="36" t="s">
        <v>194</v>
      </c>
      <c r="G267" s="36" t="str">
        <f>IF($H267="","",IFERROR(INDEX('Risk Library'!$H$5:$M$411,MATCH($E267,'Risk Library'!$A$5:$A$411,0),$H267+1),""))</f>
        <v/>
      </c>
      <c r="H267" s="37" t="str">
        <f>IF(OR(COUNTA('Marketing Comms'!$H$7)=0,'Marketing Comms'!$H$7="N/A"),"",VALUE('Marketing Comms'!$H$7))</f>
        <v/>
      </c>
      <c r="I267" s="36" t="str">
        <f>IF($H267="","",IFERROR(IF('Marketing Comms'!$L$7="",IF($H267&lt;=1,"Critical",IF($H267=2,"High",IF($H267=3,"Medium",IF($H267=4,"Low","Resilient")))),'Marketing Comms'!$L$7),IF($H267&lt;=1,"Critical",IF($H267=2,"High",IF($H267=3,"Medium",IF($H267=4,"Low","Resilient"))))))</f>
        <v/>
      </c>
      <c r="J267" s="37" t="str">
        <f t="shared" si="62"/>
        <v/>
      </c>
      <c r="K267" s="37" t="str">
        <f t="shared" si="63"/>
        <v/>
      </c>
      <c r="L267" s="37" t="str">
        <f t="shared" si="64"/>
        <v/>
      </c>
      <c r="M267" s="37" t="str">
        <f t="shared" si="65"/>
        <v/>
      </c>
      <c r="N267" s="37" t="str">
        <f>IF($H267="","",IFERROR(INDEX('Risk Library'!$T$5:$Y$411,MATCH($E267,'Risk Library'!$A$5:$A$411,0),$H267+1),""))</f>
        <v/>
      </c>
      <c r="O267" s="37" t="str">
        <f t="shared" si="66"/>
        <v/>
      </c>
      <c r="P267" s="37" t="str">
        <f t="shared" si="67"/>
        <v/>
      </c>
      <c r="Q267" s="37" t="str">
        <f t="shared" si="68"/>
        <v/>
      </c>
      <c r="R267" s="37" t="str">
        <f t="shared" si="69"/>
        <v/>
      </c>
      <c r="S267" s="38" t="str">
        <f t="shared" si="70"/>
        <v/>
      </c>
      <c r="T267" s="36" t="str">
        <f>IF($H267="","",IFERROR(INDEX('Risk Library'!$N$5:$S$411,MATCH($E267,'Risk Library'!$A$5:$A$411,0),$H267+1),""))</f>
        <v/>
      </c>
      <c r="U267" s="37">
        <f>IFERROR('Marketing Comms'!$G$7,"")</f>
        <v>5</v>
      </c>
      <c r="V267" s="37">
        <f>IFERROR('Marketing Comms'!$W$7,"")</f>
        <v>4</v>
      </c>
      <c r="W267" s="37">
        <f>IFERROR('Marketing Comms'!$X$7,"")</f>
        <v>5</v>
      </c>
      <c r="X267" s="37">
        <f>IFERROR('Marketing Comms'!$Y$7,"")</f>
        <v>5</v>
      </c>
      <c r="Y267" s="36" t="s">
        <v>4497</v>
      </c>
      <c r="Z267" s="36" t="s">
        <v>4498</v>
      </c>
      <c r="AA267" s="36" t="s">
        <v>4512</v>
      </c>
      <c r="AB267" s="36">
        <f>IFERROR('Marketing Comms'!$U$7,"")</f>
        <v>0</v>
      </c>
      <c r="AC267" s="36"/>
      <c r="AD267" s="36"/>
      <c r="AE267" s="36"/>
      <c r="AF267" s="36" t="s">
        <v>4511</v>
      </c>
      <c r="AO267" s="48" t="str">
        <f>IF($B267="Yes",IFERROR(SUMIFS(_TECH_Crisis_Model!$D$5:$D$191,_TECH_Crisis_Model!$A$5:$A$191,'Crisis Simulator'!$B$4,_TECH_Crisis_Model!$B$5:$B$191,$C267),1),"")</f>
        <v/>
      </c>
      <c r="AP267" s="48" t="str">
        <f t="shared" si="71"/>
        <v/>
      </c>
      <c r="AQ267" s="48" t="str">
        <f t="shared" si="72"/>
        <v/>
      </c>
      <c r="AR267" s="48" t="str">
        <f>IFERROR(INDEX(_TECH_Crisis_Model!$E$5:$E$191,MATCH('Crisis Simulator'!$B$4&amp;"|"&amp;$C267,_TECH_Crisis_Model!$I$5:$I$191,0)),"")</f>
        <v>Customer communication and reputation control determine trust during uncertainty.</v>
      </c>
      <c r="AS267" s="48" t="str">
        <f>IFERROR(INDEX(_TECH_Crisis_Model!$G$5:$G$191,MATCH('Crisis Simulator'!$B$4&amp;"|"&amp;$C267,_TECH_Crisis_Model!$I$5:$I$191,0)),"")</f>
        <v>Prepare crisis messages, customer notification templates, comms approval flow and brand monitoring.</v>
      </c>
      <c r="AT267" s="48" t="str">
        <f>IFERROR(INDEX(_TECH_Initiative_Library!$A$5:$A$76,MATCH(1,INDEX((_TECH_Initiative_Library!$B$5:$B$76=$C267)*(_TECH_Initiative_Library!$C$5:$C$76=$D267),0),0)),"")</f>
        <v>INI-045</v>
      </c>
      <c r="AU267" s="48" t="str">
        <f>IFERROR(INDEX(_TECH_Initiative_Library!$F$5:$F$76,MATCH(1,INDEX((_TECH_Initiative_Library!$B$5:$B$76=$C267)*(_TECH_Initiative_Library!$C$5:$C$76=$D267),0),0)),"")</f>
        <v>Build resilient brand presence and digital demand generation</v>
      </c>
      <c r="AV267" s="48" t="str">
        <f ca="1">IFERROR(INDEX(_TECH_Initiative_Library!$AC$5:$AC$76,MATCH(1,INDEX((_TECH_Initiative_Library!$B$5:$B$76=$C267)*(_TECH_Initiative_Library!$C$5:$C$76=$D267),0),0)),"")</f>
        <v/>
      </c>
      <c r="AW267" s="48" t="str">
        <f ca="1">IFERROR(INDEX(_TECH_Initiative_Library!$AE$5:$AE$76,MATCH(1,INDEX((_TECH_Initiative_Library!$B$5:$B$76=$C267)*(_TECH_Initiative_Library!$C$5:$C$76=$D267),0),0)),"")</f>
        <v/>
      </c>
      <c r="AX267" s="48" t="str">
        <f>IF($B267="Yes",IFERROR(SUMIFS(_TECH_Industry_Templates!$E:$E,_TECH_Industry_Templates!$A:$A,'Company Profile'!$B$9,_TECH_Industry_Templates!$B:$B,$C267),1),"")</f>
        <v/>
      </c>
      <c r="AY267" s="48" t="str">
        <f t="shared" si="73"/>
        <v/>
      </c>
      <c r="AZ267" s="48" t="str">
        <f t="shared" si="74"/>
        <v/>
      </c>
      <c r="BA267" s="48" t="str">
        <f>IF($AZ267="","",RANK.EQ($AZ267,$AZ$8:$AZ$414,0)+COUNTIF($AZ$8:$AZ267,$AZ267)-1)</f>
        <v/>
      </c>
    </row>
    <row r="268" spans="1:53" ht="69.95" customHeight="1">
      <c r="A268" s="36" t="str">
        <f>IF($AZ268="","",RANK.EQ($AZ268,$AZ$8:$AZ$414,0)+COUNTIF($AZ$8:$AZ268,$AZ268)-1)</f>
        <v/>
      </c>
      <c r="B268" s="36" t="str">
        <f t="shared" si="61"/>
        <v/>
      </c>
      <c r="C268" s="36" t="s">
        <v>87</v>
      </c>
      <c r="D268" s="36" t="s">
        <v>1415</v>
      </c>
      <c r="E268" s="36" t="s">
        <v>4520</v>
      </c>
      <c r="F268" s="36" t="s">
        <v>194</v>
      </c>
      <c r="G268" s="36" t="str">
        <f>IF($H268="","",IFERROR(INDEX('Risk Library'!$H$5:$M$411,MATCH($E268,'Risk Library'!$A$5:$A$411,0),$H268+1),""))</f>
        <v/>
      </c>
      <c r="H268" s="37" t="str">
        <f>IF(OR(COUNTA('Marketing Comms'!$H$8)=0,'Marketing Comms'!$H$8="N/A"),"",VALUE('Marketing Comms'!$H$8))</f>
        <v/>
      </c>
      <c r="I268" s="36" t="str">
        <f>IF($H268="","",IFERROR(IF('Marketing Comms'!$L$8="",IF($H268&lt;=1,"Critical",IF($H268=2,"High",IF($H268=3,"Medium",IF($H268=4,"Low","Resilient")))),'Marketing Comms'!$L$8),IF($H268&lt;=1,"Critical",IF($H268=2,"High",IF($H268=3,"Medium",IF($H268=4,"Low","Resilient"))))))</f>
        <v/>
      </c>
      <c r="J268" s="37" t="str">
        <f t="shared" si="62"/>
        <v/>
      </c>
      <c r="K268" s="37" t="str">
        <f t="shared" si="63"/>
        <v/>
      </c>
      <c r="L268" s="37" t="str">
        <f t="shared" si="64"/>
        <v/>
      </c>
      <c r="M268" s="37" t="str">
        <f t="shared" si="65"/>
        <v/>
      </c>
      <c r="N268" s="37" t="str">
        <f>IF($H268="","",IFERROR(INDEX('Risk Library'!$T$5:$Y$411,MATCH($E268,'Risk Library'!$A$5:$A$411,0),$H268+1),""))</f>
        <v/>
      </c>
      <c r="O268" s="37" t="str">
        <f t="shared" si="66"/>
        <v/>
      </c>
      <c r="P268" s="37" t="str">
        <f t="shared" si="67"/>
        <v/>
      </c>
      <c r="Q268" s="37" t="str">
        <f t="shared" si="68"/>
        <v/>
      </c>
      <c r="R268" s="37" t="str">
        <f t="shared" si="69"/>
        <v/>
      </c>
      <c r="S268" s="38" t="str">
        <f t="shared" si="70"/>
        <v/>
      </c>
      <c r="T268" s="36" t="str">
        <f>IF($H268="","",IFERROR(INDEX('Risk Library'!$N$5:$S$411,MATCH($E268,'Risk Library'!$A$5:$A$411,0),$H268+1),""))</f>
        <v/>
      </c>
      <c r="U268" s="37">
        <f>IFERROR('Marketing Comms'!$G$8,"")</f>
        <v>3</v>
      </c>
      <c r="V268" s="37">
        <f>IFERROR('Marketing Comms'!$W$8,"")</f>
        <v>4</v>
      </c>
      <c r="W268" s="37">
        <f>IFERROR('Marketing Comms'!$X$8,"")</f>
        <v>5</v>
      </c>
      <c r="X268" s="37">
        <f>IFERROR('Marketing Comms'!$Y$8,"")</f>
        <v>5</v>
      </c>
      <c r="Y268" s="36" t="s">
        <v>4497</v>
      </c>
      <c r="Z268" s="36" t="s">
        <v>4498</v>
      </c>
      <c r="AA268" s="36" t="s">
        <v>4522</v>
      </c>
      <c r="AB268" s="36">
        <f>IFERROR('Marketing Comms'!$U$8,"")</f>
        <v>0</v>
      </c>
      <c r="AC268" s="36"/>
      <c r="AD268" s="36"/>
      <c r="AE268" s="36"/>
      <c r="AF268" s="36" t="s">
        <v>4521</v>
      </c>
      <c r="AO268" s="48" t="str">
        <f>IF($B268="Yes",IFERROR(SUMIFS(_TECH_Crisis_Model!$D$5:$D$191,_TECH_Crisis_Model!$A$5:$A$191,'Crisis Simulator'!$B$4,_TECH_Crisis_Model!$B$5:$B$191,$C268),1),"")</f>
        <v/>
      </c>
      <c r="AP268" s="48" t="str">
        <f t="shared" si="71"/>
        <v/>
      </c>
      <c r="AQ268" s="48" t="str">
        <f t="shared" si="72"/>
        <v/>
      </c>
      <c r="AR268" s="48" t="str">
        <f>IFERROR(INDEX(_TECH_Crisis_Model!$E$5:$E$191,MATCH('Crisis Simulator'!$B$4&amp;"|"&amp;$C268,_TECH_Crisis_Model!$I$5:$I$191,0)),"")</f>
        <v>Customer communication and reputation control determine trust during uncertainty.</v>
      </c>
      <c r="AS268" s="48" t="str">
        <f>IFERROR(INDEX(_TECH_Crisis_Model!$G$5:$G$191,MATCH('Crisis Simulator'!$B$4&amp;"|"&amp;$C268,_TECH_Crisis_Model!$I$5:$I$191,0)),"")</f>
        <v>Prepare crisis messages, customer notification templates, comms approval flow and brand monitoring.</v>
      </c>
      <c r="AT268" s="48" t="str">
        <f>IFERROR(INDEX(_TECH_Initiative_Library!$A$5:$A$76,MATCH(1,INDEX((_TECH_Initiative_Library!$B$5:$B$76=$C268)*(_TECH_Initiative_Library!$C$5:$C$76=$D268),0),0)),"")</f>
        <v>INI-045</v>
      </c>
      <c r="AU268" s="48" t="str">
        <f>IFERROR(INDEX(_TECH_Initiative_Library!$F$5:$F$76,MATCH(1,INDEX((_TECH_Initiative_Library!$B$5:$B$76=$C268)*(_TECH_Initiative_Library!$C$5:$C$76=$D268),0),0)),"")</f>
        <v>Build resilient brand presence and digital demand generation</v>
      </c>
      <c r="AV268" s="48" t="str">
        <f ca="1">IFERROR(INDEX(_TECH_Initiative_Library!$AC$5:$AC$76,MATCH(1,INDEX((_TECH_Initiative_Library!$B$5:$B$76=$C268)*(_TECH_Initiative_Library!$C$5:$C$76=$D268),0),0)),"")</f>
        <v/>
      </c>
      <c r="AW268" s="48" t="str">
        <f ca="1">IFERROR(INDEX(_TECH_Initiative_Library!$AE$5:$AE$76,MATCH(1,INDEX((_TECH_Initiative_Library!$B$5:$B$76=$C268)*(_TECH_Initiative_Library!$C$5:$C$76=$D268),0),0)),"")</f>
        <v/>
      </c>
      <c r="AX268" s="48" t="str">
        <f>IF($B268="Yes",IFERROR(SUMIFS(_TECH_Industry_Templates!$E:$E,_TECH_Industry_Templates!$A:$A,'Company Profile'!$B$9,_TECH_Industry_Templates!$B:$B,$C268),1),"")</f>
        <v/>
      </c>
      <c r="AY268" s="48" t="str">
        <f t="shared" si="73"/>
        <v/>
      </c>
      <c r="AZ268" s="48" t="str">
        <f t="shared" si="74"/>
        <v/>
      </c>
      <c r="BA268" s="48" t="str">
        <f>IF($AZ268="","",RANK.EQ($AZ268,$AZ$8:$AZ$414,0)+COUNTIF($AZ$8:$AZ268,$AZ268)-1)</f>
        <v/>
      </c>
    </row>
    <row r="269" spans="1:53" ht="69.95" customHeight="1">
      <c r="A269" s="36" t="str">
        <f>IF($AZ269="","",RANK.EQ($AZ269,$AZ$8:$AZ$414,0)+COUNTIF($AZ$8:$AZ269,$AZ269)-1)</f>
        <v/>
      </c>
      <c r="B269" s="36" t="str">
        <f t="shared" si="61"/>
        <v/>
      </c>
      <c r="C269" s="36" t="s">
        <v>87</v>
      </c>
      <c r="D269" s="36" t="s">
        <v>1415</v>
      </c>
      <c r="E269" s="36" t="s">
        <v>4530</v>
      </c>
      <c r="F269" s="36" t="s">
        <v>194</v>
      </c>
      <c r="G269" s="36" t="str">
        <f>IF($H269="","",IFERROR(INDEX('Risk Library'!$H$5:$M$411,MATCH($E269,'Risk Library'!$A$5:$A$411,0),$H269+1),""))</f>
        <v/>
      </c>
      <c r="H269" s="37" t="str">
        <f>IF(OR(COUNTA('Marketing Comms'!$H$9)=0,'Marketing Comms'!$H$9="N/A"),"",VALUE('Marketing Comms'!$H$9))</f>
        <v/>
      </c>
      <c r="I269" s="36" t="str">
        <f>IF($H269="","",IFERROR(IF('Marketing Comms'!$L$9="",IF($H269&lt;=1,"Critical",IF($H269=2,"High",IF($H269=3,"Medium",IF($H269=4,"Low","Resilient")))),'Marketing Comms'!$L$9),IF($H269&lt;=1,"Critical",IF($H269=2,"High",IF($H269=3,"Medium",IF($H269=4,"Low","Resilient"))))))</f>
        <v/>
      </c>
      <c r="J269" s="37" t="str">
        <f t="shared" si="62"/>
        <v/>
      </c>
      <c r="K269" s="37" t="str">
        <f t="shared" si="63"/>
        <v/>
      </c>
      <c r="L269" s="37" t="str">
        <f t="shared" si="64"/>
        <v/>
      </c>
      <c r="M269" s="37" t="str">
        <f t="shared" si="65"/>
        <v/>
      </c>
      <c r="N269" s="37" t="str">
        <f>IF($H269="","",IFERROR(INDEX('Risk Library'!$T$5:$Y$411,MATCH($E269,'Risk Library'!$A$5:$A$411,0),$H269+1),""))</f>
        <v/>
      </c>
      <c r="O269" s="37" t="str">
        <f t="shared" si="66"/>
        <v/>
      </c>
      <c r="P269" s="37" t="str">
        <f t="shared" si="67"/>
        <v/>
      </c>
      <c r="Q269" s="37" t="str">
        <f t="shared" si="68"/>
        <v/>
      </c>
      <c r="R269" s="37" t="str">
        <f t="shared" si="69"/>
        <v/>
      </c>
      <c r="S269" s="38" t="str">
        <f t="shared" si="70"/>
        <v/>
      </c>
      <c r="T269" s="36" t="str">
        <f>IF($H269="","",IFERROR(INDEX('Risk Library'!$N$5:$S$411,MATCH($E269,'Risk Library'!$A$5:$A$411,0),$H269+1),""))</f>
        <v/>
      </c>
      <c r="U269" s="37">
        <f>IFERROR('Marketing Comms'!$G$9,"")</f>
        <v>3</v>
      </c>
      <c r="V269" s="37">
        <f>IFERROR('Marketing Comms'!$W$9,"")</f>
        <v>4</v>
      </c>
      <c r="W269" s="37">
        <f>IFERROR('Marketing Comms'!$X$9,"")</f>
        <v>5</v>
      </c>
      <c r="X269" s="37">
        <f>IFERROR('Marketing Comms'!$Y$9,"")</f>
        <v>5</v>
      </c>
      <c r="Y269" s="36" t="s">
        <v>4497</v>
      </c>
      <c r="Z269" s="36" t="s">
        <v>4498</v>
      </c>
      <c r="AA269" s="36" t="s">
        <v>4532</v>
      </c>
      <c r="AB269" s="36">
        <f>IFERROR('Marketing Comms'!$U$9,"")</f>
        <v>0</v>
      </c>
      <c r="AC269" s="36"/>
      <c r="AD269" s="36"/>
      <c r="AE269" s="36"/>
      <c r="AF269" s="36" t="s">
        <v>4531</v>
      </c>
      <c r="AO269" s="48" t="str">
        <f>IF($B269="Yes",IFERROR(SUMIFS(_TECH_Crisis_Model!$D$5:$D$191,_TECH_Crisis_Model!$A$5:$A$191,'Crisis Simulator'!$B$4,_TECH_Crisis_Model!$B$5:$B$191,$C269),1),"")</f>
        <v/>
      </c>
      <c r="AP269" s="48" t="str">
        <f t="shared" si="71"/>
        <v/>
      </c>
      <c r="AQ269" s="48" t="str">
        <f t="shared" si="72"/>
        <v/>
      </c>
      <c r="AR269" s="48" t="str">
        <f>IFERROR(INDEX(_TECH_Crisis_Model!$E$5:$E$191,MATCH('Crisis Simulator'!$B$4&amp;"|"&amp;$C269,_TECH_Crisis_Model!$I$5:$I$191,0)),"")</f>
        <v>Customer communication and reputation control determine trust during uncertainty.</v>
      </c>
      <c r="AS269" s="48" t="str">
        <f>IFERROR(INDEX(_TECH_Crisis_Model!$G$5:$G$191,MATCH('Crisis Simulator'!$B$4&amp;"|"&amp;$C269,_TECH_Crisis_Model!$I$5:$I$191,0)),"")</f>
        <v>Prepare crisis messages, customer notification templates, comms approval flow and brand monitoring.</v>
      </c>
      <c r="AT269" s="48" t="str">
        <f>IFERROR(INDEX(_TECH_Initiative_Library!$A$5:$A$76,MATCH(1,INDEX((_TECH_Initiative_Library!$B$5:$B$76=$C269)*(_TECH_Initiative_Library!$C$5:$C$76=$D269),0),0)),"")</f>
        <v>INI-045</v>
      </c>
      <c r="AU269" s="48" t="str">
        <f>IFERROR(INDEX(_TECH_Initiative_Library!$F$5:$F$76,MATCH(1,INDEX((_TECH_Initiative_Library!$B$5:$B$76=$C269)*(_TECH_Initiative_Library!$C$5:$C$76=$D269),0),0)),"")</f>
        <v>Build resilient brand presence and digital demand generation</v>
      </c>
      <c r="AV269" s="48" t="str">
        <f ca="1">IFERROR(INDEX(_TECH_Initiative_Library!$AC$5:$AC$76,MATCH(1,INDEX((_TECH_Initiative_Library!$B$5:$B$76=$C269)*(_TECH_Initiative_Library!$C$5:$C$76=$D269),0),0)),"")</f>
        <v/>
      </c>
      <c r="AW269" s="48" t="str">
        <f ca="1">IFERROR(INDEX(_TECH_Initiative_Library!$AE$5:$AE$76,MATCH(1,INDEX((_TECH_Initiative_Library!$B$5:$B$76=$C269)*(_TECH_Initiative_Library!$C$5:$C$76=$D269),0),0)),"")</f>
        <v/>
      </c>
      <c r="AX269" s="48" t="str">
        <f>IF($B269="Yes",IFERROR(SUMIFS(_TECH_Industry_Templates!$E:$E,_TECH_Industry_Templates!$A:$A,'Company Profile'!$B$9,_TECH_Industry_Templates!$B:$B,$C269),1),"")</f>
        <v/>
      </c>
      <c r="AY269" s="48" t="str">
        <f t="shared" si="73"/>
        <v/>
      </c>
      <c r="AZ269" s="48" t="str">
        <f t="shared" si="74"/>
        <v/>
      </c>
      <c r="BA269" s="48" t="str">
        <f>IF($AZ269="","",RANK.EQ($AZ269,$AZ$8:$AZ$414,0)+COUNTIF($AZ$8:$AZ269,$AZ269)-1)</f>
        <v/>
      </c>
    </row>
    <row r="270" spans="1:53" ht="69.95" customHeight="1">
      <c r="A270" s="36" t="str">
        <f>IF($AZ270="","",RANK.EQ($AZ270,$AZ$8:$AZ$414,0)+COUNTIF($AZ$8:$AZ270,$AZ270)-1)</f>
        <v/>
      </c>
      <c r="B270" s="36" t="str">
        <f t="shared" si="61"/>
        <v/>
      </c>
      <c r="C270" s="36" t="s">
        <v>87</v>
      </c>
      <c r="D270" s="36" t="s">
        <v>1425</v>
      </c>
      <c r="E270" s="36" t="s">
        <v>4540</v>
      </c>
      <c r="F270" s="36" t="s">
        <v>194</v>
      </c>
      <c r="G270" s="36" t="str">
        <f>IF($H270="","",IFERROR(INDEX('Risk Library'!$H$5:$M$411,MATCH($E270,'Risk Library'!$A$5:$A$411,0),$H270+1),""))</f>
        <v/>
      </c>
      <c r="H270" s="37" t="str">
        <f>IF(OR(COUNTA('Marketing Comms'!$H$10)=0,'Marketing Comms'!$H$10="N/A"),"",VALUE('Marketing Comms'!$H$10))</f>
        <v/>
      </c>
      <c r="I270" s="36" t="str">
        <f>IF($H270="","",IFERROR(IF('Marketing Comms'!$L$10="",IF($H270&lt;=1,"Critical",IF($H270=2,"High",IF($H270=3,"Medium",IF($H270=4,"Low","Resilient")))),'Marketing Comms'!$L$10),IF($H270&lt;=1,"Critical",IF($H270=2,"High",IF($H270=3,"Medium",IF($H270=4,"Low","Resilient"))))))</f>
        <v/>
      </c>
      <c r="J270" s="37" t="str">
        <f t="shared" si="62"/>
        <v/>
      </c>
      <c r="K270" s="37" t="str">
        <f t="shared" si="63"/>
        <v/>
      </c>
      <c r="L270" s="37" t="str">
        <f t="shared" si="64"/>
        <v/>
      </c>
      <c r="M270" s="37" t="str">
        <f t="shared" si="65"/>
        <v/>
      </c>
      <c r="N270" s="37" t="str">
        <f>IF($H270="","",IFERROR(INDEX('Risk Library'!$T$5:$Y$411,MATCH($E270,'Risk Library'!$A$5:$A$411,0),$H270+1),""))</f>
        <v/>
      </c>
      <c r="O270" s="37" t="str">
        <f t="shared" si="66"/>
        <v/>
      </c>
      <c r="P270" s="37" t="str">
        <f t="shared" si="67"/>
        <v/>
      </c>
      <c r="Q270" s="37" t="str">
        <f t="shared" si="68"/>
        <v/>
      </c>
      <c r="R270" s="37" t="str">
        <f t="shared" si="69"/>
        <v/>
      </c>
      <c r="S270" s="38" t="str">
        <f t="shared" si="70"/>
        <v/>
      </c>
      <c r="T270" s="36" t="str">
        <f>IF($H270="","",IFERROR(INDEX('Risk Library'!$N$5:$S$411,MATCH($E270,'Risk Library'!$A$5:$A$411,0),$H270+1),""))</f>
        <v/>
      </c>
      <c r="U270" s="37">
        <f>IFERROR('Marketing Comms'!$G$10,"")</f>
        <v>5</v>
      </c>
      <c r="V270" s="37">
        <f>IFERROR('Marketing Comms'!$W$10,"")</f>
        <v>4</v>
      </c>
      <c r="W270" s="37">
        <f>IFERROR('Marketing Comms'!$X$10,"")</f>
        <v>5</v>
      </c>
      <c r="X270" s="37">
        <f>IFERROR('Marketing Comms'!$Y$10,"")</f>
        <v>5</v>
      </c>
      <c r="Y270" s="36" t="s">
        <v>4497</v>
      </c>
      <c r="Z270" s="36" t="s">
        <v>4498</v>
      </c>
      <c r="AA270" s="36" t="s">
        <v>4542</v>
      </c>
      <c r="AB270" s="36">
        <f>IFERROR('Marketing Comms'!$U$10,"")</f>
        <v>0</v>
      </c>
      <c r="AC270" s="36"/>
      <c r="AD270" s="36"/>
      <c r="AE270" s="36"/>
      <c r="AF270" s="36" t="s">
        <v>4541</v>
      </c>
      <c r="AO270" s="48" t="str">
        <f>IF($B270="Yes",IFERROR(SUMIFS(_TECH_Crisis_Model!$D$5:$D$191,_TECH_Crisis_Model!$A$5:$A$191,'Crisis Simulator'!$B$4,_TECH_Crisis_Model!$B$5:$B$191,$C270),1),"")</f>
        <v/>
      </c>
      <c r="AP270" s="48" t="str">
        <f t="shared" si="71"/>
        <v/>
      </c>
      <c r="AQ270" s="48" t="str">
        <f t="shared" si="72"/>
        <v/>
      </c>
      <c r="AR270" s="48" t="str">
        <f>IFERROR(INDEX(_TECH_Crisis_Model!$E$5:$E$191,MATCH('Crisis Simulator'!$B$4&amp;"|"&amp;$C270,_TECH_Crisis_Model!$I$5:$I$191,0)),"")</f>
        <v>Customer communication and reputation control determine trust during uncertainty.</v>
      </c>
      <c r="AS270" s="48" t="str">
        <f>IFERROR(INDEX(_TECH_Crisis_Model!$G$5:$G$191,MATCH('Crisis Simulator'!$B$4&amp;"|"&amp;$C270,_TECH_Crisis_Model!$I$5:$I$191,0)),"")</f>
        <v>Prepare crisis messages, customer notification templates, comms approval flow and brand monitoring.</v>
      </c>
      <c r="AT270" s="48" t="str">
        <f>IFERROR(INDEX(_TECH_Initiative_Library!$A$5:$A$76,MATCH(1,INDEX((_TECH_Initiative_Library!$B$5:$B$76=$C270)*(_TECH_Initiative_Library!$C$5:$C$76=$D270),0),0)),"")</f>
        <v>INI-046</v>
      </c>
      <c r="AU270" s="48" t="str">
        <f>IFERROR(INDEX(_TECH_Initiative_Library!$F$5:$F$76,MATCH(1,INDEX((_TECH_Initiative_Library!$B$5:$B$76=$C270)*(_TECH_Initiative_Library!$C$5:$C$76=$D270),0),0)),"")</f>
        <v>Prepare crisis communication playbooks and customer notification flows</v>
      </c>
      <c r="AV270" s="48" t="str">
        <f ca="1">IFERROR(INDEX(_TECH_Initiative_Library!$AC$5:$AC$76,MATCH(1,INDEX((_TECH_Initiative_Library!$B$5:$B$76=$C270)*(_TECH_Initiative_Library!$C$5:$C$76=$D270),0),0)),"")</f>
        <v/>
      </c>
      <c r="AW270" s="48" t="str">
        <f ca="1">IFERROR(INDEX(_TECH_Initiative_Library!$AE$5:$AE$76,MATCH(1,INDEX((_TECH_Initiative_Library!$B$5:$B$76=$C270)*(_TECH_Initiative_Library!$C$5:$C$76=$D270),0),0)),"")</f>
        <v/>
      </c>
      <c r="AX270" s="48" t="str">
        <f>IF($B270="Yes",IFERROR(SUMIFS(_TECH_Industry_Templates!$E:$E,_TECH_Industry_Templates!$A:$A,'Company Profile'!$B$9,_TECH_Industry_Templates!$B:$B,$C270),1),"")</f>
        <v/>
      </c>
      <c r="AY270" s="48" t="str">
        <f t="shared" si="73"/>
        <v/>
      </c>
      <c r="AZ270" s="48" t="str">
        <f t="shared" si="74"/>
        <v/>
      </c>
      <c r="BA270" s="48" t="str">
        <f>IF($AZ270="","",RANK.EQ($AZ270,$AZ$8:$AZ$414,0)+COUNTIF($AZ$8:$AZ270,$AZ270)-1)</f>
        <v/>
      </c>
    </row>
    <row r="271" spans="1:53" ht="69.95" customHeight="1">
      <c r="A271" s="36" t="str">
        <f>IF($AZ271="","",RANK.EQ($AZ271,$AZ$8:$AZ$414,0)+COUNTIF($AZ$8:$AZ271,$AZ271)-1)</f>
        <v/>
      </c>
      <c r="B271" s="36" t="str">
        <f t="shared" si="61"/>
        <v/>
      </c>
      <c r="C271" s="36" t="s">
        <v>87</v>
      </c>
      <c r="D271" s="36" t="s">
        <v>1425</v>
      </c>
      <c r="E271" s="36" t="s">
        <v>4550</v>
      </c>
      <c r="F271" s="36" t="s">
        <v>194</v>
      </c>
      <c r="G271" s="36" t="str">
        <f>IF($H271="","",IFERROR(INDEX('Risk Library'!$H$5:$M$411,MATCH($E271,'Risk Library'!$A$5:$A$411,0),$H271+1),""))</f>
        <v/>
      </c>
      <c r="H271" s="37" t="str">
        <f>IF(OR(COUNTA('Marketing Comms'!$H$11)=0,'Marketing Comms'!$H$11="N/A"),"",VALUE('Marketing Comms'!$H$11))</f>
        <v/>
      </c>
      <c r="I271" s="36" t="str">
        <f>IF($H271="","",IFERROR(IF('Marketing Comms'!$L$11="",IF($H271&lt;=1,"Critical",IF($H271=2,"High",IF($H271=3,"Medium",IF($H271=4,"Low","Resilient")))),'Marketing Comms'!$L$11),IF($H271&lt;=1,"Critical",IF($H271=2,"High",IF($H271=3,"Medium",IF($H271=4,"Low","Resilient"))))))</f>
        <v/>
      </c>
      <c r="J271" s="37" t="str">
        <f t="shared" si="62"/>
        <v/>
      </c>
      <c r="K271" s="37" t="str">
        <f t="shared" si="63"/>
        <v/>
      </c>
      <c r="L271" s="37" t="str">
        <f t="shared" si="64"/>
        <v/>
      </c>
      <c r="M271" s="37" t="str">
        <f t="shared" si="65"/>
        <v/>
      </c>
      <c r="N271" s="37" t="str">
        <f>IF($H271="","",IFERROR(INDEX('Risk Library'!$T$5:$Y$411,MATCH($E271,'Risk Library'!$A$5:$A$411,0),$H271+1),""))</f>
        <v/>
      </c>
      <c r="O271" s="37" t="str">
        <f t="shared" si="66"/>
        <v/>
      </c>
      <c r="P271" s="37" t="str">
        <f t="shared" si="67"/>
        <v/>
      </c>
      <c r="Q271" s="37" t="str">
        <f t="shared" si="68"/>
        <v/>
      </c>
      <c r="R271" s="37" t="str">
        <f t="shared" si="69"/>
        <v/>
      </c>
      <c r="S271" s="38" t="str">
        <f t="shared" si="70"/>
        <v/>
      </c>
      <c r="T271" s="36" t="str">
        <f>IF($H271="","",IFERROR(INDEX('Risk Library'!$N$5:$S$411,MATCH($E271,'Risk Library'!$A$5:$A$411,0),$H271+1),""))</f>
        <v/>
      </c>
      <c r="U271" s="37">
        <f>IFERROR('Marketing Comms'!$G$11,"")</f>
        <v>5</v>
      </c>
      <c r="V271" s="37">
        <f>IFERROR('Marketing Comms'!$W$11,"")</f>
        <v>5</v>
      </c>
      <c r="W271" s="37">
        <f>IFERROR('Marketing Comms'!$X$11,"")</f>
        <v>5</v>
      </c>
      <c r="X271" s="37">
        <f>IFERROR('Marketing Comms'!$Y$11,"")</f>
        <v>5</v>
      </c>
      <c r="Y271" s="36" t="s">
        <v>4497</v>
      </c>
      <c r="Z271" s="36" t="s">
        <v>4498</v>
      </c>
      <c r="AA271" s="36" t="s">
        <v>4552</v>
      </c>
      <c r="AB271" s="36">
        <f>IFERROR('Marketing Comms'!$U$11,"")</f>
        <v>0</v>
      </c>
      <c r="AC271" s="36"/>
      <c r="AD271" s="36"/>
      <c r="AE271" s="36"/>
      <c r="AF271" s="36" t="s">
        <v>4551</v>
      </c>
      <c r="AO271" s="48" t="str">
        <f>IF($B271="Yes",IFERROR(SUMIFS(_TECH_Crisis_Model!$D$5:$D$191,_TECH_Crisis_Model!$A$5:$A$191,'Crisis Simulator'!$B$4,_TECH_Crisis_Model!$B$5:$B$191,$C271),1),"")</f>
        <v/>
      </c>
      <c r="AP271" s="48" t="str">
        <f t="shared" si="71"/>
        <v/>
      </c>
      <c r="AQ271" s="48" t="str">
        <f t="shared" si="72"/>
        <v/>
      </c>
      <c r="AR271" s="48" t="str">
        <f>IFERROR(INDEX(_TECH_Crisis_Model!$E$5:$E$191,MATCH('Crisis Simulator'!$B$4&amp;"|"&amp;$C271,_TECH_Crisis_Model!$I$5:$I$191,0)),"")</f>
        <v>Customer communication and reputation control determine trust during uncertainty.</v>
      </c>
      <c r="AS271" s="48" t="str">
        <f>IFERROR(INDEX(_TECH_Crisis_Model!$G$5:$G$191,MATCH('Crisis Simulator'!$B$4&amp;"|"&amp;$C271,_TECH_Crisis_Model!$I$5:$I$191,0)),"")</f>
        <v>Prepare crisis messages, customer notification templates, comms approval flow and brand monitoring.</v>
      </c>
      <c r="AT271" s="48" t="str">
        <f>IFERROR(INDEX(_TECH_Initiative_Library!$A$5:$A$76,MATCH(1,INDEX((_TECH_Initiative_Library!$B$5:$B$76=$C271)*(_TECH_Initiative_Library!$C$5:$C$76=$D271),0),0)),"")</f>
        <v>INI-046</v>
      </c>
      <c r="AU271" s="48" t="str">
        <f>IFERROR(INDEX(_TECH_Initiative_Library!$F$5:$F$76,MATCH(1,INDEX((_TECH_Initiative_Library!$B$5:$B$76=$C271)*(_TECH_Initiative_Library!$C$5:$C$76=$D271),0),0)),"")</f>
        <v>Prepare crisis communication playbooks and customer notification flows</v>
      </c>
      <c r="AV271" s="48" t="str">
        <f ca="1">IFERROR(INDEX(_TECH_Initiative_Library!$AC$5:$AC$76,MATCH(1,INDEX((_TECH_Initiative_Library!$B$5:$B$76=$C271)*(_TECH_Initiative_Library!$C$5:$C$76=$D271),0),0)),"")</f>
        <v/>
      </c>
      <c r="AW271" s="48" t="str">
        <f ca="1">IFERROR(INDEX(_TECH_Initiative_Library!$AE$5:$AE$76,MATCH(1,INDEX((_TECH_Initiative_Library!$B$5:$B$76=$C271)*(_TECH_Initiative_Library!$C$5:$C$76=$D271),0),0)),"")</f>
        <v/>
      </c>
      <c r="AX271" s="48" t="str">
        <f>IF($B271="Yes",IFERROR(SUMIFS(_TECH_Industry_Templates!$E:$E,_TECH_Industry_Templates!$A:$A,'Company Profile'!$B$9,_TECH_Industry_Templates!$B:$B,$C271),1),"")</f>
        <v/>
      </c>
      <c r="AY271" s="48" t="str">
        <f t="shared" si="73"/>
        <v/>
      </c>
      <c r="AZ271" s="48" t="str">
        <f t="shared" si="74"/>
        <v/>
      </c>
      <c r="BA271" s="48" t="str">
        <f>IF($AZ271="","",RANK.EQ($AZ271,$AZ$8:$AZ$414,0)+COUNTIF($AZ$8:$AZ271,$AZ271)-1)</f>
        <v/>
      </c>
    </row>
    <row r="272" spans="1:53" ht="69.95" customHeight="1">
      <c r="A272" s="36" t="str">
        <f>IF($AZ272="","",RANK.EQ($AZ272,$AZ$8:$AZ$414,0)+COUNTIF($AZ$8:$AZ272,$AZ272)-1)</f>
        <v/>
      </c>
      <c r="B272" s="36" t="str">
        <f t="shared" si="61"/>
        <v/>
      </c>
      <c r="C272" s="36" t="s">
        <v>87</v>
      </c>
      <c r="D272" s="36" t="s">
        <v>1425</v>
      </c>
      <c r="E272" s="36" t="s">
        <v>4560</v>
      </c>
      <c r="F272" s="36" t="s">
        <v>194</v>
      </c>
      <c r="G272" s="36" t="str">
        <f>IF($H272="","",IFERROR(INDEX('Risk Library'!$H$5:$M$411,MATCH($E272,'Risk Library'!$A$5:$A$411,0),$H272+1),""))</f>
        <v/>
      </c>
      <c r="H272" s="37" t="str">
        <f>IF(OR(COUNTA('Marketing Comms'!$H$12)=0,'Marketing Comms'!$H$12="N/A"),"",VALUE('Marketing Comms'!$H$12))</f>
        <v/>
      </c>
      <c r="I272" s="36" t="str">
        <f>IF($H272="","",IFERROR(IF('Marketing Comms'!$L$12="",IF($H272&lt;=1,"Critical",IF($H272=2,"High",IF($H272=3,"Medium",IF($H272=4,"Low","Resilient")))),'Marketing Comms'!$L$12),IF($H272&lt;=1,"Critical",IF($H272=2,"High",IF($H272=3,"Medium",IF($H272=4,"Low","Resilient"))))))</f>
        <v/>
      </c>
      <c r="J272" s="37" t="str">
        <f t="shared" si="62"/>
        <v/>
      </c>
      <c r="K272" s="37" t="str">
        <f t="shared" si="63"/>
        <v/>
      </c>
      <c r="L272" s="37" t="str">
        <f t="shared" si="64"/>
        <v/>
      </c>
      <c r="M272" s="37" t="str">
        <f t="shared" si="65"/>
        <v/>
      </c>
      <c r="N272" s="37" t="str">
        <f>IF($H272="","",IFERROR(INDEX('Risk Library'!$T$5:$Y$411,MATCH($E272,'Risk Library'!$A$5:$A$411,0),$H272+1),""))</f>
        <v/>
      </c>
      <c r="O272" s="37" t="str">
        <f t="shared" si="66"/>
        <v/>
      </c>
      <c r="P272" s="37" t="str">
        <f t="shared" si="67"/>
        <v/>
      </c>
      <c r="Q272" s="37" t="str">
        <f t="shared" si="68"/>
        <v/>
      </c>
      <c r="R272" s="37" t="str">
        <f t="shared" si="69"/>
        <v/>
      </c>
      <c r="S272" s="38" t="str">
        <f t="shared" si="70"/>
        <v/>
      </c>
      <c r="T272" s="36" t="str">
        <f>IF($H272="","",IFERROR(INDEX('Risk Library'!$N$5:$S$411,MATCH($E272,'Risk Library'!$A$5:$A$411,0),$H272+1),""))</f>
        <v/>
      </c>
      <c r="U272" s="37">
        <f>IFERROR('Marketing Comms'!$G$12,"")</f>
        <v>4</v>
      </c>
      <c r="V272" s="37">
        <f>IFERROR('Marketing Comms'!$W$12,"")</f>
        <v>4</v>
      </c>
      <c r="W272" s="37">
        <f>IFERROR('Marketing Comms'!$X$12,"")</f>
        <v>5</v>
      </c>
      <c r="X272" s="37">
        <f>IFERROR('Marketing Comms'!$Y$12,"")</f>
        <v>5</v>
      </c>
      <c r="Y272" s="36" t="s">
        <v>4497</v>
      </c>
      <c r="Z272" s="36" t="s">
        <v>4498</v>
      </c>
      <c r="AA272" s="36" t="s">
        <v>4562</v>
      </c>
      <c r="AB272" s="36">
        <f>IFERROR('Marketing Comms'!$U$12,"")</f>
        <v>0</v>
      </c>
      <c r="AC272" s="36"/>
      <c r="AD272" s="36"/>
      <c r="AE272" s="36"/>
      <c r="AF272" s="36" t="s">
        <v>4561</v>
      </c>
      <c r="AO272" s="48" t="str">
        <f>IF($B272="Yes",IFERROR(SUMIFS(_TECH_Crisis_Model!$D$5:$D$191,_TECH_Crisis_Model!$A$5:$A$191,'Crisis Simulator'!$B$4,_TECH_Crisis_Model!$B$5:$B$191,$C272),1),"")</f>
        <v/>
      </c>
      <c r="AP272" s="48" t="str">
        <f t="shared" si="71"/>
        <v/>
      </c>
      <c r="AQ272" s="48" t="str">
        <f t="shared" si="72"/>
        <v/>
      </c>
      <c r="AR272" s="48" t="str">
        <f>IFERROR(INDEX(_TECH_Crisis_Model!$E$5:$E$191,MATCH('Crisis Simulator'!$B$4&amp;"|"&amp;$C272,_TECH_Crisis_Model!$I$5:$I$191,0)),"")</f>
        <v>Customer communication and reputation control determine trust during uncertainty.</v>
      </c>
      <c r="AS272" s="48" t="str">
        <f>IFERROR(INDEX(_TECH_Crisis_Model!$G$5:$G$191,MATCH('Crisis Simulator'!$B$4&amp;"|"&amp;$C272,_TECH_Crisis_Model!$I$5:$I$191,0)),"")</f>
        <v>Prepare crisis messages, customer notification templates, comms approval flow and brand monitoring.</v>
      </c>
      <c r="AT272" s="48" t="str">
        <f>IFERROR(INDEX(_TECH_Initiative_Library!$A$5:$A$76,MATCH(1,INDEX((_TECH_Initiative_Library!$B$5:$B$76=$C272)*(_TECH_Initiative_Library!$C$5:$C$76=$D272),0),0)),"")</f>
        <v>INI-046</v>
      </c>
      <c r="AU272" s="48" t="str">
        <f>IFERROR(INDEX(_TECH_Initiative_Library!$F$5:$F$76,MATCH(1,INDEX((_TECH_Initiative_Library!$B$5:$B$76=$C272)*(_TECH_Initiative_Library!$C$5:$C$76=$D272),0),0)),"")</f>
        <v>Prepare crisis communication playbooks and customer notification flows</v>
      </c>
      <c r="AV272" s="48" t="str">
        <f ca="1">IFERROR(INDEX(_TECH_Initiative_Library!$AC$5:$AC$76,MATCH(1,INDEX((_TECH_Initiative_Library!$B$5:$B$76=$C272)*(_TECH_Initiative_Library!$C$5:$C$76=$D272),0),0)),"")</f>
        <v/>
      </c>
      <c r="AW272" s="48" t="str">
        <f ca="1">IFERROR(INDEX(_TECH_Initiative_Library!$AE$5:$AE$76,MATCH(1,INDEX((_TECH_Initiative_Library!$B$5:$B$76=$C272)*(_TECH_Initiative_Library!$C$5:$C$76=$D272),0),0)),"")</f>
        <v/>
      </c>
      <c r="AX272" s="48" t="str">
        <f>IF($B272="Yes",IFERROR(SUMIFS(_TECH_Industry_Templates!$E:$E,_TECH_Industry_Templates!$A:$A,'Company Profile'!$B$9,_TECH_Industry_Templates!$B:$B,$C272),1),"")</f>
        <v/>
      </c>
      <c r="AY272" s="48" t="str">
        <f t="shared" si="73"/>
        <v/>
      </c>
      <c r="AZ272" s="48" t="str">
        <f t="shared" si="74"/>
        <v/>
      </c>
      <c r="BA272" s="48" t="str">
        <f>IF($AZ272="","",RANK.EQ($AZ272,$AZ$8:$AZ$414,0)+COUNTIF($AZ$8:$AZ272,$AZ272)-1)</f>
        <v/>
      </c>
    </row>
    <row r="273" spans="1:53" ht="69.95" customHeight="1">
      <c r="A273" s="36" t="str">
        <f>IF($AZ273="","",RANK.EQ($AZ273,$AZ$8:$AZ$414,0)+COUNTIF($AZ$8:$AZ273,$AZ273)-1)</f>
        <v/>
      </c>
      <c r="B273" s="36" t="str">
        <f t="shared" si="61"/>
        <v/>
      </c>
      <c r="C273" s="36" t="s">
        <v>87</v>
      </c>
      <c r="D273" s="36" t="s">
        <v>1425</v>
      </c>
      <c r="E273" s="36" t="s">
        <v>4570</v>
      </c>
      <c r="F273" s="36" t="s">
        <v>194</v>
      </c>
      <c r="G273" s="36" t="str">
        <f>IF($H273="","",IFERROR(INDEX('Risk Library'!$H$5:$M$411,MATCH($E273,'Risk Library'!$A$5:$A$411,0),$H273+1),""))</f>
        <v/>
      </c>
      <c r="H273" s="37" t="str">
        <f>IF(OR(COUNTA('Marketing Comms'!$H$13)=0,'Marketing Comms'!$H$13="N/A"),"",VALUE('Marketing Comms'!$H$13))</f>
        <v/>
      </c>
      <c r="I273" s="36" t="str">
        <f>IF($H273="","",IFERROR(IF('Marketing Comms'!$L$13="",IF($H273&lt;=1,"Critical",IF($H273=2,"High",IF($H273=3,"Medium",IF($H273=4,"Low","Resilient")))),'Marketing Comms'!$L$13),IF($H273&lt;=1,"Critical",IF($H273=2,"High",IF($H273=3,"Medium",IF($H273=4,"Low","Resilient"))))))</f>
        <v/>
      </c>
      <c r="J273" s="37" t="str">
        <f t="shared" si="62"/>
        <v/>
      </c>
      <c r="K273" s="37" t="str">
        <f t="shared" si="63"/>
        <v/>
      </c>
      <c r="L273" s="37" t="str">
        <f t="shared" si="64"/>
        <v/>
      </c>
      <c r="M273" s="37" t="str">
        <f t="shared" si="65"/>
        <v/>
      </c>
      <c r="N273" s="37" t="str">
        <f>IF($H273="","",IFERROR(INDEX('Risk Library'!$T$5:$Y$411,MATCH($E273,'Risk Library'!$A$5:$A$411,0),$H273+1),""))</f>
        <v/>
      </c>
      <c r="O273" s="37" t="str">
        <f t="shared" si="66"/>
        <v/>
      </c>
      <c r="P273" s="37" t="str">
        <f t="shared" si="67"/>
        <v/>
      </c>
      <c r="Q273" s="37" t="str">
        <f t="shared" si="68"/>
        <v/>
      </c>
      <c r="R273" s="37" t="str">
        <f t="shared" si="69"/>
        <v/>
      </c>
      <c r="S273" s="38" t="str">
        <f t="shared" si="70"/>
        <v/>
      </c>
      <c r="T273" s="36" t="str">
        <f>IF($H273="","",IFERROR(INDEX('Risk Library'!$N$5:$S$411,MATCH($E273,'Risk Library'!$A$5:$A$411,0),$H273+1),""))</f>
        <v/>
      </c>
      <c r="U273" s="37">
        <f>IFERROR('Marketing Comms'!$G$13,"")</f>
        <v>3</v>
      </c>
      <c r="V273" s="37">
        <f>IFERROR('Marketing Comms'!$W$13,"")</f>
        <v>4</v>
      </c>
      <c r="W273" s="37">
        <f>IFERROR('Marketing Comms'!$X$13,"")</f>
        <v>5</v>
      </c>
      <c r="X273" s="37">
        <f>IFERROR('Marketing Comms'!$Y$13,"")</f>
        <v>5</v>
      </c>
      <c r="Y273" s="36" t="s">
        <v>4497</v>
      </c>
      <c r="Z273" s="36" t="s">
        <v>4498</v>
      </c>
      <c r="AA273" s="36" t="s">
        <v>4572</v>
      </c>
      <c r="AB273" s="36">
        <f>IFERROR('Marketing Comms'!$U$13,"")</f>
        <v>0</v>
      </c>
      <c r="AC273" s="36"/>
      <c r="AD273" s="36"/>
      <c r="AE273" s="36"/>
      <c r="AF273" s="36" t="s">
        <v>4571</v>
      </c>
      <c r="AO273" s="48" t="str">
        <f>IF($B273="Yes",IFERROR(SUMIFS(_TECH_Crisis_Model!$D$5:$D$191,_TECH_Crisis_Model!$A$5:$A$191,'Crisis Simulator'!$B$4,_TECH_Crisis_Model!$B$5:$B$191,$C273),1),"")</f>
        <v/>
      </c>
      <c r="AP273" s="48" t="str">
        <f t="shared" si="71"/>
        <v/>
      </c>
      <c r="AQ273" s="48" t="str">
        <f t="shared" si="72"/>
        <v/>
      </c>
      <c r="AR273" s="48" t="str">
        <f>IFERROR(INDEX(_TECH_Crisis_Model!$E$5:$E$191,MATCH('Crisis Simulator'!$B$4&amp;"|"&amp;$C273,_TECH_Crisis_Model!$I$5:$I$191,0)),"")</f>
        <v>Customer communication and reputation control determine trust during uncertainty.</v>
      </c>
      <c r="AS273" s="48" t="str">
        <f>IFERROR(INDEX(_TECH_Crisis_Model!$G$5:$G$191,MATCH('Crisis Simulator'!$B$4&amp;"|"&amp;$C273,_TECH_Crisis_Model!$I$5:$I$191,0)),"")</f>
        <v>Prepare crisis messages, customer notification templates, comms approval flow and brand monitoring.</v>
      </c>
      <c r="AT273" s="48" t="str">
        <f>IFERROR(INDEX(_TECH_Initiative_Library!$A$5:$A$76,MATCH(1,INDEX((_TECH_Initiative_Library!$B$5:$B$76=$C273)*(_TECH_Initiative_Library!$C$5:$C$76=$D273),0),0)),"")</f>
        <v>INI-046</v>
      </c>
      <c r="AU273" s="48" t="str">
        <f>IFERROR(INDEX(_TECH_Initiative_Library!$F$5:$F$76,MATCH(1,INDEX((_TECH_Initiative_Library!$B$5:$B$76=$C273)*(_TECH_Initiative_Library!$C$5:$C$76=$D273),0),0)),"")</f>
        <v>Prepare crisis communication playbooks and customer notification flows</v>
      </c>
      <c r="AV273" s="48" t="str">
        <f ca="1">IFERROR(INDEX(_TECH_Initiative_Library!$AC$5:$AC$76,MATCH(1,INDEX((_TECH_Initiative_Library!$B$5:$B$76=$C273)*(_TECH_Initiative_Library!$C$5:$C$76=$D273),0),0)),"")</f>
        <v/>
      </c>
      <c r="AW273" s="48" t="str">
        <f ca="1">IFERROR(INDEX(_TECH_Initiative_Library!$AE$5:$AE$76,MATCH(1,INDEX((_TECH_Initiative_Library!$B$5:$B$76=$C273)*(_TECH_Initiative_Library!$C$5:$C$76=$D273),0),0)),"")</f>
        <v/>
      </c>
      <c r="AX273" s="48" t="str">
        <f>IF($B273="Yes",IFERROR(SUMIFS(_TECH_Industry_Templates!$E:$E,_TECH_Industry_Templates!$A:$A,'Company Profile'!$B$9,_TECH_Industry_Templates!$B:$B,$C273),1),"")</f>
        <v/>
      </c>
      <c r="AY273" s="48" t="str">
        <f t="shared" si="73"/>
        <v/>
      </c>
      <c r="AZ273" s="48" t="str">
        <f t="shared" si="74"/>
        <v/>
      </c>
      <c r="BA273" s="48" t="str">
        <f>IF($AZ273="","",RANK.EQ($AZ273,$AZ$8:$AZ$414,0)+COUNTIF($AZ$8:$AZ273,$AZ273)-1)</f>
        <v/>
      </c>
    </row>
    <row r="274" spans="1:53" ht="69.95" customHeight="1">
      <c r="A274" s="36" t="str">
        <f>IF($AZ274="","",RANK.EQ($AZ274,$AZ$8:$AZ$414,0)+COUNTIF($AZ$8:$AZ274,$AZ274)-1)</f>
        <v/>
      </c>
      <c r="B274" s="36" t="str">
        <f t="shared" si="61"/>
        <v/>
      </c>
      <c r="C274" s="36" t="s">
        <v>87</v>
      </c>
      <c r="D274" s="36" t="s">
        <v>1425</v>
      </c>
      <c r="E274" s="36" t="s">
        <v>4580</v>
      </c>
      <c r="F274" s="36" t="s">
        <v>194</v>
      </c>
      <c r="G274" s="36" t="str">
        <f>IF($H274="","",IFERROR(INDEX('Risk Library'!$H$5:$M$411,MATCH($E274,'Risk Library'!$A$5:$A$411,0),$H274+1),""))</f>
        <v/>
      </c>
      <c r="H274" s="37" t="str">
        <f>IF(OR(COUNTA('Marketing Comms'!$H$14)=0,'Marketing Comms'!$H$14="N/A"),"",VALUE('Marketing Comms'!$H$14))</f>
        <v/>
      </c>
      <c r="I274" s="36" t="str">
        <f>IF($H274="","",IFERROR(IF('Marketing Comms'!$L$14="",IF($H274&lt;=1,"Critical",IF($H274=2,"High",IF($H274=3,"Medium",IF($H274=4,"Low","Resilient")))),'Marketing Comms'!$L$14),IF($H274&lt;=1,"Critical",IF($H274=2,"High",IF($H274=3,"Medium",IF($H274=4,"Low","Resilient"))))))</f>
        <v/>
      </c>
      <c r="J274" s="37" t="str">
        <f t="shared" si="62"/>
        <v/>
      </c>
      <c r="K274" s="37" t="str">
        <f t="shared" si="63"/>
        <v/>
      </c>
      <c r="L274" s="37" t="str">
        <f t="shared" si="64"/>
        <v/>
      </c>
      <c r="M274" s="37" t="str">
        <f t="shared" si="65"/>
        <v/>
      </c>
      <c r="N274" s="37" t="str">
        <f>IF($H274="","",IFERROR(INDEX('Risk Library'!$T$5:$Y$411,MATCH($E274,'Risk Library'!$A$5:$A$411,0),$H274+1),""))</f>
        <v/>
      </c>
      <c r="O274" s="37" t="str">
        <f t="shared" si="66"/>
        <v/>
      </c>
      <c r="P274" s="37" t="str">
        <f t="shared" si="67"/>
        <v/>
      </c>
      <c r="Q274" s="37" t="str">
        <f t="shared" si="68"/>
        <v/>
      </c>
      <c r="R274" s="37" t="str">
        <f t="shared" si="69"/>
        <v/>
      </c>
      <c r="S274" s="38" t="str">
        <f t="shared" si="70"/>
        <v/>
      </c>
      <c r="T274" s="36" t="str">
        <f>IF($H274="","",IFERROR(INDEX('Risk Library'!$N$5:$S$411,MATCH($E274,'Risk Library'!$A$5:$A$411,0),$H274+1),""))</f>
        <v/>
      </c>
      <c r="U274" s="37">
        <f>IFERROR('Marketing Comms'!$G$14,"")</f>
        <v>4</v>
      </c>
      <c r="V274" s="37">
        <f>IFERROR('Marketing Comms'!$W$14,"")</f>
        <v>4</v>
      </c>
      <c r="W274" s="37">
        <f>IFERROR('Marketing Comms'!$X$14,"")</f>
        <v>5</v>
      </c>
      <c r="X274" s="37">
        <f>IFERROR('Marketing Comms'!$Y$14,"")</f>
        <v>5</v>
      </c>
      <c r="Y274" s="36" t="s">
        <v>4497</v>
      </c>
      <c r="Z274" s="36" t="s">
        <v>4498</v>
      </c>
      <c r="AA274" s="36" t="s">
        <v>4582</v>
      </c>
      <c r="AB274" s="36">
        <f>IFERROR('Marketing Comms'!$U$14,"")</f>
        <v>0</v>
      </c>
      <c r="AC274" s="36"/>
      <c r="AD274" s="36"/>
      <c r="AE274" s="36"/>
      <c r="AF274" s="36" t="s">
        <v>4581</v>
      </c>
      <c r="AO274" s="48" t="str">
        <f>IF($B274="Yes",IFERROR(SUMIFS(_TECH_Crisis_Model!$D$5:$D$191,_TECH_Crisis_Model!$A$5:$A$191,'Crisis Simulator'!$B$4,_TECH_Crisis_Model!$B$5:$B$191,$C274),1),"")</f>
        <v/>
      </c>
      <c r="AP274" s="48" t="str">
        <f t="shared" si="71"/>
        <v/>
      </c>
      <c r="AQ274" s="48" t="str">
        <f t="shared" si="72"/>
        <v/>
      </c>
      <c r="AR274" s="48" t="str">
        <f>IFERROR(INDEX(_TECH_Crisis_Model!$E$5:$E$191,MATCH('Crisis Simulator'!$B$4&amp;"|"&amp;$C274,_TECH_Crisis_Model!$I$5:$I$191,0)),"")</f>
        <v>Customer communication and reputation control determine trust during uncertainty.</v>
      </c>
      <c r="AS274" s="48" t="str">
        <f>IFERROR(INDEX(_TECH_Crisis_Model!$G$5:$G$191,MATCH('Crisis Simulator'!$B$4&amp;"|"&amp;$C274,_TECH_Crisis_Model!$I$5:$I$191,0)),"")</f>
        <v>Prepare crisis messages, customer notification templates, comms approval flow and brand monitoring.</v>
      </c>
      <c r="AT274" s="48" t="str">
        <f>IFERROR(INDEX(_TECH_Initiative_Library!$A$5:$A$76,MATCH(1,INDEX((_TECH_Initiative_Library!$B$5:$B$76=$C274)*(_TECH_Initiative_Library!$C$5:$C$76=$D274),0),0)),"")</f>
        <v>INI-046</v>
      </c>
      <c r="AU274" s="48" t="str">
        <f>IFERROR(INDEX(_TECH_Initiative_Library!$F$5:$F$76,MATCH(1,INDEX((_TECH_Initiative_Library!$B$5:$B$76=$C274)*(_TECH_Initiative_Library!$C$5:$C$76=$D274),0),0)),"")</f>
        <v>Prepare crisis communication playbooks and customer notification flows</v>
      </c>
      <c r="AV274" s="48" t="str">
        <f ca="1">IFERROR(INDEX(_TECH_Initiative_Library!$AC$5:$AC$76,MATCH(1,INDEX((_TECH_Initiative_Library!$B$5:$B$76=$C274)*(_TECH_Initiative_Library!$C$5:$C$76=$D274),0),0)),"")</f>
        <v/>
      </c>
      <c r="AW274" s="48" t="str">
        <f ca="1">IFERROR(INDEX(_TECH_Initiative_Library!$AE$5:$AE$76,MATCH(1,INDEX((_TECH_Initiative_Library!$B$5:$B$76=$C274)*(_TECH_Initiative_Library!$C$5:$C$76=$D274),0),0)),"")</f>
        <v/>
      </c>
      <c r="AX274" s="48" t="str">
        <f>IF($B274="Yes",IFERROR(SUMIFS(_TECH_Industry_Templates!$E:$E,_TECH_Industry_Templates!$A:$A,'Company Profile'!$B$9,_TECH_Industry_Templates!$B:$B,$C274),1),"")</f>
        <v/>
      </c>
      <c r="AY274" s="48" t="str">
        <f t="shared" si="73"/>
        <v/>
      </c>
      <c r="AZ274" s="48" t="str">
        <f t="shared" si="74"/>
        <v/>
      </c>
      <c r="BA274" s="48" t="str">
        <f>IF($AZ274="","",RANK.EQ($AZ274,$AZ$8:$AZ$414,0)+COUNTIF($AZ$8:$AZ274,$AZ274)-1)</f>
        <v/>
      </c>
    </row>
    <row r="275" spans="1:53" ht="69.95" customHeight="1">
      <c r="A275" s="36" t="str">
        <f>IF($AZ275="","",RANK.EQ($AZ275,$AZ$8:$AZ$414,0)+COUNTIF($AZ$8:$AZ275,$AZ275)-1)</f>
        <v/>
      </c>
      <c r="B275" s="36" t="str">
        <f t="shared" si="61"/>
        <v/>
      </c>
      <c r="C275" s="36" t="s">
        <v>87</v>
      </c>
      <c r="D275" s="36" t="s">
        <v>1425</v>
      </c>
      <c r="E275" s="36" t="s">
        <v>4590</v>
      </c>
      <c r="F275" s="36" t="s">
        <v>194</v>
      </c>
      <c r="G275" s="36" t="str">
        <f>IF($H275="","",IFERROR(INDEX('Risk Library'!$H$5:$M$411,MATCH($E275,'Risk Library'!$A$5:$A$411,0),$H275+1),""))</f>
        <v/>
      </c>
      <c r="H275" s="37" t="str">
        <f>IF(OR(COUNTA('Marketing Comms'!$H$15)=0,'Marketing Comms'!$H$15="N/A"),"",VALUE('Marketing Comms'!$H$15))</f>
        <v/>
      </c>
      <c r="I275" s="36" t="str">
        <f>IF($H275="","",IFERROR(IF('Marketing Comms'!$L$15="",IF($H275&lt;=1,"Critical",IF($H275=2,"High",IF($H275=3,"Medium",IF($H275=4,"Low","Resilient")))),'Marketing Comms'!$L$15),IF($H275&lt;=1,"Critical",IF($H275=2,"High",IF($H275=3,"Medium",IF($H275=4,"Low","Resilient"))))))</f>
        <v/>
      </c>
      <c r="J275" s="37" t="str">
        <f t="shared" si="62"/>
        <v/>
      </c>
      <c r="K275" s="37" t="str">
        <f t="shared" si="63"/>
        <v/>
      </c>
      <c r="L275" s="37" t="str">
        <f t="shared" si="64"/>
        <v/>
      </c>
      <c r="M275" s="37" t="str">
        <f t="shared" si="65"/>
        <v/>
      </c>
      <c r="N275" s="37" t="str">
        <f>IF($H275="","",IFERROR(INDEX('Risk Library'!$T$5:$Y$411,MATCH($E275,'Risk Library'!$A$5:$A$411,0),$H275+1),""))</f>
        <v/>
      </c>
      <c r="O275" s="37" t="str">
        <f t="shared" si="66"/>
        <v/>
      </c>
      <c r="P275" s="37" t="str">
        <f t="shared" si="67"/>
        <v/>
      </c>
      <c r="Q275" s="37" t="str">
        <f t="shared" si="68"/>
        <v/>
      </c>
      <c r="R275" s="37" t="str">
        <f t="shared" si="69"/>
        <v/>
      </c>
      <c r="S275" s="38" t="str">
        <f t="shared" si="70"/>
        <v/>
      </c>
      <c r="T275" s="36" t="str">
        <f>IF($H275="","",IFERROR(INDEX('Risk Library'!$N$5:$S$411,MATCH($E275,'Risk Library'!$A$5:$A$411,0),$H275+1),""))</f>
        <v/>
      </c>
      <c r="U275" s="37">
        <f>IFERROR('Marketing Comms'!$G$15,"")</f>
        <v>3</v>
      </c>
      <c r="V275" s="37">
        <f>IFERROR('Marketing Comms'!$W$15,"")</f>
        <v>4</v>
      </c>
      <c r="W275" s="37">
        <f>IFERROR('Marketing Comms'!$X$15,"")</f>
        <v>5</v>
      </c>
      <c r="X275" s="37">
        <f>IFERROR('Marketing Comms'!$Y$15,"")</f>
        <v>5</v>
      </c>
      <c r="Y275" s="36" t="s">
        <v>4497</v>
      </c>
      <c r="Z275" s="36" t="s">
        <v>4498</v>
      </c>
      <c r="AA275" s="36" t="s">
        <v>4592</v>
      </c>
      <c r="AB275" s="36">
        <f>IFERROR('Marketing Comms'!$U$15,"")</f>
        <v>0</v>
      </c>
      <c r="AC275" s="36"/>
      <c r="AD275" s="36"/>
      <c r="AE275" s="36"/>
      <c r="AF275" s="36" t="s">
        <v>4591</v>
      </c>
      <c r="AO275" s="48" t="str">
        <f>IF($B275="Yes",IFERROR(SUMIFS(_TECH_Crisis_Model!$D$5:$D$191,_TECH_Crisis_Model!$A$5:$A$191,'Crisis Simulator'!$B$4,_TECH_Crisis_Model!$B$5:$B$191,$C275),1),"")</f>
        <v/>
      </c>
      <c r="AP275" s="48" t="str">
        <f t="shared" si="71"/>
        <v/>
      </c>
      <c r="AQ275" s="48" t="str">
        <f t="shared" si="72"/>
        <v/>
      </c>
      <c r="AR275" s="48" t="str">
        <f>IFERROR(INDEX(_TECH_Crisis_Model!$E$5:$E$191,MATCH('Crisis Simulator'!$B$4&amp;"|"&amp;$C275,_TECH_Crisis_Model!$I$5:$I$191,0)),"")</f>
        <v>Customer communication and reputation control determine trust during uncertainty.</v>
      </c>
      <c r="AS275" s="48" t="str">
        <f>IFERROR(INDEX(_TECH_Crisis_Model!$G$5:$G$191,MATCH('Crisis Simulator'!$B$4&amp;"|"&amp;$C275,_TECH_Crisis_Model!$I$5:$I$191,0)),"")</f>
        <v>Prepare crisis messages, customer notification templates, comms approval flow and brand monitoring.</v>
      </c>
      <c r="AT275" s="48" t="str">
        <f>IFERROR(INDEX(_TECH_Initiative_Library!$A$5:$A$76,MATCH(1,INDEX((_TECH_Initiative_Library!$B$5:$B$76=$C275)*(_TECH_Initiative_Library!$C$5:$C$76=$D275),0),0)),"")</f>
        <v>INI-046</v>
      </c>
      <c r="AU275" s="48" t="str">
        <f>IFERROR(INDEX(_TECH_Initiative_Library!$F$5:$F$76,MATCH(1,INDEX((_TECH_Initiative_Library!$B$5:$B$76=$C275)*(_TECH_Initiative_Library!$C$5:$C$76=$D275),0),0)),"")</f>
        <v>Prepare crisis communication playbooks and customer notification flows</v>
      </c>
      <c r="AV275" s="48" t="str">
        <f ca="1">IFERROR(INDEX(_TECH_Initiative_Library!$AC$5:$AC$76,MATCH(1,INDEX((_TECH_Initiative_Library!$B$5:$B$76=$C275)*(_TECH_Initiative_Library!$C$5:$C$76=$D275),0),0)),"")</f>
        <v/>
      </c>
      <c r="AW275" s="48" t="str">
        <f ca="1">IFERROR(INDEX(_TECH_Initiative_Library!$AE$5:$AE$76,MATCH(1,INDEX((_TECH_Initiative_Library!$B$5:$B$76=$C275)*(_TECH_Initiative_Library!$C$5:$C$76=$D275),0),0)),"")</f>
        <v/>
      </c>
      <c r="AX275" s="48" t="str">
        <f>IF($B275="Yes",IFERROR(SUMIFS(_TECH_Industry_Templates!$E:$E,_TECH_Industry_Templates!$A:$A,'Company Profile'!$B$9,_TECH_Industry_Templates!$B:$B,$C275),1),"")</f>
        <v/>
      </c>
      <c r="AY275" s="48" t="str">
        <f t="shared" si="73"/>
        <v/>
      </c>
      <c r="AZ275" s="48" t="str">
        <f t="shared" si="74"/>
        <v/>
      </c>
      <c r="BA275" s="48" t="str">
        <f>IF($AZ275="","",RANK.EQ($AZ275,$AZ$8:$AZ$414,0)+COUNTIF($AZ$8:$AZ275,$AZ275)-1)</f>
        <v/>
      </c>
    </row>
    <row r="276" spans="1:53" ht="69.95" customHeight="1">
      <c r="A276" s="36" t="str">
        <f>IF($AZ276="","",RANK.EQ($AZ276,$AZ$8:$AZ$414,0)+COUNTIF($AZ$8:$AZ276,$AZ276)-1)</f>
        <v/>
      </c>
      <c r="B276" s="36" t="str">
        <f t="shared" si="61"/>
        <v/>
      </c>
      <c r="C276" s="36" t="s">
        <v>87</v>
      </c>
      <c r="D276" s="36" t="s">
        <v>1433</v>
      </c>
      <c r="E276" s="36" t="s">
        <v>4600</v>
      </c>
      <c r="F276" s="36" t="s">
        <v>194</v>
      </c>
      <c r="G276" s="36" t="str">
        <f>IF($H276="","",IFERROR(INDEX('Risk Library'!$H$5:$M$411,MATCH($E276,'Risk Library'!$A$5:$A$411,0),$H276+1),""))</f>
        <v/>
      </c>
      <c r="H276" s="37" t="str">
        <f>IF(OR(COUNTA('Marketing Comms'!$H$16)=0,'Marketing Comms'!$H$16="N/A"),"",VALUE('Marketing Comms'!$H$16))</f>
        <v/>
      </c>
      <c r="I276" s="36" t="str">
        <f>IF($H276="","",IFERROR(IF('Marketing Comms'!$L$16="",IF($H276&lt;=1,"Critical",IF($H276=2,"High",IF($H276=3,"Medium",IF($H276=4,"Low","Resilient")))),'Marketing Comms'!$L$16),IF($H276&lt;=1,"Critical",IF($H276=2,"High",IF($H276=3,"Medium",IF($H276=4,"Low","Resilient"))))))</f>
        <v/>
      </c>
      <c r="J276" s="37" t="str">
        <f t="shared" si="62"/>
        <v/>
      </c>
      <c r="K276" s="37" t="str">
        <f t="shared" si="63"/>
        <v/>
      </c>
      <c r="L276" s="37" t="str">
        <f t="shared" si="64"/>
        <v/>
      </c>
      <c r="M276" s="37" t="str">
        <f t="shared" si="65"/>
        <v/>
      </c>
      <c r="N276" s="37" t="str">
        <f>IF($H276="","",IFERROR(INDEX('Risk Library'!$T$5:$Y$411,MATCH($E276,'Risk Library'!$A$5:$A$411,0),$H276+1),""))</f>
        <v/>
      </c>
      <c r="O276" s="37" t="str">
        <f t="shared" si="66"/>
        <v/>
      </c>
      <c r="P276" s="37" t="str">
        <f t="shared" si="67"/>
        <v/>
      </c>
      <c r="Q276" s="37" t="str">
        <f t="shared" si="68"/>
        <v/>
      </c>
      <c r="R276" s="37" t="str">
        <f t="shared" si="69"/>
        <v/>
      </c>
      <c r="S276" s="38" t="str">
        <f t="shared" si="70"/>
        <v/>
      </c>
      <c r="T276" s="36" t="str">
        <f>IF($H276="","",IFERROR(INDEX('Risk Library'!$N$5:$S$411,MATCH($E276,'Risk Library'!$A$5:$A$411,0),$H276+1),""))</f>
        <v/>
      </c>
      <c r="U276" s="37">
        <f>IFERROR('Marketing Comms'!$G$16,"")</f>
        <v>5</v>
      </c>
      <c r="V276" s="37">
        <f>IFERROR('Marketing Comms'!$W$16,"")</f>
        <v>5</v>
      </c>
      <c r="W276" s="37">
        <f>IFERROR('Marketing Comms'!$X$16,"")</f>
        <v>5</v>
      </c>
      <c r="X276" s="37">
        <f>IFERROR('Marketing Comms'!$Y$16,"")</f>
        <v>5</v>
      </c>
      <c r="Y276" s="36" t="s">
        <v>4497</v>
      </c>
      <c r="Z276" s="36" t="s">
        <v>4498</v>
      </c>
      <c r="AA276" s="36" t="s">
        <v>4602</v>
      </c>
      <c r="AB276" s="36">
        <f>IFERROR('Marketing Comms'!$U$16,"")</f>
        <v>0</v>
      </c>
      <c r="AC276" s="36"/>
      <c r="AD276" s="36"/>
      <c r="AE276" s="36"/>
      <c r="AF276" s="36" t="s">
        <v>4601</v>
      </c>
      <c r="AO276" s="48" t="str">
        <f>IF($B276="Yes",IFERROR(SUMIFS(_TECH_Crisis_Model!$D$5:$D$191,_TECH_Crisis_Model!$A$5:$A$191,'Crisis Simulator'!$B$4,_TECH_Crisis_Model!$B$5:$B$191,$C276),1),"")</f>
        <v/>
      </c>
      <c r="AP276" s="48" t="str">
        <f t="shared" si="71"/>
        <v/>
      </c>
      <c r="AQ276" s="48" t="str">
        <f t="shared" si="72"/>
        <v/>
      </c>
      <c r="AR276" s="48" t="str">
        <f>IFERROR(INDEX(_TECH_Crisis_Model!$E$5:$E$191,MATCH('Crisis Simulator'!$B$4&amp;"|"&amp;$C276,_TECH_Crisis_Model!$I$5:$I$191,0)),"")</f>
        <v>Customer communication and reputation control determine trust during uncertainty.</v>
      </c>
      <c r="AS276" s="48" t="str">
        <f>IFERROR(INDEX(_TECH_Crisis_Model!$G$5:$G$191,MATCH('Crisis Simulator'!$B$4&amp;"|"&amp;$C276,_TECH_Crisis_Model!$I$5:$I$191,0)),"")</f>
        <v>Prepare crisis messages, customer notification templates, comms approval flow and brand monitoring.</v>
      </c>
      <c r="AT276" s="48" t="str">
        <f>IFERROR(INDEX(_TECH_Initiative_Library!$A$5:$A$76,MATCH(1,INDEX((_TECH_Initiative_Library!$B$5:$B$76=$C276)*(_TECH_Initiative_Library!$C$5:$C$76=$D276),0),0)),"")</f>
        <v>INI-047</v>
      </c>
      <c r="AU276" s="48" t="str">
        <f>IFERROR(INDEX(_TECH_Initiative_Library!$F$5:$F$76,MATCH(1,INDEX((_TECH_Initiative_Library!$B$5:$B$76=$C276)*(_TECH_Initiative_Library!$C$5:$C$76=$D276),0),0)),"")</f>
        <v>Standardize marketing operations, content and analytics cadence</v>
      </c>
      <c r="AV276" s="48" t="str">
        <f ca="1">IFERROR(INDEX(_TECH_Initiative_Library!$AC$5:$AC$76,MATCH(1,INDEX((_TECH_Initiative_Library!$B$5:$B$76=$C276)*(_TECH_Initiative_Library!$C$5:$C$76=$D276),0),0)),"")</f>
        <v/>
      </c>
      <c r="AW276" s="48" t="str">
        <f ca="1">IFERROR(INDEX(_TECH_Initiative_Library!$AE$5:$AE$76,MATCH(1,INDEX((_TECH_Initiative_Library!$B$5:$B$76=$C276)*(_TECH_Initiative_Library!$C$5:$C$76=$D276),0),0)),"")</f>
        <v/>
      </c>
      <c r="AX276" s="48" t="str">
        <f>IF($B276="Yes",IFERROR(SUMIFS(_TECH_Industry_Templates!$E:$E,_TECH_Industry_Templates!$A:$A,'Company Profile'!$B$9,_TECH_Industry_Templates!$B:$B,$C276),1),"")</f>
        <v/>
      </c>
      <c r="AY276" s="48" t="str">
        <f t="shared" si="73"/>
        <v/>
      </c>
      <c r="AZ276" s="48" t="str">
        <f t="shared" si="74"/>
        <v/>
      </c>
      <c r="BA276" s="48" t="str">
        <f>IF($AZ276="","",RANK.EQ($AZ276,$AZ$8:$AZ$414,0)+COUNTIF($AZ$8:$AZ276,$AZ276)-1)</f>
        <v/>
      </c>
    </row>
    <row r="277" spans="1:53" ht="69.95" customHeight="1">
      <c r="A277" s="36" t="str">
        <f>IF($AZ277="","",RANK.EQ($AZ277,$AZ$8:$AZ$414,0)+COUNTIF($AZ$8:$AZ277,$AZ277)-1)</f>
        <v/>
      </c>
      <c r="B277" s="36" t="str">
        <f t="shared" si="61"/>
        <v/>
      </c>
      <c r="C277" s="36" t="s">
        <v>87</v>
      </c>
      <c r="D277" s="36" t="s">
        <v>1433</v>
      </c>
      <c r="E277" s="36" t="s">
        <v>4610</v>
      </c>
      <c r="F277" s="36" t="s">
        <v>194</v>
      </c>
      <c r="G277" s="36" t="str">
        <f>IF($H277="","",IFERROR(INDEX('Risk Library'!$H$5:$M$411,MATCH($E277,'Risk Library'!$A$5:$A$411,0),$H277+1),""))</f>
        <v/>
      </c>
      <c r="H277" s="37" t="str">
        <f>IF(OR(COUNTA('Marketing Comms'!$H$17)=0,'Marketing Comms'!$H$17="N/A"),"",VALUE('Marketing Comms'!$H$17))</f>
        <v/>
      </c>
      <c r="I277" s="36" t="str">
        <f>IF($H277="","",IFERROR(IF('Marketing Comms'!$L$17="",IF($H277&lt;=1,"Critical",IF($H277=2,"High",IF($H277=3,"Medium",IF($H277=4,"Low","Resilient")))),'Marketing Comms'!$L$17),IF($H277&lt;=1,"Critical",IF($H277=2,"High",IF($H277=3,"Medium",IF($H277=4,"Low","Resilient"))))))</f>
        <v/>
      </c>
      <c r="J277" s="37" t="str">
        <f t="shared" si="62"/>
        <v/>
      </c>
      <c r="K277" s="37" t="str">
        <f t="shared" si="63"/>
        <v/>
      </c>
      <c r="L277" s="37" t="str">
        <f t="shared" si="64"/>
        <v/>
      </c>
      <c r="M277" s="37" t="str">
        <f t="shared" si="65"/>
        <v/>
      </c>
      <c r="N277" s="37" t="str">
        <f>IF($H277="","",IFERROR(INDEX('Risk Library'!$T$5:$Y$411,MATCH($E277,'Risk Library'!$A$5:$A$411,0),$H277+1),""))</f>
        <v/>
      </c>
      <c r="O277" s="37" t="str">
        <f t="shared" si="66"/>
        <v/>
      </c>
      <c r="P277" s="37" t="str">
        <f t="shared" si="67"/>
        <v/>
      </c>
      <c r="Q277" s="37" t="str">
        <f t="shared" si="68"/>
        <v/>
      </c>
      <c r="R277" s="37" t="str">
        <f t="shared" si="69"/>
        <v/>
      </c>
      <c r="S277" s="38" t="str">
        <f t="shared" si="70"/>
        <v/>
      </c>
      <c r="T277" s="36" t="str">
        <f>IF($H277="","",IFERROR(INDEX('Risk Library'!$N$5:$S$411,MATCH($E277,'Risk Library'!$A$5:$A$411,0),$H277+1),""))</f>
        <v/>
      </c>
      <c r="U277" s="37">
        <f>IFERROR('Marketing Comms'!$G$17,"")</f>
        <v>3</v>
      </c>
      <c r="V277" s="37">
        <f>IFERROR('Marketing Comms'!$W$17,"")</f>
        <v>5</v>
      </c>
      <c r="W277" s="37">
        <f>IFERROR('Marketing Comms'!$X$17,"")</f>
        <v>5</v>
      </c>
      <c r="X277" s="37">
        <f>IFERROR('Marketing Comms'!$Y$17,"")</f>
        <v>5</v>
      </c>
      <c r="Y277" s="36" t="s">
        <v>4497</v>
      </c>
      <c r="Z277" s="36" t="s">
        <v>4498</v>
      </c>
      <c r="AA277" s="36" t="s">
        <v>4612</v>
      </c>
      <c r="AB277" s="36">
        <f>IFERROR('Marketing Comms'!$U$17,"")</f>
        <v>0</v>
      </c>
      <c r="AC277" s="36"/>
      <c r="AD277" s="36"/>
      <c r="AE277" s="36"/>
      <c r="AF277" s="36" t="s">
        <v>4611</v>
      </c>
      <c r="AO277" s="48" t="str">
        <f>IF($B277="Yes",IFERROR(SUMIFS(_TECH_Crisis_Model!$D$5:$D$191,_TECH_Crisis_Model!$A$5:$A$191,'Crisis Simulator'!$B$4,_TECH_Crisis_Model!$B$5:$B$191,$C277),1),"")</f>
        <v/>
      </c>
      <c r="AP277" s="48" t="str">
        <f t="shared" si="71"/>
        <v/>
      </c>
      <c r="AQ277" s="48" t="str">
        <f t="shared" si="72"/>
        <v/>
      </c>
      <c r="AR277" s="48" t="str">
        <f>IFERROR(INDEX(_TECH_Crisis_Model!$E$5:$E$191,MATCH('Crisis Simulator'!$B$4&amp;"|"&amp;$C277,_TECH_Crisis_Model!$I$5:$I$191,0)),"")</f>
        <v>Customer communication and reputation control determine trust during uncertainty.</v>
      </c>
      <c r="AS277" s="48" t="str">
        <f>IFERROR(INDEX(_TECH_Crisis_Model!$G$5:$G$191,MATCH('Crisis Simulator'!$B$4&amp;"|"&amp;$C277,_TECH_Crisis_Model!$I$5:$I$191,0)),"")</f>
        <v>Prepare crisis messages, customer notification templates, comms approval flow and brand monitoring.</v>
      </c>
      <c r="AT277" s="48" t="str">
        <f>IFERROR(INDEX(_TECH_Initiative_Library!$A$5:$A$76,MATCH(1,INDEX((_TECH_Initiative_Library!$B$5:$B$76=$C277)*(_TECH_Initiative_Library!$C$5:$C$76=$D277),0),0)),"")</f>
        <v>INI-047</v>
      </c>
      <c r="AU277" s="48" t="str">
        <f>IFERROR(INDEX(_TECH_Initiative_Library!$F$5:$F$76,MATCH(1,INDEX((_TECH_Initiative_Library!$B$5:$B$76=$C277)*(_TECH_Initiative_Library!$C$5:$C$76=$D277),0),0)),"")</f>
        <v>Standardize marketing operations, content and analytics cadence</v>
      </c>
      <c r="AV277" s="48" t="str">
        <f ca="1">IFERROR(INDEX(_TECH_Initiative_Library!$AC$5:$AC$76,MATCH(1,INDEX((_TECH_Initiative_Library!$B$5:$B$76=$C277)*(_TECH_Initiative_Library!$C$5:$C$76=$D277),0),0)),"")</f>
        <v/>
      </c>
      <c r="AW277" s="48" t="str">
        <f ca="1">IFERROR(INDEX(_TECH_Initiative_Library!$AE$5:$AE$76,MATCH(1,INDEX((_TECH_Initiative_Library!$B$5:$B$76=$C277)*(_TECH_Initiative_Library!$C$5:$C$76=$D277),0),0)),"")</f>
        <v/>
      </c>
      <c r="AX277" s="48" t="str">
        <f>IF($B277="Yes",IFERROR(SUMIFS(_TECH_Industry_Templates!$E:$E,_TECH_Industry_Templates!$A:$A,'Company Profile'!$B$9,_TECH_Industry_Templates!$B:$B,$C277),1),"")</f>
        <v/>
      </c>
      <c r="AY277" s="48" t="str">
        <f t="shared" si="73"/>
        <v/>
      </c>
      <c r="AZ277" s="48" t="str">
        <f t="shared" si="74"/>
        <v/>
      </c>
      <c r="BA277" s="48" t="str">
        <f>IF($AZ277="","",RANK.EQ($AZ277,$AZ$8:$AZ$414,0)+COUNTIF($AZ$8:$AZ277,$AZ277)-1)</f>
        <v/>
      </c>
    </row>
    <row r="278" spans="1:53" ht="69.95" customHeight="1">
      <c r="A278" s="36" t="str">
        <f>IF($AZ278="","",RANK.EQ($AZ278,$AZ$8:$AZ$414,0)+COUNTIF($AZ$8:$AZ278,$AZ278)-1)</f>
        <v/>
      </c>
      <c r="B278" s="36" t="str">
        <f t="shared" si="61"/>
        <v/>
      </c>
      <c r="C278" s="36" t="s">
        <v>87</v>
      </c>
      <c r="D278" s="36" t="s">
        <v>1433</v>
      </c>
      <c r="E278" s="36" t="s">
        <v>4620</v>
      </c>
      <c r="F278" s="36" t="s">
        <v>194</v>
      </c>
      <c r="G278" s="36" t="str">
        <f>IF($H278="","",IFERROR(INDEX('Risk Library'!$H$5:$M$411,MATCH($E278,'Risk Library'!$A$5:$A$411,0),$H278+1),""))</f>
        <v/>
      </c>
      <c r="H278" s="37" t="str">
        <f>IF(OR(COUNTA('Marketing Comms'!$H$18)=0,'Marketing Comms'!$H$18="N/A"),"",VALUE('Marketing Comms'!$H$18))</f>
        <v/>
      </c>
      <c r="I278" s="36" t="str">
        <f>IF($H278="","",IFERROR(IF('Marketing Comms'!$L$18="",IF($H278&lt;=1,"Critical",IF($H278=2,"High",IF($H278=3,"Medium",IF($H278=4,"Low","Resilient")))),'Marketing Comms'!$L$18),IF($H278&lt;=1,"Critical",IF($H278=2,"High",IF($H278=3,"Medium",IF($H278=4,"Low","Resilient"))))))</f>
        <v/>
      </c>
      <c r="J278" s="37" t="str">
        <f t="shared" si="62"/>
        <v/>
      </c>
      <c r="K278" s="37" t="str">
        <f t="shared" si="63"/>
        <v/>
      </c>
      <c r="L278" s="37" t="str">
        <f t="shared" si="64"/>
        <v/>
      </c>
      <c r="M278" s="37" t="str">
        <f t="shared" si="65"/>
        <v/>
      </c>
      <c r="N278" s="37" t="str">
        <f>IF($H278="","",IFERROR(INDEX('Risk Library'!$T$5:$Y$411,MATCH($E278,'Risk Library'!$A$5:$A$411,0),$H278+1),""))</f>
        <v/>
      </c>
      <c r="O278" s="37" t="str">
        <f t="shared" si="66"/>
        <v/>
      </c>
      <c r="P278" s="37" t="str">
        <f t="shared" si="67"/>
        <v/>
      </c>
      <c r="Q278" s="37" t="str">
        <f t="shared" si="68"/>
        <v/>
      </c>
      <c r="R278" s="37" t="str">
        <f t="shared" si="69"/>
        <v/>
      </c>
      <c r="S278" s="38" t="str">
        <f t="shared" si="70"/>
        <v/>
      </c>
      <c r="T278" s="36" t="str">
        <f>IF($H278="","",IFERROR(INDEX('Risk Library'!$N$5:$S$411,MATCH($E278,'Risk Library'!$A$5:$A$411,0),$H278+1),""))</f>
        <v/>
      </c>
      <c r="U278" s="37">
        <f>IFERROR('Marketing Comms'!$G$18,"")</f>
        <v>4</v>
      </c>
      <c r="V278" s="37">
        <f>IFERROR('Marketing Comms'!$W$18,"")</f>
        <v>4</v>
      </c>
      <c r="W278" s="37">
        <f>IFERROR('Marketing Comms'!$X$18,"")</f>
        <v>5</v>
      </c>
      <c r="X278" s="37">
        <f>IFERROR('Marketing Comms'!$Y$18,"")</f>
        <v>5</v>
      </c>
      <c r="Y278" s="36" t="s">
        <v>4497</v>
      </c>
      <c r="Z278" s="36" t="s">
        <v>4498</v>
      </c>
      <c r="AA278" s="36" t="s">
        <v>4622</v>
      </c>
      <c r="AB278" s="36">
        <f>IFERROR('Marketing Comms'!$U$18,"")</f>
        <v>0</v>
      </c>
      <c r="AC278" s="36"/>
      <c r="AD278" s="36"/>
      <c r="AE278" s="36"/>
      <c r="AF278" s="36" t="s">
        <v>4621</v>
      </c>
      <c r="AO278" s="48" t="str">
        <f>IF($B278="Yes",IFERROR(SUMIFS(_TECH_Crisis_Model!$D$5:$D$191,_TECH_Crisis_Model!$A$5:$A$191,'Crisis Simulator'!$B$4,_TECH_Crisis_Model!$B$5:$B$191,$C278),1),"")</f>
        <v/>
      </c>
      <c r="AP278" s="48" t="str">
        <f t="shared" si="71"/>
        <v/>
      </c>
      <c r="AQ278" s="48" t="str">
        <f t="shared" si="72"/>
        <v/>
      </c>
      <c r="AR278" s="48" t="str">
        <f>IFERROR(INDEX(_TECH_Crisis_Model!$E$5:$E$191,MATCH('Crisis Simulator'!$B$4&amp;"|"&amp;$C278,_TECH_Crisis_Model!$I$5:$I$191,0)),"")</f>
        <v>Customer communication and reputation control determine trust during uncertainty.</v>
      </c>
      <c r="AS278" s="48" t="str">
        <f>IFERROR(INDEX(_TECH_Crisis_Model!$G$5:$G$191,MATCH('Crisis Simulator'!$B$4&amp;"|"&amp;$C278,_TECH_Crisis_Model!$I$5:$I$191,0)),"")</f>
        <v>Prepare crisis messages, customer notification templates, comms approval flow and brand monitoring.</v>
      </c>
      <c r="AT278" s="48" t="str">
        <f>IFERROR(INDEX(_TECH_Initiative_Library!$A$5:$A$76,MATCH(1,INDEX((_TECH_Initiative_Library!$B$5:$B$76=$C278)*(_TECH_Initiative_Library!$C$5:$C$76=$D278),0),0)),"")</f>
        <v>INI-047</v>
      </c>
      <c r="AU278" s="48" t="str">
        <f>IFERROR(INDEX(_TECH_Initiative_Library!$F$5:$F$76,MATCH(1,INDEX((_TECH_Initiative_Library!$B$5:$B$76=$C278)*(_TECH_Initiative_Library!$C$5:$C$76=$D278),0),0)),"")</f>
        <v>Standardize marketing operations, content and analytics cadence</v>
      </c>
      <c r="AV278" s="48" t="str">
        <f ca="1">IFERROR(INDEX(_TECH_Initiative_Library!$AC$5:$AC$76,MATCH(1,INDEX((_TECH_Initiative_Library!$B$5:$B$76=$C278)*(_TECH_Initiative_Library!$C$5:$C$76=$D278),0),0)),"")</f>
        <v/>
      </c>
      <c r="AW278" s="48" t="str">
        <f ca="1">IFERROR(INDEX(_TECH_Initiative_Library!$AE$5:$AE$76,MATCH(1,INDEX((_TECH_Initiative_Library!$B$5:$B$76=$C278)*(_TECH_Initiative_Library!$C$5:$C$76=$D278),0),0)),"")</f>
        <v/>
      </c>
      <c r="AX278" s="48" t="str">
        <f>IF($B278="Yes",IFERROR(SUMIFS(_TECH_Industry_Templates!$E:$E,_TECH_Industry_Templates!$A:$A,'Company Profile'!$B$9,_TECH_Industry_Templates!$B:$B,$C278),1),"")</f>
        <v/>
      </c>
      <c r="AY278" s="48" t="str">
        <f t="shared" si="73"/>
        <v/>
      </c>
      <c r="AZ278" s="48" t="str">
        <f t="shared" si="74"/>
        <v/>
      </c>
      <c r="BA278" s="48" t="str">
        <f>IF($AZ278="","",RANK.EQ($AZ278,$AZ$8:$AZ$414,0)+COUNTIF($AZ$8:$AZ278,$AZ278)-1)</f>
        <v/>
      </c>
    </row>
    <row r="279" spans="1:53" ht="69.95" customHeight="1">
      <c r="A279" s="36" t="str">
        <f>IF($AZ279="","",RANK.EQ($AZ279,$AZ$8:$AZ$414,0)+COUNTIF($AZ$8:$AZ279,$AZ279)-1)</f>
        <v/>
      </c>
      <c r="B279" s="36" t="str">
        <f t="shared" si="61"/>
        <v/>
      </c>
      <c r="C279" s="36" t="s">
        <v>87</v>
      </c>
      <c r="D279" s="36" t="s">
        <v>1433</v>
      </c>
      <c r="E279" s="36" t="s">
        <v>4630</v>
      </c>
      <c r="F279" s="36" t="s">
        <v>194</v>
      </c>
      <c r="G279" s="36" t="str">
        <f>IF($H279="","",IFERROR(INDEX('Risk Library'!$H$5:$M$411,MATCH($E279,'Risk Library'!$A$5:$A$411,0),$H279+1),""))</f>
        <v/>
      </c>
      <c r="H279" s="37" t="str">
        <f>IF(OR(COUNTA('Marketing Comms'!$H$19)=0,'Marketing Comms'!$H$19="N/A"),"",VALUE('Marketing Comms'!$H$19))</f>
        <v/>
      </c>
      <c r="I279" s="36" t="str">
        <f>IF($H279="","",IFERROR(IF('Marketing Comms'!$L$19="",IF($H279&lt;=1,"Critical",IF($H279=2,"High",IF($H279=3,"Medium",IF($H279=4,"Low","Resilient")))),'Marketing Comms'!$L$19),IF($H279&lt;=1,"Critical",IF($H279=2,"High",IF($H279=3,"Medium",IF($H279=4,"Low","Resilient"))))))</f>
        <v/>
      </c>
      <c r="J279" s="37" t="str">
        <f t="shared" si="62"/>
        <v/>
      </c>
      <c r="K279" s="37" t="str">
        <f t="shared" si="63"/>
        <v/>
      </c>
      <c r="L279" s="37" t="str">
        <f t="shared" si="64"/>
        <v/>
      </c>
      <c r="M279" s="37" t="str">
        <f t="shared" si="65"/>
        <v/>
      </c>
      <c r="N279" s="37" t="str">
        <f>IF($H279="","",IFERROR(INDEX('Risk Library'!$T$5:$Y$411,MATCH($E279,'Risk Library'!$A$5:$A$411,0),$H279+1),""))</f>
        <v/>
      </c>
      <c r="O279" s="37" t="str">
        <f t="shared" si="66"/>
        <v/>
      </c>
      <c r="P279" s="37" t="str">
        <f t="shared" si="67"/>
        <v/>
      </c>
      <c r="Q279" s="37" t="str">
        <f t="shared" si="68"/>
        <v/>
      </c>
      <c r="R279" s="37" t="str">
        <f t="shared" si="69"/>
        <v/>
      </c>
      <c r="S279" s="38" t="str">
        <f t="shared" si="70"/>
        <v/>
      </c>
      <c r="T279" s="36" t="str">
        <f>IF($H279="","",IFERROR(INDEX('Risk Library'!$N$5:$S$411,MATCH($E279,'Risk Library'!$A$5:$A$411,0),$H279+1),""))</f>
        <v/>
      </c>
      <c r="U279" s="37">
        <f>IFERROR('Marketing Comms'!$G$19,"")</f>
        <v>3</v>
      </c>
      <c r="V279" s="37">
        <f>IFERROR('Marketing Comms'!$W$19,"")</f>
        <v>4</v>
      </c>
      <c r="W279" s="37">
        <f>IFERROR('Marketing Comms'!$X$19,"")</f>
        <v>5</v>
      </c>
      <c r="X279" s="37">
        <f>IFERROR('Marketing Comms'!$Y$19,"")</f>
        <v>5</v>
      </c>
      <c r="Y279" s="36" t="s">
        <v>4497</v>
      </c>
      <c r="Z279" s="36" t="s">
        <v>4498</v>
      </c>
      <c r="AA279" s="36" t="s">
        <v>4632</v>
      </c>
      <c r="AB279" s="36">
        <f>IFERROR('Marketing Comms'!$U$19,"")</f>
        <v>0</v>
      </c>
      <c r="AC279" s="36"/>
      <c r="AD279" s="36"/>
      <c r="AE279" s="36"/>
      <c r="AF279" s="36" t="s">
        <v>4631</v>
      </c>
      <c r="AO279" s="48" t="str">
        <f>IF($B279="Yes",IFERROR(SUMIFS(_TECH_Crisis_Model!$D$5:$D$191,_TECH_Crisis_Model!$A$5:$A$191,'Crisis Simulator'!$B$4,_TECH_Crisis_Model!$B$5:$B$191,$C279),1),"")</f>
        <v/>
      </c>
      <c r="AP279" s="48" t="str">
        <f t="shared" si="71"/>
        <v/>
      </c>
      <c r="AQ279" s="48" t="str">
        <f t="shared" si="72"/>
        <v/>
      </c>
      <c r="AR279" s="48" t="str">
        <f>IFERROR(INDEX(_TECH_Crisis_Model!$E$5:$E$191,MATCH('Crisis Simulator'!$B$4&amp;"|"&amp;$C279,_TECH_Crisis_Model!$I$5:$I$191,0)),"")</f>
        <v>Customer communication and reputation control determine trust during uncertainty.</v>
      </c>
      <c r="AS279" s="48" t="str">
        <f>IFERROR(INDEX(_TECH_Crisis_Model!$G$5:$G$191,MATCH('Crisis Simulator'!$B$4&amp;"|"&amp;$C279,_TECH_Crisis_Model!$I$5:$I$191,0)),"")</f>
        <v>Prepare crisis messages, customer notification templates, comms approval flow and brand monitoring.</v>
      </c>
      <c r="AT279" s="48" t="str">
        <f>IFERROR(INDEX(_TECH_Initiative_Library!$A$5:$A$76,MATCH(1,INDEX((_TECH_Initiative_Library!$B$5:$B$76=$C279)*(_TECH_Initiative_Library!$C$5:$C$76=$D279),0),0)),"")</f>
        <v>INI-047</v>
      </c>
      <c r="AU279" s="48" t="str">
        <f>IFERROR(INDEX(_TECH_Initiative_Library!$F$5:$F$76,MATCH(1,INDEX((_TECH_Initiative_Library!$B$5:$B$76=$C279)*(_TECH_Initiative_Library!$C$5:$C$76=$D279),0),0)),"")</f>
        <v>Standardize marketing operations, content and analytics cadence</v>
      </c>
      <c r="AV279" s="48" t="str">
        <f ca="1">IFERROR(INDEX(_TECH_Initiative_Library!$AC$5:$AC$76,MATCH(1,INDEX((_TECH_Initiative_Library!$B$5:$B$76=$C279)*(_TECH_Initiative_Library!$C$5:$C$76=$D279),0),0)),"")</f>
        <v/>
      </c>
      <c r="AW279" s="48" t="str">
        <f ca="1">IFERROR(INDEX(_TECH_Initiative_Library!$AE$5:$AE$76,MATCH(1,INDEX((_TECH_Initiative_Library!$B$5:$B$76=$C279)*(_TECH_Initiative_Library!$C$5:$C$76=$D279),0),0)),"")</f>
        <v/>
      </c>
      <c r="AX279" s="48" t="str">
        <f>IF($B279="Yes",IFERROR(SUMIFS(_TECH_Industry_Templates!$E:$E,_TECH_Industry_Templates!$A:$A,'Company Profile'!$B$9,_TECH_Industry_Templates!$B:$B,$C279),1),"")</f>
        <v/>
      </c>
      <c r="AY279" s="48" t="str">
        <f t="shared" si="73"/>
        <v/>
      </c>
      <c r="AZ279" s="48" t="str">
        <f t="shared" si="74"/>
        <v/>
      </c>
      <c r="BA279" s="48" t="str">
        <f>IF($AZ279="","",RANK.EQ($AZ279,$AZ$8:$AZ$414,0)+COUNTIF($AZ$8:$AZ279,$AZ279)-1)</f>
        <v/>
      </c>
    </row>
    <row r="280" spans="1:53" ht="69.95" customHeight="1">
      <c r="A280" s="36" t="str">
        <f>IF($AZ280="","",RANK.EQ($AZ280,$AZ$8:$AZ$414,0)+COUNTIF($AZ$8:$AZ280,$AZ280)-1)</f>
        <v/>
      </c>
      <c r="B280" s="36" t="str">
        <f t="shared" si="61"/>
        <v/>
      </c>
      <c r="C280" s="36" t="s">
        <v>87</v>
      </c>
      <c r="D280" s="36" t="s">
        <v>1433</v>
      </c>
      <c r="E280" s="36" t="s">
        <v>4640</v>
      </c>
      <c r="F280" s="36" t="s">
        <v>194</v>
      </c>
      <c r="G280" s="36" t="str">
        <f>IF($H280="","",IFERROR(INDEX('Risk Library'!$H$5:$M$411,MATCH($E280,'Risk Library'!$A$5:$A$411,0),$H280+1),""))</f>
        <v/>
      </c>
      <c r="H280" s="37" t="str">
        <f>IF(OR(COUNTA('Marketing Comms'!$H$20)=0,'Marketing Comms'!$H$20="N/A"),"",VALUE('Marketing Comms'!$H$20))</f>
        <v/>
      </c>
      <c r="I280" s="36" t="str">
        <f>IF($H280="","",IFERROR(IF('Marketing Comms'!$L$20="",IF($H280&lt;=1,"Critical",IF($H280=2,"High",IF($H280=3,"Medium",IF($H280=4,"Low","Resilient")))),'Marketing Comms'!$L$20),IF($H280&lt;=1,"Critical",IF($H280=2,"High",IF($H280=3,"Medium",IF($H280=4,"Low","Resilient"))))))</f>
        <v/>
      </c>
      <c r="J280" s="37" t="str">
        <f t="shared" si="62"/>
        <v/>
      </c>
      <c r="K280" s="37" t="str">
        <f t="shared" si="63"/>
        <v/>
      </c>
      <c r="L280" s="37" t="str">
        <f t="shared" si="64"/>
        <v/>
      </c>
      <c r="M280" s="37" t="str">
        <f t="shared" si="65"/>
        <v/>
      </c>
      <c r="N280" s="37" t="str">
        <f>IF($H280="","",IFERROR(INDEX('Risk Library'!$T$5:$Y$411,MATCH($E280,'Risk Library'!$A$5:$A$411,0),$H280+1),""))</f>
        <v/>
      </c>
      <c r="O280" s="37" t="str">
        <f t="shared" si="66"/>
        <v/>
      </c>
      <c r="P280" s="37" t="str">
        <f t="shared" si="67"/>
        <v/>
      </c>
      <c r="Q280" s="37" t="str">
        <f t="shared" si="68"/>
        <v/>
      </c>
      <c r="R280" s="37" t="str">
        <f t="shared" si="69"/>
        <v/>
      </c>
      <c r="S280" s="38" t="str">
        <f t="shared" si="70"/>
        <v/>
      </c>
      <c r="T280" s="36" t="str">
        <f>IF($H280="","",IFERROR(INDEX('Risk Library'!$N$5:$S$411,MATCH($E280,'Risk Library'!$A$5:$A$411,0),$H280+1),""))</f>
        <v/>
      </c>
      <c r="U280" s="37">
        <f>IFERROR('Marketing Comms'!$G$20,"")</f>
        <v>5</v>
      </c>
      <c r="V280" s="37">
        <f>IFERROR('Marketing Comms'!$W$20,"")</f>
        <v>4</v>
      </c>
      <c r="W280" s="37">
        <f>IFERROR('Marketing Comms'!$X$20,"")</f>
        <v>5</v>
      </c>
      <c r="X280" s="37">
        <f>IFERROR('Marketing Comms'!$Y$20,"")</f>
        <v>5</v>
      </c>
      <c r="Y280" s="36" t="s">
        <v>4497</v>
      </c>
      <c r="Z280" s="36" t="s">
        <v>4498</v>
      </c>
      <c r="AA280" s="36" t="s">
        <v>4642</v>
      </c>
      <c r="AB280" s="36">
        <f>IFERROR('Marketing Comms'!$U$20,"")</f>
        <v>0</v>
      </c>
      <c r="AC280" s="36"/>
      <c r="AD280" s="36"/>
      <c r="AE280" s="36"/>
      <c r="AF280" s="36" t="s">
        <v>4641</v>
      </c>
      <c r="AO280" s="48" t="str">
        <f>IF($B280="Yes",IFERROR(SUMIFS(_TECH_Crisis_Model!$D$5:$D$191,_TECH_Crisis_Model!$A$5:$A$191,'Crisis Simulator'!$B$4,_TECH_Crisis_Model!$B$5:$B$191,$C280),1),"")</f>
        <v/>
      </c>
      <c r="AP280" s="48" t="str">
        <f t="shared" si="71"/>
        <v/>
      </c>
      <c r="AQ280" s="48" t="str">
        <f t="shared" si="72"/>
        <v/>
      </c>
      <c r="AR280" s="48" t="str">
        <f>IFERROR(INDEX(_TECH_Crisis_Model!$E$5:$E$191,MATCH('Crisis Simulator'!$B$4&amp;"|"&amp;$C280,_TECH_Crisis_Model!$I$5:$I$191,0)),"")</f>
        <v>Customer communication and reputation control determine trust during uncertainty.</v>
      </c>
      <c r="AS280" s="48" t="str">
        <f>IFERROR(INDEX(_TECH_Crisis_Model!$G$5:$G$191,MATCH('Crisis Simulator'!$B$4&amp;"|"&amp;$C280,_TECH_Crisis_Model!$I$5:$I$191,0)),"")</f>
        <v>Prepare crisis messages, customer notification templates, comms approval flow and brand monitoring.</v>
      </c>
      <c r="AT280" s="48" t="str">
        <f>IFERROR(INDEX(_TECH_Initiative_Library!$A$5:$A$76,MATCH(1,INDEX((_TECH_Initiative_Library!$B$5:$B$76=$C280)*(_TECH_Initiative_Library!$C$5:$C$76=$D280),0),0)),"")</f>
        <v>INI-047</v>
      </c>
      <c r="AU280" s="48" t="str">
        <f>IFERROR(INDEX(_TECH_Initiative_Library!$F$5:$F$76,MATCH(1,INDEX((_TECH_Initiative_Library!$B$5:$B$76=$C280)*(_TECH_Initiative_Library!$C$5:$C$76=$D280),0),0)),"")</f>
        <v>Standardize marketing operations, content and analytics cadence</v>
      </c>
      <c r="AV280" s="48" t="str">
        <f ca="1">IFERROR(INDEX(_TECH_Initiative_Library!$AC$5:$AC$76,MATCH(1,INDEX((_TECH_Initiative_Library!$B$5:$B$76=$C280)*(_TECH_Initiative_Library!$C$5:$C$76=$D280),0),0)),"")</f>
        <v/>
      </c>
      <c r="AW280" s="48" t="str">
        <f ca="1">IFERROR(INDEX(_TECH_Initiative_Library!$AE$5:$AE$76,MATCH(1,INDEX((_TECH_Initiative_Library!$B$5:$B$76=$C280)*(_TECH_Initiative_Library!$C$5:$C$76=$D280),0),0)),"")</f>
        <v/>
      </c>
      <c r="AX280" s="48" t="str">
        <f>IF($B280="Yes",IFERROR(SUMIFS(_TECH_Industry_Templates!$E:$E,_TECH_Industry_Templates!$A:$A,'Company Profile'!$B$9,_TECH_Industry_Templates!$B:$B,$C280),1),"")</f>
        <v/>
      </c>
      <c r="AY280" s="48" t="str">
        <f t="shared" si="73"/>
        <v/>
      </c>
      <c r="AZ280" s="48" t="str">
        <f t="shared" si="74"/>
        <v/>
      </c>
      <c r="BA280" s="48" t="str">
        <f>IF($AZ280="","",RANK.EQ($AZ280,$AZ$8:$AZ$414,0)+COUNTIF($AZ$8:$AZ280,$AZ280)-1)</f>
        <v/>
      </c>
    </row>
    <row r="281" spans="1:53" ht="69.95" customHeight="1">
      <c r="A281" s="36" t="str">
        <f>IF($AZ281="","",RANK.EQ($AZ281,$AZ$8:$AZ$414,0)+COUNTIF($AZ$8:$AZ281,$AZ281)-1)</f>
        <v/>
      </c>
      <c r="B281" s="36" t="str">
        <f t="shared" si="61"/>
        <v/>
      </c>
      <c r="C281" s="36" t="s">
        <v>87</v>
      </c>
      <c r="D281" s="36" t="s">
        <v>1433</v>
      </c>
      <c r="E281" s="36" t="s">
        <v>4650</v>
      </c>
      <c r="F281" s="36" t="s">
        <v>194</v>
      </c>
      <c r="G281" s="36" t="str">
        <f>IF($H281="","",IFERROR(INDEX('Risk Library'!$H$5:$M$411,MATCH($E281,'Risk Library'!$A$5:$A$411,0),$H281+1),""))</f>
        <v/>
      </c>
      <c r="H281" s="37" t="str">
        <f>IF(OR(COUNTA('Marketing Comms'!$H$21)=0,'Marketing Comms'!$H$21="N/A"),"",VALUE('Marketing Comms'!$H$21))</f>
        <v/>
      </c>
      <c r="I281" s="36" t="str">
        <f>IF($H281="","",IFERROR(IF('Marketing Comms'!$L$21="",IF($H281&lt;=1,"Critical",IF($H281=2,"High",IF($H281=3,"Medium",IF($H281=4,"Low","Resilient")))),'Marketing Comms'!$L$21),IF($H281&lt;=1,"Critical",IF($H281=2,"High",IF($H281=3,"Medium",IF($H281=4,"Low","Resilient"))))))</f>
        <v/>
      </c>
      <c r="J281" s="37" t="str">
        <f t="shared" si="62"/>
        <v/>
      </c>
      <c r="K281" s="37" t="str">
        <f t="shared" si="63"/>
        <v/>
      </c>
      <c r="L281" s="37" t="str">
        <f t="shared" si="64"/>
        <v/>
      </c>
      <c r="M281" s="37" t="str">
        <f t="shared" si="65"/>
        <v/>
      </c>
      <c r="N281" s="37" t="str">
        <f>IF($H281="","",IFERROR(INDEX('Risk Library'!$T$5:$Y$411,MATCH($E281,'Risk Library'!$A$5:$A$411,0),$H281+1),""))</f>
        <v/>
      </c>
      <c r="O281" s="37" t="str">
        <f t="shared" si="66"/>
        <v/>
      </c>
      <c r="P281" s="37" t="str">
        <f t="shared" si="67"/>
        <v/>
      </c>
      <c r="Q281" s="37" t="str">
        <f t="shared" si="68"/>
        <v/>
      </c>
      <c r="R281" s="37" t="str">
        <f t="shared" si="69"/>
        <v/>
      </c>
      <c r="S281" s="38" t="str">
        <f t="shared" si="70"/>
        <v/>
      </c>
      <c r="T281" s="36" t="str">
        <f>IF($H281="","",IFERROR(INDEX('Risk Library'!$N$5:$S$411,MATCH($E281,'Risk Library'!$A$5:$A$411,0),$H281+1),""))</f>
        <v/>
      </c>
      <c r="U281" s="37">
        <f>IFERROR('Marketing Comms'!$G$21,"")</f>
        <v>5</v>
      </c>
      <c r="V281" s="37">
        <f>IFERROR('Marketing Comms'!$W$21,"")</f>
        <v>4</v>
      </c>
      <c r="W281" s="37">
        <f>IFERROR('Marketing Comms'!$X$21,"")</f>
        <v>5</v>
      </c>
      <c r="X281" s="37">
        <f>IFERROR('Marketing Comms'!$Y$21,"")</f>
        <v>5</v>
      </c>
      <c r="Y281" s="36" t="s">
        <v>4497</v>
      </c>
      <c r="Z281" s="36" t="s">
        <v>4498</v>
      </c>
      <c r="AA281" s="36" t="s">
        <v>4652</v>
      </c>
      <c r="AB281" s="36">
        <f>IFERROR('Marketing Comms'!$U$21,"")</f>
        <v>0</v>
      </c>
      <c r="AC281" s="36"/>
      <c r="AD281" s="36"/>
      <c r="AE281" s="36"/>
      <c r="AF281" s="36" t="s">
        <v>4651</v>
      </c>
      <c r="AO281" s="48" t="str">
        <f>IF($B281="Yes",IFERROR(SUMIFS(_TECH_Crisis_Model!$D$5:$D$191,_TECH_Crisis_Model!$A$5:$A$191,'Crisis Simulator'!$B$4,_TECH_Crisis_Model!$B$5:$B$191,$C281),1),"")</f>
        <v/>
      </c>
      <c r="AP281" s="48" t="str">
        <f t="shared" si="71"/>
        <v/>
      </c>
      <c r="AQ281" s="48" t="str">
        <f t="shared" si="72"/>
        <v/>
      </c>
      <c r="AR281" s="48" t="str">
        <f>IFERROR(INDEX(_TECH_Crisis_Model!$E$5:$E$191,MATCH('Crisis Simulator'!$B$4&amp;"|"&amp;$C281,_TECH_Crisis_Model!$I$5:$I$191,0)),"")</f>
        <v>Customer communication and reputation control determine trust during uncertainty.</v>
      </c>
      <c r="AS281" s="48" t="str">
        <f>IFERROR(INDEX(_TECH_Crisis_Model!$G$5:$G$191,MATCH('Crisis Simulator'!$B$4&amp;"|"&amp;$C281,_TECH_Crisis_Model!$I$5:$I$191,0)),"")</f>
        <v>Prepare crisis messages, customer notification templates, comms approval flow and brand monitoring.</v>
      </c>
      <c r="AT281" s="48" t="str">
        <f>IFERROR(INDEX(_TECH_Initiative_Library!$A$5:$A$76,MATCH(1,INDEX((_TECH_Initiative_Library!$B$5:$B$76=$C281)*(_TECH_Initiative_Library!$C$5:$C$76=$D281),0),0)),"")</f>
        <v>INI-047</v>
      </c>
      <c r="AU281" s="48" t="str">
        <f>IFERROR(INDEX(_TECH_Initiative_Library!$F$5:$F$76,MATCH(1,INDEX((_TECH_Initiative_Library!$B$5:$B$76=$C281)*(_TECH_Initiative_Library!$C$5:$C$76=$D281),0),0)),"")</f>
        <v>Standardize marketing operations, content and analytics cadence</v>
      </c>
      <c r="AV281" s="48" t="str">
        <f ca="1">IFERROR(INDEX(_TECH_Initiative_Library!$AC$5:$AC$76,MATCH(1,INDEX((_TECH_Initiative_Library!$B$5:$B$76=$C281)*(_TECH_Initiative_Library!$C$5:$C$76=$D281),0),0)),"")</f>
        <v/>
      </c>
      <c r="AW281" s="48" t="str">
        <f ca="1">IFERROR(INDEX(_TECH_Initiative_Library!$AE$5:$AE$76,MATCH(1,INDEX((_TECH_Initiative_Library!$B$5:$B$76=$C281)*(_TECH_Initiative_Library!$C$5:$C$76=$D281),0),0)),"")</f>
        <v/>
      </c>
      <c r="AX281" s="48" t="str">
        <f>IF($B281="Yes",IFERROR(SUMIFS(_TECH_Industry_Templates!$E:$E,_TECH_Industry_Templates!$A:$A,'Company Profile'!$B$9,_TECH_Industry_Templates!$B:$B,$C281),1),"")</f>
        <v/>
      </c>
      <c r="AY281" s="48" t="str">
        <f t="shared" si="73"/>
        <v/>
      </c>
      <c r="AZ281" s="48" t="str">
        <f t="shared" si="74"/>
        <v/>
      </c>
      <c r="BA281" s="48" t="str">
        <f>IF($AZ281="","",RANK.EQ($AZ281,$AZ$8:$AZ$414,0)+COUNTIF($AZ$8:$AZ281,$AZ281)-1)</f>
        <v/>
      </c>
    </row>
    <row r="282" spans="1:53" ht="69.95" customHeight="1">
      <c r="A282" s="36" t="str">
        <f>IF($AZ282="","",RANK.EQ($AZ282,$AZ$8:$AZ$414,0)+COUNTIF($AZ$8:$AZ282,$AZ282)-1)</f>
        <v/>
      </c>
      <c r="B282" s="36" t="str">
        <f t="shared" si="61"/>
        <v/>
      </c>
      <c r="C282" s="36" t="s">
        <v>90</v>
      </c>
      <c r="D282" s="36" t="s">
        <v>1441</v>
      </c>
      <c r="E282" s="36" t="s">
        <v>4662</v>
      </c>
      <c r="F282" s="36" t="s">
        <v>1446</v>
      </c>
      <c r="G282" s="36" t="str">
        <f>IF($H282="","",IFERROR(INDEX('Risk Library'!$H$5:$M$411,MATCH($E282,'Risk Library'!$A$5:$A$411,0),$H282+1),""))</f>
        <v/>
      </c>
      <c r="H282" s="37" t="str">
        <f>IF(OR(COUNTA('IT Cloud DR'!$H$5)=0,'IT Cloud DR'!$H$5="N/A"),"",VALUE('IT Cloud DR'!$H$5))</f>
        <v/>
      </c>
      <c r="I282" s="36" t="str">
        <f>IF($H282="","",IFERROR(IF('IT Cloud DR'!$L$5="",IF($H282&lt;=1,"Critical",IF($H282=2,"High",IF($H282=3,"Medium",IF($H282=4,"Low","Resilient")))),'IT Cloud DR'!$L$5),IF($H282&lt;=1,"Critical",IF($H282=2,"High",IF($H282=3,"Medium",IF($H282=4,"Low","Resilient"))))))</f>
        <v/>
      </c>
      <c r="J282" s="37" t="str">
        <f t="shared" si="62"/>
        <v/>
      </c>
      <c r="K282" s="37" t="str">
        <f t="shared" si="63"/>
        <v/>
      </c>
      <c r="L282" s="37" t="str">
        <f t="shared" si="64"/>
        <v/>
      </c>
      <c r="M282" s="37" t="str">
        <f t="shared" si="65"/>
        <v/>
      </c>
      <c r="N282" s="37" t="str">
        <f>IF($H282="","",IFERROR(INDEX('Risk Library'!$T$5:$Y$411,MATCH($E282,'Risk Library'!$A$5:$A$411,0),$H282+1),""))</f>
        <v/>
      </c>
      <c r="O282" s="37" t="str">
        <f t="shared" si="66"/>
        <v/>
      </c>
      <c r="P282" s="37" t="str">
        <f t="shared" si="67"/>
        <v/>
      </c>
      <c r="Q282" s="37" t="str">
        <f t="shared" si="68"/>
        <v/>
      </c>
      <c r="R282" s="37" t="str">
        <f t="shared" si="69"/>
        <v/>
      </c>
      <c r="S282" s="38" t="str">
        <f t="shared" si="70"/>
        <v/>
      </c>
      <c r="T282" s="36" t="str">
        <f>IF($H282="","",IFERROR(INDEX('Risk Library'!$N$5:$S$411,MATCH($E282,'Risk Library'!$A$5:$A$411,0),$H282+1),""))</f>
        <v/>
      </c>
      <c r="U282" s="37">
        <f>IFERROR('IT Cloud DR'!$G$5,"")</f>
        <v>5</v>
      </c>
      <c r="V282" s="37">
        <f>IFERROR('IT Cloud DR'!$W$5,"")</f>
        <v>5</v>
      </c>
      <c r="W282" s="37">
        <f>IFERROR('IT Cloud DR'!$X$5,"")</f>
        <v>5</v>
      </c>
      <c r="X282" s="37">
        <f>IFERROR('IT Cloud DR'!$Y$5,"")</f>
        <v>5</v>
      </c>
      <c r="Y282" s="36" t="s">
        <v>4673</v>
      </c>
      <c r="Z282" s="36" t="s">
        <v>4674</v>
      </c>
      <c r="AA282" s="36" t="s">
        <v>4666</v>
      </c>
      <c r="AB282" s="36">
        <f>IFERROR('IT Cloud DR'!$U$5,"")</f>
        <v>0</v>
      </c>
      <c r="AC282" s="36"/>
      <c r="AD282" s="36"/>
      <c r="AE282" s="36"/>
      <c r="AF282" s="36" t="s">
        <v>4663</v>
      </c>
      <c r="AO282" s="48" t="str">
        <f>IF($B282="Yes",IFERROR(SUMIFS(_TECH_Crisis_Model!$D$5:$D$191,_TECH_Crisis_Model!$A$5:$A$191,'Crisis Simulator'!$B$4,_TECH_Crisis_Model!$B$5:$B$191,$C282),1),"")</f>
        <v/>
      </c>
      <c r="AP282" s="48" t="str">
        <f t="shared" si="71"/>
        <v/>
      </c>
      <c r="AQ282" s="48" t="str">
        <f t="shared" si="72"/>
        <v/>
      </c>
      <c r="AR282" s="48" t="str">
        <f>IFERROR(INDEX(_TECH_Crisis_Model!$E$5:$E$191,MATCH('Crisis Simulator'!$B$4&amp;"|"&amp;$C282,_TECH_Crisis_Model!$I$5:$I$191,0)),"")</f>
        <v>Cloud, infrastructure, backups, RTO and RPO determine system recoverability.</v>
      </c>
      <c r="AS282" s="48" t="str">
        <f>IFERROR(INDEX(_TECH_Crisis_Model!$G$5:$G$191,MATCH('Crisis Simulator'!$B$4&amp;"|"&amp;$C282,_TECH_Crisis_Model!$I$5:$I$191,0)),"")</f>
        <v>Implement tested backups, DR runbooks, failover, cloud landing zones and RTO/RPO monitoring.</v>
      </c>
      <c r="AT282" s="48" t="str">
        <f>IFERROR(INDEX(_TECH_Initiative_Library!$A$5:$A$76,MATCH(1,INDEX((_TECH_Initiative_Library!$B$5:$B$76=$C282)*(_TECH_Initiative_Library!$C$5:$C$76=$D282),0),0)),"")</f>
        <v>INI-048</v>
      </c>
      <c r="AU282" s="48" t="str">
        <f>IFERROR(INDEX(_TECH_Initiative_Library!$F$5:$F$76,MATCH(1,INDEX((_TECH_Initiative_Library!$B$5:$B$76=$C282)*(_TECH_Initiative_Library!$C$5:$C$76=$D282),0),0)),"")</f>
        <v>Create IT asset, application and architecture criticality map</v>
      </c>
      <c r="AV282" s="48" t="str">
        <f ca="1">IFERROR(INDEX(_TECH_Initiative_Library!$AC$5:$AC$76,MATCH(1,INDEX((_TECH_Initiative_Library!$B$5:$B$76=$C282)*(_TECH_Initiative_Library!$C$5:$C$76=$D282),0),0)),"")</f>
        <v/>
      </c>
      <c r="AW282" s="48" t="str">
        <f ca="1">IFERROR(INDEX(_TECH_Initiative_Library!$AE$5:$AE$76,MATCH(1,INDEX((_TECH_Initiative_Library!$B$5:$B$76=$C282)*(_TECH_Initiative_Library!$C$5:$C$76=$D282),0),0)),"")</f>
        <v/>
      </c>
      <c r="AX282" s="48" t="str">
        <f>IF($B282="Yes",IFERROR(SUMIFS(_TECH_Industry_Templates!$E:$E,_TECH_Industry_Templates!$A:$A,'Company Profile'!$B$9,_TECH_Industry_Templates!$B:$B,$C282),1),"")</f>
        <v/>
      </c>
      <c r="AY282" s="48" t="str">
        <f t="shared" si="73"/>
        <v/>
      </c>
      <c r="AZ282" s="48" t="str">
        <f t="shared" si="74"/>
        <v/>
      </c>
      <c r="BA282" s="48" t="str">
        <f>IF($AZ282="","",RANK.EQ($AZ282,$AZ$8:$AZ$414,0)+COUNTIF($AZ$8:$AZ282,$AZ282)-1)</f>
        <v/>
      </c>
    </row>
    <row r="283" spans="1:53" ht="69.95" customHeight="1">
      <c r="A283" s="36" t="str">
        <f>IF($AZ283="","",RANK.EQ($AZ283,$AZ$8:$AZ$414,0)+COUNTIF($AZ$8:$AZ283,$AZ283)-1)</f>
        <v/>
      </c>
      <c r="B283" s="36" t="str">
        <f t="shared" si="61"/>
        <v/>
      </c>
      <c r="C283" s="36" t="s">
        <v>90</v>
      </c>
      <c r="D283" s="36" t="s">
        <v>1441</v>
      </c>
      <c r="E283" s="36" t="s">
        <v>4676</v>
      </c>
      <c r="F283" s="36" t="s">
        <v>1446</v>
      </c>
      <c r="G283" s="36" t="str">
        <f>IF($H283="","",IFERROR(INDEX('Risk Library'!$H$5:$M$411,MATCH($E283,'Risk Library'!$A$5:$A$411,0),$H283+1),""))</f>
        <v/>
      </c>
      <c r="H283" s="37" t="str">
        <f>IF(OR(COUNTA('IT Cloud DR'!$H$6)=0,'IT Cloud DR'!$H$6="N/A"),"",VALUE('IT Cloud DR'!$H$6))</f>
        <v/>
      </c>
      <c r="I283" s="36" t="str">
        <f>IF($H283="","",IFERROR(IF('IT Cloud DR'!$L$6="",IF($H283&lt;=1,"Critical",IF($H283=2,"High",IF($H283=3,"Medium",IF($H283=4,"Low","Resilient")))),'IT Cloud DR'!$L$6),IF($H283&lt;=1,"Critical",IF($H283=2,"High",IF($H283=3,"Medium",IF($H283=4,"Low","Resilient"))))))</f>
        <v/>
      </c>
      <c r="J283" s="37" t="str">
        <f t="shared" si="62"/>
        <v/>
      </c>
      <c r="K283" s="37" t="str">
        <f t="shared" si="63"/>
        <v/>
      </c>
      <c r="L283" s="37" t="str">
        <f t="shared" si="64"/>
        <v/>
      </c>
      <c r="M283" s="37" t="str">
        <f t="shared" si="65"/>
        <v/>
      </c>
      <c r="N283" s="37" t="str">
        <f>IF($H283="","",IFERROR(INDEX('Risk Library'!$T$5:$Y$411,MATCH($E283,'Risk Library'!$A$5:$A$411,0),$H283+1),""))</f>
        <v/>
      </c>
      <c r="O283" s="37" t="str">
        <f t="shared" si="66"/>
        <v/>
      </c>
      <c r="P283" s="37" t="str">
        <f t="shared" si="67"/>
        <v/>
      </c>
      <c r="Q283" s="37" t="str">
        <f t="shared" si="68"/>
        <v/>
      </c>
      <c r="R283" s="37" t="str">
        <f t="shared" si="69"/>
        <v/>
      </c>
      <c r="S283" s="38" t="str">
        <f t="shared" si="70"/>
        <v/>
      </c>
      <c r="T283" s="36" t="str">
        <f>IF($H283="","",IFERROR(INDEX('Risk Library'!$N$5:$S$411,MATCH($E283,'Risk Library'!$A$5:$A$411,0),$H283+1),""))</f>
        <v/>
      </c>
      <c r="U283" s="37">
        <f>IFERROR('IT Cloud DR'!$G$6,"")</f>
        <v>5</v>
      </c>
      <c r="V283" s="37">
        <f>IFERROR('IT Cloud DR'!$W$6,"")</f>
        <v>5</v>
      </c>
      <c r="W283" s="37">
        <f>IFERROR('IT Cloud DR'!$X$6,"")</f>
        <v>5</v>
      </c>
      <c r="X283" s="37">
        <f>IFERROR('IT Cloud DR'!$Y$6,"")</f>
        <v>5</v>
      </c>
      <c r="Y283" s="36" t="s">
        <v>4673</v>
      </c>
      <c r="Z283" s="36" t="s">
        <v>4674</v>
      </c>
      <c r="AA283" s="36" t="s">
        <v>4678</v>
      </c>
      <c r="AB283" s="36">
        <f>IFERROR('IT Cloud DR'!$U$6,"")</f>
        <v>0</v>
      </c>
      <c r="AC283" s="36"/>
      <c r="AD283" s="36"/>
      <c r="AE283" s="36"/>
      <c r="AF283" s="36" t="s">
        <v>4677</v>
      </c>
      <c r="AO283" s="48" t="str">
        <f>IF($B283="Yes",IFERROR(SUMIFS(_TECH_Crisis_Model!$D$5:$D$191,_TECH_Crisis_Model!$A$5:$A$191,'Crisis Simulator'!$B$4,_TECH_Crisis_Model!$B$5:$B$191,$C283),1),"")</f>
        <v/>
      </c>
      <c r="AP283" s="48" t="str">
        <f t="shared" si="71"/>
        <v/>
      </c>
      <c r="AQ283" s="48" t="str">
        <f t="shared" si="72"/>
        <v/>
      </c>
      <c r="AR283" s="48" t="str">
        <f>IFERROR(INDEX(_TECH_Crisis_Model!$E$5:$E$191,MATCH('Crisis Simulator'!$B$4&amp;"|"&amp;$C283,_TECH_Crisis_Model!$I$5:$I$191,0)),"")</f>
        <v>Cloud, infrastructure, backups, RTO and RPO determine system recoverability.</v>
      </c>
      <c r="AS283" s="48" t="str">
        <f>IFERROR(INDEX(_TECH_Crisis_Model!$G$5:$G$191,MATCH('Crisis Simulator'!$B$4&amp;"|"&amp;$C283,_TECH_Crisis_Model!$I$5:$I$191,0)),"")</f>
        <v>Implement tested backups, DR runbooks, failover, cloud landing zones and RTO/RPO monitoring.</v>
      </c>
      <c r="AT283" s="48" t="str">
        <f>IFERROR(INDEX(_TECH_Initiative_Library!$A$5:$A$76,MATCH(1,INDEX((_TECH_Initiative_Library!$B$5:$B$76=$C283)*(_TECH_Initiative_Library!$C$5:$C$76=$D283),0),0)),"")</f>
        <v>INI-048</v>
      </c>
      <c r="AU283" s="48" t="str">
        <f>IFERROR(INDEX(_TECH_Initiative_Library!$F$5:$F$76,MATCH(1,INDEX((_TECH_Initiative_Library!$B$5:$B$76=$C283)*(_TECH_Initiative_Library!$C$5:$C$76=$D283),0),0)),"")</f>
        <v>Create IT asset, application and architecture criticality map</v>
      </c>
      <c r="AV283" s="48" t="str">
        <f ca="1">IFERROR(INDEX(_TECH_Initiative_Library!$AC$5:$AC$76,MATCH(1,INDEX((_TECH_Initiative_Library!$B$5:$B$76=$C283)*(_TECH_Initiative_Library!$C$5:$C$76=$D283),0),0)),"")</f>
        <v/>
      </c>
      <c r="AW283" s="48" t="str">
        <f ca="1">IFERROR(INDEX(_TECH_Initiative_Library!$AE$5:$AE$76,MATCH(1,INDEX((_TECH_Initiative_Library!$B$5:$B$76=$C283)*(_TECH_Initiative_Library!$C$5:$C$76=$D283),0),0)),"")</f>
        <v/>
      </c>
      <c r="AX283" s="48" t="str">
        <f>IF($B283="Yes",IFERROR(SUMIFS(_TECH_Industry_Templates!$E:$E,_TECH_Industry_Templates!$A:$A,'Company Profile'!$B$9,_TECH_Industry_Templates!$B:$B,$C283),1),"")</f>
        <v/>
      </c>
      <c r="AY283" s="48" t="str">
        <f t="shared" si="73"/>
        <v/>
      </c>
      <c r="AZ283" s="48" t="str">
        <f t="shared" si="74"/>
        <v/>
      </c>
      <c r="BA283" s="48" t="str">
        <f>IF($AZ283="","",RANK.EQ($AZ283,$AZ$8:$AZ$414,0)+COUNTIF($AZ$8:$AZ283,$AZ283)-1)</f>
        <v/>
      </c>
    </row>
    <row r="284" spans="1:53" ht="69.95" customHeight="1">
      <c r="A284" s="36" t="str">
        <f>IF($AZ284="","",RANK.EQ($AZ284,$AZ$8:$AZ$414,0)+COUNTIF($AZ$8:$AZ284,$AZ284)-1)</f>
        <v/>
      </c>
      <c r="B284" s="36" t="str">
        <f t="shared" si="61"/>
        <v/>
      </c>
      <c r="C284" s="36" t="s">
        <v>90</v>
      </c>
      <c r="D284" s="36" t="s">
        <v>1441</v>
      </c>
      <c r="E284" s="36" t="s">
        <v>4686</v>
      </c>
      <c r="F284" s="36" t="s">
        <v>1446</v>
      </c>
      <c r="G284" s="36" t="str">
        <f>IF($H284="","",IFERROR(INDEX('Risk Library'!$H$5:$M$411,MATCH($E284,'Risk Library'!$A$5:$A$411,0),$H284+1),""))</f>
        <v/>
      </c>
      <c r="H284" s="37" t="str">
        <f>IF(OR(COUNTA('IT Cloud DR'!$H$7)=0,'IT Cloud DR'!$H$7="N/A"),"",VALUE('IT Cloud DR'!$H$7))</f>
        <v/>
      </c>
      <c r="I284" s="36" t="str">
        <f>IF($H284="","",IFERROR(IF('IT Cloud DR'!$L$7="",IF($H284&lt;=1,"Critical",IF($H284=2,"High",IF($H284=3,"Medium",IF($H284=4,"Low","Resilient")))),'IT Cloud DR'!$L$7),IF($H284&lt;=1,"Critical",IF($H284=2,"High",IF($H284=3,"Medium",IF($H284=4,"Low","Resilient"))))))</f>
        <v/>
      </c>
      <c r="J284" s="37" t="str">
        <f t="shared" si="62"/>
        <v/>
      </c>
      <c r="K284" s="37" t="str">
        <f t="shared" si="63"/>
        <v/>
      </c>
      <c r="L284" s="37" t="str">
        <f t="shared" si="64"/>
        <v/>
      </c>
      <c r="M284" s="37" t="str">
        <f t="shared" si="65"/>
        <v/>
      </c>
      <c r="N284" s="37" t="str">
        <f>IF($H284="","",IFERROR(INDEX('Risk Library'!$T$5:$Y$411,MATCH($E284,'Risk Library'!$A$5:$A$411,0),$H284+1),""))</f>
        <v/>
      </c>
      <c r="O284" s="37" t="str">
        <f t="shared" si="66"/>
        <v/>
      </c>
      <c r="P284" s="37" t="str">
        <f t="shared" si="67"/>
        <v/>
      </c>
      <c r="Q284" s="37" t="str">
        <f t="shared" si="68"/>
        <v/>
      </c>
      <c r="R284" s="37" t="str">
        <f t="shared" si="69"/>
        <v/>
      </c>
      <c r="S284" s="38" t="str">
        <f t="shared" si="70"/>
        <v/>
      </c>
      <c r="T284" s="36" t="str">
        <f>IF($H284="","",IFERROR(INDEX('Risk Library'!$N$5:$S$411,MATCH($E284,'Risk Library'!$A$5:$A$411,0),$H284+1),""))</f>
        <v/>
      </c>
      <c r="U284" s="37">
        <f>IFERROR('IT Cloud DR'!$G$7,"")</f>
        <v>3</v>
      </c>
      <c r="V284" s="37">
        <f>IFERROR('IT Cloud DR'!$W$7,"")</f>
        <v>5</v>
      </c>
      <c r="W284" s="37">
        <f>IFERROR('IT Cloud DR'!$X$7,"")</f>
        <v>5</v>
      </c>
      <c r="X284" s="37">
        <f>IFERROR('IT Cloud DR'!$Y$7,"")</f>
        <v>5</v>
      </c>
      <c r="Y284" s="36" t="s">
        <v>4673</v>
      </c>
      <c r="Z284" s="36" t="s">
        <v>4674</v>
      </c>
      <c r="AA284" s="36" t="s">
        <v>4688</v>
      </c>
      <c r="AB284" s="36">
        <f>IFERROR('IT Cloud DR'!$U$7,"")</f>
        <v>0</v>
      </c>
      <c r="AC284" s="36"/>
      <c r="AD284" s="36"/>
      <c r="AE284" s="36"/>
      <c r="AF284" s="36" t="s">
        <v>4687</v>
      </c>
      <c r="AO284" s="48" t="str">
        <f>IF($B284="Yes",IFERROR(SUMIFS(_TECH_Crisis_Model!$D$5:$D$191,_TECH_Crisis_Model!$A$5:$A$191,'Crisis Simulator'!$B$4,_TECH_Crisis_Model!$B$5:$B$191,$C284),1),"")</f>
        <v/>
      </c>
      <c r="AP284" s="48" t="str">
        <f t="shared" si="71"/>
        <v/>
      </c>
      <c r="AQ284" s="48" t="str">
        <f t="shared" si="72"/>
        <v/>
      </c>
      <c r="AR284" s="48" t="str">
        <f>IFERROR(INDEX(_TECH_Crisis_Model!$E$5:$E$191,MATCH('Crisis Simulator'!$B$4&amp;"|"&amp;$C284,_TECH_Crisis_Model!$I$5:$I$191,0)),"")</f>
        <v>Cloud, infrastructure, backups, RTO and RPO determine system recoverability.</v>
      </c>
      <c r="AS284" s="48" t="str">
        <f>IFERROR(INDEX(_TECH_Crisis_Model!$G$5:$G$191,MATCH('Crisis Simulator'!$B$4&amp;"|"&amp;$C284,_TECH_Crisis_Model!$I$5:$I$191,0)),"")</f>
        <v>Implement tested backups, DR runbooks, failover, cloud landing zones and RTO/RPO monitoring.</v>
      </c>
      <c r="AT284" s="48" t="str">
        <f>IFERROR(INDEX(_TECH_Initiative_Library!$A$5:$A$76,MATCH(1,INDEX((_TECH_Initiative_Library!$B$5:$B$76=$C284)*(_TECH_Initiative_Library!$C$5:$C$76=$D284),0),0)),"")</f>
        <v>INI-048</v>
      </c>
      <c r="AU284" s="48" t="str">
        <f>IFERROR(INDEX(_TECH_Initiative_Library!$F$5:$F$76,MATCH(1,INDEX((_TECH_Initiative_Library!$B$5:$B$76=$C284)*(_TECH_Initiative_Library!$C$5:$C$76=$D284),0),0)),"")</f>
        <v>Create IT asset, application and architecture criticality map</v>
      </c>
      <c r="AV284" s="48" t="str">
        <f ca="1">IFERROR(INDEX(_TECH_Initiative_Library!$AC$5:$AC$76,MATCH(1,INDEX((_TECH_Initiative_Library!$B$5:$B$76=$C284)*(_TECH_Initiative_Library!$C$5:$C$76=$D284),0),0)),"")</f>
        <v/>
      </c>
      <c r="AW284" s="48" t="str">
        <f ca="1">IFERROR(INDEX(_TECH_Initiative_Library!$AE$5:$AE$76,MATCH(1,INDEX((_TECH_Initiative_Library!$B$5:$B$76=$C284)*(_TECH_Initiative_Library!$C$5:$C$76=$D284),0),0)),"")</f>
        <v/>
      </c>
      <c r="AX284" s="48" t="str">
        <f>IF($B284="Yes",IFERROR(SUMIFS(_TECH_Industry_Templates!$E:$E,_TECH_Industry_Templates!$A:$A,'Company Profile'!$B$9,_TECH_Industry_Templates!$B:$B,$C284),1),"")</f>
        <v/>
      </c>
      <c r="AY284" s="48" t="str">
        <f t="shared" si="73"/>
        <v/>
      </c>
      <c r="AZ284" s="48" t="str">
        <f t="shared" si="74"/>
        <v/>
      </c>
      <c r="BA284" s="48" t="str">
        <f>IF($AZ284="","",RANK.EQ($AZ284,$AZ$8:$AZ$414,0)+COUNTIF($AZ$8:$AZ284,$AZ284)-1)</f>
        <v/>
      </c>
    </row>
    <row r="285" spans="1:53" ht="69.95" customHeight="1">
      <c r="A285" s="36" t="str">
        <f>IF($AZ285="","",RANK.EQ($AZ285,$AZ$8:$AZ$414,0)+COUNTIF($AZ$8:$AZ285,$AZ285)-1)</f>
        <v/>
      </c>
      <c r="B285" s="36" t="str">
        <f t="shared" si="61"/>
        <v/>
      </c>
      <c r="C285" s="36" t="s">
        <v>90</v>
      </c>
      <c r="D285" s="36" t="s">
        <v>1441</v>
      </c>
      <c r="E285" s="36" t="s">
        <v>4696</v>
      </c>
      <c r="F285" s="36" t="s">
        <v>1446</v>
      </c>
      <c r="G285" s="36" t="str">
        <f>IF($H285="","",IFERROR(INDEX('Risk Library'!$H$5:$M$411,MATCH($E285,'Risk Library'!$A$5:$A$411,0),$H285+1),""))</f>
        <v/>
      </c>
      <c r="H285" s="37" t="str">
        <f>IF(OR(COUNTA('IT Cloud DR'!$H$8)=0,'IT Cloud DR'!$H$8="N/A"),"",VALUE('IT Cloud DR'!$H$8))</f>
        <v/>
      </c>
      <c r="I285" s="36" t="str">
        <f>IF($H285="","",IFERROR(IF('IT Cloud DR'!$L$8="",IF($H285&lt;=1,"Critical",IF($H285=2,"High",IF($H285=3,"Medium",IF($H285=4,"Low","Resilient")))),'IT Cloud DR'!$L$8),IF($H285&lt;=1,"Critical",IF($H285=2,"High",IF($H285=3,"Medium",IF($H285=4,"Low","Resilient"))))))</f>
        <v/>
      </c>
      <c r="J285" s="37" t="str">
        <f t="shared" si="62"/>
        <v/>
      </c>
      <c r="K285" s="37" t="str">
        <f t="shared" si="63"/>
        <v/>
      </c>
      <c r="L285" s="37" t="str">
        <f t="shared" si="64"/>
        <v/>
      </c>
      <c r="M285" s="37" t="str">
        <f t="shared" si="65"/>
        <v/>
      </c>
      <c r="N285" s="37" t="str">
        <f>IF($H285="","",IFERROR(INDEX('Risk Library'!$T$5:$Y$411,MATCH($E285,'Risk Library'!$A$5:$A$411,0),$H285+1),""))</f>
        <v/>
      </c>
      <c r="O285" s="37" t="str">
        <f t="shared" si="66"/>
        <v/>
      </c>
      <c r="P285" s="37" t="str">
        <f t="shared" si="67"/>
        <v/>
      </c>
      <c r="Q285" s="37" t="str">
        <f t="shared" si="68"/>
        <v/>
      </c>
      <c r="R285" s="37" t="str">
        <f t="shared" si="69"/>
        <v/>
      </c>
      <c r="S285" s="38" t="str">
        <f t="shared" si="70"/>
        <v/>
      </c>
      <c r="T285" s="36" t="str">
        <f>IF($H285="","",IFERROR(INDEX('Risk Library'!$N$5:$S$411,MATCH($E285,'Risk Library'!$A$5:$A$411,0),$H285+1),""))</f>
        <v/>
      </c>
      <c r="U285" s="37">
        <f>IFERROR('IT Cloud DR'!$G$8,"")</f>
        <v>5</v>
      </c>
      <c r="V285" s="37">
        <f>IFERROR('IT Cloud DR'!$W$8,"")</f>
        <v>5</v>
      </c>
      <c r="W285" s="37">
        <f>IFERROR('IT Cloud DR'!$X$8,"")</f>
        <v>5</v>
      </c>
      <c r="X285" s="37">
        <f>IFERROR('IT Cloud DR'!$Y$8,"")</f>
        <v>5</v>
      </c>
      <c r="Y285" s="36" t="s">
        <v>4673</v>
      </c>
      <c r="Z285" s="36" t="s">
        <v>4674</v>
      </c>
      <c r="AA285" s="36" t="s">
        <v>4698</v>
      </c>
      <c r="AB285" s="36">
        <f>IFERROR('IT Cloud DR'!$U$8,"")</f>
        <v>0</v>
      </c>
      <c r="AC285" s="36"/>
      <c r="AD285" s="36"/>
      <c r="AE285" s="36"/>
      <c r="AF285" s="36" t="s">
        <v>4697</v>
      </c>
      <c r="AO285" s="48" t="str">
        <f>IF($B285="Yes",IFERROR(SUMIFS(_TECH_Crisis_Model!$D$5:$D$191,_TECH_Crisis_Model!$A$5:$A$191,'Crisis Simulator'!$B$4,_TECH_Crisis_Model!$B$5:$B$191,$C285),1),"")</f>
        <v/>
      </c>
      <c r="AP285" s="48" t="str">
        <f t="shared" si="71"/>
        <v/>
      </c>
      <c r="AQ285" s="48" t="str">
        <f t="shared" si="72"/>
        <v/>
      </c>
      <c r="AR285" s="48" t="str">
        <f>IFERROR(INDEX(_TECH_Crisis_Model!$E$5:$E$191,MATCH('Crisis Simulator'!$B$4&amp;"|"&amp;$C285,_TECH_Crisis_Model!$I$5:$I$191,0)),"")</f>
        <v>Cloud, infrastructure, backups, RTO and RPO determine system recoverability.</v>
      </c>
      <c r="AS285" s="48" t="str">
        <f>IFERROR(INDEX(_TECH_Crisis_Model!$G$5:$G$191,MATCH('Crisis Simulator'!$B$4&amp;"|"&amp;$C285,_TECH_Crisis_Model!$I$5:$I$191,0)),"")</f>
        <v>Implement tested backups, DR runbooks, failover, cloud landing zones and RTO/RPO monitoring.</v>
      </c>
      <c r="AT285" s="48" t="str">
        <f>IFERROR(INDEX(_TECH_Initiative_Library!$A$5:$A$76,MATCH(1,INDEX((_TECH_Initiative_Library!$B$5:$B$76=$C285)*(_TECH_Initiative_Library!$C$5:$C$76=$D285),0),0)),"")</f>
        <v>INI-048</v>
      </c>
      <c r="AU285" s="48" t="str">
        <f>IFERROR(INDEX(_TECH_Initiative_Library!$F$5:$F$76,MATCH(1,INDEX((_TECH_Initiative_Library!$B$5:$B$76=$C285)*(_TECH_Initiative_Library!$C$5:$C$76=$D285),0),0)),"")</f>
        <v>Create IT asset, application and architecture criticality map</v>
      </c>
      <c r="AV285" s="48" t="str">
        <f ca="1">IFERROR(INDEX(_TECH_Initiative_Library!$AC$5:$AC$76,MATCH(1,INDEX((_TECH_Initiative_Library!$B$5:$B$76=$C285)*(_TECH_Initiative_Library!$C$5:$C$76=$D285),0),0)),"")</f>
        <v/>
      </c>
      <c r="AW285" s="48" t="str">
        <f ca="1">IFERROR(INDEX(_TECH_Initiative_Library!$AE$5:$AE$76,MATCH(1,INDEX((_TECH_Initiative_Library!$B$5:$B$76=$C285)*(_TECH_Initiative_Library!$C$5:$C$76=$D285),0),0)),"")</f>
        <v/>
      </c>
      <c r="AX285" s="48" t="str">
        <f>IF($B285="Yes",IFERROR(SUMIFS(_TECH_Industry_Templates!$E:$E,_TECH_Industry_Templates!$A:$A,'Company Profile'!$B$9,_TECH_Industry_Templates!$B:$B,$C285),1),"")</f>
        <v/>
      </c>
      <c r="AY285" s="48" t="str">
        <f t="shared" si="73"/>
        <v/>
      </c>
      <c r="AZ285" s="48" t="str">
        <f t="shared" si="74"/>
        <v/>
      </c>
      <c r="BA285" s="48" t="str">
        <f>IF($AZ285="","",RANK.EQ($AZ285,$AZ$8:$AZ$414,0)+COUNTIF($AZ$8:$AZ285,$AZ285)-1)</f>
        <v/>
      </c>
    </row>
    <row r="286" spans="1:53" ht="69.95" customHeight="1">
      <c r="A286" s="36" t="str">
        <f>IF($AZ286="","",RANK.EQ($AZ286,$AZ$8:$AZ$414,0)+COUNTIF($AZ$8:$AZ286,$AZ286)-1)</f>
        <v/>
      </c>
      <c r="B286" s="36" t="str">
        <f t="shared" si="61"/>
        <v/>
      </c>
      <c r="C286" s="36" t="s">
        <v>90</v>
      </c>
      <c r="D286" s="36" t="s">
        <v>1441</v>
      </c>
      <c r="E286" s="36" t="s">
        <v>4706</v>
      </c>
      <c r="F286" s="36" t="s">
        <v>1446</v>
      </c>
      <c r="G286" s="36" t="str">
        <f>IF($H286="","",IFERROR(INDEX('Risk Library'!$H$5:$M$411,MATCH($E286,'Risk Library'!$A$5:$A$411,0),$H286+1),""))</f>
        <v/>
      </c>
      <c r="H286" s="37" t="str">
        <f>IF(OR(COUNTA('IT Cloud DR'!$H$9)=0,'IT Cloud DR'!$H$9="N/A"),"",VALUE('IT Cloud DR'!$H$9))</f>
        <v/>
      </c>
      <c r="I286" s="36" t="str">
        <f>IF($H286="","",IFERROR(IF('IT Cloud DR'!$L$9="",IF($H286&lt;=1,"Critical",IF($H286=2,"High",IF($H286=3,"Medium",IF($H286=4,"Low","Resilient")))),'IT Cloud DR'!$L$9),IF($H286&lt;=1,"Critical",IF($H286=2,"High",IF($H286=3,"Medium",IF($H286=4,"Low","Resilient"))))))</f>
        <v/>
      </c>
      <c r="J286" s="37" t="str">
        <f t="shared" si="62"/>
        <v/>
      </c>
      <c r="K286" s="37" t="str">
        <f t="shared" si="63"/>
        <v/>
      </c>
      <c r="L286" s="37" t="str">
        <f t="shared" si="64"/>
        <v/>
      </c>
      <c r="M286" s="37" t="str">
        <f t="shared" si="65"/>
        <v/>
      </c>
      <c r="N286" s="37" t="str">
        <f>IF($H286="","",IFERROR(INDEX('Risk Library'!$T$5:$Y$411,MATCH($E286,'Risk Library'!$A$5:$A$411,0),$H286+1),""))</f>
        <v/>
      </c>
      <c r="O286" s="37" t="str">
        <f t="shared" si="66"/>
        <v/>
      </c>
      <c r="P286" s="37" t="str">
        <f t="shared" si="67"/>
        <v/>
      </c>
      <c r="Q286" s="37" t="str">
        <f t="shared" si="68"/>
        <v/>
      </c>
      <c r="R286" s="37" t="str">
        <f t="shared" si="69"/>
        <v/>
      </c>
      <c r="S286" s="38" t="str">
        <f t="shared" si="70"/>
        <v/>
      </c>
      <c r="T286" s="36" t="str">
        <f>IF($H286="","",IFERROR(INDEX('Risk Library'!$N$5:$S$411,MATCH($E286,'Risk Library'!$A$5:$A$411,0),$H286+1),""))</f>
        <v/>
      </c>
      <c r="U286" s="37">
        <f>IFERROR('IT Cloud DR'!$G$9,"")</f>
        <v>4</v>
      </c>
      <c r="V286" s="37">
        <f>IFERROR('IT Cloud DR'!$W$9,"")</f>
        <v>5</v>
      </c>
      <c r="W286" s="37">
        <f>IFERROR('IT Cloud DR'!$X$9,"")</f>
        <v>5</v>
      </c>
      <c r="X286" s="37">
        <f>IFERROR('IT Cloud DR'!$Y$9,"")</f>
        <v>5</v>
      </c>
      <c r="Y286" s="36" t="s">
        <v>4673</v>
      </c>
      <c r="Z286" s="36" t="s">
        <v>4674</v>
      </c>
      <c r="AA286" s="36" t="s">
        <v>4708</v>
      </c>
      <c r="AB286" s="36">
        <f>IFERROR('IT Cloud DR'!$U$9,"")</f>
        <v>0</v>
      </c>
      <c r="AC286" s="36"/>
      <c r="AD286" s="36"/>
      <c r="AE286" s="36"/>
      <c r="AF286" s="36" t="s">
        <v>4707</v>
      </c>
      <c r="AO286" s="48" t="str">
        <f>IF($B286="Yes",IFERROR(SUMIFS(_TECH_Crisis_Model!$D$5:$D$191,_TECH_Crisis_Model!$A$5:$A$191,'Crisis Simulator'!$B$4,_TECH_Crisis_Model!$B$5:$B$191,$C286),1),"")</f>
        <v/>
      </c>
      <c r="AP286" s="48" t="str">
        <f t="shared" si="71"/>
        <v/>
      </c>
      <c r="AQ286" s="48" t="str">
        <f t="shared" si="72"/>
        <v/>
      </c>
      <c r="AR286" s="48" t="str">
        <f>IFERROR(INDEX(_TECH_Crisis_Model!$E$5:$E$191,MATCH('Crisis Simulator'!$B$4&amp;"|"&amp;$C286,_TECH_Crisis_Model!$I$5:$I$191,0)),"")</f>
        <v>Cloud, infrastructure, backups, RTO and RPO determine system recoverability.</v>
      </c>
      <c r="AS286" s="48" t="str">
        <f>IFERROR(INDEX(_TECH_Crisis_Model!$G$5:$G$191,MATCH('Crisis Simulator'!$B$4&amp;"|"&amp;$C286,_TECH_Crisis_Model!$I$5:$I$191,0)),"")</f>
        <v>Implement tested backups, DR runbooks, failover, cloud landing zones and RTO/RPO monitoring.</v>
      </c>
      <c r="AT286" s="48" t="str">
        <f>IFERROR(INDEX(_TECH_Initiative_Library!$A$5:$A$76,MATCH(1,INDEX((_TECH_Initiative_Library!$B$5:$B$76=$C286)*(_TECH_Initiative_Library!$C$5:$C$76=$D286),0),0)),"")</f>
        <v>INI-048</v>
      </c>
      <c r="AU286" s="48" t="str">
        <f>IFERROR(INDEX(_TECH_Initiative_Library!$F$5:$F$76,MATCH(1,INDEX((_TECH_Initiative_Library!$B$5:$B$76=$C286)*(_TECH_Initiative_Library!$C$5:$C$76=$D286),0),0)),"")</f>
        <v>Create IT asset, application and architecture criticality map</v>
      </c>
      <c r="AV286" s="48" t="str">
        <f ca="1">IFERROR(INDEX(_TECH_Initiative_Library!$AC$5:$AC$76,MATCH(1,INDEX((_TECH_Initiative_Library!$B$5:$B$76=$C286)*(_TECH_Initiative_Library!$C$5:$C$76=$D286),0),0)),"")</f>
        <v/>
      </c>
      <c r="AW286" s="48" t="str">
        <f ca="1">IFERROR(INDEX(_TECH_Initiative_Library!$AE$5:$AE$76,MATCH(1,INDEX((_TECH_Initiative_Library!$B$5:$B$76=$C286)*(_TECH_Initiative_Library!$C$5:$C$76=$D286),0),0)),"")</f>
        <v/>
      </c>
      <c r="AX286" s="48" t="str">
        <f>IF($B286="Yes",IFERROR(SUMIFS(_TECH_Industry_Templates!$E:$E,_TECH_Industry_Templates!$A:$A,'Company Profile'!$B$9,_TECH_Industry_Templates!$B:$B,$C286),1),"")</f>
        <v/>
      </c>
      <c r="AY286" s="48" t="str">
        <f t="shared" si="73"/>
        <v/>
      </c>
      <c r="AZ286" s="48" t="str">
        <f t="shared" si="74"/>
        <v/>
      </c>
      <c r="BA286" s="48" t="str">
        <f>IF($AZ286="","",RANK.EQ($AZ286,$AZ$8:$AZ$414,0)+COUNTIF($AZ$8:$AZ286,$AZ286)-1)</f>
        <v/>
      </c>
    </row>
    <row r="287" spans="1:53" ht="69.95" customHeight="1">
      <c r="A287" s="36" t="str">
        <f>IF($AZ287="","",RANK.EQ($AZ287,$AZ$8:$AZ$414,0)+COUNTIF($AZ$8:$AZ287,$AZ287)-1)</f>
        <v/>
      </c>
      <c r="B287" s="36" t="str">
        <f t="shared" si="61"/>
        <v/>
      </c>
      <c r="C287" s="36" t="s">
        <v>90</v>
      </c>
      <c r="D287" s="36" t="s">
        <v>1441</v>
      </c>
      <c r="E287" s="36" t="s">
        <v>4716</v>
      </c>
      <c r="F287" s="36" t="s">
        <v>1446</v>
      </c>
      <c r="G287" s="36" t="str">
        <f>IF($H287="","",IFERROR(INDEX('Risk Library'!$H$5:$M$411,MATCH($E287,'Risk Library'!$A$5:$A$411,0),$H287+1),""))</f>
        <v/>
      </c>
      <c r="H287" s="37" t="str">
        <f>IF(OR(COUNTA('IT Cloud DR'!$H$10)=0,'IT Cloud DR'!$H$10="N/A"),"",VALUE('IT Cloud DR'!$H$10))</f>
        <v/>
      </c>
      <c r="I287" s="36" t="str">
        <f>IF($H287="","",IFERROR(IF('IT Cloud DR'!$L$10="",IF($H287&lt;=1,"Critical",IF($H287=2,"High",IF($H287=3,"Medium",IF($H287=4,"Low","Resilient")))),'IT Cloud DR'!$L$10),IF($H287&lt;=1,"Critical",IF($H287=2,"High",IF($H287=3,"Medium",IF($H287=4,"Low","Resilient"))))))</f>
        <v/>
      </c>
      <c r="J287" s="37" t="str">
        <f t="shared" si="62"/>
        <v/>
      </c>
      <c r="K287" s="37" t="str">
        <f t="shared" si="63"/>
        <v/>
      </c>
      <c r="L287" s="37" t="str">
        <f t="shared" si="64"/>
        <v/>
      </c>
      <c r="M287" s="37" t="str">
        <f t="shared" si="65"/>
        <v/>
      </c>
      <c r="N287" s="37" t="str">
        <f>IF($H287="","",IFERROR(INDEX('Risk Library'!$T$5:$Y$411,MATCH($E287,'Risk Library'!$A$5:$A$411,0),$H287+1),""))</f>
        <v/>
      </c>
      <c r="O287" s="37" t="str">
        <f t="shared" si="66"/>
        <v/>
      </c>
      <c r="P287" s="37" t="str">
        <f t="shared" si="67"/>
        <v/>
      </c>
      <c r="Q287" s="37" t="str">
        <f t="shared" si="68"/>
        <v/>
      </c>
      <c r="R287" s="37" t="str">
        <f t="shared" si="69"/>
        <v/>
      </c>
      <c r="S287" s="38" t="str">
        <f t="shared" si="70"/>
        <v/>
      </c>
      <c r="T287" s="36" t="str">
        <f>IF($H287="","",IFERROR(INDEX('Risk Library'!$N$5:$S$411,MATCH($E287,'Risk Library'!$A$5:$A$411,0),$H287+1),""))</f>
        <v/>
      </c>
      <c r="U287" s="37">
        <f>IFERROR('IT Cloud DR'!$G$10,"")</f>
        <v>3</v>
      </c>
      <c r="V287" s="37">
        <f>IFERROR('IT Cloud DR'!$W$10,"")</f>
        <v>5</v>
      </c>
      <c r="W287" s="37">
        <f>IFERROR('IT Cloud DR'!$X$10,"")</f>
        <v>5</v>
      </c>
      <c r="X287" s="37">
        <f>IFERROR('IT Cloud DR'!$Y$10,"")</f>
        <v>5</v>
      </c>
      <c r="Y287" s="36" t="s">
        <v>4673</v>
      </c>
      <c r="Z287" s="36" t="s">
        <v>4674</v>
      </c>
      <c r="AA287" s="36" t="s">
        <v>4718</v>
      </c>
      <c r="AB287" s="36">
        <f>IFERROR('IT Cloud DR'!$U$10,"")</f>
        <v>0</v>
      </c>
      <c r="AC287" s="36"/>
      <c r="AD287" s="36"/>
      <c r="AE287" s="36"/>
      <c r="AF287" s="36" t="s">
        <v>4717</v>
      </c>
      <c r="AO287" s="48" t="str">
        <f>IF($B287="Yes",IFERROR(SUMIFS(_TECH_Crisis_Model!$D$5:$D$191,_TECH_Crisis_Model!$A$5:$A$191,'Crisis Simulator'!$B$4,_TECH_Crisis_Model!$B$5:$B$191,$C287),1),"")</f>
        <v/>
      </c>
      <c r="AP287" s="48" t="str">
        <f t="shared" si="71"/>
        <v/>
      </c>
      <c r="AQ287" s="48" t="str">
        <f t="shared" si="72"/>
        <v/>
      </c>
      <c r="AR287" s="48" t="str">
        <f>IFERROR(INDEX(_TECH_Crisis_Model!$E$5:$E$191,MATCH('Crisis Simulator'!$B$4&amp;"|"&amp;$C287,_TECH_Crisis_Model!$I$5:$I$191,0)),"")</f>
        <v>Cloud, infrastructure, backups, RTO and RPO determine system recoverability.</v>
      </c>
      <c r="AS287" s="48" t="str">
        <f>IFERROR(INDEX(_TECH_Crisis_Model!$G$5:$G$191,MATCH('Crisis Simulator'!$B$4&amp;"|"&amp;$C287,_TECH_Crisis_Model!$I$5:$I$191,0)),"")</f>
        <v>Implement tested backups, DR runbooks, failover, cloud landing zones and RTO/RPO monitoring.</v>
      </c>
      <c r="AT287" s="48" t="str">
        <f>IFERROR(INDEX(_TECH_Initiative_Library!$A$5:$A$76,MATCH(1,INDEX((_TECH_Initiative_Library!$B$5:$B$76=$C287)*(_TECH_Initiative_Library!$C$5:$C$76=$D287),0),0)),"")</f>
        <v>INI-048</v>
      </c>
      <c r="AU287" s="48" t="str">
        <f>IFERROR(INDEX(_TECH_Initiative_Library!$F$5:$F$76,MATCH(1,INDEX((_TECH_Initiative_Library!$B$5:$B$76=$C287)*(_TECH_Initiative_Library!$C$5:$C$76=$D287),0),0)),"")</f>
        <v>Create IT asset, application and architecture criticality map</v>
      </c>
      <c r="AV287" s="48" t="str">
        <f ca="1">IFERROR(INDEX(_TECH_Initiative_Library!$AC$5:$AC$76,MATCH(1,INDEX((_TECH_Initiative_Library!$B$5:$B$76=$C287)*(_TECH_Initiative_Library!$C$5:$C$76=$D287),0),0)),"")</f>
        <v/>
      </c>
      <c r="AW287" s="48" t="str">
        <f ca="1">IFERROR(INDEX(_TECH_Initiative_Library!$AE$5:$AE$76,MATCH(1,INDEX((_TECH_Initiative_Library!$B$5:$B$76=$C287)*(_TECH_Initiative_Library!$C$5:$C$76=$D287),0),0)),"")</f>
        <v/>
      </c>
      <c r="AX287" s="48" t="str">
        <f>IF($B287="Yes",IFERROR(SUMIFS(_TECH_Industry_Templates!$E:$E,_TECH_Industry_Templates!$A:$A,'Company Profile'!$B$9,_TECH_Industry_Templates!$B:$B,$C287),1),"")</f>
        <v/>
      </c>
      <c r="AY287" s="48" t="str">
        <f t="shared" si="73"/>
        <v/>
      </c>
      <c r="AZ287" s="48" t="str">
        <f t="shared" si="74"/>
        <v/>
      </c>
      <c r="BA287" s="48" t="str">
        <f>IF($AZ287="","",RANK.EQ($AZ287,$AZ$8:$AZ$414,0)+COUNTIF($AZ$8:$AZ287,$AZ287)-1)</f>
        <v/>
      </c>
    </row>
    <row r="288" spans="1:53" ht="69.95" customHeight="1">
      <c r="A288" s="36" t="str">
        <f>IF($AZ288="","",RANK.EQ($AZ288,$AZ$8:$AZ$414,0)+COUNTIF($AZ$8:$AZ288,$AZ288)-1)</f>
        <v/>
      </c>
      <c r="B288" s="36" t="str">
        <f t="shared" si="61"/>
        <v/>
      </c>
      <c r="C288" s="36" t="s">
        <v>90</v>
      </c>
      <c r="D288" s="36" t="s">
        <v>1457</v>
      </c>
      <c r="E288" s="36" t="s">
        <v>4726</v>
      </c>
      <c r="F288" s="36" t="s">
        <v>1446</v>
      </c>
      <c r="G288" s="36" t="str">
        <f>IF($H288="","",IFERROR(INDEX('Risk Library'!$H$5:$M$411,MATCH($E288,'Risk Library'!$A$5:$A$411,0),$H288+1),""))</f>
        <v/>
      </c>
      <c r="H288" s="37" t="str">
        <f>IF(OR(COUNTA('IT Cloud DR'!$H$11)=0,'IT Cloud DR'!$H$11="N/A"),"",VALUE('IT Cloud DR'!$H$11))</f>
        <v/>
      </c>
      <c r="I288" s="36" t="str">
        <f>IF($H288="","",IFERROR(IF('IT Cloud DR'!$L$11="",IF($H288&lt;=1,"Critical",IF($H288=2,"High",IF($H288=3,"Medium",IF($H288=4,"Low","Resilient")))),'IT Cloud DR'!$L$11),IF($H288&lt;=1,"Critical",IF($H288=2,"High",IF($H288=3,"Medium",IF($H288=4,"Low","Resilient"))))))</f>
        <v/>
      </c>
      <c r="J288" s="37" t="str">
        <f t="shared" si="62"/>
        <v/>
      </c>
      <c r="K288" s="37" t="str">
        <f t="shared" si="63"/>
        <v/>
      </c>
      <c r="L288" s="37" t="str">
        <f t="shared" si="64"/>
        <v/>
      </c>
      <c r="M288" s="37" t="str">
        <f t="shared" si="65"/>
        <v/>
      </c>
      <c r="N288" s="37" t="str">
        <f>IF($H288="","",IFERROR(INDEX('Risk Library'!$T$5:$Y$411,MATCH($E288,'Risk Library'!$A$5:$A$411,0),$H288+1),""))</f>
        <v/>
      </c>
      <c r="O288" s="37" t="str">
        <f t="shared" si="66"/>
        <v/>
      </c>
      <c r="P288" s="37" t="str">
        <f t="shared" si="67"/>
        <v/>
      </c>
      <c r="Q288" s="37" t="str">
        <f t="shared" si="68"/>
        <v/>
      </c>
      <c r="R288" s="37" t="str">
        <f t="shared" si="69"/>
        <v/>
      </c>
      <c r="S288" s="38" t="str">
        <f t="shared" si="70"/>
        <v/>
      </c>
      <c r="T288" s="36" t="str">
        <f>IF($H288="","",IFERROR(INDEX('Risk Library'!$N$5:$S$411,MATCH($E288,'Risk Library'!$A$5:$A$411,0),$H288+1),""))</f>
        <v/>
      </c>
      <c r="U288" s="37">
        <f>IFERROR('IT Cloud DR'!$G$11,"")</f>
        <v>5</v>
      </c>
      <c r="V288" s="37">
        <f>IFERROR('IT Cloud DR'!$W$11,"")</f>
        <v>5</v>
      </c>
      <c r="W288" s="37">
        <f>IFERROR('IT Cloud DR'!$X$11,"")</f>
        <v>5</v>
      </c>
      <c r="X288" s="37">
        <f>IFERROR('IT Cloud DR'!$Y$11,"")</f>
        <v>5</v>
      </c>
      <c r="Y288" s="36" t="s">
        <v>4673</v>
      </c>
      <c r="Z288" s="36" t="s">
        <v>4674</v>
      </c>
      <c r="AA288" s="36" t="s">
        <v>4728</v>
      </c>
      <c r="AB288" s="36">
        <f>IFERROR('IT Cloud DR'!$U$11,"")</f>
        <v>0</v>
      </c>
      <c r="AC288" s="36"/>
      <c r="AD288" s="36"/>
      <c r="AE288" s="36"/>
      <c r="AF288" s="36" t="s">
        <v>4727</v>
      </c>
      <c r="AO288" s="48" t="str">
        <f>IF($B288="Yes",IFERROR(SUMIFS(_TECH_Crisis_Model!$D$5:$D$191,_TECH_Crisis_Model!$A$5:$A$191,'Crisis Simulator'!$B$4,_TECH_Crisis_Model!$B$5:$B$191,$C288),1),"")</f>
        <v/>
      </c>
      <c r="AP288" s="48" t="str">
        <f t="shared" si="71"/>
        <v/>
      </c>
      <c r="AQ288" s="48" t="str">
        <f t="shared" si="72"/>
        <v/>
      </c>
      <c r="AR288" s="48" t="str">
        <f>IFERROR(INDEX(_TECH_Crisis_Model!$E$5:$E$191,MATCH('Crisis Simulator'!$B$4&amp;"|"&amp;$C288,_TECH_Crisis_Model!$I$5:$I$191,0)),"")</f>
        <v>Cloud, infrastructure, backups, RTO and RPO determine system recoverability.</v>
      </c>
      <c r="AS288" s="48" t="str">
        <f>IFERROR(INDEX(_TECH_Crisis_Model!$G$5:$G$191,MATCH('Crisis Simulator'!$B$4&amp;"|"&amp;$C288,_TECH_Crisis_Model!$I$5:$I$191,0)),"")</f>
        <v>Implement tested backups, DR runbooks, failover, cloud landing zones and RTO/RPO monitoring.</v>
      </c>
      <c r="AT288" s="48" t="str">
        <f>IFERROR(INDEX(_TECH_Initiative_Library!$A$5:$A$76,MATCH(1,INDEX((_TECH_Initiative_Library!$B$5:$B$76=$C288)*(_TECH_Initiative_Library!$C$5:$C$76=$D288),0),0)),"")</f>
        <v>INI-049</v>
      </c>
      <c r="AU288" s="48" t="str">
        <f>IFERROR(INDEX(_TECH_Initiative_Library!$F$5:$F$76,MATCH(1,INDEX((_TECH_Initiative_Library!$B$5:$B$76=$C288)*(_TECH_Initiative_Library!$C$5:$C$76=$D288),0),0)),"")</f>
        <v>Optimize cloud usage, landing zones and infrastructure resilience</v>
      </c>
      <c r="AV288" s="48" t="str">
        <f ca="1">IFERROR(INDEX(_TECH_Initiative_Library!$AC$5:$AC$76,MATCH(1,INDEX((_TECH_Initiative_Library!$B$5:$B$76=$C288)*(_TECH_Initiative_Library!$C$5:$C$76=$D288),0),0)),"")</f>
        <v/>
      </c>
      <c r="AW288" s="48" t="str">
        <f ca="1">IFERROR(INDEX(_TECH_Initiative_Library!$AE$5:$AE$76,MATCH(1,INDEX((_TECH_Initiative_Library!$B$5:$B$76=$C288)*(_TECH_Initiative_Library!$C$5:$C$76=$D288),0),0)),"")</f>
        <v/>
      </c>
      <c r="AX288" s="48" t="str">
        <f>IF($B288="Yes",IFERROR(SUMIFS(_TECH_Industry_Templates!$E:$E,_TECH_Industry_Templates!$A:$A,'Company Profile'!$B$9,_TECH_Industry_Templates!$B:$B,$C288),1),"")</f>
        <v/>
      </c>
      <c r="AY288" s="48" t="str">
        <f t="shared" si="73"/>
        <v/>
      </c>
      <c r="AZ288" s="48" t="str">
        <f t="shared" si="74"/>
        <v/>
      </c>
      <c r="BA288" s="48" t="str">
        <f>IF($AZ288="","",RANK.EQ($AZ288,$AZ$8:$AZ$414,0)+COUNTIF($AZ$8:$AZ288,$AZ288)-1)</f>
        <v/>
      </c>
    </row>
    <row r="289" spans="1:53" ht="69.95" customHeight="1">
      <c r="A289" s="36" t="str">
        <f>IF($AZ289="","",RANK.EQ($AZ289,$AZ$8:$AZ$414,0)+COUNTIF($AZ$8:$AZ289,$AZ289)-1)</f>
        <v/>
      </c>
      <c r="B289" s="36" t="str">
        <f t="shared" si="61"/>
        <v/>
      </c>
      <c r="C289" s="36" t="s">
        <v>90</v>
      </c>
      <c r="D289" s="36" t="s">
        <v>1457</v>
      </c>
      <c r="E289" s="36" t="s">
        <v>4736</v>
      </c>
      <c r="F289" s="36" t="s">
        <v>1446</v>
      </c>
      <c r="G289" s="36" t="str">
        <f>IF($H289="","",IFERROR(INDEX('Risk Library'!$H$5:$M$411,MATCH($E289,'Risk Library'!$A$5:$A$411,0),$H289+1),""))</f>
        <v/>
      </c>
      <c r="H289" s="37" t="str">
        <f>IF(OR(COUNTA('IT Cloud DR'!$H$12)=0,'IT Cloud DR'!$H$12="N/A"),"",VALUE('IT Cloud DR'!$H$12))</f>
        <v/>
      </c>
      <c r="I289" s="36" t="str">
        <f>IF($H289="","",IFERROR(IF('IT Cloud DR'!$L$12="",IF($H289&lt;=1,"Critical",IF($H289=2,"High",IF($H289=3,"Medium",IF($H289=4,"Low","Resilient")))),'IT Cloud DR'!$L$12),IF($H289&lt;=1,"Critical",IF($H289=2,"High",IF($H289=3,"Medium",IF($H289=4,"Low","Resilient"))))))</f>
        <v/>
      </c>
      <c r="J289" s="37" t="str">
        <f t="shared" si="62"/>
        <v/>
      </c>
      <c r="K289" s="37" t="str">
        <f t="shared" si="63"/>
        <v/>
      </c>
      <c r="L289" s="37" t="str">
        <f t="shared" si="64"/>
        <v/>
      </c>
      <c r="M289" s="37" t="str">
        <f t="shared" si="65"/>
        <v/>
      </c>
      <c r="N289" s="37" t="str">
        <f>IF($H289="","",IFERROR(INDEX('Risk Library'!$T$5:$Y$411,MATCH($E289,'Risk Library'!$A$5:$A$411,0),$H289+1),""))</f>
        <v/>
      </c>
      <c r="O289" s="37" t="str">
        <f t="shared" si="66"/>
        <v/>
      </c>
      <c r="P289" s="37" t="str">
        <f t="shared" si="67"/>
        <v/>
      </c>
      <c r="Q289" s="37" t="str">
        <f t="shared" si="68"/>
        <v/>
      </c>
      <c r="R289" s="37" t="str">
        <f t="shared" si="69"/>
        <v/>
      </c>
      <c r="S289" s="38" t="str">
        <f t="shared" si="70"/>
        <v/>
      </c>
      <c r="T289" s="36" t="str">
        <f>IF($H289="","",IFERROR(INDEX('Risk Library'!$N$5:$S$411,MATCH($E289,'Risk Library'!$A$5:$A$411,0),$H289+1),""))</f>
        <v/>
      </c>
      <c r="U289" s="37">
        <f>IFERROR('IT Cloud DR'!$G$12,"")</f>
        <v>5</v>
      </c>
      <c r="V289" s="37">
        <f>IFERROR('IT Cloud DR'!$W$12,"")</f>
        <v>5</v>
      </c>
      <c r="W289" s="37">
        <f>IFERROR('IT Cloud DR'!$X$12,"")</f>
        <v>5</v>
      </c>
      <c r="X289" s="37">
        <f>IFERROR('IT Cloud DR'!$Y$12,"")</f>
        <v>5</v>
      </c>
      <c r="Y289" s="36" t="s">
        <v>4673</v>
      </c>
      <c r="Z289" s="36" t="s">
        <v>4674</v>
      </c>
      <c r="AA289" s="36" t="s">
        <v>4738</v>
      </c>
      <c r="AB289" s="36">
        <f>IFERROR('IT Cloud DR'!$U$12,"")</f>
        <v>0</v>
      </c>
      <c r="AC289" s="36"/>
      <c r="AD289" s="36"/>
      <c r="AE289" s="36"/>
      <c r="AF289" s="36" t="s">
        <v>4737</v>
      </c>
      <c r="AO289" s="48" t="str">
        <f>IF($B289="Yes",IFERROR(SUMIFS(_TECH_Crisis_Model!$D$5:$D$191,_TECH_Crisis_Model!$A$5:$A$191,'Crisis Simulator'!$B$4,_TECH_Crisis_Model!$B$5:$B$191,$C289),1),"")</f>
        <v/>
      </c>
      <c r="AP289" s="48" t="str">
        <f t="shared" si="71"/>
        <v/>
      </c>
      <c r="AQ289" s="48" t="str">
        <f t="shared" si="72"/>
        <v/>
      </c>
      <c r="AR289" s="48" t="str">
        <f>IFERROR(INDEX(_TECH_Crisis_Model!$E$5:$E$191,MATCH('Crisis Simulator'!$B$4&amp;"|"&amp;$C289,_TECH_Crisis_Model!$I$5:$I$191,0)),"")</f>
        <v>Cloud, infrastructure, backups, RTO and RPO determine system recoverability.</v>
      </c>
      <c r="AS289" s="48" t="str">
        <f>IFERROR(INDEX(_TECH_Crisis_Model!$G$5:$G$191,MATCH('Crisis Simulator'!$B$4&amp;"|"&amp;$C289,_TECH_Crisis_Model!$I$5:$I$191,0)),"")</f>
        <v>Implement tested backups, DR runbooks, failover, cloud landing zones and RTO/RPO monitoring.</v>
      </c>
      <c r="AT289" s="48" t="str">
        <f>IFERROR(INDEX(_TECH_Initiative_Library!$A$5:$A$76,MATCH(1,INDEX((_TECH_Initiative_Library!$B$5:$B$76=$C289)*(_TECH_Initiative_Library!$C$5:$C$76=$D289),0),0)),"")</f>
        <v>INI-049</v>
      </c>
      <c r="AU289" s="48" t="str">
        <f>IFERROR(INDEX(_TECH_Initiative_Library!$F$5:$F$76,MATCH(1,INDEX((_TECH_Initiative_Library!$B$5:$B$76=$C289)*(_TECH_Initiative_Library!$C$5:$C$76=$D289),0),0)),"")</f>
        <v>Optimize cloud usage, landing zones and infrastructure resilience</v>
      </c>
      <c r="AV289" s="48" t="str">
        <f ca="1">IFERROR(INDEX(_TECH_Initiative_Library!$AC$5:$AC$76,MATCH(1,INDEX((_TECH_Initiative_Library!$B$5:$B$76=$C289)*(_TECH_Initiative_Library!$C$5:$C$76=$D289),0),0)),"")</f>
        <v/>
      </c>
      <c r="AW289" s="48" t="str">
        <f ca="1">IFERROR(INDEX(_TECH_Initiative_Library!$AE$5:$AE$76,MATCH(1,INDEX((_TECH_Initiative_Library!$B$5:$B$76=$C289)*(_TECH_Initiative_Library!$C$5:$C$76=$D289),0),0)),"")</f>
        <v/>
      </c>
      <c r="AX289" s="48" t="str">
        <f>IF($B289="Yes",IFERROR(SUMIFS(_TECH_Industry_Templates!$E:$E,_TECH_Industry_Templates!$A:$A,'Company Profile'!$B$9,_TECH_Industry_Templates!$B:$B,$C289),1),"")</f>
        <v/>
      </c>
      <c r="AY289" s="48" t="str">
        <f t="shared" si="73"/>
        <v/>
      </c>
      <c r="AZ289" s="48" t="str">
        <f t="shared" si="74"/>
        <v/>
      </c>
      <c r="BA289" s="48" t="str">
        <f>IF($AZ289="","",RANK.EQ($AZ289,$AZ$8:$AZ$414,0)+COUNTIF($AZ$8:$AZ289,$AZ289)-1)</f>
        <v/>
      </c>
    </row>
    <row r="290" spans="1:53" ht="69.95" customHeight="1">
      <c r="A290" s="36" t="str">
        <f>IF($AZ290="","",RANK.EQ($AZ290,$AZ$8:$AZ$414,0)+COUNTIF($AZ$8:$AZ290,$AZ290)-1)</f>
        <v/>
      </c>
      <c r="B290" s="36" t="str">
        <f t="shared" si="61"/>
        <v/>
      </c>
      <c r="C290" s="36" t="s">
        <v>90</v>
      </c>
      <c r="D290" s="36" t="s">
        <v>1457</v>
      </c>
      <c r="E290" s="36" t="s">
        <v>4746</v>
      </c>
      <c r="F290" s="36" t="s">
        <v>1446</v>
      </c>
      <c r="G290" s="36" t="str">
        <f>IF($H290="","",IFERROR(INDEX('Risk Library'!$H$5:$M$411,MATCH($E290,'Risk Library'!$A$5:$A$411,0),$H290+1),""))</f>
        <v/>
      </c>
      <c r="H290" s="37" t="str">
        <f>IF(OR(COUNTA('IT Cloud DR'!$H$13)=0,'IT Cloud DR'!$H$13="N/A"),"",VALUE('IT Cloud DR'!$H$13))</f>
        <v/>
      </c>
      <c r="I290" s="36" t="str">
        <f>IF($H290="","",IFERROR(IF('IT Cloud DR'!$L$13="",IF($H290&lt;=1,"Critical",IF($H290=2,"High",IF($H290=3,"Medium",IF($H290=4,"Low","Resilient")))),'IT Cloud DR'!$L$13),IF($H290&lt;=1,"Critical",IF($H290=2,"High",IF($H290=3,"Medium",IF($H290=4,"Low","Resilient"))))))</f>
        <v/>
      </c>
      <c r="J290" s="37" t="str">
        <f t="shared" si="62"/>
        <v/>
      </c>
      <c r="K290" s="37" t="str">
        <f t="shared" si="63"/>
        <v/>
      </c>
      <c r="L290" s="37" t="str">
        <f t="shared" si="64"/>
        <v/>
      </c>
      <c r="M290" s="37" t="str">
        <f t="shared" si="65"/>
        <v/>
      </c>
      <c r="N290" s="37" t="str">
        <f>IF($H290="","",IFERROR(INDEX('Risk Library'!$T$5:$Y$411,MATCH($E290,'Risk Library'!$A$5:$A$411,0),$H290+1),""))</f>
        <v/>
      </c>
      <c r="O290" s="37" t="str">
        <f t="shared" si="66"/>
        <v/>
      </c>
      <c r="P290" s="37" t="str">
        <f t="shared" si="67"/>
        <v/>
      </c>
      <c r="Q290" s="37" t="str">
        <f t="shared" si="68"/>
        <v/>
      </c>
      <c r="R290" s="37" t="str">
        <f t="shared" si="69"/>
        <v/>
      </c>
      <c r="S290" s="38" t="str">
        <f t="shared" si="70"/>
        <v/>
      </c>
      <c r="T290" s="36" t="str">
        <f>IF($H290="","",IFERROR(INDEX('Risk Library'!$N$5:$S$411,MATCH($E290,'Risk Library'!$A$5:$A$411,0),$H290+1),""))</f>
        <v/>
      </c>
      <c r="U290" s="37">
        <f>IFERROR('IT Cloud DR'!$G$13,"")</f>
        <v>5</v>
      </c>
      <c r="V290" s="37">
        <f>IFERROR('IT Cloud DR'!$W$13,"")</f>
        <v>5</v>
      </c>
      <c r="W290" s="37">
        <f>IFERROR('IT Cloud DR'!$X$13,"")</f>
        <v>5</v>
      </c>
      <c r="X290" s="37">
        <f>IFERROR('IT Cloud DR'!$Y$13,"")</f>
        <v>5</v>
      </c>
      <c r="Y290" s="36" t="s">
        <v>4673</v>
      </c>
      <c r="Z290" s="36" t="s">
        <v>4674</v>
      </c>
      <c r="AA290" s="36" t="s">
        <v>4748</v>
      </c>
      <c r="AB290" s="36">
        <f>IFERROR('IT Cloud DR'!$U$13,"")</f>
        <v>0</v>
      </c>
      <c r="AC290" s="36"/>
      <c r="AD290" s="36"/>
      <c r="AE290" s="36"/>
      <c r="AF290" s="36" t="s">
        <v>4747</v>
      </c>
      <c r="AO290" s="48" t="str">
        <f>IF($B290="Yes",IFERROR(SUMIFS(_TECH_Crisis_Model!$D$5:$D$191,_TECH_Crisis_Model!$A$5:$A$191,'Crisis Simulator'!$B$4,_TECH_Crisis_Model!$B$5:$B$191,$C290),1),"")</f>
        <v/>
      </c>
      <c r="AP290" s="48" t="str">
        <f t="shared" si="71"/>
        <v/>
      </c>
      <c r="AQ290" s="48" t="str">
        <f t="shared" si="72"/>
        <v/>
      </c>
      <c r="AR290" s="48" t="str">
        <f>IFERROR(INDEX(_TECH_Crisis_Model!$E$5:$E$191,MATCH('Crisis Simulator'!$B$4&amp;"|"&amp;$C290,_TECH_Crisis_Model!$I$5:$I$191,0)),"")</f>
        <v>Cloud, infrastructure, backups, RTO and RPO determine system recoverability.</v>
      </c>
      <c r="AS290" s="48" t="str">
        <f>IFERROR(INDEX(_TECH_Crisis_Model!$G$5:$G$191,MATCH('Crisis Simulator'!$B$4&amp;"|"&amp;$C290,_TECH_Crisis_Model!$I$5:$I$191,0)),"")</f>
        <v>Implement tested backups, DR runbooks, failover, cloud landing zones and RTO/RPO monitoring.</v>
      </c>
      <c r="AT290" s="48" t="str">
        <f>IFERROR(INDEX(_TECH_Initiative_Library!$A$5:$A$76,MATCH(1,INDEX((_TECH_Initiative_Library!$B$5:$B$76=$C290)*(_TECH_Initiative_Library!$C$5:$C$76=$D290),0),0)),"")</f>
        <v>INI-049</v>
      </c>
      <c r="AU290" s="48" t="str">
        <f>IFERROR(INDEX(_TECH_Initiative_Library!$F$5:$F$76,MATCH(1,INDEX((_TECH_Initiative_Library!$B$5:$B$76=$C290)*(_TECH_Initiative_Library!$C$5:$C$76=$D290),0),0)),"")</f>
        <v>Optimize cloud usage, landing zones and infrastructure resilience</v>
      </c>
      <c r="AV290" s="48" t="str">
        <f ca="1">IFERROR(INDEX(_TECH_Initiative_Library!$AC$5:$AC$76,MATCH(1,INDEX((_TECH_Initiative_Library!$B$5:$B$76=$C290)*(_TECH_Initiative_Library!$C$5:$C$76=$D290),0),0)),"")</f>
        <v/>
      </c>
      <c r="AW290" s="48" t="str">
        <f ca="1">IFERROR(INDEX(_TECH_Initiative_Library!$AE$5:$AE$76,MATCH(1,INDEX((_TECH_Initiative_Library!$B$5:$B$76=$C290)*(_TECH_Initiative_Library!$C$5:$C$76=$D290),0),0)),"")</f>
        <v/>
      </c>
      <c r="AX290" s="48" t="str">
        <f>IF($B290="Yes",IFERROR(SUMIFS(_TECH_Industry_Templates!$E:$E,_TECH_Industry_Templates!$A:$A,'Company Profile'!$B$9,_TECH_Industry_Templates!$B:$B,$C290),1),"")</f>
        <v/>
      </c>
      <c r="AY290" s="48" t="str">
        <f t="shared" si="73"/>
        <v/>
      </c>
      <c r="AZ290" s="48" t="str">
        <f t="shared" si="74"/>
        <v/>
      </c>
      <c r="BA290" s="48" t="str">
        <f>IF($AZ290="","",RANK.EQ($AZ290,$AZ$8:$AZ$414,0)+COUNTIF($AZ$8:$AZ290,$AZ290)-1)</f>
        <v/>
      </c>
    </row>
    <row r="291" spans="1:53" ht="69.95" customHeight="1">
      <c r="A291" s="36" t="str">
        <f>IF($AZ291="","",RANK.EQ($AZ291,$AZ$8:$AZ$414,0)+COUNTIF($AZ$8:$AZ291,$AZ291)-1)</f>
        <v/>
      </c>
      <c r="B291" s="36" t="str">
        <f t="shared" si="61"/>
        <v/>
      </c>
      <c r="C291" s="36" t="s">
        <v>90</v>
      </c>
      <c r="D291" s="36" t="s">
        <v>1457</v>
      </c>
      <c r="E291" s="36" t="s">
        <v>4756</v>
      </c>
      <c r="F291" s="36" t="s">
        <v>1446</v>
      </c>
      <c r="G291" s="36" t="str">
        <f>IF($H291="","",IFERROR(INDEX('Risk Library'!$H$5:$M$411,MATCH($E291,'Risk Library'!$A$5:$A$411,0),$H291+1),""))</f>
        <v/>
      </c>
      <c r="H291" s="37" t="str">
        <f>IF(OR(COUNTA('IT Cloud DR'!$H$14)=0,'IT Cloud DR'!$H$14="N/A"),"",VALUE('IT Cloud DR'!$H$14))</f>
        <v/>
      </c>
      <c r="I291" s="36" t="str">
        <f>IF($H291="","",IFERROR(IF('IT Cloud DR'!$L$14="",IF($H291&lt;=1,"Critical",IF($H291=2,"High",IF($H291=3,"Medium",IF($H291=4,"Low","Resilient")))),'IT Cloud DR'!$L$14),IF($H291&lt;=1,"Critical",IF($H291=2,"High",IF($H291=3,"Medium",IF($H291=4,"Low","Resilient"))))))</f>
        <v/>
      </c>
      <c r="J291" s="37" t="str">
        <f t="shared" si="62"/>
        <v/>
      </c>
      <c r="K291" s="37" t="str">
        <f t="shared" si="63"/>
        <v/>
      </c>
      <c r="L291" s="37" t="str">
        <f t="shared" si="64"/>
        <v/>
      </c>
      <c r="M291" s="37" t="str">
        <f t="shared" si="65"/>
        <v/>
      </c>
      <c r="N291" s="37" t="str">
        <f>IF($H291="","",IFERROR(INDEX('Risk Library'!$T$5:$Y$411,MATCH($E291,'Risk Library'!$A$5:$A$411,0),$H291+1),""))</f>
        <v/>
      </c>
      <c r="O291" s="37" t="str">
        <f t="shared" si="66"/>
        <v/>
      </c>
      <c r="P291" s="37" t="str">
        <f t="shared" si="67"/>
        <v/>
      </c>
      <c r="Q291" s="37" t="str">
        <f t="shared" si="68"/>
        <v/>
      </c>
      <c r="R291" s="37" t="str">
        <f t="shared" si="69"/>
        <v/>
      </c>
      <c r="S291" s="38" t="str">
        <f t="shared" si="70"/>
        <v/>
      </c>
      <c r="T291" s="36" t="str">
        <f>IF($H291="","",IFERROR(INDEX('Risk Library'!$N$5:$S$411,MATCH($E291,'Risk Library'!$A$5:$A$411,0),$H291+1),""))</f>
        <v/>
      </c>
      <c r="U291" s="37">
        <f>IFERROR('IT Cloud DR'!$G$14,"")</f>
        <v>5</v>
      </c>
      <c r="V291" s="37">
        <f>IFERROR('IT Cloud DR'!$W$14,"")</f>
        <v>5</v>
      </c>
      <c r="W291" s="37">
        <f>IFERROR('IT Cloud DR'!$X$14,"")</f>
        <v>5</v>
      </c>
      <c r="X291" s="37">
        <f>IFERROR('IT Cloud DR'!$Y$14,"")</f>
        <v>5</v>
      </c>
      <c r="Y291" s="36" t="s">
        <v>4673</v>
      </c>
      <c r="Z291" s="36" t="s">
        <v>4674</v>
      </c>
      <c r="AA291" s="36" t="s">
        <v>4758</v>
      </c>
      <c r="AB291" s="36">
        <f>IFERROR('IT Cloud DR'!$U$14,"")</f>
        <v>0</v>
      </c>
      <c r="AC291" s="36"/>
      <c r="AD291" s="36"/>
      <c r="AE291" s="36"/>
      <c r="AF291" s="36" t="s">
        <v>4757</v>
      </c>
      <c r="AO291" s="48" t="str">
        <f>IF($B291="Yes",IFERROR(SUMIFS(_TECH_Crisis_Model!$D$5:$D$191,_TECH_Crisis_Model!$A$5:$A$191,'Crisis Simulator'!$B$4,_TECH_Crisis_Model!$B$5:$B$191,$C291),1),"")</f>
        <v/>
      </c>
      <c r="AP291" s="48" t="str">
        <f t="shared" si="71"/>
        <v/>
      </c>
      <c r="AQ291" s="48" t="str">
        <f t="shared" si="72"/>
        <v/>
      </c>
      <c r="AR291" s="48" t="str">
        <f>IFERROR(INDEX(_TECH_Crisis_Model!$E$5:$E$191,MATCH('Crisis Simulator'!$B$4&amp;"|"&amp;$C291,_TECH_Crisis_Model!$I$5:$I$191,0)),"")</f>
        <v>Cloud, infrastructure, backups, RTO and RPO determine system recoverability.</v>
      </c>
      <c r="AS291" s="48" t="str">
        <f>IFERROR(INDEX(_TECH_Crisis_Model!$G$5:$G$191,MATCH('Crisis Simulator'!$B$4&amp;"|"&amp;$C291,_TECH_Crisis_Model!$I$5:$I$191,0)),"")</f>
        <v>Implement tested backups, DR runbooks, failover, cloud landing zones and RTO/RPO monitoring.</v>
      </c>
      <c r="AT291" s="48" t="str">
        <f>IFERROR(INDEX(_TECH_Initiative_Library!$A$5:$A$76,MATCH(1,INDEX((_TECH_Initiative_Library!$B$5:$B$76=$C291)*(_TECH_Initiative_Library!$C$5:$C$76=$D291),0),0)),"")</f>
        <v>INI-049</v>
      </c>
      <c r="AU291" s="48" t="str">
        <f>IFERROR(INDEX(_TECH_Initiative_Library!$F$5:$F$76,MATCH(1,INDEX((_TECH_Initiative_Library!$B$5:$B$76=$C291)*(_TECH_Initiative_Library!$C$5:$C$76=$D291),0),0)),"")</f>
        <v>Optimize cloud usage, landing zones and infrastructure resilience</v>
      </c>
      <c r="AV291" s="48" t="str">
        <f ca="1">IFERROR(INDEX(_TECH_Initiative_Library!$AC$5:$AC$76,MATCH(1,INDEX((_TECH_Initiative_Library!$B$5:$B$76=$C291)*(_TECH_Initiative_Library!$C$5:$C$76=$D291),0),0)),"")</f>
        <v/>
      </c>
      <c r="AW291" s="48" t="str">
        <f ca="1">IFERROR(INDEX(_TECH_Initiative_Library!$AE$5:$AE$76,MATCH(1,INDEX((_TECH_Initiative_Library!$B$5:$B$76=$C291)*(_TECH_Initiative_Library!$C$5:$C$76=$D291),0),0)),"")</f>
        <v/>
      </c>
      <c r="AX291" s="48" t="str">
        <f>IF($B291="Yes",IFERROR(SUMIFS(_TECH_Industry_Templates!$E:$E,_TECH_Industry_Templates!$A:$A,'Company Profile'!$B$9,_TECH_Industry_Templates!$B:$B,$C291),1),"")</f>
        <v/>
      </c>
      <c r="AY291" s="48" t="str">
        <f t="shared" si="73"/>
        <v/>
      </c>
      <c r="AZ291" s="48" t="str">
        <f t="shared" si="74"/>
        <v/>
      </c>
      <c r="BA291" s="48" t="str">
        <f>IF($AZ291="","",RANK.EQ($AZ291,$AZ$8:$AZ$414,0)+COUNTIF($AZ$8:$AZ291,$AZ291)-1)</f>
        <v/>
      </c>
    </row>
    <row r="292" spans="1:53" ht="69.95" customHeight="1">
      <c r="A292" s="36" t="str">
        <f>IF($AZ292="","",RANK.EQ($AZ292,$AZ$8:$AZ$414,0)+COUNTIF($AZ$8:$AZ292,$AZ292)-1)</f>
        <v/>
      </c>
      <c r="B292" s="36" t="str">
        <f t="shared" si="61"/>
        <v/>
      </c>
      <c r="C292" s="36" t="s">
        <v>90</v>
      </c>
      <c r="D292" s="36" t="s">
        <v>1457</v>
      </c>
      <c r="E292" s="36" t="s">
        <v>4766</v>
      </c>
      <c r="F292" s="36" t="s">
        <v>1446</v>
      </c>
      <c r="G292" s="36" t="str">
        <f>IF($H292="","",IFERROR(INDEX('Risk Library'!$H$5:$M$411,MATCH($E292,'Risk Library'!$A$5:$A$411,0),$H292+1),""))</f>
        <v/>
      </c>
      <c r="H292" s="37" t="str">
        <f>IF(OR(COUNTA('IT Cloud DR'!$H$15)=0,'IT Cloud DR'!$H$15="N/A"),"",VALUE('IT Cloud DR'!$H$15))</f>
        <v/>
      </c>
      <c r="I292" s="36" t="str">
        <f>IF($H292="","",IFERROR(IF('IT Cloud DR'!$L$15="",IF($H292&lt;=1,"Critical",IF($H292=2,"High",IF($H292=3,"Medium",IF($H292=4,"Low","Resilient")))),'IT Cloud DR'!$L$15),IF($H292&lt;=1,"Critical",IF($H292=2,"High",IF($H292=3,"Medium",IF($H292=4,"Low","Resilient"))))))</f>
        <v/>
      </c>
      <c r="J292" s="37" t="str">
        <f t="shared" si="62"/>
        <v/>
      </c>
      <c r="K292" s="37" t="str">
        <f t="shared" si="63"/>
        <v/>
      </c>
      <c r="L292" s="37" t="str">
        <f t="shared" si="64"/>
        <v/>
      </c>
      <c r="M292" s="37" t="str">
        <f t="shared" si="65"/>
        <v/>
      </c>
      <c r="N292" s="37" t="str">
        <f>IF($H292="","",IFERROR(INDEX('Risk Library'!$T$5:$Y$411,MATCH($E292,'Risk Library'!$A$5:$A$411,0),$H292+1),""))</f>
        <v/>
      </c>
      <c r="O292" s="37" t="str">
        <f t="shared" si="66"/>
        <v/>
      </c>
      <c r="P292" s="37" t="str">
        <f t="shared" si="67"/>
        <v/>
      </c>
      <c r="Q292" s="37" t="str">
        <f t="shared" si="68"/>
        <v/>
      </c>
      <c r="R292" s="37" t="str">
        <f t="shared" si="69"/>
        <v/>
      </c>
      <c r="S292" s="38" t="str">
        <f t="shared" si="70"/>
        <v/>
      </c>
      <c r="T292" s="36" t="str">
        <f>IF($H292="","",IFERROR(INDEX('Risk Library'!$N$5:$S$411,MATCH($E292,'Risk Library'!$A$5:$A$411,0),$H292+1),""))</f>
        <v/>
      </c>
      <c r="U292" s="37">
        <f>IFERROR('IT Cloud DR'!$G$15,"")</f>
        <v>5</v>
      </c>
      <c r="V292" s="37">
        <f>IFERROR('IT Cloud DR'!$W$15,"")</f>
        <v>5</v>
      </c>
      <c r="W292" s="37">
        <f>IFERROR('IT Cloud DR'!$X$15,"")</f>
        <v>5</v>
      </c>
      <c r="X292" s="37">
        <f>IFERROR('IT Cloud DR'!$Y$15,"")</f>
        <v>5</v>
      </c>
      <c r="Y292" s="36" t="s">
        <v>4673</v>
      </c>
      <c r="Z292" s="36" t="s">
        <v>4674</v>
      </c>
      <c r="AA292" s="36" t="s">
        <v>4768</v>
      </c>
      <c r="AB292" s="36">
        <f>IFERROR('IT Cloud DR'!$U$15,"")</f>
        <v>0</v>
      </c>
      <c r="AC292" s="36"/>
      <c r="AD292" s="36"/>
      <c r="AE292" s="36"/>
      <c r="AF292" s="36" t="s">
        <v>4767</v>
      </c>
      <c r="AO292" s="48" t="str">
        <f>IF($B292="Yes",IFERROR(SUMIFS(_TECH_Crisis_Model!$D$5:$D$191,_TECH_Crisis_Model!$A$5:$A$191,'Crisis Simulator'!$B$4,_TECH_Crisis_Model!$B$5:$B$191,$C292),1),"")</f>
        <v/>
      </c>
      <c r="AP292" s="48" t="str">
        <f t="shared" si="71"/>
        <v/>
      </c>
      <c r="AQ292" s="48" t="str">
        <f t="shared" si="72"/>
        <v/>
      </c>
      <c r="AR292" s="48" t="str">
        <f>IFERROR(INDEX(_TECH_Crisis_Model!$E$5:$E$191,MATCH('Crisis Simulator'!$B$4&amp;"|"&amp;$C292,_TECH_Crisis_Model!$I$5:$I$191,0)),"")</f>
        <v>Cloud, infrastructure, backups, RTO and RPO determine system recoverability.</v>
      </c>
      <c r="AS292" s="48" t="str">
        <f>IFERROR(INDEX(_TECH_Crisis_Model!$G$5:$G$191,MATCH('Crisis Simulator'!$B$4&amp;"|"&amp;$C292,_TECH_Crisis_Model!$I$5:$I$191,0)),"")</f>
        <v>Implement tested backups, DR runbooks, failover, cloud landing zones and RTO/RPO monitoring.</v>
      </c>
      <c r="AT292" s="48" t="str">
        <f>IFERROR(INDEX(_TECH_Initiative_Library!$A$5:$A$76,MATCH(1,INDEX((_TECH_Initiative_Library!$B$5:$B$76=$C292)*(_TECH_Initiative_Library!$C$5:$C$76=$D292),0),0)),"")</f>
        <v>INI-049</v>
      </c>
      <c r="AU292" s="48" t="str">
        <f>IFERROR(INDEX(_TECH_Initiative_Library!$F$5:$F$76,MATCH(1,INDEX((_TECH_Initiative_Library!$B$5:$B$76=$C292)*(_TECH_Initiative_Library!$C$5:$C$76=$D292),0),0)),"")</f>
        <v>Optimize cloud usage, landing zones and infrastructure resilience</v>
      </c>
      <c r="AV292" s="48" t="str">
        <f ca="1">IFERROR(INDEX(_TECH_Initiative_Library!$AC$5:$AC$76,MATCH(1,INDEX((_TECH_Initiative_Library!$B$5:$B$76=$C292)*(_TECH_Initiative_Library!$C$5:$C$76=$D292),0),0)),"")</f>
        <v/>
      </c>
      <c r="AW292" s="48" t="str">
        <f ca="1">IFERROR(INDEX(_TECH_Initiative_Library!$AE$5:$AE$76,MATCH(1,INDEX((_TECH_Initiative_Library!$B$5:$B$76=$C292)*(_TECH_Initiative_Library!$C$5:$C$76=$D292),0),0)),"")</f>
        <v/>
      </c>
      <c r="AX292" s="48" t="str">
        <f>IF($B292="Yes",IFERROR(SUMIFS(_TECH_Industry_Templates!$E:$E,_TECH_Industry_Templates!$A:$A,'Company Profile'!$B$9,_TECH_Industry_Templates!$B:$B,$C292),1),"")</f>
        <v/>
      </c>
      <c r="AY292" s="48" t="str">
        <f t="shared" si="73"/>
        <v/>
      </c>
      <c r="AZ292" s="48" t="str">
        <f t="shared" si="74"/>
        <v/>
      </c>
      <c r="BA292" s="48" t="str">
        <f>IF($AZ292="","",RANK.EQ($AZ292,$AZ$8:$AZ$414,0)+COUNTIF($AZ$8:$AZ292,$AZ292)-1)</f>
        <v/>
      </c>
    </row>
    <row r="293" spans="1:53" ht="69.95" customHeight="1">
      <c r="A293" s="36" t="str">
        <f>IF($AZ293="","",RANK.EQ($AZ293,$AZ$8:$AZ$414,0)+COUNTIF($AZ$8:$AZ293,$AZ293)-1)</f>
        <v/>
      </c>
      <c r="B293" s="36" t="str">
        <f t="shared" si="61"/>
        <v/>
      </c>
      <c r="C293" s="36" t="s">
        <v>90</v>
      </c>
      <c r="D293" s="36" t="s">
        <v>1457</v>
      </c>
      <c r="E293" s="36" t="s">
        <v>4776</v>
      </c>
      <c r="F293" s="36" t="s">
        <v>1446</v>
      </c>
      <c r="G293" s="36" t="str">
        <f>IF($H293="","",IFERROR(INDEX('Risk Library'!$H$5:$M$411,MATCH($E293,'Risk Library'!$A$5:$A$411,0),$H293+1),""))</f>
        <v/>
      </c>
      <c r="H293" s="37" t="str">
        <f>IF(OR(COUNTA('IT Cloud DR'!$H$16)=0,'IT Cloud DR'!$H$16="N/A"),"",VALUE('IT Cloud DR'!$H$16))</f>
        <v/>
      </c>
      <c r="I293" s="36" t="str">
        <f>IF($H293="","",IFERROR(IF('IT Cloud DR'!$L$16="",IF($H293&lt;=1,"Critical",IF($H293=2,"High",IF($H293=3,"Medium",IF($H293=4,"Low","Resilient")))),'IT Cloud DR'!$L$16),IF($H293&lt;=1,"Critical",IF($H293=2,"High",IF($H293=3,"Medium",IF($H293=4,"Low","Resilient"))))))</f>
        <v/>
      </c>
      <c r="J293" s="37" t="str">
        <f t="shared" si="62"/>
        <v/>
      </c>
      <c r="K293" s="37" t="str">
        <f t="shared" si="63"/>
        <v/>
      </c>
      <c r="L293" s="37" t="str">
        <f t="shared" si="64"/>
        <v/>
      </c>
      <c r="M293" s="37" t="str">
        <f t="shared" si="65"/>
        <v/>
      </c>
      <c r="N293" s="37" t="str">
        <f>IF($H293="","",IFERROR(INDEX('Risk Library'!$T$5:$Y$411,MATCH($E293,'Risk Library'!$A$5:$A$411,0),$H293+1),""))</f>
        <v/>
      </c>
      <c r="O293" s="37" t="str">
        <f t="shared" si="66"/>
        <v/>
      </c>
      <c r="P293" s="37" t="str">
        <f t="shared" si="67"/>
        <v/>
      </c>
      <c r="Q293" s="37" t="str">
        <f t="shared" si="68"/>
        <v/>
      </c>
      <c r="R293" s="37" t="str">
        <f t="shared" si="69"/>
        <v/>
      </c>
      <c r="S293" s="38" t="str">
        <f t="shared" si="70"/>
        <v/>
      </c>
      <c r="T293" s="36" t="str">
        <f>IF($H293="","",IFERROR(INDEX('Risk Library'!$N$5:$S$411,MATCH($E293,'Risk Library'!$A$5:$A$411,0),$H293+1),""))</f>
        <v/>
      </c>
      <c r="U293" s="37">
        <f>IFERROR('IT Cloud DR'!$G$16,"")</f>
        <v>5</v>
      </c>
      <c r="V293" s="37">
        <f>IFERROR('IT Cloud DR'!$W$16,"")</f>
        <v>5</v>
      </c>
      <c r="W293" s="37">
        <f>IFERROR('IT Cloud DR'!$X$16,"")</f>
        <v>5</v>
      </c>
      <c r="X293" s="37">
        <f>IFERROR('IT Cloud DR'!$Y$16,"")</f>
        <v>5</v>
      </c>
      <c r="Y293" s="36" t="s">
        <v>4673</v>
      </c>
      <c r="Z293" s="36" t="s">
        <v>4674</v>
      </c>
      <c r="AA293" s="36" t="s">
        <v>4778</v>
      </c>
      <c r="AB293" s="36">
        <f>IFERROR('IT Cloud DR'!$U$16,"")</f>
        <v>0</v>
      </c>
      <c r="AC293" s="36"/>
      <c r="AD293" s="36"/>
      <c r="AE293" s="36"/>
      <c r="AF293" s="36" t="s">
        <v>4777</v>
      </c>
      <c r="AO293" s="48" t="str">
        <f>IF($B293="Yes",IFERROR(SUMIFS(_TECH_Crisis_Model!$D$5:$D$191,_TECH_Crisis_Model!$A$5:$A$191,'Crisis Simulator'!$B$4,_TECH_Crisis_Model!$B$5:$B$191,$C293),1),"")</f>
        <v/>
      </c>
      <c r="AP293" s="48" t="str">
        <f t="shared" si="71"/>
        <v/>
      </c>
      <c r="AQ293" s="48" t="str">
        <f t="shared" si="72"/>
        <v/>
      </c>
      <c r="AR293" s="48" t="str">
        <f>IFERROR(INDEX(_TECH_Crisis_Model!$E$5:$E$191,MATCH('Crisis Simulator'!$B$4&amp;"|"&amp;$C293,_TECH_Crisis_Model!$I$5:$I$191,0)),"")</f>
        <v>Cloud, infrastructure, backups, RTO and RPO determine system recoverability.</v>
      </c>
      <c r="AS293" s="48" t="str">
        <f>IFERROR(INDEX(_TECH_Crisis_Model!$G$5:$G$191,MATCH('Crisis Simulator'!$B$4&amp;"|"&amp;$C293,_TECH_Crisis_Model!$I$5:$I$191,0)),"")</f>
        <v>Implement tested backups, DR runbooks, failover, cloud landing zones and RTO/RPO monitoring.</v>
      </c>
      <c r="AT293" s="48" t="str">
        <f>IFERROR(INDEX(_TECH_Initiative_Library!$A$5:$A$76,MATCH(1,INDEX((_TECH_Initiative_Library!$B$5:$B$76=$C293)*(_TECH_Initiative_Library!$C$5:$C$76=$D293),0),0)),"")</f>
        <v>INI-049</v>
      </c>
      <c r="AU293" s="48" t="str">
        <f>IFERROR(INDEX(_TECH_Initiative_Library!$F$5:$F$76,MATCH(1,INDEX((_TECH_Initiative_Library!$B$5:$B$76=$C293)*(_TECH_Initiative_Library!$C$5:$C$76=$D293),0),0)),"")</f>
        <v>Optimize cloud usage, landing zones and infrastructure resilience</v>
      </c>
      <c r="AV293" s="48" t="str">
        <f ca="1">IFERROR(INDEX(_TECH_Initiative_Library!$AC$5:$AC$76,MATCH(1,INDEX((_TECH_Initiative_Library!$B$5:$B$76=$C293)*(_TECH_Initiative_Library!$C$5:$C$76=$D293),0),0)),"")</f>
        <v/>
      </c>
      <c r="AW293" s="48" t="str">
        <f ca="1">IFERROR(INDEX(_TECH_Initiative_Library!$AE$5:$AE$76,MATCH(1,INDEX((_TECH_Initiative_Library!$B$5:$B$76=$C293)*(_TECH_Initiative_Library!$C$5:$C$76=$D293),0),0)),"")</f>
        <v/>
      </c>
      <c r="AX293" s="48" t="str">
        <f>IF($B293="Yes",IFERROR(SUMIFS(_TECH_Industry_Templates!$E:$E,_TECH_Industry_Templates!$A:$A,'Company Profile'!$B$9,_TECH_Industry_Templates!$B:$B,$C293),1),"")</f>
        <v/>
      </c>
      <c r="AY293" s="48" t="str">
        <f t="shared" si="73"/>
        <v/>
      </c>
      <c r="AZ293" s="48" t="str">
        <f t="shared" si="74"/>
        <v/>
      </c>
      <c r="BA293" s="48" t="str">
        <f>IF($AZ293="","",RANK.EQ($AZ293,$AZ$8:$AZ$414,0)+COUNTIF($AZ$8:$AZ293,$AZ293)-1)</f>
        <v/>
      </c>
    </row>
    <row r="294" spans="1:53" ht="69.95" customHeight="1">
      <c r="A294" s="36" t="str">
        <f>IF($AZ294="","",RANK.EQ($AZ294,$AZ$8:$AZ$414,0)+COUNTIF($AZ$8:$AZ294,$AZ294)-1)</f>
        <v/>
      </c>
      <c r="B294" s="36" t="str">
        <f t="shared" si="61"/>
        <v/>
      </c>
      <c r="C294" s="36" t="s">
        <v>90</v>
      </c>
      <c r="D294" s="36" t="s">
        <v>1465</v>
      </c>
      <c r="E294" s="36" t="s">
        <v>4786</v>
      </c>
      <c r="F294" s="36" t="s">
        <v>1446</v>
      </c>
      <c r="G294" s="36" t="str">
        <f>IF($H294="","",IFERROR(INDEX('Risk Library'!$H$5:$M$411,MATCH($E294,'Risk Library'!$A$5:$A$411,0),$H294+1),""))</f>
        <v/>
      </c>
      <c r="H294" s="37" t="str">
        <f>IF(OR(COUNTA('IT Cloud DR'!$H$17)=0,'IT Cloud DR'!$H$17="N/A"),"",VALUE('IT Cloud DR'!$H$17))</f>
        <v/>
      </c>
      <c r="I294" s="36" t="str">
        <f>IF($H294="","",IFERROR(IF('IT Cloud DR'!$L$17="",IF($H294&lt;=1,"Critical",IF($H294=2,"High",IF($H294=3,"Medium",IF($H294=4,"Low","Resilient")))),'IT Cloud DR'!$L$17),IF($H294&lt;=1,"Critical",IF($H294=2,"High",IF($H294=3,"Medium",IF($H294=4,"Low","Resilient"))))))</f>
        <v/>
      </c>
      <c r="J294" s="37" t="str">
        <f t="shared" si="62"/>
        <v/>
      </c>
      <c r="K294" s="37" t="str">
        <f t="shared" si="63"/>
        <v/>
      </c>
      <c r="L294" s="37" t="str">
        <f t="shared" si="64"/>
        <v/>
      </c>
      <c r="M294" s="37" t="str">
        <f t="shared" si="65"/>
        <v/>
      </c>
      <c r="N294" s="37" t="str">
        <f>IF($H294="","",IFERROR(INDEX('Risk Library'!$T$5:$Y$411,MATCH($E294,'Risk Library'!$A$5:$A$411,0),$H294+1),""))</f>
        <v/>
      </c>
      <c r="O294" s="37" t="str">
        <f t="shared" si="66"/>
        <v/>
      </c>
      <c r="P294" s="37" t="str">
        <f t="shared" si="67"/>
        <v/>
      </c>
      <c r="Q294" s="37" t="str">
        <f t="shared" si="68"/>
        <v/>
      </c>
      <c r="R294" s="37" t="str">
        <f t="shared" si="69"/>
        <v/>
      </c>
      <c r="S294" s="38" t="str">
        <f t="shared" si="70"/>
        <v/>
      </c>
      <c r="T294" s="36" t="str">
        <f>IF($H294="","",IFERROR(INDEX('Risk Library'!$N$5:$S$411,MATCH($E294,'Risk Library'!$A$5:$A$411,0),$H294+1),""))</f>
        <v/>
      </c>
      <c r="U294" s="37">
        <f>IFERROR('IT Cloud DR'!$G$17,"")</f>
        <v>5</v>
      </c>
      <c r="V294" s="37">
        <f>IFERROR('IT Cloud DR'!$W$17,"")</f>
        <v>5</v>
      </c>
      <c r="W294" s="37">
        <f>IFERROR('IT Cloud DR'!$X$17,"")</f>
        <v>5</v>
      </c>
      <c r="X294" s="37">
        <f>IFERROR('IT Cloud DR'!$Y$17,"")</f>
        <v>5</v>
      </c>
      <c r="Y294" s="36" t="s">
        <v>4673</v>
      </c>
      <c r="Z294" s="36" t="s">
        <v>4674</v>
      </c>
      <c r="AA294" s="36" t="s">
        <v>4788</v>
      </c>
      <c r="AB294" s="36">
        <f>IFERROR('IT Cloud DR'!$U$17,"")</f>
        <v>0</v>
      </c>
      <c r="AC294" s="36"/>
      <c r="AD294" s="36"/>
      <c r="AE294" s="36"/>
      <c r="AF294" s="36" t="s">
        <v>4787</v>
      </c>
      <c r="AO294" s="48" t="str">
        <f>IF($B294="Yes",IFERROR(SUMIFS(_TECH_Crisis_Model!$D$5:$D$191,_TECH_Crisis_Model!$A$5:$A$191,'Crisis Simulator'!$B$4,_TECH_Crisis_Model!$B$5:$B$191,$C294),1),"")</f>
        <v/>
      </c>
      <c r="AP294" s="48" t="str">
        <f t="shared" si="71"/>
        <v/>
      </c>
      <c r="AQ294" s="48" t="str">
        <f t="shared" si="72"/>
        <v/>
      </c>
      <c r="AR294" s="48" t="str">
        <f>IFERROR(INDEX(_TECH_Crisis_Model!$E$5:$E$191,MATCH('Crisis Simulator'!$B$4&amp;"|"&amp;$C294,_TECH_Crisis_Model!$I$5:$I$191,0)),"")</f>
        <v>Cloud, infrastructure, backups, RTO and RPO determine system recoverability.</v>
      </c>
      <c r="AS294" s="48" t="str">
        <f>IFERROR(INDEX(_TECH_Crisis_Model!$G$5:$G$191,MATCH('Crisis Simulator'!$B$4&amp;"|"&amp;$C294,_TECH_Crisis_Model!$I$5:$I$191,0)),"")</f>
        <v>Implement tested backups, DR runbooks, failover, cloud landing zones and RTO/RPO monitoring.</v>
      </c>
      <c r="AT294" s="48" t="str">
        <f>IFERROR(INDEX(_TECH_Initiative_Library!$A$5:$A$76,MATCH(1,INDEX((_TECH_Initiative_Library!$B$5:$B$76=$C294)*(_TECH_Initiative_Library!$C$5:$C$76=$D294),0),0)),"")</f>
        <v>INI-050</v>
      </c>
      <c r="AU294" s="48" t="str">
        <f>IFERROR(INDEX(_TECH_Initiative_Library!$F$5:$F$76,MATCH(1,INDEX((_TECH_Initiative_Library!$B$5:$B$76=$C294)*(_TECH_Initiative_Library!$C$5:$C$76=$D294),0),0)),"")</f>
        <v>Implement disaster recovery, backup testing and RTO/RPO controls</v>
      </c>
      <c r="AV294" s="48" t="str">
        <f ca="1">IFERROR(INDEX(_TECH_Initiative_Library!$AC$5:$AC$76,MATCH(1,INDEX((_TECH_Initiative_Library!$B$5:$B$76=$C294)*(_TECH_Initiative_Library!$C$5:$C$76=$D294),0),0)),"")</f>
        <v/>
      </c>
      <c r="AW294" s="48" t="str">
        <f ca="1">IFERROR(INDEX(_TECH_Initiative_Library!$AE$5:$AE$76,MATCH(1,INDEX((_TECH_Initiative_Library!$B$5:$B$76=$C294)*(_TECH_Initiative_Library!$C$5:$C$76=$D294),0),0)),"")</f>
        <v/>
      </c>
      <c r="AX294" s="48" t="str">
        <f>IF($B294="Yes",IFERROR(SUMIFS(_TECH_Industry_Templates!$E:$E,_TECH_Industry_Templates!$A:$A,'Company Profile'!$B$9,_TECH_Industry_Templates!$B:$B,$C294),1),"")</f>
        <v/>
      </c>
      <c r="AY294" s="48" t="str">
        <f t="shared" si="73"/>
        <v/>
      </c>
      <c r="AZ294" s="48" t="str">
        <f t="shared" si="74"/>
        <v/>
      </c>
      <c r="BA294" s="48" t="str">
        <f>IF($AZ294="","",RANK.EQ($AZ294,$AZ$8:$AZ$414,0)+COUNTIF($AZ$8:$AZ294,$AZ294)-1)</f>
        <v/>
      </c>
    </row>
    <row r="295" spans="1:53" ht="69.95" customHeight="1">
      <c r="A295" s="36" t="str">
        <f>IF($AZ295="","",RANK.EQ($AZ295,$AZ$8:$AZ$414,0)+COUNTIF($AZ$8:$AZ295,$AZ295)-1)</f>
        <v/>
      </c>
      <c r="B295" s="36" t="str">
        <f t="shared" si="61"/>
        <v/>
      </c>
      <c r="C295" s="36" t="s">
        <v>90</v>
      </c>
      <c r="D295" s="36" t="s">
        <v>1465</v>
      </c>
      <c r="E295" s="36" t="s">
        <v>4796</v>
      </c>
      <c r="F295" s="36" t="s">
        <v>1446</v>
      </c>
      <c r="G295" s="36" t="str">
        <f>IF($H295="","",IFERROR(INDEX('Risk Library'!$H$5:$M$411,MATCH($E295,'Risk Library'!$A$5:$A$411,0),$H295+1),""))</f>
        <v/>
      </c>
      <c r="H295" s="37" t="str">
        <f>IF(OR(COUNTA('IT Cloud DR'!$H$18)=0,'IT Cloud DR'!$H$18="N/A"),"",VALUE('IT Cloud DR'!$H$18))</f>
        <v/>
      </c>
      <c r="I295" s="36" t="str">
        <f>IF($H295="","",IFERROR(IF('IT Cloud DR'!$L$18="",IF($H295&lt;=1,"Critical",IF($H295=2,"High",IF($H295=3,"Medium",IF($H295=4,"Low","Resilient")))),'IT Cloud DR'!$L$18),IF($H295&lt;=1,"Critical",IF($H295=2,"High",IF($H295=3,"Medium",IF($H295=4,"Low","Resilient"))))))</f>
        <v/>
      </c>
      <c r="J295" s="37" t="str">
        <f t="shared" si="62"/>
        <v/>
      </c>
      <c r="K295" s="37" t="str">
        <f t="shared" si="63"/>
        <v/>
      </c>
      <c r="L295" s="37" t="str">
        <f t="shared" si="64"/>
        <v/>
      </c>
      <c r="M295" s="37" t="str">
        <f t="shared" si="65"/>
        <v/>
      </c>
      <c r="N295" s="37" t="str">
        <f>IF($H295="","",IFERROR(INDEX('Risk Library'!$T$5:$Y$411,MATCH($E295,'Risk Library'!$A$5:$A$411,0),$H295+1),""))</f>
        <v/>
      </c>
      <c r="O295" s="37" t="str">
        <f t="shared" si="66"/>
        <v/>
      </c>
      <c r="P295" s="37" t="str">
        <f t="shared" si="67"/>
        <v/>
      </c>
      <c r="Q295" s="37" t="str">
        <f t="shared" si="68"/>
        <v/>
      </c>
      <c r="R295" s="37" t="str">
        <f t="shared" si="69"/>
        <v/>
      </c>
      <c r="S295" s="38" t="str">
        <f t="shared" si="70"/>
        <v/>
      </c>
      <c r="T295" s="36" t="str">
        <f>IF($H295="","",IFERROR(INDEX('Risk Library'!$N$5:$S$411,MATCH($E295,'Risk Library'!$A$5:$A$411,0),$H295+1),""))</f>
        <v/>
      </c>
      <c r="U295" s="37">
        <f>IFERROR('IT Cloud DR'!$G$18,"")</f>
        <v>5</v>
      </c>
      <c r="V295" s="37">
        <f>IFERROR('IT Cloud DR'!$W$18,"")</f>
        <v>5</v>
      </c>
      <c r="W295" s="37">
        <f>IFERROR('IT Cloud DR'!$X$18,"")</f>
        <v>5</v>
      </c>
      <c r="X295" s="37">
        <f>IFERROR('IT Cloud DR'!$Y$18,"")</f>
        <v>5</v>
      </c>
      <c r="Y295" s="36" t="s">
        <v>4673</v>
      </c>
      <c r="Z295" s="36" t="s">
        <v>4674</v>
      </c>
      <c r="AA295" s="36" t="s">
        <v>4798</v>
      </c>
      <c r="AB295" s="36">
        <f>IFERROR('IT Cloud DR'!$U$18,"")</f>
        <v>0</v>
      </c>
      <c r="AC295" s="36"/>
      <c r="AD295" s="36"/>
      <c r="AE295" s="36"/>
      <c r="AF295" s="36" t="s">
        <v>4797</v>
      </c>
      <c r="AO295" s="48" t="str">
        <f>IF($B295="Yes",IFERROR(SUMIFS(_TECH_Crisis_Model!$D$5:$D$191,_TECH_Crisis_Model!$A$5:$A$191,'Crisis Simulator'!$B$4,_TECH_Crisis_Model!$B$5:$B$191,$C295),1),"")</f>
        <v/>
      </c>
      <c r="AP295" s="48" t="str">
        <f t="shared" si="71"/>
        <v/>
      </c>
      <c r="AQ295" s="48" t="str">
        <f t="shared" si="72"/>
        <v/>
      </c>
      <c r="AR295" s="48" t="str">
        <f>IFERROR(INDEX(_TECH_Crisis_Model!$E$5:$E$191,MATCH('Crisis Simulator'!$B$4&amp;"|"&amp;$C295,_TECH_Crisis_Model!$I$5:$I$191,0)),"")</f>
        <v>Cloud, infrastructure, backups, RTO and RPO determine system recoverability.</v>
      </c>
      <c r="AS295" s="48" t="str">
        <f>IFERROR(INDEX(_TECH_Crisis_Model!$G$5:$G$191,MATCH('Crisis Simulator'!$B$4&amp;"|"&amp;$C295,_TECH_Crisis_Model!$I$5:$I$191,0)),"")</f>
        <v>Implement tested backups, DR runbooks, failover, cloud landing zones and RTO/RPO monitoring.</v>
      </c>
      <c r="AT295" s="48" t="str">
        <f>IFERROR(INDEX(_TECH_Initiative_Library!$A$5:$A$76,MATCH(1,INDEX((_TECH_Initiative_Library!$B$5:$B$76=$C295)*(_TECH_Initiative_Library!$C$5:$C$76=$D295),0),0)),"")</f>
        <v>INI-050</v>
      </c>
      <c r="AU295" s="48" t="str">
        <f>IFERROR(INDEX(_TECH_Initiative_Library!$F$5:$F$76,MATCH(1,INDEX((_TECH_Initiative_Library!$B$5:$B$76=$C295)*(_TECH_Initiative_Library!$C$5:$C$76=$D295),0),0)),"")</f>
        <v>Implement disaster recovery, backup testing and RTO/RPO controls</v>
      </c>
      <c r="AV295" s="48" t="str">
        <f ca="1">IFERROR(INDEX(_TECH_Initiative_Library!$AC$5:$AC$76,MATCH(1,INDEX((_TECH_Initiative_Library!$B$5:$B$76=$C295)*(_TECH_Initiative_Library!$C$5:$C$76=$D295),0),0)),"")</f>
        <v/>
      </c>
      <c r="AW295" s="48" t="str">
        <f ca="1">IFERROR(INDEX(_TECH_Initiative_Library!$AE$5:$AE$76,MATCH(1,INDEX((_TECH_Initiative_Library!$B$5:$B$76=$C295)*(_TECH_Initiative_Library!$C$5:$C$76=$D295),0),0)),"")</f>
        <v/>
      </c>
      <c r="AX295" s="48" t="str">
        <f>IF($B295="Yes",IFERROR(SUMIFS(_TECH_Industry_Templates!$E:$E,_TECH_Industry_Templates!$A:$A,'Company Profile'!$B$9,_TECH_Industry_Templates!$B:$B,$C295),1),"")</f>
        <v/>
      </c>
      <c r="AY295" s="48" t="str">
        <f t="shared" si="73"/>
        <v/>
      </c>
      <c r="AZ295" s="48" t="str">
        <f t="shared" si="74"/>
        <v/>
      </c>
      <c r="BA295" s="48" t="str">
        <f>IF($AZ295="","",RANK.EQ($AZ295,$AZ$8:$AZ$414,0)+COUNTIF($AZ$8:$AZ295,$AZ295)-1)</f>
        <v/>
      </c>
    </row>
    <row r="296" spans="1:53" ht="69.95" customHeight="1">
      <c r="A296" s="36" t="str">
        <f>IF($AZ296="","",RANK.EQ($AZ296,$AZ$8:$AZ$414,0)+COUNTIF($AZ$8:$AZ296,$AZ296)-1)</f>
        <v/>
      </c>
      <c r="B296" s="36" t="str">
        <f t="shared" si="61"/>
        <v/>
      </c>
      <c r="C296" s="36" t="s">
        <v>90</v>
      </c>
      <c r="D296" s="36" t="s">
        <v>1465</v>
      </c>
      <c r="E296" s="36" t="s">
        <v>4806</v>
      </c>
      <c r="F296" s="36" t="s">
        <v>1446</v>
      </c>
      <c r="G296" s="36" t="str">
        <f>IF($H296="","",IFERROR(INDEX('Risk Library'!$H$5:$M$411,MATCH($E296,'Risk Library'!$A$5:$A$411,0),$H296+1),""))</f>
        <v/>
      </c>
      <c r="H296" s="37" t="str">
        <f>IF(OR(COUNTA('IT Cloud DR'!$H$19)=0,'IT Cloud DR'!$H$19="N/A"),"",VALUE('IT Cloud DR'!$H$19))</f>
        <v/>
      </c>
      <c r="I296" s="36" t="str">
        <f>IF($H296="","",IFERROR(IF('IT Cloud DR'!$L$19="",IF($H296&lt;=1,"Critical",IF($H296=2,"High",IF($H296=3,"Medium",IF($H296=4,"Low","Resilient")))),'IT Cloud DR'!$L$19),IF($H296&lt;=1,"Critical",IF($H296=2,"High",IF($H296=3,"Medium",IF($H296=4,"Low","Resilient"))))))</f>
        <v/>
      </c>
      <c r="J296" s="37" t="str">
        <f t="shared" si="62"/>
        <v/>
      </c>
      <c r="K296" s="37" t="str">
        <f t="shared" si="63"/>
        <v/>
      </c>
      <c r="L296" s="37" t="str">
        <f t="shared" si="64"/>
        <v/>
      </c>
      <c r="M296" s="37" t="str">
        <f t="shared" si="65"/>
        <v/>
      </c>
      <c r="N296" s="37" t="str">
        <f>IF($H296="","",IFERROR(INDEX('Risk Library'!$T$5:$Y$411,MATCH($E296,'Risk Library'!$A$5:$A$411,0),$H296+1),""))</f>
        <v/>
      </c>
      <c r="O296" s="37" t="str">
        <f t="shared" si="66"/>
        <v/>
      </c>
      <c r="P296" s="37" t="str">
        <f t="shared" si="67"/>
        <v/>
      </c>
      <c r="Q296" s="37" t="str">
        <f t="shared" si="68"/>
        <v/>
      </c>
      <c r="R296" s="37" t="str">
        <f t="shared" si="69"/>
        <v/>
      </c>
      <c r="S296" s="38" t="str">
        <f t="shared" si="70"/>
        <v/>
      </c>
      <c r="T296" s="36" t="str">
        <f>IF($H296="","",IFERROR(INDEX('Risk Library'!$N$5:$S$411,MATCH($E296,'Risk Library'!$A$5:$A$411,0),$H296+1),""))</f>
        <v/>
      </c>
      <c r="U296" s="37">
        <f>IFERROR('IT Cloud DR'!$G$19,"")</f>
        <v>5</v>
      </c>
      <c r="V296" s="37">
        <f>IFERROR('IT Cloud DR'!$W$19,"")</f>
        <v>5</v>
      </c>
      <c r="W296" s="37">
        <f>IFERROR('IT Cloud DR'!$X$19,"")</f>
        <v>5</v>
      </c>
      <c r="X296" s="37">
        <f>IFERROR('IT Cloud DR'!$Y$19,"")</f>
        <v>5</v>
      </c>
      <c r="Y296" s="36" t="s">
        <v>4673</v>
      </c>
      <c r="Z296" s="36" t="s">
        <v>4674</v>
      </c>
      <c r="AA296" s="36" t="s">
        <v>4808</v>
      </c>
      <c r="AB296" s="36">
        <f>IFERROR('IT Cloud DR'!$U$19,"")</f>
        <v>0</v>
      </c>
      <c r="AC296" s="36"/>
      <c r="AD296" s="36"/>
      <c r="AE296" s="36"/>
      <c r="AF296" s="36" t="s">
        <v>4807</v>
      </c>
      <c r="AO296" s="48" t="str">
        <f>IF($B296="Yes",IFERROR(SUMIFS(_TECH_Crisis_Model!$D$5:$D$191,_TECH_Crisis_Model!$A$5:$A$191,'Crisis Simulator'!$B$4,_TECH_Crisis_Model!$B$5:$B$191,$C296),1),"")</f>
        <v/>
      </c>
      <c r="AP296" s="48" t="str">
        <f t="shared" si="71"/>
        <v/>
      </c>
      <c r="AQ296" s="48" t="str">
        <f t="shared" si="72"/>
        <v/>
      </c>
      <c r="AR296" s="48" t="str">
        <f>IFERROR(INDEX(_TECH_Crisis_Model!$E$5:$E$191,MATCH('Crisis Simulator'!$B$4&amp;"|"&amp;$C296,_TECH_Crisis_Model!$I$5:$I$191,0)),"")</f>
        <v>Cloud, infrastructure, backups, RTO and RPO determine system recoverability.</v>
      </c>
      <c r="AS296" s="48" t="str">
        <f>IFERROR(INDEX(_TECH_Crisis_Model!$G$5:$G$191,MATCH('Crisis Simulator'!$B$4&amp;"|"&amp;$C296,_TECH_Crisis_Model!$I$5:$I$191,0)),"")</f>
        <v>Implement tested backups, DR runbooks, failover, cloud landing zones and RTO/RPO monitoring.</v>
      </c>
      <c r="AT296" s="48" t="str">
        <f>IFERROR(INDEX(_TECH_Initiative_Library!$A$5:$A$76,MATCH(1,INDEX((_TECH_Initiative_Library!$B$5:$B$76=$C296)*(_TECH_Initiative_Library!$C$5:$C$76=$D296),0),0)),"")</f>
        <v>INI-050</v>
      </c>
      <c r="AU296" s="48" t="str">
        <f>IFERROR(INDEX(_TECH_Initiative_Library!$F$5:$F$76,MATCH(1,INDEX((_TECH_Initiative_Library!$B$5:$B$76=$C296)*(_TECH_Initiative_Library!$C$5:$C$76=$D296),0),0)),"")</f>
        <v>Implement disaster recovery, backup testing and RTO/RPO controls</v>
      </c>
      <c r="AV296" s="48" t="str">
        <f ca="1">IFERROR(INDEX(_TECH_Initiative_Library!$AC$5:$AC$76,MATCH(1,INDEX((_TECH_Initiative_Library!$B$5:$B$76=$C296)*(_TECH_Initiative_Library!$C$5:$C$76=$D296),0),0)),"")</f>
        <v/>
      </c>
      <c r="AW296" s="48" t="str">
        <f ca="1">IFERROR(INDEX(_TECH_Initiative_Library!$AE$5:$AE$76,MATCH(1,INDEX((_TECH_Initiative_Library!$B$5:$B$76=$C296)*(_TECH_Initiative_Library!$C$5:$C$76=$D296),0),0)),"")</f>
        <v/>
      </c>
      <c r="AX296" s="48" t="str">
        <f>IF($B296="Yes",IFERROR(SUMIFS(_TECH_Industry_Templates!$E:$E,_TECH_Industry_Templates!$A:$A,'Company Profile'!$B$9,_TECH_Industry_Templates!$B:$B,$C296),1),"")</f>
        <v/>
      </c>
      <c r="AY296" s="48" t="str">
        <f t="shared" si="73"/>
        <v/>
      </c>
      <c r="AZ296" s="48" t="str">
        <f t="shared" si="74"/>
        <v/>
      </c>
      <c r="BA296" s="48" t="str">
        <f>IF($AZ296="","",RANK.EQ($AZ296,$AZ$8:$AZ$414,0)+COUNTIF($AZ$8:$AZ296,$AZ296)-1)</f>
        <v/>
      </c>
    </row>
    <row r="297" spans="1:53" ht="69.95" customHeight="1">
      <c r="A297" s="36" t="str">
        <f>IF($AZ297="","",RANK.EQ($AZ297,$AZ$8:$AZ$414,0)+COUNTIF($AZ$8:$AZ297,$AZ297)-1)</f>
        <v/>
      </c>
      <c r="B297" s="36" t="str">
        <f t="shared" si="61"/>
        <v/>
      </c>
      <c r="C297" s="36" t="s">
        <v>90</v>
      </c>
      <c r="D297" s="36" t="s">
        <v>1465</v>
      </c>
      <c r="E297" s="36" t="s">
        <v>4816</v>
      </c>
      <c r="F297" s="36" t="s">
        <v>1446</v>
      </c>
      <c r="G297" s="36" t="str">
        <f>IF($H297="","",IFERROR(INDEX('Risk Library'!$H$5:$M$411,MATCH($E297,'Risk Library'!$A$5:$A$411,0),$H297+1),""))</f>
        <v/>
      </c>
      <c r="H297" s="37" t="str">
        <f>IF(OR(COUNTA('IT Cloud DR'!$H$20)=0,'IT Cloud DR'!$H$20="N/A"),"",VALUE('IT Cloud DR'!$H$20))</f>
        <v/>
      </c>
      <c r="I297" s="36" t="str">
        <f>IF($H297="","",IFERROR(IF('IT Cloud DR'!$L$20="",IF($H297&lt;=1,"Critical",IF($H297=2,"High",IF($H297=3,"Medium",IF($H297=4,"Low","Resilient")))),'IT Cloud DR'!$L$20),IF($H297&lt;=1,"Critical",IF($H297=2,"High",IF($H297=3,"Medium",IF($H297=4,"Low","Resilient"))))))</f>
        <v/>
      </c>
      <c r="J297" s="37" t="str">
        <f t="shared" si="62"/>
        <v/>
      </c>
      <c r="K297" s="37" t="str">
        <f t="shared" si="63"/>
        <v/>
      </c>
      <c r="L297" s="37" t="str">
        <f t="shared" si="64"/>
        <v/>
      </c>
      <c r="M297" s="37" t="str">
        <f t="shared" si="65"/>
        <v/>
      </c>
      <c r="N297" s="37" t="str">
        <f>IF($H297="","",IFERROR(INDEX('Risk Library'!$T$5:$Y$411,MATCH($E297,'Risk Library'!$A$5:$A$411,0),$H297+1),""))</f>
        <v/>
      </c>
      <c r="O297" s="37" t="str">
        <f t="shared" si="66"/>
        <v/>
      </c>
      <c r="P297" s="37" t="str">
        <f t="shared" si="67"/>
        <v/>
      </c>
      <c r="Q297" s="37" t="str">
        <f t="shared" si="68"/>
        <v/>
      </c>
      <c r="R297" s="37" t="str">
        <f t="shared" si="69"/>
        <v/>
      </c>
      <c r="S297" s="38" t="str">
        <f t="shared" si="70"/>
        <v/>
      </c>
      <c r="T297" s="36" t="str">
        <f>IF($H297="","",IFERROR(INDEX('Risk Library'!$N$5:$S$411,MATCH($E297,'Risk Library'!$A$5:$A$411,0),$H297+1),""))</f>
        <v/>
      </c>
      <c r="U297" s="37">
        <f>IFERROR('IT Cloud DR'!$G$20,"")</f>
        <v>5</v>
      </c>
      <c r="V297" s="37">
        <f>IFERROR('IT Cloud DR'!$W$20,"")</f>
        <v>5</v>
      </c>
      <c r="W297" s="37">
        <f>IFERROR('IT Cloud DR'!$X$20,"")</f>
        <v>5</v>
      </c>
      <c r="X297" s="37">
        <f>IFERROR('IT Cloud DR'!$Y$20,"")</f>
        <v>5</v>
      </c>
      <c r="Y297" s="36" t="s">
        <v>4673</v>
      </c>
      <c r="Z297" s="36" t="s">
        <v>4674</v>
      </c>
      <c r="AA297" s="36" t="s">
        <v>4818</v>
      </c>
      <c r="AB297" s="36">
        <f>IFERROR('IT Cloud DR'!$U$20,"")</f>
        <v>0</v>
      </c>
      <c r="AC297" s="36"/>
      <c r="AD297" s="36"/>
      <c r="AE297" s="36"/>
      <c r="AF297" s="36" t="s">
        <v>4817</v>
      </c>
      <c r="AO297" s="48" t="str">
        <f>IF($B297="Yes",IFERROR(SUMIFS(_TECH_Crisis_Model!$D$5:$D$191,_TECH_Crisis_Model!$A$5:$A$191,'Crisis Simulator'!$B$4,_TECH_Crisis_Model!$B$5:$B$191,$C297),1),"")</f>
        <v/>
      </c>
      <c r="AP297" s="48" t="str">
        <f t="shared" si="71"/>
        <v/>
      </c>
      <c r="AQ297" s="48" t="str">
        <f t="shared" si="72"/>
        <v/>
      </c>
      <c r="AR297" s="48" t="str">
        <f>IFERROR(INDEX(_TECH_Crisis_Model!$E$5:$E$191,MATCH('Crisis Simulator'!$B$4&amp;"|"&amp;$C297,_TECH_Crisis_Model!$I$5:$I$191,0)),"")</f>
        <v>Cloud, infrastructure, backups, RTO and RPO determine system recoverability.</v>
      </c>
      <c r="AS297" s="48" t="str">
        <f>IFERROR(INDEX(_TECH_Crisis_Model!$G$5:$G$191,MATCH('Crisis Simulator'!$B$4&amp;"|"&amp;$C297,_TECH_Crisis_Model!$I$5:$I$191,0)),"")</f>
        <v>Implement tested backups, DR runbooks, failover, cloud landing zones and RTO/RPO monitoring.</v>
      </c>
      <c r="AT297" s="48" t="str">
        <f>IFERROR(INDEX(_TECH_Initiative_Library!$A$5:$A$76,MATCH(1,INDEX((_TECH_Initiative_Library!$B$5:$B$76=$C297)*(_TECH_Initiative_Library!$C$5:$C$76=$D297),0),0)),"")</f>
        <v>INI-050</v>
      </c>
      <c r="AU297" s="48" t="str">
        <f>IFERROR(INDEX(_TECH_Initiative_Library!$F$5:$F$76,MATCH(1,INDEX((_TECH_Initiative_Library!$B$5:$B$76=$C297)*(_TECH_Initiative_Library!$C$5:$C$76=$D297),0),0)),"")</f>
        <v>Implement disaster recovery, backup testing and RTO/RPO controls</v>
      </c>
      <c r="AV297" s="48" t="str">
        <f ca="1">IFERROR(INDEX(_TECH_Initiative_Library!$AC$5:$AC$76,MATCH(1,INDEX((_TECH_Initiative_Library!$B$5:$B$76=$C297)*(_TECH_Initiative_Library!$C$5:$C$76=$D297),0),0)),"")</f>
        <v/>
      </c>
      <c r="AW297" s="48" t="str">
        <f ca="1">IFERROR(INDEX(_TECH_Initiative_Library!$AE$5:$AE$76,MATCH(1,INDEX((_TECH_Initiative_Library!$B$5:$B$76=$C297)*(_TECH_Initiative_Library!$C$5:$C$76=$D297),0),0)),"")</f>
        <v/>
      </c>
      <c r="AX297" s="48" t="str">
        <f>IF($B297="Yes",IFERROR(SUMIFS(_TECH_Industry_Templates!$E:$E,_TECH_Industry_Templates!$A:$A,'Company Profile'!$B$9,_TECH_Industry_Templates!$B:$B,$C297),1),"")</f>
        <v/>
      </c>
      <c r="AY297" s="48" t="str">
        <f t="shared" si="73"/>
        <v/>
      </c>
      <c r="AZ297" s="48" t="str">
        <f t="shared" si="74"/>
        <v/>
      </c>
      <c r="BA297" s="48" t="str">
        <f>IF($AZ297="","",RANK.EQ($AZ297,$AZ$8:$AZ$414,0)+COUNTIF($AZ$8:$AZ297,$AZ297)-1)</f>
        <v/>
      </c>
    </row>
    <row r="298" spans="1:53" ht="69.95" customHeight="1">
      <c r="A298" s="36" t="str">
        <f>IF($AZ298="","",RANK.EQ($AZ298,$AZ$8:$AZ$414,0)+COUNTIF($AZ$8:$AZ298,$AZ298)-1)</f>
        <v/>
      </c>
      <c r="B298" s="36" t="str">
        <f t="shared" si="61"/>
        <v/>
      </c>
      <c r="C298" s="36" t="s">
        <v>90</v>
      </c>
      <c r="D298" s="36" t="s">
        <v>1465</v>
      </c>
      <c r="E298" s="36" t="s">
        <v>4826</v>
      </c>
      <c r="F298" s="36" t="s">
        <v>1446</v>
      </c>
      <c r="G298" s="36" t="str">
        <f>IF($H298="","",IFERROR(INDEX('Risk Library'!$H$5:$M$411,MATCH($E298,'Risk Library'!$A$5:$A$411,0),$H298+1),""))</f>
        <v/>
      </c>
      <c r="H298" s="37" t="str">
        <f>IF(OR(COUNTA('IT Cloud DR'!$H$21)=0,'IT Cloud DR'!$H$21="N/A"),"",VALUE('IT Cloud DR'!$H$21))</f>
        <v/>
      </c>
      <c r="I298" s="36" t="str">
        <f>IF($H298="","",IFERROR(IF('IT Cloud DR'!$L$21="",IF($H298&lt;=1,"Critical",IF($H298=2,"High",IF($H298=3,"Medium",IF($H298=4,"Low","Resilient")))),'IT Cloud DR'!$L$21),IF($H298&lt;=1,"Critical",IF($H298=2,"High",IF($H298=3,"Medium",IF($H298=4,"Low","Resilient"))))))</f>
        <v/>
      </c>
      <c r="J298" s="37" t="str">
        <f t="shared" si="62"/>
        <v/>
      </c>
      <c r="K298" s="37" t="str">
        <f t="shared" si="63"/>
        <v/>
      </c>
      <c r="L298" s="37" t="str">
        <f t="shared" si="64"/>
        <v/>
      </c>
      <c r="M298" s="37" t="str">
        <f t="shared" si="65"/>
        <v/>
      </c>
      <c r="N298" s="37" t="str">
        <f>IF($H298="","",IFERROR(INDEX('Risk Library'!$T$5:$Y$411,MATCH($E298,'Risk Library'!$A$5:$A$411,0),$H298+1),""))</f>
        <v/>
      </c>
      <c r="O298" s="37" t="str">
        <f t="shared" si="66"/>
        <v/>
      </c>
      <c r="P298" s="37" t="str">
        <f t="shared" si="67"/>
        <v/>
      </c>
      <c r="Q298" s="37" t="str">
        <f t="shared" si="68"/>
        <v/>
      </c>
      <c r="R298" s="37" t="str">
        <f t="shared" si="69"/>
        <v/>
      </c>
      <c r="S298" s="38" t="str">
        <f t="shared" si="70"/>
        <v/>
      </c>
      <c r="T298" s="36" t="str">
        <f>IF($H298="","",IFERROR(INDEX('Risk Library'!$N$5:$S$411,MATCH($E298,'Risk Library'!$A$5:$A$411,0),$H298+1),""))</f>
        <v/>
      </c>
      <c r="U298" s="37">
        <f>IFERROR('IT Cloud DR'!$G$21,"")</f>
        <v>5</v>
      </c>
      <c r="V298" s="37">
        <f>IFERROR('IT Cloud DR'!$W$21,"")</f>
        <v>5</v>
      </c>
      <c r="W298" s="37">
        <f>IFERROR('IT Cloud DR'!$X$21,"")</f>
        <v>5</v>
      </c>
      <c r="X298" s="37">
        <f>IFERROR('IT Cloud DR'!$Y$21,"")</f>
        <v>5</v>
      </c>
      <c r="Y298" s="36" t="s">
        <v>4673</v>
      </c>
      <c r="Z298" s="36" t="s">
        <v>4674</v>
      </c>
      <c r="AA298" s="36" t="s">
        <v>4828</v>
      </c>
      <c r="AB298" s="36">
        <f>IFERROR('IT Cloud DR'!$U$21,"")</f>
        <v>0</v>
      </c>
      <c r="AC298" s="36"/>
      <c r="AD298" s="36"/>
      <c r="AE298" s="36"/>
      <c r="AF298" s="36" t="s">
        <v>4827</v>
      </c>
      <c r="AO298" s="48" t="str">
        <f>IF($B298="Yes",IFERROR(SUMIFS(_TECH_Crisis_Model!$D$5:$D$191,_TECH_Crisis_Model!$A$5:$A$191,'Crisis Simulator'!$B$4,_TECH_Crisis_Model!$B$5:$B$191,$C298),1),"")</f>
        <v/>
      </c>
      <c r="AP298" s="48" t="str">
        <f t="shared" si="71"/>
        <v/>
      </c>
      <c r="AQ298" s="48" t="str">
        <f t="shared" si="72"/>
        <v/>
      </c>
      <c r="AR298" s="48" t="str">
        <f>IFERROR(INDEX(_TECH_Crisis_Model!$E$5:$E$191,MATCH('Crisis Simulator'!$B$4&amp;"|"&amp;$C298,_TECH_Crisis_Model!$I$5:$I$191,0)),"")</f>
        <v>Cloud, infrastructure, backups, RTO and RPO determine system recoverability.</v>
      </c>
      <c r="AS298" s="48" t="str">
        <f>IFERROR(INDEX(_TECH_Crisis_Model!$G$5:$G$191,MATCH('Crisis Simulator'!$B$4&amp;"|"&amp;$C298,_TECH_Crisis_Model!$I$5:$I$191,0)),"")</f>
        <v>Implement tested backups, DR runbooks, failover, cloud landing zones and RTO/RPO monitoring.</v>
      </c>
      <c r="AT298" s="48" t="str">
        <f>IFERROR(INDEX(_TECH_Initiative_Library!$A$5:$A$76,MATCH(1,INDEX((_TECH_Initiative_Library!$B$5:$B$76=$C298)*(_TECH_Initiative_Library!$C$5:$C$76=$D298),0),0)),"")</f>
        <v>INI-050</v>
      </c>
      <c r="AU298" s="48" t="str">
        <f>IFERROR(INDEX(_TECH_Initiative_Library!$F$5:$F$76,MATCH(1,INDEX((_TECH_Initiative_Library!$B$5:$B$76=$C298)*(_TECH_Initiative_Library!$C$5:$C$76=$D298),0),0)),"")</f>
        <v>Implement disaster recovery, backup testing and RTO/RPO controls</v>
      </c>
      <c r="AV298" s="48" t="str">
        <f ca="1">IFERROR(INDEX(_TECH_Initiative_Library!$AC$5:$AC$76,MATCH(1,INDEX((_TECH_Initiative_Library!$B$5:$B$76=$C298)*(_TECH_Initiative_Library!$C$5:$C$76=$D298),0),0)),"")</f>
        <v/>
      </c>
      <c r="AW298" s="48" t="str">
        <f ca="1">IFERROR(INDEX(_TECH_Initiative_Library!$AE$5:$AE$76,MATCH(1,INDEX((_TECH_Initiative_Library!$B$5:$B$76=$C298)*(_TECH_Initiative_Library!$C$5:$C$76=$D298),0),0)),"")</f>
        <v/>
      </c>
      <c r="AX298" s="48" t="str">
        <f>IF($B298="Yes",IFERROR(SUMIFS(_TECH_Industry_Templates!$E:$E,_TECH_Industry_Templates!$A:$A,'Company Profile'!$B$9,_TECH_Industry_Templates!$B:$B,$C298),1),"")</f>
        <v/>
      </c>
      <c r="AY298" s="48" t="str">
        <f t="shared" si="73"/>
        <v/>
      </c>
      <c r="AZ298" s="48" t="str">
        <f t="shared" si="74"/>
        <v/>
      </c>
      <c r="BA298" s="48" t="str">
        <f>IF($AZ298="","",RANK.EQ($AZ298,$AZ$8:$AZ$414,0)+COUNTIF($AZ$8:$AZ298,$AZ298)-1)</f>
        <v/>
      </c>
    </row>
    <row r="299" spans="1:53" ht="69.95" customHeight="1">
      <c r="A299" s="36" t="str">
        <f>IF($AZ299="","",RANK.EQ($AZ299,$AZ$8:$AZ$414,0)+COUNTIF($AZ$8:$AZ299,$AZ299)-1)</f>
        <v/>
      </c>
      <c r="B299" s="36" t="str">
        <f t="shared" si="61"/>
        <v/>
      </c>
      <c r="C299" s="36" t="s">
        <v>90</v>
      </c>
      <c r="D299" s="36" t="s">
        <v>1465</v>
      </c>
      <c r="E299" s="36" t="s">
        <v>4836</v>
      </c>
      <c r="F299" s="36" t="s">
        <v>1446</v>
      </c>
      <c r="G299" s="36" t="str">
        <f>IF($H299="","",IFERROR(INDEX('Risk Library'!$H$5:$M$411,MATCH($E299,'Risk Library'!$A$5:$A$411,0),$H299+1),""))</f>
        <v/>
      </c>
      <c r="H299" s="37" t="str">
        <f>IF(OR(COUNTA('IT Cloud DR'!$H$22)=0,'IT Cloud DR'!$H$22="N/A"),"",VALUE('IT Cloud DR'!$H$22))</f>
        <v/>
      </c>
      <c r="I299" s="36" t="str">
        <f>IF($H299="","",IFERROR(IF('IT Cloud DR'!$L$22="",IF($H299&lt;=1,"Critical",IF($H299=2,"High",IF($H299=3,"Medium",IF($H299=4,"Low","Resilient")))),'IT Cloud DR'!$L$22),IF($H299&lt;=1,"Critical",IF($H299=2,"High",IF($H299=3,"Medium",IF($H299=4,"Low","Resilient"))))))</f>
        <v/>
      </c>
      <c r="J299" s="37" t="str">
        <f t="shared" si="62"/>
        <v/>
      </c>
      <c r="K299" s="37" t="str">
        <f t="shared" si="63"/>
        <v/>
      </c>
      <c r="L299" s="37" t="str">
        <f t="shared" si="64"/>
        <v/>
      </c>
      <c r="M299" s="37" t="str">
        <f t="shared" si="65"/>
        <v/>
      </c>
      <c r="N299" s="37" t="str">
        <f>IF($H299="","",IFERROR(INDEX('Risk Library'!$T$5:$Y$411,MATCH($E299,'Risk Library'!$A$5:$A$411,0),$H299+1),""))</f>
        <v/>
      </c>
      <c r="O299" s="37" t="str">
        <f t="shared" si="66"/>
        <v/>
      </c>
      <c r="P299" s="37" t="str">
        <f t="shared" si="67"/>
        <v/>
      </c>
      <c r="Q299" s="37" t="str">
        <f t="shared" si="68"/>
        <v/>
      </c>
      <c r="R299" s="37" t="str">
        <f t="shared" si="69"/>
        <v/>
      </c>
      <c r="S299" s="38" t="str">
        <f t="shared" si="70"/>
        <v/>
      </c>
      <c r="T299" s="36" t="str">
        <f>IF($H299="","",IFERROR(INDEX('Risk Library'!$N$5:$S$411,MATCH($E299,'Risk Library'!$A$5:$A$411,0),$H299+1),""))</f>
        <v/>
      </c>
      <c r="U299" s="37">
        <f>IFERROR('IT Cloud DR'!$G$22,"")</f>
        <v>5</v>
      </c>
      <c r="V299" s="37">
        <f>IFERROR('IT Cloud DR'!$W$22,"")</f>
        <v>5</v>
      </c>
      <c r="W299" s="37">
        <f>IFERROR('IT Cloud DR'!$X$22,"")</f>
        <v>5</v>
      </c>
      <c r="X299" s="37">
        <f>IFERROR('IT Cloud DR'!$Y$22,"")</f>
        <v>5</v>
      </c>
      <c r="Y299" s="36" t="s">
        <v>4673</v>
      </c>
      <c r="Z299" s="36" t="s">
        <v>4674</v>
      </c>
      <c r="AA299" s="36" t="s">
        <v>4838</v>
      </c>
      <c r="AB299" s="36">
        <f>IFERROR('IT Cloud DR'!$U$22,"")</f>
        <v>0</v>
      </c>
      <c r="AC299" s="36"/>
      <c r="AD299" s="36"/>
      <c r="AE299" s="36"/>
      <c r="AF299" s="36" t="s">
        <v>4837</v>
      </c>
      <c r="AO299" s="48" t="str">
        <f>IF($B299="Yes",IFERROR(SUMIFS(_TECH_Crisis_Model!$D$5:$D$191,_TECH_Crisis_Model!$A$5:$A$191,'Crisis Simulator'!$B$4,_TECH_Crisis_Model!$B$5:$B$191,$C299),1),"")</f>
        <v/>
      </c>
      <c r="AP299" s="48" t="str">
        <f t="shared" si="71"/>
        <v/>
      </c>
      <c r="AQ299" s="48" t="str">
        <f t="shared" si="72"/>
        <v/>
      </c>
      <c r="AR299" s="48" t="str">
        <f>IFERROR(INDEX(_TECH_Crisis_Model!$E$5:$E$191,MATCH('Crisis Simulator'!$B$4&amp;"|"&amp;$C299,_TECH_Crisis_Model!$I$5:$I$191,0)),"")</f>
        <v>Cloud, infrastructure, backups, RTO and RPO determine system recoverability.</v>
      </c>
      <c r="AS299" s="48" t="str">
        <f>IFERROR(INDEX(_TECH_Crisis_Model!$G$5:$G$191,MATCH('Crisis Simulator'!$B$4&amp;"|"&amp;$C299,_TECH_Crisis_Model!$I$5:$I$191,0)),"")</f>
        <v>Implement tested backups, DR runbooks, failover, cloud landing zones and RTO/RPO monitoring.</v>
      </c>
      <c r="AT299" s="48" t="str">
        <f>IFERROR(INDEX(_TECH_Initiative_Library!$A$5:$A$76,MATCH(1,INDEX((_TECH_Initiative_Library!$B$5:$B$76=$C299)*(_TECH_Initiative_Library!$C$5:$C$76=$D299),0),0)),"")</f>
        <v>INI-050</v>
      </c>
      <c r="AU299" s="48" t="str">
        <f>IFERROR(INDEX(_TECH_Initiative_Library!$F$5:$F$76,MATCH(1,INDEX((_TECH_Initiative_Library!$B$5:$B$76=$C299)*(_TECH_Initiative_Library!$C$5:$C$76=$D299),0),0)),"")</f>
        <v>Implement disaster recovery, backup testing and RTO/RPO controls</v>
      </c>
      <c r="AV299" s="48" t="str">
        <f ca="1">IFERROR(INDEX(_TECH_Initiative_Library!$AC$5:$AC$76,MATCH(1,INDEX((_TECH_Initiative_Library!$B$5:$B$76=$C299)*(_TECH_Initiative_Library!$C$5:$C$76=$D299),0),0)),"")</f>
        <v/>
      </c>
      <c r="AW299" s="48" t="str">
        <f ca="1">IFERROR(INDEX(_TECH_Initiative_Library!$AE$5:$AE$76,MATCH(1,INDEX((_TECH_Initiative_Library!$B$5:$B$76=$C299)*(_TECH_Initiative_Library!$C$5:$C$76=$D299),0),0)),"")</f>
        <v/>
      </c>
      <c r="AX299" s="48" t="str">
        <f>IF($B299="Yes",IFERROR(SUMIFS(_TECH_Industry_Templates!$E:$E,_TECH_Industry_Templates!$A:$A,'Company Profile'!$B$9,_TECH_Industry_Templates!$B:$B,$C299),1),"")</f>
        <v/>
      </c>
      <c r="AY299" s="48" t="str">
        <f t="shared" si="73"/>
        <v/>
      </c>
      <c r="AZ299" s="48" t="str">
        <f t="shared" si="74"/>
        <v/>
      </c>
      <c r="BA299" s="48" t="str">
        <f>IF($AZ299="","",RANK.EQ($AZ299,$AZ$8:$AZ$414,0)+COUNTIF($AZ$8:$AZ299,$AZ299)-1)</f>
        <v/>
      </c>
    </row>
    <row r="300" spans="1:53" ht="69.95" customHeight="1">
      <c r="A300" s="36" t="str">
        <f>IF($AZ300="","",RANK.EQ($AZ300,$AZ$8:$AZ$414,0)+COUNTIF($AZ$8:$AZ300,$AZ300)-1)</f>
        <v/>
      </c>
      <c r="B300" s="36" t="str">
        <f t="shared" si="61"/>
        <v/>
      </c>
      <c r="C300" s="36" t="s">
        <v>90</v>
      </c>
      <c r="D300" s="36" t="s">
        <v>1473</v>
      </c>
      <c r="E300" s="36" t="s">
        <v>4846</v>
      </c>
      <c r="F300" s="36" t="s">
        <v>1446</v>
      </c>
      <c r="G300" s="36" t="str">
        <f>IF($H300="","",IFERROR(INDEX('Risk Library'!$H$5:$M$411,MATCH($E300,'Risk Library'!$A$5:$A$411,0),$H300+1),""))</f>
        <v/>
      </c>
      <c r="H300" s="37" t="str">
        <f>IF(OR(COUNTA('IT Cloud DR'!$H$23)=0,'IT Cloud DR'!$H$23="N/A"),"",VALUE('IT Cloud DR'!$H$23))</f>
        <v/>
      </c>
      <c r="I300" s="36" t="str">
        <f>IF($H300="","",IFERROR(IF('IT Cloud DR'!$L$23="",IF($H300&lt;=1,"Critical",IF($H300=2,"High",IF($H300=3,"Medium",IF($H300=4,"Low","Resilient")))),'IT Cloud DR'!$L$23),IF($H300&lt;=1,"Critical",IF($H300=2,"High",IF($H300=3,"Medium",IF($H300=4,"Low","Resilient"))))))</f>
        <v/>
      </c>
      <c r="J300" s="37" t="str">
        <f t="shared" si="62"/>
        <v/>
      </c>
      <c r="K300" s="37" t="str">
        <f t="shared" si="63"/>
        <v/>
      </c>
      <c r="L300" s="37" t="str">
        <f t="shared" si="64"/>
        <v/>
      </c>
      <c r="M300" s="37" t="str">
        <f t="shared" si="65"/>
        <v/>
      </c>
      <c r="N300" s="37" t="str">
        <f>IF($H300="","",IFERROR(INDEX('Risk Library'!$T$5:$Y$411,MATCH($E300,'Risk Library'!$A$5:$A$411,0),$H300+1),""))</f>
        <v/>
      </c>
      <c r="O300" s="37" t="str">
        <f t="shared" si="66"/>
        <v/>
      </c>
      <c r="P300" s="37" t="str">
        <f t="shared" si="67"/>
        <v/>
      </c>
      <c r="Q300" s="37" t="str">
        <f t="shared" si="68"/>
        <v/>
      </c>
      <c r="R300" s="37" t="str">
        <f t="shared" si="69"/>
        <v/>
      </c>
      <c r="S300" s="38" t="str">
        <f t="shared" si="70"/>
        <v/>
      </c>
      <c r="T300" s="36" t="str">
        <f>IF($H300="","",IFERROR(INDEX('Risk Library'!$N$5:$S$411,MATCH($E300,'Risk Library'!$A$5:$A$411,0),$H300+1),""))</f>
        <v/>
      </c>
      <c r="U300" s="37">
        <f>IFERROR('IT Cloud DR'!$G$23,"")</f>
        <v>5</v>
      </c>
      <c r="V300" s="37">
        <f>IFERROR('IT Cloud DR'!$W$23,"")</f>
        <v>5</v>
      </c>
      <c r="W300" s="37">
        <f>IFERROR('IT Cloud DR'!$X$23,"")</f>
        <v>5</v>
      </c>
      <c r="X300" s="37">
        <f>IFERROR('IT Cloud DR'!$Y$23,"")</f>
        <v>5</v>
      </c>
      <c r="Y300" s="36" t="s">
        <v>4673</v>
      </c>
      <c r="Z300" s="36" t="s">
        <v>4674</v>
      </c>
      <c r="AA300" s="36" t="s">
        <v>4848</v>
      </c>
      <c r="AB300" s="36">
        <f>IFERROR('IT Cloud DR'!$U$23,"")</f>
        <v>0</v>
      </c>
      <c r="AC300" s="36"/>
      <c r="AD300" s="36"/>
      <c r="AE300" s="36"/>
      <c r="AF300" s="36" t="s">
        <v>4847</v>
      </c>
      <c r="AO300" s="48" t="str">
        <f>IF($B300="Yes",IFERROR(SUMIFS(_TECH_Crisis_Model!$D$5:$D$191,_TECH_Crisis_Model!$A$5:$A$191,'Crisis Simulator'!$B$4,_TECH_Crisis_Model!$B$5:$B$191,$C300),1),"")</f>
        <v/>
      </c>
      <c r="AP300" s="48" t="str">
        <f t="shared" si="71"/>
        <v/>
      </c>
      <c r="AQ300" s="48" t="str">
        <f t="shared" si="72"/>
        <v/>
      </c>
      <c r="AR300" s="48" t="str">
        <f>IFERROR(INDEX(_TECH_Crisis_Model!$E$5:$E$191,MATCH('Crisis Simulator'!$B$4&amp;"|"&amp;$C300,_TECH_Crisis_Model!$I$5:$I$191,0)),"")</f>
        <v>Cloud, infrastructure, backups, RTO and RPO determine system recoverability.</v>
      </c>
      <c r="AS300" s="48" t="str">
        <f>IFERROR(INDEX(_TECH_Crisis_Model!$G$5:$G$191,MATCH('Crisis Simulator'!$B$4&amp;"|"&amp;$C300,_TECH_Crisis_Model!$I$5:$I$191,0)),"")</f>
        <v>Implement tested backups, DR runbooks, failover, cloud landing zones and RTO/RPO monitoring.</v>
      </c>
      <c r="AT300" s="48" t="str">
        <f>IFERROR(INDEX(_TECH_Initiative_Library!$A$5:$A$76,MATCH(1,INDEX((_TECH_Initiative_Library!$B$5:$B$76=$C300)*(_TECH_Initiative_Library!$C$5:$C$76=$D300),0),0)),"")</f>
        <v>INI-051</v>
      </c>
      <c r="AU300" s="48" t="str">
        <f>IFERROR(INDEX(_TECH_Initiative_Library!$F$5:$F$76,MATCH(1,INDEX((_TECH_Initiative_Library!$B$5:$B$76=$C300)*(_TECH_Initiative_Library!$C$5:$C$76=$D300),0),0)),"")</f>
        <v>Strengthen IT operations, monitoring, incident and change management</v>
      </c>
      <c r="AV300" s="48" t="str">
        <f ca="1">IFERROR(INDEX(_TECH_Initiative_Library!$AC$5:$AC$76,MATCH(1,INDEX((_TECH_Initiative_Library!$B$5:$B$76=$C300)*(_TECH_Initiative_Library!$C$5:$C$76=$D300),0),0)),"")</f>
        <v/>
      </c>
      <c r="AW300" s="48" t="str">
        <f ca="1">IFERROR(INDEX(_TECH_Initiative_Library!$AE$5:$AE$76,MATCH(1,INDEX((_TECH_Initiative_Library!$B$5:$B$76=$C300)*(_TECH_Initiative_Library!$C$5:$C$76=$D300),0),0)),"")</f>
        <v/>
      </c>
      <c r="AX300" s="48" t="str">
        <f>IF($B300="Yes",IFERROR(SUMIFS(_TECH_Industry_Templates!$E:$E,_TECH_Industry_Templates!$A:$A,'Company Profile'!$B$9,_TECH_Industry_Templates!$B:$B,$C300),1),"")</f>
        <v/>
      </c>
      <c r="AY300" s="48" t="str">
        <f t="shared" si="73"/>
        <v/>
      </c>
      <c r="AZ300" s="48" t="str">
        <f t="shared" si="74"/>
        <v/>
      </c>
      <c r="BA300" s="48" t="str">
        <f>IF($AZ300="","",RANK.EQ($AZ300,$AZ$8:$AZ$414,0)+COUNTIF($AZ$8:$AZ300,$AZ300)-1)</f>
        <v/>
      </c>
    </row>
    <row r="301" spans="1:53" ht="69.95" customHeight="1">
      <c r="A301" s="36" t="str">
        <f>IF($AZ301="","",RANK.EQ($AZ301,$AZ$8:$AZ$414,0)+COUNTIF($AZ$8:$AZ301,$AZ301)-1)</f>
        <v/>
      </c>
      <c r="B301" s="36" t="str">
        <f t="shared" si="61"/>
        <v/>
      </c>
      <c r="C301" s="36" t="s">
        <v>90</v>
      </c>
      <c r="D301" s="36" t="s">
        <v>1473</v>
      </c>
      <c r="E301" s="36" t="s">
        <v>4856</v>
      </c>
      <c r="F301" s="36" t="s">
        <v>1446</v>
      </c>
      <c r="G301" s="36" t="str">
        <f>IF($H301="","",IFERROR(INDEX('Risk Library'!$H$5:$M$411,MATCH($E301,'Risk Library'!$A$5:$A$411,0),$H301+1),""))</f>
        <v/>
      </c>
      <c r="H301" s="37" t="str">
        <f>IF(OR(COUNTA('IT Cloud DR'!$H$24)=0,'IT Cloud DR'!$H$24="N/A"),"",VALUE('IT Cloud DR'!$H$24))</f>
        <v/>
      </c>
      <c r="I301" s="36" t="str">
        <f>IF($H301="","",IFERROR(IF('IT Cloud DR'!$L$24="",IF($H301&lt;=1,"Critical",IF($H301=2,"High",IF($H301=3,"Medium",IF($H301=4,"Low","Resilient")))),'IT Cloud DR'!$L$24),IF($H301&lt;=1,"Critical",IF($H301=2,"High",IF($H301=3,"Medium",IF($H301=4,"Low","Resilient"))))))</f>
        <v/>
      </c>
      <c r="J301" s="37" t="str">
        <f t="shared" si="62"/>
        <v/>
      </c>
      <c r="K301" s="37" t="str">
        <f t="shared" si="63"/>
        <v/>
      </c>
      <c r="L301" s="37" t="str">
        <f t="shared" si="64"/>
        <v/>
      </c>
      <c r="M301" s="37" t="str">
        <f t="shared" si="65"/>
        <v/>
      </c>
      <c r="N301" s="37" t="str">
        <f>IF($H301="","",IFERROR(INDEX('Risk Library'!$T$5:$Y$411,MATCH($E301,'Risk Library'!$A$5:$A$411,0),$H301+1),""))</f>
        <v/>
      </c>
      <c r="O301" s="37" t="str">
        <f t="shared" si="66"/>
        <v/>
      </c>
      <c r="P301" s="37" t="str">
        <f t="shared" si="67"/>
        <v/>
      </c>
      <c r="Q301" s="37" t="str">
        <f t="shared" si="68"/>
        <v/>
      </c>
      <c r="R301" s="37" t="str">
        <f t="shared" si="69"/>
        <v/>
      </c>
      <c r="S301" s="38" t="str">
        <f t="shared" si="70"/>
        <v/>
      </c>
      <c r="T301" s="36" t="str">
        <f>IF($H301="","",IFERROR(INDEX('Risk Library'!$N$5:$S$411,MATCH($E301,'Risk Library'!$A$5:$A$411,0),$H301+1),""))</f>
        <v/>
      </c>
      <c r="U301" s="37">
        <f>IFERROR('IT Cloud DR'!$G$24,"")</f>
        <v>3</v>
      </c>
      <c r="V301" s="37">
        <f>IFERROR('IT Cloud DR'!$W$24,"")</f>
        <v>5</v>
      </c>
      <c r="W301" s="37">
        <f>IFERROR('IT Cloud DR'!$X$24,"")</f>
        <v>5</v>
      </c>
      <c r="X301" s="37">
        <f>IFERROR('IT Cloud DR'!$Y$24,"")</f>
        <v>5</v>
      </c>
      <c r="Y301" s="36" t="s">
        <v>4673</v>
      </c>
      <c r="Z301" s="36" t="s">
        <v>4674</v>
      </c>
      <c r="AA301" s="36" t="s">
        <v>4858</v>
      </c>
      <c r="AB301" s="36">
        <f>IFERROR('IT Cloud DR'!$U$24,"")</f>
        <v>0</v>
      </c>
      <c r="AC301" s="36"/>
      <c r="AD301" s="36"/>
      <c r="AE301" s="36"/>
      <c r="AF301" s="36" t="s">
        <v>4857</v>
      </c>
      <c r="AO301" s="48" t="str">
        <f>IF($B301="Yes",IFERROR(SUMIFS(_TECH_Crisis_Model!$D$5:$D$191,_TECH_Crisis_Model!$A$5:$A$191,'Crisis Simulator'!$B$4,_TECH_Crisis_Model!$B$5:$B$191,$C301),1),"")</f>
        <v/>
      </c>
      <c r="AP301" s="48" t="str">
        <f t="shared" si="71"/>
        <v/>
      </c>
      <c r="AQ301" s="48" t="str">
        <f t="shared" si="72"/>
        <v/>
      </c>
      <c r="AR301" s="48" t="str">
        <f>IFERROR(INDEX(_TECH_Crisis_Model!$E$5:$E$191,MATCH('Crisis Simulator'!$B$4&amp;"|"&amp;$C301,_TECH_Crisis_Model!$I$5:$I$191,0)),"")</f>
        <v>Cloud, infrastructure, backups, RTO and RPO determine system recoverability.</v>
      </c>
      <c r="AS301" s="48" t="str">
        <f>IFERROR(INDEX(_TECH_Crisis_Model!$G$5:$G$191,MATCH('Crisis Simulator'!$B$4&amp;"|"&amp;$C301,_TECH_Crisis_Model!$I$5:$I$191,0)),"")</f>
        <v>Implement tested backups, DR runbooks, failover, cloud landing zones and RTO/RPO monitoring.</v>
      </c>
      <c r="AT301" s="48" t="str">
        <f>IFERROR(INDEX(_TECH_Initiative_Library!$A$5:$A$76,MATCH(1,INDEX((_TECH_Initiative_Library!$B$5:$B$76=$C301)*(_TECH_Initiative_Library!$C$5:$C$76=$D301),0),0)),"")</f>
        <v>INI-051</v>
      </c>
      <c r="AU301" s="48" t="str">
        <f>IFERROR(INDEX(_TECH_Initiative_Library!$F$5:$F$76,MATCH(1,INDEX((_TECH_Initiative_Library!$B$5:$B$76=$C301)*(_TECH_Initiative_Library!$C$5:$C$76=$D301),0),0)),"")</f>
        <v>Strengthen IT operations, monitoring, incident and change management</v>
      </c>
      <c r="AV301" s="48" t="str">
        <f ca="1">IFERROR(INDEX(_TECH_Initiative_Library!$AC$5:$AC$76,MATCH(1,INDEX((_TECH_Initiative_Library!$B$5:$B$76=$C301)*(_TECH_Initiative_Library!$C$5:$C$76=$D301),0),0)),"")</f>
        <v/>
      </c>
      <c r="AW301" s="48" t="str">
        <f ca="1">IFERROR(INDEX(_TECH_Initiative_Library!$AE$5:$AE$76,MATCH(1,INDEX((_TECH_Initiative_Library!$B$5:$B$76=$C301)*(_TECH_Initiative_Library!$C$5:$C$76=$D301),0),0)),"")</f>
        <v/>
      </c>
      <c r="AX301" s="48" t="str">
        <f>IF($B301="Yes",IFERROR(SUMIFS(_TECH_Industry_Templates!$E:$E,_TECH_Industry_Templates!$A:$A,'Company Profile'!$B$9,_TECH_Industry_Templates!$B:$B,$C301),1),"")</f>
        <v/>
      </c>
      <c r="AY301" s="48" t="str">
        <f t="shared" si="73"/>
        <v/>
      </c>
      <c r="AZ301" s="48" t="str">
        <f t="shared" si="74"/>
        <v/>
      </c>
      <c r="BA301" s="48" t="str">
        <f>IF($AZ301="","",RANK.EQ($AZ301,$AZ$8:$AZ$414,0)+COUNTIF($AZ$8:$AZ301,$AZ301)-1)</f>
        <v/>
      </c>
    </row>
    <row r="302" spans="1:53" ht="69.95" customHeight="1">
      <c r="A302" s="36" t="str">
        <f>IF($AZ302="","",RANK.EQ($AZ302,$AZ$8:$AZ$414,0)+COUNTIF($AZ$8:$AZ302,$AZ302)-1)</f>
        <v/>
      </c>
      <c r="B302" s="36" t="str">
        <f t="shared" si="61"/>
        <v/>
      </c>
      <c r="C302" s="36" t="s">
        <v>90</v>
      </c>
      <c r="D302" s="36" t="s">
        <v>1473</v>
      </c>
      <c r="E302" s="36" t="s">
        <v>4866</v>
      </c>
      <c r="F302" s="36" t="s">
        <v>1446</v>
      </c>
      <c r="G302" s="36" t="str">
        <f>IF($H302="","",IFERROR(INDEX('Risk Library'!$H$5:$M$411,MATCH($E302,'Risk Library'!$A$5:$A$411,0),$H302+1),""))</f>
        <v/>
      </c>
      <c r="H302" s="37" t="str">
        <f>IF(OR(COUNTA('IT Cloud DR'!$H$25)=0,'IT Cloud DR'!$H$25="N/A"),"",VALUE('IT Cloud DR'!$H$25))</f>
        <v/>
      </c>
      <c r="I302" s="36" t="str">
        <f>IF($H302="","",IFERROR(IF('IT Cloud DR'!$L$25="",IF($H302&lt;=1,"Critical",IF($H302=2,"High",IF($H302=3,"Medium",IF($H302=4,"Low","Resilient")))),'IT Cloud DR'!$L$25),IF($H302&lt;=1,"Critical",IF($H302=2,"High",IF($H302=3,"Medium",IF($H302=4,"Low","Resilient"))))))</f>
        <v/>
      </c>
      <c r="J302" s="37" t="str">
        <f t="shared" si="62"/>
        <v/>
      </c>
      <c r="K302" s="37" t="str">
        <f t="shared" si="63"/>
        <v/>
      </c>
      <c r="L302" s="37" t="str">
        <f t="shared" si="64"/>
        <v/>
      </c>
      <c r="M302" s="37" t="str">
        <f t="shared" si="65"/>
        <v/>
      </c>
      <c r="N302" s="37" t="str">
        <f>IF($H302="","",IFERROR(INDEX('Risk Library'!$T$5:$Y$411,MATCH($E302,'Risk Library'!$A$5:$A$411,0),$H302+1),""))</f>
        <v/>
      </c>
      <c r="O302" s="37" t="str">
        <f t="shared" si="66"/>
        <v/>
      </c>
      <c r="P302" s="37" t="str">
        <f t="shared" si="67"/>
        <v/>
      </c>
      <c r="Q302" s="37" t="str">
        <f t="shared" si="68"/>
        <v/>
      </c>
      <c r="R302" s="37" t="str">
        <f t="shared" si="69"/>
        <v/>
      </c>
      <c r="S302" s="38" t="str">
        <f t="shared" si="70"/>
        <v/>
      </c>
      <c r="T302" s="36" t="str">
        <f>IF($H302="","",IFERROR(INDEX('Risk Library'!$N$5:$S$411,MATCH($E302,'Risk Library'!$A$5:$A$411,0),$H302+1),""))</f>
        <v/>
      </c>
      <c r="U302" s="37">
        <f>IFERROR('IT Cloud DR'!$G$25,"")</f>
        <v>3</v>
      </c>
      <c r="V302" s="37">
        <f>IFERROR('IT Cloud DR'!$W$25,"")</f>
        <v>5</v>
      </c>
      <c r="W302" s="37">
        <f>IFERROR('IT Cloud DR'!$X$25,"")</f>
        <v>5</v>
      </c>
      <c r="X302" s="37">
        <f>IFERROR('IT Cloud DR'!$Y$25,"")</f>
        <v>5</v>
      </c>
      <c r="Y302" s="36" t="s">
        <v>4673</v>
      </c>
      <c r="Z302" s="36" t="s">
        <v>4674</v>
      </c>
      <c r="AA302" s="36" t="s">
        <v>4868</v>
      </c>
      <c r="AB302" s="36">
        <f>IFERROR('IT Cloud DR'!$U$25,"")</f>
        <v>0</v>
      </c>
      <c r="AC302" s="36"/>
      <c r="AD302" s="36"/>
      <c r="AE302" s="36"/>
      <c r="AF302" s="36" t="s">
        <v>4867</v>
      </c>
      <c r="AO302" s="48" t="str">
        <f>IF($B302="Yes",IFERROR(SUMIFS(_TECH_Crisis_Model!$D$5:$D$191,_TECH_Crisis_Model!$A$5:$A$191,'Crisis Simulator'!$B$4,_TECH_Crisis_Model!$B$5:$B$191,$C302),1),"")</f>
        <v/>
      </c>
      <c r="AP302" s="48" t="str">
        <f t="shared" si="71"/>
        <v/>
      </c>
      <c r="AQ302" s="48" t="str">
        <f t="shared" si="72"/>
        <v/>
      </c>
      <c r="AR302" s="48" t="str">
        <f>IFERROR(INDEX(_TECH_Crisis_Model!$E$5:$E$191,MATCH('Crisis Simulator'!$B$4&amp;"|"&amp;$C302,_TECH_Crisis_Model!$I$5:$I$191,0)),"")</f>
        <v>Cloud, infrastructure, backups, RTO and RPO determine system recoverability.</v>
      </c>
      <c r="AS302" s="48" t="str">
        <f>IFERROR(INDEX(_TECH_Crisis_Model!$G$5:$G$191,MATCH('Crisis Simulator'!$B$4&amp;"|"&amp;$C302,_TECH_Crisis_Model!$I$5:$I$191,0)),"")</f>
        <v>Implement tested backups, DR runbooks, failover, cloud landing zones and RTO/RPO monitoring.</v>
      </c>
      <c r="AT302" s="48" t="str">
        <f>IFERROR(INDEX(_TECH_Initiative_Library!$A$5:$A$76,MATCH(1,INDEX((_TECH_Initiative_Library!$B$5:$B$76=$C302)*(_TECH_Initiative_Library!$C$5:$C$76=$D302),0),0)),"")</f>
        <v>INI-051</v>
      </c>
      <c r="AU302" s="48" t="str">
        <f>IFERROR(INDEX(_TECH_Initiative_Library!$F$5:$F$76,MATCH(1,INDEX((_TECH_Initiative_Library!$B$5:$B$76=$C302)*(_TECH_Initiative_Library!$C$5:$C$76=$D302),0),0)),"")</f>
        <v>Strengthen IT operations, monitoring, incident and change management</v>
      </c>
      <c r="AV302" s="48" t="str">
        <f ca="1">IFERROR(INDEX(_TECH_Initiative_Library!$AC$5:$AC$76,MATCH(1,INDEX((_TECH_Initiative_Library!$B$5:$B$76=$C302)*(_TECH_Initiative_Library!$C$5:$C$76=$D302),0),0)),"")</f>
        <v/>
      </c>
      <c r="AW302" s="48" t="str">
        <f ca="1">IFERROR(INDEX(_TECH_Initiative_Library!$AE$5:$AE$76,MATCH(1,INDEX((_TECH_Initiative_Library!$B$5:$B$76=$C302)*(_TECH_Initiative_Library!$C$5:$C$76=$D302),0),0)),"")</f>
        <v/>
      </c>
      <c r="AX302" s="48" t="str">
        <f>IF($B302="Yes",IFERROR(SUMIFS(_TECH_Industry_Templates!$E:$E,_TECH_Industry_Templates!$A:$A,'Company Profile'!$B$9,_TECH_Industry_Templates!$B:$B,$C302),1),"")</f>
        <v/>
      </c>
      <c r="AY302" s="48" t="str">
        <f t="shared" si="73"/>
        <v/>
      </c>
      <c r="AZ302" s="48" t="str">
        <f t="shared" si="74"/>
        <v/>
      </c>
      <c r="BA302" s="48" t="str">
        <f>IF($AZ302="","",RANK.EQ($AZ302,$AZ$8:$AZ$414,0)+COUNTIF($AZ$8:$AZ302,$AZ302)-1)</f>
        <v/>
      </c>
    </row>
    <row r="303" spans="1:53" ht="69.95" customHeight="1">
      <c r="A303" s="36" t="str">
        <f>IF($AZ303="","",RANK.EQ($AZ303,$AZ$8:$AZ$414,0)+COUNTIF($AZ$8:$AZ303,$AZ303)-1)</f>
        <v/>
      </c>
      <c r="B303" s="36" t="str">
        <f t="shared" si="61"/>
        <v/>
      </c>
      <c r="C303" s="36" t="s">
        <v>90</v>
      </c>
      <c r="D303" s="36" t="s">
        <v>1473</v>
      </c>
      <c r="E303" s="36" t="s">
        <v>4876</v>
      </c>
      <c r="F303" s="36" t="s">
        <v>1446</v>
      </c>
      <c r="G303" s="36" t="str">
        <f>IF($H303="","",IFERROR(INDEX('Risk Library'!$H$5:$M$411,MATCH($E303,'Risk Library'!$A$5:$A$411,0),$H303+1),""))</f>
        <v/>
      </c>
      <c r="H303" s="37" t="str">
        <f>IF(OR(COUNTA('IT Cloud DR'!$H$26)=0,'IT Cloud DR'!$H$26="N/A"),"",VALUE('IT Cloud DR'!$H$26))</f>
        <v/>
      </c>
      <c r="I303" s="36" t="str">
        <f>IF($H303="","",IFERROR(IF('IT Cloud DR'!$L$26="",IF($H303&lt;=1,"Critical",IF($H303=2,"High",IF($H303=3,"Medium",IF($H303=4,"Low","Resilient")))),'IT Cloud DR'!$L$26),IF($H303&lt;=1,"Critical",IF($H303=2,"High",IF($H303=3,"Medium",IF($H303=4,"Low","Resilient"))))))</f>
        <v/>
      </c>
      <c r="J303" s="37" t="str">
        <f t="shared" si="62"/>
        <v/>
      </c>
      <c r="K303" s="37" t="str">
        <f t="shared" si="63"/>
        <v/>
      </c>
      <c r="L303" s="37" t="str">
        <f t="shared" si="64"/>
        <v/>
      </c>
      <c r="M303" s="37" t="str">
        <f t="shared" si="65"/>
        <v/>
      </c>
      <c r="N303" s="37" t="str">
        <f>IF($H303="","",IFERROR(INDEX('Risk Library'!$T$5:$Y$411,MATCH($E303,'Risk Library'!$A$5:$A$411,0),$H303+1),""))</f>
        <v/>
      </c>
      <c r="O303" s="37" t="str">
        <f t="shared" si="66"/>
        <v/>
      </c>
      <c r="P303" s="37" t="str">
        <f t="shared" si="67"/>
        <v/>
      </c>
      <c r="Q303" s="37" t="str">
        <f t="shared" si="68"/>
        <v/>
      </c>
      <c r="R303" s="37" t="str">
        <f t="shared" si="69"/>
        <v/>
      </c>
      <c r="S303" s="38" t="str">
        <f t="shared" si="70"/>
        <v/>
      </c>
      <c r="T303" s="36" t="str">
        <f>IF($H303="","",IFERROR(INDEX('Risk Library'!$N$5:$S$411,MATCH($E303,'Risk Library'!$A$5:$A$411,0),$H303+1),""))</f>
        <v/>
      </c>
      <c r="U303" s="37">
        <f>IFERROR('IT Cloud DR'!$G$26,"")</f>
        <v>5</v>
      </c>
      <c r="V303" s="37">
        <f>IFERROR('IT Cloud DR'!$W$26,"")</f>
        <v>5</v>
      </c>
      <c r="W303" s="37">
        <f>IFERROR('IT Cloud DR'!$X$26,"")</f>
        <v>5</v>
      </c>
      <c r="X303" s="37">
        <f>IFERROR('IT Cloud DR'!$Y$26,"")</f>
        <v>5</v>
      </c>
      <c r="Y303" s="36" t="s">
        <v>4673</v>
      </c>
      <c r="Z303" s="36" t="s">
        <v>4674</v>
      </c>
      <c r="AA303" s="36" t="s">
        <v>4878</v>
      </c>
      <c r="AB303" s="36">
        <f>IFERROR('IT Cloud DR'!$U$26,"")</f>
        <v>0</v>
      </c>
      <c r="AC303" s="36"/>
      <c r="AD303" s="36"/>
      <c r="AE303" s="36"/>
      <c r="AF303" s="36" t="s">
        <v>4877</v>
      </c>
      <c r="AO303" s="48" t="str">
        <f>IF($B303="Yes",IFERROR(SUMIFS(_TECH_Crisis_Model!$D$5:$D$191,_TECH_Crisis_Model!$A$5:$A$191,'Crisis Simulator'!$B$4,_TECH_Crisis_Model!$B$5:$B$191,$C303),1),"")</f>
        <v/>
      </c>
      <c r="AP303" s="48" t="str">
        <f t="shared" si="71"/>
        <v/>
      </c>
      <c r="AQ303" s="48" t="str">
        <f t="shared" si="72"/>
        <v/>
      </c>
      <c r="AR303" s="48" t="str">
        <f>IFERROR(INDEX(_TECH_Crisis_Model!$E$5:$E$191,MATCH('Crisis Simulator'!$B$4&amp;"|"&amp;$C303,_TECH_Crisis_Model!$I$5:$I$191,0)),"")</f>
        <v>Cloud, infrastructure, backups, RTO and RPO determine system recoverability.</v>
      </c>
      <c r="AS303" s="48" t="str">
        <f>IFERROR(INDEX(_TECH_Crisis_Model!$G$5:$G$191,MATCH('Crisis Simulator'!$B$4&amp;"|"&amp;$C303,_TECH_Crisis_Model!$I$5:$I$191,0)),"")</f>
        <v>Implement tested backups, DR runbooks, failover, cloud landing zones and RTO/RPO monitoring.</v>
      </c>
      <c r="AT303" s="48" t="str">
        <f>IFERROR(INDEX(_TECH_Initiative_Library!$A$5:$A$76,MATCH(1,INDEX((_TECH_Initiative_Library!$B$5:$B$76=$C303)*(_TECH_Initiative_Library!$C$5:$C$76=$D303),0),0)),"")</f>
        <v>INI-051</v>
      </c>
      <c r="AU303" s="48" t="str">
        <f>IFERROR(INDEX(_TECH_Initiative_Library!$F$5:$F$76,MATCH(1,INDEX((_TECH_Initiative_Library!$B$5:$B$76=$C303)*(_TECH_Initiative_Library!$C$5:$C$76=$D303),0),0)),"")</f>
        <v>Strengthen IT operations, monitoring, incident and change management</v>
      </c>
      <c r="AV303" s="48" t="str">
        <f ca="1">IFERROR(INDEX(_TECH_Initiative_Library!$AC$5:$AC$76,MATCH(1,INDEX((_TECH_Initiative_Library!$B$5:$B$76=$C303)*(_TECH_Initiative_Library!$C$5:$C$76=$D303),0),0)),"")</f>
        <v/>
      </c>
      <c r="AW303" s="48" t="str">
        <f ca="1">IFERROR(INDEX(_TECH_Initiative_Library!$AE$5:$AE$76,MATCH(1,INDEX((_TECH_Initiative_Library!$B$5:$B$76=$C303)*(_TECH_Initiative_Library!$C$5:$C$76=$D303),0),0)),"")</f>
        <v/>
      </c>
      <c r="AX303" s="48" t="str">
        <f>IF($B303="Yes",IFERROR(SUMIFS(_TECH_Industry_Templates!$E:$E,_TECH_Industry_Templates!$A:$A,'Company Profile'!$B$9,_TECH_Industry_Templates!$B:$B,$C303),1),"")</f>
        <v/>
      </c>
      <c r="AY303" s="48" t="str">
        <f t="shared" si="73"/>
        <v/>
      </c>
      <c r="AZ303" s="48" t="str">
        <f t="shared" si="74"/>
        <v/>
      </c>
      <c r="BA303" s="48" t="str">
        <f>IF($AZ303="","",RANK.EQ($AZ303,$AZ$8:$AZ$414,0)+COUNTIF($AZ$8:$AZ303,$AZ303)-1)</f>
        <v/>
      </c>
    </row>
    <row r="304" spans="1:53" ht="69.95" customHeight="1">
      <c r="A304" s="36" t="str">
        <f>IF($AZ304="","",RANK.EQ($AZ304,$AZ$8:$AZ$414,0)+COUNTIF($AZ$8:$AZ304,$AZ304)-1)</f>
        <v/>
      </c>
      <c r="B304" s="36" t="str">
        <f t="shared" si="61"/>
        <v/>
      </c>
      <c r="C304" s="36" t="s">
        <v>90</v>
      </c>
      <c r="D304" s="36" t="s">
        <v>1473</v>
      </c>
      <c r="E304" s="36" t="s">
        <v>4886</v>
      </c>
      <c r="F304" s="36" t="s">
        <v>1446</v>
      </c>
      <c r="G304" s="36" t="str">
        <f>IF($H304="","",IFERROR(INDEX('Risk Library'!$H$5:$M$411,MATCH($E304,'Risk Library'!$A$5:$A$411,0),$H304+1),""))</f>
        <v/>
      </c>
      <c r="H304" s="37" t="str">
        <f>IF(OR(COUNTA('IT Cloud DR'!$H$27)=0,'IT Cloud DR'!$H$27="N/A"),"",VALUE('IT Cloud DR'!$H$27))</f>
        <v/>
      </c>
      <c r="I304" s="36" t="str">
        <f>IF($H304="","",IFERROR(IF('IT Cloud DR'!$L$27="",IF($H304&lt;=1,"Critical",IF($H304=2,"High",IF($H304=3,"Medium",IF($H304=4,"Low","Resilient")))),'IT Cloud DR'!$L$27),IF($H304&lt;=1,"Critical",IF($H304=2,"High",IF($H304=3,"Medium",IF($H304=4,"Low","Resilient"))))))</f>
        <v/>
      </c>
      <c r="J304" s="37" t="str">
        <f t="shared" si="62"/>
        <v/>
      </c>
      <c r="K304" s="37" t="str">
        <f t="shared" si="63"/>
        <v/>
      </c>
      <c r="L304" s="37" t="str">
        <f t="shared" si="64"/>
        <v/>
      </c>
      <c r="M304" s="37" t="str">
        <f t="shared" si="65"/>
        <v/>
      </c>
      <c r="N304" s="37" t="str">
        <f>IF($H304="","",IFERROR(INDEX('Risk Library'!$T$5:$Y$411,MATCH($E304,'Risk Library'!$A$5:$A$411,0),$H304+1),""))</f>
        <v/>
      </c>
      <c r="O304" s="37" t="str">
        <f t="shared" si="66"/>
        <v/>
      </c>
      <c r="P304" s="37" t="str">
        <f t="shared" si="67"/>
        <v/>
      </c>
      <c r="Q304" s="37" t="str">
        <f t="shared" si="68"/>
        <v/>
      </c>
      <c r="R304" s="37" t="str">
        <f t="shared" si="69"/>
        <v/>
      </c>
      <c r="S304" s="38" t="str">
        <f t="shared" si="70"/>
        <v/>
      </c>
      <c r="T304" s="36" t="str">
        <f>IF($H304="","",IFERROR(INDEX('Risk Library'!$N$5:$S$411,MATCH($E304,'Risk Library'!$A$5:$A$411,0),$H304+1),""))</f>
        <v/>
      </c>
      <c r="U304" s="37">
        <f>IFERROR('IT Cloud DR'!$G$27,"")</f>
        <v>5</v>
      </c>
      <c r="V304" s="37">
        <f>IFERROR('IT Cloud DR'!$W$27,"")</f>
        <v>5</v>
      </c>
      <c r="W304" s="37">
        <f>IFERROR('IT Cloud DR'!$X$27,"")</f>
        <v>5</v>
      </c>
      <c r="X304" s="37">
        <f>IFERROR('IT Cloud DR'!$Y$27,"")</f>
        <v>5</v>
      </c>
      <c r="Y304" s="36" t="s">
        <v>4673</v>
      </c>
      <c r="Z304" s="36" t="s">
        <v>4674</v>
      </c>
      <c r="AA304" s="36" t="s">
        <v>4888</v>
      </c>
      <c r="AB304" s="36">
        <f>IFERROR('IT Cloud DR'!$U$27,"")</f>
        <v>0</v>
      </c>
      <c r="AC304" s="36"/>
      <c r="AD304" s="36"/>
      <c r="AE304" s="36"/>
      <c r="AF304" s="36" t="s">
        <v>4887</v>
      </c>
      <c r="AO304" s="48" t="str">
        <f>IF($B304="Yes",IFERROR(SUMIFS(_TECH_Crisis_Model!$D$5:$D$191,_TECH_Crisis_Model!$A$5:$A$191,'Crisis Simulator'!$B$4,_TECH_Crisis_Model!$B$5:$B$191,$C304),1),"")</f>
        <v/>
      </c>
      <c r="AP304" s="48" t="str">
        <f t="shared" si="71"/>
        <v/>
      </c>
      <c r="AQ304" s="48" t="str">
        <f t="shared" si="72"/>
        <v/>
      </c>
      <c r="AR304" s="48" t="str">
        <f>IFERROR(INDEX(_TECH_Crisis_Model!$E$5:$E$191,MATCH('Crisis Simulator'!$B$4&amp;"|"&amp;$C304,_TECH_Crisis_Model!$I$5:$I$191,0)),"")</f>
        <v>Cloud, infrastructure, backups, RTO and RPO determine system recoverability.</v>
      </c>
      <c r="AS304" s="48" t="str">
        <f>IFERROR(INDEX(_TECH_Crisis_Model!$G$5:$G$191,MATCH('Crisis Simulator'!$B$4&amp;"|"&amp;$C304,_TECH_Crisis_Model!$I$5:$I$191,0)),"")</f>
        <v>Implement tested backups, DR runbooks, failover, cloud landing zones and RTO/RPO monitoring.</v>
      </c>
      <c r="AT304" s="48" t="str">
        <f>IFERROR(INDEX(_TECH_Initiative_Library!$A$5:$A$76,MATCH(1,INDEX((_TECH_Initiative_Library!$B$5:$B$76=$C304)*(_TECH_Initiative_Library!$C$5:$C$76=$D304),0),0)),"")</f>
        <v>INI-051</v>
      </c>
      <c r="AU304" s="48" t="str">
        <f>IFERROR(INDEX(_TECH_Initiative_Library!$F$5:$F$76,MATCH(1,INDEX((_TECH_Initiative_Library!$B$5:$B$76=$C304)*(_TECH_Initiative_Library!$C$5:$C$76=$D304),0),0)),"")</f>
        <v>Strengthen IT operations, monitoring, incident and change management</v>
      </c>
      <c r="AV304" s="48" t="str">
        <f ca="1">IFERROR(INDEX(_TECH_Initiative_Library!$AC$5:$AC$76,MATCH(1,INDEX((_TECH_Initiative_Library!$B$5:$B$76=$C304)*(_TECH_Initiative_Library!$C$5:$C$76=$D304),0),0)),"")</f>
        <v/>
      </c>
      <c r="AW304" s="48" t="str">
        <f ca="1">IFERROR(INDEX(_TECH_Initiative_Library!$AE$5:$AE$76,MATCH(1,INDEX((_TECH_Initiative_Library!$B$5:$B$76=$C304)*(_TECH_Initiative_Library!$C$5:$C$76=$D304),0),0)),"")</f>
        <v/>
      </c>
      <c r="AX304" s="48" t="str">
        <f>IF($B304="Yes",IFERROR(SUMIFS(_TECH_Industry_Templates!$E:$E,_TECH_Industry_Templates!$A:$A,'Company Profile'!$B$9,_TECH_Industry_Templates!$B:$B,$C304),1),"")</f>
        <v/>
      </c>
      <c r="AY304" s="48" t="str">
        <f t="shared" si="73"/>
        <v/>
      </c>
      <c r="AZ304" s="48" t="str">
        <f t="shared" si="74"/>
        <v/>
      </c>
      <c r="BA304" s="48" t="str">
        <f>IF($AZ304="","",RANK.EQ($AZ304,$AZ$8:$AZ$414,0)+COUNTIF($AZ$8:$AZ304,$AZ304)-1)</f>
        <v/>
      </c>
    </row>
    <row r="305" spans="1:53" ht="69.95" customHeight="1">
      <c r="A305" s="36" t="str">
        <f>IF($AZ305="","",RANK.EQ($AZ305,$AZ$8:$AZ$414,0)+COUNTIF($AZ$8:$AZ305,$AZ305)-1)</f>
        <v/>
      </c>
      <c r="B305" s="36" t="str">
        <f t="shared" si="61"/>
        <v/>
      </c>
      <c r="C305" s="36" t="s">
        <v>90</v>
      </c>
      <c r="D305" s="36" t="s">
        <v>1473</v>
      </c>
      <c r="E305" s="36" t="s">
        <v>4896</v>
      </c>
      <c r="F305" s="36" t="s">
        <v>1446</v>
      </c>
      <c r="G305" s="36" t="str">
        <f>IF($H305="","",IFERROR(INDEX('Risk Library'!$H$5:$M$411,MATCH($E305,'Risk Library'!$A$5:$A$411,0),$H305+1),""))</f>
        <v/>
      </c>
      <c r="H305" s="37" t="str">
        <f>IF(OR(COUNTA('IT Cloud DR'!$H$28)=0,'IT Cloud DR'!$H$28="N/A"),"",VALUE('IT Cloud DR'!$H$28))</f>
        <v/>
      </c>
      <c r="I305" s="36" t="str">
        <f>IF($H305="","",IFERROR(IF('IT Cloud DR'!$L$28="",IF($H305&lt;=1,"Critical",IF($H305=2,"High",IF($H305=3,"Medium",IF($H305=4,"Low","Resilient")))),'IT Cloud DR'!$L$28),IF($H305&lt;=1,"Critical",IF($H305=2,"High",IF($H305=3,"Medium",IF($H305=4,"Low","Resilient"))))))</f>
        <v/>
      </c>
      <c r="J305" s="37" t="str">
        <f t="shared" si="62"/>
        <v/>
      </c>
      <c r="K305" s="37" t="str">
        <f t="shared" si="63"/>
        <v/>
      </c>
      <c r="L305" s="37" t="str">
        <f t="shared" si="64"/>
        <v/>
      </c>
      <c r="M305" s="37" t="str">
        <f t="shared" si="65"/>
        <v/>
      </c>
      <c r="N305" s="37" t="str">
        <f>IF($H305="","",IFERROR(INDEX('Risk Library'!$T$5:$Y$411,MATCH($E305,'Risk Library'!$A$5:$A$411,0),$H305+1),""))</f>
        <v/>
      </c>
      <c r="O305" s="37" t="str">
        <f t="shared" si="66"/>
        <v/>
      </c>
      <c r="P305" s="37" t="str">
        <f t="shared" si="67"/>
        <v/>
      </c>
      <c r="Q305" s="37" t="str">
        <f t="shared" si="68"/>
        <v/>
      </c>
      <c r="R305" s="37" t="str">
        <f t="shared" si="69"/>
        <v/>
      </c>
      <c r="S305" s="38" t="str">
        <f t="shared" si="70"/>
        <v/>
      </c>
      <c r="T305" s="36" t="str">
        <f>IF($H305="","",IFERROR(INDEX('Risk Library'!$N$5:$S$411,MATCH($E305,'Risk Library'!$A$5:$A$411,0),$H305+1),""))</f>
        <v/>
      </c>
      <c r="U305" s="37">
        <f>IFERROR('IT Cloud DR'!$G$28,"")</f>
        <v>5</v>
      </c>
      <c r="V305" s="37">
        <f>IFERROR('IT Cloud DR'!$W$28,"")</f>
        <v>5</v>
      </c>
      <c r="W305" s="37">
        <f>IFERROR('IT Cloud DR'!$X$28,"")</f>
        <v>5</v>
      </c>
      <c r="X305" s="37">
        <f>IFERROR('IT Cloud DR'!$Y$28,"")</f>
        <v>5</v>
      </c>
      <c r="Y305" s="36" t="s">
        <v>4673</v>
      </c>
      <c r="Z305" s="36" t="s">
        <v>4674</v>
      </c>
      <c r="AA305" s="36" t="s">
        <v>4898</v>
      </c>
      <c r="AB305" s="36">
        <f>IFERROR('IT Cloud DR'!$U$28,"")</f>
        <v>0</v>
      </c>
      <c r="AC305" s="36"/>
      <c r="AD305" s="36"/>
      <c r="AE305" s="36"/>
      <c r="AF305" s="36" t="s">
        <v>4897</v>
      </c>
      <c r="AO305" s="48" t="str">
        <f>IF($B305="Yes",IFERROR(SUMIFS(_TECH_Crisis_Model!$D$5:$D$191,_TECH_Crisis_Model!$A$5:$A$191,'Crisis Simulator'!$B$4,_TECH_Crisis_Model!$B$5:$B$191,$C305),1),"")</f>
        <v/>
      </c>
      <c r="AP305" s="48" t="str">
        <f t="shared" si="71"/>
        <v/>
      </c>
      <c r="AQ305" s="48" t="str">
        <f t="shared" si="72"/>
        <v/>
      </c>
      <c r="AR305" s="48" t="str">
        <f>IFERROR(INDEX(_TECH_Crisis_Model!$E$5:$E$191,MATCH('Crisis Simulator'!$B$4&amp;"|"&amp;$C305,_TECH_Crisis_Model!$I$5:$I$191,0)),"")</f>
        <v>Cloud, infrastructure, backups, RTO and RPO determine system recoverability.</v>
      </c>
      <c r="AS305" s="48" t="str">
        <f>IFERROR(INDEX(_TECH_Crisis_Model!$G$5:$G$191,MATCH('Crisis Simulator'!$B$4&amp;"|"&amp;$C305,_TECH_Crisis_Model!$I$5:$I$191,0)),"")</f>
        <v>Implement tested backups, DR runbooks, failover, cloud landing zones and RTO/RPO monitoring.</v>
      </c>
      <c r="AT305" s="48" t="str">
        <f>IFERROR(INDEX(_TECH_Initiative_Library!$A$5:$A$76,MATCH(1,INDEX((_TECH_Initiative_Library!$B$5:$B$76=$C305)*(_TECH_Initiative_Library!$C$5:$C$76=$D305),0),0)),"")</f>
        <v>INI-051</v>
      </c>
      <c r="AU305" s="48" t="str">
        <f>IFERROR(INDEX(_TECH_Initiative_Library!$F$5:$F$76,MATCH(1,INDEX((_TECH_Initiative_Library!$B$5:$B$76=$C305)*(_TECH_Initiative_Library!$C$5:$C$76=$D305),0),0)),"")</f>
        <v>Strengthen IT operations, monitoring, incident and change management</v>
      </c>
      <c r="AV305" s="48" t="str">
        <f ca="1">IFERROR(INDEX(_TECH_Initiative_Library!$AC$5:$AC$76,MATCH(1,INDEX((_TECH_Initiative_Library!$B$5:$B$76=$C305)*(_TECH_Initiative_Library!$C$5:$C$76=$D305),0),0)),"")</f>
        <v/>
      </c>
      <c r="AW305" s="48" t="str">
        <f ca="1">IFERROR(INDEX(_TECH_Initiative_Library!$AE$5:$AE$76,MATCH(1,INDEX((_TECH_Initiative_Library!$B$5:$B$76=$C305)*(_TECH_Initiative_Library!$C$5:$C$76=$D305),0),0)),"")</f>
        <v/>
      </c>
      <c r="AX305" s="48" t="str">
        <f>IF($B305="Yes",IFERROR(SUMIFS(_TECH_Industry_Templates!$E:$E,_TECH_Industry_Templates!$A:$A,'Company Profile'!$B$9,_TECH_Industry_Templates!$B:$B,$C305),1),"")</f>
        <v/>
      </c>
      <c r="AY305" s="48" t="str">
        <f t="shared" si="73"/>
        <v/>
      </c>
      <c r="AZ305" s="48" t="str">
        <f t="shared" si="74"/>
        <v/>
      </c>
      <c r="BA305" s="48" t="str">
        <f>IF($AZ305="","",RANK.EQ($AZ305,$AZ$8:$AZ$414,0)+COUNTIF($AZ$8:$AZ305,$AZ305)-1)</f>
        <v/>
      </c>
    </row>
    <row r="306" spans="1:53" ht="69.95" customHeight="1">
      <c r="A306" s="36" t="str">
        <f>IF($AZ306="","",RANK.EQ($AZ306,$AZ$8:$AZ$414,0)+COUNTIF($AZ$8:$AZ306,$AZ306)-1)</f>
        <v/>
      </c>
      <c r="B306" s="36" t="str">
        <f t="shared" si="61"/>
        <v/>
      </c>
      <c r="C306" s="36" t="s">
        <v>90</v>
      </c>
      <c r="D306" s="36" t="s">
        <v>1481</v>
      </c>
      <c r="E306" s="36" t="s">
        <v>4906</v>
      </c>
      <c r="F306" s="36" t="s">
        <v>1446</v>
      </c>
      <c r="G306" s="36" t="str">
        <f>IF($H306="","",IFERROR(INDEX('Risk Library'!$H$5:$M$411,MATCH($E306,'Risk Library'!$A$5:$A$411,0),$H306+1),""))</f>
        <v/>
      </c>
      <c r="H306" s="37" t="str">
        <f>IF(OR(COUNTA('IT Cloud DR'!$H$29)=0,'IT Cloud DR'!$H$29="N/A"),"",VALUE('IT Cloud DR'!$H$29))</f>
        <v/>
      </c>
      <c r="I306" s="36" t="str">
        <f>IF($H306="","",IFERROR(IF('IT Cloud DR'!$L$29="",IF($H306&lt;=1,"Critical",IF($H306=2,"High",IF($H306=3,"Medium",IF($H306=4,"Low","Resilient")))),'IT Cloud DR'!$L$29),IF($H306&lt;=1,"Critical",IF($H306=2,"High",IF($H306=3,"Medium",IF($H306=4,"Low","Resilient"))))))</f>
        <v/>
      </c>
      <c r="J306" s="37" t="str">
        <f t="shared" si="62"/>
        <v/>
      </c>
      <c r="K306" s="37" t="str">
        <f t="shared" si="63"/>
        <v/>
      </c>
      <c r="L306" s="37" t="str">
        <f t="shared" si="64"/>
        <v/>
      </c>
      <c r="M306" s="37" t="str">
        <f t="shared" si="65"/>
        <v/>
      </c>
      <c r="N306" s="37" t="str">
        <f>IF($H306="","",IFERROR(INDEX('Risk Library'!$T$5:$Y$411,MATCH($E306,'Risk Library'!$A$5:$A$411,0),$H306+1),""))</f>
        <v/>
      </c>
      <c r="O306" s="37" t="str">
        <f t="shared" si="66"/>
        <v/>
      </c>
      <c r="P306" s="37" t="str">
        <f t="shared" si="67"/>
        <v/>
      </c>
      <c r="Q306" s="37" t="str">
        <f t="shared" si="68"/>
        <v/>
      </c>
      <c r="R306" s="37" t="str">
        <f t="shared" si="69"/>
        <v/>
      </c>
      <c r="S306" s="38" t="str">
        <f t="shared" si="70"/>
        <v/>
      </c>
      <c r="T306" s="36" t="str">
        <f>IF($H306="","",IFERROR(INDEX('Risk Library'!$N$5:$S$411,MATCH($E306,'Risk Library'!$A$5:$A$411,0),$H306+1),""))</f>
        <v/>
      </c>
      <c r="U306" s="37">
        <f>IFERROR('IT Cloud DR'!$G$29,"")</f>
        <v>5</v>
      </c>
      <c r="V306" s="37">
        <f>IFERROR('IT Cloud DR'!$W$29,"")</f>
        <v>5</v>
      </c>
      <c r="W306" s="37">
        <f>IFERROR('IT Cloud DR'!$X$29,"")</f>
        <v>5</v>
      </c>
      <c r="X306" s="37">
        <f>IFERROR('IT Cloud DR'!$Y$29,"")</f>
        <v>5</v>
      </c>
      <c r="Y306" s="36" t="s">
        <v>4673</v>
      </c>
      <c r="Z306" s="36" t="s">
        <v>4674</v>
      </c>
      <c r="AA306" s="36" t="s">
        <v>4908</v>
      </c>
      <c r="AB306" s="36">
        <f>IFERROR('IT Cloud DR'!$U$29,"")</f>
        <v>0</v>
      </c>
      <c r="AC306" s="36"/>
      <c r="AD306" s="36"/>
      <c r="AE306" s="36"/>
      <c r="AF306" s="36" t="s">
        <v>4907</v>
      </c>
      <c r="AO306" s="48" t="str">
        <f>IF($B306="Yes",IFERROR(SUMIFS(_TECH_Crisis_Model!$D$5:$D$191,_TECH_Crisis_Model!$A$5:$A$191,'Crisis Simulator'!$B$4,_TECH_Crisis_Model!$B$5:$B$191,$C306),1),"")</f>
        <v/>
      </c>
      <c r="AP306" s="48" t="str">
        <f t="shared" si="71"/>
        <v/>
      </c>
      <c r="AQ306" s="48" t="str">
        <f t="shared" si="72"/>
        <v/>
      </c>
      <c r="AR306" s="48" t="str">
        <f>IFERROR(INDEX(_TECH_Crisis_Model!$E$5:$E$191,MATCH('Crisis Simulator'!$B$4&amp;"|"&amp;$C306,_TECH_Crisis_Model!$I$5:$I$191,0)),"")</f>
        <v>Cloud, infrastructure, backups, RTO and RPO determine system recoverability.</v>
      </c>
      <c r="AS306" s="48" t="str">
        <f>IFERROR(INDEX(_TECH_Crisis_Model!$G$5:$G$191,MATCH('Crisis Simulator'!$B$4&amp;"|"&amp;$C306,_TECH_Crisis_Model!$I$5:$I$191,0)),"")</f>
        <v>Implement tested backups, DR runbooks, failover, cloud landing zones and RTO/RPO monitoring.</v>
      </c>
      <c r="AT306" s="48" t="str">
        <f>IFERROR(INDEX(_TECH_Initiative_Library!$A$5:$A$76,MATCH(1,INDEX((_TECH_Initiative_Library!$B$5:$B$76=$C306)*(_TECH_Initiative_Library!$C$5:$C$76=$D306),0),0)),"")</f>
        <v>INI-052</v>
      </c>
      <c r="AU306" s="48" t="str">
        <f>IFERROR(INDEX(_TECH_Initiative_Library!$F$5:$F$76,MATCH(1,INDEX((_TECH_Initiative_Library!$B$5:$B$76=$C306)*(_TECH_Initiative_Library!$C$5:$C$76=$D306),0),0)),"")</f>
        <v>Stabilize SaaS ownership, integrations and vendor continuity</v>
      </c>
      <c r="AV306" s="48" t="str">
        <f ca="1">IFERROR(INDEX(_TECH_Initiative_Library!$AC$5:$AC$76,MATCH(1,INDEX((_TECH_Initiative_Library!$B$5:$B$76=$C306)*(_TECH_Initiative_Library!$C$5:$C$76=$D306),0),0)),"")</f>
        <v/>
      </c>
      <c r="AW306" s="48" t="str">
        <f ca="1">IFERROR(INDEX(_TECH_Initiative_Library!$AE$5:$AE$76,MATCH(1,INDEX((_TECH_Initiative_Library!$B$5:$B$76=$C306)*(_TECH_Initiative_Library!$C$5:$C$76=$D306),0),0)),"")</f>
        <v/>
      </c>
      <c r="AX306" s="48" t="str">
        <f>IF($B306="Yes",IFERROR(SUMIFS(_TECH_Industry_Templates!$E:$E,_TECH_Industry_Templates!$A:$A,'Company Profile'!$B$9,_TECH_Industry_Templates!$B:$B,$C306),1),"")</f>
        <v/>
      </c>
      <c r="AY306" s="48" t="str">
        <f t="shared" si="73"/>
        <v/>
      </c>
      <c r="AZ306" s="48" t="str">
        <f t="shared" si="74"/>
        <v/>
      </c>
      <c r="BA306" s="48" t="str">
        <f>IF($AZ306="","",RANK.EQ($AZ306,$AZ$8:$AZ$414,0)+COUNTIF($AZ$8:$AZ306,$AZ306)-1)</f>
        <v/>
      </c>
    </row>
    <row r="307" spans="1:53" ht="69.95" customHeight="1">
      <c r="A307" s="36" t="str">
        <f>IF($AZ307="","",RANK.EQ($AZ307,$AZ$8:$AZ$414,0)+COUNTIF($AZ$8:$AZ307,$AZ307)-1)</f>
        <v/>
      </c>
      <c r="B307" s="36" t="str">
        <f t="shared" si="61"/>
        <v/>
      </c>
      <c r="C307" s="36" t="s">
        <v>90</v>
      </c>
      <c r="D307" s="36" t="s">
        <v>1481</v>
      </c>
      <c r="E307" s="36" t="s">
        <v>4916</v>
      </c>
      <c r="F307" s="36" t="s">
        <v>1446</v>
      </c>
      <c r="G307" s="36" t="str">
        <f>IF($H307="","",IFERROR(INDEX('Risk Library'!$H$5:$M$411,MATCH($E307,'Risk Library'!$A$5:$A$411,0),$H307+1),""))</f>
        <v/>
      </c>
      <c r="H307" s="37" t="str">
        <f>IF(OR(COUNTA('IT Cloud DR'!$H$30)=0,'IT Cloud DR'!$H$30="N/A"),"",VALUE('IT Cloud DR'!$H$30))</f>
        <v/>
      </c>
      <c r="I307" s="36" t="str">
        <f>IF($H307="","",IFERROR(IF('IT Cloud DR'!$L$30="",IF($H307&lt;=1,"Critical",IF($H307=2,"High",IF($H307=3,"Medium",IF($H307=4,"Low","Resilient")))),'IT Cloud DR'!$L$30),IF($H307&lt;=1,"Critical",IF($H307=2,"High",IF($H307=3,"Medium",IF($H307=4,"Low","Resilient"))))))</f>
        <v/>
      </c>
      <c r="J307" s="37" t="str">
        <f t="shared" si="62"/>
        <v/>
      </c>
      <c r="K307" s="37" t="str">
        <f t="shared" si="63"/>
        <v/>
      </c>
      <c r="L307" s="37" t="str">
        <f t="shared" si="64"/>
        <v/>
      </c>
      <c r="M307" s="37" t="str">
        <f t="shared" si="65"/>
        <v/>
      </c>
      <c r="N307" s="37" t="str">
        <f>IF($H307="","",IFERROR(INDEX('Risk Library'!$T$5:$Y$411,MATCH($E307,'Risk Library'!$A$5:$A$411,0),$H307+1),""))</f>
        <v/>
      </c>
      <c r="O307" s="37" t="str">
        <f t="shared" si="66"/>
        <v/>
      </c>
      <c r="P307" s="37" t="str">
        <f t="shared" si="67"/>
        <v/>
      </c>
      <c r="Q307" s="37" t="str">
        <f t="shared" si="68"/>
        <v/>
      </c>
      <c r="R307" s="37" t="str">
        <f t="shared" si="69"/>
        <v/>
      </c>
      <c r="S307" s="38" t="str">
        <f t="shared" si="70"/>
        <v/>
      </c>
      <c r="T307" s="36" t="str">
        <f>IF($H307="","",IFERROR(INDEX('Risk Library'!$N$5:$S$411,MATCH($E307,'Risk Library'!$A$5:$A$411,0),$H307+1),""))</f>
        <v/>
      </c>
      <c r="U307" s="37">
        <f>IFERROR('IT Cloud DR'!$G$30,"")</f>
        <v>5</v>
      </c>
      <c r="V307" s="37">
        <f>IFERROR('IT Cloud DR'!$W$30,"")</f>
        <v>5</v>
      </c>
      <c r="W307" s="37">
        <f>IFERROR('IT Cloud DR'!$X$30,"")</f>
        <v>5</v>
      </c>
      <c r="X307" s="37">
        <f>IFERROR('IT Cloud DR'!$Y$30,"")</f>
        <v>5</v>
      </c>
      <c r="Y307" s="36" t="s">
        <v>4673</v>
      </c>
      <c r="Z307" s="36" t="s">
        <v>4674</v>
      </c>
      <c r="AA307" s="36" t="s">
        <v>4918</v>
      </c>
      <c r="AB307" s="36">
        <f>IFERROR('IT Cloud DR'!$U$30,"")</f>
        <v>0</v>
      </c>
      <c r="AC307" s="36"/>
      <c r="AD307" s="36"/>
      <c r="AE307" s="36"/>
      <c r="AF307" s="36" t="s">
        <v>4917</v>
      </c>
      <c r="AO307" s="48" t="str">
        <f>IF($B307="Yes",IFERROR(SUMIFS(_TECH_Crisis_Model!$D$5:$D$191,_TECH_Crisis_Model!$A$5:$A$191,'Crisis Simulator'!$B$4,_TECH_Crisis_Model!$B$5:$B$191,$C307),1),"")</f>
        <v/>
      </c>
      <c r="AP307" s="48" t="str">
        <f t="shared" si="71"/>
        <v/>
      </c>
      <c r="AQ307" s="48" t="str">
        <f t="shared" si="72"/>
        <v/>
      </c>
      <c r="AR307" s="48" t="str">
        <f>IFERROR(INDEX(_TECH_Crisis_Model!$E$5:$E$191,MATCH('Crisis Simulator'!$B$4&amp;"|"&amp;$C307,_TECH_Crisis_Model!$I$5:$I$191,0)),"")</f>
        <v>Cloud, infrastructure, backups, RTO and RPO determine system recoverability.</v>
      </c>
      <c r="AS307" s="48" t="str">
        <f>IFERROR(INDEX(_TECH_Crisis_Model!$G$5:$G$191,MATCH('Crisis Simulator'!$B$4&amp;"|"&amp;$C307,_TECH_Crisis_Model!$I$5:$I$191,0)),"")</f>
        <v>Implement tested backups, DR runbooks, failover, cloud landing zones and RTO/RPO monitoring.</v>
      </c>
      <c r="AT307" s="48" t="str">
        <f>IFERROR(INDEX(_TECH_Initiative_Library!$A$5:$A$76,MATCH(1,INDEX((_TECH_Initiative_Library!$B$5:$B$76=$C307)*(_TECH_Initiative_Library!$C$5:$C$76=$D307),0),0)),"")</f>
        <v>INI-052</v>
      </c>
      <c r="AU307" s="48" t="str">
        <f>IFERROR(INDEX(_TECH_Initiative_Library!$F$5:$F$76,MATCH(1,INDEX((_TECH_Initiative_Library!$B$5:$B$76=$C307)*(_TECH_Initiative_Library!$C$5:$C$76=$D307),0),0)),"")</f>
        <v>Stabilize SaaS ownership, integrations and vendor continuity</v>
      </c>
      <c r="AV307" s="48" t="str">
        <f ca="1">IFERROR(INDEX(_TECH_Initiative_Library!$AC$5:$AC$76,MATCH(1,INDEX((_TECH_Initiative_Library!$B$5:$B$76=$C307)*(_TECH_Initiative_Library!$C$5:$C$76=$D307),0),0)),"")</f>
        <v/>
      </c>
      <c r="AW307" s="48" t="str">
        <f ca="1">IFERROR(INDEX(_TECH_Initiative_Library!$AE$5:$AE$76,MATCH(1,INDEX((_TECH_Initiative_Library!$B$5:$B$76=$C307)*(_TECH_Initiative_Library!$C$5:$C$76=$D307),0),0)),"")</f>
        <v/>
      </c>
      <c r="AX307" s="48" t="str">
        <f>IF($B307="Yes",IFERROR(SUMIFS(_TECH_Industry_Templates!$E:$E,_TECH_Industry_Templates!$A:$A,'Company Profile'!$B$9,_TECH_Industry_Templates!$B:$B,$C307),1),"")</f>
        <v/>
      </c>
      <c r="AY307" s="48" t="str">
        <f t="shared" si="73"/>
        <v/>
      </c>
      <c r="AZ307" s="48" t="str">
        <f t="shared" si="74"/>
        <v/>
      </c>
      <c r="BA307" s="48" t="str">
        <f>IF($AZ307="","",RANK.EQ($AZ307,$AZ$8:$AZ$414,0)+COUNTIF($AZ$8:$AZ307,$AZ307)-1)</f>
        <v/>
      </c>
    </row>
    <row r="308" spans="1:53" ht="69.95" customHeight="1">
      <c r="A308" s="36" t="str">
        <f>IF($AZ308="","",RANK.EQ($AZ308,$AZ$8:$AZ$414,0)+COUNTIF($AZ$8:$AZ308,$AZ308)-1)</f>
        <v/>
      </c>
      <c r="B308" s="36" t="str">
        <f t="shared" si="61"/>
        <v/>
      </c>
      <c r="C308" s="36" t="s">
        <v>90</v>
      </c>
      <c r="D308" s="36" t="s">
        <v>1481</v>
      </c>
      <c r="E308" s="36" t="s">
        <v>4926</v>
      </c>
      <c r="F308" s="36" t="s">
        <v>1446</v>
      </c>
      <c r="G308" s="36" t="str">
        <f>IF($H308="","",IFERROR(INDEX('Risk Library'!$H$5:$M$411,MATCH($E308,'Risk Library'!$A$5:$A$411,0),$H308+1),""))</f>
        <v/>
      </c>
      <c r="H308" s="37" t="str">
        <f>IF(OR(COUNTA('IT Cloud DR'!$H$31)=0,'IT Cloud DR'!$H$31="N/A"),"",VALUE('IT Cloud DR'!$H$31))</f>
        <v/>
      </c>
      <c r="I308" s="36" t="str">
        <f>IF($H308="","",IFERROR(IF('IT Cloud DR'!$L$31="",IF($H308&lt;=1,"Critical",IF($H308=2,"High",IF($H308=3,"Medium",IF($H308=4,"Low","Resilient")))),'IT Cloud DR'!$L$31),IF($H308&lt;=1,"Critical",IF($H308=2,"High",IF($H308=3,"Medium",IF($H308=4,"Low","Resilient"))))))</f>
        <v/>
      </c>
      <c r="J308" s="37" t="str">
        <f t="shared" si="62"/>
        <v/>
      </c>
      <c r="K308" s="37" t="str">
        <f t="shared" si="63"/>
        <v/>
      </c>
      <c r="L308" s="37" t="str">
        <f t="shared" si="64"/>
        <v/>
      </c>
      <c r="M308" s="37" t="str">
        <f t="shared" si="65"/>
        <v/>
      </c>
      <c r="N308" s="37" t="str">
        <f>IF($H308="","",IFERROR(INDEX('Risk Library'!$T$5:$Y$411,MATCH($E308,'Risk Library'!$A$5:$A$411,0),$H308+1),""))</f>
        <v/>
      </c>
      <c r="O308" s="37" t="str">
        <f t="shared" si="66"/>
        <v/>
      </c>
      <c r="P308" s="37" t="str">
        <f t="shared" si="67"/>
        <v/>
      </c>
      <c r="Q308" s="37" t="str">
        <f t="shared" si="68"/>
        <v/>
      </c>
      <c r="R308" s="37" t="str">
        <f t="shared" si="69"/>
        <v/>
      </c>
      <c r="S308" s="38" t="str">
        <f t="shared" si="70"/>
        <v/>
      </c>
      <c r="T308" s="36" t="str">
        <f>IF($H308="","",IFERROR(INDEX('Risk Library'!$N$5:$S$411,MATCH($E308,'Risk Library'!$A$5:$A$411,0),$H308+1),""))</f>
        <v/>
      </c>
      <c r="U308" s="37">
        <f>IFERROR('IT Cloud DR'!$G$31,"")</f>
        <v>3</v>
      </c>
      <c r="V308" s="37">
        <f>IFERROR('IT Cloud DR'!$W$31,"")</f>
        <v>5</v>
      </c>
      <c r="W308" s="37">
        <f>IFERROR('IT Cloud DR'!$X$31,"")</f>
        <v>5</v>
      </c>
      <c r="X308" s="37">
        <f>IFERROR('IT Cloud DR'!$Y$31,"")</f>
        <v>5</v>
      </c>
      <c r="Y308" s="36" t="s">
        <v>4673</v>
      </c>
      <c r="Z308" s="36" t="s">
        <v>4674</v>
      </c>
      <c r="AA308" s="36" t="s">
        <v>4928</v>
      </c>
      <c r="AB308" s="36">
        <f>IFERROR('IT Cloud DR'!$U$31,"")</f>
        <v>0</v>
      </c>
      <c r="AC308" s="36"/>
      <c r="AD308" s="36"/>
      <c r="AE308" s="36"/>
      <c r="AF308" s="36" t="s">
        <v>4927</v>
      </c>
      <c r="AO308" s="48" t="str">
        <f>IF($B308="Yes",IFERROR(SUMIFS(_TECH_Crisis_Model!$D$5:$D$191,_TECH_Crisis_Model!$A$5:$A$191,'Crisis Simulator'!$B$4,_TECH_Crisis_Model!$B$5:$B$191,$C308),1),"")</f>
        <v/>
      </c>
      <c r="AP308" s="48" t="str">
        <f t="shared" si="71"/>
        <v/>
      </c>
      <c r="AQ308" s="48" t="str">
        <f t="shared" si="72"/>
        <v/>
      </c>
      <c r="AR308" s="48" t="str">
        <f>IFERROR(INDEX(_TECH_Crisis_Model!$E$5:$E$191,MATCH('Crisis Simulator'!$B$4&amp;"|"&amp;$C308,_TECH_Crisis_Model!$I$5:$I$191,0)),"")</f>
        <v>Cloud, infrastructure, backups, RTO and RPO determine system recoverability.</v>
      </c>
      <c r="AS308" s="48" t="str">
        <f>IFERROR(INDEX(_TECH_Crisis_Model!$G$5:$G$191,MATCH('Crisis Simulator'!$B$4&amp;"|"&amp;$C308,_TECH_Crisis_Model!$I$5:$I$191,0)),"")</f>
        <v>Implement tested backups, DR runbooks, failover, cloud landing zones and RTO/RPO monitoring.</v>
      </c>
      <c r="AT308" s="48" t="str">
        <f>IFERROR(INDEX(_TECH_Initiative_Library!$A$5:$A$76,MATCH(1,INDEX((_TECH_Initiative_Library!$B$5:$B$76=$C308)*(_TECH_Initiative_Library!$C$5:$C$76=$D308),0),0)),"")</f>
        <v>INI-052</v>
      </c>
      <c r="AU308" s="48" t="str">
        <f>IFERROR(INDEX(_TECH_Initiative_Library!$F$5:$F$76,MATCH(1,INDEX((_TECH_Initiative_Library!$B$5:$B$76=$C308)*(_TECH_Initiative_Library!$C$5:$C$76=$D308),0),0)),"")</f>
        <v>Stabilize SaaS ownership, integrations and vendor continuity</v>
      </c>
      <c r="AV308" s="48" t="str">
        <f ca="1">IFERROR(INDEX(_TECH_Initiative_Library!$AC$5:$AC$76,MATCH(1,INDEX((_TECH_Initiative_Library!$B$5:$B$76=$C308)*(_TECH_Initiative_Library!$C$5:$C$76=$D308),0),0)),"")</f>
        <v/>
      </c>
      <c r="AW308" s="48" t="str">
        <f ca="1">IFERROR(INDEX(_TECH_Initiative_Library!$AE$5:$AE$76,MATCH(1,INDEX((_TECH_Initiative_Library!$B$5:$B$76=$C308)*(_TECH_Initiative_Library!$C$5:$C$76=$D308),0),0)),"")</f>
        <v/>
      </c>
      <c r="AX308" s="48" t="str">
        <f>IF($B308="Yes",IFERROR(SUMIFS(_TECH_Industry_Templates!$E:$E,_TECH_Industry_Templates!$A:$A,'Company Profile'!$B$9,_TECH_Industry_Templates!$B:$B,$C308),1),"")</f>
        <v/>
      </c>
      <c r="AY308" s="48" t="str">
        <f t="shared" si="73"/>
        <v/>
      </c>
      <c r="AZ308" s="48" t="str">
        <f t="shared" si="74"/>
        <v/>
      </c>
      <c r="BA308" s="48" t="str">
        <f>IF($AZ308="","",RANK.EQ($AZ308,$AZ$8:$AZ$414,0)+COUNTIF($AZ$8:$AZ308,$AZ308)-1)</f>
        <v/>
      </c>
    </row>
    <row r="309" spans="1:53" ht="69.95" customHeight="1">
      <c r="A309" s="36" t="str">
        <f>IF($AZ309="","",RANK.EQ($AZ309,$AZ$8:$AZ$414,0)+COUNTIF($AZ$8:$AZ309,$AZ309)-1)</f>
        <v/>
      </c>
      <c r="B309" s="36" t="str">
        <f t="shared" si="61"/>
        <v/>
      </c>
      <c r="C309" s="36" t="s">
        <v>90</v>
      </c>
      <c r="D309" s="36" t="s">
        <v>1481</v>
      </c>
      <c r="E309" s="36" t="s">
        <v>4936</v>
      </c>
      <c r="F309" s="36" t="s">
        <v>1446</v>
      </c>
      <c r="G309" s="36" t="str">
        <f>IF($H309="","",IFERROR(INDEX('Risk Library'!$H$5:$M$411,MATCH($E309,'Risk Library'!$A$5:$A$411,0),$H309+1),""))</f>
        <v/>
      </c>
      <c r="H309" s="37" t="str">
        <f>IF(OR(COUNTA('IT Cloud DR'!$H$32)=0,'IT Cloud DR'!$H$32="N/A"),"",VALUE('IT Cloud DR'!$H$32))</f>
        <v/>
      </c>
      <c r="I309" s="36" t="str">
        <f>IF($H309="","",IFERROR(IF('IT Cloud DR'!$L$32="",IF($H309&lt;=1,"Critical",IF($H309=2,"High",IF($H309=3,"Medium",IF($H309=4,"Low","Resilient")))),'IT Cloud DR'!$L$32),IF($H309&lt;=1,"Critical",IF($H309=2,"High",IF($H309=3,"Medium",IF($H309=4,"Low","Resilient"))))))</f>
        <v/>
      </c>
      <c r="J309" s="37" t="str">
        <f t="shared" si="62"/>
        <v/>
      </c>
      <c r="K309" s="37" t="str">
        <f t="shared" si="63"/>
        <v/>
      </c>
      <c r="L309" s="37" t="str">
        <f t="shared" si="64"/>
        <v/>
      </c>
      <c r="M309" s="37" t="str">
        <f t="shared" si="65"/>
        <v/>
      </c>
      <c r="N309" s="37" t="str">
        <f>IF($H309="","",IFERROR(INDEX('Risk Library'!$T$5:$Y$411,MATCH($E309,'Risk Library'!$A$5:$A$411,0),$H309+1),""))</f>
        <v/>
      </c>
      <c r="O309" s="37" t="str">
        <f t="shared" si="66"/>
        <v/>
      </c>
      <c r="P309" s="37" t="str">
        <f t="shared" si="67"/>
        <v/>
      </c>
      <c r="Q309" s="37" t="str">
        <f t="shared" si="68"/>
        <v/>
      </c>
      <c r="R309" s="37" t="str">
        <f t="shared" si="69"/>
        <v/>
      </c>
      <c r="S309" s="38" t="str">
        <f t="shared" si="70"/>
        <v/>
      </c>
      <c r="T309" s="36" t="str">
        <f>IF($H309="","",IFERROR(INDEX('Risk Library'!$N$5:$S$411,MATCH($E309,'Risk Library'!$A$5:$A$411,0),$H309+1),""))</f>
        <v/>
      </c>
      <c r="U309" s="37">
        <f>IFERROR('IT Cloud DR'!$G$32,"")</f>
        <v>3</v>
      </c>
      <c r="V309" s="37">
        <f>IFERROR('IT Cloud DR'!$W$32,"")</f>
        <v>5</v>
      </c>
      <c r="W309" s="37">
        <f>IFERROR('IT Cloud DR'!$X$32,"")</f>
        <v>5</v>
      </c>
      <c r="X309" s="37">
        <f>IFERROR('IT Cloud DR'!$Y$32,"")</f>
        <v>5</v>
      </c>
      <c r="Y309" s="36" t="s">
        <v>4673</v>
      </c>
      <c r="Z309" s="36" t="s">
        <v>4674</v>
      </c>
      <c r="AA309" s="36" t="s">
        <v>4938</v>
      </c>
      <c r="AB309" s="36">
        <f>IFERROR('IT Cloud DR'!$U$32,"")</f>
        <v>0</v>
      </c>
      <c r="AC309" s="36"/>
      <c r="AD309" s="36"/>
      <c r="AE309" s="36"/>
      <c r="AF309" s="36" t="s">
        <v>4937</v>
      </c>
      <c r="AO309" s="48" t="str">
        <f>IF($B309="Yes",IFERROR(SUMIFS(_TECH_Crisis_Model!$D$5:$D$191,_TECH_Crisis_Model!$A$5:$A$191,'Crisis Simulator'!$B$4,_TECH_Crisis_Model!$B$5:$B$191,$C309),1),"")</f>
        <v/>
      </c>
      <c r="AP309" s="48" t="str">
        <f t="shared" si="71"/>
        <v/>
      </c>
      <c r="AQ309" s="48" t="str">
        <f t="shared" si="72"/>
        <v/>
      </c>
      <c r="AR309" s="48" t="str">
        <f>IFERROR(INDEX(_TECH_Crisis_Model!$E$5:$E$191,MATCH('Crisis Simulator'!$B$4&amp;"|"&amp;$C309,_TECH_Crisis_Model!$I$5:$I$191,0)),"")</f>
        <v>Cloud, infrastructure, backups, RTO and RPO determine system recoverability.</v>
      </c>
      <c r="AS309" s="48" t="str">
        <f>IFERROR(INDEX(_TECH_Crisis_Model!$G$5:$G$191,MATCH('Crisis Simulator'!$B$4&amp;"|"&amp;$C309,_TECH_Crisis_Model!$I$5:$I$191,0)),"")</f>
        <v>Implement tested backups, DR runbooks, failover, cloud landing zones and RTO/RPO monitoring.</v>
      </c>
      <c r="AT309" s="48" t="str">
        <f>IFERROR(INDEX(_TECH_Initiative_Library!$A$5:$A$76,MATCH(1,INDEX((_TECH_Initiative_Library!$B$5:$B$76=$C309)*(_TECH_Initiative_Library!$C$5:$C$76=$D309),0),0)),"")</f>
        <v>INI-052</v>
      </c>
      <c r="AU309" s="48" t="str">
        <f>IFERROR(INDEX(_TECH_Initiative_Library!$F$5:$F$76,MATCH(1,INDEX((_TECH_Initiative_Library!$B$5:$B$76=$C309)*(_TECH_Initiative_Library!$C$5:$C$76=$D309),0),0)),"")</f>
        <v>Stabilize SaaS ownership, integrations and vendor continuity</v>
      </c>
      <c r="AV309" s="48" t="str">
        <f ca="1">IFERROR(INDEX(_TECH_Initiative_Library!$AC$5:$AC$76,MATCH(1,INDEX((_TECH_Initiative_Library!$B$5:$B$76=$C309)*(_TECH_Initiative_Library!$C$5:$C$76=$D309),0),0)),"")</f>
        <v/>
      </c>
      <c r="AW309" s="48" t="str">
        <f ca="1">IFERROR(INDEX(_TECH_Initiative_Library!$AE$5:$AE$76,MATCH(1,INDEX((_TECH_Initiative_Library!$B$5:$B$76=$C309)*(_TECH_Initiative_Library!$C$5:$C$76=$D309),0),0)),"")</f>
        <v/>
      </c>
      <c r="AX309" s="48" t="str">
        <f>IF($B309="Yes",IFERROR(SUMIFS(_TECH_Industry_Templates!$E:$E,_TECH_Industry_Templates!$A:$A,'Company Profile'!$B$9,_TECH_Industry_Templates!$B:$B,$C309),1),"")</f>
        <v/>
      </c>
      <c r="AY309" s="48" t="str">
        <f t="shared" si="73"/>
        <v/>
      </c>
      <c r="AZ309" s="48" t="str">
        <f t="shared" si="74"/>
        <v/>
      </c>
      <c r="BA309" s="48" t="str">
        <f>IF($AZ309="","",RANK.EQ($AZ309,$AZ$8:$AZ$414,0)+COUNTIF($AZ$8:$AZ309,$AZ309)-1)</f>
        <v/>
      </c>
    </row>
    <row r="310" spans="1:53" ht="69.95" customHeight="1">
      <c r="A310" s="36" t="str">
        <f>IF($AZ310="","",RANK.EQ($AZ310,$AZ$8:$AZ$414,0)+COUNTIF($AZ$8:$AZ310,$AZ310)-1)</f>
        <v/>
      </c>
      <c r="B310" s="36" t="str">
        <f t="shared" si="61"/>
        <v/>
      </c>
      <c r="C310" s="36" t="s">
        <v>90</v>
      </c>
      <c r="D310" s="36" t="s">
        <v>1481</v>
      </c>
      <c r="E310" s="36" t="s">
        <v>4946</v>
      </c>
      <c r="F310" s="36" t="s">
        <v>1446</v>
      </c>
      <c r="G310" s="36" t="str">
        <f>IF($H310="","",IFERROR(INDEX('Risk Library'!$H$5:$M$411,MATCH($E310,'Risk Library'!$A$5:$A$411,0),$H310+1),""))</f>
        <v/>
      </c>
      <c r="H310" s="37" t="str">
        <f>IF(OR(COUNTA('IT Cloud DR'!$H$33)=0,'IT Cloud DR'!$H$33="N/A"),"",VALUE('IT Cloud DR'!$H$33))</f>
        <v/>
      </c>
      <c r="I310" s="36" t="str">
        <f>IF($H310="","",IFERROR(IF('IT Cloud DR'!$L$33="",IF($H310&lt;=1,"Critical",IF($H310=2,"High",IF($H310=3,"Medium",IF($H310=4,"Low","Resilient")))),'IT Cloud DR'!$L$33),IF($H310&lt;=1,"Critical",IF($H310=2,"High",IF($H310=3,"Medium",IF($H310=4,"Low","Resilient"))))))</f>
        <v/>
      </c>
      <c r="J310" s="37" t="str">
        <f t="shared" si="62"/>
        <v/>
      </c>
      <c r="K310" s="37" t="str">
        <f t="shared" si="63"/>
        <v/>
      </c>
      <c r="L310" s="37" t="str">
        <f t="shared" si="64"/>
        <v/>
      </c>
      <c r="M310" s="37" t="str">
        <f t="shared" si="65"/>
        <v/>
      </c>
      <c r="N310" s="37" t="str">
        <f>IF($H310="","",IFERROR(INDEX('Risk Library'!$T$5:$Y$411,MATCH($E310,'Risk Library'!$A$5:$A$411,0),$H310+1),""))</f>
        <v/>
      </c>
      <c r="O310" s="37" t="str">
        <f t="shared" si="66"/>
        <v/>
      </c>
      <c r="P310" s="37" t="str">
        <f t="shared" si="67"/>
        <v/>
      </c>
      <c r="Q310" s="37" t="str">
        <f t="shared" si="68"/>
        <v/>
      </c>
      <c r="R310" s="37" t="str">
        <f t="shared" si="69"/>
        <v/>
      </c>
      <c r="S310" s="38" t="str">
        <f t="shared" si="70"/>
        <v/>
      </c>
      <c r="T310" s="36" t="str">
        <f>IF($H310="","",IFERROR(INDEX('Risk Library'!$N$5:$S$411,MATCH($E310,'Risk Library'!$A$5:$A$411,0),$H310+1),""))</f>
        <v/>
      </c>
      <c r="U310" s="37">
        <f>IFERROR('IT Cloud DR'!$G$33,"")</f>
        <v>5</v>
      </c>
      <c r="V310" s="37">
        <f>IFERROR('IT Cloud DR'!$W$33,"")</f>
        <v>5</v>
      </c>
      <c r="W310" s="37">
        <f>IFERROR('IT Cloud DR'!$X$33,"")</f>
        <v>5</v>
      </c>
      <c r="X310" s="37">
        <f>IFERROR('IT Cloud DR'!$Y$33,"")</f>
        <v>5</v>
      </c>
      <c r="Y310" s="36" t="s">
        <v>4673</v>
      </c>
      <c r="Z310" s="36" t="s">
        <v>4674</v>
      </c>
      <c r="AA310" s="36" t="s">
        <v>4948</v>
      </c>
      <c r="AB310" s="36">
        <f>IFERROR('IT Cloud DR'!$U$33,"")</f>
        <v>0</v>
      </c>
      <c r="AC310" s="36"/>
      <c r="AD310" s="36"/>
      <c r="AE310" s="36"/>
      <c r="AF310" s="36" t="s">
        <v>4947</v>
      </c>
      <c r="AO310" s="48" t="str">
        <f>IF($B310="Yes",IFERROR(SUMIFS(_TECH_Crisis_Model!$D$5:$D$191,_TECH_Crisis_Model!$A$5:$A$191,'Crisis Simulator'!$B$4,_TECH_Crisis_Model!$B$5:$B$191,$C310),1),"")</f>
        <v/>
      </c>
      <c r="AP310" s="48" t="str">
        <f t="shared" si="71"/>
        <v/>
      </c>
      <c r="AQ310" s="48" t="str">
        <f t="shared" si="72"/>
        <v/>
      </c>
      <c r="AR310" s="48" t="str">
        <f>IFERROR(INDEX(_TECH_Crisis_Model!$E$5:$E$191,MATCH('Crisis Simulator'!$B$4&amp;"|"&amp;$C310,_TECH_Crisis_Model!$I$5:$I$191,0)),"")</f>
        <v>Cloud, infrastructure, backups, RTO and RPO determine system recoverability.</v>
      </c>
      <c r="AS310" s="48" t="str">
        <f>IFERROR(INDEX(_TECH_Crisis_Model!$G$5:$G$191,MATCH('Crisis Simulator'!$B$4&amp;"|"&amp;$C310,_TECH_Crisis_Model!$I$5:$I$191,0)),"")</f>
        <v>Implement tested backups, DR runbooks, failover, cloud landing zones and RTO/RPO monitoring.</v>
      </c>
      <c r="AT310" s="48" t="str">
        <f>IFERROR(INDEX(_TECH_Initiative_Library!$A$5:$A$76,MATCH(1,INDEX((_TECH_Initiative_Library!$B$5:$B$76=$C310)*(_TECH_Initiative_Library!$C$5:$C$76=$D310),0),0)),"")</f>
        <v>INI-052</v>
      </c>
      <c r="AU310" s="48" t="str">
        <f>IFERROR(INDEX(_TECH_Initiative_Library!$F$5:$F$76,MATCH(1,INDEX((_TECH_Initiative_Library!$B$5:$B$76=$C310)*(_TECH_Initiative_Library!$C$5:$C$76=$D310),0),0)),"")</f>
        <v>Stabilize SaaS ownership, integrations and vendor continuity</v>
      </c>
      <c r="AV310" s="48" t="str">
        <f ca="1">IFERROR(INDEX(_TECH_Initiative_Library!$AC$5:$AC$76,MATCH(1,INDEX((_TECH_Initiative_Library!$B$5:$B$76=$C310)*(_TECH_Initiative_Library!$C$5:$C$76=$D310),0),0)),"")</f>
        <v/>
      </c>
      <c r="AW310" s="48" t="str">
        <f ca="1">IFERROR(INDEX(_TECH_Initiative_Library!$AE$5:$AE$76,MATCH(1,INDEX((_TECH_Initiative_Library!$B$5:$B$76=$C310)*(_TECH_Initiative_Library!$C$5:$C$76=$D310),0),0)),"")</f>
        <v/>
      </c>
      <c r="AX310" s="48" t="str">
        <f>IF($B310="Yes",IFERROR(SUMIFS(_TECH_Industry_Templates!$E:$E,_TECH_Industry_Templates!$A:$A,'Company Profile'!$B$9,_TECH_Industry_Templates!$B:$B,$C310),1),"")</f>
        <v/>
      </c>
      <c r="AY310" s="48" t="str">
        <f t="shared" si="73"/>
        <v/>
      </c>
      <c r="AZ310" s="48" t="str">
        <f t="shared" si="74"/>
        <v/>
      </c>
      <c r="BA310" s="48" t="str">
        <f>IF($AZ310="","",RANK.EQ($AZ310,$AZ$8:$AZ$414,0)+COUNTIF($AZ$8:$AZ310,$AZ310)-1)</f>
        <v/>
      </c>
    </row>
    <row r="311" spans="1:53" ht="69.95" customHeight="1">
      <c r="A311" s="36" t="str">
        <f>IF($AZ311="","",RANK.EQ($AZ311,$AZ$8:$AZ$414,0)+COUNTIF($AZ$8:$AZ311,$AZ311)-1)</f>
        <v/>
      </c>
      <c r="B311" s="36" t="str">
        <f t="shared" si="61"/>
        <v/>
      </c>
      <c r="C311" s="36" t="s">
        <v>91</v>
      </c>
      <c r="D311" s="36" t="s">
        <v>1489</v>
      </c>
      <c r="E311" s="36" t="s">
        <v>4958</v>
      </c>
      <c r="F311" s="36" t="s">
        <v>1494</v>
      </c>
      <c r="G311" s="36" t="str">
        <f>IF($H311="","",IFERROR(INDEX('Risk Library'!$H$5:$M$411,MATCH($E311,'Risk Library'!$A$5:$A$411,0),$H311+1),""))</f>
        <v/>
      </c>
      <c r="H311" s="37" t="str">
        <f>IF(OR(COUNTA('Business Systems'!$H$5)=0,'Business Systems'!$H$5="N/A"),"",VALUE('Business Systems'!$H$5))</f>
        <v/>
      </c>
      <c r="I311" s="36" t="str">
        <f>IF($H311="","",IFERROR(IF('Business Systems'!$L$5="",IF($H311&lt;=1,"Critical",IF($H311=2,"High",IF($H311=3,"Medium",IF($H311=4,"Low","Resilient")))),'Business Systems'!$L$5),IF($H311&lt;=1,"Critical",IF($H311=2,"High",IF($H311=3,"Medium",IF($H311=4,"Low","Resilient"))))))</f>
        <v/>
      </c>
      <c r="J311" s="37" t="str">
        <f t="shared" si="62"/>
        <v/>
      </c>
      <c r="K311" s="37" t="str">
        <f t="shared" si="63"/>
        <v/>
      </c>
      <c r="L311" s="37" t="str">
        <f t="shared" si="64"/>
        <v/>
      </c>
      <c r="M311" s="37" t="str">
        <f t="shared" si="65"/>
        <v/>
      </c>
      <c r="N311" s="37" t="str">
        <f>IF($H311="","",IFERROR(INDEX('Risk Library'!$T$5:$Y$411,MATCH($E311,'Risk Library'!$A$5:$A$411,0),$H311+1),""))</f>
        <v/>
      </c>
      <c r="O311" s="37" t="str">
        <f t="shared" si="66"/>
        <v/>
      </c>
      <c r="P311" s="37" t="str">
        <f t="shared" si="67"/>
        <v/>
      </c>
      <c r="Q311" s="37" t="str">
        <f t="shared" si="68"/>
        <v/>
      </c>
      <c r="R311" s="37" t="str">
        <f t="shared" si="69"/>
        <v/>
      </c>
      <c r="S311" s="38" t="str">
        <f t="shared" si="70"/>
        <v/>
      </c>
      <c r="T311" s="36" t="str">
        <f>IF($H311="","",IFERROR(INDEX('Risk Library'!$N$5:$S$411,MATCH($E311,'Risk Library'!$A$5:$A$411,0),$H311+1),""))</f>
        <v/>
      </c>
      <c r="U311" s="37">
        <f>IFERROR('Business Systems'!$G$5,"")</f>
        <v>5</v>
      </c>
      <c r="V311" s="37">
        <f>IFERROR('Business Systems'!$W$5,"")</f>
        <v>5</v>
      </c>
      <c r="W311" s="37">
        <f>IFERROR('Business Systems'!$X$5,"")</f>
        <v>5</v>
      </c>
      <c r="X311" s="37">
        <f>IFERROR('Business Systems'!$Y$5,"")</f>
        <v>5</v>
      </c>
      <c r="Y311" s="36" t="s">
        <v>4969</v>
      </c>
      <c r="Z311" s="36" t="s">
        <v>4970</v>
      </c>
      <c r="AA311" s="36" t="s">
        <v>4962</v>
      </c>
      <c r="AB311" s="36">
        <f>IFERROR('Business Systems'!$U$5,"")</f>
        <v>0</v>
      </c>
      <c r="AC311" s="36"/>
      <c r="AD311" s="36"/>
      <c r="AE311" s="36"/>
      <c r="AF311" s="36" t="s">
        <v>4959</v>
      </c>
      <c r="AO311" s="48" t="str">
        <f>IF($B311="Yes",IFERROR(SUMIFS(_TECH_Crisis_Model!$D$5:$D$191,_TECH_Crisis_Model!$A$5:$A$191,'Crisis Simulator'!$B$4,_TECH_Crisis_Model!$B$5:$B$191,$C311),1),"")</f>
        <v/>
      </c>
      <c r="AP311" s="48" t="str">
        <f t="shared" si="71"/>
        <v/>
      </c>
      <c r="AQ311" s="48" t="str">
        <f t="shared" si="72"/>
        <v/>
      </c>
      <c r="AR311" s="48" t="str">
        <f>IFERROR(INDEX(_TECH_Crisis_Model!$E$5:$E$191,MATCH('Crisis Simulator'!$B$4&amp;"|"&amp;$C311,_TECH_Crisis_Model!$I$5:$I$191,0)),"")</f>
        <v>ERP, CRM, HRMS, MES and SaaS continuity determine transaction and process continuity.</v>
      </c>
      <c r="AS311" s="48" t="str">
        <f>IFERROR(INDEX(_TECH_Crisis_Model!$G$5:$G$191,MATCH('Crisis Simulator'!$B$4&amp;"|"&amp;$C311,_TECH_Crisis_Model!$I$5:$I$191,0)),"")</f>
        <v>Document system dependencies, SaaS continuity, role access, data exports and manual fallback.</v>
      </c>
      <c r="AT311" s="48" t="str">
        <f>IFERROR(INDEX(_TECH_Initiative_Library!$A$5:$A$76,MATCH(1,INDEX((_TECH_Initiative_Library!$B$5:$B$76=$C311)*(_TECH_Initiative_Library!$C$5:$C$76=$D311),0),0)),"")</f>
        <v>INI-053</v>
      </c>
      <c r="AU311" s="48" t="str">
        <f>IFERROR(INDEX(_TECH_Initiative_Library!$F$5:$F$76,MATCH(1,INDEX((_TECH_Initiative_Library!$B$5:$B$76=$C311)*(_TECH_Initiative_Library!$C$5:$C$76=$D311),0),0)),"")</f>
        <v>Stabilize ERP process ownership, master data and continuity controls</v>
      </c>
      <c r="AV311" s="48" t="str">
        <f ca="1">IFERROR(INDEX(_TECH_Initiative_Library!$AC$5:$AC$76,MATCH(1,INDEX((_TECH_Initiative_Library!$B$5:$B$76=$C311)*(_TECH_Initiative_Library!$C$5:$C$76=$D311),0),0)),"")</f>
        <v/>
      </c>
      <c r="AW311" s="48" t="str">
        <f ca="1">IFERROR(INDEX(_TECH_Initiative_Library!$AE$5:$AE$76,MATCH(1,INDEX((_TECH_Initiative_Library!$B$5:$B$76=$C311)*(_TECH_Initiative_Library!$C$5:$C$76=$D311),0),0)),"")</f>
        <v/>
      </c>
      <c r="AX311" s="48" t="str">
        <f>IF($B311="Yes",IFERROR(SUMIFS(_TECH_Industry_Templates!$E:$E,_TECH_Industry_Templates!$A:$A,'Company Profile'!$B$9,_TECH_Industry_Templates!$B:$B,$C311),1),"")</f>
        <v/>
      </c>
      <c r="AY311" s="48" t="str">
        <f t="shared" si="73"/>
        <v/>
      </c>
      <c r="AZ311" s="48" t="str">
        <f t="shared" si="74"/>
        <v/>
      </c>
      <c r="BA311" s="48" t="str">
        <f>IF($AZ311="","",RANK.EQ($AZ311,$AZ$8:$AZ$414,0)+COUNTIF($AZ$8:$AZ311,$AZ311)-1)</f>
        <v/>
      </c>
    </row>
    <row r="312" spans="1:53" ht="69.95" customHeight="1">
      <c r="A312" s="36" t="str">
        <f>IF($AZ312="","",RANK.EQ($AZ312,$AZ$8:$AZ$414,0)+COUNTIF($AZ$8:$AZ312,$AZ312)-1)</f>
        <v/>
      </c>
      <c r="B312" s="36" t="str">
        <f t="shared" si="61"/>
        <v/>
      </c>
      <c r="C312" s="36" t="s">
        <v>91</v>
      </c>
      <c r="D312" s="36" t="s">
        <v>1489</v>
      </c>
      <c r="E312" s="36" t="s">
        <v>4972</v>
      </c>
      <c r="F312" s="36" t="s">
        <v>1494</v>
      </c>
      <c r="G312" s="36" t="str">
        <f>IF($H312="","",IFERROR(INDEX('Risk Library'!$H$5:$M$411,MATCH($E312,'Risk Library'!$A$5:$A$411,0),$H312+1),""))</f>
        <v/>
      </c>
      <c r="H312" s="37" t="str">
        <f>IF(OR(COUNTA('Business Systems'!$H$6)=0,'Business Systems'!$H$6="N/A"),"",VALUE('Business Systems'!$H$6))</f>
        <v/>
      </c>
      <c r="I312" s="36" t="str">
        <f>IF($H312="","",IFERROR(IF('Business Systems'!$L$6="",IF($H312&lt;=1,"Critical",IF($H312=2,"High",IF($H312=3,"Medium",IF($H312=4,"Low","Resilient")))),'Business Systems'!$L$6),IF($H312&lt;=1,"Critical",IF($H312=2,"High",IF($H312=3,"Medium",IF($H312=4,"Low","Resilient"))))))</f>
        <v/>
      </c>
      <c r="J312" s="37" t="str">
        <f t="shared" si="62"/>
        <v/>
      </c>
      <c r="K312" s="37" t="str">
        <f t="shared" si="63"/>
        <v/>
      </c>
      <c r="L312" s="37" t="str">
        <f t="shared" si="64"/>
        <v/>
      </c>
      <c r="M312" s="37" t="str">
        <f t="shared" si="65"/>
        <v/>
      </c>
      <c r="N312" s="37" t="str">
        <f>IF($H312="","",IFERROR(INDEX('Risk Library'!$T$5:$Y$411,MATCH($E312,'Risk Library'!$A$5:$A$411,0),$H312+1),""))</f>
        <v/>
      </c>
      <c r="O312" s="37" t="str">
        <f t="shared" si="66"/>
        <v/>
      </c>
      <c r="P312" s="37" t="str">
        <f t="shared" si="67"/>
        <v/>
      </c>
      <c r="Q312" s="37" t="str">
        <f t="shared" si="68"/>
        <v/>
      </c>
      <c r="R312" s="37" t="str">
        <f t="shared" si="69"/>
        <v/>
      </c>
      <c r="S312" s="38" t="str">
        <f t="shared" si="70"/>
        <v/>
      </c>
      <c r="T312" s="36" t="str">
        <f>IF($H312="","",IFERROR(INDEX('Risk Library'!$N$5:$S$411,MATCH($E312,'Risk Library'!$A$5:$A$411,0),$H312+1),""))</f>
        <v/>
      </c>
      <c r="U312" s="37">
        <f>IFERROR('Business Systems'!$G$6,"")</f>
        <v>5</v>
      </c>
      <c r="V312" s="37">
        <f>IFERROR('Business Systems'!$W$6,"")</f>
        <v>5</v>
      </c>
      <c r="W312" s="37">
        <f>IFERROR('Business Systems'!$X$6,"")</f>
        <v>5</v>
      </c>
      <c r="X312" s="37">
        <f>IFERROR('Business Systems'!$Y$6,"")</f>
        <v>5</v>
      </c>
      <c r="Y312" s="36" t="s">
        <v>4969</v>
      </c>
      <c r="Z312" s="36" t="s">
        <v>4970</v>
      </c>
      <c r="AA312" s="36" t="s">
        <v>4974</v>
      </c>
      <c r="AB312" s="36">
        <f>IFERROR('Business Systems'!$U$6,"")</f>
        <v>0</v>
      </c>
      <c r="AC312" s="36"/>
      <c r="AD312" s="36"/>
      <c r="AE312" s="36"/>
      <c r="AF312" s="36" t="s">
        <v>4973</v>
      </c>
      <c r="AO312" s="48" t="str">
        <f>IF($B312="Yes",IFERROR(SUMIFS(_TECH_Crisis_Model!$D$5:$D$191,_TECH_Crisis_Model!$A$5:$A$191,'Crisis Simulator'!$B$4,_TECH_Crisis_Model!$B$5:$B$191,$C312),1),"")</f>
        <v/>
      </c>
      <c r="AP312" s="48" t="str">
        <f t="shared" si="71"/>
        <v/>
      </c>
      <c r="AQ312" s="48" t="str">
        <f t="shared" si="72"/>
        <v/>
      </c>
      <c r="AR312" s="48" t="str">
        <f>IFERROR(INDEX(_TECH_Crisis_Model!$E$5:$E$191,MATCH('Crisis Simulator'!$B$4&amp;"|"&amp;$C312,_TECH_Crisis_Model!$I$5:$I$191,0)),"")</f>
        <v>ERP, CRM, HRMS, MES and SaaS continuity determine transaction and process continuity.</v>
      </c>
      <c r="AS312" s="48" t="str">
        <f>IFERROR(INDEX(_TECH_Crisis_Model!$G$5:$G$191,MATCH('Crisis Simulator'!$B$4&amp;"|"&amp;$C312,_TECH_Crisis_Model!$I$5:$I$191,0)),"")</f>
        <v>Document system dependencies, SaaS continuity, role access, data exports and manual fallback.</v>
      </c>
      <c r="AT312" s="48" t="str">
        <f>IFERROR(INDEX(_TECH_Initiative_Library!$A$5:$A$76,MATCH(1,INDEX((_TECH_Initiative_Library!$B$5:$B$76=$C312)*(_TECH_Initiative_Library!$C$5:$C$76=$D312),0),0)),"")</f>
        <v>INI-053</v>
      </c>
      <c r="AU312" s="48" t="str">
        <f>IFERROR(INDEX(_TECH_Initiative_Library!$F$5:$F$76,MATCH(1,INDEX((_TECH_Initiative_Library!$B$5:$B$76=$C312)*(_TECH_Initiative_Library!$C$5:$C$76=$D312),0),0)),"")</f>
        <v>Stabilize ERP process ownership, master data and continuity controls</v>
      </c>
      <c r="AV312" s="48" t="str">
        <f ca="1">IFERROR(INDEX(_TECH_Initiative_Library!$AC$5:$AC$76,MATCH(1,INDEX((_TECH_Initiative_Library!$B$5:$B$76=$C312)*(_TECH_Initiative_Library!$C$5:$C$76=$D312),0),0)),"")</f>
        <v/>
      </c>
      <c r="AW312" s="48" t="str">
        <f ca="1">IFERROR(INDEX(_TECH_Initiative_Library!$AE$5:$AE$76,MATCH(1,INDEX((_TECH_Initiative_Library!$B$5:$B$76=$C312)*(_TECH_Initiative_Library!$C$5:$C$76=$D312),0),0)),"")</f>
        <v/>
      </c>
      <c r="AX312" s="48" t="str">
        <f>IF($B312="Yes",IFERROR(SUMIFS(_TECH_Industry_Templates!$E:$E,_TECH_Industry_Templates!$A:$A,'Company Profile'!$B$9,_TECH_Industry_Templates!$B:$B,$C312),1),"")</f>
        <v/>
      </c>
      <c r="AY312" s="48" t="str">
        <f t="shared" si="73"/>
        <v/>
      </c>
      <c r="AZ312" s="48" t="str">
        <f t="shared" si="74"/>
        <v/>
      </c>
      <c r="BA312" s="48" t="str">
        <f>IF($AZ312="","",RANK.EQ($AZ312,$AZ$8:$AZ$414,0)+COUNTIF($AZ$8:$AZ312,$AZ312)-1)</f>
        <v/>
      </c>
    </row>
    <row r="313" spans="1:53" ht="69.95" customHeight="1">
      <c r="A313" s="36" t="str">
        <f>IF($AZ313="","",RANK.EQ($AZ313,$AZ$8:$AZ$414,0)+COUNTIF($AZ$8:$AZ313,$AZ313)-1)</f>
        <v/>
      </c>
      <c r="B313" s="36" t="str">
        <f t="shared" si="61"/>
        <v/>
      </c>
      <c r="C313" s="36" t="s">
        <v>91</v>
      </c>
      <c r="D313" s="36" t="s">
        <v>1489</v>
      </c>
      <c r="E313" s="36" t="s">
        <v>4982</v>
      </c>
      <c r="F313" s="36" t="s">
        <v>1494</v>
      </c>
      <c r="G313" s="36" t="str">
        <f>IF($H313="","",IFERROR(INDEX('Risk Library'!$H$5:$M$411,MATCH($E313,'Risk Library'!$A$5:$A$411,0),$H313+1),""))</f>
        <v/>
      </c>
      <c r="H313" s="37" t="str">
        <f>IF(OR(COUNTA('Business Systems'!$H$7)=0,'Business Systems'!$H$7="N/A"),"",VALUE('Business Systems'!$H$7))</f>
        <v/>
      </c>
      <c r="I313" s="36" t="str">
        <f>IF($H313="","",IFERROR(IF('Business Systems'!$L$7="",IF($H313&lt;=1,"Critical",IF($H313=2,"High",IF($H313=3,"Medium",IF($H313=4,"Low","Resilient")))),'Business Systems'!$L$7),IF($H313&lt;=1,"Critical",IF($H313=2,"High",IF($H313=3,"Medium",IF($H313=4,"Low","Resilient"))))))</f>
        <v/>
      </c>
      <c r="J313" s="37" t="str">
        <f t="shared" si="62"/>
        <v/>
      </c>
      <c r="K313" s="37" t="str">
        <f t="shared" si="63"/>
        <v/>
      </c>
      <c r="L313" s="37" t="str">
        <f t="shared" si="64"/>
        <v/>
      </c>
      <c r="M313" s="37" t="str">
        <f t="shared" si="65"/>
        <v/>
      </c>
      <c r="N313" s="37" t="str">
        <f>IF($H313="","",IFERROR(INDEX('Risk Library'!$T$5:$Y$411,MATCH($E313,'Risk Library'!$A$5:$A$411,0),$H313+1),""))</f>
        <v/>
      </c>
      <c r="O313" s="37" t="str">
        <f t="shared" si="66"/>
        <v/>
      </c>
      <c r="P313" s="37" t="str">
        <f t="shared" si="67"/>
        <v/>
      </c>
      <c r="Q313" s="37" t="str">
        <f t="shared" si="68"/>
        <v/>
      </c>
      <c r="R313" s="37" t="str">
        <f t="shared" si="69"/>
        <v/>
      </c>
      <c r="S313" s="38" t="str">
        <f t="shared" si="70"/>
        <v/>
      </c>
      <c r="T313" s="36" t="str">
        <f>IF($H313="","",IFERROR(INDEX('Risk Library'!$N$5:$S$411,MATCH($E313,'Risk Library'!$A$5:$A$411,0),$H313+1),""))</f>
        <v/>
      </c>
      <c r="U313" s="37">
        <f>IFERROR('Business Systems'!$G$7,"")</f>
        <v>5</v>
      </c>
      <c r="V313" s="37">
        <f>IFERROR('Business Systems'!$W$7,"")</f>
        <v>5</v>
      </c>
      <c r="W313" s="37">
        <f>IFERROR('Business Systems'!$X$7,"")</f>
        <v>5</v>
      </c>
      <c r="X313" s="37">
        <f>IFERROR('Business Systems'!$Y$7,"")</f>
        <v>5</v>
      </c>
      <c r="Y313" s="36" t="s">
        <v>4969</v>
      </c>
      <c r="Z313" s="36" t="s">
        <v>4970</v>
      </c>
      <c r="AA313" s="36" t="s">
        <v>4984</v>
      </c>
      <c r="AB313" s="36">
        <f>IFERROR('Business Systems'!$U$7,"")</f>
        <v>0</v>
      </c>
      <c r="AC313" s="36"/>
      <c r="AD313" s="36"/>
      <c r="AE313" s="36"/>
      <c r="AF313" s="36" t="s">
        <v>4983</v>
      </c>
      <c r="AO313" s="48" t="str">
        <f>IF($B313="Yes",IFERROR(SUMIFS(_TECH_Crisis_Model!$D$5:$D$191,_TECH_Crisis_Model!$A$5:$A$191,'Crisis Simulator'!$B$4,_TECH_Crisis_Model!$B$5:$B$191,$C313),1),"")</f>
        <v/>
      </c>
      <c r="AP313" s="48" t="str">
        <f t="shared" si="71"/>
        <v/>
      </c>
      <c r="AQ313" s="48" t="str">
        <f t="shared" si="72"/>
        <v/>
      </c>
      <c r="AR313" s="48" t="str">
        <f>IFERROR(INDEX(_TECH_Crisis_Model!$E$5:$E$191,MATCH('Crisis Simulator'!$B$4&amp;"|"&amp;$C313,_TECH_Crisis_Model!$I$5:$I$191,0)),"")</f>
        <v>ERP, CRM, HRMS, MES and SaaS continuity determine transaction and process continuity.</v>
      </c>
      <c r="AS313" s="48" t="str">
        <f>IFERROR(INDEX(_TECH_Crisis_Model!$G$5:$G$191,MATCH('Crisis Simulator'!$B$4&amp;"|"&amp;$C313,_TECH_Crisis_Model!$I$5:$I$191,0)),"")</f>
        <v>Document system dependencies, SaaS continuity, role access, data exports and manual fallback.</v>
      </c>
      <c r="AT313" s="48" t="str">
        <f>IFERROR(INDEX(_TECH_Initiative_Library!$A$5:$A$76,MATCH(1,INDEX((_TECH_Initiative_Library!$B$5:$B$76=$C313)*(_TECH_Initiative_Library!$C$5:$C$76=$D313),0),0)),"")</f>
        <v>INI-053</v>
      </c>
      <c r="AU313" s="48" t="str">
        <f>IFERROR(INDEX(_TECH_Initiative_Library!$F$5:$F$76,MATCH(1,INDEX((_TECH_Initiative_Library!$B$5:$B$76=$C313)*(_TECH_Initiative_Library!$C$5:$C$76=$D313),0),0)),"")</f>
        <v>Stabilize ERP process ownership, master data and continuity controls</v>
      </c>
      <c r="AV313" s="48" t="str">
        <f ca="1">IFERROR(INDEX(_TECH_Initiative_Library!$AC$5:$AC$76,MATCH(1,INDEX((_TECH_Initiative_Library!$B$5:$B$76=$C313)*(_TECH_Initiative_Library!$C$5:$C$76=$D313),0),0)),"")</f>
        <v/>
      </c>
      <c r="AW313" s="48" t="str">
        <f ca="1">IFERROR(INDEX(_TECH_Initiative_Library!$AE$5:$AE$76,MATCH(1,INDEX((_TECH_Initiative_Library!$B$5:$B$76=$C313)*(_TECH_Initiative_Library!$C$5:$C$76=$D313),0),0)),"")</f>
        <v/>
      </c>
      <c r="AX313" s="48" t="str">
        <f>IF($B313="Yes",IFERROR(SUMIFS(_TECH_Industry_Templates!$E:$E,_TECH_Industry_Templates!$A:$A,'Company Profile'!$B$9,_TECH_Industry_Templates!$B:$B,$C313),1),"")</f>
        <v/>
      </c>
      <c r="AY313" s="48" t="str">
        <f t="shared" si="73"/>
        <v/>
      </c>
      <c r="AZ313" s="48" t="str">
        <f t="shared" si="74"/>
        <v/>
      </c>
      <c r="BA313" s="48" t="str">
        <f>IF($AZ313="","",RANK.EQ($AZ313,$AZ$8:$AZ$414,0)+COUNTIF($AZ$8:$AZ313,$AZ313)-1)</f>
        <v/>
      </c>
    </row>
    <row r="314" spans="1:53" ht="69.95" customHeight="1">
      <c r="A314" s="36" t="str">
        <f>IF($AZ314="","",RANK.EQ($AZ314,$AZ$8:$AZ$414,0)+COUNTIF($AZ$8:$AZ314,$AZ314)-1)</f>
        <v/>
      </c>
      <c r="B314" s="36" t="str">
        <f t="shared" si="61"/>
        <v/>
      </c>
      <c r="C314" s="36" t="s">
        <v>91</v>
      </c>
      <c r="D314" s="36" t="s">
        <v>1489</v>
      </c>
      <c r="E314" s="36" t="s">
        <v>4992</v>
      </c>
      <c r="F314" s="36" t="s">
        <v>1494</v>
      </c>
      <c r="G314" s="36" t="str">
        <f>IF($H314="","",IFERROR(INDEX('Risk Library'!$H$5:$M$411,MATCH($E314,'Risk Library'!$A$5:$A$411,0),$H314+1),""))</f>
        <v/>
      </c>
      <c r="H314" s="37" t="str">
        <f>IF(OR(COUNTA('Business Systems'!$H$8)=0,'Business Systems'!$H$8="N/A"),"",VALUE('Business Systems'!$H$8))</f>
        <v/>
      </c>
      <c r="I314" s="36" t="str">
        <f>IF($H314="","",IFERROR(IF('Business Systems'!$L$8="",IF($H314&lt;=1,"Critical",IF($H314=2,"High",IF($H314=3,"Medium",IF($H314=4,"Low","Resilient")))),'Business Systems'!$L$8),IF($H314&lt;=1,"Critical",IF($H314=2,"High",IF($H314=3,"Medium",IF($H314=4,"Low","Resilient"))))))</f>
        <v/>
      </c>
      <c r="J314" s="37" t="str">
        <f t="shared" si="62"/>
        <v/>
      </c>
      <c r="K314" s="37" t="str">
        <f t="shared" si="63"/>
        <v/>
      </c>
      <c r="L314" s="37" t="str">
        <f t="shared" si="64"/>
        <v/>
      </c>
      <c r="M314" s="37" t="str">
        <f t="shared" si="65"/>
        <v/>
      </c>
      <c r="N314" s="37" t="str">
        <f>IF($H314="","",IFERROR(INDEX('Risk Library'!$T$5:$Y$411,MATCH($E314,'Risk Library'!$A$5:$A$411,0),$H314+1),""))</f>
        <v/>
      </c>
      <c r="O314" s="37" t="str">
        <f t="shared" si="66"/>
        <v/>
      </c>
      <c r="P314" s="37" t="str">
        <f t="shared" si="67"/>
        <v/>
      </c>
      <c r="Q314" s="37" t="str">
        <f t="shared" si="68"/>
        <v/>
      </c>
      <c r="R314" s="37" t="str">
        <f t="shared" si="69"/>
        <v/>
      </c>
      <c r="S314" s="38" t="str">
        <f t="shared" si="70"/>
        <v/>
      </c>
      <c r="T314" s="36" t="str">
        <f>IF($H314="","",IFERROR(INDEX('Risk Library'!$N$5:$S$411,MATCH($E314,'Risk Library'!$A$5:$A$411,0),$H314+1),""))</f>
        <v/>
      </c>
      <c r="U314" s="37">
        <f>IFERROR('Business Systems'!$G$8,"")</f>
        <v>5</v>
      </c>
      <c r="V314" s="37">
        <f>IFERROR('Business Systems'!$W$8,"")</f>
        <v>5</v>
      </c>
      <c r="W314" s="37">
        <f>IFERROR('Business Systems'!$X$8,"")</f>
        <v>5</v>
      </c>
      <c r="X314" s="37">
        <f>IFERROR('Business Systems'!$Y$8,"")</f>
        <v>5</v>
      </c>
      <c r="Y314" s="36" t="s">
        <v>4969</v>
      </c>
      <c r="Z314" s="36" t="s">
        <v>4970</v>
      </c>
      <c r="AA314" s="36" t="s">
        <v>4994</v>
      </c>
      <c r="AB314" s="36">
        <f>IFERROR('Business Systems'!$U$8,"")</f>
        <v>0</v>
      </c>
      <c r="AC314" s="36"/>
      <c r="AD314" s="36"/>
      <c r="AE314" s="36"/>
      <c r="AF314" s="36" t="s">
        <v>4993</v>
      </c>
      <c r="AO314" s="48" t="str">
        <f>IF($B314="Yes",IFERROR(SUMIFS(_TECH_Crisis_Model!$D$5:$D$191,_TECH_Crisis_Model!$A$5:$A$191,'Crisis Simulator'!$B$4,_TECH_Crisis_Model!$B$5:$B$191,$C314),1),"")</f>
        <v/>
      </c>
      <c r="AP314" s="48" t="str">
        <f t="shared" si="71"/>
        <v/>
      </c>
      <c r="AQ314" s="48" t="str">
        <f t="shared" si="72"/>
        <v/>
      </c>
      <c r="AR314" s="48" t="str">
        <f>IFERROR(INDEX(_TECH_Crisis_Model!$E$5:$E$191,MATCH('Crisis Simulator'!$B$4&amp;"|"&amp;$C314,_TECH_Crisis_Model!$I$5:$I$191,0)),"")</f>
        <v>ERP, CRM, HRMS, MES and SaaS continuity determine transaction and process continuity.</v>
      </c>
      <c r="AS314" s="48" t="str">
        <f>IFERROR(INDEX(_TECH_Crisis_Model!$G$5:$G$191,MATCH('Crisis Simulator'!$B$4&amp;"|"&amp;$C314,_TECH_Crisis_Model!$I$5:$I$191,0)),"")</f>
        <v>Document system dependencies, SaaS continuity, role access, data exports and manual fallback.</v>
      </c>
      <c r="AT314" s="48" t="str">
        <f>IFERROR(INDEX(_TECH_Initiative_Library!$A$5:$A$76,MATCH(1,INDEX((_TECH_Initiative_Library!$B$5:$B$76=$C314)*(_TECH_Initiative_Library!$C$5:$C$76=$D314),0),0)),"")</f>
        <v>INI-053</v>
      </c>
      <c r="AU314" s="48" t="str">
        <f>IFERROR(INDEX(_TECH_Initiative_Library!$F$5:$F$76,MATCH(1,INDEX((_TECH_Initiative_Library!$B$5:$B$76=$C314)*(_TECH_Initiative_Library!$C$5:$C$76=$D314),0),0)),"")</f>
        <v>Stabilize ERP process ownership, master data and continuity controls</v>
      </c>
      <c r="AV314" s="48" t="str">
        <f ca="1">IFERROR(INDEX(_TECH_Initiative_Library!$AC$5:$AC$76,MATCH(1,INDEX((_TECH_Initiative_Library!$B$5:$B$76=$C314)*(_TECH_Initiative_Library!$C$5:$C$76=$D314),0),0)),"")</f>
        <v/>
      </c>
      <c r="AW314" s="48" t="str">
        <f ca="1">IFERROR(INDEX(_TECH_Initiative_Library!$AE$5:$AE$76,MATCH(1,INDEX((_TECH_Initiative_Library!$B$5:$B$76=$C314)*(_TECH_Initiative_Library!$C$5:$C$76=$D314),0),0)),"")</f>
        <v/>
      </c>
      <c r="AX314" s="48" t="str">
        <f>IF($B314="Yes",IFERROR(SUMIFS(_TECH_Industry_Templates!$E:$E,_TECH_Industry_Templates!$A:$A,'Company Profile'!$B$9,_TECH_Industry_Templates!$B:$B,$C314),1),"")</f>
        <v/>
      </c>
      <c r="AY314" s="48" t="str">
        <f t="shared" si="73"/>
        <v/>
      </c>
      <c r="AZ314" s="48" t="str">
        <f t="shared" si="74"/>
        <v/>
      </c>
      <c r="BA314" s="48" t="str">
        <f>IF($AZ314="","",RANK.EQ($AZ314,$AZ$8:$AZ$414,0)+COUNTIF($AZ$8:$AZ314,$AZ314)-1)</f>
        <v/>
      </c>
    </row>
    <row r="315" spans="1:53" ht="69.95" customHeight="1">
      <c r="A315" s="36" t="str">
        <f>IF($AZ315="","",RANK.EQ($AZ315,$AZ$8:$AZ$414,0)+COUNTIF($AZ$8:$AZ315,$AZ315)-1)</f>
        <v/>
      </c>
      <c r="B315" s="36" t="str">
        <f t="shared" si="61"/>
        <v/>
      </c>
      <c r="C315" s="36" t="s">
        <v>91</v>
      </c>
      <c r="D315" s="36" t="s">
        <v>1489</v>
      </c>
      <c r="E315" s="36" t="s">
        <v>5002</v>
      </c>
      <c r="F315" s="36" t="s">
        <v>1494</v>
      </c>
      <c r="G315" s="36" t="str">
        <f>IF($H315="","",IFERROR(INDEX('Risk Library'!$H$5:$M$411,MATCH($E315,'Risk Library'!$A$5:$A$411,0),$H315+1),""))</f>
        <v/>
      </c>
      <c r="H315" s="37" t="str">
        <f>IF(OR(COUNTA('Business Systems'!$H$9)=0,'Business Systems'!$H$9="N/A"),"",VALUE('Business Systems'!$H$9))</f>
        <v/>
      </c>
      <c r="I315" s="36" t="str">
        <f>IF($H315="","",IFERROR(IF('Business Systems'!$L$9="",IF($H315&lt;=1,"Critical",IF($H315=2,"High",IF($H315=3,"Medium",IF($H315=4,"Low","Resilient")))),'Business Systems'!$L$9),IF($H315&lt;=1,"Critical",IF($H315=2,"High",IF($H315=3,"Medium",IF($H315=4,"Low","Resilient"))))))</f>
        <v/>
      </c>
      <c r="J315" s="37" t="str">
        <f t="shared" si="62"/>
        <v/>
      </c>
      <c r="K315" s="37" t="str">
        <f t="shared" si="63"/>
        <v/>
      </c>
      <c r="L315" s="37" t="str">
        <f t="shared" si="64"/>
        <v/>
      </c>
      <c r="M315" s="37" t="str">
        <f t="shared" si="65"/>
        <v/>
      </c>
      <c r="N315" s="37" t="str">
        <f>IF($H315="","",IFERROR(INDEX('Risk Library'!$T$5:$Y$411,MATCH($E315,'Risk Library'!$A$5:$A$411,0),$H315+1),""))</f>
        <v/>
      </c>
      <c r="O315" s="37" t="str">
        <f t="shared" si="66"/>
        <v/>
      </c>
      <c r="P315" s="37" t="str">
        <f t="shared" si="67"/>
        <v/>
      </c>
      <c r="Q315" s="37" t="str">
        <f t="shared" si="68"/>
        <v/>
      </c>
      <c r="R315" s="37" t="str">
        <f t="shared" si="69"/>
        <v/>
      </c>
      <c r="S315" s="38" t="str">
        <f t="shared" si="70"/>
        <v/>
      </c>
      <c r="T315" s="36" t="str">
        <f>IF($H315="","",IFERROR(INDEX('Risk Library'!$N$5:$S$411,MATCH($E315,'Risk Library'!$A$5:$A$411,0),$H315+1),""))</f>
        <v/>
      </c>
      <c r="U315" s="37">
        <f>IFERROR('Business Systems'!$G$9,"")</f>
        <v>5</v>
      </c>
      <c r="V315" s="37">
        <f>IFERROR('Business Systems'!$W$9,"")</f>
        <v>5</v>
      </c>
      <c r="W315" s="37">
        <f>IFERROR('Business Systems'!$X$9,"")</f>
        <v>5</v>
      </c>
      <c r="X315" s="37">
        <f>IFERROR('Business Systems'!$Y$9,"")</f>
        <v>5</v>
      </c>
      <c r="Y315" s="36" t="s">
        <v>4969</v>
      </c>
      <c r="Z315" s="36" t="s">
        <v>4970</v>
      </c>
      <c r="AA315" s="36" t="s">
        <v>5004</v>
      </c>
      <c r="AB315" s="36">
        <f>IFERROR('Business Systems'!$U$9,"")</f>
        <v>0</v>
      </c>
      <c r="AC315" s="36"/>
      <c r="AD315" s="36"/>
      <c r="AE315" s="36"/>
      <c r="AF315" s="36" t="s">
        <v>5003</v>
      </c>
      <c r="AO315" s="48" t="str">
        <f>IF($B315="Yes",IFERROR(SUMIFS(_TECH_Crisis_Model!$D$5:$D$191,_TECH_Crisis_Model!$A$5:$A$191,'Crisis Simulator'!$B$4,_TECH_Crisis_Model!$B$5:$B$191,$C315),1),"")</f>
        <v/>
      </c>
      <c r="AP315" s="48" t="str">
        <f t="shared" si="71"/>
        <v/>
      </c>
      <c r="AQ315" s="48" t="str">
        <f t="shared" si="72"/>
        <v/>
      </c>
      <c r="AR315" s="48" t="str">
        <f>IFERROR(INDEX(_TECH_Crisis_Model!$E$5:$E$191,MATCH('Crisis Simulator'!$B$4&amp;"|"&amp;$C315,_TECH_Crisis_Model!$I$5:$I$191,0)),"")</f>
        <v>ERP, CRM, HRMS, MES and SaaS continuity determine transaction and process continuity.</v>
      </c>
      <c r="AS315" s="48" t="str">
        <f>IFERROR(INDEX(_TECH_Crisis_Model!$G$5:$G$191,MATCH('Crisis Simulator'!$B$4&amp;"|"&amp;$C315,_TECH_Crisis_Model!$I$5:$I$191,0)),"")</f>
        <v>Document system dependencies, SaaS continuity, role access, data exports and manual fallback.</v>
      </c>
      <c r="AT315" s="48" t="str">
        <f>IFERROR(INDEX(_TECH_Initiative_Library!$A$5:$A$76,MATCH(1,INDEX((_TECH_Initiative_Library!$B$5:$B$76=$C315)*(_TECH_Initiative_Library!$C$5:$C$76=$D315),0),0)),"")</f>
        <v>INI-053</v>
      </c>
      <c r="AU315" s="48" t="str">
        <f>IFERROR(INDEX(_TECH_Initiative_Library!$F$5:$F$76,MATCH(1,INDEX((_TECH_Initiative_Library!$B$5:$B$76=$C315)*(_TECH_Initiative_Library!$C$5:$C$76=$D315),0),0)),"")</f>
        <v>Stabilize ERP process ownership, master data and continuity controls</v>
      </c>
      <c r="AV315" s="48" t="str">
        <f ca="1">IFERROR(INDEX(_TECH_Initiative_Library!$AC$5:$AC$76,MATCH(1,INDEX((_TECH_Initiative_Library!$B$5:$B$76=$C315)*(_TECH_Initiative_Library!$C$5:$C$76=$D315),0),0)),"")</f>
        <v/>
      </c>
      <c r="AW315" s="48" t="str">
        <f ca="1">IFERROR(INDEX(_TECH_Initiative_Library!$AE$5:$AE$76,MATCH(1,INDEX((_TECH_Initiative_Library!$B$5:$B$76=$C315)*(_TECH_Initiative_Library!$C$5:$C$76=$D315),0),0)),"")</f>
        <v/>
      </c>
      <c r="AX315" s="48" t="str">
        <f>IF($B315="Yes",IFERROR(SUMIFS(_TECH_Industry_Templates!$E:$E,_TECH_Industry_Templates!$A:$A,'Company Profile'!$B$9,_TECH_Industry_Templates!$B:$B,$C315),1),"")</f>
        <v/>
      </c>
      <c r="AY315" s="48" t="str">
        <f t="shared" si="73"/>
        <v/>
      </c>
      <c r="AZ315" s="48" t="str">
        <f t="shared" si="74"/>
        <v/>
      </c>
      <c r="BA315" s="48" t="str">
        <f>IF($AZ315="","",RANK.EQ($AZ315,$AZ$8:$AZ$414,0)+COUNTIF($AZ$8:$AZ315,$AZ315)-1)</f>
        <v/>
      </c>
    </row>
    <row r="316" spans="1:53" ht="69.95" customHeight="1">
      <c r="A316" s="36" t="str">
        <f>IF($AZ316="","",RANK.EQ($AZ316,$AZ$8:$AZ$414,0)+COUNTIF($AZ$8:$AZ316,$AZ316)-1)</f>
        <v/>
      </c>
      <c r="B316" s="36" t="str">
        <f t="shared" si="61"/>
        <v/>
      </c>
      <c r="C316" s="36" t="s">
        <v>91</v>
      </c>
      <c r="D316" s="36" t="s">
        <v>1503</v>
      </c>
      <c r="E316" s="36" t="s">
        <v>5012</v>
      </c>
      <c r="F316" s="36" t="s">
        <v>1494</v>
      </c>
      <c r="G316" s="36" t="str">
        <f>IF($H316="","",IFERROR(INDEX('Risk Library'!$H$5:$M$411,MATCH($E316,'Risk Library'!$A$5:$A$411,0),$H316+1),""))</f>
        <v/>
      </c>
      <c r="H316" s="37" t="str">
        <f>IF(OR(COUNTA('Business Systems'!$H$10)=0,'Business Systems'!$H$10="N/A"),"",VALUE('Business Systems'!$H$10))</f>
        <v/>
      </c>
      <c r="I316" s="36" t="str">
        <f>IF($H316="","",IFERROR(IF('Business Systems'!$L$10="",IF($H316&lt;=1,"Critical",IF($H316=2,"High",IF($H316=3,"Medium",IF($H316=4,"Low","Resilient")))),'Business Systems'!$L$10),IF($H316&lt;=1,"Critical",IF($H316=2,"High",IF($H316=3,"Medium",IF($H316=4,"Low","Resilient"))))))</f>
        <v/>
      </c>
      <c r="J316" s="37" t="str">
        <f t="shared" si="62"/>
        <v/>
      </c>
      <c r="K316" s="37" t="str">
        <f t="shared" si="63"/>
        <v/>
      </c>
      <c r="L316" s="37" t="str">
        <f t="shared" si="64"/>
        <v/>
      </c>
      <c r="M316" s="37" t="str">
        <f t="shared" si="65"/>
        <v/>
      </c>
      <c r="N316" s="37" t="str">
        <f>IF($H316="","",IFERROR(INDEX('Risk Library'!$T$5:$Y$411,MATCH($E316,'Risk Library'!$A$5:$A$411,0),$H316+1),""))</f>
        <v/>
      </c>
      <c r="O316" s="37" t="str">
        <f t="shared" si="66"/>
        <v/>
      </c>
      <c r="P316" s="37" t="str">
        <f t="shared" si="67"/>
        <v/>
      </c>
      <c r="Q316" s="37" t="str">
        <f t="shared" si="68"/>
        <v/>
      </c>
      <c r="R316" s="37" t="str">
        <f t="shared" si="69"/>
        <v/>
      </c>
      <c r="S316" s="38" t="str">
        <f t="shared" si="70"/>
        <v/>
      </c>
      <c r="T316" s="36" t="str">
        <f>IF($H316="","",IFERROR(INDEX('Risk Library'!$N$5:$S$411,MATCH($E316,'Risk Library'!$A$5:$A$411,0),$H316+1),""))</f>
        <v/>
      </c>
      <c r="U316" s="37">
        <f>IFERROR('Business Systems'!$G$10,"")</f>
        <v>5</v>
      </c>
      <c r="V316" s="37">
        <f>IFERROR('Business Systems'!$W$10,"")</f>
        <v>5</v>
      </c>
      <c r="W316" s="37">
        <f>IFERROR('Business Systems'!$X$10,"")</f>
        <v>5</v>
      </c>
      <c r="X316" s="37">
        <f>IFERROR('Business Systems'!$Y$10,"")</f>
        <v>5</v>
      </c>
      <c r="Y316" s="36" t="s">
        <v>4969</v>
      </c>
      <c r="Z316" s="36" t="s">
        <v>4970</v>
      </c>
      <c r="AA316" s="36" t="s">
        <v>5014</v>
      </c>
      <c r="AB316" s="36">
        <f>IFERROR('Business Systems'!$U$10,"")</f>
        <v>0</v>
      </c>
      <c r="AC316" s="36"/>
      <c r="AD316" s="36"/>
      <c r="AE316" s="36"/>
      <c r="AF316" s="36" t="s">
        <v>5013</v>
      </c>
      <c r="AO316" s="48" t="str">
        <f>IF($B316="Yes",IFERROR(SUMIFS(_TECH_Crisis_Model!$D$5:$D$191,_TECH_Crisis_Model!$A$5:$A$191,'Crisis Simulator'!$B$4,_TECH_Crisis_Model!$B$5:$B$191,$C316),1),"")</f>
        <v/>
      </c>
      <c r="AP316" s="48" t="str">
        <f t="shared" si="71"/>
        <v/>
      </c>
      <c r="AQ316" s="48" t="str">
        <f t="shared" si="72"/>
        <v/>
      </c>
      <c r="AR316" s="48" t="str">
        <f>IFERROR(INDEX(_TECH_Crisis_Model!$E$5:$E$191,MATCH('Crisis Simulator'!$B$4&amp;"|"&amp;$C316,_TECH_Crisis_Model!$I$5:$I$191,0)),"")</f>
        <v>ERP, CRM, HRMS, MES and SaaS continuity determine transaction and process continuity.</v>
      </c>
      <c r="AS316" s="48" t="str">
        <f>IFERROR(INDEX(_TECH_Crisis_Model!$G$5:$G$191,MATCH('Crisis Simulator'!$B$4&amp;"|"&amp;$C316,_TECH_Crisis_Model!$I$5:$I$191,0)),"")</f>
        <v>Document system dependencies, SaaS continuity, role access, data exports and manual fallback.</v>
      </c>
      <c r="AT316" s="48" t="str">
        <f>IFERROR(INDEX(_TECH_Initiative_Library!$A$5:$A$76,MATCH(1,INDEX((_TECH_Initiative_Library!$B$5:$B$76=$C316)*(_TECH_Initiative_Library!$C$5:$C$76=$D316),0),0)),"")</f>
        <v>INI-054</v>
      </c>
      <c r="AU316" s="48" t="str">
        <f>IFERROR(INDEX(_TECH_Initiative_Library!$F$5:$F$76,MATCH(1,INDEX((_TECH_Initiative_Library!$B$5:$B$76=$C316)*(_TECH_Initiative_Library!$C$5:$C$76=$D316),0),0)),"")</f>
        <v>Integrate CRM, commerce and customer-service systems</v>
      </c>
      <c r="AV316" s="48" t="str">
        <f ca="1">IFERROR(INDEX(_TECH_Initiative_Library!$AC$5:$AC$76,MATCH(1,INDEX((_TECH_Initiative_Library!$B$5:$B$76=$C316)*(_TECH_Initiative_Library!$C$5:$C$76=$D316),0),0)),"")</f>
        <v/>
      </c>
      <c r="AW316" s="48" t="str">
        <f ca="1">IFERROR(INDEX(_TECH_Initiative_Library!$AE$5:$AE$76,MATCH(1,INDEX((_TECH_Initiative_Library!$B$5:$B$76=$C316)*(_TECH_Initiative_Library!$C$5:$C$76=$D316),0),0)),"")</f>
        <v/>
      </c>
      <c r="AX316" s="48" t="str">
        <f>IF($B316="Yes",IFERROR(SUMIFS(_TECH_Industry_Templates!$E:$E,_TECH_Industry_Templates!$A:$A,'Company Profile'!$B$9,_TECH_Industry_Templates!$B:$B,$C316),1),"")</f>
        <v/>
      </c>
      <c r="AY316" s="48" t="str">
        <f t="shared" si="73"/>
        <v/>
      </c>
      <c r="AZ316" s="48" t="str">
        <f t="shared" si="74"/>
        <v/>
      </c>
      <c r="BA316" s="48" t="str">
        <f>IF($AZ316="","",RANK.EQ($AZ316,$AZ$8:$AZ$414,0)+COUNTIF($AZ$8:$AZ316,$AZ316)-1)</f>
        <v/>
      </c>
    </row>
    <row r="317" spans="1:53" ht="69.95" customHeight="1">
      <c r="A317" s="36" t="str">
        <f>IF($AZ317="","",RANK.EQ($AZ317,$AZ$8:$AZ$414,0)+COUNTIF($AZ$8:$AZ317,$AZ317)-1)</f>
        <v/>
      </c>
      <c r="B317" s="36" t="str">
        <f t="shared" si="61"/>
        <v/>
      </c>
      <c r="C317" s="36" t="s">
        <v>91</v>
      </c>
      <c r="D317" s="36" t="s">
        <v>1503</v>
      </c>
      <c r="E317" s="36" t="s">
        <v>5022</v>
      </c>
      <c r="F317" s="36" t="s">
        <v>1494</v>
      </c>
      <c r="G317" s="36" t="str">
        <f>IF($H317="","",IFERROR(INDEX('Risk Library'!$H$5:$M$411,MATCH($E317,'Risk Library'!$A$5:$A$411,0),$H317+1),""))</f>
        <v/>
      </c>
      <c r="H317" s="37" t="str">
        <f>IF(OR(COUNTA('Business Systems'!$H$11)=0,'Business Systems'!$H$11="N/A"),"",VALUE('Business Systems'!$H$11))</f>
        <v/>
      </c>
      <c r="I317" s="36" t="str">
        <f>IF($H317="","",IFERROR(IF('Business Systems'!$L$11="",IF($H317&lt;=1,"Critical",IF($H317=2,"High",IF($H317=3,"Medium",IF($H317=4,"Low","Resilient")))),'Business Systems'!$L$11),IF($H317&lt;=1,"Critical",IF($H317=2,"High",IF($H317=3,"Medium",IF($H317=4,"Low","Resilient"))))))</f>
        <v/>
      </c>
      <c r="J317" s="37" t="str">
        <f t="shared" si="62"/>
        <v/>
      </c>
      <c r="K317" s="37" t="str">
        <f t="shared" si="63"/>
        <v/>
      </c>
      <c r="L317" s="37" t="str">
        <f t="shared" si="64"/>
        <v/>
      </c>
      <c r="M317" s="37" t="str">
        <f t="shared" si="65"/>
        <v/>
      </c>
      <c r="N317" s="37" t="str">
        <f>IF($H317="","",IFERROR(INDEX('Risk Library'!$T$5:$Y$411,MATCH($E317,'Risk Library'!$A$5:$A$411,0),$H317+1),""))</f>
        <v/>
      </c>
      <c r="O317" s="37" t="str">
        <f t="shared" si="66"/>
        <v/>
      </c>
      <c r="P317" s="37" t="str">
        <f t="shared" si="67"/>
        <v/>
      </c>
      <c r="Q317" s="37" t="str">
        <f t="shared" si="68"/>
        <v/>
      </c>
      <c r="R317" s="37" t="str">
        <f t="shared" si="69"/>
        <v/>
      </c>
      <c r="S317" s="38" t="str">
        <f t="shared" si="70"/>
        <v/>
      </c>
      <c r="T317" s="36" t="str">
        <f>IF($H317="","",IFERROR(INDEX('Risk Library'!$N$5:$S$411,MATCH($E317,'Risk Library'!$A$5:$A$411,0),$H317+1),""))</f>
        <v/>
      </c>
      <c r="U317" s="37">
        <f>IFERROR('Business Systems'!$G$11,"")</f>
        <v>5</v>
      </c>
      <c r="V317" s="37">
        <f>IFERROR('Business Systems'!$W$11,"")</f>
        <v>5</v>
      </c>
      <c r="W317" s="37">
        <f>IFERROR('Business Systems'!$X$11,"")</f>
        <v>5</v>
      </c>
      <c r="X317" s="37">
        <f>IFERROR('Business Systems'!$Y$11,"")</f>
        <v>5</v>
      </c>
      <c r="Y317" s="36" t="s">
        <v>4969</v>
      </c>
      <c r="Z317" s="36" t="s">
        <v>4970</v>
      </c>
      <c r="AA317" s="36" t="s">
        <v>5024</v>
      </c>
      <c r="AB317" s="36">
        <f>IFERROR('Business Systems'!$U$11,"")</f>
        <v>0</v>
      </c>
      <c r="AC317" s="36"/>
      <c r="AD317" s="36"/>
      <c r="AE317" s="36"/>
      <c r="AF317" s="36" t="s">
        <v>5023</v>
      </c>
      <c r="AO317" s="48" t="str">
        <f>IF($B317="Yes",IFERROR(SUMIFS(_TECH_Crisis_Model!$D$5:$D$191,_TECH_Crisis_Model!$A$5:$A$191,'Crisis Simulator'!$B$4,_TECH_Crisis_Model!$B$5:$B$191,$C317),1),"")</f>
        <v/>
      </c>
      <c r="AP317" s="48" t="str">
        <f t="shared" si="71"/>
        <v/>
      </c>
      <c r="AQ317" s="48" t="str">
        <f t="shared" si="72"/>
        <v/>
      </c>
      <c r="AR317" s="48" t="str">
        <f>IFERROR(INDEX(_TECH_Crisis_Model!$E$5:$E$191,MATCH('Crisis Simulator'!$B$4&amp;"|"&amp;$C317,_TECH_Crisis_Model!$I$5:$I$191,0)),"")</f>
        <v>ERP, CRM, HRMS, MES and SaaS continuity determine transaction and process continuity.</v>
      </c>
      <c r="AS317" s="48" t="str">
        <f>IFERROR(INDEX(_TECH_Crisis_Model!$G$5:$G$191,MATCH('Crisis Simulator'!$B$4&amp;"|"&amp;$C317,_TECH_Crisis_Model!$I$5:$I$191,0)),"")</f>
        <v>Document system dependencies, SaaS continuity, role access, data exports and manual fallback.</v>
      </c>
      <c r="AT317" s="48" t="str">
        <f>IFERROR(INDEX(_TECH_Initiative_Library!$A$5:$A$76,MATCH(1,INDEX((_TECH_Initiative_Library!$B$5:$B$76=$C317)*(_TECH_Initiative_Library!$C$5:$C$76=$D317),0),0)),"")</f>
        <v>INI-054</v>
      </c>
      <c r="AU317" s="48" t="str">
        <f>IFERROR(INDEX(_TECH_Initiative_Library!$F$5:$F$76,MATCH(1,INDEX((_TECH_Initiative_Library!$B$5:$B$76=$C317)*(_TECH_Initiative_Library!$C$5:$C$76=$D317),0),0)),"")</f>
        <v>Integrate CRM, commerce and customer-service systems</v>
      </c>
      <c r="AV317" s="48" t="str">
        <f ca="1">IFERROR(INDEX(_TECH_Initiative_Library!$AC$5:$AC$76,MATCH(1,INDEX((_TECH_Initiative_Library!$B$5:$B$76=$C317)*(_TECH_Initiative_Library!$C$5:$C$76=$D317),0),0)),"")</f>
        <v/>
      </c>
      <c r="AW317" s="48" t="str">
        <f ca="1">IFERROR(INDEX(_TECH_Initiative_Library!$AE$5:$AE$76,MATCH(1,INDEX((_TECH_Initiative_Library!$B$5:$B$76=$C317)*(_TECH_Initiative_Library!$C$5:$C$76=$D317),0),0)),"")</f>
        <v/>
      </c>
      <c r="AX317" s="48" t="str">
        <f>IF($B317="Yes",IFERROR(SUMIFS(_TECH_Industry_Templates!$E:$E,_TECH_Industry_Templates!$A:$A,'Company Profile'!$B$9,_TECH_Industry_Templates!$B:$B,$C317),1),"")</f>
        <v/>
      </c>
      <c r="AY317" s="48" t="str">
        <f t="shared" si="73"/>
        <v/>
      </c>
      <c r="AZ317" s="48" t="str">
        <f t="shared" si="74"/>
        <v/>
      </c>
      <c r="BA317" s="48" t="str">
        <f>IF($AZ317="","",RANK.EQ($AZ317,$AZ$8:$AZ$414,0)+COUNTIF($AZ$8:$AZ317,$AZ317)-1)</f>
        <v/>
      </c>
    </row>
    <row r="318" spans="1:53" ht="69.95" customHeight="1">
      <c r="A318" s="36" t="str">
        <f>IF($AZ318="","",RANK.EQ($AZ318,$AZ$8:$AZ$414,0)+COUNTIF($AZ$8:$AZ318,$AZ318)-1)</f>
        <v/>
      </c>
      <c r="B318" s="36" t="str">
        <f t="shared" si="61"/>
        <v/>
      </c>
      <c r="C318" s="36" t="s">
        <v>91</v>
      </c>
      <c r="D318" s="36" t="s">
        <v>1503</v>
      </c>
      <c r="E318" s="36" t="s">
        <v>5032</v>
      </c>
      <c r="F318" s="36" t="s">
        <v>1494</v>
      </c>
      <c r="G318" s="36" t="str">
        <f>IF($H318="","",IFERROR(INDEX('Risk Library'!$H$5:$M$411,MATCH($E318,'Risk Library'!$A$5:$A$411,0),$H318+1),""))</f>
        <v/>
      </c>
      <c r="H318" s="37" t="str">
        <f>IF(OR(COUNTA('Business Systems'!$H$12)=0,'Business Systems'!$H$12="N/A"),"",VALUE('Business Systems'!$H$12))</f>
        <v/>
      </c>
      <c r="I318" s="36" t="str">
        <f>IF($H318="","",IFERROR(IF('Business Systems'!$L$12="",IF($H318&lt;=1,"Critical",IF($H318=2,"High",IF($H318=3,"Medium",IF($H318=4,"Low","Resilient")))),'Business Systems'!$L$12),IF($H318&lt;=1,"Critical",IF($H318=2,"High",IF($H318=3,"Medium",IF($H318=4,"Low","Resilient"))))))</f>
        <v/>
      </c>
      <c r="J318" s="37" t="str">
        <f t="shared" si="62"/>
        <v/>
      </c>
      <c r="K318" s="37" t="str">
        <f t="shared" si="63"/>
        <v/>
      </c>
      <c r="L318" s="37" t="str">
        <f t="shared" si="64"/>
        <v/>
      </c>
      <c r="M318" s="37" t="str">
        <f t="shared" si="65"/>
        <v/>
      </c>
      <c r="N318" s="37" t="str">
        <f>IF($H318="","",IFERROR(INDEX('Risk Library'!$T$5:$Y$411,MATCH($E318,'Risk Library'!$A$5:$A$411,0),$H318+1),""))</f>
        <v/>
      </c>
      <c r="O318" s="37" t="str">
        <f t="shared" si="66"/>
        <v/>
      </c>
      <c r="P318" s="37" t="str">
        <f t="shared" si="67"/>
        <v/>
      </c>
      <c r="Q318" s="37" t="str">
        <f t="shared" si="68"/>
        <v/>
      </c>
      <c r="R318" s="37" t="str">
        <f t="shared" si="69"/>
        <v/>
      </c>
      <c r="S318" s="38" t="str">
        <f t="shared" si="70"/>
        <v/>
      </c>
      <c r="T318" s="36" t="str">
        <f>IF($H318="","",IFERROR(INDEX('Risk Library'!$N$5:$S$411,MATCH($E318,'Risk Library'!$A$5:$A$411,0),$H318+1),""))</f>
        <v/>
      </c>
      <c r="U318" s="37">
        <f>IFERROR('Business Systems'!$G$12,"")</f>
        <v>4</v>
      </c>
      <c r="V318" s="37">
        <f>IFERROR('Business Systems'!$W$12,"")</f>
        <v>5</v>
      </c>
      <c r="W318" s="37">
        <f>IFERROR('Business Systems'!$X$12,"")</f>
        <v>5</v>
      </c>
      <c r="X318" s="37">
        <f>IFERROR('Business Systems'!$Y$12,"")</f>
        <v>5</v>
      </c>
      <c r="Y318" s="36" t="s">
        <v>4969</v>
      </c>
      <c r="Z318" s="36" t="s">
        <v>4970</v>
      </c>
      <c r="AA318" s="36" t="s">
        <v>5034</v>
      </c>
      <c r="AB318" s="36">
        <f>IFERROR('Business Systems'!$U$12,"")</f>
        <v>0</v>
      </c>
      <c r="AC318" s="36"/>
      <c r="AD318" s="36"/>
      <c r="AE318" s="36"/>
      <c r="AF318" s="36" t="s">
        <v>5033</v>
      </c>
      <c r="AO318" s="48" t="str">
        <f>IF($B318="Yes",IFERROR(SUMIFS(_TECH_Crisis_Model!$D$5:$D$191,_TECH_Crisis_Model!$A$5:$A$191,'Crisis Simulator'!$B$4,_TECH_Crisis_Model!$B$5:$B$191,$C318),1),"")</f>
        <v/>
      </c>
      <c r="AP318" s="48" t="str">
        <f t="shared" si="71"/>
        <v/>
      </c>
      <c r="AQ318" s="48" t="str">
        <f t="shared" si="72"/>
        <v/>
      </c>
      <c r="AR318" s="48" t="str">
        <f>IFERROR(INDEX(_TECH_Crisis_Model!$E$5:$E$191,MATCH('Crisis Simulator'!$B$4&amp;"|"&amp;$C318,_TECH_Crisis_Model!$I$5:$I$191,0)),"")</f>
        <v>ERP, CRM, HRMS, MES and SaaS continuity determine transaction and process continuity.</v>
      </c>
      <c r="AS318" s="48" t="str">
        <f>IFERROR(INDEX(_TECH_Crisis_Model!$G$5:$G$191,MATCH('Crisis Simulator'!$B$4&amp;"|"&amp;$C318,_TECH_Crisis_Model!$I$5:$I$191,0)),"")</f>
        <v>Document system dependencies, SaaS continuity, role access, data exports and manual fallback.</v>
      </c>
      <c r="AT318" s="48" t="str">
        <f>IFERROR(INDEX(_TECH_Initiative_Library!$A$5:$A$76,MATCH(1,INDEX((_TECH_Initiative_Library!$B$5:$B$76=$C318)*(_TECH_Initiative_Library!$C$5:$C$76=$D318),0),0)),"")</f>
        <v>INI-054</v>
      </c>
      <c r="AU318" s="48" t="str">
        <f>IFERROR(INDEX(_TECH_Initiative_Library!$F$5:$F$76,MATCH(1,INDEX((_TECH_Initiative_Library!$B$5:$B$76=$C318)*(_TECH_Initiative_Library!$C$5:$C$76=$D318),0),0)),"")</f>
        <v>Integrate CRM, commerce and customer-service systems</v>
      </c>
      <c r="AV318" s="48" t="str">
        <f ca="1">IFERROR(INDEX(_TECH_Initiative_Library!$AC$5:$AC$76,MATCH(1,INDEX((_TECH_Initiative_Library!$B$5:$B$76=$C318)*(_TECH_Initiative_Library!$C$5:$C$76=$D318),0),0)),"")</f>
        <v/>
      </c>
      <c r="AW318" s="48" t="str">
        <f ca="1">IFERROR(INDEX(_TECH_Initiative_Library!$AE$5:$AE$76,MATCH(1,INDEX((_TECH_Initiative_Library!$B$5:$B$76=$C318)*(_TECH_Initiative_Library!$C$5:$C$76=$D318),0),0)),"")</f>
        <v/>
      </c>
      <c r="AX318" s="48" t="str">
        <f>IF($B318="Yes",IFERROR(SUMIFS(_TECH_Industry_Templates!$E:$E,_TECH_Industry_Templates!$A:$A,'Company Profile'!$B$9,_TECH_Industry_Templates!$B:$B,$C318),1),"")</f>
        <v/>
      </c>
      <c r="AY318" s="48" t="str">
        <f t="shared" si="73"/>
        <v/>
      </c>
      <c r="AZ318" s="48" t="str">
        <f t="shared" si="74"/>
        <v/>
      </c>
      <c r="BA318" s="48" t="str">
        <f>IF($AZ318="","",RANK.EQ($AZ318,$AZ$8:$AZ$414,0)+COUNTIF($AZ$8:$AZ318,$AZ318)-1)</f>
        <v/>
      </c>
    </row>
    <row r="319" spans="1:53" ht="69.95" customHeight="1">
      <c r="A319" s="36" t="str">
        <f>IF($AZ319="","",RANK.EQ($AZ319,$AZ$8:$AZ$414,0)+COUNTIF($AZ$8:$AZ319,$AZ319)-1)</f>
        <v/>
      </c>
      <c r="B319" s="36" t="str">
        <f t="shared" si="61"/>
        <v/>
      </c>
      <c r="C319" s="36" t="s">
        <v>91</v>
      </c>
      <c r="D319" s="36" t="s">
        <v>1503</v>
      </c>
      <c r="E319" s="36" t="s">
        <v>5042</v>
      </c>
      <c r="F319" s="36" t="s">
        <v>1494</v>
      </c>
      <c r="G319" s="36" t="str">
        <f>IF($H319="","",IFERROR(INDEX('Risk Library'!$H$5:$M$411,MATCH($E319,'Risk Library'!$A$5:$A$411,0),$H319+1),""))</f>
        <v/>
      </c>
      <c r="H319" s="37" t="str">
        <f>IF(OR(COUNTA('Business Systems'!$H$13)=0,'Business Systems'!$H$13="N/A"),"",VALUE('Business Systems'!$H$13))</f>
        <v/>
      </c>
      <c r="I319" s="36" t="str">
        <f>IF($H319="","",IFERROR(IF('Business Systems'!$L$13="",IF($H319&lt;=1,"Critical",IF($H319=2,"High",IF($H319=3,"Medium",IF($H319=4,"Low","Resilient")))),'Business Systems'!$L$13),IF($H319&lt;=1,"Critical",IF($H319=2,"High",IF($H319=3,"Medium",IF($H319=4,"Low","Resilient"))))))</f>
        <v/>
      </c>
      <c r="J319" s="37" t="str">
        <f t="shared" si="62"/>
        <v/>
      </c>
      <c r="K319" s="37" t="str">
        <f t="shared" si="63"/>
        <v/>
      </c>
      <c r="L319" s="37" t="str">
        <f t="shared" si="64"/>
        <v/>
      </c>
      <c r="M319" s="37" t="str">
        <f t="shared" si="65"/>
        <v/>
      </c>
      <c r="N319" s="37" t="str">
        <f>IF($H319="","",IFERROR(INDEX('Risk Library'!$T$5:$Y$411,MATCH($E319,'Risk Library'!$A$5:$A$411,0),$H319+1),""))</f>
        <v/>
      </c>
      <c r="O319" s="37" t="str">
        <f t="shared" si="66"/>
        <v/>
      </c>
      <c r="P319" s="37" t="str">
        <f t="shared" si="67"/>
        <v/>
      </c>
      <c r="Q319" s="37" t="str">
        <f t="shared" si="68"/>
        <v/>
      </c>
      <c r="R319" s="37" t="str">
        <f t="shared" si="69"/>
        <v/>
      </c>
      <c r="S319" s="38" t="str">
        <f t="shared" si="70"/>
        <v/>
      </c>
      <c r="T319" s="36" t="str">
        <f>IF($H319="","",IFERROR(INDEX('Risk Library'!$N$5:$S$411,MATCH($E319,'Risk Library'!$A$5:$A$411,0),$H319+1),""))</f>
        <v/>
      </c>
      <c r="U319" s="37">
        <f>IFERROR('Business Systems'!$G$13,"")</f>
        <v>4</v>
      </c>
      <c r="V319" s="37">
        <f>IFERROR('Business Systems'!$W$13,"")</f>
        <v>5</v>
      </c>
      <c r="W319" s="37">
        <f>IFERROR('Business Systems'!$X$13,"")</f>
        <v>5</v>
      </c>
      <c r="X319" s="37">
        <f>IFERROR('Business Systems'!$Y$13,"")</f>
        <v>5</v>
      </c>
      <c r="Y319" s="36" t="s">
        <v>4969</v>
      </c>
      <c r="Z319" s="36" t="s">
        <v>4970</v>
      </c>
      <c r="AA319" s="36" t="s">
        <v>5044</v>
      </c>
      <c r="AB319" s="36">
        <f>IFERROR('Business Systems'!$U$13,"")</f>
        <v>0</v>
      </c>
      <c r="AC319" s="36"/>
      <c r="AD319" s="36"/>
      <c r="AE319" s="36"/>
      <c r="AF319" s="36" t="s">
        <v>5043</v>
      </c>
      <c r="AO319" s="48" t="str">
        <f>IF($B319="Yes",IFERROR(SUMIFS(_TECH_Crisis_Model!$D$5:$D$191,_TECH_Crisis_Model!$A$5:$A$191,'Crisis Simulator'!$B$4,_TECH_Crisis_Model!$B$5:$B$191,$C319),1),"")</f>
        <v/>
      </c>
      <c r="AP319" s="48" t="str">
        <f t="shared" si="71"/>
        <v/>
      </c>
      <c r="AQ319" s="48" t="str">
        <f t="shared" si="72"/>
        <v/>
      </c>
      <c r="AR319" s="48" t="str">
        <f>IFERROR(INDEX(_TECH_Crisis_Model!$E$5:$E$191,MATCH('Crisis Simulator'!$B$4&amp;"|"&amp;$C319,_TECH_Crisis_Model!$I$5:$I$191,0)),"")</f>
        <v>ERP, CRM, HRMS, MES and SaaS continuity determine transaction and process continuity.</v>
      </c>
      <c r="AS319" s="48" t="str">
        <f>IFERROR(INDEX(_TECH_Crisis_Model!$G$5:$G$191,MATCH('Crisis Simulator'!$B$4&amp;"|"&amp;$C319,_TECH_Crisis_Model!$I$5:$I$191,0)),"")</f>
        <v>Document system dependencies, SaaS continuity, role access, data exports and manual fallback.</v>
      </c>
      <c r="AT319" s="48" t="str">
        <f>IFERROR(INDEX(_TECH_Initiative_Library!$A$5:$A$76,MATCH(1,INDEX((_TECH_Initiative_Library!$B$5:$B$76=$C319)*(_TECH_Initiative_Library!$C$5:$C$76=$D319),0),0)),"")</f>
        <v>INI-054</v>
      </c>
      <c r="AU319" s="48" t="str">
        <f>IFERROR(INDEX(_TECH_Initiative_Library!$F$5:$F$76,MATCH(1,INDEX((_TECH_Initiative_Library!$B$5:$B$76=$C319)*(_TECH_Initiative_Library!$C$5:$C$76=$D319),0),0)),"")</f>
        <v>Integrate CRM, commerce and customer-service systems</v>
      </c>
      <c r="AV319" s="48" t="str">
        <f ca="1">IFERROR(INDEX(_TECH_Initiative_Library!$AC$5:$AC$76,MATCH(1,INDEX((_TECH_Initiative_Library!$B$5:$B$76=$C319)*(_TECH_Initiative_Library!$C$5:$C$76=$D319),0),0)),"")</f>
        <v/>
      </c>
      <c r="AW319" s="48" t="str">
        <f ca="1">IFERROR(INDEX(_TECH_Initiative_Library!$AE$5:$AE$76,MATCH(1,INDEX((_TECH_Initiative_Library!$B$5:$B$76=$C319)*(_TECH_Initiative_Library!$C$5:$C$76=$D319),0),0)),"")</f>
        <v/>
      </c>
      <c r="AX319" s="48" t="str">
        <f>IF($B319="Yes",IFERROR(SUMIFS(_TECH_Industry_Templates!$E:$E,_TECH_Industry_Templates!$A:$A,'Company Profile'!$B$9,_TECH_Industry_Templates!$B:$B,$C319),1),"")</f>
        <v/>
      </c>
      <c r="AY319" s="48" t="str">
        <f t="shared" si="73"/>
        <v/>
      </c>
      <c r="AZ319" s="48" t="str">
        <f t="shared" si="74"/>
        <v/>
      </c>
      <c r="BA319" s="48" t="str">
        <f>IF($AZ319="","",RANK.EQ($AZ319,$AZ$8:$AZ$414,0)+COUNTIF($AZ$8:$AZ319,$AZ319)-1)</f>
        <v/>
      </c>
    </row>
    <row r="320" spans="1:53" ht="69.95" customHeight="1">
      <c r="A320" s="36" t="str">
        <f>IF($AZ320="","",RANK.EQ($AZ320,$AZ$8:$AZ$414,0)+COUNTIF($AZ$8:$AZ320,$AZ320)-1)</f>
        <v/>
      </c>
      <c r="B320" s="36" t="str">
        <f t="shared" si="61"/>
        <v/>
      </c>
      <c r="C320" s="36" t="s">
        <v>91</v>
      </c>
      <c r="D320" s="36" t="s">
        <v>1511</v>
      </c>
      <c r="E320" s="36" t="s">
        <v>5052</v>
      </c>
      <c r="F320" s="36" t="s">
        <v>1494</v>
      </c>
      <c r="G320" s="36" t="str">
        <f>IF($H320="","",IFERROR(INDEX('Risk Library'!$H$5:$M$411,MATCH($E320,'Risk Library'!$A$5:$A$411,0),$H320+1),""))</f>
        <v/>
      </c>
      <c r="H320" s="37" t="str">
        <f>IF(OR(COUNTA('Business Systems'!$H$14)=0,'Business Systems'!$H$14="N/A"),"",VALUE('Business Systems'!$H$14))</f>
        <v/>
      </c>
      <c r="I320" s="36" t="str">
        <f>IF($H320="","",IFERROR(IF('Business Systems'!$L$14="",IF($H320&lt;=1,"Critical",IF($H320=2,"High",IF($H320=3,"Medium",IF($H320=4,"Low","Resilient")))),'Business Systems'!$L$14),IF($H320&lt;=1,"Critical",IF($H320=2,"High",IF($H320=3,"Medium",IF($H320=4,"Low","Resilient"))))))</f>
        <v/>
      </c>
      <c r="J320" s="37" t="str">
        <f t="shared" si="62"/>
        <v/>
      </c>
      <c r="K320" s="37" t="str">
        <f t="shared" si="63"/>
        <v/>
      </c>
      <c r="L320" s="37" t="str">
        <f t="shared" si="64"/>
        <v/>
      </c>
      <c r="M320" s="37" t="str">
        <f t="shared" si="65"/>
        <v/>
      </c>
      <c r="N320" s="37" t="str">
        <f>IF($H320="","",IFERROR(INDEX('Risk Library'!$T$5:$Y$411,MATCH($E320,'Risk Library'!$A$5:$A$411,0),$H320+1),""))</f>
        <v/>
      </c>
      <c r="O320" s="37" t="str">
        <f t="shared" si="66"/>
        <v/>
      </c>
      <c r="P320" s="37" t="str">
        <f t="shared" si="67"/>
        <v/>
      </c>
      <c r="Q320" s="37" t="str">
        <f t="shared" si="68"/>
        <v/>
      </c>
      <c r="R320" s="37" t="str">
        <f t="shared" si="69"/>
        <v/>
      </c>
      <c r="S320" s="38" t="str">
        <f t="shared" si="70"/>
        <v/>
      </c>
      <c r="T320" s="36" t="str">
        <f>IF($H320="","",IFERROR(INDEX('Risk Library'!$N$5:$S$411,MATCH($E320,'Risk Library'!$A$5:$A$411,0),$H320+1),""))</f>
        <v/>
      </c>
      <c r="U320" s="37">
        <f>IFERROR('Business Systems'!$G$14,"")</f>
        <v>5</v>
      </c>
      <c r="V320" s="37">
        <f>IFERROR('Business Systems'!$W$14,"")</f>
        <v>5</v>
      </c>
      <c r="W320" s="37">
        <f>IFERROR('Business Systems'!$X$14,"")</f>
        <v>5</v>
      </c>
      <c r="X320" s="37">
        <f>IFERROR('Business Systems'!$Y$14,"")</f>
        <v>5</v>
      </c>
      <c r="Y320" s="36" t="s">
        <v>4969</v>
      </c>
      <c r="Z320" s="36" t="s">
        <v>4970</v>
      </c>
      <c r="AA320" s="36" t="s">
        <v>5054</v>
      </c>
      <c r="AB320" s="36">
        <f>IFERROR('Business Systems'!$U$14,"")</f>
        <v>0</v>
      </c>
      <c r="AC320" s="36"/>
      <c r="AD320" s="36"/>
      <c r="AE320" s="36"/>
      <c r="AF320" s="36" t="s">
        <v>5053</v>
      </c>
      <c r="AO320" s="48" t="str">
        <f>IF($B320="Yes",IFERROR(SUMIFS(_TECH_Crisis_Model!$D$5:$D$191,_TECH_Crisis_Model!$A$5:$A$191,'Crisis Simulator'!$B$4,_TECH_Crisis_Model!$B$5:$B$191,$C320),1),"")</f>
        <v/>
      </c>
      <c r="AP320" s="48" t="str">
        <f t="shared" si="71"/>
        <v/>
      </c>
      <c r="AQ320" s="48" t="str">
        <f t="shared" si="72"/>
        <v/>
      </c>
      <c r="AR320" s="48" t="str">
        <f>IFERROR(INDEX(_TECH_Crisis_Model!$E$5:$E$191,MATCH('Crisis Simulator'!$B$4&amp;"|"&amp;$C320,_TECH_Crisis_Model!$I$5:$I$191,0)),"")</f>
        <v>ERP, CRM, HRMS, MES and SaaS continuity determine transaction and process continuity.</v>
      </c>
      <c r="AS320" s="48" t="str">
        <f>IFERROR(INDEX(_TECH_Crisis_Model!$G$5:$G$191,MATCH('Crisis Simulator'!$B$4&amp;"|"&amp;$C320,_TECH_Crisis_Model!$I$5:$I$191,0)),"")</f>
        <v>Document system dependencies, SaaS continuity, role access, data exports and manual fallback.</v>
      </c>
      <c r="AT320" s="48" t="str">
        <f>IFERROR(INDEX(_TECH_Initiative_Library!$A$5:$A$76,MATCH(1,INDEX((_TECH_Initiative_Library!$B$5:$B$76=$C320)*(_TECH_Initiative_Library!$C$5:$C$76=$D320),0),0)),"")</f>
        <v>INI-055</v>
      </c>
      <c r="AU320" s="48" t="str">
        <f>IFERROR(INDEX(_TECH_Initiative_Library!$F$5:$F$76,MATCH(1,INDEX((_TECH_Initiative_Library!$B$5:$B$76=$C320)*(_TECH_Initiative_Library!$C$5:$C$76=$D320),0),0)),"")</f>
        <v>Integrate MES, WMS and TMS into operational continuity model</v>
      </c>
      <c r="AV320" s="48" t="str">
        <f ca="1">IFERROR(INDEX(_TECH_Initiative_Library!$AC$5:$AC$76,MATCH(1,INDEX((_TECH_Initiative_Library!$B$5:$B$76=$C320)*(_TECH_Initiative_Library!$C$5:$C$76=$D320),0),0)),"")</f>
        <v/>
      </c>
      <c r="AW320" s="48" t="str">
        <f ca="1">IFERROR(INDEX(_TECH_Initiative_Library!$AE$5:$AE$76,MATCH(1,INDEX((_TECH_Initiative_Library!$B$5:$B$76=$C320)*(_TECH_Initiative_Library!$C$5:$C$76=$D320),0),0)),"")</f>
        <v/>
      </c>
      <c r="AX320" s="48" t="str">
        <f>IF($B320="Yes",IFERROR(SUMIFS(_TECH_Industry_Templates!$E:$E,_TECH_Industry_Templates!$A:$A,'Company Profile'!$B$9,_TECH_Industry_Templates!$B:$B,$C320),1),"")</f>
        <v/>
      </c>
      <c r="AY320" s="48" t="str">
        <f t="shared" si="73"/>
        <v/>
      </c>
      <c r="AZ320" s="48" t="str">
        <f t="shared" si="74"/>
        <v/>
      </c>
      <c r="BA320" s="48" t="str">
        <f>IF($AZ320="","",RANK.EQ($AZ320,$AZ$8:$AZ$414,0)+COUNTIF($AZ$8:$AZ320,$AZ320)-1)</f>
        <v/>
      </c>
    </row>
    <row r="321" spans="1:53" ht="69.95" customHeight="1">
      <c r="A321" s="36" t="str">
        <f>IF($AZ321="","",RANK.EQ($AZ321,$AZ$8:$AZ$414,0)+COUNTIF($AZ$8:$AZ321,$AZ321)-1)</f>
        <v/>
      </c>
      <c r="B321" s="36" t="str">
        <f t="shared" si="61"/>
        <v/>
      </c>
      <c r="C321" s="36" t="s">
        <v>91</v>
      </c>
      <c r="D321" s="36" t="s">
        <v>1511</v>
      </c>
      <c r="E321" s="36" t="s">
        <v>5062</v>
      </c>
      <c r="F321" s="36" t="s">
        <v>1494</v>
      </c>
      <c r="G321" s="36" t="str">
        <f>IF($H321="","",IFERROR(INDEX('Risk Library'!$H$5:$M$411,MATCH($E321,'Risk Library'!$A$5:$A$411,0),$H321+1),""))</f>
        <v/>
      </c>
      <c r="H321" s="37" t="str">
        <f>IF(OR(COUNTA('Business Systems'!$H$15)=0,'Business Systems'!$H$15="N/A"),"",VALUE('Business Systems'!$H$15))</f>
        <v/>
      </c>
      <c r="I321" s="36" t="str">
        <f>IF($H321="","",IFERROR(IF('Business Systems'!$L$15="",IF($H321&lt;=1,"Critical",IF($H321=2,"High",IF($H321=3,"Medium",IF($H321=4,"Low","Resilient")))),'Business Systems'!$L$15),IF($H321&lt;=1,"Critical",IF($H321=2,"High",IF($H321=3,"Medium",IF($H321=4,"Low","Resilient"))))))</f>
        <v/>
      </c>
      <c r="J321" s="37" t="str">
        <f t="shared" si="62"/>
        <v/>
      </c>
      <c r="K321" s="37" t="str">
        <f t="shared" si="63"/>
        <v/>
      </c>
      <c r="L321" s="37" t="str">
        <f t="shared" si="64"/>
        <v/>
      </c>
      <c r="M321" s="37" t="str">
        <f t="shared" si="65"/>
        <v/>
      </c>
      <c r="N321" s="37" t="str">
        <f>IF($H321="","",IFERROR(INDEX('Risk Library'!$T$5:$Y$411,MATCH($E321,'Risk Library'!$A$5:$A$411,0),$H321+1),""))</f>
        <v/>
      </c>
      <c r="O321" s="37" t="str">
        <f t="shared" si="66"/>
        <v/>
      </c>
      <c r="P321" s="37" t="str">
        <f t="shared" si="67"/>
        <v/>
      </c>
      <c r="Q321" s="37" t="str">
        <f t="shared" si="68"/>
        <v/>
      </c>
      <c r="R321" s="37" t="str">
        <f t="shared" si="69"/>
        <v/>
      </c>
      <c r="S321" s="38" t="str">
        <f t="shared" si="70"/>
        <v/>
      </c>
      <c r="T321" s="36" t="str">
        <f>IF($H321="","",IFERROR(INDEX('Risk Library'!$N$5:$S$411,MATCH($E321,'Risk Library'!$A$5:$A$411,0),$H321+1),""))</f>
        <v/>
      </c>
      <c r="U321" s="37">
        <f>IFERROR('Business Systems'!$G$15,"")</f>
        <v>5</v>
      </c>
      <c r="V321" s="37">
        <f>IFERROR('Business Systems'!$W$15,"")</f>
        <v>5</v>
      </c>
      <c r="W321" s="37">
        <f>IFERROR('Business Systems'!$X$15,"")</f>
        <v>5</v>
      </c>
      <c r="X321" s="37">
        <f>IFERROR('Business Systems'!$Y$15,"")</f>
        <v>5</v>
      </c>
      <c r="Y321" s="36" t="s">
        <v>4969</v>
      </c>
      <c r="Z321" s="36" t="s">
        <v>4970</v>
      </c>
      <c r="AA321" s="36" t="s">
        <v>5064</v>
      </c>
      <c r="AB321" s="36">
        <f>IFERROR('Business Systems'!$U$15,"")</f>
        <v>0</v>
      </c>
      <c r="AC321" s="36"/>
      <c r="AD321" s="36"/>
      <c r="AE321" s="36"/>
      <c r="AF321" s="36" t="s">
        <v>5063</v>
      </c>
      <c r="AO321" s="48" t="str">
        <f>IF($B321="Yes",IFERROR(SUMIFS(_TECH_Crisis_Model!$D$5:$D$191,_TECH_Crisis_Model!$A$5:$A$191,'Crisis Simulator'!$B$4,_TECH_Crisis_Model!$B$5:$B$191,$C321),1),"")</f>
        <v/>
      </c>
      <c r="AP321" s="48" t="str">
        <f t="shared" si="71"/>
        <v/>
      </c>
      <c r="AQ321" s="48" t="str">
        <f t="shared" si="72"/>
        <v/>
      </c>
      <c r="AR321" s="48" t="str">
        <f>IFERROR(INDEX(_TECH_Crisis_Model!$E$5:$E$191,MATCH('Crisis Simulator'!$B$4&amp;"|"&amp;$C321,_TECH_Crisis_Model!$I$5:$I$191,0)),"")</f>
        <v>ERP, CRM, HRMS, MES and SaaS continuity determine transaction and process continuity.</v>
      </c>
      <c r="AS321" s="48" t="str">
        <f>IFERROR(INDEX(_TECH_Crisis_Model!$G$5:$G$191,MATCH('Crisis Simulator'!$B$4&amp;"|"&amp;$C321,_TECH_Crisis_Model!$I$5:$I$191,0)),"")</f>
        <v>Document system dependencies, SaaS continuity, role access, data exports and manual fallback.</v>
      </c>
      <c r="AT321" s="48" t="str">
        <f>IFERROR(INDEX(_TECH_Initiative_Library!$A$5:$A$76,MATCH(1,INDEX((_TECH_Initiative_Library!$B$5:$B$76=$C321)*(_TECH_Initiative_Library!$C$5:$C$76=$D321),0),0)),"")</f>
        <v>INI-055</v>
      </c>
      <c r="AU321" s="48" t="str">
        <f>IFERROR(INDEX(_TECH_Initiative_Library!$F$5:$F$76,MATCH(1,INDEX((_TECH_Initiative_Library!$B$5:$B$76=$C321)*(_TECH_Initiative_Library!$C$5:$C$76=$D321),0),0)),"")</f>
        <v>Integrate MES, WMS and TMS into operational continuity model</v>
      </c>
      <c r="AV321" s="48" t="str">
        <f ca="1">IFERROR(INDEX(_TECH_Initiative_Library!$AC$5:$AC$76,MATCH(1,INDEX((_TECH_Initiative_Library!$B$5:$B$76=$C321)*(_TECH_Initiative_Library!$C$5:$C$76=$D321),0),0)),"")</f>
        <v/>
      </c>
      <c r="AW321" s="48" t="str">
        <f ca="1">IFERROR(INDEX(_TECH_Initiative_Library!$AE$5:$AE$76,MATCH(1,INDEX((_TECH_Initiative_Library!$B$5:$B$76=$C321)*(_TECH_Initiative_Library!$C$5:$C$76=$D321),0),0)),"")</f>
        <v/>
      </c>
      <c r="AX321" s="48" t="str">
        <f>IF($B321="Yes",IFERROR(SUMIFS(_TECH_Industry_Templates!$E:$E,_TECH_Industry_Templates!$A:$A,'Company Profile'!$B$9,_TECH_Industry_Templates!$B:$B,$C321),1),"")</f>
        <v/>
      </c>
      <c r="AY321" s="48" t="str">
        <f t="shared" si="73"/>
        <v/>
      </c>
      <c r="AZ321" s="48" t="str">
        <f t="shared" si="74"/>
        <v/>
      </c>
      <c r="BA321" s="48" t="str">
        <f>IF($AZ321="","",RANK.EQ($AZ321,$AZ$8:$AZ$414,0)+COUNTIF($AZ$8:$AZ321,$AZ321)-1)</f>
        <v/>
      </c>
    </row>
    <row r="322" spans="1:53" ht="69.95" customHeight="1">
      <c r="A322" s="36" t="str">
        <f>IF($AZ322="","",RANK.EQ($AZ322,$AZ$8:$AZ$414,0)+COUNTIF($AZ$8:$AZ322,$AZ322)-1)</f>
        <v/>
      </c>
      <c r="B322" s="36" t="str">
        <f t="shared" si="61"/>
        <v/>
      </c>
      <c r="C322" s="36" t="s">
        <v>91</v>
      </c>
      <c r="D322" s="36" t="s">
        <v>1511</v>
      </c>
      <c r="E322" s="36" t="s">
        <v>5072</v>
      </c>
      <c r="F322" s="36" t="s">
        <v>1494</v>
      </c>
      <c r="G322" s="36" t="str">
        <f>IF($H322="","",IFERROR(INDEX('Risk Library'!$H$5:$M$411,MATCH($E322,'Risk Library'!$A$5:$A$411,0),$H322+1),""))</f>
        <v/>
      </c>
      <c r="H322" s="37" t="str">
        <f>IF(OR(COUNTA('Business Systems'!$H$16)=0,'Business Systems'!$H$16="N/A"),"",VALUE('Business Systems'!$H$16))</f>
        <v/>
      </c>
      <c r="I322" s="36" t="str">
        <f>IF($H322="","",IFERROR(IF('Business Systems'!$L$16="",IF($H322&lt;=1,"Critical",IF($H322=2,"High",IF($H322=3,"Medium",IF($H322=4,"Low","Resilient")))),'Business Systems'!$L$16),IF($H322&lt;=1,"Critical",IF($H322=2,"High",IF($H322=3,"Medium",IF($H322=4,"Low","Resilient"))))))</f>
        <v/>
      </c>
      <c r="J322" s="37" t="str">
        <f t="shared" si="62"/>
        <v/>
      </c>
      <c r="K322" s="37" t="str">
        <f t="shared" si="63"/>
        <v/>
      </c>
      <c r="L322" s="37" t="str">
        <f t="shared" si="64"/>
        <v/>
      </c>
      <c r="M322" s="37" t="str">
        <f t="shared" si="65"/>
        <v/>
      </c>
      <c r="N322" s="37" t="str">
        <f>IF($H322="","",IFERROR(INDEX('Risk Library'!$T$5:$Y$411,MATCH($E322,'Risk Library'!$A$5:$A$411,0),$H322+1),""))</f>
        <v/>
      </c>
      <c r="O322" s="37" t="str">
        <f t="shared" si="66"/>
        <v/>
      </c>
      <c r="P322" s="37" t="str">
        <f t="shared" si="67"/>
        <v/>
      </c>
      <c r="Q322" s="37" t="str">
        <f t="shared" si="68"/>
        <v/>
      </c>
      <c r="R322" s="37" t="str">
        <f t="shared" si="69"/>
        <v/>
      </c>
      <c r="S322" s="38" t="str">
        <f t="shared" si="70"/>
        <v/>
      </c>
      <c r="T322" s="36" t="str">
        <f>IF($H322="","",IFERROR(INDEX('Risk Library'!$N$5:$S$411,MATCH($E322,'Risk Library'!$A$5:$A$411,0),$H322+1),""))</f>
        <v/>
      </c>
      <c r="U322" s="37">
        <f>IFERROR('Business Systems'!$G$16,"")</f>
        <v>4</v>
      </c>
      <c r="V322" s="37">
        <f>IFERROR('Business Systems'!$W$16,"")</f>
        <v>5</v>
      </c>
      <c r="W322" s="37">
        <f>IFERROR('Business Systems'!$X$16,"")</f>
        <v>5</v>
      </c>
      <c r="X322" s="37">
        <f>IFERROR('Business Systems'!$Y$16,"")</f>
        <v>5</v>
      </c>
      <c r="Y322" s="36" t="s">
        <v>4969</v>
      </c>
      <c r="Z322" s="36" t="s">
        <v>4970</v>
      </c>
      <c r="AA322" s="36" t="s">
        <v>5074</v>
      </c>
      <c r="AB322" s="36">
        <f>IFERROR('Business Systems'!$U$16,"")</f>
        <v>0</v>
      </c>
      <c r="AC322" s="36"/>
      <c r="AD322" s="36"/>
      <c r="AE322" s="36"/>
      <c r="AF322" s="36" t="s">
        <v>5073</v>
      </c>
      <c r="AO322" s="48" t="str">
        <f>IF($B322="Yes",IFERROR(SUMIFS(_TECH_Crisis_Model!$D$5:$D$191,_TECH_Crisis_Model!$A$5:$A$191,'Crisis Simulator'!$B$4,_TECH_Crisis_Model!$B$5:$B$191,$C322),1),"")</f>
        <v/>
      </c>
      <c r="AP322" s="48" t="str">
        <f t="shared" si="71"/>
        <v/>
      </c>
      <c r="AQ322" s="48" t="str">
        <f t="shared" si="72"/>
        <v/>
      </c>
      <c r="AR322" s="48" t="str">
        <f>IFERROR(INDEX(_TECH_Crisis_Model!$E$5:$E$191,MATCH('Crisis Simulator'!$B$4&amp;"|"&amp;$C322,_TECH_Crisis_Model!$I$5:$I$191,0)),"")</f>
        <v>ERP, CRM, HRMS, MES and SaaS continuity determine transaction and process continuity.</v>
      </c>
      <c r="AS322" s="48" t="str">
        <f>IFERROR(INDEX(_TECH_Crisis_Model!$G$5:$G$191,MATCH('Crisis Simulator'!$B$4&amp;"|"&amp;$C322,_TECH_Crisis_Model!$I$5:$I$191,0)),"")</f>
        <v>Document system dependencies, SaaS continuity, role access, data exports and manual fallback.</v>
      </c>
      <c r="AT322" s="48" t="str">
        <f>IFERROR(INDEX(_TECH_Initiative_Library!$A$5:$A$76,MATCH(1,INDEX((_TECH_Initiative_Library!$B$5:$B$76=$C322)*(_TECH_Initiative_Library!$C$5:$C$76=$D322),0),0)),"")</f>
        <v>INI-055</v>
      </c>
      <c r="AU322" s="48" t="str">
        <f>IFERROR(INDEX(_TECH_Initiative_Library!$F$5:$F$76,MATCH(1,INDEX((_TECH_Initiative_Library!$B$5:$B$76=$C322)*(_TECH_Initiative_Library!$C$5:$C$76=$D322),0),0)),"")</f>
        <v>Integrate MES, WMS and TMS into operational continuity model</v>
      </c>
      <c r="AV322" s="48" t="str">
        <f ca="1">IFERROR(INDEX(_TECH_Initiative_Library!$AC$5:$AC$76,MATCH(1,INDEX((_TECH_Initiative_Library!$B$5:$B$76=$C322)*(_TECH_Initiative_Library!$C$5:$C$76=$D322),0),0)),"")</f>
        <v/>
      </c>
      <c r="AW322" s="48" t="str">
        <f ca="1">IFERROR(INDEX(_TECH_Initiative_Library!$AE$5:$AE$76,MATCH(1,INDEX((_TECH_Initiative_Library!$B$5:$B$76=$C322)*(_TECH_Initiative_Library!$C$5:$C$76=$D322),0),0)),"")</f>
        <v/>
      </c>
      <c r="AX322" s="48" t="str">
        <f>IF($B322="Yes",IFERROR(SUMIFS(_TECH_Industry_Templates!$E:$E,_TECH_Industry_Templates!$A:$A,'Company Profile'!$B$9,_TECH_Industry_Templates!$B:$B,$C322),1),"")</f>
        <v/>
      </c>
      <c r="AY322" s="48" t="str">
        <f t="shared" si="73"/>
        <v/>
      </c>
      <c r="AZ322" s="48" t="str">
        <f t="shared" si="74"/>
        <v/>
      </c>
      <c r="BA322" s="48" t="str">
        <f>IF($AZ322="","",RANK.EQ($AZ322,$AZ$8:$AZ$414,0)+COUNTIF($AZ$8:$AZ322,$AZ322)-1)</f>
        <v/>
      </c>
    </row>
    <row r="323" spans="1:53" ht="69.95" customHeight="1">
      <c r="A323" s="36" t="str">
        <f>IF($AZ323="","",RANK.EQ($AZ323,$AZ$8:$AZ$414,0)+COUNTIF($AZ$8:$AZ323,$AZ323)-1)</f>
        <v/>
      </c>
      <c r="B323" s="36" t="str">
        <f t="shared" si="61"/>
        <v/>
      </c>
      <c r="C323" s="36" t="s">
        <v>91</v>
      </c>
      <c r="D323" s="36" t="s">
        <v>1511</v>
      </c>
      <c r="E323" s="36" t="s">
        <v>5082</v>
      </c>
      <c r="F323" s="36" t="s">
        <v>1494</v>
      </c>
      <c r="G323" s="36" t="str">
        <f>IF($H323="","",IFERROR(INDEX('Risk Library'!$H$5:$M$411,MATCH($E323,'Risk Library'!$A$5:$A$411,0),$H323+1),""))</f>
        <v/>
      </c>
      <c r="H323" s="37" t="str">
        <f>IF(OR(COUNTA('Business Systems'!$H$17)=0,'Business Systems'!$H$17="N/A"),"",VALUE('Business Systems'!$H$17))</f>
        <v/>
      </c>
      <c r="I323" s="36" t="str">
        <f>IF($H323="","",IFERROR(IF('Business Systems'!$L$17="",IF($H323&lt;=1,"Critical",IF($H323=2,"High",IF($H323=3,"Medium",IF($H323=4,"Low","Resilient")))),'Business Systems'!$L$17),IF($H323&lt;=1,"Critical",IF($H323=2,"High",IF($H323=3,"Medium",IF($H323=4,"Low","Resilient"))))))</f>
        <v/>
      </c>
      <c r="J323" s="37" t="str">
        <f t="shared" si="62"/>
        <v/>
      </c>
      <c r="K323" s="37" t="str">
        <f t="shared" si="63"/>
        <v/>
      </c>
      <c r="L323" s="37" t="str">
        <f t="shared" si="64"/>
        <v/>
      </c>
      <c r="M323" s="37" t="str">
        <f t="shared" si="65"/>
        <v/>
      </c>
      <c r="N323" s="37" t="str">
        <f>IF($H323="","",IFERROR(INDEX('Risk Library'!$T$5:$Y$411,MATCH($E323,'Risk Library'!$A$5:$A$411,0),$H323+1),""))</f>
        <v/>
      </c>
      <c r="O323" s="37" t="str">
        <f t="shared" si="66"/>
        <v/>
      </c>
      <c r="P323" s="37" t="str">
        <f t="shared" si="67"/>
        <v/>
      </c>
      <c r="Q323" s="37" t="str">
        <f t="shared" si="68"/>
        <v/>
      </c>
      <c r="R323" s="37" t="str">
        <f t="shared" si="69"/>
        <v/>
      </c>
      <c r="S323" s="38" t="str">
        <f t="shared" si="70"/>
        <v/>
      </c>
      <c r="T323" s="36" t="str">
        <f>IF($H323="","",IFERROR(INDEX('Risk Library'!$N$5:$S$411,MATCH($E323,'Risk Library'!$A$5:$A$411,0),$H323+1),""))</f>
        <v/>
      </c>
      <c r="U323" s="37">
        <f>IFERROR('Business Systems'!$G$17,"")</f>
        <v>3</v>
      </c>
      <c r="V323" s="37">
        <f>IFERROR('Business Systems'!$W$17,"")</f>
        <v>5</v>
      </c>
      <c r="W323" s="37">
        <f>IFERROR('Business Systems'!$X$17,"")</f>
        <v>5</v>
      </c>
      <c r="X323" s="37">
        <f>IFERROR('Business Systems'!$Y$17,"")</f>
        <v>5</v>
      </c>
      <c r="Y323" s="36" t="s">
        <v>4969</v>
      </c>
      <c r="Z323" s="36" t="s">
        <v>4970</v>
      </c>
      <c r="AA323" s="36" t="s">
        <v>5084</v>
      </c>
      <c r="AB323" s="36">
        <f>IFERROR('Business Systems'!$U$17,"")</f>
        <v>0</v>
      </c>
      <c r="AC323" s="36"/>
      <c r="AD323" s="36"/>
      <c r="AE323" s="36"/>
      <c r="AF323" s="36" t="s">
        <v>5083</v>
      </c>
      <c r="AO323" s="48" t="str">
        <f>IF($B323="Yes",IFERROR(SUMIFS(_TECH_Crisis_Model!$D$5:$D$191,_TECH_Crisis_Model!$A$5:$A$191,'Crisis Simulator'!$B$4,_TECH_Crisis_Model!$B$5:$B$191,$C323),1),"")</f>
        <v/>
      </c>
      <c r="AP323" s="48" t="str">
        <f t="shared" si="71"/>
        <v/>
      </c>
      <c r="AQ323" s="48" t="str">
        <f t="shared" si="72"/>
        <v/>
      </c>
      <c r="AR323" s="48" t="str">
        <f>IFERROR(INDEX(_TECH_Crisis_Model!$E$5:$E$191,MATCH('Crisis Simulator'!$B$4&amp;"|"&amp;$C323,_TECH_Crisis_Model!$I$5:$I$191,0)),"")</f>
        <v>ERP, CRM, HRMS, MES and SaaS continuity determine transaction and process continuity.</v>
      </c>
      <c r="AS323" s="48" t="str">
        <f>IFERROR(INDEX(_TECH_Crisis_Model!$G$5:$G$191,MATCH('Crisis Simulator'!$B$4&amp;"|"&amp;$C323,_TECH_Crisis_Model!$I$5:$I$191,0)),"")</f>
        <v>Document system dependencies, SaaS continuity, role access, data exports and manual fallback.</v>
      </c>
      <c r="AT323" s="48" t="str">
        <f>IFERROR(INDEX(_TECH_Initiative_Library!$A$5:$A$76,MATCH(1,INDEX((_TECH_Initiative_Library!$B$5:$B$76=$C323)*(_TECH_Initiative_Library!$C$5:$C$76=$D323),0),0)),"")</f>
        <v>INI-055</v>
      </c>
      <c r="AU323" s="48" t="str">
        <f>IFERROR(INDEX(_TECH_Initiative_Library!$F$5:$F$76,MATCH(1,INDEX((_TECH_Initiative_Library!$B$5:$B$76=$C323)*(_TECH_Initiative_Library!$C$5:$C$76=$D323),0),0)),"")</f>
        <v>Integrate MES, WMS and TMS into operational continuity model</v>
      </c>
      <c r="AV323" s="48" t="str">
        <f ca="1">IFERROR(INDEX(_TECH_Initiative_Library!$AC$5:$AC$76,MATCH(1,INDEX((_TECH_Initiative_Library!$B$5:$B$76=$C323)*(_TECH_Initiative_Library!$C$5:$C$76=$D323),0),0)),"")</f>
        <v/>
      </c>
      <c r="AW323" s="48" t="str">
        <f ca="1">IFERROR(INDEX(_TECH_Initiative_Library!$AE$5:$AE$76,MATCH(1,INDEX((_TECH_Initiative_Library!$B$5:$B$76=$C323)*(_TECH_Initiative_Library!$C$5:$C$76=$D323),0),0)),"")</f>
        <v/>
      </c>
      <c r="AX323" s="48" t="str">
        <f>IF($B323="Yes",IFERROR(SUMIFS(_TECH_Industry_Templates!$E:$E,_TECH_Industry_Templates!$A:$A,'Company Profile'!$B$9,_TECH_Industry_Templates!$B:$B,$C323),1),"")</f>
        <v/>
      </c>
      <c r="AY323" s="48" t="str">
        <f t="shared" si="73"/>
        <v/>
      </c>
      <c r="AZ323" s="48" t="str">
        <f t="shared" si="74"/>
        <v/>
      </c>
      <c r="BA323" s="48" t="str">
        <f>IF($AZ323="","",RANK.EQ($AZ323,$AZ$8:$AZ$414,0)+COUNTIF($AZ$8:$AZ323,$AZ323)-1)</f>
        <v/>
      </c>
    </row>
    <row r="324" spans="1:53" ht="69.95" customHeight="1">
      <c r="A324" s="36" t="str">
        <f>IF($AZ324="","",RANK.EQ($AZ324,$AZ$8:$AZ$414,0)+COUNTIF($AZ$8:$AZ324,$AZ324)-1)</f>
        <v/>
      </c>
      <c r="B324" s="36" t="str">
        <f t="shared" si="61"/>
        <v/>
      </c>
      <c r="C324" s="36" t="s">
        <v>91</v>
      </c>
      <c r="D324" s="36" t="s">
        <v>1519</v>
      </c>
      <c r="E324" s="36" t="s">
        <v>5092</v>
      </c>
      <c r="F324" s="36" t="s">
        <v>1494</v>
      </c>
      <c r="G324" s="36" t="str">
        <f>IF($H324="","",IFERROR(INDEX('Risk Library'!$H$5:$M$411,MATCH($E324,'Risk Library'!$A$5:$A$411,0),$H324+1),""))</f>
        <v/>
      </c>
      <c r="H324" s="37" t="str">
        <f>IF(OR(COUNTA('Business Systems'!$H$18)=0,'Business Systems'!$H$18="N/A"),"",VALUE('Business Systems'!$H$18))</f>
        <v/>
      </c>
      <c r="I324" s="36" t="str">
        <f>IF($H324="","",IFERROR(IF('Business Systems'!$L$18="",IF($H324&lt;=1,"Critical",IF($H324=2,"High",IF($H324=3,"Medium",IF($H324=4,"Low","Resilient")))),'Business Systems'!$L$18),IF($H324&lt;=1,"Critical",IF($H324=2,"High",IF($H324=3,"Medium",IF($H324=4,"Low","Resilient"))))))</f>
        <v/>
      </c>
      <c r="J324" s="37" t="str">
        <f t="shared" si="62"/>
        <v/>
      </c>
      <c r="K324" s="37" t="str">
        <f t="shared" si="63"/>
        <v/>
      </c>
      <c r="L324" s="37" t="str">
        <f t="shared" si="64"/>
        <v/>
      </c>
      <c r="M324" s="37" t="str">
        <f t="shared" si="65"/>
        <v/>
      </c>
      <c r="N324" s="37" t="str">
        <f>IF($H324="","",IFERROR(INDEX('Risk Library'!$T$5:$Y$411,MATCH($E324,'Risk Library'!$A$5:$A$411,0),$H324+1),""))</f>
        <v/>
      </c>
      <c r="O324" s="37" t="str">
        <f t="shared" si="66"/>
        <v/>
      </c>
      <c r="P324" s="37" t="str">
        <f t="shared" si="67"/>
        <v/>
      </c>
      <c r="Q324" s="37" t="str">
        <f t="shared" si="68"/>
        <v/>
      </c>
      <c r="R324" s="37" t="str">
        <f t="shared" si="69"/>
        <v/>
      </c>
      <c r="S324" s="38" t="str">
        <f t="shared" si="70"/>
        <v/>
      </c>
      <c r="T324" s="36" t="str">
        <f>IF($H324="","",IFERROR(INDEX('Risk Library'!$N$5:$S$411,MATCH($E324,'Risk Library'!$A$5:$A$411,0),$H324+1),""))</f>
        <v/>
      </c>
      <c r="U324" s="37">
        <f>IFERROR('Business Systems'!$G$18,"")</f>
        <v>5</v>
      </c>
      <c r="V324" s="37">
        <f>IFERROR('Business Systems'!$W$18,"")</f>
        <v>5</v>
      </c>
      <c r="W324" s="37">
        <f>IFERROR('Business Systems'!$X$18,"")</f>
        <v>5</v>
      </c>
      <c r="X324" s="37">
        <f>IFERROR('Business Systems'!$Y$18,"")</f>
        <v>5</v>
      </c>
      <c r="Y324" s="36" t="s">
        <v>4969</v>
      </c>
      <c r="Z324" s="36" t="s">
        <v>4970</v>
      </c>
      <c r="AA324" s="36" t="s">
        <v>5094</v>
      </c>
      <c r="AB324" s="36">
        <f>IFERROR('Business Systems'!$U$18,"")</f>
        <v>0</v>
      </c>
      <c r="AC324" s="36"/>
      <c r="AD324" s="36"/>
      <c r="AE324" s="36"/>
      <c r="AF324" s="36" t="s">
        <v>5093</v>
      </c>
      <c r="AO324" s="48" t="str">
        <f>IF($B324="Yes",IFERROR(SUMIFS(_TECH_Crisis_Model!$D$5:$D$191,_TECH_Crisis_Model!$A$5:$A$191,'Crisis Simulator'!$B$4,_TECH_Crisis_Model!$B$5:$B$191,$C324),1),"")</f>
        <v/>
      </c>
      <c r="AP324" s="48" t="str">
        <f t="shared" si="71"/>
        <v/>
      </c>
      <c r="AQ324" s="48" t="str">
        <f t="shared" si="72"/>
        <v/>
      </c>
      <c r="AR324" s="48" t="str">
        <f>IFERROR(INDEX(_TECH_Crisis_Model!$E$5:$E$191,MATCH('Crisis Simulator'!$B$4&amp;"|"&amp;$C324,_TECH_Crisis_Model!$I$5:$I$191,0)),"")</f>
        <v>ERP, CRM, HRMS, MES and SaaS continuity determine transaction and process continuity.</v>
      </c>
      <c r="AS324" s="48" t="str">
        <f>IFERROR(INDEX(_TECH_Crisis_Model!$G$5:$G$191,MATCH('Crisis Simulator'!$B$4&amp;"|"&amp;$C324,_TECH_Crisis_Model!$I$5:$I$191,0)),"")</f>
        <v>Document system dependencies, SaaS continuity, role access, data exports and manual fallback.</v>
      </c>
      <c r="AT324" s="48" t="str">
        <f>IFERROR(INDEX(_TECH_Initiative_Library!$A$5:$A$76,MATCH(1,INDEX((_TECH_Initiative_Library!$B$5:$B$76=$C324)*(_TECH_Initiative_Library!$C$5:$C$76=$D324),0),0)),"")</f>
        <v>INI-056</v>
      </c>
      <c r="AU324" s="48" t="str">
        <f>IFERROR(INDEX(_TECH_Initiative_Library!$F$5:$F$76,MATCH(1,INDEX((_TECH_Initiative_Library!$B$5:$B$76=$C324)*(_TECH_Initiative_Library!$C$5:$C$76=$D324),0),0)),"")</f>
        <v>Stabilize HRMS, finance systems and core administrative workflows</v>
      </c>
      <c r="AV324" s="48" t="str">
        <f ca="1">IFERROR(INDEX(_TECH_Initiative_Library!$AC$5:$AC$76,MATCH(1,INDEX((_TECH_Initiative_Library!$B$5:$B$76=$C324)*(_TECH_Initiative_Library!$C$5:$C$76=$D324),0),0)),"")</f>
        <v/>
      </c>
      <c r="AW324" s="48" t="str">
        <f ca="1">IFERROR(INDEX(_TECH_Initiative_Library!$AE$5:$AE$76,MATCH(1,INDEX((_TECH_Initiative_Library!$B$5:$B$76=$C324)*(_TECH_Initiative_Library!$C$5:$C$76=$D324),0),0)),"")</f>
        <v/>
      </c>
      <c r="AX324" s="48" t="str">
        <f>IF($B324="Yes",IFERROR(SUMIFS(_TECH_Industry_Templates!$E:$E,_TECH_Industry_Templates!$A:$A,'Company Profile'!$B$9,_TECH_Industry_Templates!$B:$B,$C324),1),"")</f>
        <v/>
      </c>
      <c r="AY324" s="48" t="str">
        <f t="shared" si="73"/>
        <v/>
      </c>
      <c r="AZ324" s="48" t="str">
        <f t="shared" si="74"/>
        <v/>
      </c>
      <c r="BA324" s="48" t="str">
        <f>IF($AZ324="","",RANK.EQ($AZ324,$AZ$8:$AZ$414,0)+COUNTIF($AZ$8:$AZ324,$AZ324)-1)</f>
        <v/>
      </c>
    </row>
    <row r="325" spans="1:53" ht="69.95" customHeight="1">
      <c r="A325" s="36" t="str">
        <f>IF($AZ325="","",RANK.EQ($AZ325,$AZ$8:$AZ$414,0)+COUNTIF($AZ$8:$AZ325,$AZ325)-1)</f>
        <v/>
      </c>
      <c r="B325" s="36" t="str">
        <f t="shared" si="61"/>
        <v/>
      </c>
      <c r="C325" s="36" t="s">
        <v>91</v>
      </c>
      <c r="D325" s="36" t="s">
        <v>1519</v>
      </c>
      <c r="E325" s="36" t="s">
        <v>5102</v>
      </c>
      <c r="F325" s="36" t="s">
        <v>1494</v>
      </c>
      <c r="G325" s="36" t="str">
        <f>IF($H325="","",IFERROR(INDEX('Risk Library'!$H$5:$M$411,MATCH($E325,'Risk Library'!$A$5:$A$411,0),$H325+1),""))</f>
        <v/>
      </c>
      <c r="H325" s="37" t="str">
        <f>IF(OR(COUNTA('Business Systems'!$H$19)=0,'Business Systems'!$H$19="N/A"),"",VALUE('Business Systems'!$H$19))</f>
        <v/>
      </c>
      <c r="I325" s="36" t="str">
        <f>IF($H325="","",IFERROR(IF('Business Systems'!$L$19="",IF($H325&lt;=1,"Critical",IF($H325=2,"High",IF($H325=3,"Medium",IF($H325=4,"Low","Resilient")))),'Business Systems'!$L$19),IF($H325&lt;=1,"Critical",IF($H325=2,"High",IF($H325=3,"Medium",IF($H325=4,"Low","Resilient"))))))</f>
        <v/>
      </c>
      <c r="J325" s="37" t="str">
        <f t="shared" si="62"/>
        <v/>
      </c>
      <c r="K325" s="37" t="str">
        <f t="shared" si="63"/>
        <v/>
      </c>
      <c r="L325" s="37" t="str">
        <f t="shared" si="64"/>
        <v/>
      </c>
      <c r="M325" s="37" t="str">
        <f t="shared" si="65"/>
        <v/>
      </c>
      <c r="N325" s="37" t="str">
        <f>IF($H325="","",IFERROR(INDEX('Risk Library'!$T$5:$Y$411,MATCH($E325,'Risk Library'!$A$5:$A$411,0),$H325+1),""))</f>
        <v/>
      </c>
      <c r="O325" s="37" t="str">
        <f t="shared" si="66"/>
        <v/>
      </c>
      <c r="P325" s="37" t="str">
        <f t="shared" si="67"/>
        <v/>
      </c>
      <c r="Q325" s="37" t="str">
        <f t="shared" si="68"/>
        <v/>
      </c>
      <c r="R325" s="37" t="str">
        <f t="shared" si="69"/>
        <v/>
      </c>
      <c r="S325" s="38" t="str">
        <f t="shared" si="70"/>
        <v/>
      </c>
      <c r="T325" s="36" t="str">
        <f>IF($H325="","",IFERROR(INDEX('Risk Library'!$N$5:$S$411,MATCH($E325,'Risk Library'!$A$5:$A$411,0),$H325+1),""))</f>
        <v/>
      </c>
      <c r="U325" s="37">
        <f>IFERROR('Business Systems'!$G$19,"")</f>
        <v>5</v>
      </c>
      <c r="V325" s="37">
        <f>IFERROR('Business Systems'!$W$19,"")</f>
        <v>5</v>
      </c>
      <c r="W325" s="37">
        <f>IFERROR('Business Systems'!$X$19,"")</f>
        <v>5</v>
      </c>
      <c r="X325" s="37">
        <f>IFERROR('Business Systems'!$Y$19,"")</f>
        <v>5</v>
      </c>
      <c r="Y325" s="36" t="s">
        <v>4969</v>
      </c>
      <c r="Z325" s="36" t="s">
        <v>4970</v>
      </c>
      <c r="AA325" s="36" t="s">
        <v>5104</v>
      </c>
      <c r="AB325" s="36">
        <f>IFERROR('Business Systems'!$U$19,"")</f>
        <v>0</v>
      </c>
      <c r="AC325" s="36"/>
      <c r="AD325" s="36"/>
      <c r="AE325" s="36"/>
      <c r="AF325" s="36" t="s">
        <v>5103</v>
      </c>
      <c r="AO325" s="48" t="str">
        <f>IF($B325="Yes",IFERROR(SUMIFS(_TECH_Crisis_Model!$D$5:$D$191,_TECH_Crisis_Model!$A$5:$A$191,'Crisis Simulator'!$B$4,_TECH_Crisis_Model!$B$5:$B$191,$C325),1),"")</f>
        <v/>
      </c>
      <c r="AP325" s="48" t="str">
        <f t="shared" si="71"/>
        <v/>
      </c>
      <c r="AQ325" s="48" t="str">
        <f t="shared" si="72"/>
        <v/>
      </c>
      <c r="AR325" s="48" t="str">
        <f>IFERROR(INDEX(_TECH_Crisis_Model!$E$5:$E$191,MATCH('Crisis Simulator'!$B$4&amp;"|"&amp;$C325,_TECH_Crisis_Model!$I$5:$I$191,0)),"")</f>
        <v>ERP, CRM, HRMS, MES and SaaS continuity determine transaction and process continuity.</v>
      </c>
      <c r="AS325" s="48" t="str">
        <f>IFERROR(INDEX(_TECH_Crisis_Model!$G$5:$G$191,MATCH('Crisis Simulator'!$B$4&amp;"|"&amp;$C325,_TECH_Crisis_Model!$I$5:$I$191,0)),"")</f>
        <v>Document system dependencies, SaaS continuity, role access, data exports and manual fallback.</v>
      </c>
      <c r="AT325" s="48" t="str">
        <f>IFERROR(INDEX(_TECH_Initiative_Library!$A$5:$A$76,MATCH(1,INDEX((_TECH_Initiative_Library!$B$5:$B$76=$C325)*(_TECH_Initiative_Library!$C$5:$C$76=$D325),0),0)),"")</f>
        <v>INI-056</v>
      </c>
      <c r="AU325" s="48" t="str">
        <f>IFERROR(INDEX(_TECH_Initiative_Library!$F$5:$F$76,MATCH(1,INDEX((_TECH_Initiative_Library!$B$5:$B$76=$C325)*(_TECH_Initiative_Library!$C$5:$C$76=$D325),0),0)),"")</f>
        <v>Stabilize HRMS, finance systems and core administrative workflows</v>
      </c>
      <c r="AV325" s="48" t="str">
        <f ca="1">IFERROR(INDEX(_TECH_Initiative_Library!$AC$5:$AC$76,MATCH(1,INDEX((_TECH_Initiative_Library!$B$5:$B$76=$C325)*(_TECH_Initiative_Library!$C$5:$C$76=$D325),0),0)),"")</f>
        <v/>
      </c>
      <c r="AW325" s="48" t="str">
        <f ca="1">IFERROR(INDEX(_TECH_Initiative_Library!$AE$5:$AE$76,MATCH(1,INDEX((_TECH_Initiative_Library!$B$5:$B$76=$C325)*(_TECH_Initiative_Library!$C$5:$C$76=$D325),0),0)),"")</f>
        <v/>
      </c>
      <c r="AX325" s="48" t="str">
        <f>IF($B325="Yes",IFERROR(SUMIFS(_TECH_Industry_Templates!$E:$E,_TECH_Industry_Templates!$A:$A,'Company Profile'!$B$9,_TECH_Industry_Templates!$B:$B,$C325),1),"")</f>
        <v/>
      </c>
      <c r="AY325" s="48" t="str">
        <f t="shared" si="73"/>
        <v/>
      </c>
      <c r="AZ325" s="48" t="str">
        <f t="shared" si="74"/>
        <v/>
      </c>
      <c r="BA325" s="48" t="str">
        <f>IF($AZ325="","",RANK.EQ($AZ325,$AZ$8:$AZ$414,0)+COUNTIF($AZ$8:$AZ325,$AZ325)-1)</f>
        <v/>
      </c>
    </row>
    <row r="326" spans="1:53" ht="69.95" customHeight="1">
      <c r="A326" s="36" t="str">
        <f>IF($AZ326="","",RANK.EQ($AZ326,$AZ$8:$AZ$414,0)+COUNTIF($AZ$8:$AZ326,$AZ326)-1)</f>
        <v/>
      </c>
      <c r="B326" s="36" t="str">
        <f t="shared" si="61"/>
        <v/>
      </c>
      <c r="C326" s="36" t="s">
        <v>91</v>
      </c>
      <c r="D326" s="36" t="s">
        <v>1519</v>
      </c>
      <c r="E326" s="36" t="s">
        <v>5112</v>
      </c>
      <c r="F326" s="36" t="s">
        <v>1494</v>
      </c>
      <c r="G326" s="36" t="str">
        <f>IF($H326="","",IFERROR(INDEX('Risk Library'!$H$5:$M$411,MATCH($E326,'Risk Library'!$A$5:$A$411,0),$H326+1),""))</f>
        <v/>
      </c>
      <c r="H326" s="37" t="str">
        <f>IF(OR(COUNTA('Business Systems'!$H$20)=0,'Business Systems'!$H$20="N/A"),"",VALUE('Business Systems'!$H$20))</f>
        <v/>
      </c>
      <c r="I326" s="36" t="str">
        <f>IF($H326="","",IFERROR(IF('Business Systems'!$L$20="",IF($H326&lt;=1,"Critical",IF($H326=2,"High",IF($H326=3,"Medium",IF($H326=4,"Low","Resilient")))),'Business Systems'!$L$20),IF($H326&lt;=1,"Critical",IF($H326=2,"High",IF($H326=3,"Medium",IF($H326=4,"Low","Resilient"))))))</f>
        <v/>
      </c>
      <c r="J326" s="37" t="str">
        <f t="shared" si="62"/>
        <v/>
      </c>
      <c r="K326" s="37" t="str">
        <f t="shared" si="63"/>
        <v/>
      </c>
      <c r="L326" s="37" t="str">
        <f t="shared" si="64"/>
        <v/>
      </c>
      <c r="M326" s="37" t="str">
        <f t="shared" si="65"/>
        <v/>
      </c>
      <c r="N326" s="37" t="str">
        <f>IF($H326="","",IFERROR(INDEX('Risk Library'!$T$5:$Y$411,MATCH($E326,'Risk Library'!$A$5:$A$411,0),$H326+1),""))</f>
        <v/>
      </c>
      <c r="O326" s="37" t="str">
        <f t="shared" si="66"/>
        <v/>
      </c>
      <c r="P326" s="37" t="str">
        <f t="shared" si="67"/>
        <v/>
      </c>
      <c r="Q326" s="37" t="str">
        <f t="shared" si="68"/>
        <v/>
      </c>
      <c r="R326" s="37" t="str">
        <f t="shared" si="69"/>
        <v/>
      </c>
      <c r="S326" s="38" t="str">
        <f t="shared" si="70"/>
        <v/>
      </c>
      <c r="T326" s="36" t="str">
        <f>IF($H326="","",IFERROR(INDEX('Risk Library'!$N$5:$S$411,MATCH($E326,'Risk Library'!$A$5:$A$411,0),$H326+1),""))</f>
        <v/>
      </c>
      <c r="U326" s="37">
        <f>IFERROR('Business Systems'!$G$20,"")</f>
        <v>5</v>
      </c>
      <c r="V326" s="37">
        <f>IFERROR('Business Systems'!$W$20,"")</f>
        <v>5</v>
      </c>
      <c r="W326" s="37">
        <f>IFERROR('Business Systems'!$X$20,"")</f>
        <v>5</v>
      </c>
      <c r="X326" s="37">
        <f>IFERROR('Business Systems'!$Y$20,"")</f>
        <v>5</v>
      </c>
      <c r="Y326" s="36" t="s">
        <v>4969</v>
      </c>
      <c r="Z326" s="36" t="s">
        <v>4970</v>
      </c>
      <c r="AA326" s="36" t="s">
        <v>5114</v>
      </c>
      <c r="AB326" s="36">
        <f>IFERROR('Business Systems'!$U$20,"")</f>
        <v>0</v>
      </c>
      <c r="AC326" s="36"/>
      <c r="AD326" s="36"/>
      <c r="AE326" s="36"/>
      <c r="AF326" s="36" t="s">
        <v>5113</v>
      </c>
      <c r="AO326" s="48" t="str">
        <f>IF($B326="Yes",IFERROR(SUMIFS(_TECH_Crisis_Model!$D$5:$D$191,_TECH_Crisis_Model!$A$5:$A$191,'Crisis Simulator'!$B$4,_TECH_Crisis_Model!$B$5:$B$191,$C326),1),"")</f>
        <v/>
      </c>
      <c r="AP326" s="48" t="str">
        <f t="shared" si="71"/>
        <v/>
      </c>
      <c r="AQ326" s="48" t="str">
        <f t="shared" si="72"/>
        <v/>
      </c>
      <c r="AR326" s="48" t="str">
        <f>IFERROR(INDEX(_TECH_Crisis_Model!$E$5:$E$191,MATCH('Crisis Simulator'!$B$4&amp;"|"&amp;$C326,_TECH_Crisis_Model!$I$5:$I$191,0)),"")</f>
        <v>ERP, CRM, HRMS, MES and SaaS continuity determine transaction and process continuity.</v>
      </c>
      <c r="AS326" s="48" t="str">
        <f>IFERROR(INDEX(_TECH_Crisis_Model!$G$5:$G$191,MATCH('Crisis Simulator'!$B$4&amp;"|"&amp;$C326,_TECH_Crisis_Model!$I$5:$I$191,0)),"")</f>
        <v>Document system dependencies, SaaS continuity, role access, data exports and manual fallback.</v>
      </c>
      <c r="AT326" s="48" t="str">
        <f>IFERROR(INDEX(_TECH_Initiative_Library!$A$5:$A$76,MATCH(1,INDEX((_TECH_Initiative_Library!$B$5:$B$76=$C326)*(_TECH_Initiative_Library!$C$5:$C$76=$D326),0),0)),"")</f>
        <v>INI-056</v>
      </c>
      <c r="AU326" s="48" t="str">
        <f>IFERROR(INDEX(_TECH_Initiative_Library!$F$5:$F$76,MATCH(1,INDEX((_TECH_Initiative_Library!$B$5:$B$76=$C326)*(_TECH_Initiative_Library!$C$5:$C$76=$D326),0),0)),"")</f>
        <v>Stabilize HRMS, finance systems and core administrative workflows</v>
      </c>
      <c r="AV326" s="48" t="str">
        <f ca="1">IFERROR(INDEX(_TECH_Initiative_Library!$AC$5:$AC$76,MATCH(1,INDEX((_TECH_Initiative_Library!$B$5:$B$76=$C326)*(_TECH_Initiative_Library!$C$5:$C$76=$D326),0),0)),"")</f>
        <v/>
      </c>
      <c r="AW326" s="48" t="str">
        <f ca="1">IFERROR(INDEX(_TECH_Initiative_Library!$AE$5:$AE$76,MATCH(1,INDEX((_TECH_Initiative_Library!$B$5:$B$76=$C326)*(_TECH_Initiative_Library!$C$5:$C$76=$D326),0),0)),"")</f>
        <v/>
      </c>
      <c r="AX326" s="48" t="str">
        <f>IF($B326="Yes",IFERROR(SUMIFS(_TECH_Industry_Templates!$E:$E,_TECH_Industry_Templates!$A:$A,'Company Profile'!$B$9,_TECH_Industry_Templates!$B:$B,$C326),1),"")</f>
        <v/>
      </c>
      <c r="AY326" s="48" t="str">
        <f t="shared" si="73"/>
        <v/>
      </c>
      <c r="AZ326" s="48" t="str">
        <f t="shared" si="74"/>
        <v/>
      </c>
      <c r="BA326" s="48" t="str">
        <f>IF($AZ326="","",RANK.EQ($AZ326,$AZ$8:$AZ$414,0)+COUNTIF($AZ$8:$AZ326,$AZ326)-1)</f>
        <v/>
      </c>
    </row>
    <row r="327" spans="1:53" ht="69.95" customHeight="1">
      <c r="A327" s="36" t="str">
        <f>IF($AZ327="","",RANK.EQ($AZ327,$AZ$8:$AZ$414,0)+COUNTIF($AZ$8:$AZ327,$AZ327)-1)</f>
        <v/>
      </c>
      <c r="B327" s="36" t="str">
        <f t="shared" si="61"/>
        <v/>
      </c>
      <c r="C327" s="36" t="s">
        <v>91</v>
      </c>
      <c r="D327" s="36" t="s">
        <v>1519</v>
      </c>
      <c r="E327" s="36" t="s">
        <v>5122</v>
      </c>
      <c r="F327" s="36" t="s">
        <v>1494</v>
      </c>
      <c r="G327" s="36" t="str">
        <f>IF($H327="","",IFERROR(INDEX('Risk Library'!$H$5:$M$411,MATCH($E327,'Risk Library'!$A$5:$A$411,0),$H327+1),""))</f>
        <v/>
      </c>
      <c r="H327" s="37" t="str">
        <f>IF(OR(COUNTA('Business Systems'!$H$21)=0,'Business Systems'!$H$21="N/A"),"",VALUE('Business Systems'!$H$21))</f>
        <v/>
      </c>
      <c r="I327" s="36" t="str">
        <f>IF($H327="","",IFERROR(IF('Business Systems'!$L$21="",IF($H327&lt;=1,"Critical",IF($H327=2,"High",IF($H327=3,"Medium",IF($H327=4,"Low","Resilient")))),'Business Systems'!$L$21),IF($H327&lt;=1,"Critical",IF($H327=2,"High",IF($H327=3,"Medium",IF($H327=4,"Low","Resilient"))))))</f>
        <v/>
      </c>
      <c r="J327" s="37" t="str">
        <f t="shared" si="62"/>
        <v/>
      </c>
      <c r="K327" s="37" t="str">
        <f t="shared" si="63"/>
        <v/>
      </c>
      <c r="L327" s="37" t="str">
        <f t="shared" si="64"/>
        <v/>
      </c>
      <c r="M327" s="37" t="str">
        <f t="shared" si="65"/>
        <v/>
      </c>
      <c r="N327" s="37" t="str">
        <f>IF($H327="","",IFERROR(INDEX('Risk Library'!$T$5:$Y$411,MATCH($E327,'Risk Library'!$A$5:$A$411,0),$H327+1),""))</f>
        <v/>
      </c>
      <c r="O327" s="37" t="str">
        <f t="shared" si="66"/>
        <v/>
      </c>
      <c r="P327" s="37" t="str">
        <f t="shared" si="67"/>
        <v/>
      </c>
      <c r="Q327" s="37" t="str">
        <f t="shared" si="68"/>
        <v/>
      </c>
      <c r="R327" s="37" t="str">
        <f t="shared" si="69"/>
        <v/>
      </c>
      <c r="S327" s="38" t="str">
        <f t="shared" si="70"/>
        <v/>
      </c>
      <c r="T327" s="36" t="str">
        <f>IF($H327="","",IFERROR(INDEX('Risk Library'!$N$5:$S$411,MATCH($E327,'Risk Library'!$A$5:$A$411,0),$H327+1),""))</f>
        <v/>
      </c>
      <c r="U327" s="37">
        <f>IFERROR('Business Systems'!$G$21,"")</f>
        <v>5</v>
      </c>
      <c r="V327" s="37">
        <f>IFERROR('Business Systems'!$W$21,"")</f>
        <v>5</v>
      </c>
      <c r="W327" s="37">
        <f>IFERROR('Business Systems'!$X$21,"")</f>
        <v>5</v>
      </c>
      <c r="X327" s="37">
        <f>IFERROR('Business Systems'!$Y$21,"")</f>
        <v>5</v>
      </c>
      <c r="Y327" s="36" t="s">
        <v>4969</v>
      </c>
      <c r="Z327" s="36" t="s">
        <v>4970</v>
      </c>
      <c r="AA327" s="36" t="s">
        <v>5124</v>
      </c>
      <c r="AB327" s="36">
        <f>IFERROR('Business Systems'!$U$21,"")</f>
        <v>0</v>
      </c>
      <c r="AC327" s="36"/>
      <c r="AD327" s="36"/>
      <c r="AE327" s="36"/>
      <c r="AF327" s="36" t="s">
        <v>5123</v>
      </c>
      <c r="AO327" s="48" t="str">
        <f>IF($B327="Yes",IFERROR(SUMIFS(_TECH_Crisis_Model!$D$5:$D$191,_TECH_Crisis_Model!$A$5:$A$191,'Crisis Simulator'!$B$4,_TECH_Crisis_Model!$B$5:$B$191,$C327),1),"")</f>
        <v/>
      </c>
      <c r="AP327" s="48" t="str">
        <f t="shared" si="71"/>
        <v/>
      </c>
      <c r="AQ327" s="48" t="str">
        <f t="shared" si="72"/>
        <v/>
      </c>
      <c r="AR327" s="48" t="str">
        <f>IFERROR(INDEX(_TECH_Crisis_Model!$E$5:$E$191,MATCH('Crisis Simulator'!$B$4&amp;"|"&amp;$C327,_TECH_Crisis_Model!$I$5:$I$191,0)),"")</f>
        <v>ERP, CRM, HRMS, MES and SaaS continuity determine transaction and process continuity.</v>
      </c>
      <c r="AS327" s="48" t="str">
        <f>IFERROR(INDEX(_TECH_Crisis_Model!$G$5:$G$191,MATCH('Crisis Simulator'!$B$4&amp;"|"&amp;$C327,_TECH_Crisis_Model!$I$5:$I$191,0)),"")</f>
        <v>Document system dependencies, SaaS continuity, role access, data exports and manual fallback.</v>
      </c>
      <c r="AT327" s="48" t="str">
        <f>IFERROR(INDEX(_TECH_Initiative_Library!$A$5:$A$76,MATCH(1,INDEX((_TECH_Initiative_Library!$B$5:$B$76=$C327)*(_TECH_Initiative_Library!$C$5:$C$76=$D327),0),0)),"")</f>
        <v>INI-056</v>
      </c>
      <c r="AU327" s="48" t="str">
        <f>IFERROR(INDEX(_TECH_Initiative_Library!$F$5:$F$76,MATCH(1,INDEX((_TECH_Initiative_Library!$B$5:$B$76=$C327)*(_TECH_Initiative_Library!$C$5:$C$76=$D327),0),0)),"")</f>
        <v>Stabilize HRMS, finance systems and core administrative workflows</v>
      </c>
      <c r="AV327" s="48" t="str">
        <f ca="1">IFERROR(INDEX(_TECH_Initiative_Library!$AC$5:$AC$76,MATCH(1,INDEX((_TECH_Initiative_Library!$B$5:$B$76=$C327)*(_TECH_Initiative_Library!$C$5:$C$76=$D327),0),0)),"")</f>
        <v/>
      </c>
      <c r="AW327" s="48" t="str">
        <f ca="1">IFERROR(INDEX(_TECH_Initiative_Library!$AE$5:$AE$76,MATCH(1,INDEX((_TECH_Initiative_Library!$B$5:$B$76=$C327)*(_TECH_Initiative_Library!$C$5:$C$76=$D327),0),0)),"")</f>
        <v/>
      </c>
      <c r="AX327" s="48" t="str">
        <f>IF($B327="Yes",IFERROR(SUMIFS(_TECH_Industry_Templates!$E:$E,_TECH_Industry_Templates!$A:$A,'Company Profile'!$B$9,_TECH_Industry_Templates!$B:$B,$C327),1),"")</f>
        <v/>
      </c>
      <c r="AY327" s="48" t="str">
        <f t="shared" si="73"/>
        <v/>
      </c>
      <c r="AZ327" s="48" t="str">
        <f t="shared" si="74"/>
        <v/>
      </c>
      <c r="BA327" s="48" t="str">
        <f>IF($AZ327="","",RANK.EQ($AZ327,$AZ$8:$AZ$414,0)+COUNTIF($AZ$8:$AZ327,$AZ327)-1)</f>
        <v/>
      </c>
    </row>
    <row r="328" spans="1:53" ht="69.95" customHeight="1">
      <c r="A328" s="36" t="str">
        <f>IF($AZ328="","",RANK.EQ($AZ328,$AZ$8:$AZ$414,0)+COUNTIF($AZ$8:$AZ328,$AZ328)-1)</f>
        <v/>
      </c>
      <c r="B328" s="36" t="str">
        <f t="shared" ref="B328:B391" si="75">IF($H328="","",IF($H328&lt;5,"Yes","Maintain"))</f>
        <v/>
      </c>
      <c r="C328" s="36" t="s">
        <v>91</v>
      </c>
      <c r="D328" s="36" t="s">
        <v>1527</v>
      </c>
      <c r="E328" s="36" t="s">
        <v>5132</v>
      </c>
      <c r="F328" s="36" t="s">
        <v>1494</v>
      </c>
      <c r="G328" s="36" t="str">
        <f>IF($H328="","",IFERROR(INDEX('Risk Library'!$H$5:$M$411,MATCH($E328,'Risk Library'!$A$5:$A$411,0),$H328+1),""))</f>
        <v/>
      </c>
      <c r="H328" s="37" t="str">
        <f>IF(OR(COUNTA('Business Systems'!$H$22)=0,'Business Systems'!$H$22="N/A"),"",VALUE('Business Systems'!$H$22))</f>
        <v/>
      </c>
      <c r="I328" s="36" t="str">
        <f>IF($H328="","",IFERROR(IF('Business Systems'!$L$22="",IF($H328&lt;=1,"Critical",IF($H328=2,"High",IF($H328=3,"Medium",IF($H328=4,"Low","Resilient")))),'Business Systems'!$L$22),IF($H328&lt;=1,"Critical",IF($H328=2,"High",IF($H328=3,"Medium",IF($H328=4,"Low","Resilient"))))))</f>
        <v/>
      </c>
      <c r="J328" s="37" t="str">
        <f t="shared" ref="J328:J391" si="76">IF($H328="","",MAX(1,6-$H328))</f>
        <v/>
      </c>
      <c r="K328" s="37" t="str">
        <f t="shared" ref="K328:K391" si="77">IF($H328="","",MAX(1,MIN(5,ROUNDUP(($U328*0.45)+($W328*0.35)+($X328*0.2),0))))</f>
        <v/>
      </c>
      <c r="L328" s="37" t="str">
        <f t="shared" ref="L328:L391" si="78">IF($H328="","",$J328*$K328)</f>
        <v/>
      </c>
      <c r="M328" s="37" t="str">
        <f t="shared" ref="M328:M391" si="79">IF($H328="","",MAX(1,MIN(5,ROUNDUP($L328/5,0))))</f>
        <v/>
      </c>
      <c r="N328" s="37" t="str">
        <f>IF($H328="","",IFERROR(INDEX('Risk Library'!$T$5:$Y$411,MATCH($E328,'Risk Library'!$A$5:$A$411,0),$H328+1),""))</f>
        <v/>
      </c>
      <c r="O328" s="37" t="str">
        <f t="shared" ref="O328:O391" si="80">IF($H328="","",MAX(1,MIN(5,ROUND(($U328+$V328+$X328)/3,0))))</f>
        <v/>
      </c>
      <c r="P328" s="37" t="str">
        <f t="shared" ref="P328:P391" si="81">IF($H328="","",IF($I328="Critical",5,IF($I328="High",4,IF($I328="Medium",3,IF($I328="Low",2,1)))))</f>
        <v/>
      </c>
      <c r="Q328" s="37" t="str">
        <f t="shared" ref="Q328:Q391" si="82">IF($H328="","",MAX(1,MIN(5,ROUNDUP(((5-$H328)*0.65)+($W328*0.35),0))))</f>
        <v/>
      </c>
      <c r="R328" s="37" t="str">
        <f t="shared" ref="R328:R391" si="83">IF($H328="","",MAX(1,MIN(5,ROUND(($V328+$X328)/2,0))))</f>
        <v/>
      </c>
      <c r="S328" s="38" t="str">
        <f t="shared" ref="S328:S391" si="84">IF($H328="","",ROUND(($O328+$P328+$Q328+$R328)/$N328,2))</f>
        <v/>
      </c>
      <c r="T328" s="36" t="str">
        <f>IF($H328="","",IFERROR(INDEX('Risk Library'!$N$5:$S$411,MATCH($E328,'Risk Library'!$A$5:$A$411,0),$H328+1),""))</f>
        <v/>
      </c>
      <c r="U328" s="37">
        <f>IFERROR('Business Systems'!$G$22,"")</f>
        <v>4</v>
      </c>
      <c r="V328" s="37">
        <f>IFERROR('Business Systems'!$W$22,"")</f>
        <v>5</v>
      </c>
      <c r="W328" s="37">
        <f>IFERROR('Business Systems'!$X$22,"")</f>
        <v>5</v>
      </c>
      <c r="X328" s="37">
        <f>IFERROR('Business Systems'!$Y$22,"")</f>
        <v>5</v>
      </c>
      <c r="Y328" s="36" t="s">
        <v>4969</v>
      </c>
      <c r="Z328" s="36" t="s">
        <v>4970</v>
      </c>
      <c r="AA328" s="36" t="s">
        <v>5134</v>
      </c>
      <c r="AB328" s="36">
        <f>IFERROR('Business Systems'!$U$22,"")</f>
        <v>0</v>
      </c>
      <c r="AC328" s="36"/>
      <c r="AD328" s="36"/>
      <c r="AE328" s="36"/>
      <c r="AF328" s="36" t="s">
        <v>5133</v>
      </c>
      <c r="AO328" s="48" t="str">
        <f>IF($B328="Yes",IFERROR(SUMIFS(_TECH_Crisis_Model!$D$5:$D$191,_TECH_Crisis_Model!$A$5:$A$191,'Crisis Simulator'!$B$4,_TECH_Crisis_Model!$B$5:$B$191,$C328),1),"")</f>
        <v/>
      </c>
      <c r="AP328" s="48" t="str">
        <f t="shared" ref="AP328:AP391" si="85">IF(AO328="","",ROUND($L328*AO328,1))</f>
        <v/>
      </c>
      <c r="AQ328" s="48" t="str">
        <f t="shared" ref="AQ328:AQ391" si="86">IF(AO328="","",ROUND($S328*(0.7+0.3*AO328),2))</f>
        <v/>
      </c>
      <c r="AR328" s="48" t="str">
        <f>IFERROR(INDEX(_TECH_Crisis_Model!$E$5:$E$191,MATCH('Crisis Simulator'!$B$4&amp;"|"&amp;$C328,_TECH_Crisis_Model!$I$5:$I$191,0)),"")</f>
        <v>ERP, CRM, HRMS, MES and SaaS continuity determine transaction and process continuity.</v>
      </c>
      <c r="AS328" s="48" t="str">
        <f>IFERROR(INDEX(_TECH_Crisis_Model!$G$5:$G$191,MATCH('Crisis Simulator'!$B$4&amp;"|"&amp;$C328,_TECH_Crisis_Model!$I$5:$I$191,0)),"")</f>
        <v>Document system dependencies, SaaS continuity, role access, data exports and manual fallback.</v>
      </c>
      <c r="AT328" s="48" t="str">
        <f>IFERROR(INDEX(_TECH_Initiative_Library!$A$5:$A$76,MATCH(1,INDEX((_TECH_Initiative_Library!$B$5:$B$76=$C328)*(_TECH_Initiative_Library!$C$5:$C$76=$D328),0),0)),"")</f>
        <v>INI-057</v>
      </c>
      <c r="AU328" s="48" t="str">
        <f>IFERROR(INDEX(_TECH_Initiative_Library!$F$5:$F$76,MATCH(1,INDEX((_TECH_Initiative_Library!$B$5:$B$76=$C328)*(_TECH_Initiative_Library!$C$5:$C$76=$D328),0),0)),"")</f>
        <v>Implement business-system governance and lifecycle control</v>
      </c>
      <c r="AV328" s="48" t="str">
        <f ca="1">IFERROR(INDEX(_TECH_Initiative_Library!$AC$5:$AC$76,MATCH(1,INDEX((_TECH_Initiative_Library!$B$5:$B$76=$C328)*(_TECH_Initiative_Library!$C$5:$C$76=$D328),0),0)),"")</f>
        <v/>
      </c>
      <c r="AW328" s="48" t="str">
        <f ca="1">IFERROR(INDEX(_TECH_Initiative_Library!$AE$5:$AE$76,MATCH(1,INDEX((_TECH_Initiative_Library!$B$5:$B$76=$C328)*(_TECH_Initiative_Library!$C$5:$C$76=$D328),0),0)),"")</f>
        <v/>
      </c>
      <c r="AX328" s="48" t="str">
        <f>IF($B328="Yes",IFERROR(SUMIFS(_TECH_Industry_Templates!$E:$E,_TECH_Industry_Templates!$A:$A,'Company Profile'!$B$9,_TECH_Industry_Templates!$B:$B,$C328),1),"")</f>
        <v/>
      </c>
      <c r="AY328" s="48" t="str">
        <f t="shared" ref="AY328:AY391" si="87">IF($L328="","",ROUND(IF($AP328="",$L328,$AP328)*$AX328,2))</f>
        <v/>
      </c>
      <c r="AZ328" s="48" t="str">
        <f t="shared" ref="AZ328:AZ391" si="88">IF($S328="","",ROUND(IF($AQ328="",$S328,$AQ328)*$AX328,2))</f>
        <v/>
      </c>
      <c r="BA328" s="48" t="str">
        <f>IF($AZ328="","",RANK.EQ($AZ328,$AZ$8:$AZ$414,0)+COUNTIF($AZ$8:$AZ328,$AZ328)-1)</f>
        <v/>
      </c>
    </row>
    <row r="329" spans="1:53" ht="69.95" customHeight="1">
      <c r="A329" s="36" t="str">
        <f>IF($AZ329="","",RANK.EQ($AZ329,$AZ$8:$AZ$414,0)+COUNTIF($AZ$8:$AZ329,$AZ329)-1)</f>
        <v/>
      </c>
      <c r="B329" s="36" t="str">
        <f t="shared" si="75"/>
        <v/>
      </c>
      <c r="C329" s="36" t="s">
        <v>91</v>
      </c>
      <c r="D329" s="36" t="s">
        <v>1527</v>
      </c>
      <c r="E329" s="36" t="s">
        <v>5142</v>
      </c>
      <c r="F329" s="36" t="s">
        <v>1494</v>
      </c>
      <c r="G329" s="36" t="str">
        <f>IF($H329="","",IFERROR(INDEX('Risk Library'!$H$5:$M$411,MATCH($E329,'Risk Library'!$A$5:$A$411,0),$H329+1),""))</f>
        <v/>
      </c>
      <c r="H329" s="37" t="str">
        <f>IF(OR(COUNTA('Business Systems'!$H$23)=0,'Business Systems'!$H$23="N/A"),"",VALUE('Business Systems'!$H$23))</f>
        <v/>
      </c>
      <c r="I329" s="36" t="str">
        <f>IF($H329="","",IFERROR(IF('Business Systems'!$L$23="",IF($H329&lt;=1,"Critical",IF($H329=2,"High",IF($H329=3,"Medium",IF($H329=4,"Low","Resilient")))),'Business Systems'!$L$23),IF($H329&lt;=1,"Critical",IF($H329=2,"High",IF($H329=3,"Medium",IF($H329=4,"Low","Resilient"))))))</f>
        <v/>
      </c>
      <c r="J329" s="37" t="str">
        <f t="shared" si="76"/>
        <v/>
      </c>
      <c r="K329" s="37" t="str">
        <f t="shared" si="77"/>
        <v/>
      </c>
      <c r="L329" s="37" t="str">
        <f t="shared" si="78"/>
        <v/>
      </c>
      <c r="M329" s="37" t="str">
        <f t="shared" si="79"/>
        <v/>
      </c>
      <c r="N329" s="37" t="str">
        <f>IF($H329="","",IFERROR(INDEX('Risk Library'!$T$5:$Y$411,MATCH($E329,'Risk Library'!$A$5:$A$411,0),$H329+1),""))</f>
        <v/>
      </c>
      <c r="O329" s="37" t="str">
        <f t="shared" si="80"/>
        <v/>
      </c>
      <c r="P329" s="37" t="str">
        <f t="shared" si="81"/>
        <v/>
      </c>
      <c r="Q329" s="37" t="str">
        <f t="shared" si="82"/>
        <v/>
      </c>
      <c r="R329" s="37" t="str">
        <f t="shared" si="83"/>
        <v/>
      </c>
      <c r="S329" s="38" t="str">
        <f t="shared" si="84"/>
        <v/>
      </c>
      <c r="T329" s="36" t="str">
        <f>IF($H329="","",IFERROR(INDEX('Risk Library'!$N$5:$S$411,MATCH($E329,'Risk Library'!$A$5:$A$411,0),$H329+1),""))</f>
        <v/>
      </c>
      <c r="U329" s="37">
        <f>IFERROR('Business Systems'!$G$23,"")</f>
        <v>5</v>
      </c>
      <c r="V329" s="37">
        <f>IFERROR('Business Systems'!$W$23,"")</f>
        <v>5</v>
      </c>
      <c r="W329" s="37">
        <f>IFERROR('Business Systems'!$X$23,"")</f>
        <v>5</v>
      </c>
      <c r="X329" s="37">
        <f>IFERROR('Business Systems'!$Y$23,"")</f>
        <v>5</v>
      </c>
      <c r="Y329" s="36" t="s">
        <v>4969</v>
      </c>
      <c r="Z329" s="36" t="s">
        <v>4970</v>
      </c>
      <c r="AA329" s="36" t="s">
        <v>5144</v>
      </c>
      <c r="AB329" s="36">
        <f>IFERROR('Business Systems'!$U$23,"")</f>
        <v>0</v>
      </c>
      <c r="AC329" s="36"/>
      <c r="AD329" s="36"/>
      <c r="AE329" s="36"/>
      <c r="AF329" s="36" t="s">
        <v>5143</v>
      </c>
      <c r="AO329" s="48" t="str">
        <f>IF($B329="Yes",IFERROR(SUMIFS(_TECH_Crisis_Model!$D$5:$D$191,_TECH_Crisis_Model!$A$5:$A$191,'Crisis Simulator'!$B$4,_TECH_Crisis_Model!$B$5:$B$191,$C329),1),"")</f>
        <v/>
      </c>
      <c r="AP329" s="48" t="str">
        <f t="shared" si="85"/>
        <v/>
      </c>
      <c r="AQ329" s="48" t="str">
        <f t="shared" si="86"/>
        <v/>
      </c>
      <c r="AR329" s="48" t="str">
        <f>IFERROR(INDEX(_TECH_Crisis_Model!$E$5:$E$191,MATCH('Crisis Simulator'!$B$4&amp;"|"&amp;$C329,_TECH_Crisis_Model!$I$5:$I$191,0)),"")</f>
        <v>ERP, CRM, HRMS, MES and SaaS continuity determine transaction and process continuity.</v>
      </c>
      <c r="AS329" s="48" t="str">
        <f>IFERROR(INDEX(_TECH_Crisis_Model!$G$5:$G$191,MATCH('Crisis Simulator'!$B$4&amp;"|"&amp;$C329,_TECH_Crisis_Model!$I$5:$I$191,0)),"")</f>
        <v>Document system dependencies, SaaS continuity, role access, data exports and manual fallback.</v>
      </c>
      <c r="AT329" s="48" t="str">
        <f>IFERROR(INDEX(_TECH_Initiative_Library!$A$5:$A$76,MATCH(1,INDEX((_TECH_Initiative_Library!$B$5:$B$76=$C329)*(_TECH_Initiative_Library!$C$5:$C$76=$D329),0),0)),"")</f>
        <v>INI-057</v>
      </c>
      <c r="AU329" s="48" t="str">
        <f>IFERROR(INDEX(_TECH_Initiative_Library!$F$5:$F$76,MATCH(1,INDEX((_TECH_Initiative_Library!$B$5:$B$76=$C329)*(_TECH_Initiative_Library!$C$5:$C$76=$D329),0),0)),"")</f>
        <v>Implement business-system governance and lifecycle control</v>
      </c>
      <c r="AV329" s="48" t="str">
        <f ca="1">IFERROR(INDEX(_TECH_Initiative_Library!$AC$5:$AC$76,MATCH(1,INDEX((_TECH_Initiative_Library!$B$5:$B$76=$C329)*(_TECH_Initiative_Library!$C$5:$C$76=$D329),0),0)),"")</f>
        <v/>
      </c>
      <c r="AW329" s="48" t="str">
        <f ca="1">IFERROR(INDEX(_TECH_Initiative_Library!$AE$5:$AE$76,MATCH(1,INDEX((_TECH_Initiative_Library!$B$5:$B$76=$C329)*(_TECH_Initiative_Library!$C$5:$C$76=$D329),0),0)),"")</f>
        <v/>
      </c>
      <c r="AX329" s="48" t="str">
        <f>IF($B329="Yes",IFERROR(SUMIFS(_TECH_Industry_Templates!$E:$E,_TECH_Industry_Templates!$A:$A,'Company Profile'!$B$9,_TECH_Industry_Templates!$B:$B,$C329),1),"")</f>
        <v/>
      </c>
      <c r="AY329" s="48" t="str">
        <f t="shared" si="87"/>
        <v/>
      </c>
      <c r="AZ329" s="48" t="str">
        <f t="shared" si="88"/>
        <v/>
      </c>
      <c r="BA329" s="48" t="str">
        <f>IF($AZ329="","",RANK.EQ($AZ329,$AZ$8:$AZ$414,0)+COUNTIF($AZ$8:$AZ329,$AZ329)-1)</f>
        <v/>
      </c>
    </row>
    <row r="330" spans="1:53" ht="69.95" customHeight="1">
      <c r="A330" s="36" t="str">
        <f>IF($AZ330="","",RANK.EQ($AZ330,$AZ$8:$AZ$414,0)+COUNTIF($AZ$8:$AZ330,$AZ330)-1)</f>
        <v/>
      </c>
      <c r="B330" s="36" t="str">
        <f t="shared" si="75"/>
        <v/>
      </c>
      <c r="C330" s="36" t="s">
        <v>91</v>
      </c>
      <c r="D330" s="36" t="s">
        <v>1527</v>
      </c>
      <c r="E330" s="36" t="s">
        <v>5152</v>
      </c>
      <c r="F330" s="36" t="s">
        <v>1494</v>
      </c>
      <c r="G330" s="36" t="str">
        <f>IF($H330="","",IFERROR(INDEX('Risk Library'!$H$5:$M$411,MATCH($E330,'Risk Library'!$A$5:$A$411,0),$H330+1),""))</f>
        <v/>
      </c>
      <c r="H330" s="37" t="str">
        <f>IF(OR(COUNTA('Business Systems'!$H$24)=0,'Business Systems'!$H$24="N/A"),"",VALUE('Business Systems'!$H$24))</f>
        <v/>
      </c>
      <c r="I330" s="36" t="str">
        <f>IF($H330="","",IFERROR(IF('Business Systems'!$L$24="",IF($H330&lt;=1,"Critical",IF($H330=2,"High",IF($H330=3,"Medium",IF($H330=4,"Low","Resilient")))),'Business Systems'!$L$24),IF($H330&lt;=1,"Critical",IF($H330=2,"High",IF($H330=3,"Medium",IF($H330=4,"Low","Resilient"))))))</f>
        <v/>
      </c>
      <c r="J330" s="37" t="str">
        <f t="shared" si="76"/>
        <v/>
      </c>
      <c r="K330" s="37" t="str">
        <f t="shared" si="77"/>
        <v/>
      </c>
      <c r="L330" s="37" t="str">
        <f t="shared" si="78"/>
        <v/>
      </c>
      <c r="M330" s="37" t="str">
        <f t="shared" si="79"/>
        <v/>
      </c>
      <c r="N330" s="37" t="str">
        <f>IF($H330="","",IFERROR(INDEX('Risk Library'!$T$5:$Y$411,MATCH($E330,'Risk Library'!$A$5:$A$411,0),$H330+1),""))</f>
        <v/>
      </c>
      <c r="O330" s="37" t="str">
        <f t="shared" si="80"/>
        <v/>
      </c>
      <c r="P330" s="37" t="str">
        <f t="shared" si="81"/>
        <v/>
      </c>
      <c r="Q330" s="37" t="str">
        <f t="shared" si="82"/>
        <v/>
      </c>
      <c r="R330" s="37" t="str">
        <f t="shared" si="83"/>
        <v/>
      </c>
      <c r="S330" s="38" t="str">
        <f t="shared" si="84"/>
        <v/>
      </c>
      <c r="T330" s="36" t="str">
        <f>IF($H330="","",IFERROR(INDEX('Risk Library'!$N$5:$S$411,MATCH($E330,'Risk Library'!$A$5:$A$411,0),$H330+1),""))</f>
        <v/>
      </c>
      <c r="U330" s="37">
        <f>IFERROR('Business Systems'!$G$24,"")</f>
        <v>5</v>
      </c>
      <c r="V330" s="37">
        <f>IFERROR('Business Systems'!$W$24,"")</f>
        <v>5</v>
      </c>
      <c r="W330" s="37">
        <f>IFERROR('Business Systems'!$X$24,"")</f>
        <v>5</v>
      </c>
      <c r="X330" s="37">
        <f>IFERROR('Business Systems'!$Y$24,"")</f>
        <v>5</v>
      </c>
      <c r="Y330" s="36" t="s">
        <v>4969</v>
      </c>
      <c r="Z330" s="36" t="s">
        <v>4970</v>
      </c>
      <c r="AA330" s="36" t="s">
        <v>5154</v>
      </c>
      <c r="AB330" s="36">
        <f>IFERROR('Business Systems'!$U$24,"")</f>
        <v>0</v>
      </c>
      <c r="AC330" s="36"/>
      <c r="AD330" s="36"/>
      <c r="AE330" s="36"/>
      <c r="AF330" s="36" t="s">
        <v>5153</v>
      </c>
      <c r="AO330" s="48" t="str">
        <f>IF($B330="Yes",IFERROR(SUMIFS(_TECH_Crisis_Model!$D$5:$D$191,_TECH_Crisis_Model!$A$5:$A$191,'Crisis Simulator'!$B$4,_TECH_Crisis_Model!$B$5:$B$191,$C330),1),"")</f>
        <v/>
      </c>
      <c r="AP330" s="48" t="str">
        <f t="shared" si="85"/>
        <v/>
      </c>
      <c r="AQ330" s="48" t="str">
        <f t="shared" si="86"/>
        <v/>
      </c>
      <c r="AR330" s="48" t="str">
        <f>IFERROR(INDEX(_TECH_Crisis_Model!$E$5:$E$191,MATCH('Crisis Simulator'!$B$4&amp;"|"&amp;$C330,_TECH_Crisis_Model!$I$5:$I$191,0)),"")</f>
        <v>ERP, CRM, HRMS, MES and SaaS continuity determine transaction and process continuity.</v>
      </c>
      <c r="AS330" s="48" t="str">
        <f>IFERROR(INDEX(_TECH_Crisis_Model!$G$5:$G$191,MATCH('Crisis Simulator'!$B$4&amp;"|"&amp;$C330,_TECH_Crisis_Model!$I$5:$I$191,0)),"")</f>
        <v>Document system dependencies, SaaS continuity, role access, data exports and manual fallback.</v>
      </c>
      <c r="AT330" s="48" t="str">
        <f>IFERROR(INDEX(_TECH_Initiative_Library!$A$5:$A$76,MATCH(1,INDEX((_TECH_Initiative_Library!$B$5:$B$76=$C330)*(_TECH_Initiative_Library!$C$5:$C$76=$D330),0),0)),"")</f>
        <v>INI-057</v>
      </c>
      <c r="AU330" s="48" t="str">
        <f>IFERROR(INDEX(_TECH_Initiative_Library!$F$5:$F$76,MATCH(1,INDEX((_TECH_Initiative_Library!$B$5:$B$76=$C330)*(_TECH_Initiative_Library!$C$5:$C$76=$D330),0),0)),"")</f>
        <v>Implement business-system governance and lifecycle control</v>
      </c>
      <c r="AV330" s="48" t="str">
        <f ca="1">IFERROR(INDEX(_TECH_Initiative_Library!$AC$5:$AC$76,MATCH(1,INDEX((_TECH_Initiative_Library!$B$5:$B$76=$C330)*(_TECH_Initiative_Library!$C$5:$C$76=$D330),0),0)),"")</f>
        <v/>
      </c>
      <c r="AW330" s="48" t="str">
        <f ca="1">IFERROR(INDEX(_TECH_Initiative_Library!$AE$5:$AE$76,MATCH(1,INDEX((_TECH_Initiative_Library!$B$5:$B$76=$C330)*(_TECH_Initiative_Library!$C$5:$C$76=$D330),0),0)),"")</f>
        <v/>
      </c>
      <c r="AX330" s="48" t="str">
        <f>IF($B330="Yes",IFERROR(SUMIFS(_TECH_Industry_Templates!$E:$E,_TECH_Industry_Templates!$A:$A,'Company Profile'!$B$9,_TECH_Industry_Templates!$B:$B,$C330),1),"")</f>
        <v/>
      </c>
      <c r="AY330" s="48" t="str">
        <f t="shared" si="87"/>
        <v/>
      </c>
      <c r="AZ330" s="48" t="str">
        <f t="shared" si="88"/>
        <v/>
      </c>
      <c r="BA330" s="48" t="str">
        <f>IF($AZ330="","",RANK.EQ($AZ330,$AZ$8:$AZ$414,0)+COUNTIF($AZ$8:$AZ330,$AZ330)-1)</f>
        <v/>
      </c>
    </row>
    <row r="331" spans="1:53" ht="69.95" customHeight="1">
      <c r="A331" s="36" t="str">
        <f>IF($AZ331="","",RANK.EQ($AZ331,$AZ$8:$AZ$414,0)+COUNTIF($AZ$8:$AZ331,$AZ331)-1)</f>
        <v/>
      </c>
      <c r="B331" s="36" t="str">
        <f t="shared" si="75"/>
        <v/>
      </c>
      <c r="C331" s="36" t="s">
        <v>91</v>
      </c>
      <c r="D331" s="36" t="s">
        <v>1527</v>
      </c>
      <c r="E331" s="36" t="s">
        <v>5162</v>
      </c>
      <c r="F331" s="36" t="s">
        <v>1494</v>
      </c>
      <c r="G331" s="36" t="str">
        <f>IF($H331="","",IFERROR(INDEX('Risk Library'!$H$5:$M$411,MATCH($E331,'Risk Library'!$A$5:$A$411,0),$H331+1),""))</f>
        <v/>
      </c>
      <c r="H331" s="37" t="str">
        <f>IF(OR(COUNTA('Business Systems'!$H$25)=0,'Business Systems'!$H$25="N/A"),"",VALUE('Business Systems'!$H$25))</f>
        <v/>
      </c>
      <c r="I331" s="36" t="str">
        <f>IF($H331="","",IFERROR(IF('Business Systems'!$L$25="",IF($H331&lt;=1,"Critical",IF($H331=2,"High",IF($H331=3,"Medium",IF($H331=4,"Low","Resilient")))),'Business Systems'!$L$25),IF($H331&lt;=1,"Critical",IF($H331=2,"High",IF($H331=3,"Medium",IF($H331=4,"Low","Resilient"))))))</f>
        <v/>
      </c>
      <c r="J331" s="37" t="str">
        <f t="shared" si="76"/>
        <v/>
      </c>
      <c r="K331" s="37" t="str">
        <f t="shared" si="77"/>
        <v/>
      </c>
      <c r="L331" s="37" t="str">
        <f t="shared" si="78"/>
        <v/>
      </c>
      <c r="M331" s="37" t="str">
        <f t="shared" si="79"/>
        <v/>
      </c>
      <c r="N331" s="37" t="str">
        <f>IF($H331="","",IFERROR(INDEX('Risk Library'!$T$5:$Y$411,MATCH($E331,'Risk Library'!$A$5:$A$411,0),$H331+1),""))</f>
        <v/>
      </c>
      <c r="O331" s="37" t="str">
        <f t="shared" si="80"/>
        <v/>
      </c>
      <c r="P331" s="37" t="str">
        <f t="shared" si="81"/>
        <v/>
      </c>
      <c r="Q331" s="37" t="str">
        <f t="shared" si="82"/>
        <v/>
      </c>
      <c r="R331" s="37" t="str">
        <f t="shared" si="83"/>
        <v/>
      </c>
      <c r="S331" s="38" t="str">
        <f t="shared" si="84"/>
        <v/>
      </c>
      <c r="T331" s="36" t="str">
        <f>IF($H331="","",IFERROR(INDEX('Risk Library'!$N$5:$S$411,MATCH($E331,'Risk Library'!$A$5:$A$411,0),$H331+1),""))</f>
        <v/>
      </c>
      <c r="U331" s="37">
        <f>IFERROR('Business Systems'!$G$25,"")</f>
        <v>5</v>
      </c>
      <c r="V331" s="37">
        <f>IFERROR('Business Systems'!$W$25,"")</f>
        <v>5</v>
      </c>
      <c r="W331" s="37">
        <f>IFERROR('Business Systems'!$X$25,"")</f>
        <v>5</v>
      </c>
      <c r="X331" s="37">
        <f>IFERROR('Business Systems'!$Y$25,"")</f>
        <v>5</v>
      </c>
      <c r="Y331" s="36" t="s">
        <v>4969</v>
      </c>
      <c r="Z331" s="36" t="s">
        <v>4970</v>
      </c>
      <c r="AA331" s="36" t="s">
        <v>5164</v>
      </c>
      <c r="AB331" s="36">
        <f>IFERROR('Business Systems'!$U$25,"")</f>
        <v>0</v>
      </c>
      <c r="AC331" s="36"/>
      <c r="AD331" s="36"/>
      <c r="AE331" s="36"/>
      <c r="AF331" s="36" t="s">
        <v>5163</v>
      </c>
      <c r="AO331" s="48" t="str">
        <f>IF($B331="Yes",IFERROR(SUMIFS(_TECH_Crisis_Model!$D$5:$D$191,_TECH_Crisis_Model!$A$5:$A$191,'Crisis Simulator'!$B$4,_TECH_Crisis_Model!$B$5:$B$191,$C331),1),"")</f>
        <v/>
      </c>
      <c r="AP331" s="48" t="str">
        <f t="shared" si="85"/>
        <v/>
      </c>
      <c r="AQ331" s="48" t="str">
        <f t="shared" si="86"/>
        <v/>
      </c>
      <c r="AR331" s="48" t="str">
        <f>IFERROR(INDEX(_TECH_Crisis_Model!$E$5:$E$191,MATCH('Crisis Simulator'!$B$4&amp;"|"&amp;$C331,_TECH_Crisis_Model!$I$5:$I$191,0)),"")</f>
        <v>ERP, CRM, HRMS, MES and SaaS continuity determine transaction and process continuity.</v>
      </c>
      <c r="AS331" s="48" t="str">
        <f>IFERROR(INDEX(_TECH_Crisis_Model!$G$5:$G$191,MATCH('Crisis Simulator'!$B$4&amp;"|"&amp;$C331,_TECH_Crisis_Model!$I$5:$I$191,0)),"")</f>
        <v>Document system dependencies, SaaS continuity, role access, data exports and manual fallback.</v>
      </c>
      <c r="AT331" s="48" t="str">
        <f>IFERROR(INDEX(_TECH_Initiative_Library!$A$5:$A$76,MATCH(1,INDEX((_TECH_Initiative_Library!$B$5:$B$76=$C331)*(_TECH_Initiative_Library!$C$5:$C$76=$D331),0),0)),"")</f>
        <v>INI-057</v>
      </c>
      <c r="AU331" s="48" t="str">
        <f>IFERROR(INDEX(_TECH_Initiative_Library!$F$5:$F$76,MATCH(1,INDEX((_TECH_Initiative_Library!$B$5:$B$76=$C331)*(_TECH_Initiative_Library!$C$5:$C$76=$D331),0),0)),"")</f>
        <v>Implement business-system governance and lifecycle control</v>
      </c>
      <c r="AV331" s="48" t="str">
        <f ca="1">IFERROR(INDEX(_TECH_Initiative_Library!$AC$5:$AC$76,MATCH(1,INDEX((_TECH_Initiative_Library!$B$5:$B$76=$C331)*(_TECH_Initiative_Library!$C$5:$C$76=$D331),0),0)),"")</f>
        <v/>
      </c>
      <c r="AW331" s="48" t="str">
        <f ca="1">IFERROR(INDEX(_TECH_Initiative_Library!$AE$5:$AE$76,MATCH(1,INDEX((_TECH_Initiative_Library!$B$5:$B$76=$C331)*(_TECH_Initiative_Library!$C$5:$C$76=$D331),0),0)),"")</f>
        <v/>
      </c>
      <c r="AX331" s="48" t="str">
        <f>IF($B331="Yes",IFERROR(SUMIFS(_TECH_Industry_Templates!$E:$E,_TECH_Industry_Templates!$A:$A,'Company Profile'!$B$9,_TECH_Industry_Templates!$B:$B,$C331),1),"")</f>
        <v/>
      </c>
      <c r="AY331" s="48" t="str">
        <f t="shared" si="87"/>
        <v/>
      </c>
      <c r="AZ331" s="48" t="str">
        <f t="shared" si="88"/>
        <v/>
      </c>
      <c r="BA331" s="48" t="str">
        <f>IF($AZ331="","",RANK.EQ($AZ331,$AZ$8:$AZ$414,0)+COUNTIF($AZ$8:$AZ331,$AZ331)-1)</f>
        <v/>
      </c>
    </row>
    <row r="332" spans="1:53" ht="69.95" customHeight="1">
      <c r="A332" s="36" t="str">
        <f>IF($AZ332="","",RANK.EQ($AZ332,$AZ$8:$AZ$414,0)+COUNTIF($AZ$8:$AZ332,$AZ332)-1)</f>
        <v/>
      </c>
      <c r="B332" s="36" t="str">
        <f t="shared" si="75"/>
        <v/>
      </c>
      <c r="C332" s="36" t="s">
        <v>91</v>
      </c>
      <c r="D332" s="36" t="s">
        <v>1527</v>
      </c>
      <c r="E332" s="36" t="s">
        <v>5172</v>
      </c>
      <c r="F332" s="36" t="s">
        <v>1494</v>
      </c>
      <c r="G332" s="36" t="str">
        <f>IF($H332="","",IFERROR(INDEX('Risk Library'!$H$5:$M$411,MATCH($E332,'Risk Library'!$A$5:$A$411,0),$H332+1),""))</f>
        <v/>
      </c>
      <c r="H332" s="37" t="str">
        <f>IF(OR(COUNTA('Business Systems'!$H$26)=0,'Business Systems'!$H$26="N/A"),"",VALUE('Business Systems'!$H$26))</f>
        <v/>
      </c>
      <c r="I332" s="36" t="str">
        <f>IF($H332="","",IFERROR(IF('Business Systems'!$L$26="",IF($H332&lt;=1,"Critical",IF($H332=2,"High",IF($H332=3,"Medium",IF($H332=4,"Low","Resilient")))),'Business Systems'!$L$26),IF($H332&lt;=1,"Critical",IF($H332=2,"High",IF($H332=3,"Medium",IF($H332=4,"Low","Resilient"))))))</f>
        <v/>
      </c>
      <c r="J332" s="37" t="str">
        <f t="shared" si="76"/>
        <v/>
      </c>
      <c r="K332" s="37" t="str">
        <f t="shared" si="77"/>
        <v/>
      </c>
      <c r="L332" s="37" t="str">
        <f t="shared" si="78"/>
        <v/>
      </c>
      <c r="M332" s="37" t="str">
        <f t="shared" si="79"/>
        <v/>
      </c>
      <c r="N332" s="37" t="str">
        <f>IF($H332="","",IFERROR(INDEX('Risk Library'!$T$5:$Y$411,MATCH($E332,'Risk Library'!$A$5:$A$411,0),$H332+1),""))</f>
        <v/>
      </c>
      <c r="O332" s="37" t="str">
        <f t="shared" si="80"/>
        <v/>
      </c>
      <c r="P332" s="37" t="str">
        <f t="shared" si="81"/>
        <v/>
      </c>
      <c r="Q332" s="37" t="str">
        <f t="shared" si="82"/>
        <v/>
      </c>
      <c r="R332" s="37" t="str">
        <f t="shared" si="83"/>
        <v/>
      </c>
      <c r="S332" s="38" t="str">
        <f t="shared" si="84"/>
        <v/>
      </c>
      <c r="T332" s="36" t="str">
        <f>IF($H332="","",IFERROR(INDEX('Risk Library'!$N$5:$S$411,MATCH($E332,'Risk Library'!$A$5:$A$411,0),$H332+1),""))</f>
        <v/>
      </c>
      <c r="U332" s="37">
        <f>IFERROR('Business Systems'!$G$26,"")</f>
        <v>5</v>
      </c>
      <c r="V332" s="37">
        <f>IFERROR('Business Systems'!$W$26,"")</f>
        <v>5</v>
      </c>
      <c r="W332" s="37">
        <f>IFERROR('Business Systems'!$X$26,"")</f>
        <v>5</v>
      </c>
      <c r="X332" s="37">
        <f>IFERROR('Business Systems'!$Y$26,"")</f>
        <v>5</v>
      </c>
      <c r="Y332" s="36" t="s">
        <v>4969</v>
      </c>
      <c r="Z332" s="36" t="s">
        <v>4970</v>
      </c>
      <c r="AA332" s="36" t="s">
        <v>5174</v>
      </c>
      <c r="AB332" s="36">
        <f>IFERROR('Business Systems'!$U$26,"")</f>
        <v>0</v>
      </c>
      <c r="AC332" s="36"/>
      <c r="AD332" s="36"/>
      <c r="AE332" s="36"/>
      <c r="AF332" s="36" t="s">
        <v>5173</v>
      </c>
      <c r="AO332" s="48" t="str">
        <f>IF($B332="Yes",IFERROR(SUMIFS(_TECH_Crisis_Model!$D$5:$D$191,_TECH_Crisis_Model!$A$5:$A$191,'Crisis Simulator'!$B$4,_TECH_Crisis_Model!$B$5:$B$191,$C332),1),"")</f>
        <v/>
      </c>
      <c r="AP332" s="48" t="str">
        <f t="shared" si="85"/>
        <v/>
      </c>
      <c r="AQ332" s="48" t="str">
        <f t="shared" si="86"/>
        <v/>
      </c>
      <c r="AR332" s="48" t="str">
        <f>IFERROR(INDEX(_TECH_Crisis_Model!$E$5:$E$191,MATCH('Crisis Simulator'!$B$4&amp;"|"&amp;$C332,_TECH_Crisis_Model!$I$5:$I$191,0)),"")</f>
        <v>ERP, CRM, HRMS, MES and SaaS continuity determine transaction and process continuity.</v>
      </c>
      <c r="AS332" s="48" t="str">
        <f>IFERROR(INDEX(_TECH_Crisis_Model!$G$5:$G$191,MATCH('Crisis Simulator'!$B$4&amp;"|"&amp;$C332,_TECH_Crisis_Model!$I$5:$I$191,0)),"")</f>
        <v>Document system dependencies, SaaS continuity, role access, data exports and manual fallback.</v>
      </c>
      <c r="AT332" s="48" t="str">
        <f>IFERROR(INDEX(_TECH_Initiative_Library!$A$5:$A$76,MATCH(1,INDEX((_TECH_Initiative_Library!$B$5:$B$76=$C332)*(_TECH_Initiative_Library!$C$5:$C$76=$D332),0),0)),"")</f>
        <v>INI-057</v>
      </c>
      <c r="AU332" s="48" t="str">
        <f>IFERROR(INDEX(_TECH_Initiative_Library!$F$5:$F$76,MATCH(1,INDEX((_TECH_Initiative_Library!$B$5:$B$76=$C332)*(_TECH_Initiative_Library!$C$5:$C$76=$D332),0),0)),"")</f>
        <v>Implement business-system governance and lifecycle control</v>
      </c>
      <c r="AV332" s="48" t="str">
        <f ca="1">IFERROR(INDEX(_TECH_Initiative_Library!$AC$5:$AC$76,MATCH(1,INDEX((_TECH_Initiative_Library!$B$5:$B$76=$C332)*(_TECH_Initiative_Library!$C$5:$C$76=$D332),0),0)),"")</f>
        <v/>
      </c>
      <c r="AW332" s="48" t="str">
        <f ca="1">IFERROR(INDEX(_TECH_Initiative_Library!$AE$5:$AE$76,MATCH(1,INDEX((_TECH_Initiative_Library!$B$5:$B$76=$C332)*(_TECH_Initiative_Library!$C$5:$C$76=$D332),0),0)),"")</f>
        <v/>
      </c>
      <c r="AX332" s="48" t="str">
        <f>IF($B332="Yes",IFERROR(SUMIFS(_TECH_Industry_Templates!$E:$E,_TECH_Industry_Templates!$A:$A,'Company Profile'!$B$9,_TECH_Industry_Templates!$B:$B,$C332),1),"")</f>
        <v/>
      </c>
      <c r="AY332" s="48" t="str">
        <f t="shared" si="87"/>
        <v/>
      </c>
      <c r="AZ332" s="48" t="str">
        <f t="shared" si="88"/>
        <v/>
      </c>
      <c r="BA332" s="48" t="str">
        <f>IF($AZ332="","",RANK.EQ($AZ332,$AZ$8:$AZ$414,0)+COUNTIF($AZ$8:$AZ332,$AZ332)-1)</f>
        <v/>
      </c>
    </row>
    <row r="333" spans="1:53" ht="69.95" customHeight="1">
      <c r="A333" s="36" t="str">
        <f>IF($AZ333="","",RANK.EQ($AZ333,$AZ$8:$AZ$414,0)+COUNTIF($AZ$8:$AZ333,$AZ333)-1)</f>
        <v/>
      </c>
      <c r="B333" s="36" t="str">
        <f t="shared" si="75"/>
        <v/>
      </c>
      <c r="C333" s="36" t="s">
        <v>91</v>
      </c>
      <c r="D333" s="36" t="s">
        <v>1527</v>
      </c>
      <c r="E333" s="36" t="s">
        <v>5182</v>
      </c>
      <c r="F333" s="36" t="s">
        <v>1494</v>
      </c>
      <c r="G333" s="36" t="str">
        <f>IF($H333="","",IFERROR(INDEX('Risk Library'!$H$5:$M$411,MATCH($E333,'Risk Library'!$A$5:$A$411,0),$H333+1),""))</f>
        <v/>
      </c>
      <c r="H333" s="37" t="str">
        <f>IF(OR(COUNTA('Business Systems'!$H$27)=0,'Business Systems'!$H$27="N/A"),"",VALUE('Business Systems'!$H$27))</f>
        <v/>
      </c>
      <c r="I333" s="36" t="str">
        <f>IF($H333="","",IFERROR(IF('Business Systems'!$L$27="",IF($H333&lt;=1,"Critical",IF($H333=2,"High",IF($H333=3,"Medium",IF($H333=4,"Low","Resilient")))),'Business Systems'!$L$27),IF($H333&lt;=1,"Critical",IF($H333=2,"High",IF($H333=3,"Medium",IF($H333=4,"Low","Resilient"))))))</f>
        <v/>
      </c>
      <c r="J333" s="37" t="str">
        <f t="shared" si="76"/>
        <v/>
      </c>
      <c r="K333" s="37" t="str">
        <f t="shared" si="77"/>
        <v/>
      </c>
      <c r="L333" s="37" t="str">
        <f t="shared" si="78"/>
        <v/>
      </c>
      <c r="M333" s="37" t="str">
        <f t="shared" si="79"/>
        <v/>
      </c>
      <c r="N333" s="37" t="str">
        <f>IF($H333="","",IFERROR(INDEX('Risk Library'!$T$5:$Y$411,MATCH($E333,'Risk Library'!$A$5:$A$411,0),$H333+1),""))</f>
        <v/>
      </c>
      <c r="O333" s="37" t="str">
        <f t="shared" si="80"/>
        <v/>
      </c>
      <c r="P333" s="37" t="str">
        <f t="shared" si="81"/>
        <v/>
      </c>
      <c r="Q333" s="37" t="str">
        <f t="shared" si="82"/>
        <v/>
      </c>
      <c r="R333" s="37" t="str">
        <f t="shared" si="83"/>
        <v/>
      </c>
      <c r="S333" s="38" t="str">
        <f t="shared" si="84"/>
        <v/>
      </c>
      <c r="T333" s="36" t="str">
        <f>IF($H333="","",IFERROR(INDEX('Risk Library'!$N$5:$S$411,MATCH($E333,'Risk Library'!$A$5:$A$411,0),$H333+1),""))</f>
        <v/>
      </c>
      <c r="U333" s="37">
        <f>IFERROR('Business Systems'!$G$27,"")</f>
        <v>5</v>
      </c>
      <c r="V333" s="37">
        <f>IFERROR('Business Systems'!$W$27,"")</f>
        <v>5</v>
      </c>
      <c r="W333" s="37">
        <f>IFERROR('Business Systems'!$X$27,"")</f>
        <v>5</v>
      </c>
      <c r="X333" s="37">
        <f>IFERROR('Business Systems'!$Y$27,"")</f>
        <v>5</v>
      </c>
      <c r="Y333" s="36" t="s">
        <v>4969</v>
      </c>
      <c r="Z333" s="36" t="s">
        <v>4970</v>
      </c>
      <c r="AA333" s="36" t="s">
        <v>5184</v>
      </c>
      <c r="AB333" s="36">
        <f>IFERROR('Business Systems'!$U$27,"")</f>
        <v>0</v>
      </c>
      <c r="AC333" s="36"/>
      <c r="AD333" s="36"/>
      <c r="AE333" s="36"/>
      <c r="AF333" s="36" t="s">
        <v>5183</v>
      </c>
      <c r="AO333" s="48" t="str">
        <f>IF($B333="Yes",IFERROR(SUMIFS(_TECH_Crisis_Model!$D$5:$D$191,_TECH_Crisis_Model!$A$5:$A$191,'Crisis Simulator'!$B$4,_TECH_Crisis_Model!$B$5:$B$191,$C333),1),"")</f>
        <v/>
      </c>
      <c r="AP333" s="48" t="str">
        <f t="shared" si="85"/>
        <v/>
      </c>
      <c r="AQ333" s="48" t="str">
        <f t="shared" si="86"/>
        <v/>
      </c>
      <c r="AR333" s="48" t="str">
        <f>IFERROR(INDEX(_TECH_Crisis_Model!$E$5:$E$191,MATCH('Crisis Simulator'!$B$4&amp;"|"&amp;$C333,_TECH_Crisis_Model!$I$5:$I$191,0)),"")</f>
        <v>ERP, CRM, HRMS, MES and SaaS continuity determine transaction and process continuity.</v>
      </c>
      <c r="AS333" s="48" t="str">
        <f>IFERROR(INDEX(_TECH_Crisis_Model!$G$5:$G$191,MATCH('Crisis Simulator'!$B$4&amp;"|"&amp;$C333,_TECH_Crisis_Model!$I$5:$I$191,0)),"")</f>
        <v>Document system dependencies, SaaS continuity, role access, data exports and manual fallback.</v>
      </c>
      <c r="AT333" s="48" t="str">
        <f>IFERROR(INDEX(_TECH_Initiative_Library!$A$5:$A$76,MATCH(1,INDEX((_TECH_Initiative_Library!$B$5:$B$76=$C333)*(_TECH_Initiative_Library!$C$5:$C$76=$D333),0),0)),"")</f>
        <v>INI-057</v>
      </c>
      <c r="AU333" s="48" t="str">
        <f>IFERROR(INDEX(_TECH_Initiative_Library!$F$5:$F$76,MATCH(1,INDEX((_TECH_Initiative_Library!$B$5:$B$76=$C333)*(_TECH_Initiative_Library!$C$5:$C$76=$D333),0),0)),"")</f>
        <v>Implement business-system governance and lifecycle control</v>
      </c>
      <c r="AV333" s="48" t="str">
        <f ca="1">IFERROR(INDEX(_TECH_Initiative_Library!$AC$5:$AC$76,MATCH(1,INDEX((_TECH_Initiative_Library!$B$5:$B$76=$C333)*(_TECH_Initiative_Library!$C$5:$C$76=$D333),0),0)),"")</f>
        <v/>
      </c>
      <c r="AW333" s="48" t="str">
        <f ca="1">IFERROR(INDEX(_TECH_Initiative_Library!$AE$5:$AE$76,MATCH(1,INDEX((_TECH_Initiative_Library!$B$5:$B$76=$C333)*(_TECH_Initiative_Library!$C$5:$C$76=$D333),0),0)),"")</f>
        <v/>
      </c>
      <c r="AX333" s="48" t="str">
        <f>IF($B333="Yes",IFERROR(SUMIFS(_TECH_Industry_Templates!$E:$E,_TECH_Industry_Templates!$A:$A,'Company Profile'!$B$9,_TECH_Industry_Templates!$B:$B,$C333),1),"")</f>
        <v/>
      </c>
      <c r="AY333" s="48" t="str">
        <f t="shared" si="87"/>
        <v/>
      </c>
      <c r="AZ333" s="48" t="str">
        <f t="shared" si="88"/>
        <v/>
      </c>
      <c r="BA333" s="48" t="str">
        <f>IF($AZ333="","",RANK.EQ($AZ333,$AZ$8:$AZ$414,0)+COUNTIF($AZ$8:$AZ333,$AZ333)-1)</f>
        <v/>
      </c>
    </row>
    <row r="334" spans="1:53" ht="69.95" customHeight="1">
      <c r="A334" s="36" t="str">
        <f>IF($AZ334="","",RANK.EQ($AZ334,$AZ$8:$AZ$414,0)+COUNTIF($AZ$8:$AZ334,$AZ334)-1)</f>
        <v/>
      </c>
      <c r="B334" s="36" t="str">
        <f t="shared" si="75"/>
        <v/>
      </c>
      <c r="C334" s="36" t="s">
        <v>92</v>
      </c>
      <c r="D334" s="36" t="s">
        <v>1535</v>
      </c>
      <c r="E334" s="36" t="s">
        <v>5194</v>
      </c>
      <c r="F334" s="36" t="s">
        <v>1540</v>
      </c>
      <c r="G334" s="36" t="str">
        <f>IF($H334="","",IFERROR(INDEX('Risk Library'!$H$5:$M$411,MATCH($E334,'Risk Library'!$A$5:$A$411,0),$H334+1),""))</f>
        <v/>
      </c>
      <c r="H334" s="37" t="str">
        <f>IF(OR(COUNTA('Data BI AI'!$H$5)=0,'Data BI AI'!$H$5="N/A"),"",VALUE('Data BI AI'!$H$5))</f>
        <v/>
      </c>
      <c r="I334" s="36" t="str">
        <f>IF($H334="","",IFERROR(IF('Data BI AI'!$L$5="",IF($H334&lt;=1,"Critical",IF($H334=2,"High",IF($H334=3,"Medium",IF($H334=4,"Low","Resilient")))),'Data BI AI'!$L$5),IF($H334&lt;=1,"Critical",IF($H334=2,"High",IF($H334=3,"Medium",IF($H334=4,"Low","Resilient"))))))</f>
        <v/>
      </c>
      <c r="J334" s="37" t="str">
        <f t="shared" si="76"/>
        <v/>
      </c>
      <c r="K334" s="37" t="str">
        <f t="shared" si="77"/>
        <v/>
      </c>
      <c r="L334" s="37" t="str">
        <f t="shared" si="78"/>
        <v/>
      </c>
      <c r="M334" s="37" t="str">
        <f t="shared" si="79"/>
        <v/>
      </c>
      <c r="N334" s="37" t="str">
        <f>IF($H334="","",IFERROR(INDEX('Risk Library'!$T$5:$Y$411,MATCH($E334,'Risk Library'!$A$5:$A$411,0),$H334+1),""))</f>
        <v/>
      </c>
      <c r="O334" s="37" t="str">
        <f t="shared" si="80"/>
        <v/>
      </c>
      <c r="P334" s="37" t="str">
        <f t="shared" si="81"/>
        <v/>
      </c>
      <c r="Q334" s="37" t="str">
        <f t="shared" si="82"/>
        <v/>
      </c>
      <c r="R334" s="37" t="str">
        <f t="shared" si="83"/>
        <v/>
      </c>
      <c r="S334" s="38" t="str">
        <f t="shared" si="84"/>
        <v/>
      </c>
      <c r="T334" s="36" t="str">
        <f>IF($H334="","",IFERROR(INDEX('Risk Library'!$N$5:$S$411,MATCH($E334,'Risk Library'!$A$5:$A$411,0),$H334+1),""))</f>
        <v/>
      </c>
      <c r="U334" s="37">
        <f>IFERROR('Data BI AI'!$G$5,"")</f>
        <v>5</v>
      </c>
      <c r="V334" s="37">
        <f>IFERROR('Data BI AI'!$W$5,"")</f>
        <v>5</v>
      </c>
      <c r="W334" s="37">
        <f>IFERROR('Data BI AI'!$X$5,"")</f>
        <v>5</v>
      </c>
      <c r="X334" s="37">
        <f>IFERROR('Data BI AI'!$Y$5,"")</f>
        <v>5</v>
      </c>
      <c r="Y334" s="36" t="s">
        <v>5205</v>
      </c>
      <c r="Z334" s="36" t="s">
        <v>5206</v>
      </c>
      <c r="AA334" s="36" t="s">
        <v>5198</v>
      </c>
      <c r="AB334" s="36">
        <f>IFERROR('Data BI AI'!$U$5,"")</f>
        <v>0</v>
      </c>
      <c r="AC334" s="36"/>
      <c r="AD334" s="36"/>
      <c r="AE334" s="36"/>
      <c r="AF334" s="36" t="s">
        <v>5195</v>
      </c>
      <c r="AO334" s="48" t="str">
        <f>IF($B334="Yes",IFERROR(SUMIFS(_TECH_Crisis_Model!$D$5:$D$191,_TECH_Crisis_Model!$A$5:$A$191,'Crisis Simulator'!$B$4,_TECH_Crisis_Model!$B$5:$B$191,$C334),1),"")</f>
        <v/>
      </c>
      <c r="AP334" s="48" t="str">
        <f t="shared" si="85"/>
        <v/>
      </c>
      <c r="AQ334" s="48" t="str">
        <f t="shared" si="86"/>
        <v/>
      </c>
      <c r="AR334" s="48" t="str">
        <f>IFERROR(INDEX(_TECH_Crisis_Model!$E$5:$E$191,MATCH('Crisis Simulator'!$B$4&amp;"|"&amp;$C334,_TECH_Crisis_Model!$I$5:$I$191,0)),"")</f>
        <v>Data quality, BI and analytics determine decision visibility and forecasting under stress.</v>
      </c>
      <c r="AS334" s="48" t="str">
        <f>IFERROR(INDEX(_TECH_Crisis_Model!$G$5:$G$191,MATCH('Crisis Simulator'!$B$4&amp;"|"&amp;$C334,_TECH_Crisis_Model!$I$5:$I$191,0)),"")</f>
        <v>Assign data owners, improve data quality, dashboards, forecasting and AI governance.</v>
      </c>
      <c r="AT334" s="48" t="str">
        <f>IFERROR(INDEX(_TECH_Initiative_Library!$A$5:$A$76,MATCH(1,INDEX((_TECH_Initiative_Library!$B$5:$B$76=$C334)*(_TECH_Initiative_Library!$C$5:$C$76=$D334),0),0)),"")</f>
        <v>INI-058</v>
      </c>
      <c r="AU334" s="48" t="str">
        <f>IFERROR(INDEX(_TECH_Initiative_Library!$F$5:$F$76,MATCH(1,INDEX((_TECH_Initiative_Library!$B$5:$B$76=$C334)*(_TECH_Initiative_Library!$C$5:$C$76=$D334),0),0)),"")</f>
        <v>Implement data ownership, quality and governance framework</v>
      </c>
      <c r="AV334" s="48" t="str">
        <f ca="1">IFERROR(INDEX(_TECH_Initiative_Library!$AC$5:$AC$76,MATCH(1,INDEX((_TECH_Initiative_Library!$B$5:$B$76=$C334)*(_TECH_Initiative_Library!$C$5:$C$76=$D334),0),0)),"")</f>
        <v/>
      </c>
      <c r="AW334" s="48" t="str">
        <f ca="1">IFERROR(INDEX(_TECH_Initiative_Library!$AE$5:$AE$76,MATCH(1,INDEX((_TECH_Initiative_Library!$B$5:$B$76=$C334)*(_TECH_Initiative_Library!$C$5:$C$76=$D334),0),0)),"")</f>
        <v/>
      </c>
      <c r="AX334" s="48" t="str">
        <f>IF($B334="Yes",IFERROR(SUMIFS(_TECH_Industry_Templates!$E:$E,_TECH_Industry_Templates!$A:$A,'Company Profile'!$B$9,_TECH_Industry_Templates!$B:$B,$C334),1),"")</f>
        <v/>
      </c>
      <c r="AY334" s="48" t="str">
        <f t="shared" si="87"/>
        <v/>
      </c>
      <c r="AZ334" s="48" t="str">
        <f t="shared" si="88"/>
        <v/>
      </c>
      <c r="BA334" s="48" t="str">
        <f>IF($AZ334="","",RANK.EQ($AZ334,$AZ$8:$AZ$414,0)+COUNTIF($AZ$8:$AZ334,$AZ334)-1)</f>
        <v/>
      </c>
    </row>
    <row r="335" spans="1:53" ht="69.95" customHeight="1">
      <c r="A335" s="36" t="str">
        <f>IF($AZ335="","",RANK.EQ($AZ335,$AZ$8:$AZ$414,0)+COUNTIF($AZ$8:$AZ335,$AZ335)-1)</f>
        <v/>
      </c>
      <c r="B335" s="36" t="str">
        <f t="shared" si="75"/>
        <v/>
      </c>
      <c r="C335" s="36" t="s">
        <v>92</v>
      </c>
      <c r="D335" s="36" t="s">
        <v>1535</v>
      </c>
      <c r="E335" s="36" t="s">
        <v>5208</v>
      </c>
      <c r="F335" s="36" t="s">
        <v>1540</v>
      </c>
      <c r="G335" s="36" t="str">
        <f>IF($H335="","",IFERROR(INDEX('Risk Library'!$H$5:$M$411,MATCH($E335,'Risk Library'!$A$5:$A$411,0),$H335+1),""))</f>
        <v/>
      </c>
      <c r="H335" s="37" t="str">
        <f>IF(OR(COUNTA('Data BI AI'!$H$6)=0,'Data BI AI'!$H$6="N/A"),"",VALUE('Data BI AI'!$H$6))</f>
        <v/>
      </c>
      <c r="I335" s="36" t="str">
        <f>IF($H335="","",IFERROR(IF('Data BI AI'!$L$6="",IF($H335&lt;=1,"Critical",IF($H335=2,"High",IF($H335=3,"Medium",IF($H335=4,"Low","Resilient")))),'Data BI AI'!$L$6),IF($H335&lt;=1,"Critical",IF($H335=2,"High",IF($H335=3,"Medium",IF($H335=4,"Low","Resilient"))))))</f>
        <v/>
      </c>
      <c r="J335" s="37" t="str">
        <f t="shared" si="76"/>
        <v/>
      </c>
      <c r="K335" s="37" t="str">
        <f t="shared" si="77"/>
        <v/>
      </c>
      <c r="L335" s="37" t="str">
        <f t="shared" si="78"/>
        <v/>
      </c>
      <c r="M335" s="37" t="str">
        <f t="shared" si="79"/>
        <v/>
      </c>
      <c r="N335" s="37" t="str">
        <f>IF($H335="","",IFERROR(INDEX('Risk Library'!$T$5:$Y$411,MATCH($E335,'Risk Library'!$A$5:$A$411,0),$H335+1),""))</f>
        <v/>
      </c>
      <c r="O335" s="37" t="str">
        <f t="shared" si="80"/>
        <v/>
      </c>
      <c r="P335" s="37" t="str">
        <f t="shared" si="81"/>
        <v/>
      </c>
      <c r="Q335" s="37" t="str">
        <f t="shared" si="82"/>
        <v/>
      </c>
      <c r="R335" s="37" t="str">
        <f t="shared" si="83"/>
        <v/>
      </c>
      <c r="S335" s="38" t="str">
        <f t="shared" si="84"/>
        <v/>
      </c>
      <c r="T335" s="36" t="str">
        <f>IF($H335="","",IFERROR(INDEX('Risk Library'!$N$5:$S$411,MATCH($E335,'Risk Library'!$A$5:$A$411,0),$H335+1),""))</f>
        <v/>
      </c>
      <c r="U335" s="37">
        <f>IFERROR('Data BI AI'!$G$6,"")</f>
        <v>5</v>
      </c>
      <c r="V335" s="37">
        <f>IFERROR('Data BI AI'!$W$6,"")</f>
        <v>5</v>
      </c>
      <c r="W335" s="37">
        <f>IFERROR('Data BI AI'!$X$6,"")</f>
        <v>5</v>
      </c>
      <c r="X335" s="37">
        <f>IFERROR('Data BI AI'!$Y$6,"")</f>
        <v>5</v>
      </c>
      <c r="Y335" s="36" t="s">
        <v>5205</v>
      </c>
      <c r="Z335" s="36" t="s">
        <v>5206</v>
      </c>
      <c r="AA335" s="36" t="s">
        <v>5210</v>
      </c>
      <c r="AB335" s="36">
        <f>IFERROR('Data BI AI'!$U$6,"")</f>
        <v>0</v>
      </c>
      <c r="AC335" s="36"/>
      <c r="AD335" s="36"/>
      <c r="AE335" s="36"/>
      <c r="AF335" s="36" t="s">
        <v>5209</v>
      </c>
      <c r="AO335" s="48" t="str">
        <f>IF($B335="Yes",IFERROR(SUMIFS(_TECH_Crisis_Model!$D$5:$D$191,_TECH_Crisis_Model!$A$5:$A$191,'Crisis Simulator'!$B$4,_TECH_Crisis_Model!$B$5:$B$191,$C335),1),"")</f>
        <v/>
      </c>
      <c r="AP335" s="48" t="str">
        <f t="shared" si="85"/>
        <v/>
      </c>
      <c r="AQ335" s="48" t="str">
        <f t="shared" si="86"/>
        <v/>
      </c>
      <c r="AR335" s="48" t="str">
        <f>IFERROR(INDEX(_TECH_Crisis_Model!$E$5:$E$191,MATCH('Crisis Simulator'!$B$4&amp;"|"&amp;$C335,_TECH_Crisis_Model!$I$5:$I$191,0)),"")</f>
        <v>Data quality, BI and analytics determine decision visibility and forecasting under stress.</v>
      </c>
      <c r="AS335" s="48" t="str">
        <f>IFERROR(INDEX(_TECH_Crisis_Model!$G$5:$G$191,MATCH('Crisis Simulator'!$B$4&amp;"|"&amp;$C335,_TECH_Crisis_Model!$I$5:$I$191,0)),"")</f>
        <v>Assign data owners, improve data quality, dashboards, forecasting and AI governance.</v>
      </c>
      <c r="AT335" s="48" t="str">
        <f>IFERROR(INDEX(_TECH_Initiative_Library!$A$5:$A$76,MATCH(1,INDEX((_TECH_Initiative_Library!$B$5:$B$76=$C335)*(_TECH_Initiative_Library!$C$5:$C$76=$D335),0),0)),"")</f>
        <v>INI-058</v>
      </c>
      <c r="AU335" s="48" t="str">
        <f>IFERROR(INDEX(_TECH_Initiative_Library!$F$5:$F$76,MATCH(1,INDEX((_TECH_Initiative_Library!$B$5:$B$76=$C335)*(_TECH_Initiative_Library!$C$5:$C$76=$D335),0),0)),"")</f>
        <v>Implement data ownership, quality and governance framework</v>
      </c>
      <c r="AV335" s="48" t="str">
        <f ca="1">IFERROR(INDEX(_TECH_Initiative_Library!$AC$5:$AC$76,MATCH(1,INDEX((_TECH_Initiative_Library!$B$5:$B$76=$C335)*(_TECH_Initiative_Library!$C$5:$C$76=$D335),0),0)),"")</f>
        <v/>
      </c>
      <c r="AW335" s="48" t="str">
        <f ca="1">IFERROR(INDEX(_TECH_Initiative_Library!$AE$5:$AE$76,MATCH(1,INDEX((_TECH_Initiative_Library!$B$5:$B$76=$C335)*(_TECH_Initiative_Library!$C$5:$C$76=$D335),0),0)),"")</f>
        <v/>
      </c>
      <c r="AX335" s="48" t="str">
        <f>IF($B335="Yes",IFERROR(SUMIFS(_TECH_Industry_Templates!$E:$E,_TECH_Industry_Templates!$A:$A,'Company Profile'!$B$9,_TECH_Industry_Templates!$B:$B,$C335),1),"")</f>
        <v/>
      </c>
      <c r="AY335" s="48" t="str">
        <f t="shared" si="87"/>
        <v/>
      </c>
      <c r="AZ335" s="48" t="str">
        <f t="shared" si="88"/>
        <v/>
      </c>
      <c r="BA335" s="48" t="str">
        <f>IF($AZ335="","",RANK.EQ($AZ335,$AZ$8:$AZ$414,0)+COUNTIF($AZ$8:$AZ335,$AZ335)-1)</f>
        <v/>
      </c>
    </row>
    <row r="336" spans="1:53" ht="69.95" customHeight="1">
      <c r="A336" s="36" t="str">
        <f>IF($AZ336="","",RANK.EQ($AZ336,$AZ$8:$AZ$414,0)+COUNTIF($AZ$8:$AZ336,$AZ336)-1)</f>
        <v/>
      </c>
      <c r="B336" s="36" t="str">
        <f t="shared" si="75"/>
        <v/>
      </c>
      <c r="C336" s="36" t="s">
        <v>92</v>
      </c>
      <c r="D336" s="36" t="s">
        <v>1535</v>
      </c>
      <c r="E336" s="36" t="s">
        <v>5218</v>
      </c>
      <c r="F336" s="36" t="s">
        <v>1540</v>
      </c>
      <c r="G336" s="36" t="str">
        <f>IF($H336="","",IFERROR(INDEX('Risk Library'!$H$5:$M$411,MATCH($E336,'Risk Library'!$A$5:$A$411,0),$H336+1),""))</f>
        <v/>
      </c>
      <c r="H336" s="37" t="str">
        <f>IF(OR(COUNTA('Data BI AI'!$H$7)=0,'Data BI AI'!$H$7="N/A"),"",VALUE('Data BI AI'!$H$7))</f>
        <v/>
      </c>
      <c r="I336" s="36" t="str">
        <f>IF($H336="","",IFERROR(IF('Data BI AI'!$L$7="",IF($H336&lt;=1,"Critical",IF($H336=2,"High",IF($H336=3,"Medium",IF($H336=4,"Low","Resilient")))),'Data BI AI'!$L$7),IF($H336&lt;=1,"Critical",IF($H336=2,"High",IF($H336=3,"Medium",IF($H336=4,"Low","Resilient"))))))</f>
        <v/>
      </c>
      <c r="J336" s="37" t="str">
        <f t="shared" si="76"/>
        <v/>
      </c>
      <c r="K336" s="37" t="str">
        <f t="shared" si="77"/>
        <v/>
      </c>
      <c r="L336" s="37" t="str">
        <f t="shared" si="78"/>
        <v/>
      </c>
      <c r="M336" s="37" t="str">
        <f t="shared" si="79"/>
        <v/>
      </c>
      <c r="N336" s="37" t="str">
        <f>IF($H336="","",IFERROR(INDEX('Risk Library'!$T$5:$Y$411,MATCH($E336,'Risk Library'!$A$5:$A$411,0),$H336+1),""))</f>
        <v/>
      </c>
      <c r="O336" s="37" t="str">
        <f t="shared" si="80"/>
        <v/>
      </c>
      <c r="P336" s="37" t="str">
        <f t="shared" si="81"/>
        <v/>
      </c>
      <c r="Q336" s="37" t="str">
        <f t="shared" si="82"/>
        <v/>
      </c>
      <c r="R336" s="37" t="str">
        <f t="shared" si="83"/>
        <v/>
      </c>
      <c r="S336" s="38" t="str">
        <f t="shared" si="84"/>
        <v/>
      </c>
      <c r="T336" s="36" t="str">
        <f>IF($H336="","",IFERROR(INDEX('Risk Library'!$N$5:$S$411,MATCH($E336,'Risk Library'!$A$5:$A$411,0),$H336+1),""))</f>
        <v/>
      </c>
      <c r="U336" s="37">
        <f>IFERROR('Data BI AI'!$G$7,"")</f>
        <v>3</v>
      </c>
      <c r="V336" s="37">
        <f>IFERROR('Data BI AI'!$W$7,"")</f>
        <v>5</v>
      </c>
      <c r="W336" s="37">
        <f>IFERROR('Data BI AI'!$X$7,"")</f>
        <v>5</v>
      </c>
      <c r="X336" s="37">
        <f>IFERROR('Data BI AI'!$Y$7,"")</f>
        <v>5</v>
      </c>
      <c r="Y336" s="36" t="s">
        <v>5205</v>
      </c>
      <c r="Z336" s="36" t="s">
        <v>5206</v>
      </c>
      <c r="AA336" s="36" t="s">
        <v>5220</v>
      </c>
      <c r="AB336" s="36">
        <f>IFERROR('Data BI AI'!$U$7,"")</f>
        <v>0</v>
      </c>
      <c r="AC336" s="36"/>
      <c r="AD336" s="36"/>
      <c r="AE336" s="36"/>
      <c r="AF336" s="36" t="s">
        <v>5219</v>
      </c>
      <c r="AO336" s="48" t="str">
        <f>IF($B336="Yes",IFERROR(SUMIFS(_TECH_Crisis_Model!$D$5:$D$191,_TECH_Crisis_Model!$A$5:$A$191,'Crisis Simulator'!$B$4,_TECH_Crisis_Model!$B$5:$B$191,$C336),1),"")</f>
        <v/>
      </c>
      <c r="AP336" s="48" t="str">
        <f t="shared" si="85"/>
        <v/>
      </c>
      <c r="AQ336" s="48" t="str">
        <f t="shared" si="86"/>
        <v/>
      </c>
      <c r="AR336" s="48" t="str">
        <f>IFERROR(INDEX(_TECH_Crisis_Model!$E$5:$E$191,MATCH('Crisis Simulator'!$B$4&amp;"|"&amp;$C336,_TECH_Crisis_Model!$I$5:$I$191,0)),"")</f>
        <v>Data quality, BI and analytics determine decision visibility and forecasting under stress.</v>
      </c>
      <c r="AS336" s="48" t="str">
        <f>IFERROR(INDEX(_TECH_Crisis_Model!$G$5:$G$191,MATCH('Crisis Simulator'!$B$4&amp;"|"&amp;$C336,_TECH_Crisis_Model!$I$5:$I$191,0)),"")</f>
        <v>Assign data owners, improve data quality, dashboards, forecasting and AI governance.</v>
      </c>
      <c r="AT336" s="48" t="str">
        <f>IFERROR(INDEX(_TECH_Initiative_Library!$A$5:$A$76,MATCH(1,INDEX((_TECH_Initiative_Library!$B$5:$B$76=$C336)*(_TECH_Initiative_Library!$C$5:$C$76=$D336),0),0)),"")</f>
        <v>INI-058</v>
      </c>
      <c r="AU336" s="48" t="str">
        <f>IFERROR(INDEX(_TECH_Initiative_Library!$F$5:$F$76,MATCH(1,INDEX((_TECH_Initiative_Library!$B$5:$B$76=$C336)*(_TECH_Initiative_Library!$C$5:$C$76=$D336),0),0)),"")</f>
        <v>Implement data ownership, quality and governance framework</v>
      </c>
      <c r="AV336" s="48" t="str">
        <f ca="1">IFERROR(INDEX(_TECH_Initiative_Library!$AC$5:$AC$76,MATCH(1,INDEX((_TECH_Initiative_Library!$B$5:$B$76=$C336)*(_TECH_Initiative_Library!$C$5:$C$76=$D336),0),0)),"")</f>
        <v/>
      </c>
      <c r="AW336" s="48" t="str">
        <f ca="1">IFERROR(INDEX(_TECH_Initiative_Library!$AE$5:$AE$76,MATCH(1,INDEX((_TECH_Initiative_Library!$B$5:$B$76=$C336)*(_TECH_Initiative_Library!$C$5:$C$76=$D336),0),0)),"")</f>
        <v/>
      </c>
      <c r="AX336" s="48" t="str">
        <f>IF($B336="Yes",IFERROR(SUMIFS(_TECH_Industry_Templates!$E:$E,_TECH_Industry_Templates!$A:$A,'Company Profile'!$B$9,_TECH_Industry_Templates!$B:$B,$C336),1),"")</f>
        <v/>
      </c>
      <c r="AY336" s="48" t="str">
        <f t="shared" si="87"/>
        <v/>
      </c>
      <c r="AZ336" s="48" t="str">
        <f t="shared" si="88"/>
        <v/>
      </c>
      <c r="BA336" s="48" t="str">
        <f>IF($AZ336="","",RANK.EQ($AZ336,$AZ$8:$AZ$414,0)+COUNTIF($AZ$8:$AZ336,$AZ336)-1)</f>
        <v/>
      </c>
    </row>
    <row r="337" spans="1:53" ht="69.95" customHeight="1">
      <c r="A337" s="36" t="str">
        <f>IF($AZ337="","",RANK.EQ($AZ337,$AZ$8:$AZ$414,0)+COUNTIF($AZ$8:$AZ337,$AZ337)-1)</f>
        <v/>
      </c>
      <c r="B337" s="36" t="str">
        <f t="shared" si="75"/>
        <v/>
      </c>
      <c r="C337" s="36" t="s">
        <v>92</v>
      </c>
      <c r="D337" s="36" t="s">
        <v>1535</v>
      </c>
      <c r="E337" s="36" t="s">
        <v>5228</v>
      </c>
      <c r="F337" s="36" t="s">
        <v>1540</v>
      </c>
      <c r="G337" s="36" t="str">
        <f>IF($H337="","",IFERROR(INDEX('Risk Library'!$H$5:$M$411,MATCH($E337,'Risk Library'!$A$5:$A$411,0),$H337+1),""))</f>
        <v/>
      </c>
      <c r="H337" s="37" t="str">
        <f>IF(OR(COUNTA('Data BI AI'!$H$8)=0,'Data BI AI'!$H$8="N/A"),"",VALUE('Data BI AI'!$H$8))</f>
        <v/>
      </c>
      <c r="I337" s="36" t="str">
        <f>IF($H337="","",IFERROR(IF('Data BI AI'!$L$8="",IF($H337&lt;=1,"Critical",IF($H337=2,"High",IF($H337=3,"Medium",IF($H337=4,"Low","Resilient")))),'Data BI AI'!$L$8),IF($H337&lt;=1,"Critical",IF($H337=2,"High",IF($H337=3,"Medium",IF($H337=4,"Low","Resilient"))))))</f>
        <v/>
      </c>
      <c r="J337" s="37" t="str">
        <f t="shared" si="76"/>
        <v/>
      </c>
      <c r="K337" s="37" t="str">
        <f t="shared" si="77"/>
        <v/>
      </c>
      <c r="L337" s="37" t="str">
        <f t="shared" si="78"/>
        <v/>
      </c>
      <c r="M337" s="37" t="str">
        <f t="shared" si="79"/>
        <v/>
      </c>
      <c r="N337" s="37" t="str">
        <f>IF($H337="","",IFERROR(INDEX('Risk Library'!$T$5:$Y$411,MATCH($E337,'Risk Library'!$A$5:$A$411,0),$H337+1),""))</f>
        <v/>
      </c>
      <c r="O337" s="37" t="str">
        <f t="shared" si="80"/>
        <v/>
      </c>
      <c r="P337" s="37" t="str">
        <f t="shared" si="81"/>
        <v/>
      </c>
      <c r="Q337" s="37" t="str">
        <f t="shared" si="82"/>
        <v/>
      </c>
      <c r="R337" s="37" t="str">
        <f t="shared" si="83"/>
        <v/>
      </c>
      <c r="S337" s="38" t="str">
        <f t="shared" si="84"/>
        <v/>
      </c>
      <c r="T337" s="36" t="str">
        <f>IF($H337="","",IFERROR(INDEX('Risk Library'!$N$5:$S$411,MATCH($E337,'Risk Library'!$A$5:$A$411,0),$H337+1),""))</f>
        <v/>
      </c>
      <c r="U337" s="37">
        <f>IFERROR('Data BI AI'!$G$8,"")</f>
        <v>4</v>
      </c>
      <c r="V337" s="37">
        <f>IFERROR('Data BI AI'!$W$8,"")</f>
        <v>5</v>
      </c>
      <c r="W337" s="37">
        <f>IFERROR('Data BI AI'!$X$8,"")</f>
        <v>5</v>
      </c>
      <c r="X337" s="37">
        <f>IFERROR('Data BI AI'!$Y$8,"")</f>
        <v>5</v>
      </c>
      <c r="Y337" s="36" t="s">
        <v>5205</v>
      </c>
      <c r="Z337" s="36" t="s">
        <v>5206</v>
      </c>
      <c r="AA337" s="36" t="s">
        <v>5230</v>
      </c>
      <c r="AB337" s="36">
        <f>IFERROR('Data BI AI'!$U$8,"")</f>
        <v>0</v>
      </c>
      <c r="AC337" s="36"/>
      <c r="AD337" s="36"/>
      <c r="AE337" s="36"/>
      <c r="AF337" s="36" t="s">
        <v>5229</v>
      </c>
      <c r="AO337" s="48" t="str">
        <f>IF($B337="Yes",IFERROR(SUMIFS(_TECH_Crisis_Model!$D$5:$D$191,_TECH_Crisis_Model!$A$5:$A$191,'Crisis Simulator'!$B$4,_TECH_Crisis_Model!$B$5:$B$191,$C337),1),"")</f>
        <v/>
      </c>
      <c r="AP337" s="48" t="str">
        <f t="shared" si="85"/>
        <v/>
      </c>
      <c r="AQ337" s="48" t="str">
        <f t="shared" si="86"/>
        <v/>
      </c>
      <c r="AR337" s="48" t="str">
        <f>IFERROR(INDEX(_TECH_Crisis_Model!$E$5:$E$191,MATCH('Crisis Simulator'!$B$4&amp;"|"&amp;$C337,_TECH_Crisis_Model!$I$5:$I$191,0)),"")</f>
        <v>Data quality, BI and analytics determine decision visibility and forecasting under stress.</v>
      </c>
      <c r="AS337" s="48" t="str">
        <f>IFERROR(INDEX(_TECH_Crisis_Model!$G$5:$G$191,MATCH('Crisis Simulator'!$B$4&amp;"|"&amp;$C337,_TECH_Crisis_Model!$I$5:$I$191,0)),"")</f>
        <v>Assign data owners, improve data quality, dashboards, forecasting and AI governance.</v>
      </c>
      <c r="AT337" s="48" t="str">
        <f>IFERROR(INDEX(_TECH_Initiative_Library!$A$5:$A$76,MATCH(1,INDEX((_TECH_Initiative_Library!$B$5:$B$76=$C337)*(_TECH_Initiative_Library!$C$5:$C$76=$D337),0),0)),"")</f>
        <v>INI-058</v>
      </c>
      <c r="AU337" s="48" t="str">
        <f>IFERROR(INDEX(_TECH_Initiative_Library!$F$5:$F$76,MATCH(1,INDEX((_TECH_Initiative_Library!$B$5:$B$76=$C337)*(_TECH_Initiative_Library!$C$5:$C$76=$D337),0),0)),"")</f>
        <v>Implement data ownership, quality and governance framework</v>
      </c>
      <c r="AV337" s="48" t="str">
        <f ca="1">IFERROR(INDEX(_TECH_Initiative_Library!$AC$5:$AC$76,MATCH(1,INDEX((_TECH_Initiative_Library!$B$5:$B$76=$C337)*(_TECH_Initiative_Library!$C$5:$C$76=$D337),0),0)),"")</f>
        <v/>
      </c>
      <c r="AW337" s="48" t="str">
        <f ca="1">IFERROR(INDEX(_TECH_Initiative_Library!$AE$5:$AE$76,MATCH(1,INDEX((_TECH_Initiative_Library!$B$5:$B$76=$C337)*(_TECH_Initiative_Library!$C$5:$C$76=$D337),0),0)),"")</f>
        <v/>
      </c>
      <c r="AX337" s="48" t="str">
        <f>IF($B337="Yes",IFERROR(SUMIFS(_TECH_Industry_Templates!$E:$E,_TECH_Industry_Templates!$A:$A,'Company Profile'!$B$9,_TECH_Industry_Templates!$B:$B,$C337),1),"")</f>
        <v/>
      </c>
      <c r="AY337" s="48" t="str">
        <f t="shared" si="87"/>
        <v/>
      </c>
      <c r="AZ337" s="48" t="str">
        <f t="shared" si="88"/>
        <v/>
      </c>
      <c r="BA337" s="48" t="str">
        <f>IF($AZ337="","",RANK.EQ($AZ337,$AZ$8:$AZ$414,0)+COUNTIF($AZ$8:$AZ337,$AZ337)-1)</f>
        <v/>
      </c>
    </row>
    <row r="338" spans="1:53" ht="69.95" customHeight="1">
      <c r="A338" s="36" t="str">
        <f>IF($AZ338="","",RANK.EQ($AZ338,$AZ$8:$AZ$414,0)+COUNTIF($AZ$8:$AZ338,$AZ338)-1)</f>
        <v/>
      </c>
      <c r="B338" s="36" t="str">
        <f t="shared" si="75"/>
        <v/>
      </c>
      <c r="C338" s="36" t="s">
        <v>92</v>
      </c>
      <c r="D338" s="36" t="s">
        <v>1535</v>
      </c>
      <c r="E338" s="36" t="s">
        <v>5238</v>
      </c>
      <c r="F338" s="36" t="s">
        <v>1540</v>
      </c>
      <c r="G338" s="36" t="str">
        <f>IF($H338="","",IFERROR(INDEX('Risk Library'!$H$5:$M$411,MATCH($E338,'Risk Library'!$A$5:$A$411,0),$H338+1),""))</f>
        <v/>
      </c>
      <c r="H338" s="37" t="str">
        <f>IF(OR(COUNTA('Data BI AI'!$H$9)=0,'Data BI AI'!$H$9="N/A"),"",VALUE('Data BI AI'!$H$9))</f>
        <v/>
      </c>
      <c r="I338" s="36" t="str">
        <f>IF($H338="","",IFERROR(IF('Data BI AI'!$L$9="",IF($H338&lt;=1,"Critical",IF($H338=2,"High",IF($H338=3,"Medium",IF($H338=4,"Low","Resilient")))),'Data BI AI'!$L$9),IF($H338&lt;=1,"Critical",IF($H338=2,"High",IF($H338=3,"Medium",IF($H338=4,"Low","Resilient"))))))</f>
        <v/>
      </c>
      <c r="J338" s="37" t="str">
        <f t="shared" si="76"/>
        <v/>
      </c>
      <c r="K338" s="37" t="str">
        <f t="shared" si="77"/>
        <v/>
      </c>
      <c r="L338" s="37" t="str">
        <f t="shared" si="78"/>
        <v/>
      </c>
      <c r="M338" s="37" t="str">
        <f t="shared" si="79"/>
        <v/>
      </c>
      <c r="N338" s="37" t="str">
        <f>IF($H338="","",IFERROR(INDEX('Risk Library'!$T$5:$Y$411,MATCH($E338,'Risk Library'!$A$5:$A$411,0),$H338+1),""))</f>
        <v/>
      </c>
      <c r="O338" s="37" t="str">
        <f t="shared" si="80"/>
        <v/>
      </c>
      <c r="P338" s="37" t="str">
        <f t="shared" si="81"/>
        <v/>
      </c>
      <c r="Q338" s="37" t="str">
        <f t="shared" si="82"/>
        <v/>
      </c>
      <c r="R338" s="37" t="str">
        <f t="shared" si="83"/>
        <v/>
      </c>
      <c r="S338" s="38" t="str">
        <f t="shared" si="84"/>
        <v/>
      </c>
      <c r="T338" s="36" t="str">
        <f>IF($H338="","",IFERROR(INDEX('Risk Library'!$N$5:$S$411,MATCH($E338,'Risk Library'!$A$5:$A$411,0),$H338+1),""))</f>
        <v/>
      </c>
      <c r="U338" s="37">
        <f>IFERROR('Data BI AI'!$G$9,"")</f>
        <v>5</v>
      </c>
      <c r="V338" s="37">
        <f>IFERROR('Data BI AI'!$W$9,"")</f>
        <v>5</v>
      </c>
      <c r="W338" s="37">
        <f>IFERROR('Data BI AI'!$X$9,"")</f>
        <v>5</v>
      </c>
      <c r="X338" s="37">
        <f>IFERROR('Data BI AI'!$Y$9,"")</f>
        <v>5</v>
      </c>
      <c r="Y338" s="36" t="s">
        <v>5205</v>
      </c>
      <c r="Z338" s="36" t="s">
        <v>5206</v>
      </c>
      <c r="AA338" s="36" t="s">
        <v>5240</v>
      </c>
      <c r="AB338" s="36">
        <f>IFERROR('Data BI AI'!$U$9,"")</f>
        <v>0</v>
      </c>
      <c r="AC338" s="36"/>
      <c r="AD338" s="36"/>
      <c r="AE338" s="36"/>
      <c r="AF338" s="36" t="s">
        <v>5239</v>
      </c>
      <c r="AO338" s="48" t="str">
        <f>IF($B338="Yes",IFERROR(SUMIFS(_TECH_Crisis_Model!$D$5:$D$191,_TECH_Crisis_Model!$A$5:$A$191,'Crisis Simulator'!$B$4,_TECH_Crisis_Model!$B$5:$B$191,$C338),1),"")</f>
        <v/>
      </c>
      <c r="AP338" s="48" t="str">
        <f t="shared" si="85"/>
        <v/>
      </c>
      <c r="AQ338" s="48" t="str">
        <f t="shared" si="86"/>
        <v/>
      </c>
      <c r="AR338" s="48" t="str">
        <f>IFERROR(INDEX(_TECH_Crisis_Model!$E$5:$E$191,MATCH('Crisis Simulator'!$B$4&amp;"|"&amp;$C338,_TECH_Crisis_Model!$I$5:$I$191,0)),"")</f>
        <v>Data quality, BI and analytics determine decision visibility and forecasting under stress.</v>
      </c>
      <c r="AS338" s="48" t="str">
        <f>IFERROR(INDEX(_TECH_Crisis_Model!$G$5:$G$191,MATCH('Crisis Simulator'!$B$4&amp;"|"&amp;$C338,_TECH_Crisis_Model!$I$5:$I$191,0)),"")</f>
        <v>Assign data owners, improve data quality, dashboards, forecasting and AI governance.</v>
      </c>
      <c r="AT338" s="48" t="str">
        <f>IFERROR(INDEX(_TECH_Initiative_Library!$A$5:$A$76,MATCH(1,INDEX((_TECH_Initiative_Library!$B$5:$B$76=$C338)*(_TECH_Initiative_Library!$C$5:$C$76=$D338),0),0)),"")</f>
        <v>INI-058</v>
      </c>
      <c r="AU338" s="48" t="str">
        <f>IFERROR(INDEX(_TECH_Initiative_Library!$F$5:$F$76,MATCH(1,INDEX((_TECH_Initiative_Library!$B$5:$B$76=$C338)*(_TECH_Initiative_Library!$C$5:$C$76=$D338),0),0)),"")</f>
        <v>Implement data ownership, quality and governance framework</v>
      </c>
      <c r="AV338" s="48" t="str">
        <f ca="1">IFERROR(INDEX(_TECH_Initiative_Library!$AC$5:$AC$76,MATCH(1,INDEX((_TECH_Initiative_Library!$B$5:$B$76=$C338)*(_TECH_Initiative_Library!$C$5:$C$76=$D338),0),0)),"")</f>
        <v/>
      </c>
      <c r="AW338" s="48" t="str">
        <f ca="1">IFERROR(INDEX(_TECH_Initiative_Library!$AE$5:$AE$76,MATCH(1,INDEX((_TECH_Initiative_Library!$B$5:$B$76=$C338)*(_TECH_Initiative_Library!$C$5:$C$76=$D338),0),0)),"")</f>
        <v/>
      </c>
      <c r="AX338" s="48" t="str">
        <f>IF($B338="Yes",IFERROR(SUMIFS(_TECH_Industry_Templates!$E:$E,_TECH_Industry_Templates!$A:$A,'Company Profile'!$B$9,_TECH_Industry_Templates!$B:$B,$C338),1),"")</f>
        <v/>
      </c>
      <c r="AY338" s="48" t="str">
        <f t="shared" si="87"/>
        <v/>
      </c>
      <c r="AZ338" s="48" t="str">
        <f t="shared" si="88"/>
        <v/>
      </c>
      <c r="BA338" s="48" t="str">
        <f>IF($AZ338="","",RANK.EQ($AZ338,$AZ$8:$AZ$414,0)+COUNTIF($AZ$8:$AZ338,$AZ338)-1)</f>
        <v/>
      </c>
    </row>
    <row r="339" spans="1:53" ht="69.95" customHeight="1">
      <c r="A339" s="36" t="str">
        <f>IF($AZ339="","",RANK.EQ($AZ339,$AZ$8:$AZ$414,0)+COUNTIF($AZ$8:$AZ339,$AZ339)-1)</f>
        <v/>
      </c>
      <c r="B339" s="36" t="str">
        <f t="shared" si="75"/>
        <v/>
      </c>
      <c r="C339" s="36" t="s">
        <v>92</v>
      </c>
      <c r="D339" s="36" t="s">
        <v>1535</v>
      </c>
      <c r="E339" s="36" t="s">
        <v>5248</v>
      </c>
      <c r="F339" s="36" t="s">
        <v>1540</v>
      </c>
      <c r="G339" s="36" t="str">
        <f>IF($H339="","",IFERROR(INDEX('Risk Library'!$H$5:$M$411,MATCH($E339,'Risk Library'!$A$5:$A$411,0),$H339+1),""))</f>
        <v/>
      </c>
      <c r="H339" s="37" t="str">
        <f>IF(OR(COUNTA('Data BI AI'!$H$10)=0,'Data BI AI'!$H$10="N/A"),"",VALUE('Data BI AI'!$H$10))</f>
        <v/>
      </c>
      <c r="I339" s="36" t="str">
        <f>IF($H339="","",IFERROR(IF('Data BI AI'!$L$10="",IF($H339&lt;=1,"Critical",IF($H339=2,"High",IF($H339=3,"Medium",IF($H339=4,"Low","Resilient")))),'Data BI AI'!$L$10),IF($H339&lt;=1,"Critical",IF($H339=2,"High",IF($H339=3,"Medium",IF($H339=4,"Low","Resilient"))))))</f>
        <v/>
      </c>
      <c r="J339" s="37" t="str">
        <f t="shared" si="76"/>
        <v/>
      </c>
      <c r="K339" s="37" t="str">
        <f t="shared" si="77"/>
        <v/>
      </c>
      <c r="L339" s="37" t="str">
        <f t="shared" si="78"/>
        <v/>
      </c>
      <c r="M339" s="37" t="str">
        <f t="shared" si="79"/>
        <v/>
      </c>
      <c r="N339" s="37" t="str">
        <f>IF($H339="","",IFERROR(INDEX('Risk Library'!$T$5:$Y$411,MATCH($E339,'Risk Library'!$A$5:$A$411,0),$H339+1),""))</f>
        <v/>
      </c>
      <c r="O339" s="37" t="str">
        <f t="shared" si="80"/>
        <v/>
      </c>
      <c r="P339" s="37" t="str">
        <f t="shared" si="81"/>
        <v/>
      </c>
      <c r="Q339" s="37" t="str">
        <f t="shared" si="82"/>
        <v/>
      </c>
      <c r="R339" s="37" t="str">
        <f t="shared" si="83"/>
        <v/>
      </c>
      <c r="S339" s="38" t="str">
        <f t="shared" si="84"/>
        <v/>
      </c>
      <c r="T339" s="36" t="str">
        <f>IF($H339="","",IFERROR(INDEX('Risk Library'!$N$5:$S$411,MATCH($E339,'Risk Library'!$A$5:$A$411,0),$H339+1),""))</f>
        <v/>
      </c>
      <c r="U339" s="37">
        <f>IFERROR('Data BI AI'!$G$10,"")</f>
        <v>4</v>
      </c>
      <c r="V339" s="37">
        <f>IFERROR('Data BI AI'!$W$10,"")</f>
        <v>5</v>
      </c>
      <c r="W339" s="37">
        <f>IFERROR('Data BI AI'!$X$10,"")</f>
        <v>5</v>
      </c>
      <c r="X339" s="37">
        <f>IFERROR('Data BI AI'!$Y$10,"")</f>
        <v>5</v>
      </c>
      <c r="Y339" s="36" t="s">
        <v>5205</v>
      </c>
      <c r="Z339" s="36" t="s">
        <v>5206</v>
      </c>
      <c r="AA339" s="36" t="s">
        <v>5250</v>
      </c>
      <c r="AB339" s="36">
        <f>IFERROR('Data BI AI'!$U$10,"")</f>
        <v>0</v>
      </c>
      <c r="AC339" s="36"/>
      <c r="AD339" s="36"/>
      <c r="AE339" s="36"/>
      <c r="AF339" s="36" t="s">
        <v>5249</v>
      </c>
      <c r="AO339" s="48" t="str">
        <f>IF($B339="Yes",IFERROR(SUMIFS(_TECH_Crisis_Model!$D$5:$D$191,_TECH_Crisis_Model!$A$5:$A$191,'Crisis Simulator'!$B$4,_TECH_Crisis_Model!$B$5:$B$191,$C339),1),"")</f>
        <v/>
      </c>
      <c r="AP339" s="48" t="str">
        <f t="shared" si="85"/>
        <v/>
      </c>
      <c r="AQ339" s="48" t="str">
        <f t="shared" si="86"/>
        <v/>
      </c>
      <c r="AR339" s="48" t="str">
        <f>IFERROR(INDEX(_TECH_Crisis_Model!$E$5:$E$191,MATCH('Crisis Simulator'!$B$4&amp;"|"&amp;$C339,_TECH_Crisis_Model!$I$5:$I$191,0)),"")</f>
        <v>Data quality, BI and analytics determine decision visibility and forecasting under stress.</v>
      </c>
      <c r="AS339" s="48" t="str">
        <f>IFERROR(INDEX(_TECH_Crisis_Model!$G$5:$G$191,MATCH('Crisis Simulator'!$B$4&amp;"|"&amp;$C339,_TECH_Crisis_Model!$I$5:$I$191,0)),"")</f>
        <v>Assign data owners, improve data quality, dashboards, forecasting and AI governance.</v>
      </c>
      <c r="AT339" s="48" t="str">
        <f>IFERROR(INDEX(_TECH_Initiative_Library!$A$5:$A$76,MATCH(1,INDEX((_TECH_Initiative_Library!$B$5:$B$76=$C339)*(_TECH_Initiative_Library!$C$5:$C$76=$D339),0),0)),"")</f>
        <v>INI-058</v>
      </c>
      <c r="AU339" s="48" t="str">
        <f>IFERROR(INDEX(_TECH_Initiative_Library!$F$5:$F$76,MATCH(1,INDEX((_TECH_Initiative_Library!$B$5:$B$76=$C339)*(_TECH_Initiative_Library!$C$5:$C$76=$D339),0),0)),"")</f>
        <v>Implement data ownership, quality and governance framework</v>
      </c>
      <c r="AV339" s="48" t="str">
        <f ca="1">IFERROR(INDEX(_TECH_Initiative_Library!$AC$5:$AC$76,MATCH(1,INDEX((_TECH_Initiative_Library!$B$5:$B$76=$C339)*(_TECH_Initiative_Library!$C$5:$C$76=$D339),0),0)),"")</f>
        <v/>
      </c>
      <c r="AW339" s="48" t="str">
        <f ca="1">IFERROR(INDEX(_TECH_Initiative_Library!$AE$5:$AE$76,MATCH(1,INDEX((_TECH_Initiative_Library!$B$5:$B$76=$C339)*(_TECH_Initiative_Library!$C$5:$C$76=$D339),0),0)),"")</f>
        <v/>
      </c>
      <c r="AX339" s="48" t="str">
        <f>IF($B339="Yes",IFERROR(SUMIFS(_TECH_Industry_Templates!$E:$E,_TECH_Industry_Templates!$A:$A,'Company Profile'!$B$9,_TECH_Industry_Templates!$B:$B,$C339),1),"")</f>
        <v/>
      </c>
      <c r="AY339" s="48" t="str">
        <f t="shared" si="87"/>
        <v/>
      </c>
      <c r="AZ339" s="48" t="str">
        <f t="shared" si="88"/>
        <v/>
      </c>
      <c r="BA339" s="48" t="str">
        <f>IF($AZ339="","",RANK.EQ($AZ339,$AZ$8:$AZ$414,0)+COUNTIF($AZ$8:$AZ339,$AZ339)-1)</f>
        <v/>
      </c>
    </row>
    <row r="340" spans="1:53" ht="69.95" customHeight="1">
      <c r="A340" s="36" t="str">
        <f>IF($AZ340="","",RANK.EQ($AZ340,$AZ$8:$AZ$414,0)+COUNTIF($AZ$8:$AZ340,$AZ340)-1)</f>
        <v/>
      </c>
      <c r="B340" s="36" t="str">
        <f t="shared" si="75"/>
        <v/>
      </c>
      <c r="C340" s="36" t="s">
        <v>92</v>
      </c>
      <c r="D340" s="36" t="s">
        <v>1549</v>
      </c>
      <c r="E340" s="36" t="s">
        <v>5258</v>
      </c>
      <c r="F340" s="36" t="s">
        <v>1540</v>
      </c>
      <c r="G340" s="36" t="str">
        <f>IF($H340="","",IFERROR(INDEX('Risk Library'!$H$5:$M$411,MATCH($E340,'Risk Library'!$A$5:$A$411,0),$H340+1),""))</f>
        <v/>
      </c>
      <c r="H340" s="37" t="str">
        <f>IF(OR(COUNTA('Data BI AI'!$H$11)=0,'Data BI AI'!$H$11="N/A"),"",VALUE('Data BI AI'!$H$11))</f>
        <v/>
      </c>
      <c r="I340" s="36" t="str">
        <f>IF($H340="","",IFERROR(IF('Data BI AI'!$L$11="",IF($H340&lt;=1,"Critical",IF($H340=2,"High",IF($H340=3,"Medium",IF($H340=4,"Low","Resilient")))),'Data BI AI'!$L$11),IF($H340&lt;=1,"Critical",IF($H340=2,"High",IF($H340=3,"Medium",IF($H340=4,"Low","Resilient"))))))</f>
        <v/>
      </c>
      <c r="J340" s="37" t="str">
        <f t="shared" si="76"/>
        <v/>
      </c>
      <c r="K340" s="37" t="str">
        <f t="shared" si="77"/>
        <v/>
      </c>
      <c r="L340" s="37" t="str">
        <f t="shared" si="78"/>
        <v/>
      </c>
      <c r="M340" s="37" t="str">
        <f t="shared" si="79"/>
        <v/>
      </c>
      <c r="N340" s="37" t="str">
        <f>IF($H340="","",IFERROR(INDEX('Risk Library'!$T$5:$Y$411,MATCH($E340,'Risk Library'!$A$5:$A$411,0),$H340+1),""))</f>
        <v/>
      </c>
      <c r="O340" s="37" t="str">
        <f t="shared" si="80"/>
        <v/>
      </c>
      <c r="P340" s="37" t="str">
        <f t="shared" si="81"/>
        <v/>
      </c>
      <c r="Q340" s="37" t="str">
        <f t="shared" si="82"/>
        <v/>
      </c>
      <c r="R340" s="37" t="str">
        <f t="shared" si="83"/>
        <v/>
      </c>
      <c r="S340" s="38" t="str">
        <f t="shared" si="84"/>
        <v/>
      </c>
      <c r="T340" s="36" t="str">
        <f>IF($H340="","",IFERROR(INDEX('Risk Library'!$N$5:$S$411,MATCH($E340,'Risk Library'!$A$5:$A$411,0),$H340+1),""))</f>
        <v/>
      </c>
      <c r="U340" s="37">
        <f>IFERROR('Data BI AI'!$G$11,"")</f>
        <v>4</v>
      </c>
      <c r="V340" s="37">
        <f>IFERROR('Data BI AI'!$W$11,"")</f>
        <v>5</v>
      </c>
      <c r="W340" s="37">
        <f>IFERROR('Data BI AI'!$X$11,"")</f>
        <v>5</v>
      </c>
      <c r="X340" s="37">
        <f>IFERROR('Data BI AI'!$Y$11,"")</f>
        <v>5</v>
      </c>
      <c r="Y340" s="36" t="s">
        <v>5205</v>
      </c>
      <c r="Z340" s="36" t="s">
        <v>5206</v>
      </c>
      <c r="AA340" s="36" t="s">
        <v>5260</v>
      </c>
      <c r="AB340" s="36">
        <f>IFERROR('Data BI AI'!$U$11,"")</f>
        <v>0</v>
      </c>
      <c r="AC340" s="36"/>
      <c r="AD340" s="36"/>
      <c r="AE340" s="36"/>
      <c r="AF340" s="36" t="s">
        <v>5259</v>
      </c>
      <c r="AO340" s="48" t="str">
        <f>IF($B340="Yes",IFERROR(SUMIFS(_TECH_Crisis_Model!$D$5:$D$191,_TECH_Crisis_Model!$A$5:$A$191,'Crisis Simulator'!$B$4,_TECH_Crisis_Model!$B$5:$B$191,$C340),1),"")</f>
        <v/>
      </c>
      <c r="AP340" s="48" t="str">
        <f t="shared" si="85"/>
        <v/>
      </c>
      <c r="AQ340" s="48" t="str">
        <f t="shared" si="86"/>
        <v/>
      </c>
      <c r="AR340" s="48" t="str">
        <f>IFERROR(INDEX(_TECH_Crisis_Model!$E$5:$E$191,MATCH('Crisis Simulator'!$B$4&amp;"|"&amp;$C340,_TECH_Crisis_Model!$I$5:$I$191,0)),"")</f>
        <v>Data quality, BI and analytics determine decision visibility and forecasting under stress.</v>
      </c>
      <c r="AS340" s="48" t="str">
        <f>IFERROR(INDEX(_TECH_Crisis_Model!$G$5:$G$191,MATCH('Crisis Simulator'!$B$4&amp;"|"&amp;$C340,_TECH_Crisis_Model!$I$5:$I$191,0)),"")</f>
        <v>Assign data owners, improve data quality, dashboards, forecasting and AI governance.</v>
      </c>
      <c r="AT340" s="48" t="str">
        <f>IFERROR(INDEX(_TECH_Initiative_Library!$A$5:$A$76,MATCH(1,INDEX((_TECH_Initiative_Library!$B$5:$B$76=$C340)*(_TECH_Initiative_Library!$C$5:$C$76=$D340),0),0)),"")</f>
        <v>INI-059</v>
      </c>
      <c r="AU340" s="48" t="str">
        <f>IFERROR(INDEX(_TECH_Initiative_Library!$F$5:$F$76,MATCH(1,INDEX((_TECH_Initiative_Library!$B$5:$B$76=$C340)*(_TECH_Initiative_Library!$C$5:$C$76=$D340),0),0)),"")</f>
        <v>Build resilient data architecture, integration and storage foundation</v>
      </c>
      <c r="AV340" s="48" t="str">
        <f ca="1">IFERROR(INDEX(_TECH_Initiative_Library!$AC$5:$AC$76,MATCH(1,INDEX((_TECH_Initiative_Library!$B$5:$B$76=$C340)*(_TECH_Initiative_Library!$C$5:$C$76=$D340),0),0)),"")</f>
        <v/>
      </c>
      <c r="AW340" s="48" t="str">
        <f ca="1">IFERROR(INDEX(_TECH_Initiative_Library!$AE$5:$AE$76,MATCH(1,INDEX((_TECH_Initiative_Library!$B$5:$B$76=$C340)*(_TECH_Initiative_Library!$C$5:$C$76=$D340),0),0)),"")</f>
        <v/>
      </c>
      <c r="AX340" s="48" t="str">
        <f>IF($B340="Yes",IFERROR(SUMIFS(_TECH_Industry_Templates!$E:$E,_TECH_Industry_Templates!$A:$A,'Company Profile'!$B$9,_TECH_Industry_Templates!$B:$B,$C340),1),"")</f>
        <v/>
      </c>
      <c r="AY340" s="48" t="str">
        <f t="shared" si="87"/>
        <v/>
      </c>
      <c r="AZ340" s="48" t="str">
        <f t="shared" si="88"/>
        <v/>
      </c>
      <c r="BA340" s="48" t="str">
        <f>IF($AZ340="","",RANK.EQ($AZ340,$AZ$8:$AZ$414,0)+COUNTIF($AZ$8:$AZ340,$AZ340)-1)</f>
        <v/>
      </c>
    </row>
    <row r="341" spans="1:53" ht="69.95" customHeight="1">
      <c r="A341" s="36" t="str">
        <f>IF($AZ341="","",RANK.EQ($AZ341,$AZ$8:$AZ$414,0)+COUNTIF($AZ$8:$AZ341,$AZ341)-1)</f>
        <v/>
      </c>
      <c r="B341" s="36" t="str">
        <f t="shared" si="75"/>
        <v/>
      </c>
      <c r="C341" s="36" t="s">
        <v>92</v>
      </c>
      <c r="D341" s="36" t="s">
        <v>1549</v>
      </c>
      <c r="E341" s="36" t="s">
        <v>5268</v>
      </c>
      <c r="F341" s="36" t="s">
        <v>1540</v>
      </c>
      <c r="G341" s="36" t="str">
        <f>IF($H341="","",IFERROR(INDEX('Risk Library'!$H$5:$M$411,MATCH($E341,'Risk Library'!$A$5:$A$411,0),$H341+1),""))</f>
        <v/>
      </c>
      <c r="H341" s="37" t="str">
        <f>IF(OR(COUNTA('Data BI AI'!$H$12)=0,'Data BI AI'!$H$12="N/A"),"",VALUE('Data BI AI'!$H$12))</f>
        <v/>
      </c>
      <c r="I341" s="36" t="str">
        <f>IF($H341="","",IFERROR(IF('Data BI AI'!$L$12="",IF($H341&lt;=1,"Critical",IF($H341=2,"High",IF($H341=3,"Medium",IF($H341=4,"Low","Resilient")))),'Data BI AI'!$L$12),IF($H341&lt;=1,"Critical",IF($H341=2,"High",IF($H341=3,"Medium",IF($H341=4,"Low","Resilient"))))))</f>
        <v/>
      </c>
      <c r="J341" s="37" t="str">
        <f t="shared" si="76"/>
        <v/>
      </c>
      <c r="K341" s="37" t="str">
        <f t="shared" si="77"/>
        <v/>
      </c>
      <c r="L341" s="37" t="str">
        <f t="shared" si="78"/>
        <v/>
      </c>
      <c r="M341" s="37" t="str">
        <f t="shared" si="79"/>
        <v/>
      </c>
      <c r="N341" s="37" t="str">
        <f>IF($H341="","",IFERROR(INDEX('Risk Library'!$T$5:$Y$411,MATCH($E341,'Risk Library'!$A$5:$A$411,0),$H341+1),""))</f>
        <v/>
      </c>
      <c r="O341" s="37" t="str">
        <f t="shared" si="80"/>
        <v/>
      </c>
      <c r="P341" s="37" t="str">
        <f t="shared" si="81"/>
        <v/>
      </c>
      <c r="Q341" s="37" t="str">
        <f t="shared" si="82"/>
        <v/>
      </c>
      <c r="R341" s="37" t="str">
        <f t="shared" si="83"/>
        <v/>
      </c>
      <c r="S341" s="38" t="str">
        <f t="shared" si="84"/>
        <v/>
      </c>
      <c r="T341" s="36" t="str">
        <f>IF($H341="","",IFERROR(INDEX('Risk Library'!$N$5:$S$411,MATCH($E341,'Risk Library'!$A$5:$A$411,0),$H341+1),""))</f>
        <v/>
      </c>
      <c r="U341" s="37">
        <f>IFERROR('Data BI AI'!$G$12,"")</f>
        <v>3</v>
      </c>
      <c r="V341" s="37">
        <f>IFERROR('Data BI AI'!$W$12,"")</f>
        <v>5</v>
      </c>
      <c r="W341" s="37">
        <f>IFERROR('Data BI AI'!$X$12,"")</f>
        <v>5</v>
      </c>
      <c r="X341" s="37">
        <f>IFERROR('Data BI AI'!$Y$12,"")</f>
        <v>5</v>
      </c>
      <c r="Y341" s="36" t="s">
        <v>5205</v>
      </c>
      <c r="Z341" s="36" t="s">
        <v>5206</v>
      </c>
      <c r="AA341" s="36" t="s">
        <v>5270</v>
      </c>
      <c r="AB341" s="36">
        <f>IFERROR('Data BI AI'!$U$12,"")</f>
        <v>0</v>
      </c>
      <c r="AC341" s="36"/>
      <c r="AD341" s="36"/>
      <c r="AE341" s="36"/>
      <c r="AF341" s="36" t="s">
        <v>5269</v>
      </c>
      <c r="AO341" s="48" t="str">
        <f>IF($B341="Yes",IFERROR(SUMIFS(_TECH_Crisis_Model!$D$5:$D$191,_TECH_Crisis_Model!$A$5:$A$191,'Crisis Simulator'!$B$4,_TECH_Crisis_Model!$B$5:$B$191,$C341),1),"")</f>
        <v/>
      </c>
      <c r="AP341" s="48" t="str">
        <f t="shared" si="85"/>
        <v/>
      </c>
      <c r="AQ341" s="48" t="str">
        <f t="shared" si="86"/>
        <v/>
      </c>
      <c r="AR341" s="48" t="str">
        <f>IFERROR(INDEX(_TECH_Crisis_Model!$E$5:$E$191,MATCH('Crisis Simulator'!$B$4&amp;"|"&amp;$C341,_TECH_Crisis_Model!$I$5:$I$191,0)),"")</f>
        <v>Data quality, BI and analytics determine decision visibility and forecasting under stress.</v>
      </c>
      <c r="AS341" s="48" t="str">
        <f>IFERROR(INDEX(_TECH_Crisis_Model!$G$5:$G$191,MATCH('Crisis Simulator'!$B$4&amp;"|"&amp;$C341,_TECH_Crisis_Model!$I$5:$I$191,0)),"")</f>
        <v>Assign data owners, improve data quality, dashboards, forecasting and AI governance.</v>
      </c>
      <c r="AT341" s="48" t="str">
        <f>IFERROR(INDEX(_TECH_Initiative_Library!$A$5:$A$76,MATCH(1,INDEX((_TECH_Initiative_Library!$B$5:$B$76=$C341)*(_TECH_Initiative_Library!$C$5:$C$76=$D341),0),0)),"")</f>
        <v>INI-059</v>
      </c>
      <c r="AU341" s="48" t="str">
        <f>IFERROR(INDEX(_TECH_Initiative_Library!$F$5:$F$76,MATCH(1,INDEX((_TECH_Initiative_Library!$B$5:$B$76=$C341)*(_TECH_Initiative_Library!$C$5:$C$76=$D341),0),0)),"")</f>
        <v>Build resilient data architecture, integration and storage foundation</v>
      </c>
      <c r="AV341" s="48" t="str">
        <f ca="1">IFERROR(INDEX(_TECH_Initiative_Library!$AC$5:$AC$76,MATCH(1,INDEX((_TECH_Initiative_Library!$B$5:$B$76=$C341)*(_TECH_Initiative_Library!$C$5:$C$76=$D341),0),0)),"")</f>
        <v/>
      </c>
      <c r="AW341" s="48" t="str">
        <f ca="1">IFERROR(INDEX(_TECH_Initiative_Library!$AE$5:$AE$76,MATCH(1,INDEX((_TECH_Initiative_Library!$B$5:$B$76=$C341)*(_TECH_Initiative_Library!$C$5:$C$76=$D341),0),0)),"")</f>
        <v/>
      </c>
      <c r="AX341" s="48" t="str">
        <f>IF($B341="Yes",IFERROR(SUMIFS(_TECH_Industry_Templates!$E:$E,_TECH_Industry_Templates!$A:$A,'Company Profile'!$B$9,_TECH_Industry_Templates!$B:$B,$C341),1),"")</f>
        <v/>
      </c>
      <c r="AY341" s="48" t="str">
        <f t="shared" si="87"/>
        <v/>
      </c>
      <c r="AZ341" s="48" t="str">
        <f t="shared" si="88"/>
        <v/>
      </c>
      <c r="BA341" s="48" t="str">
        <f>IF($AZ341="","",RANK.EQ($AZ341,$AZ$8:$AZ$414,0)+COUNTIF($AZ$8:$AZ341,$AZ341)-1)</f>
        <v/>
      </c>
    </row>
    <row r="342" spans="1:53" ht="69.95" customHeight="1">
      <c r="A342" s="36" t="str">
        <f>IF($AZ342="","",RANK.EQ($AZ342,$AZ$8:$AZ$414,0)+COUNTIF($AZ$8:$AZ342,$AZ342)-1)</f>
        <v/>
      </c>
      <c r="B342" s="36" t="str">
        <f t="shared" si="75"/>
        <v/>
      </c>
      <c r="C342" s="36" t="s">
        <v>92</v>
      </c>
      <c r="D342" s="36" t="s">
        <v>1549</v>
      </c>
      <c r="E342" s="36" t="s">
        <v>5278</v>
      </c>
      <c r="F342" s="36" t="s">
        <v>1540</v>
      </c>
      <c r="G342" s="36" t="str">
        <f>IF($H342="","",IFERROR(INDEX('Risk Library'!$H$5:$M$411,MATCH($E342,'Risk Library'!$A$5:$A$411,0),$H342+1),""))</f>
        <v/>
      </c>
      <c r="H342" s="37" t="str">
        <f>IF(OR(COUNTA('Data BI AI'!$H$13)=0,'Data BI AI'!$H$13="N/A"),"",VALUE('Data BI AI'!$H$13))</f>
        <v/>
      </c>
      <c r="I342" s="36" t="str">
        <f>IF($H342="","",IFERROR(IF('Data BI AI'!$L$13="",IF($H342&lt;=1,"Critical",IF($H342=2,"High",IF($H342=3,"Medium",IF($H342=4,"Low","Resilient")))),'Data BI AI'!$L$13),IF($H342&lt;=1,"Critical",IF($H342=2,"High",IF($H342=3,"Medium",IF($H342=4,"Low","Resilient"))))))</f>
        <v/>
      </c>
      <c r="J342" s="37" t="str">
        <f t="shared" si="76"/>
        <v/>
      </c>
      <c r="K342" s="37" t="str">
        <f t="shared" si="77"/>
        <v/>
      </c>
      <c r="L342" s="37" t="str">
        <f t="shared" si="78"/>
        <v/>
      </c>
      <c r="M342" s="37" t="str">
        <f t="shared" si="79"/>
        <v/>
      </c>
      <c r="N342" s="37" t="str">
        <f>IF($H342="","",IFERROR(INDEX('Risk Library'!$T$5:$Y$411,MATCH($E342,'Risk Library'!$A$5:$A$411,0),$H342+1),""))</f>
        <v/>
      </c>
      <c r="O342" s="37" t="str">
        <f t="shared" si="80"/>
        <v/>
      </c>
      <c r="P342" s="37" t="str">
        <f t="shared" si="81"/>
        <v/>
      </c>
      <c r="Q342" s="37" t="str">
        <f t="shared" si="82"/>
        <v/>
      </c>
      <c r="R342" s="37" t="str">
        <f t="shared" si="83"/>
        <v/>
      </c>
      <c r="S342" s="38" t="str">
        <f t="shared" si="84"/>
        <v/>
      </c>
      <c r="T342" s="36" t="str">
        <f>IF($H342="","",IFERROR(INDEX('Risk Library'!$N$5:$S$411,MATCH($E342,'Risk Library'!$A$5:$A$411,0),$H342+1),""))</f>
        <v/>
      </c>
      <c r="U342" s="37">
        <f>IFERROR('Data BI AI'!$G$13,"")</f>
        <v>5</v>
      </c>
      <c r="V342" s="37">
        <f>IFERROR('Data BI AI'!$W$13,"")</f>
        <v>5</v>
      </c>
      <c r="W342" s="37">
        <f>IFERROR('Data BI AI'!$X$13,"")</f>
        <v>5</v>
      </c>
      <c r="X342" s="37">
        <f>IFERROR('Data BI AI'!$Y$13,"")</f>
        <v>5</v>
      </c>
      <c r="Y342" s="36" t="s">
        <v>5205</v>
      </c>
      <c r="Z342" s="36" t="s">
        <v>5206</v>
      </c>
      <c r="AA342" s="36" t="s">
        <v>5280</v>
      </c>
      <c r="AB342" s="36">
        <f>IFERROR('Data BI AI'!$U$13,"")</f>
        <v>0</v>
      </c>
      <c r="AC342" s="36"/>
      <c r="AD342" s="36"/>
      <c r="AE342" s="36"/>
      <c r="AF342" s="36" t="s">
        <v>5279</v>
      </c>
      <c r="AO342" s="48" t="str">
        <f>IF($B342="Yes",IFERROR(SUMIFS(_TECH_Crisis_Model!$D$5:$D$191,_TECH_Crisis_Model!$A$5:$A$191,'Crisis Simulator'!$B$4,_TECH_Crisis_Model!$B$5:$B$191,$C342),1),"")</f>
        <v/>
      </c>
      <c r="AP342" s="48" t="str">
        <f t="shared" si="85"/>
        <v/>
      </c>
      <c r="AQ342" s="48" t="str">
        <f t="shared" si="86"/>
        <v/>
      </c>
      <c r="AR342" s="48" t="str">
        <f>IFERROR(INDEX(_TECH_Crisis_Model!$E$5:$E$191,MATCH('Crisis Simulator'!$B$4&amp;"|"&amp;$C342,_TECH_Crisis_Model!$I$5:$I$191,0)),"")</f>
        <v>Data quality, BI and analytics determine decision visibility and forecasting under stress.</v>
      </c>
      <c r="AS342" s="48" t="str">
        <f>IFERROR(INDEX(_TECH_Crisis_Model!$G$5:$G$191,MATCH('Crisis Simulator'!$B$4&amp;"|"&amp;$C342,_TECH_Crisis_Model!$I$5:$I$191,0)),"")</f>
        <v>Assign data owners, improve data quality, dashboards, forecasting and AI governance.</v>
      </c>
      <c r="AT342" s="48" t="str">
        <f>IFERROR(INDEX(_TECH_Initiative_Library!$A$5:$A$76,MATCH(1,INDEX((_TECH_Initiative_Library!$B$5:$B$76=$C342)*(_TECH_Initiative_Library!$C$5:$C$76=$D342),0),0)),"")</f>
        <v>INI-059</v>
      </c>
      <c r="AU342" s="48" t="str">
        <f>IFERROR(INDEX(_TECH_Initiative_Library!$F$5:$F$76,MATCH(1,INDEX((_TECH_Initiative_Library!$B$5:$B$76=$C342)*(_TECH_Initiative_Library!$C$5:$C$76=$D342),0),0)),"")</f>
        <v>Build resilient data architecture, integration and storage foundation</v>
      </c>
      <c r="AV342" s="48" t="str">
        <f ca="1">IFERROR(INDEX(_TECH_Initiative_Library!$AC$5:$AC$76,MATCH(1,INDEX((_TECH_Initiative_Library!$B$5:$B$76=$C342)*(_TECH_Initiative_Library!$C$5:$C$76=$D342),0),0)),"")</f>
        <v/>
      </c>
      <c r="AW342" s="48" t="str">
        <f ca="1">IFERROR(INDEX(_TECH_Initiative_Library!$AE$5:$AE$76,MATCH(1,INDEX((_TECH_Initiative_Library!$B$5:$B$76=$C342)*(_TECH_Initiative_Library!$C$5:$C$76=$D342),0),0)),"")</f>
        <v/>
      </c>
      <c r="AX342" s="48" t="str">
        <f>IF($B342="Yes",IFERROR(SUMIFS(_TECH_Industry_Templates!$E:$E,_TECH_Industry_Templates!$A:$A,'Company Profile'!$B$9,_TECH_Industry_Templates!$B:$B,$C342),1),"")</f>
        <v/>
      </c>
      <c r="AY342" s="48" t="str">
        <f t="shared" si="87"/>
        <v/>
      </c>
      <c r="AZ342" s="48" t="str">
        <f t="shared" si="88"/>
        <v/>
      </c>
      <c r="BA342" s="48" t="str">
        <f>IF($AZ342="","",RANK.EQ($AZ342,$AZ$8:$AZ$414,0)+COUNTIF($AZ$8:$AZ342,$AZ342)-1)</f>
        <v/>
      </c>
    </row>
    <row r="343" spans="1:53" ht="69.95" customHeight="1">
      <c r="A343" s="36" t="str">
        <f>IF($AZ343="","",RANK.EQ($AZ343,$AZ$8:$AZ$414,0)+COUNTIF($AZ$8:$AZ343,$AZ343)-1)</f>
        <v/>
      </c>
      <c r="B343" s="36" t="str">
        <f t="shared" si="75"/>
        <v/>
      </c>
      <c r="C343" s="36" t="s">
        <v>92</v>
      </c>
      <c r="D343" s="36" t="s">
        <v>1549</v>
      </c>
      <c r="E343" s="36" t="s">
        <v>5288</v>
      </c>
      <c r="F343" s="36" t="s">
        <v>1540</v>
      </c>
      <c r="G343" s="36" t="str">
        <f>IF($H343="","",IFERROR(INDEX('Risk Library'!$H$5:$M$411,MATCH($E343,'Risk Library'!$A$5:$A$411,0),$H343+1),""))</f>
        <v/>
      </c>
      <c r="H343" s="37" t="str">
        <f>IF(OR(COUNTA('Data BI AI'!$H$14)=0,'Data BI AI'!$H$14="N/A"),"",VALUE('Data BI AI'!$H$14))</f>
        <v/>
      </c>
      <c r="I343" s="36" t="str">
        <f>IF($H343="","",IFERROR(IF('Data BI AI'!$L$14="",IF($H343&lt;=1,"Critical",IF($H343=2,"High",IF($H343=3,"Medium",IF($H343=4,"Low","Resilient")))),'Data BI AI'!$L$14),IF($H343&lt;=1,"Critical",IF($H343=2,"High",IF($H343=3,"Medium",IF($H343=4,"Low","Resilient"))))))</f>
        <v/>
      </c>
      <c r="J343" s="37" t="str">
        <f t="shared" si="76"/>
        <v/>
      </c>
      <c r="K343" s="37" t="str">
        <f t="shared" si="77"/>
        <v/>
      </c>
      <c r="L343" s="37" t="str">
        <f t="shared" si="78"/>
        <v/>
      </c>
      <c r="M343" s="37" t="str">
        <f t="shared" si="79"/>
        <v/>
      </c>
      <c r="N343" s="37" t="str">
        <f>IF($H343="","",IFERROR(INDEX('Risk Library'!$T$5:$Y$411,MATCH($E343,'Risk Library'!$A$5:$A$411,0),$H343+1),""))</f>
        <v/>
      </c>
      <c r="O343" s="37" t="str">
        <f t="shared" si="80"/>
        <v/>
      </c>
      <c r="P343" s="37" t="str">
        <f t="shared" si="81"/>
        <v/>
      </c>
      <c r="Q343" s="37" t="str">
        <f t="shared" si="82"/>
        <v/>
      </c>
      <c r="R343" s="37" t="str">
        <f t="shared" si="83"/>
        <v/>
      </c>
      <c r="S343" s="38" t="str">
        <f t="shared" si="84"/>
        <v/>
      </c>
      <c r="T343" s="36" t="str">
        <f>IF($H343="","",IFERROR(INDEX('Risk Library'!$N$5:$S$411,MATCH($E343,'Risk Library'!$A$5:$A$411,0),$H343+1),""))</f>
        <v/>
      </c>
      <c r="U343" s="37">
        <f>IFERROR('Data BI AI'!$G$14,"")</f>
        <v>5</v>
      </c>
      <c r="V343" s="37">
        <f>IFERROR('Data BI AI'!$W$14,"")</f>
        <v>5</v>
      </c>
      <c r="W343" s="37">
        <f>IFERROR('Data BI AI'!$X$14,"")</f>
        <v>5</v>
      </c>
      <c r="X343" s="37">
        <f>IFERROR('Data BI AI'!$Y$14,"")</f>
        <v>5</v>
      </c>
      <c r="Y343" s="36" t="s">
        <v>5205</v>
      </c>
      <c r="Z343" s="36" t="s">
        <v>5206</v>
      </c>
      <c r="AA343" s="36" t="s">
        <v>5290</v>
      </c>
      <c r="AB343" s="36">
        <f>IFERROR('Data BI AI'!$U$14,"")</f>
        <v>0</v>
      </c>
      <c r="AC343" s="36"/>
      <c r="AD343" s="36"/>
      <c r="AE343" s="36"/>
      <c r="AF343" s="36" t="s">
        <v>5289</v>
      </c>
      <c r="AO343" s="48" t="str">
        <f>IF($B343="Yes",IFERROR(SUMIFS(_TECH_Crisis_Model!$D$5:$D$191,_TECH_Crisis_Model!$A$5:$A$191,'Crisis Simulator'!$B$4,_TECH_Crisis_Model!$B$5:$B$191,$C343),1),"")</f>
        <v/>
      </c>
      <c r="AP343" s="48" t="str">
        <f t="shared" si="85"/>
        <v/>
      </c>
      <c r="AQ343" s="48" t="str">
        <f t="shared" si="86"/>
        <v/>
      </c>
      <c r="AR343" s="48" t="str">
        <f>IFERROR(INDEX(_TECH_Crisis_Model!$E$5:$E$191,MATCH('Crisis Simulator'!$B$4&amp;"|"&amp;$C343,_TECH_Crisis_Model!$I$5:$I$191,0)),"")</f>
        <v>Data quality, BI and analytics determine decision visibility and forecasting under stress.</v>
      </c>
      <c r="AS343" s="48" t="str">
        <f>IFERROR(INDEX(_TECH_Crisis_Model!$G$5:$G$191,MATCH('Crisis Simulator'!$B$4&amp;"|"&amp;$C343,_TECH_Crisis_Model!$I$5:$I$191,0)),"")</f>
        <v>Assign data owners, improve data quality, dashboards, forecasting and AI governance.</v>
      </c>
      <c r="AT343" s="48" t="str">
        <f>IFERROR(INDEX(_TECH_Initiative_Library!$A$5:$A$76,MATCH(1,INDEX((_TECH_Initiative_Library!$B$5:$B$76=$C343)*(_TECH_Initiative_Library!$C$5:$C$76=$D343),0),0)),"")</f>
        <v>INI-059</v>
      </c>
      <c r="AU343" s="48" t="str">
        <f>IFERROR(INDEX(_TECH_Initiative_Library!$F$5:$F$76,MATCH(1,INDEX((_TECH_Initiative_Library!$B$5:$B$76=$C343)*(_TECH_Initiative_Library!$C$5:$C$76=$D343),0),0)),"")</f>
        <v>Build resilient data architecture, integration and storage foundation</v>
      </c>
      <c r="AV343" s="48" t="str">
        <f ca="1">IFERROR(INDEX(_TECH_Initiative_Library!$AC$5:$AC$76,MATCH(1,INDEX((_TECH_Initiative_Library!$B$5:$B$76=$C343)*(_TECH_Initiative_Library!$C$5:$C$76=$D343),0),0)),"")</f>
        <v/>
      </c>
      <c r="AW343" s="48" t="str">
        <f ca="1">IFERROR(INDEX(_TECH_Initiative_Library!$AE$5:$AE$76,MATCH(1,INDEX((_TECH_Initiative_Library!$B$5:$B$76=$C343)*(_TECH_Initiative_Library!$C$5:$C$76=$D343),0),0)),"")</f>
        <v/>
      </c>
      <c r="AX343" s="48" t="str">
        <f>IF($B343="Yes",IFERROR(SUMIFS(_TECH_Industry_Templates!$E:$E,_TECH_Industry_Templates!$A:$A,'Company Profile'!$B$9,_TECH_Industry_Templates!$B:$B,$C343),1),"")</f>
        <v/>
      </c>
      <c r="AY343" s="48" t="str">
        <f t="shared" si="87"/>
        <v/>
      </c>
      <c r="AZ343" s="48" t="str">
        <f t="shared" si="88"/>
        <v/>
      </c>
      <c r="BA343" s="48" t="str">
        <f>IF($AZ343="","",RANK.EQ($AZ343,$AZ$8:$AZ$414,0)+COUNTIF($AZ$8:$AZ343,$AZ343)-1)</f>
        <v/>
      </c>
    </row>
    <row r="344" spans="1:53" ht="69.95" customHeight="1">
      <c r="A344" s="36" t="str">
        <f>IF($AZ344="","",RANK.EQ($AZ344,$AZ$8:$AZ$414,0)+COUNTIF($AZ$8:$AZ344,$AZ344)-1)</f>
        <v/>
      </c>
      <c r="B344" s="36" t="str">
        <f t="shared" si="75"/>
        <v/>
      </c>
      <c r="C344" s="36" t="s">
        <v>92</v>
      </c>
      <c r="D344" s="36" t="s">
        <v>1549</v>
      </c>
      <c r="E344" s="36" t="s">
        <v>5298</v>
      </c>
      <c r="F344" s="36" t="s">
        <v>1540</v>
      </c>
      <c r="G344" s="36" t="str">
        <f>IF($H344="","",IFERROR(INDEX('Risk Library'!$H$5:$M$411,MATCH($E344,'Risk Library'!$A$5:$A$411,0),$H344+1),""))</f>
        <v/>
      </c>
      <c r="H344" s="37" t="str">
        <f>IF(OR(COUNTA('Data BI AI'!$H$15)=0,'Data BI AI'!$H$15="N/A"),"",VALUE('Data BI AI'!$H$15))</f>
        <v/>
      </c>
      <c r="I344" s="36" t="str">
        <f>IF($H344="","",IFERROR(IF('Data BI AI'!$L$15="",IF($H344&lt;=1,"Critical",IF($H344=2,"High",IF($H344=3,"Medium",IF($H344=4,"Low","Resilient")))),'Data BI AI'!$L$15),IF($H344&lt;=1,"Critical",IF($H344=2,"High",IF($H344=3,"Medium",IF($H344=4,"Low","Resilient"))))))</f>
        <v/>
      </c>
      <c r="J344" s="37" t="str">
        <f t="shared" si="76"/>
        <v/>
      </c>
      <c r="K344" s="37" t="str">
        <f t="shared" si="77"/>
        <v/>
      </c>
      <c r="L344" s="37" t="str">
        <f t="shared" si="78"/>
        <v/>
      </c>
      <c r="M344" s="37" t="str">
        <f t="shared" si="79"/>
        <v/>
      </c>
      <c r="N344" s="37" t="str">
        <f>IF($H344="","",IFERROR(INDEX('Risk Library'!$T$5:$Y$411,MATCH($E344,'Risk Library'!$A$5:$A$411,0),$H344+1),""))</f>
        <v/>
      </c>
      <c r="O344" s="37" t="str">
        <f t="shared" si="80"/>
        <v/>
      </c>
      <c r="P344" s="37" t="str">
        <f t="shared" si="81"/>
        <v/>
      </c>
      <c r="Q344" s="37" t="str">
        <f t="shared" si="82"/>
        <v/>
      </c>
      <c r="R344" s="37" t="str">
        <f t="shared" si="83"/>
        <v/>
      </c>
      <c r="S344" s="38" t="str">
        <f t="shared" si="84"/>
        <v/>
      </c>
      <c r="T344" s="36" t="str">
        <f>IF($H344="","",IFERROR(INDEX('Risk Library'!$N$5:$S$411,MATCH($E344,'Risk Library'!$A$5:$A$411,0),$H344+1),""))</f>
        <v/>
      </c>
      <c r="U344" s="37">
        <f>IFERROR('Data BI AI'!$G$15,"")</f>
        <v>4</v>
      </c>
      <c r="V344" s="37">
        <f>IFERROR('Data BI AI'!$W$15,"")</f>
        <v>5</v>
      </c>
      <c r="W344" s="37">
        <f>IFERROR('Data BI AI'!$X$15,"")</f>
        <v>5</v>
      </c>
      <c r="X344" s="37">
        <f>IFERROR('Data BI AI'!$Y$15,"")</f>
        <v>5</v>
      </c>
      <c r="Y344" s="36" t="s">
        <v>5205</v>
      </c>
      <c r="Z344" s="36" t="s">
        <v>5206</v>
      </c>
      <c r="AA344" s="36" t="s">
        <v>5300</v>
      </c>
      <c r="AB344" s="36">
        <f>IFERROR('Data BI AI'!$U$15,"")</f>
        <v>0</v>
      </c>
      <c r="AC344" s="36"/>
      <c r="AD344" s="36"/>
      <c r="AE344" s="36"/>
      <c r="AF344" s="36" t="s">
        <v>5299</v>
      </c>
      <c r="AO344" s="48" t="str">
        <f>IF($B344="Yes",IFERROR(SUMIFS(_TECH_Crisis_Model!$D$5:$D$191,_TECH_Crisis_Model!$A$5:$A$191,'Crisis Simulator'!$B$4,_TECH_Crisis_Model!$B$5:$B$191,$C344),1),"")</f>
        <v/>
      </c>
      <c r="AP344" s="48" t="str">
        <f t="shared" si="85"/>
        <v/>
      </c>
      <c r="AQ344" s="48" t="str">
        <f t="shared" si="86"/>
        <v/>
      </c>
      <c r="AR344" s="48" t="str">
        <f>IFERROR(INDEX(_TECH_Crisis_Model!$E$5:$E$191,MATCH('Crisis Simulator'!$B$4&amp;"|"&amp;$C344,_TECH_Crisis_Model!$I$5:$I$191,0)),"")</f>
        <v>Data quality, BI and analytics determine decision visibility and forecasting under stress.</v>
      </c>
      <c r="AS344" s="48" t="str">
        <f>IFERROR(INDEX(_TECH_Crisis_Model!$G$5:$G$191,MATCH('Crisis Simulator'!$B$4&amp;"|"&amp;$C344,_TECH_Crisis_Model!$I$5:$I$191,0)),"")</f>
        <v>Assign data owners, improve data quality, dashboards, forecasting and AI governance.</v>
      </c>
      <c r="AT344" s="48" t="str">
        <f>IFERROR(INDEX(_TECH_Initiative_Library!$A$5:$A$76,MATCH(1,INDEX((_TECH_Initiative_Library!$B$5:$B$76=$C344)*(_TECH_Initiative_Library!$C$5:$C$76=$D344),0),0)),"")</f>
        <v>INI-059</v>
      </c>
      <c r="AU344" s="48" t="str">
        <f>IFERROR(INDEX(_TECH_Initiative_Library!$F$5:$F$76,MATCH(1,INDEX((_TECH_Initiative_Library!$B$5:$B$76=$C344)*(_TECH_Initiative_Library!$C$5:$C$76=$D344),0),0)),"")</f>
        <v>Build resilient data architecture, integration and storage foundation</v>
      </c>
      <c r="AV344" s="48" t="str">
        <f ca="1">IFERROR(INDEX(_TECH_Initiative_Library!$AC$5:$AC$76,MATCH(1,INDEX((_TECH_Initiative_Library!$B$5:$B$76=$C344)*(_TECH_Initiative_Library!$C$5:$C$76=$D344),0),0)),"")</f>
        <v/>
      </c>
      <c r="AW344" s="48" t="str">
        <f ca="1">IFERROR(INDEX(_TECH_Initiative_Library!$AE$5:$AE$76,MATCH(1,INDEX((_TECH_Initiative_Library!$B$5:$B$76=$C344)*(_TECH_Initiative_Library!$C$5:$C$76=$D344),0),0)),"")</f>
        <v/>
      </c>
      <c r="AX344" s="48" t="str">
        <f>IF($B344="Yes",IFERROR(SUMIFS(_TECH_Industry_Templates!$E:$E,_TECH_Industry_Templates!$A:$A,'Company Profile'!$B$9,_TECH_Industry_Templates!$B:$B,$C344),1),"")</f>
        <v/>
      </c>
      <c r="AY344" s="48" t="str">
        <f t="shared" si="87"/>
        <v/>
      </c>
      <c r="AZ344" s="48" t="str">
        <f t="shared" si="88"/>
        <v/>
      </c>
      <c r="BA344" s="48" t="str">
        <f>IF($AZ344="","",RANK.EQ($AZ344,$AZ$8:$AZ$414,0)+COUNTIF($AZ$8:$AZ344,$AZ344)-1)</f>
        <v/>
      </c>
    </row>
    <row r="345" spans="1:53" ht="69.95" customHeight="1">
      <c r="A345" s="36" t="str">
        <f>IF($AZ345="","",RANK.EQ($AZ345,$AZ$8:$AZ$414,0)+COUNTIF($AZ$8:$AZ345,$AZ345)-1)</f>
        <v/>
      </c>
      <c r="B345" s="36" t="str">
        <f t="shared" si="75"/>
        <v/>
      </c>
      <c r="C345" s="36" t="s">
        <v>92</v>
      </c>
      <c r="D345" s="36" t="s">
        <v>1549</v>
      </c>
      <c r="E345" s="36" t="s">
        <v>5308</v>
      </c>
      <c r="F345" s="36" t="s">
        <v>1540</v>
      </c>
      <c r="G345" s="36" t="str">
        <f>IF($H345="","",IFERROR(INDEX('Risk Library'!$H$5:$M$411,MATCH($E345,'Risk Library'!$A$5:$A$411,0),$H345+1),""))</f>
        <v/>
      </c>
      <c r="H345" s="37" t="str">
        <f>IF(OR(COUNTA('Data BI AI'!$H$16)=0,'Data BI AI'!$H$16="N/A"),"",VALUE('Data BI AI'!$H$16))</f>
        <v/>
      </c>
      <c r="I345" s="36" t="str">
        <f>IF($H345="","",IFERROR(IF('Data BI AI'!$L$16="",IF($H345&lt;=1,"Critical",IF($H345=2,"High",IF($H345=3,"Medium",IF($H345=4,"Low","Resilient")))),'Data BI AI'!$L$16),IF($H345&lt;=1,"Critical",IF($H345=2,"High",IF($H345=3,"Medium",IF($H345=4,"Low","Resilient"))))))</f>
        <v/>
      </c>
      <c r="J345" s="37" t="str">
        <f t="shared" si="76"/>
        <v/>
      </c>
      <c r="K345" s="37" t="str">
        <f t="shared" si="77"/>
        <v/>
      </c>
      <c r="L345" s="37" t="str">
        <f t="shared" si="78"/>
        <v/>
      </c>
      <c r="M345" s="37" t="str">
        <f t="shared" si="79"/>
        <v/>
      </c>
      <c r="N345" s="37" t="str">
        <f>IF($H345="","",IFERROR(INDEX('Risk Library'!$T$5:$Y$411,MATCH($E345,'Risk Library'!$A$5:$A$411,0),$H345+1),""))</f>
        <v/>
      </c>
      <c r="O345" s="37" t="str">
        <f t="shared" si="80"/>
        <v/>
      </c>
      <c r="P345" s="37" t="str">
        <f t="shared" si="81"/>
        <v/>
      </c>
      <c r="Q345" s="37" t="str">
        <f t="shared" si="82"/>
        <v/>
      </c>
      <c r="R345" s="37" t="str">
        <f t="shared" si="83"/>
        <v/>
      </c>
      <c r="S345" s="38" t="str">
        <f t="shared" si="84"/>
        <v/>
      </c>
      <c r="T345" s="36" t="str">
        <f>IF($H345="","",IFERROR(INDEX('Risk Library'!$N$5:$S$411,MATCH($E345,'Risk Library'!$A$5:$A$411,0),$H345+1),""))</f>
        <v/>
      </c>
      <c r="U345" s="37">
        <f>IFERROR('Data BI AI'!$G$16,"")</f>
        <v>5</v>
      </c>
      <c r="V345" s="37">
        <f>IFERROR('Data BI AI'!$W$16,"")</f>
        <v>5</v>
      </c>
      <c r="W345" s="37">
        <f>IFERROR('Data BI AI'!$X$16,"")</f>
        <v>5</v>
      </c>
      <c r="X345" s="37">
        <f>IFERROR('Data BI AI'!$Y$16,"")</f>
        <v>5</v>
      </c>
      <c r="Y345" s="36" t="s">
        <v>5205</v>
      </c>
      <c r="Z345" s="36" t="s">
        <v>5206</v>
      </c>
      <c r="AA345" s="36" t="s">
        <v>5310</v>
      </c>
      <c r="AB345" s="36">
        <f>IFERROR('Data BI AI'!$U$16,"")</f>
        <v>0</v>
      </c>
      <c r="AC345" s="36"/>
      <c r="AD345" s="36"/>
      <c r="AE345" s="36"/>
      <c r="AF345" s="36" t="s">
        <v>5309</v>
      </c>
      <c r="AO345" s="48" t="str">
        <f>IF($B345="Yes",IFERROR(SUMIFS(_TECH_Crisis_Model!$D$5:$D$191,_TECH_Crisis_Model!$A$5:$A$191,'Crisis Simulator'!$B$4,_TECH_Crisis_Model!$B$5:$B$191,$C345),1),"")</f>
        <v/>
      </c>
      <c r="AP345" s="48" t="str">
        <f t="shared" si="85"/>
        <v/>
      </c>
      <c r="AQ345" s="48" t="str">
        <f t="shared" si="86"/>
        <v/>
      </c>
      <c r="AR345" s="48" t="str">
        <f>IFERROR(INDEX(_TECH_Crisis_Model!$E$5:$E$191,MATCH('Crisis Simulator'!$B$4&amp;"|"&amp;$C345,_TECH_Crisis_Model!$I$5:$I$191,0)),"")</f>
        <v>Data quality, BI and analytics determine decision visibility and forecasting under stress.</v>
      </c>
      <c r="AS345" s="48" t="str">
        <f>IFERROR(INDEX(_TECH_Crisis_Model!$G$5:$G$191,MATCH('Crisis Simulator'!$B$4&amp;"|"&amp;$C345,_TECH_Crisis_Model!$I$5:$I$191,0)),"")</f>
        <v>Assign data owners, improve data quality, dashboards, forecasting and AI governance.</v>
      </c>
      <c r="AT345" s="48" t="str">
        <f>IFERROR(INDEX(_TECH_Initiative_Library!$A$5:$A$76,MATCH(1,INDEX((_TECH_Initiative_Library!$B$5:$B$76=$C345)*(_TECH_Initiative_Library!$C$5:$C$76=$D345),0),0)),"")</f>
        <v>INI-059</v>
      </c>
      <c r="AU345" s="48" t="str">
        <f>IFERROR(INDEX(_TECH_Initiative_Library!$F$5:$F$76,MATCH(1,INDEX((_TECH_Initiative_Library!$B$5:$B$76=$C345)*(_TECH_Initiative_Library!$C$5:$C$76=$D345),0),0)),"")</f>
        <v>Build resilient data architecture, integration and storage foundation</v>
      </c>
      <c r="AV345" s="48" t="str">
        <f ca="1">IFERROR(INDEX(_TECH_Initiative_Library!$AC$5:$AC$76,MATCH(1,INDEX((_TECH_Initiative_Library!$B$5:$B$76=$C345)*(_TECH_Initiative_Library!$C$5:$C$76=$D345),0),0)),"")</f>
        <v/>
      </c>
      <c r="AW345" s="48" t="str">
        <f ca="1">IFERROR(INDEX(_TECH_Initiative_Library!$AE$5:$AE$76,MATCH(1,INDEX((_TECH_Initiative_Library!$B$5:$B$76=$C345)*(_TECH_Initiative_Library!$C$5:$C$76=$D345),0),0)),"")</f>
        <v/>
      </c>
      <c r="AX345" s="48" t="str">
        <f>IF($B345="Yes",IFERROR(SUMIFS(_TECH_Industry_Templates!$E:$E,_TECH_Industry_Templates!$A:$A,'Company Profile'!$B$9,_TECH_Industry_Templates!$B:$B,$C345),1),"")</f>
        <v/>
      </c>
      <c r="AY345" s="48" t="str">
        <f t="shared" si="87"/>
        <v/>
      </c>
      <c r="AZ345" s="48" t="str">
        <f t="shared" si="88"/>
        <v/>
      </c>
      <c r="BA345" s="48" t="str">
        <f>IF($AZ345="","",RANK.EQ($AZ345,$AZ$8:$AZ$414,0)+COUNTIF($AZ$8:$AZ345,$AZ345)-1)</f>
        <v/>
      </c>
    </row>
    <row r="346" spans="1:53" ht="69.95" customHeight="1">
      <c r="A346" s="36" t="str">
        <f>IF($AZ346="","",RANK.EQ($AZ346,$AZ$8:$AZ$414,0)+COUNTIF($AZ$8:$AZ346,$AZ346)-1)</f>
        <v/>
      </c>
      <c r="B346" s="36" t="str">
        <f t="shared" si="75"/>
        <v/>
      </c>
      <c r="C346" s="36" t="s">
        <v>92</v>
      </c>
      <c r="D346" s="36" t="s">
        <v>1557</v>
      </c>
      <c r="E346" s="36" t="s">
        <v>5318</v>
      </c>
      <c r="F346" s="36" t="s">
        <v>1540</v>
      </c>
      <c r="G346" s="36" t="str">
        <f>IF($H346="","",IFERROR(INDEX('Risk Library'!$H$5:$M$411,MATCH($E346,'Risk Library'!$A$5:$A$411,0),$H346+1),""))</f>
        <v/>
      </c>
      <c r="H346" s="37" t="str">
        <f>IF(OR(COUNTA('Data BI AI'!$H$17)=0,'Data BI AI'!$H$17="N/A"),"",VALUE('Data BI AI'!$H$17))</f>
        <v/>
      </c>
      <c r="I346" s="36" t="str">
        <f>IF($H346="","",IFERROR(IF('Data BI AI'!$L$17="",IF($H346&lt;=1,"Critical",IF($H346=2,"High",IF($H346=3,"Medium",IF($H346=4,"Low","Resilient")))),'Data BI AI'!$L$17),IF($H346&lt;=1,"Critical",IF($H346=2,"High",IF($H346=3,"Medium",IF($H346=4,"Low","Resilient"))))))</f>
        <v/>
      </c>
      <c r="J346" s="37" t="str">
        <f t="shared" si="76"/>
        <v/>
      </c>
      <c r="K346" s="37" t="str">
        <f t="shared" si="77"/>
        <v/>
      </c>
      <c r="L346" s="37" t="str">
        <f t="shared" si="78"/>
        <v/>
      </c>
      <c r="M346" s="37" t="str">
        <f t="shared" si="79"/>
        <v/>
      </c>
      <c r="N346" s="37" t="str">
        <f>IF($H346="","",IFERROR(INDEX('Risk Library'!$T$5:$Y$411,MATCH($E346,'Risk Library'!$A$5:$A$411,0),$H346+1),""))</f>
        <v/>
      </c>
      <c r="O346" s="37" t="str">
        <f t="shared" si="80"/>
        <v/>
      </c>
      <c r="P346" s="37" t="str">
        <f t="shared" si="81"/>
        <v/>
      </c>
      <c r="Q346" s="37" t="str">
        <f t="shared" si="82"/>
        <v/>
      </c>
      <c r="R346" s="37" t="str">
        <f t="shared" si="83"/>
        <v/>
      </c>
      <c r="S346" s="38" t="str">
        <f t="shared" si="84"/>
        <v/>
      </c>
      <c r="T346" s="36" t="str">
        <f>IF($H346="","",IFERROR(INDEX('Risk Library'!$N$5:$S$411,MATCH($E346,'Risk Library'!$A$5:$A$411,0),$H346+1),""))</f>
        <v/>
      </c>
      <c r="U346" s="37">
        <f>IFERROR('Data BI AI'!$G$17,"")</f>
        <v>5</v>
      </c>
      <c r="V346" s="37">
        <f>IFERROR('Data BI AI'!$W$17,"")</f>
        <v>5</v>
      </c>
      <c r="W346" s="37">
        <f>IFERROR('Data BI AI'!$X$17,"")</f>
        <v>5</v>
      </c>
      <c r="X346" s="37">
        <f>IFERROR('Data BI AI'!$Y$17,"")</f>
        <v>5</v>
      </c>
      <c r="Y346" s="36" t="s">
        <v>5205</v>
      </c>
      <c r="Z346" s="36" t="s">
        <v>5206</v>
      </c>
      <c r="AA346" s="36" t="s">
        <v>5320</v>
      </c>
      <c r="AB346" s="36">
        <f>IFERROR('Data BI AI'!$U$17,"")</f>
        <v>0</v>
      </c>
      <c r="AC346" s="36"/>
      <c r="AD346" s="36"/>
      <c r="AE346" s="36"/>
      <c r="AF346" s="36" t="s">
        <v>5319</v>
      </c>
      <c r="AO346" s="48" t="str">
        <f>IF($B346="Yes",IFERROR(SUMIFS(_TECH_Crisis_Model!$D$5:$D$191,_TECH_Crisis_Model!$A$5:$A$191,'Crisis Simulator'!$B$4,_TECH_Crisis_Model!$B$5:$B$191,$C346),1),"")</f>
        <v/>
      </c>
      <c r="AP346" s="48" t="str">
        <f t="shared" si="85"/>
        <v/>
      </c>
      <c r="AQ346" s="48" t="str">
        <f t="shared" si="86"/>
        <v/>
      </c>
      <c r="AR346" s="48" t="str">
        <f>IFERROR(INDEX(_TECH_Crisis_Model!$E$5:$E$191,MATCH('Crisis Simulator'!$B$4&amp;"|"&amp;$C346,_TECH_Crisis_Model!$I$5:$I$191,0)),"")</f>
        <v>Data quality, BI and analytics determine decision visibility and forecasting under stress.</v>
      </c>
      <c r="AS346" s="48" t="str">
        <f>IFERROR(INDEX(_TECH_Crisis_Model!$G$5:$G$191,MATCH('Crisis Simulator'!$B$4&amp;"|"&amp;$C346,_TECH_Crisis_Model!$I$5:$I$191,0)),"")</f>
        <v>Assign data owners, improve data quality, dashboards, forecasting and AI governance.</v>
      </c>
      <c r="AT346" s="48" t="str">
        <f>IFERROR(INDEX(_TECH_Initiative_Library!$A$5:$A$76,MATCH(1,INDEX((_TECH_Initiative_Library!$B$5:$B$76=$C346)*(_TECH_Initiative_Library!$C$5:$C$76=$D346),0),0)),"")</f>
        <v>INI-060</v>
      </c>
      <c r="AU346" s="48" t="str">
        <f>IFERROR(INDEX(_TECH_Initiative_Library!$F$5:$F$76,MATCH(1,INDEX((_TECH_Initiative_Library!$B$5:$B$76=$C346)*(_TECH_Initiative_Library!$C$5:$C$76=$D346),0),0)),"")</f>
        <v>Create BI analytics layer for crisis and operational decisions</v>
      </c>
      <c r="AV346" s="48" t="str">
        <f ca="1">IFERROR(INDEX(_TECH_Initiative_Library!$AC$5:$AC$76,MATCH(1,INDEX((_TECH_Initiative_Library!$B$5:$B$76=$C346)*(_TECH_Initiative_Library!$C$5:$C$76=$D346),0),0)),"")</f>
        <v/>
      </c>
      <c r="AW346" s="48" t="str">
        <f ca="1">IFERROR(INDEX(_TECH_Initiative_Library!$AE$5:$AE$76,MATCH(1,INDEX((_TECH_Initiative_Library!$B$5:$B$76=$C346)*(_TECH_Initiative_Library!$C$5:$C$76=$D346),0),0)),"")</f>
        <v/>
      </c>
      <c r="AX346" s="48" t="str">
        <f>IF($B346="Yes",IFERROR(SUMIFS(_TECH_Industry_Templates!$E:$E,_TECH_Industry_Templates!$A:$A,'Company Profile'!$B$9,_TECH_Industry_Templates!$B:$B,$C346),1),"")</f>
        <v/>
      </c>
      <c r="AY346" s="48" t="str">
        <f t="shared" si="87"/>
        <v/>
      </c>
      <c r="AZ346" s="48" t="str">
        <f t="shared" si="88"/>
        <v/>
      </c>
      <c r="BA346" s="48" t="str">
        <f>IF($AZ346="","",RANK.EQ($AZ346,$AZ$8:$AZ$414,0)+COUNTIF($AZ$8:$AZ346,$AZ346)-1)</f>
        <v/>
      </c>
    </row>
    <row r="347" spans="1:53" ht="69.95" customHeight="1">
      <c r="A347" s="36" t="str">
        <f>IF($AZ347="","",RANK.EQ($AZ347,$AZ$8:$AZ$414,0)+COUNTIF($AZ$8:$AZ347,$AZ347)-1)</f>
        <v/>
      </c>
      <c r="B347" s="36" t="str">
        <f t="shared" si="75"/>
        <v/>
      </c>
      <c r="C347" s="36" t="s">
        <v>92</v>
      </c>
      <c r="D347" s="36" t="s">
        <v>1557</v>
      </c>
      <c r="E347" s="36" t="s">
        <v>5328</v>
      </c>
      <c r="F347" s="36" t="s">
        <v>1540</v>
      </c>
      <c r="G347" s="36" t="str">
        <f>IF($H347="","",IFERROR(INDEX('Risk Library'!$H$5:$M$411,MATCH($E347,'Risk Library'!$A$5:$A$411,0),$H347+1),""))</f>
        <v/>
      </c>
      <c r="H347" s="37" t="str">
        <f>IF(OR(COUNTA('Data BI AI'!$H$18)=0,'Data BI AI'!$H$18="N/A"),"",VALUE('Data BI AI'!$H$18))</f>
        <v/>
      </c>
      <c r="I347" s="36" t="str">
        <f>IF($H347="","",IFERROR(IF('Data BI AI'!$L$18="",IF($H347&lt;=1,"Critical",IF($H347=2,"High",IF($H347=3,"Medium",IF($H347=4,"Low","Resilient")))),'Data BI AI'!$L$18),IF($H347&lt;=1,"Critical",IF($H347=2,"High",IF($H347=3,"Medium",IF($H347=4,"Low","Resilient"))))))</f>
        <v/>
      </c>
      <c r="J347" s="37" t="str">
        <f t="shared" si="76"/>
        <v/>
      </c>
      <c r="K347" s="37" t="str">
        <f t="shared" si="77"/>
        <v/>
      </c>
      <c r="L347" s="37" t="str">
        <f t="shared" si="78"/>
        <v/>
      </c>
      <c r="M347" s="37" t="str">
        <f t="shared" si="79"/>
        <v/>
      </c>
      <c r="N347" s="37" t="str">
        <f>IF($H347="","",IFERROR(INDEX('Risk Library'!$T$5:$Y$411,MATCH($E347,'Risk Library'!$A$5:$A$411,0),$H347+1),""))</f>
        <v/>
      </c>
      <c r="O347" s="37" t="str">
        <f t="shared" si="80"/>
        <v/>
      </c>
      <c r="P347" s="37" t="str">
        <f t="shared" si="81"/>
        <v/>
      </c>
      <c r="Q347" s="37" t="str">
        <f t="shared" si="82"/>
        <v/>
      </c>
      <c r="R347" s="37" t="str">
        <f t="shared" si="83"/>
        <v/>
      </c>
      <c r="S347" s="38" t="str">
        <f t="shared" si="84"/>
        <v/>
      </c>
      <c r="T347" s="36" t="str">
        <f>IF($H347="","",IFERROR(INDEX('Risk Library'!$N$5:$S$411,MATCH($E347,'Risk Library'!$A$5:$A$411,0),$H347+1),""))</f>
        <v/>
      </c>
      <c r="U347" s="37">
        <f>IFERROR('Data BI AI'!$G$18,"")</f>
        <v>5</v>
      </c>
      <c r="V347" s="37">
        <f>IFERROR('Data BI AI'!$W$18,"")</f>
        <v>5</v>
      </c>
      <c r="W347" s="37">
        <f>IFERROR('Data BI AI'!$X$18,"")</f>
        <v>5</v>
      </c>
      <c r="X347" s="37">
        <f>IFERROR('Data BI AI'!$Y$18,"")</f>
        <v>5</v>
      </c>
      <c r="Y347" s="36" t="s">
        <v>5205</v>
      </c>
      <c r="Z347" s="36" t="s">
        <v>5206</v>
      </c>
      <c r="AA347" s="36" t="s">
        <v>5330</v>
      </c>
      <c r="AB347" s="36">
        <f>IFERROR('Data BI AI'!$U$18,"")</f>
        <v>0</v>
      </c>
      <c r="AC347" s="36"/>
      <c r="AD347" s="36"/>
      <c r="AE347" s="36"/>
      <c r="AF347" s="36" t="s">
        <v>5329</v>
      </c>
      <c r="AO347" s="48" t="str">
        <f>IF($B347="Yes",IFERROR(SUMIFS(_TECH_Crisis_Model!$D$5:$D$191,_TECH_Crisis_Model!$A$5:$A$191,'Crisis Simulator'!$B$4,_TECH_Crisis_Model!$B$5:$B$191,$C347),1),"")</f>
        <v/>
      </c>
      <c r="AP347" s="48" t="str">
        <f t="shared" si="85"/>
        <v/>
      </c>
      <c r="AQ347" s="48" t="str">
        <f t="shared" si="86"/>
        <v/>
      </c>
      <c r="AR347" s="48" t="str">
        <f>IFERROR(INDEX(_TECH_Crisis_Model!$E$5:$E$191,MATCH('Crisis Simulator'!$B$4&amp;"|"&amp;$C347,_TECH_Crisis_Model!$I$5:$I$191,0)),"")</f>
        <v>Data quality, BI and analytics determine decision visibility and forecasting under stress.</v>
      </c>
      <c r="AS347" s="48" t="str">
        <f>IFERROR(INDEX(_TECH_Crisis_Model!$G$5:$G$191,MATCH('Crisis Simulator'!$B$4&amp;"|"&amp;$C347,_TECH_Crisis_Model!$I$5:$I$191,0)),"")</f>
        <v>Assign data owners, improve data quality, dashboards, forecasting and AI governance.</v>
      </c>
      <c r="AT347" s="48" t="str">
        <f>IFERROR(INDEX(_TECH_Initiative_Library!$A$5:$A$76,MATCH(1,INDEX((_TECH_Initiative_Library!$B$5:$B$76=$C347)*(_TECH_Initiative_Library!$C$5:$C$76=$D347),0),0)),"")</f>
        <v>INI-060</v>
      </c>
      <c r="AU347" s="48" t="str">
        <f>IFERROR(INDEX(_TECH_Initiative_Library!$F$5:$F$76,MATCH(1,INDEX((_TECH_Initiative_Library!$B$5:$B$76=$C347)*(_TECH_Initiative_Library!$C$5:$C$76=$D347),0),0)),"")</f>
        <v>Create BI analytics layer for crisis and operational decisions</v>
      </c>
      <c r="AV347" s="48" t="str">
        <f ca="1">IFERROR(INDEX(_TECH_Initiative_Library!$AC$5:$AC$76,MATCH(1,INDEX((_TECH_Initiative_Library!$B$5:$B$76=$C347)*(_TECH_Initiative_Library!$C$5:$C$76=$D347),0),0)),"")</f>
        <v/>
      </c>
      <c r="AW347" s="48" t="str">
        <f ca="1">IFERROR(INDEX(_TECH_Initiative_Library!$AE$5:$AE$76,MATCH(1,INDEX((_TECH_Initiative_Library!$B$5:$B$76=$C347)*(_TECH_Initiative_Library!$C$5:$C$76=$D347),0),0)),"")</f>
        <v/>
      </c>
      <c r="AX347" s="48" t="str">
        <f>IF($B347="Yes",IFERROR(SUMIFS(_TECH_Industry_Templates!$E:$E,_TECH_Industry_Templates!$A:$A,'Company Profile'!$B$9,_TECH_Industry_Templates!$B:$B,$C347),1),"")</f>
        <v/>
      </c>
      <c r="AY347" s="48" t="str">
        <f t="shared" si="87"/>
        <v/>
      </c>
      <c r="AZ347" s="48" t="str">
        <f t="shared" si="88"/>
        <v/>
      </c>
      <c r="BA347" s="48" t="str">
        <f>IF($AZ347="","",RANK.EQ($AZ347,$AZ$8:$AZ$414,0)+COUNTIF($AZ$8:$AZ347,$AZ347)-1)</f>
        <v/>
      </c>
    </row>
    <row r="348" spans="1:53" ht="69.95" customHeight="1">
      <c r="A348" s="36" t="str">
        <f>IF($AZ348="","",RANK.EQ($AZ348,$AZ$8:$AZ$414,0)+COUNTIF($AZ$8:$AZ348,$AZ348)-1)</f>
        <v/>
      </c>
      <c r="B348" s="36" t="str">
        <f t="shared" si="75"/>
        <v/>
      </c>
      <c r="C348" s="36" t="s">
        <v>92</v>
      </c>
      <c r="D348" s="36" t="s">
        <v>1557</v>
      </c>
      <c r="E348" s="36" t="s">
        <v>5338</v>
      </c>
      <c r="F348" s="36" t="s">
        <v>1540</v>
      </c>
      <c r="G348" s="36" t="str">
        <f>IF($H348="","",IFERROR(INDEX('Risk Library'!$H$5:$M$411,MATCH($E348,'Risk Library'!$A$5:$A$411,0),$H348+1),""))</f>
        <v/>
      </c>
      <c r="H348" s="37" t="str">
        <f>IF(OR(COUNTA('Data BI AI'!$H$19)=0,'Data BI AI'!$H$19="N/A"),"",VALUE('Data BI AI'!$H$19))</f>
        <v/>
      </c>
      <c r="I348" s="36" t="str">
        <f>IF($H348="","",IFERROR(IF('Data BI AI'!$L$19="",IF($H348&lt;=1,"Critical",IF($H348=2,"High",IF($H348=3,"Medium",IF($H348=4,"Low","Resilient")))),'Data BI AI'!$L$19),IF($H348&lt;=1,"Critical",IF($H348=2,"High",IF($H348=3,"Medium",IF($H348=4,"Low","Resilient"))))))</f>
        <v/>
      </c>
      <c r="J348" s="37" t="str">
        <f t="shared" si="76"/>
        <v/>
      </c>
      <c r="K348" s="37" t="str">
        <f t="shared" si="77"/>
        <v/>
      </c>
      <c r="L348" s="37" t="str">
        <f t="shared" si="78"/>
        <v/>
      </c>
      <c r="M348" s="37" t="str">
        <f t="shared" si="79"/>
        <v/>
      </c>
      <c r="N348" s="37" t="str">
        <f>IF($H348="","",IFERROR(INDEX('Risk Library'!$T$5:$Y$411,MATCH($E348,'Risk Library'!$A$5:$A$411,0),$H348+1),""))</f>
        <v/>
      </c>
      <c r="O348" s="37" t="str">
        <f t="shared" si="80"/>
        <v/>
      </c>
      <c r="P348" s="37" t="str">
        <f t="shared" si="81"/>
        <v/>
      </c>
      <c r="Q348" s="37" t="str">
        <f t="shared" si="82"/>
        <v/>
      </c>
      <c r="R348" s="37" t="str">
        <f t="shared" si="83"/>
        <v/>
      </c>
      <c r="S348" s="38" t="str">
        <f t="shared" si="84"/>
        <v/>
      </c>
      <c r="T348" s="36" t="str">
        <f>IF($H348="","",IFERROR(INDEX('Risk Library'!$N$5:$S$411,MATCH($E348,'Risk Library'!$A$5:$A$411,0),$H348+1),""))</f>
        <v/>
      </c>
      <c r="U348" s="37">
        <f>IFERROR('Data BI AI'!$G$19,"")</f>
        <v>5</v>
      </c>
      <c r="V348" s="37">
        <f>IFERROR('Data BI AI'!$W$19,"")</f>
        <v>5</v>
      </c>
      <c r="W348" s="37">
        <f>IFERROR('Data BI AI'!$X$19,"")</f>
        <v>5</v>
      </c>
      <c r="X348" s="37">
        <f>IFERROR('Data BI AI'!$Y$19,"")</f>
        <v>5</v>
      </c>
      <c r="Y348" s="36" t="s">
        <v>5205</v>
      </c>
      <c r="Z348" s="36" t="s">
        <v>5206</v>
      </c>
      <c r="AA348" s="36" t="s">
        <v>5340</v>
      </c>
      <c r="AB348" s="36">
        <f>IFERROR('Data BI AI'!$U$19,"")</f>
        <v>0</v>
      </c>
      <c r="AC348" s="36"/>
      <c r="AD348" s="36"/>
      <c r="AE348" s="36"/>
      <c r="AF348" s="36" t="s">
        <v>5339</v>
      </c>
      <c r="AO348" s="48" t="str">
        <f>IF($B348="Yes",IFERROR(SUMIFS(_TECH_Crisis_Model!$D$5:$D$191,_TECH_Crisis_Model!$A$5:$A$191,'Crisis Simulator'!$B$4,_TECH_Crisis_Model!$B$5:$B$191,$C348),1),"")</f>
        <v/>
      </c>
      <c r="AP348" s="48" t="str">
        <f t="shared" si="85"/>
        <v/>
      </c>
      <c r="AQ348" s="48" t="str">
        <f t="shared" si="86"/>
        <v/>
      </c>
      <c r="AR348" s="48" t="str">
        <f>IFERROR(INDEX(_TECH_Crisis_Model!$E$5:$E$191,MATCH('Crisis Simulator'!$B$4&amp;"|"&amp;$C348,_TECH_Crisis_Model!$I$5:$I$191,0)),"")</f>
        <v>Data quality, BI and analytics determine decision visibility and forecasting under stress.</v>
      </c>
      <c r="AS348" s="48" t="str">
        <f>IFERROR(INDEX(_TECH_Crisis_Model!$G$5:$G$191,MATCH('Crisis Simulator'!$B$4&amp;"|"&amp;$C348,_TECH_Crisis_Model!$I$5:$I$191,0)),"")</f>
        <v>Assign data owners, improve data quality, dashboards, forecasting and AI governance.</v>
      </c>
      <c r="AT348" s="48" t="str">
        <f>IFERROR(INDEX(_TECH_Initiative_Library!$A$5:$A$76,MATCH(1,INDEX((_TECH_Initiative_Library!$B$5:$B$76=$C348)*(_TECH_Initiative_Library!$C$5:$C$76=$D348),0),0)),"")</f>
        <v>INI-060</v>
      </c>
      <c r="AU348" s="48" t="str">
        <f>IFERROR(INDEX(_TECH_Initiative_Library!$F$5:$F$76,MATCH(1,INDEX((_TECH_Initiative_Library!$B$5:$B$76=$C348)*(_TECH_Initiative_Library!$C$5:$C$76=$D348),0),0)),"")</f>
        <v>Create BI analytics layer for crisis and operational decisions</v>
      </c>
      <c r="AV348" s="48" t="str">
        <f ca="1">IFERROR(INDEX(_TECH_Initiative_Library!$AC$5:$AC$76,MATCH(1,INDEX((_TECH_Initiative_Library!$B$5:$B$76=$C348)*(_TECH_Initiative_Library!$C$5:$C$76=$D348),0),0)),"")</f>
        <v/>
      </c>
      <c r="AW348" s="48" t="str">
        <f ca="1">IFERROR(INDEX(_TECH_Initiative_Library!$AE$5:$AE$76,MATCH(1,INDEX((_TECH_Initiative_Library!$B$5:$B$76=$C348)*(_TECH_Initiative_Library!$C$5:$C$76=$D348),0),0)),"")</f>
        <v/>
      </c>
      <c r="AX348" s="48" t="str">
        <f>IF($B348="Yes",IFERROR(SUMIFS(_TECH_Industry_Templates!$E:$E,_TECH_Industry_Templates!$A:$A,'Company Profile'!$B$9,_TECH_Industry_Templates!$B:$B,$C348),1),"")</f>
        <v/>
      </c>
      <c r="AY348" s="48" t="str">
        <f t="shared" si="87"/>
        <v/>
      </c>
      <c r="AZ348" s="48" t="str">
        <f t="shared" si="88"/>
        <v/>
      </c>
      <c r="BA348" s="48" t="str">
        <f>IF($AZ348="","",RANK.EQ($AZ348,$AZ$8:$AZ$414,0)+COUNTIF($AZ$8:$AZ348,$AZ348)-1)</f>
        <v/>
      </c>
    </row>
    <row r="349" spans="1:53" ht="69.95" customHeight="1">
      <c r="A349" s="36" t="str">
        <f>IF($AZ349="","",RANK.EQ($AZ349,$AZ$8:$AZ$414,0)+COUNTIF($AZ$8:$AZ349,$AZ349)-1)</f>
        <v/>
      </c>
      <c r="B349" s="36" t="str">
        <f t="shared" si="75"/>
        <v/>
      </c>
      <c r="C349" s="36" t="s">
        <v>92</v>
      </c>
      <c r="D349" s="36" t="s">
        <v>1557</v>
      </c>
      <c r="E349" s="36" t="s">
        <v>5348</v>
      </c>
      <c r="F349" s="36" t="s">
        <v>1540</v>
      </c>
      <c r="G349" s="36" t="str">
        <f>IF($H349="","",IFERROR(INDEX('Risk Library'!$H$5:$M$411,MATCH($E349,'Risk Library'!$A$5:$A$411,0),$H349+1),""))</f>
        <v/>
      </c>
      <c r="H349" s="37" t="str">
        <f>IF(OR(COUNTA('Data BI AI'!$H$20)=0,'Data BI AI'!$H$20="N/A"),"",VALUE('Data BI AI'!$H$20))</f>
        <v/>
      </c>
      <c r="I349" s="36" t="str">
        <f>IF($H349="","",IFERROR(IF('Data BI AI'!$L$20="",IF($H349&lt;=1,"Critical",IF($H349=2,"High",IF($H349=3,"Medium",IF($H349=4,"Low","Resilient")))),'Data BI AI'!$L$20),IF($H349&lt;=1,"Critical",IF($H349=2,"High",IF($H349=3,"Medium",IF($H349=4,"Low","Resilient"))))))</f>
        <v/>
      </c>
      <c r="J349" s="37" t="str">
        <f t="shared" si="76"/>
        <v/>
      </c>
      <c r="K349" s="37" t="str">
        <f t="shared" si="77"/>
        <v/>
      </c>
      <c r="L349" s="37" t="str">
        <f t="shared" si="78"/>
        <v/>
      </c>
      <c r="M349" s="37" t="str">
        <f t="shared" si="79"/>
        <v/>
      </c>
      <c r="N349" s="37" t="str">
        <f>IF($H349="","",IFERROR(INDEX('Risk Library'!$T$5:$Y$411,MATCH($E349,'Risk Library'!$A$5:$A$411,0),$H349+1),""))</f>
        <v/>
      </c>
      <c r="O349" s="37" t="str">
        <f t="shared" si="80"/>
        <v/>
      </c>
      <c r="P349" s="37" t="str">
        <f t="shared" si="81"/>
        <v/>
      </c>
      <c r="Q349" s="37" t="str">
        <f t="shared" si="82"/>
        <v/>
      </c>
      <c r="R349" s="37" t="str">
        <f t="shared" si="83"/>
        <v/>
      </c>
      <c r="S349" s="38" t="str">
        <f t="shared" si="84"/>
        <v/>
      </c>
      <c r="T349" s="36" t="str">
        <f>IF($H349="","",IFERROR(INDEX('Risk Library'!$N$5:$S$411,MATCH($E349,'Risk Library'!$A$5:$A$411,0),$H349+1),""))</f>
        <v/>
      </c>
      <c r="U349" s="37">
        <f>IFERROR('Data BI AI'!$G$20,"")</f>
        <v>4</v>
      </c>
      <c r="V349" s="37">
        <f>IFERROR('Data BI AI'!$W$20,"")</f>
        <v>5</v>
      </c>
      <c r="W349" s="37">
        <f>IFERROR('Data BI AI'!$X$20,"")</f>
        <v>5</v>
      </c>
      <c r="X349" s="37">
        <f>IFERROR('Data BI AI'!$Y$20,"")</f>
        <v>5</v>
      </c>
      <c r="Y349" s="36" t="s">
        <v>5205</v>
      </c>
      <c r="Z349" s="36" t="s">
        <v>5206</v>
      </c>
      <c r="AA349" s="36" t="s">
        <v>5350</v>
      </c>
      <c r="AB349" s="36">
        <f>IFERROR('Data BI AI'!$U$20,"")</f>
        <v>0</v>
      </c>
      <c r="AC349" s="36"/>
      <c r="AD349" s="36"/>
      <c r="AE349" s="36"/>
      <c r="AF349" s="36" t="s">
        <v>5349</v>
      </c>
      <c r="AO349" s="48" t="str">
        <f>IF($B349="Yes",IFERROR(SUMIFS(_TECH_Crisis_Model!$D$5:$D$191,_TECH_Crisis_Model!$A$5:$A$191,'Crisis Simulator'!$B$4,_TECH_Crisis_Model!$B$5:$B$191,$C349),1),"")</f>
        <v/>
      </c>
      <c r="AP349" s="48" t="str">
        <f t="shared" si="85"/>
        <v/>
      </c>
      <c r="AQ349" s="48" t="str">
        <f t="shared" si="86"/>
        <v/>
      </c>
      <c r="AR349" s="48" t="str">
        <f>IFERROR(INDEX(_TECH_Crisis_Model!$E$5:$E$191,MATCH('Crisis Simulator'!$B$4&amp;"|"&amp;$C349,_TECH_Crisis_Model!$I$5:$I$191,0)),"")</f>
        <v>Data quality, BI and analytics determine decision visibility and forecasting under stress.</v>
      </c>
      <c r="AS349" s="48" t="str">
        <f>IFERROR(INDEX(_TECH_Crisis_Model!$G$5:$G$191,MATCH('Crisis Simulator'!$B$4&amp;"|"&amp;$C349,_TECH_Crisis_Model!$I$5:$I$191,0)),"")</f>
        <v>Assign data owners, improve data quality, dashboards, forecasting and AI governance.</v>
      </c>
      <c r="AT349" s="48" t="str">
        <f>IFERROR(INDEX(_TECH_Initiative_Library!$A$5:$A$76,MATCH(1,INDEX((_TECH_Initiative_Library!$B$5:$B$76=$C349)*(_TECH_Initiative_Library!$C$5:$C$76=$D349),0),0)),"")</f>
        <v>INI-060</v>
      </c>
      <c r="AU349" s="48" t="str">
        <f>IFERROR(INDEX(_TECH_Initiative_Library!$F$5:$F$76,MATCH(1,INDEX((_TECH_Initiative_Library!$B$5:$B$76=$C349)*(_TECH_Initiative_Library!$C$5:$C$76=$D349),0),0)),"")</f>
        <v>Create BI analytics layer for crisis and operational decisions</v>
      </c>
      <c r="AV349" s="48" t="str">
        <f ca="1">IFERROR(INDEX(_TECH_Initiative_Library!$AC$5:$AC$76,MATCH(1,INDEX((_TECH_Initiative_Library!$B$5:$B$76=$C349)*(_TECH_Initiative_Library!$C$5:$C$76=$D349),0),0)),"")</f>
        <v/>
      </c>
      <c r="AW349" s="48" t="str">
        <f ca="1">IFERROR(INDEX(_TECH_Initiative_Library!$AE$5:$AE$76,MATCH(1,INDEX((_TECH_Initiative_Library!$B$5:$B$76=$C349)*(_TECH_Initiative_Library!$C$5:$C$76=$D349),0),0)),"")</f>
        <v/>
      </c>
      <c r="AX349" s="48" t="str">
        <f>IF($B349="Yes",IFERROR(SUMIFS(_TECH_Industry_Templates!$E:$E,_TECH_Industry_Templates!$A:$A,'Company Profile'!$B$9,_TECH_Industry_Templates!$B:$B,$C349),1),"")</f>
        <v/>
      </c>
      <c r="AY349" s="48" t="str">
        <f t="shared" si="87"/>
        <v/>
      </c>
      <c r="AZ349" s="48" t="str">
        <f t="shared" si="88"/>
        <v/>
      </c>
      <c r="BA349" s="48" t="str">
        <f>IF($AZ349="","",RANK.EQ($AZ349,$AZ$8:$AZ$414,0)+COUNTIF($AZ$8:$AZ349,$AZ349)-1)</f>
        <v/>
      </c>
    </row>
    <row r="350" spans="1:53" ht="69.95" customHeight="1">
      <c r="A350" s="36" t="str">
        <f>IF($AZ350="","",RANK.EQ($AZ350,$AZ$8:$AZ$414,0)+COUNTIF($AZ$8:$AZ350,$AZ350)-1)</f>
        <v/>
      </c>
      <c r="B350" s="36" t="str">
        <f t="shared" si="75"/>
        <v/>
      </c>
      <c r="C350" s="36" t="s">
        <v>92</v>
      </c>
      <c r="D350" s="36" t="s">
        <v>1557</v>
      </c>
      <c r="E350" s="36" t="s">
        <v>5358</v>
      </c>
      <c r="F350" s="36" t="s">
        <v>1540</v>
      </c>
      <c r="G350" s="36" t="str">
        <f>IF($H350="","",IFERROR(INDEX('Risk Library'!$H$5:$M$411,MATCH($E350,'Risk Library'!$A$5:$A$411,0),$H350+1),""))</f>
        <v/>
      </c>
      <c r="H350" s="37" t="str">
        <f>IF(OR(COUNTA('Data BI AI'!$H$21)=0,'Data BI AI'!$H$21="N/A"),"",VALUE('Data BI AI'!$H$21))</f>
        <v/>
      </c>
      <c r="I350" s="36" t="str">
        <f>IF($H350="","",IFERROR(IF('Data BI AI'!$L$21="",IF($H350&lt;=1,"Critical",IF($H350=2,"High",IF($H350=3,"Medium",IF($H350=4,"Low","Resilient")))),'Data BI AI'!$L$21),IF($H350&lt;=1,"Critical",IF($H350=2,"High",IF($H350=3,"Medium",IF($H350=4,"Low","Resilient"))))))</f>
        <v/>
      </c>
      <c r="J350" s="37" t="str">
        <f t="shared" si="76"/>
        <v/>
      </c>
      <c r="K350" s="37" t="str">
        <f t="shared" si="77"/>
        <v/>
      </c>
      <c r="L350" s="37" t="str">
        <f t="shared" si="78"/>
        <v/>
      </c>
      <c r="M350" s="37" t="str">
        <f t="shared" si="79"/>
        <v/>
      </c>
      <c r="N350" s="37" t="str">
        <f>IF($H350="","",IFERROR(INDEX('Risk Library'!$T$5:$Y$411,MATCH($E350,'Risk Library'!$A$5:$A$411,0),$H350+1),""))</f>
        <v/>
      </c>
      <c r="O350" s="37" t="str">
        <f t="shared" si="80"/>
        <v/>
      </c>
      <c r="P350" s="37" t="str">
        <f t="shared" si="81"/>
        <v/>
      </c>
      <c r="Q350" s="37" t="str">
        <f t="shared" si="82"/>
        <v/>
      </c>
      <c r="R350" s="37" t="str">
        <f t="shared" si="83"/>
        <v/>
      </c>
      <c r="S350" s="38" t="str">
        <f t="shared" si="84"/>
        <v/>
      </c>
      <c r="T350" s="36" t="str">
        <f>IF($H350="","",IFERROR(INDEX('Risk Library'!$N$5:$S$411,MATCH($E350,'Risk Library'!$A$5:$A$411,0),$H350+1),""))</f>
        <v/>
      </c>
      <c r="U350" s="37">
        <f>IFERROR('Data BI AI'!$G$21,"")</f>
        <v>5</v>
      </c>
      <c r="V350" s="37">
        <f>IFERROR('Data BI AI'!$W$21,"")</f>
        <v>5</v>
      </c>
      <c r="W350" s="37">
        <f>IFERROR('Data BI AI'!$X$21,"")</f>
        <v>5</v>
      </c>
      <c r="X350" s="37">
        <f>IFERROR('Data BI AI'!$Y$21,"")</f>
        <v>5</v>
      </c>
      <c r="Y350" s="36" t="s">
        <v>5205</v>
      </c>
      <c r="Z350" s="36" t="s">
        <v>5206</v>
      </c>
      <c r="AA350" s="36" t="s">
        <v>5360</v>
      </c>
      <c r="AB350" s="36">
        <f>IFERROR('Data BI AI'!$U$21,"")</f>
        <v>0</v>
      </c>
      <c r="AC350" s="36"/>
      <c r="AD350" s="36"/>
      <c r="AE350" s="36"/>
      <c r="AF350" s="36" t="s">
        <v>5359</v>
      </c>
      <c r="AO350" s="48" t="str">
        <f>IF($B350="Yes",IFERROR(SUMIFS(_TECH_Crisis_Model!$D$5:$D$191,_TECH_Crisis_Model!$A$5:$A$191,'Crisis Simulator'!$B$4,_TECH_Crisis_Model!$B$5:$B$191,$C350),1),"")</f>
        <v/>
      </c>
      <c r="AP350" s="48" t="str">
        <f t="shared" si="85"/>
        <v/>
      </c>
      <c r="AQ350" s="48" t="str">
        <f t="shared" si="86"/>
        <v/>
      </c>
      <c r="AR350" s="48" t="str">
        <f>IFERROR(INDEX(_TECH_Crisis_Model!$E$5:$E$191,MATCH('Crisis Simulator'!$B$4&amp;"|"&amp;$C350,_TECH_Crisis_Model!$I$5:$I$191,0)),"")</f>
        <v>Data quality, BI and analytics determine decision visibility and forecasting under stress.</v>
      </c>
      <c r="AS350" s="48" t="str">
        <f>IFERROR(INDEX(_TECH_Crisis_Model!$G$5:$G$191,MATCH('Crisis Simulator'!$B$4&amp;"|"&amp;$C350,_TECH_Crisis_Model!$I$5:$I$191,0)),"")</f>
        <v>Assign data owners, improve data quality, dashboards, forecasting and AI governance.</v>
      </c>
      <c r="AT350" s="48" t="str">
        <f>IFERROR(INDEX(_TECH_Initiative_Library!$A$5:$A$76,MATCH(1,INDEX((_TECH_Initiative_Library!$B$5:$B$76=$C350)*(_TECH_Initiative_Library!$C$5:$C$76=$D350),0),0)),"")</f>
        <v>INI-060</v>
      </c>
      <c r="AU350" s="48" t="str">
        <f>IFERROR(INDEX(_TECH_Initiative_Library!$F$5:$F$76,MATCH(1,INDEX((_TECH_Initiative_Library!$B$5:$B$76=$C350)*(_TECH_Initiative_Library!$C$5:$C$76=$D350),0),0)),"")</f>
        <v>Create BI analytics layer for crisis and operational decisions</v>
      </c>
      <c r="AV350" s="48" t="str">
        <f ca="1">IFERROR(INDEX(_TECH_Initiative_Library!$AC$5:$AC$76,MATCH(1,INDEX((_TECH_Initiative_Library!$B$5:$B$76=$C350)*(_TECH_Initiative_Library!$C$5:$C$76=$D350),0),0)),"")</f>
        <v/>
      </c>
      <c r="AW350" s="48" t="str">
        <f ca="1">IFERROR(INDEX(_TECH_Initiative_Library!$AE$5:$AE$76,MATCH(1,INDEX((_TECH_Initiative_Library!$B$5:$B$76=$C350)*(_TECH_Initiative_Library!$C$5:$C$76=$D350),0),0)),"")</f>
        <v/>
      </c>
      <c r="AX350" s="48" t="str">
        <f>IF($B350="Yes",IFERROR(SUMIFS(_TECH_Industry_Templates!$E:$E,_TECH_Industry_Templates!$A:$A,'Company Profile'!$B$9,_TECH_Industry_Templates!$B:$B,$C350),1),"")</f>
        <v/>
      </c>
      <c r="AY350" s="48" t="str">
        <f t="shared" si="87"/>
        <v/>
      </c>
      <c r="AZ350" s="48" t="str">
        <f t="shared" si="88"/>
        <v/>
      </c>
      <c r="BA350" s="48" t="str">
        <f>IF($AZ350="","",RANK.EQ($AZ350,$AZ$8:$AZ$414,0)+COUNTIF($AZ$8:$AZ350,$AZ350)-1)</f>
        <v/>
      </c>
    </row>
    <row r="351" spans="1:53" ht="69.95" customHeight="1">
      <c r="A351" s="36" t="str">
        <f>IF($AZ351="","",RANK.EQ($AZ351,$AZ$8:$AZ$414,0)+COUNTIF($AZ$8:$AZ351,$AZ351)-1)</f>
        <v/>
      </c>
      <c r="B351" s="36" t="str">
        <f t="shared" si="75"/>
        <v/>
      </c>
      <c r="C351" s="36" t="s">
        <v>92</v>
      </c>
      <c r="D351" s="36" t="s">
        <v>1557</v>
      </c>
      <c r="E351" s="36" t="s">
        <v>5368</v>
      </c>
      <c r="F351" s="36" t="s">
        <v>1540</v>
      </c>
      <c r="G351" s="36" t="str">
        <f>IF($H351="","",IFERROR(INDEX('Risk Library'!$H$5:$M$411,MATCH($E351,'Risk Library'!$A$5:$A$411,0),$H351+1),""))</f>
        <v/>
      </c>
      <c r="H351" s="37" t="str">
        <f>IF(OR(COUNTA('Data BI AI'!$H$22)=0,'Data BI AI'!$H$22="N/A"),"",VALUE('Data BI AI'!$H$22))</f>
        <v/>
      </c>
      <c r="I351" s="36" t="str">
        <f>IF($H351="","",IFERROR(IF('Data BI AI'!$L$22="",IF($H351&lt;=1,"Critical",IF($H351=2,"High",IF($H351=3,"Medium",IF($H351=4,"Low","Resilient")))),'Data BI AI'!$L$22),IF($H351&lt;=1,"Critical",IF($H351=2,"High",IF($H351=3,"Medium",IF($H351=4,"Low","Resilient"))))))</f>
        <v/>
      </c>
      <c r="J351" s="37" t="str">
        <f t="shared" si="76"/>
        <v/>
      </c>
      <c r="K351" s="37" t="str">
        <f t="shared" si="77"/>
        <v/>
      </c>
      <c r="L351" s="37" t="str">
        <f t="shared" si="78"/>
        <v/>
      </c>
      <c r="M351" s="37" t="str">
        <f t="shared" si="79"/>
        <v/>
      </c>
      <c r="N351" s="37" t="str">
        <f>IF($H351="","",IFERROR(INDEX('Risk Library'!$T$5:$Y$411,MATCH($E351,'Risk Library'!$A$5:$A$411,0),$H351+1),""))</f>
        <v/>
      </c>
      <c r="O351" s="37" t="str">
        <f t="shared" si="80"/>
        <v/>
      </c>
      <c r="P351" s="37" t="str">
        <f t="shared" si="81"/>
        <v/>
      </c>
      <c r="Q351" s="37" t="str">
        <f t="shared" si="82"/>
        <v/>
      </c>
      <c r="R351" s="37" t="str">
        <f t="shared" si="83"/>
        <v/>
      </c>
      <c r="S351" s="38" t="str">
        <f t="shared" si="84"/>
        <v/>
      </c>
      <c r="T351" s="36" t="str">
        <f>IF($H351="","",IFERROR(INDEX('Risk Library'!$N$5:$S$411,MATCH($E351,'Risk Library'!$A$5:$A$411,0),$H351+1),""))</f>
        <v/>
      </c>
      <c r="U351" s="37">
        <f>IFERROR('Data BI AI'!$G$22,"")</f>
        <v>5</v>
      </c>
      <c r="V351" s="37">
        <f>IFERROR('Data BI AI'!$W$22,"")</f>
        <v>5</v>
      </c>
      <c r="W351" s="37">
        <f>IFERROR('Data BI AI'!$X$22,"")</f>
        <v>5</v>
      </c>
      <c r="X351" s="37">
        <f>IFERROR('Data BI AI'!$Y$22,"")</f>
        <v>5</v>
      </c>
      <c r="Y351" s="36" t="s">
        <v>5205</v>
      </c>
      <c r="Z351" s="36" t="s">
        <v>5206</v>
      </c>
      <c r="AA351" s="36" t="s">
        <v>5370</v>
      </c>
      <c r="AB351" s="36">
        <f>IFERROR('Data BI AI'!$U$22,"")</f>
        <v>0</v>
      </c>
      <c r="AC351" s="36"/>
      <c r="AD351" s="36"/>
      <c r="AE351" s="36"/>
      <c r="AF351" s="36" t="s">
        <v>5369</v>
      </c>
      <c r="AO351" s="48" t="str">
        <f>IF($B351="Yes",IFERROR(SUMIFS(_TECH_Crisis_Model!$D$5:$D$191,_TECH_Crisis_Model!$A$5:$A$191,'Crisis Simulator'!$B$4,_TECH_Crisis_Model!$B$5:$B$191,$C351),1),"")</f>
        <v/>
      </c>
      <c r="AP351" s="48" t="str">
        <f t="shared" si="85"/>
        <v/>
      </c>
      <c r="AQ351" s="48" t="str">
        <f t="shared" si="86"/>
        <v/>
      </c>
      <c r="AR351" s="48" t="str">
        <f>IFERROR(INDEX(_TECH_Crisis_Model!$E$5:$E$191,MATCH('Crisis Simulator'!$B$4&amp;"|"&amp;$C351,_TECH_Crisis_Model!$I$5:$I$191,0)),"")</f>
        <v>Data quality, BI and analytics determine decision visibility and forecasting under stress.</v>
      </c>
      <c r="AS351" s="48" t="str">
        <f>IFERROR(INDEX(_TECH_Crisis_Model!$G$5:$G$191,MATCH('Crisis Simulator'!$B$4&amp;"|"&amp;$C351,_TECH_Crisis_Model!$I$5:$I$191,0)),"")</f>
        <v>Assign data owners, improve data quality, dashboards, forecasting and AI governance.</v>
      </c>
      <c r="AT351" s="48" t="str">
        <f>IFERROR(INDEX(_TECH_Initiative_Library!$A$5:$A$76,MATCH(1,INDEX((_TECH_Initiative_Library!$B$5:$B$76=$C351)*(_TECH_Initiative_Library!$C$5:$C$76=$D351),0),0)),"")</f>
        <v>INI-060</v>
      </c>
      <c r="AU351" s="48" t="str">
        <f>IFERROR(INDEX(_TECH_Initiative_Library!$F$5:$F$76,MATCH(1,INDEX((_TECH_Initiative_Library!$B$5:$B$76=$C351)*(_TECH_Initiative_Library!$C$5:$C$76=$D351),0),0)),"")</f>
        <v>Create BI analytics layer for crisis and operational decisions</v>
      </c>
      <c r="AV351" s="48" t="str">
        <f ca="1">IFERROR(INDEX(_TECH_Initiative_Library!$AC$5:$AC$76,MATCH(1,INDEX((_TECH_Initiative_Library!$B$5:$B$76=$C351)*(_TECH_Initiative_Library!$C$5:$C$76=$D351),0),0)),"")</f>
        <v/>
      </c>
      <c r="AW351" s="48" t="str">
        <f ca="1">IFERROR(INDEX(_TECH_Initiative_Library!$AE$5:$AE$76,MATCH(1,INDEX((_TECH_Initiative_Library!$B$5:$B$76=$C351)*(_TECH_Initiative_Library!$C$5:$C$76=$D351),0),0)),"")</f>
        <v/>
      </c>
      <c r="AX351" s="48" t="str">
        <f>IF($B351="Yes",IFERROR(SUMIFS(_TECH_Industry_Templates!$E:$E,_TECH_Industry_Templates!$A:$A,'Company Profile'!$B$9,_TECH_Industry_Templates!$B:$B,$C351),1),"")</f>
        <v/>
      </c>
      <c r="AY351" s="48" t="str">
        <f t="shared" si="87"/>
        <v/>
      </c>
      <c r="AZ351" s="48" t="str">
        <f t="shared" si="88"/>
        <v/>
      </c>
      <c r="BA351" s="48" t="str">
        <f>IF($AZ351="","",RANK.EQ($AZ351,$AZ$8:$AZ$414,0)+COUNTIF($AZ$8:$AZ351,$AZ351)-1)</f>
        <v/>
      </c>
    </row>
    <row r="352" spans="1:53" ht="69.95" customHeight="1">
      <c r="A352" s="36" t="str">
        <f>IF($AZ352="","",RANK.EQ($AZ352,$AZ$8:$AZ$414,0)+COUNTIF($AZ$8:$AZ352,$AZ352)-1)</f>
        <v/>
      </c>
      <c r="B352" s="36" t="str">
        <f t="shared" si="75"/>
        <v/>
      </c>
      <c r="C352" s="36" t="s">
        <v>92</v>
      </c>
      <c r="D352" s="36" t="s">
        <v>1565</v>
      </c>
      <c r="E352" s="36" t="s">
        <v>5378</v>
      </c>
      <c r="F352" s="36" t="s">
        <v>1540</v>
      </c>
      <c r="G352" s="36" t="str">
        <f>IF($H352="","",IFERROR(INDEX('Risk Library'!$H$5:$M$411,MATCH($E352,'Risk Library'!$A$5:$A$411,0),$H352+1),""))</f>
        <v/>
      </c>
      <c r="H352" s="37" t="str">
        <f>IF(OR(COUNTA('Data BI AI'!$H$23)=0,'Data BI AI'!$H$23="N/A"),"",VALUE('Data BI AI'!$H$23))</f>
        <v/>
      </c>
      <c r="I352" s="36" t="str">
        <f>IF($H352="","",IFERROR(IF('Data BI AI'!$L$23="",IF($H352&lt;=1,"Critical",IF($H352=2,"High",IF($H352=3,"Medium",IF($H352=4,"Low","Resilient")))),'Data BI AI'!$L$23),IF($H352&lt;=1,"Critical",IF($H352=2,"High",IF($H352=3,"Medium",IF($H352=4,"Low","Resilient"))))))</f>
        <v/>
      </c>
      <c r="J352" s="37" t="str">
        <f t="shared" si="76"/>
        <v/>
      </c>
      <c r="K352" s="37" t="str">
        <f t="shared" si="77"/>
        <v/>
      </c>
      <c r="L352" s="37" t="str">
        <f t="shared" si="78"/>
        <v/>
      </c>
      <c r="M352" s="37" t="str">
        <f t="shared" si="79"/>
        <v/>
      </c>
      <c r="N352" s="37" t="str">
        <f>IF($H352="","",IFERROR(INDEX('Risk Library'!$T$5:$Y$411,MATCH($E352,'Risk Library'!$A$5:$A$411,0),$H352+1),""))</f>
        <v/>
      </c>
      <c r="O352" s="37" t="str">
        <f t="shared" si="80"/>
        <v/>
      </c>
      <c r="P352" s="37" t="str">
        <f t="shared" si="81"/>
        <v/>
      </c>
      <c r="Q352" s="37" t="str">
        <f t="shared" si="82"/>
        <v/>
      </c>
      <c r="R352" s="37" t="str">
        <f t="shared" si="83"/>
        <v/>
      </c>
      <c r="S352" s="38" t="str">
        <f t="shared" si="84"/>
        <v/>
      </c>
      <c r="T352" s="36" t="str">
        <f>IF($H352="","",IFERROR(INDEX('Risk Library'!$N$5:$S$411,MATCH($E352,'Risk Library'!$A$5:$A$411,0),$H352+1),""))</f>
        <v/>
      </c>
      <c r="U352" s="37">
        <f>IFERROR('Data BI AI'!$G$23,"")</f>
        <v>5</v>
      </c>
      <c r="V352" s="37">
        <f>IFERROR('Data BI AI'!$W$23,"")</f>
        <v>5</v>
      </c>
      <c r="W352" s="37">
        <f>IFERROR('Data BI AI'!$X$23,"")</f>
        <v>5</v>
      </c>
      <c r="X352" s="37">
        <f>IFERROR('Data BI AI'!$Y$23,"")</f>
        <v>5</v>
      </c>
      <c r="Y352" s="36" t="s">
        <v>5205</v>
      </c>
      <c r="Z352" s="36" t="s">
        <v>5206</v>
      </c>
      <c r="AA352" s="36" t="s">
        <v>5380</v>
      </c>
      <c r="AB352" s="36">
        <f>IFERROR('Data BI AI'!$U$23,"")</f>
        <v>0</v>
      </c>
      <c r="AC352" s="36"/>
      <c r="AD352" s="36"/>
      <c r="AE352" s="36"/>
      <c r="AF352" s="36" t="s">
        <v>5379</v>
      </c>
      <c r="AO352" s="48" t="str">
        <f>IF($B352="Yes",IFERROR(SUMIFS(_TECH_Crisis_Model!$D$5:$D$191,_TECH_Crisis_Model!$A$5:$A$191,'Crisis Simulator'!$B$4,_TECH_Crisis_Model!$B$5:$B$191,$C352),1),"")</f>
        <v/>
      </c>
      <c r="AP352" s="48" t="str">
        <f t="shared" si="85"/>
        <v/>
      </c>
      <c r="AQ352" s="48" t="str">
        <f t="shared" si="86"/>
        <v/>
      </c>
      <c r="AR352" s="48" t="str">
        <f>IFERROR(INDEX(_TECH_Crisis_Model!$E$5:$E$191,MATCH('Crisis Simulator'!$B$4&amp;"|"&amp;$C352,_TECH_Crisis_Model!$I$5:$I$191,0)),"")</f>
        <v>Data quality, BI and analytics determine decision visibility and forecasting under stress.</v>
      </c>
      <c r="AS352" s="48" t="str">
        <f>IFERROR(INDEX(_TECH_Crisis_Model!$G$5:$G$191,MATCH('Crisis Simulator'!$B$4&amp;"|"&amp;$C352,_TECH_Crisis_Model!$I$5:$I$191,0)),"")</f>
        <v>Assign data owners, improve data quality, dashboards, forecasting and AI governance.</v>
      </c>
      <c r="AT352" s="48" t="str">
        <f>IFERROR(INDEX(_TECH_Initiative_Library!$A$5:$A$76,MATCH(1,INDEX((_TECH_Initiative_Library!$B$5:$B$76=$C352)*(_TECH_Initiative_Library!$C$5:$C$76=$D352),0),0)),"")</f>
        <v>INI-061</v>
      </c>
      <c r="AU352" s="48" t="str">
        <f>IFERROR(INDEX(_TECH_Initiative_Library!$F$5:$F$76,MATCH(1,INDEX((_TECH_Initiative_Library!$B$5:$B$76=$C352)*(_TECH_Initiative_Library!$C$5:$C$76=$D352),0),0)),"")</f>
        <v>Build forecasting and scenario analytics capability</v>
      </c>
      <c r="AV352" s="48" t="str">
        <f ca="1">IFERROR(INDEX(_TECH_Initiative_Library!$AC$5:$AC$76,MATCH(1,INDEX((_TECH_Initiative_Library!$B$5:$B$76=$C352)*(_TECH_Initiative_Library!$C$5:$C$76=$D352),0),0)),"")</f>
        <v/>
      </c>
      <c r="AW352" s="48" t="str">
        <f ca="1">IFERROR(INDEX(_TECH_Initiative_Library!$AE$5:$AE$76,MATCH(1,INDEX((_TECH_Initiative_Library!$B$5:$B$76=$C352)*(_TECH_Initiative_Library!$C$5:$C$76=$D352),0),0)),"")</f>
        <v/>
      </c>
      <c r="AX352" s="48" t="str">
        <f>IF($B352="Yes",IFERROR(SUMIFS(_TECH_Industry_Templates!$E:$E,_TECH_Industry_Templates!$A:$A,'Company Profile'!$B$9,_TECH_Industry_Templates!$B:$B,$C352),1),"")</f>
        <v/>
      </c>
      <c r="AY352" s="48" t="str">
        <f t="shared" si="87"/>
        <v/>
      </c>
      <c r="AZ352" s="48" t="str">
        <f t="shared" si="88"/>
        <v/>
      </c>
      <c r="BA352" s="48" t="str">
        <f>IF($AZ352="","",RANK.EQ($AZ352,$AZ$8:$AZ$414,0)+COUNTIF($AZ$8:$AZ352,$AZ352)-1)</f>
        <v/>
      </c>
    </row>
    <row r="353" spans="1:53" ht="69.95" customHeight="1">
      <c r="A353" s="36" t="str">
        <f>IF($AZ353="","",RANK.EQ($AZ353,$AZ$8:$AZ$414,0)+COUNTIF($AZ$8:$AZ353,$AZ353)-1)</f>
        <v/>
      </c>
      <c r="B353" s="36" t="str">
        <f t="shared" si="75"/>
        <v/>
      </c>
      <c r="C353" s="36" t="s">
        <v>92</v>
      </c>
      <c r="D353" s="36" t="s">
        <v>1565</v>
      </c>
      <c r="E353" s="36" t="s">
        <v>5388</v>
      </c>
      <c r="F353" s="36" t="s">
        <v>1540</v>
      </c>
      <c r="G353" s="36" t="str">
        <f>IF($H353="","",IFERROR(INDEX('Risk Library'!$H$5:$M$411,MATCH($E353,'Risk Library'!$A$5:$A$411,0),$H353+1),""))</f>
        <v/>
      </c>
      <c r="H353" s="37" t="str">
        <f>IF(OR(COUNTA('Data BI AI'!$H$24)=0,'Data BI AI'!$H$24="N/A"),"",VALUE('Data BI AI'!$H$24))</f>
        <v/>
      </c>
      <c r="I353" s="36" t="str">
        <f>IF($H353="","",IFERROR(IF('Data BI AI'!$L$24="",IF($H353&lt;=1,"Critical",IF($H353=2,"High",IF($H353=3,"Medium",IF($H353=4,"Low","Resilient")))),'Data BI AI'!$L$24),IF($H353&lt;=1,"Critical",IF($H353=2,"High",IF($H353=3,"Medium",IF($H353=4,"Low","Resilient"))))))</f>
        <v/>
      </c>
      <c r="J353" s="37" t="str">
        <f t="shared" si="76"/>
        <v/>
      </c>
      <c r="K353" s="37" t="str">
        <f t="shared" si="77"/>
        <v/>
      </c>
      <c r="L353" s="37" t="str">
        <f t="shared" si="78"/>
        <v/>
      </c>
      <c r="M353" s="37" t="str">
        <f t="shared" si="79"/>
        <v/>
      </c>
      <c r="N353" s="37" t="str">
        <f>IF($H353="","",IFERROR(INDEX('Risk Library'!$T$5:$Y$411,MATCH($E353,'Risk Library'!$A$5:$A$411,0),$H353+1),""))</f>
        <v/>
      </c>
      <c r="O353" s="37" t="str">
        <f t="shared" si="80"/>
        <v/>
      </c>
      <c r="P353" s="37" t="str">
        <f t="shared" si="81"/>
        <v/>
      </c>
      <c r="Q353" s="37" t="str">
        <f t="shared" si="82"/>
        <v/>
      </c>
      <c r="R353" s="37" t="str">
        <f t="shared" si="83"/>
        <v/>
      </c>
      <c r="S353" s="38" t="str">
        <f t="shared" si="84"/>
        <v/>
      </c>
      <c r="T353" s="36" t="str">
        <f>IF($H353="","",IFERROR(INDEX('Risk Library'!$N$5:$S$411,MATCH($E353,'Risk Library'!$A$5:$A$411,0),$H353+1),""))</f>
        <v/>
      </c>
      <c r="U353" s="37">
        <f>IFERROR('Data BI AI'!$G$24,"")</f>
        <v>5</v>
      </c>
      <c r="V353" s="37">
        <f>IFERROR('Data BI AI'!$W$24,"")</f>
        <v>5</v>
      </c>
      <c r="W353" s="37">
        <f>IFERROR('Data BI AI'!$X$24,"")</f>
        <v>5</v>
      </c>
      <c r="X353" s="37">
        <f>IFERROR('Data BI AI'!$Y$24,"")</f>
        <v>5</v>
      </c>
      <c r="Y353" s="36" t="s">
        <v>5205</v>
      </c>
      <c r="Z353" s="36" t="s">
        <v>5206</v>
      </c>
      <c r="AA353" s="36" t="s">
        <v>5390</v>
      </c>
      <c r="AB353" s="36">
        <f>IFERROR('Data BI AI'!$U$24,"")</f>
        <v>0</v>
      </c>
      <c r="AC353" s="36"/>
      <c r="AD353" s="36"/>
      <c r="AE353" s="36"/>
      <c r="AF353" s="36" t="s">
        <v>5389</v>
      </c>
      <c r="AO353" s="48" t="str">
        <f>IF($B353="Yes",IFERROR(SUMIFS(_TECH_Crisis_Model!$D$5:$D$191,_TECH_Crisis_Model!$A$5:$A$191,'Crisis Simulator'!$B$4,_TECH_Crisis_Model!$B$5:$B$191,$C353),1),"")</f>
        <v/>
      </c>
      <c r="AP353" s="48" t="str">
        <f t="shared" si="85"/>
        <v/>
      </c>
      <c r="AQ353" s="48" t="str">
        <f t="shared" si="86"/>
        <v/>
      </c>
      <c r="AR353" s="48" t="str">
        <f>IFERROR(INDEX(_TECH_Crisis_Model!$E$5:$E$191,MATCH('Crisis Simulator'!$B$4&amp;"|"&amp;$C353,_TECH_Crisis_Model!$I$5:$I$191,0)),"")</f>
        <v>Data quality, BI and analytics determine decision visibility and forecasting under stress.</v>
      </c>
      <c r="AS353" s="48" t="str">
        <f>IFERROR(INDEX(_TECH_Crisis_Model!$G$5:$G$191,MATCH('Crisis Simulator'!$B$4&amp;"|"&amp;$C353,_TECH_Crisis_Model!$I$5:$I$191,0)),"")</f>
        <v>Assign data owners, improve data quality, dashboards, forecasting and AI governance.</v>
      </c>
      <c r="AT353" s="48" t="str">
        <f>IFERROR(INDEX(_TECH_Initiative_Library!$A$5:$A$76,MATCH(1,INDEX((_TECH_Initiative_Library!$B$5:$B$76=$C353)*(_TECH_Initiative_Library!$C$5:$C$76=$D353),0),0)),"")</f>
        <v>INI-061</v>
      </c>
      <c r="AU353" s="48" t="str">
        <f>IFERROR(INDEX(_TECH_Initiative_Library!$F$5:$F$76,MATCH(1,INDEX((_TECH_Initiative_Library!$B$5:$B$76=$C353)*(_TECH_Initiative_Library!$C$5:$C$76=$D353),0),0)),"")</f>
        <v>Build forecasting and scenario analytics capability</v>
      </c>
      <c r="AV353" s="48" t="str">
        <f ca="1">IFERROR(INDEX(_TECH_Initiative_Library!$AC$5:$AC$76,MATCH(1,INDEX((_TECH_Initiative_Library!$B$5:$B$76=$C353)*(_TECH_Initiative_Library!$C$5:$C$76=$D353),0),0)),"")</f>
        <v/>
      </c>
      <c r="AW353" s="48" t="str">
        <f ca="1">IFERROR(INDEX(_TECH_Initiative_Library!$AE$5:$AE$76,MATCH(1,INDEX((_TECH_Initiative_Library!$B$5:$B$76=$C353)*(_TECH_Initiative_Library!$C$5:$C$76=$D353),0),0)),"")</f>
        <v/>
      </c>
      <c r="AX353" s="48" t="str">
        <f>IF($B353="Yes",IFERROR(SUMIFS(_TECH_Industry_Templates!$E:$E,_TECH_Industry_Templates!$A:$A,'Company Profile'!$B$9,_TECH_Industry_Templates!$B:$B,$C353),1),"")</f>
        <v/>
      </c>
      <c r="AY353" s="48" t="str">
        <f t="shared" si="87"/>
        <v/>
      </c>
      <c r="AZ353" s="48" t="str">
        <f t="shared" si="88"/>
        <v/>
      </c>
      <c r="BA353" s="48" t="str">
        <f>IF($AZ353="","",RANK.EQ($AZ353,$AZ$8:$AZ$414,0)+COUNTIF($AZ$8:$AZ353,$AZ353)-1)</f>
        <v/>
      </c>
    </row>
    <row r="354" spans="1:53" ht="69.95" customHeight="1">
      <c r="A354" s="36" t="str">
        <f>IF($AZ354="","",RANK.EQ($AZ354,$AZ$8:$AZ$414,0)+COUNTIF($AZ$8:$AZ354,$AZ354)-1)</f>
        <v/>
      </c>
      <c r="B354" s="36" t="str">
        <f t="shared" si="75"/>
        <v/>
      </c>
      <c r="C354" s="36" t="s">
        <v>92</v>
      </c>
      <c r="D354" s="36" t="s">
        <v>1565</v>
      </c>
      <c r="E354" s="36" t="s">
        <v>5398</v>
      </c>
      <c r="F354" s="36" t="s">
        <v>1540</v>
      </c>
      <c r="G354" s="36" t="str">
        <f>IF($H354="","",IFERROR(INDEX('Risk Library'!$H$5:$M$411,MATCH($E354,'Risk Library'!$A$5:$A$411,0),$H354+1),""))</f>
        <v/>
      </c>
      <c r="H354" s="37" t="str">
        <f>IF(OR(COUNTA('Data BI AI'!$H$25)=0,'Data BI AI'!$H$25="N/A"),"",VALUE('Data BI AI'!$H$25))</f>
        <v/>
      </c>
      <c r="I354" s="36" t="str">
        <f>IF($H354="","",IFERROR(IF('Data BI AI'!$L$25="",IF($H354&lt;=1,"Critical",IF($H354=2,"High",IF($H354=3,"Medium",IF($H354=4,"Low","Resilient")))),'Data BI AI'!$L$25),IF($H354&lt;=1,"Critical",IF($H354=2,"High",IF($H354=3,"Medium",IF($H354=4,"Low","Resilient"))))))</f>
        <v/>
      </c>
      <c r="J354" s="37" t="str">
        <f t="shared" si="76"/>
        <v/>
      </c>
      <c r="K354" s="37" t="str">
        <f t="shared" si="77"/>
        <v/>
      </c>
      <c r="L354" s="37" t="str">
        <f t="shared" si="78"/>
        <v/>
      </c>
      <c r="M354" s="37" t="str">
        <f t="shared" si="79"/>
        <v/>
      </c>
      <c r="N354" s="37" t="str">
        <f>IF($H354="","",IFERROR(INDEX('Risk Library'!$T$5:$Y$411,MATCH($E354,'Risk Library'!$A$5:$A$411,0),$H354+1),""))</f>
        <v/>
      </c>
      <c r="O354" s="37" t="str">
        <f t="shared" si="80"/>
        <v/>
      </c>
      <c r="P354" s="37" t="str">
        <f t="shared" si="81"/>
        <v/>
      </c>
      <c r="Q354" s="37" t="str">
        <f t="shared" si="82"/>
        <v/>
      </c>
      <c r="R354" s="37" t="str">
        <f t="shared" si="83"/>
        <v/>
      </c>
      <c r="S354" s="38" t="str">
        <f t="shared" si="84"/>
        <v/>
      </c>
      <c r="T354" s="36" t="str">
        <f>IF($H354="","",IFERROR(INDEX('Risk Library'!$N$5:$S$411,MATCH($E354,'Risk Library'!$A$5:$A$411,0),$H354+1),""))</f>
        <v/>
      </c>
      <c r="U354" s="37">
        <f>IFERROR('Data BI AI'!$G$25,"")</f>
        <v>4</v>
      </c>
      <c r="V354" s="37">
        <f>IFERROR('Data BI AI'!$W$25,"")</f>
        <v>5</v>
      </c>
      <c r="W354" s="37">
        <f>IFERROR('Data BI AI'!$X$25,"")</f>
        <v>5</v>
      </c>
      <c r="X354" s="37">
        <f>IFERROR('Data BI AI'!$Y$25,"")</f>
        <v>5</v>
      </c>
      <c r="Y354" s="36" t="s">
        <v>5205</v>
      </c>
      <c r="Z354" s="36" t="s">
        <v>5206</v>
      </c>
      <c r="AA354" s="36" t="s">
        <v>5400</v>
      </c>
      <c r="AB354" s="36">
        <f>IFERROR('Data BI AI'!$U$25,"")</f>
        <v>0</v>
      </c>
      <c r="AC354" s="36"/>
      <c r="AD354" s="36"/>
      <c r="AE354" s="36"/>
      <c r="AF354" s="36" t="s">
        <v>5399</v>
      </c>
      <c r="AO354" s="48" t="str">
        <f>IF($B354="Yes",IFERROR(SUMIFS(_TECH_Crisis_Model!$D$5:$D$191,_TECH_Crisis_Model!$A$5:$A$191,'Crisis Simulator'!$B$4,_TECH_Crisis_Model!$B$5:$B$191,$C354),1),"")</f>
        <v/>
      </c>
      <c r="AP354" s="48" t="str">
        <f t="shared" si="85"/>
        <v/>
      </c>
      <c r="AQ354" s="48" t="str">
        <f t="shared" si="86"/>
        <v/>
      </c>
      <c r="AR354" s="48" t="str">
        <f>IFERROR(INDEX(_TECH_Crisis_Model!$E$5:$E$191,MATCH('Crisis Simulator'!$B$4&amp;"|"&amp;$C354,_TECH_Crisis_Model!$I$5:$I$191,0)),"")</f>
        <v>Data quality, BI and analytics determine decision visibility and forecasting under stress.</v>
      </c>
      <c r="AS354" s="48" t="str">
        <f>IFERROR(INDEX(_TECH_Crisis_Model!$G$5:$G$191,MATCH('Crisis Simulator'!$B$4&amp;"|"&amp;$C354,_TECH_Crisis_Model!$I$5:$I$191,0)),"")</f>
        <v>Assign data owners, improve data quality, dashboards, forecasting and AI governance.</v>
      </c>
      <c r="AT354" s="48" t="str">
        <f>IFERROR(INDEX(_TECH_Initiative_Library!$A$5:$A$76,MATCH(1,INDEX((_TECH_Initiative_Library!$B$5:$B$76=$C354)*(_TECH_Initiative_Library!$C$5:$C$76=$D354),0),0)),"")</f>
        <v>INI-061</v>
      </c>
      <c r="AU354" s="48" t="str">
        <f>IFERROR(INDEX(_TECH_Initiative_Library!$F$5:$F$76,MATCH(1,INDEX((_TECH_Initiative_Library!$B$5:$B$76=$C354)*(_TECH_Initiative_Library!$C$5:$C$76=$D354),0),0)),"")</f>
        <v>Build forecasting and scenario analytics capability</v>
      </c>
      <c r="AV354" s="48" t="str">
        <f ca="1">IFERROR(INDEX(_TECH_Initiative_Library!$AC$5:$AC$76,MATCH(1,INDEX((_TECH_Initiative_Library!$B$5:$B$76=$C354)*(_TECH_Initiative_Library!$C$5:$C$76=$D354),0),0)),"")</f>
        <v/>
      </c>
      <c r="AW354" s="48" t="str">
        <f ca="1">IFERROR(INDEX(_TECH_Initiative_Library!$AE$5:$AE$76,MATCH(1,INDEX((_TECH_Initiative_Library!$B$5:$B$76=$C354)*(_TECH_Initiative_Library!$C$5:$C$76=$D354),0),0)),"")</f>
        <v/>
      </c>
      <c r="AX354" s="48" t="str">
        <f>IF($B354="Yes",IFERROR(SUMIFS(_TECH_Industry_Templates!$E:$E,_TECH_Industry_Templates!$A:$A,'Company Profile'!$B$9,_TECH_Industry_Templates!$B:$B,$C354),1),"")</f>
        <v/>
      </c>
      <c r="AY354" s="48" t="str">
        <f t="shared" si="87"/>
        <v/>
      </c>
      <c r="AZ354" s="48" t="str">
        <f t="shared" si="88"/>
        <v/>
      </c>
      <c r="BA354" s="48" t="str">
        <f>IF($AZ354="","",RANK.EQ($AZ354,$AZ$8:$AZ$414,0)+COUNTIF($AZ$8:$AZ354,$AZ354)-1)</f>
        <v/>
      </c>
    </row>
    <row r="355" spans="1:53" ht="69.95" customHeight="1">
      <c r="A355" s="36" t="str">
        <f>IF($AZ355="","",RANK.EQ($AZ355,$AZ$8:$AZ$414,0)+COUNTIF($AZ$8:$AZ355,$AZ355)-1)</f>
        <v/>
      </c>
      <c r="B355" s="36" t="str">
        <f t="shared" si="75"/>
        <v/>
      </c>
      <c r="C355" s="36" t="s">
        <v>92</v>
      </c>
      <c r="D355" s="36" t="s">
        <v>1565</v>
      </c>
      <c r="E355" s="36" t="s">
        <v>5408</v>
      </c>
      <c r="F355" s="36" t="s">
        <v>1540</v>
      </c>
      <c r="G355" s="36" t="str">
        <f>IF($H355="","",IFERROR(INDEX('Risk Library'!$H$5:$M$411,MATCH($E355,'Risk Library'!$A$5:$A$411,0),$H355+1),""))</f>
        <v/>
      </c>
      <c r="H355" s="37" t="str">
        <f>IF(OR(COUNTA('Data BI AI'!$H$26)=0,'Data BI AI'!$H$26="N/A"),"",VALUE('Data BI AI'!$H$26))</f>
        <v/>
      </c>
      <c r="I355" s="36" t="str">
        <f>IF($H355="","",IFERROR(IF('Data BI AI'!$L$26="",IF($H355&lt;=1,"Critical",IF($H355=2,"High",IF($H355=3,"Medium",IF($H355=4,"Low","Resilient")))),'Data BI AI'!$L$26),IF($H355&lt;=1,"Critical",IF($H355=2,"High",IF($H355=3,"Medium",IF($H355=4,"Low","Resilient"))))))</f>
        <v/>
      </c>
      <c r="J355" s="37" t="str">
        <f t="shared" si="76"/>
        <v/>
      </c>
      <c r="K355" s="37" t="str">
        <f t="shared" si="77"/>
        <v/>
      </c>
      <c r="L355" s="37" t="str">
        <f t="shared" si="78"/>
        <v/>
      </c>
      <c r="M355" s="37" t="str">
        <f t="shared" si="79"/>
        <v/>
      </c>
      <c r="N355" s="37" t="str">
        <f>IF($H355="","",IFERROR(INDEX('Risk Library'!$T$5:$Y$411,MATCH($E355,'Risk Library'!$A$5:$A$411,0),$H355+1),""))</f>
        <v/>
      </c>
      <c r="O355" s="37" t="str">
        <f t="shared" si="80"/>
        <v/>
      </c>
      <c r="P355" s="37" t="str">
        <f t="shared" si="81"/>
        <v/>
      </c>
      <c r="Q355" s="37" t="str">
        <f t="shared" si="82"/>
        <v/>
      </c>
      <c r="R355" s="37" t="str">
        <f t="shared" si="83"/>
        <v/>
      </c>
      <c r="S355" s="38" t="str">
        <f t="shared" si="84"/>
        <v/>
      </c>
      <c r="T355" s="36" t="str">
        <f>IF($H355="","",IFERROR(INDEX('Risk Library'!$N$5:$S$411,MATCH($E355,'Risk Library'!$A$5:$A$411,0),$H355+1),""))</f>
        <v/>
      </c>
      <c r="U355" s="37">
        <f>IFERROR('Data BI AI'!$G$26,"")</f>
        <v>4</v>
      </c>
      <c r="V355" s="37">
        <f>IFERROR('Data BI AI'!$W$26,"")</f>
        <v>5</v>
      </c>
      <c r="W355" s="37">
        <f>IFERROR('Data BI AI'!$X$26,"")</f>
        <v>5</v>
      </c>
      <c r="X355" s="37">
        <f>IFERROR('Data BI AI'!$Y$26,"")</f>
        <v>5</v>
      </c>
      <c r="Y355" s="36" t="s">
        <v>5205</v>
      </c>
      <c r="Z355" s="36" t="s">
        <v>5206</v>
      </c>
      <c r="AA355" s="36" t="s">
        <v>5410</v>
      </c>
      <c r="AB355" s="36">
        <f>IFERROR('Data BI AI'!$U$26,"")</f>
        <v>0</v>
      </c>
      <c r="AC355" s="36"/>
      <c r="AD355" s="36"/>
      <c r="AE355" s="36"/>
      <c r="AF355" s="36" t="s">
        <v>5409</v>
      </c>
      <c r="AO355" s="48" t="str">
        <f>IF($B355="Yes",IFERROR(SUMIFS(_TECH_Crisis_Model!$D$5:$D$191,_TECH_Crisis_Model!$A$5:$A$191,'Crisis Simulator'!$B$4,_TECH_Crisis_Model!$B$5:$B$191,$C355),1),"")</f>
        <v/>
      </c>
      <c r="AP355" s="48" t="str">
        <f t="shared" si="85"/>
        <v/>
      </c>
      <c r="AQ355" s="48" t="str">
        <f t="shared" si="86"/>
        <v/>
      </c>
      <c r="AR355" s="48" t="str">
        <f>IFERROR(INDEX(_TECH_Crisis_Model!$E$5:$E$191,MATCH('Crisis Simulator'!$B$4&amp;"|"&amp;$C355,_TECH_Crisis_Model!$I$5:$I$191,0)),"")</f>
        <v>Data quality, BI and analytics determine decision visibility and forecasting under stress.</v>
      </c>
      <c r="AS355" s="48" t="str">
        <f>IFERROR(INDEX(_TECH_Crisis_Model!$G$5:$G$191,MATCH('Crisis Simulator'!$B$4&amp;"|"&amp;$C355,_TECH_Crisis_Model!$I$5:$I$191,0)),"")</f>
        <v>Assign data owners, improve data quality, dashboards, forecasting and AI governance.</v>
      </c>
      <c r="AT355" s="48" t="str">
        <f>IFERROR(INDEX(_TECH_Initiative_Library!$A$5:$A$76,MATCH(1,INDEX((_TECH_Initiative_Library!$B$5:$B$76=$C355)*(_TECH_Initiative_Library!$C$5:$C$76=$D355),0),0)),"")</f>
        <v>INI-061</v>
      </c>
      <c r="AU355" s="48" t="str">
        <f>IFERROR(INDEX(_TECH_Initiative_Library!$F$5:$F$76,MATCH(1,INDEX((_TECH_Initiative_Library!$B$5:$B$76=$C355)*(_TECH_Initiative_Library!$C$5:$C$76=$D355),0),0)),"")</f>
        <v>Build forecasting and scenario analytics capability</v>
      </c>
      <c r="AV355" s="48" t="str">
        <f ca="1">IFERROR(INDEX(_TECH_Initiative_Library!$AC$5:$AC$76,MATCH(1,INDEX((_TECH_Initiative_Library!$B$5:$B$76=$C355)*(_TECH_Initiative_Library!$C$5:$C$76=$D355),0),0)),"")</f>
        <v/>
      </c>
      <c r="AW355" s="48" t="str">
        <f ca="1">IFERROR(INDEX(_TECH_Initiative_Library!$AE$5:$AE$76,MATCH(1,INDEX((_TECH_Initiative_Library!$B$5:$B$76=$C355)*(_TECH_Initiative_Library!$C$5:$C$76=$D355),0),0)),"")</f>
        <v/>
      </c>
      <c r="AX355" s="48" t="str">
        <f>IF($B355="Yes",IFERROR(SUMIFS(_TECH_Industry_Templates!$E:$E,_TECH_Industry_Templates!$A:$A,'Company Profile'!$B$9,_TECH_Industry_Templates!$B:$B,$C355),1),"")</f>
        <v/>
      </c>
      <c r="AY355" s="48" t="str">
        <f t="shared" si="87"/>
        <v/>
      </c>
      <c r="AZ355" s="48" t="str">
        <f t="shared" si="88"/>
        <v/>
      </c>
      <c r="BA355" s="48" t="str">
        <f>IF($AZ355="","",RANK.EQ($AZ355,$AZ$8:$AZ$414,0)+COUNTIF($AZ$8:$AZ355,$AZ355)-1)</f>
        <v/>
      </c>
    </row>
    <row r="356" spans="1:53" ht="69.95" customHeight="1">
      <c r="A356" s="36" t="str">
        <f>IF($AZ356="","",RANK.EQ($AZ356,$AZ$8:$AZ$414,0)+COUNTIF($AZ$8:$AZ356,$AZ356)-1)</f>
        <v/>
      </c>
      <c r="B356" s="36" t="str">
        <f t="shared" si="75"/>
        <v/>
      </c>
      <c r="C356" s="36" t="s">
        <v>92</v>
      </c>
      <c r="D356" s="36" t="s">
        <v>1573</v>
      </c>
      <c r="E356" s="36" t="s">
        <v>5418</v>
      </c>
      <c r="F356" s="36" t="s">
        <v>1540</v>
      </c>
      <c r="G356" s="36" t="str">
        <f>IF($H356="","",IFERROR(INDEX('Risk Library'!$H$5:$M$411,MATCH($E356,'Risk Library'!$A$5:$A$411,0),$H356+1),""))</f>
        <v/>
      </c>
      <c r="H356" s="37" t="str">
        <f>IF(OR(COUNTA('Data BI AI'!$H$27)=0,'Data BI AI'!$H$27="N/A"),"",VALUE('Data BI AI'!$H$27))</f>
        <v/>
      </c>
      <c r="I356" s="36" t="str">
        <f>IF($H356="","",IFERROR(IF('Data BI AI'!$L$27="",IF($H356&lt;=1,"Critical",IF($H356=2,"High",IF($H356=3,"Medium",IF($H356=4,"Low","Resilient")))),'Data BI AI'!$L$27),IF($H356&lt;=1,"Critical",IF($H356=2,"High",IF($H356=3,"Medium",IF($H356=4,"Low","Resilient"))))))</f>
        <v/>
      </c>
      <c r="J356" s="37" t="str">
        <f t="shared" si="76"/>
        <v/>
      </c>
      <c r="K356" s="37" t="str">
        <f t="shared" si="77"/>
        <v/>
      </c>
      <c r="L356" s="37" t="str">
        <f t="shared" si="78"/>
        <v/>
      </c>
      <c r="M356" s="37" t="str">
        <f t="shared" si="79"/>
        <v/>
      </c>
      <c r="N356" s="37" t="str">
        <f>IF($H356="","",IFERROR(INDEX('Risk Library'!$T$5:$Y$411,MATCH($E356,'Risk Library'!$A$5:$A$411,0),$H356+1),""))</f>
        <v/>
      </c>
      <c r="O356" s="37" t="str">
        <f t="shared" si="80"/>
        <v/>
      </c>
      <c r="P356" s="37" t="str">
        <f t="shared" si="81"/>
        <v/>
      </c>
      <c r="Q356" s="37" t="str">
        <f t="shared" si="82"/>
        <v/>
      </c>
      <c r="R356" s="37" t="str">
        <f t="shared" si="83"/>
        <v/>
      </c>
      <c r="S356" s="38" t="str">
        <f t="shared" si="84"/>
        <v/>
      </c>
      <c r="T356" s="36" t="str">
        <f>IF($H356="","",IFERROR(INDEX('Risk Library'!$N$5:$S$411,MATCH($E356,'Risk Library'!$A$5:$A$411,0),$H356+1),""))</f>
        <v/>
      </c>
      <c r="U356" s="37">
        <f>IFERROR('Data BI AI'!$G$27,"")</f>
        <v>4</v>
      </c>
      <c r="V356" s="37">
        <f>IFERROR('Data BI AI'!$W$27,"")</f>
        <v>5</v>
      </c>
      <c r="W356" s="37">
        <f>IFERROR('Data BI AI'!$X$27,"")</f>
        <v>5</v>
      </c>
      <c r="X356" s="37">
        <f>IFERROR('Data BI AI'!$Y$27,"")</f>
        <v>5</v>
      </c>
      <c r="Y356" s="36" t="s">
        <v>5205</v>
      </c>
      <c r="Z356" s="36" t="s">
        <v>5206</v>
      </c>
      <c r="AA356" s="36" t="s">
        <v>5420</v>
      </c>
      <c r="AB356" s="36">
        <f>IFERROR('Data BI AI'!$U$27,"")</f>
        <v>0</v>
      </c>
      <c r="AC356" s="36"/>
      <c r="AD356" s="36"/>
      <c r="AE356" s="36"/>
      <c r="AF356" s="36" t="s">
        <v>5419</v>
      </c>
      <c r="AO356" s="48" t="str">
        <f>IF($B356="Yes",IFERROR(SUMIFS(_TECH_Crisis_Model!$D$5:$D$191,_TECH_Crisis_Model!$A$5:$A$191,'Crisis Simulator'!$B$4,_TECH_Crisis_Model!$B$5:$B$191,$C356),1),"")</f>
        <v/>
      </c>
      <c r="AP356" s="48" t="str">
        <f t="shared" si="85"/>
        <v/>
      </c>
      <c r="AQ356" s="48" t="str">
        <f t="shared" si="86"/>
        <v/>
      </c>
      <c r="AR356" s="48" t="str">
        <f>IFERROR(INDEX(_TECH_Crisis_Model!$E$5:$E$191,MATCH('Crisis Simulator'!$B$4&amp;"|"&amp;$C356,_TECH_Crisis_Model!$I$5:$I$191,0)),"")</f>
        <v>Data quality, BI and analytics determine decision visibility and forecasting under stress.</v>
      </c>
      <c r="AS356" s="48" t="str">
        <f>IFERROR(INDEX(_TECH_Crisis_Model!$G$5:$G$191,MATCH('Crisis Simulator'!$B$4&amp;"|"&amp;$C356,_TECH_Crisis_Model!$I$5:$I$191,0)),"")</f>
        <v>Assign data owners, improve data quality, dashboards, forecasting and AI governance.</v>
      </c>
      <c r="AT356" s="48" t="str">
        <f>IFERROR(INDEX(_TECH_Initiative_Library!$A$5:$A$76,MATCH(1,INDEX((_TECH_Initiative_Library!$B$5:$B$76=$C356)*(_TECH_Initiative_Library!$C$5:$C$76=$D356),0),0)),"")</f>
        <v>INI-062</v>
      </c>
      <c r="AU356" s="48" t="str">
        <f>IFERROR(INDEX(_TECH_Initiative_Library!$F$5:$F$76,MATCH(1,INDEX((_TECH_Initiative_Library!$B$5:$B$76=$C356)*(_TECH_Initiative_Library!$C$5:$C$76=$D356),0),0)),"")</f>
        <v>Implement AI readiness, governance and use-case portfolio</v>
      </c>
      <c r="AV356" s="48" t="str">
        <f ca="1">IFERROR(INDEX(_TECH_Initiative_Library!$AC$5:$AC$76,MATCH(1,INDEX((_TECH_Initiative_Library!$B$5:$B$76=$C356)*(_TECH_Initiative_Library!$C$5:$C$76=$D356),0),0)),"")</f>
        <v/>
      </c>
      <c r="AW356" s="48" t="str">
        <f ca="1">IFERROR(INDEX(_TECH_Initiative_Library!$AE$5:$AE$76,MATCH(1,INDEX((_TECH_Initiative_Library!$B$5:$B$76=$C356)*(_TECH_Initiative_Library!$C$5:$C$76=$D356),0),0)),"")</f>
        <v/>
      </c>
      <c r="AX356" s="48" t="str">
        <f>IF($B356="Yes",IFERROR(SUMIFS(_TECH_Industry_Templates!$E:$E,_TECH_Industry_Templates!$A:$A,'Company Profile'!$B$9,_TECH_Industry_Templates!$B:$B,$C356),1),"")</f>
        <v/>
      </c>
      <c r="AY356" s="48" t="str">
        <f t="shared" si="87"/>
        <v/>
      </c>
      <c r="AZ356" s="48" t="str">
        <f t="shared" si="88"/>
        <v/>
      </c>
      <c r="BA356" s="48" t="str">
        <f>IF($AZ356="","",RANK.EQ($AZ356,$AZ$8:$AZ$414,0)+COUNTIF($AZ$8:$AZ356,$AZ356)-1)</f>
        <v/>
      </c>
    </row>
    <row r="357" spans="1:53" ht="69.95" customHeight="1">
      <c r="A357" s="36" t="str">
        <f>IF($AZ357="","",RANK.EQ($AZ357,$AZ$8:$AZ$414,0)+COUNTIF($AZ$8:$AZ357,$AZ357)-1)</f>
        <v/>
      </c>
      <c r="B357" s="36" t="str">
        <f t="shared" si="75"/>
        <v/>
      </c>
      <c r="C357" s="36" t="s">
        <v>92</v>
      </c>
      <c r="D357" s="36" t="s">
        <v>1573</v>
      </c>
      <c r="E357" s="36" t="s">
        <v>5428</v>
      </c>
      <c r="F357" s="36" t="s">
        <v>1540</v>
      </c>
      <c r="G357" s="36" t="str">
        <f>IF($H357="","",IFERROR(INDEX('Risk Library'!$H$5:$M$411,MATCH($E357,'Risk Library'!$A$5:$A$411,0),$H357+1),""))</f>
        <v/>
      </c>
      <c r="H357" s="37" t="str">
        <f>IF(OR(COUNTA('Data BI AI'!$H$28)=0,'Data BI AI'!$H$28="N/A"),"",VALUE('Data BI AI'!$H$28))</f>
        <v/>
      </c>
      <c r="I357" s="36" t="str">
        <f>IF($H357="","",IFERROR(IF('Data BI AI'!$L$28="",IF($H357&lt;=1,"Critical",IF($H357=2,"High",IF($H357=3,"Medium",IF($H357=4,"Low","Resilient")))),'Data BI AI'!$L$28),IF($H357&lt;=1,"Critical",IF($H357=2,"High",IF($H357=3,"Medium",IF($H357=4,"Low","Resilient"))))))</f>
        <v/>
      </c>
      <c r="J357" s="37" t="str">
        <f t="shared" si="76"/>
        <v/>
      </c>
      <c r="K357" s="37" t="str">
        <f t="shared" si="77"/>
        <v/>
      </c>
      <c r="L357" s="37" t="str">
        <f t="shared" si="78"/>
        <v/>
      </c>
      <c r="M357" s="37" t="str">
        <f t="shared" si="79"/>
        <v/>
      </c>
      <c r="N357" s="37" t="str">
        <f>IF($H357="","",IFERROR(INDEX('Risk Library'!$T$5:$Y$411,MATCH($E357,'Risk Library'!$A$5:$A$411,0),$H357+1),""))</f>
        <v/>
      </c>
      <c r="O357" s="37" t="str">
        <f t="shared" si="80"/>
        <v/>
      </c>
      <c r="P357" s="37" t="str">
        <f t="shared" si="81"/>
        <v/>
      </c>
      <c r="Q357" s="37" t="str">
        <f t="shared" si="82"/>
        <v/>
      </c>
      <c r="R357" s="37" t="str">
        <f t="shared" si="83"/>
        <v/>
      </c>
      <c r="S357" s="38" t="str">
        <f t="shared" si="84"/>
        <v/>
      </c>
      <c r="T357" s="36" t="str">
        <f>IF($H357="","",IFERROR(INDEX('Risk Library'!$N$5:$S$411,MATCH($E357,'Risk Library'!$A$5:$A$411,0),$H357+1),""))</f>
        <v/>
      </c>
      <c r="U357" s="37">
        <f>IFERROR('Data BI AI'!$G$28,"")</f>
        <v>4</v>
      </c>
      <c r="V357" s="37">
        <f>IFERROR('Data BI AI'!$W$28,"")</f>
        <v>5</v>
      </c>
      <c r="W357" s="37">
        <f>IFERROR('Data BI AI'!$X$28,"")</f>
        <v>5</v>
      </c>
      <c r="X357" s="37">
        <f>IFERROR('Data BI AI'!$Y$28,"")</f>
        <v>5</v>
      </c>
      <c r="Y357" s="36" t="s">
        <v>5205</v>
      </c>
      <c r="Z357" s="36" t="s">
        <v>5206</v>
      </c>
      <c r="AA357" s="36" t="s">
        <v>5430</v>
      </c>
      <c r="AB357" s="36">
        <f>IFERROR('Data BI AI'!$U$28,"")</f>
        <v>0</v>
      </c>
      <c r="AC357" s="36"/>
      <c r="AD357" s="36"/>
      <c r="AE357" s="36"/>
      <c r="AF357" s="36" t="s">
        <v>5429</v>
      </c>
      <c r="AO357" s="48" t="str">
        <f>IF($B357="Yes",IFERROR(SUMIFS(_TECH_Crisis_Model!$D$5:$D$191,_TECH_Crisis_Model!$A$5:$A$191,'Crisis Simulator'!$B$4,_TECH_Crisis_Model!$B$5:$B$191,$C357),1),"")</f>
        <v/>
      </c>
      <c r="AP357" s="48" t="str">
        <f t="shared" si="85"/>
        <v/>
      </c>
      <c r="AQ357" s="48" t="str">
        <f t="shared" si="86"/>
        <v/>
      </c>
      <c r="AR357" s="48" t="str">
        <f>IFERROR(INDEX(_TECH_Crisis_Model!$E$5:$E$191,MATCH('Crisis Simulator'!$B$4&amp;"|"&amp;$C357,_TECH_Crisis_Model!$I$5:$I$191,0)),"")</f>
        <v>Data quality, BI and analytics determine decision visibility and forecasting under stress.</v>
      </c>
      <c r="AS357" s="48" t="str">
        <f>IFERROR(INDEX(_TECH_Crisis_Model!$G$5:$G$191,MATCH('Crisis Simulator'!$B$4&amp;"|"&amp;$C357,_TECH_Crisis_Model!$I$5:$I$191,0)),"")</f>
        <v>Assign data owners, improve data quality, dashboards, forecasting and AI governance.</v>
      </c>
      <c r="AT357" s="48" t="str">
        <f>IFERROR(INDEX(_TECH_Initiative_Library!$A$5:$A$76,MATCH(1,INDEX((_TECH_Initiative_Library!$B$5:$B$76=$C357)*(_TECH_Initiative_Library!$C$5:$C$76=$D357),0),0)),"")</f>
        <v>INI-062</v>
      </c>
      <c r="AU357" s="48" t="str">
        <f>IFERROR(INDEX(_TECH_Initiative_Library!$F$5:$F$76,MATCH(1,INDEX((_TECH_Initiative_Library!$B$5:$B$76=$C357)*(_TECH_Initiative_Library!$C$5:$C$76=$D357),0),0)),"")</f>
        <v>Implement AI readiness, governance and use-case portfolio</v>
      </c>
      <c r="AV357" s="48" t="str">
        <f ca="1">IFERROR(INDEX(_TECH_Initiative_Library!$AC$5:$AC$76,MATCH(1,INDEX((_TECH_Initiative_Library!$B$5:$B$76=$C357)*(_TECH_Initiative_Library!$C$5:$C$76=$D357),0),0)),"")</f>
        <v/>
      </c>
      <c r="AW357" s="48" t="str">
        <f ca="1">IFERROR(INDEX(_TECH_Initiative_Library!$AE$5:$AE$76,MATCH(1,INDEX((_TECH_Initiative_Library!$B$5:$B$76=$C357)*(_TECH_Initiative_Library!$C$5:$C$76=$D357),0),0)),"")</f>
        <v/>
      </c>
      <c r="AX357" s="48" t="str">
        <f>IF($B357="Yes",IFERROR(SUMIFS(_TECH_Industry_Templates!$E:$E,_TECH_Industry_Templates!$A:$A,'Company Profile'!$B$9,_TECH_Industry_Templates!$B:$B,$C357),1),"")</f>
        <v/>
      </c>
      <c r="AY357" s="48" t="str">
        <f t="shared" si="87"/>
        <v/>
      </c>
      <c r="AZ357" s="48" t="str">
        <f t="shared" si="88"/>
        <v/>
      </c>
      <c r="BA357" s="48" t="str">
        <f>IF($AZ357="","",RANK.EQ($AZ357,$AZ$8:$AZ$414,0)+COUNTIF($AZ$8:$AZ357,$AZ357)-1)</f>
        <v/>
      </c>
    </row>
    <row r="358" spans="1:53" ht="69.95" customHeight="1">
      <c r="A358" s="36" t="str">
        <f>IF($AZ358="","",RANK.EQ($AZ358,$AZ$8:$AZ$414,0)+COUNTIF($AZ$8:$AZ358,$AZ358)-1)</f>
        <v/>
      </c>
      <c r="B358" s="36" t="str">
        <f t="shared" si="75"/>
        <v/>
      </c>
      <c r="C358" s="36" t="s">
        <v>92</v>
      </c>
      <c r="D358" s="36" t="s">
        <v>1573</v>
      </c>
      <c r="E358" s="36" t="s">
        <v>5438</v>
      </c>
      <c r="F358" s="36" t="s">
        <v>1540</v>
      </c>
      <c r="G358" s="36" t="str">
        <f>IF($H358="","",IFERROR(INDEX('Risk Library'!$H$5:$M$411,MATCH($E358,'Risk Library'!$A$5:$A$411,0),$H358+1),""))</f>
        <v/>
      </c>
      <c r="H358" s="37" t="str">
        <f>IF(OR(COUNTA('Data BI AI'!$H$29)=0,'Data BI AI'!$H$29="N/A"),"",VALUE('Data BI AI'!$H$29))</f>
        <v/>
      </c>
      <c r="I358" s="36" t="str">
        <f>IF($H358="","",IFERROR(IF('Data BI AI'!$L$29="",IF($H358&lt;=1,"Critical",IF($H358=2,"High",IF($H358=3,"Medium",IF($H358=4,"Low","Resilient")))),'Data BI AI'!$L$29),IF($H358&lt;=1,"Critical",IF($H358=2,"High",IF($H358=3,"Medium",IF($H358=4,"Low","Resilient"))))))</f>
        <v/>
      </c>
      <c r="J358" s="37" t="str">
        <f t="shared" si="76"/>
        <v/>
      </c>
      <c r="K358" s="37" t="str">
        <f t="shared" si="77"/>
        <v/>
      </c>
      <c r="L358" s="37" t="str">
        <f t="shared" si="78"/>
        <v/>
      </c>
      <c r="M358" s="37" t="str">
        <f t="shared" si="79"/>
        <v/>
      </c>
      <c r="N358" s="37" t="str">
        <f>IF($H358="","",IFERROR(INDEX('Risk Library'!$T$5:$Y$411,MATCH($E358,'Risk Library'!$A$5:$A$411,0),$H358+1),""))</f>
        <v/>
      </c>
      <c r="O358" s="37" t="str">
        <f t="shared" si="80"/>
        <v/>
      </c>
      <c r="P358" s="37" t="str">
        <f t="shared" si="81"/>
        <v/>
      </c>
      <c r="Q358" s="37" t="str">
        <f t="shared" si="82"/>
        <v/>
      </c>
      <c r="R358" s="37" t="str">
        <f t="shared" si="83"/>
        <v/>
      </c>
      <c r="S358" s="38" t="str">
        <f t="shared" si="84"/>
        <v/>
      </c>
      <c r="T358" s="36" t="str">
        <f>IF($H358="","",IFERROR(INDEX('Risk Library'!$N$5:$S$411,MATCH($E358,'Risk Library'!$A$5:$A$411,0),$H358+1),""))</f>
        <v/>
      </c>
      <c r="U358" s="37">
        <f>IFERROR('Data BI AI'!$G$29,"")</f>
        <v>4</v>
      </c>
      <c r="V358" s="37">
        <f>IFERROR('Data BI AI'!$W$29,"")</f>
        <v>5</v>
      </c>
      <c r="W358" s="37">
        <f>IFERROR('Data BI AI'!$X$29,"")</f>
        <v>5</v>
      </c>
      <c r="X358" s="37">
        <f>IFERROR('Data BI AI'!$Y$29,"")</f>
        <v>5</v>
      </c>
      <c r="Y358" s="36" t="s">
        <v>5205</v>
      </c>
      <c r="Z358" s="36" t="s">
        <v>5206</v>
      </c>
      <c r="AA358" s="36" t="s">
        <v>5440</v>
      </c>
      <c r="AB358" s="36">
        <f>IFERROR('Data BI AI'!$U$29,"")</f>
        <v>0</v>
      </c>
      <c r="AC358" s="36"/>
      <c r="AD358" s="36"/>
      <c r="AE358" s="36"/>
      <c r="AF358" s="36" t="s">
        <v>5439</v>
      </c>
      <c r="AO358" s="48" t="str">
        <f>IF($B358="Yes",IFERROR(SUMIFS(_TECH_Crisis_Model!$D$5:$D$191,_TECH_Crisis_Model!$A$5:$A$191,'Crisis Simulator'!$B$4,_TECH_Crisis_Model!$B$5:$B$191,$C358),1),"")</f>
        <v/>
      </c>
      <c r="AP358" s="48" t="str">
        <f t="shared" si="85"/>
        <v/>
      </c>
      <c r="AQ358" s="48" t="str">
        <f t="shared" si="86"/>
        <v/>
      </c>
      <c r="AR358" s="48" t="str">
        <f>IFERROR(INDEX(_TECH_Crisis_Model!$E$5:$E$191,MATCH('Crisis Simulator'!$B$4&amp;"|"&amp;$C358,_TECH_Crisis_Model!$I$5:$I$191,0)),"")</f>
        <v>Data quality, BI and analytics determine decision visibility and forecasting under stress.</v>
      </c>
      <c r="AS358" s="48" t="str">
        <f>IFERROR(INDEX(_TECH_Crisis_Model!$G$5:$G$191,MATCH('Crisis Simulator'!$B$4&amp;"|"&amp;$C358,_TECH_Crisis_Model!$I$5:$I$191,0)),"")</f>
        <v>Assign data owners, improve data quality, dashboards, forecasting and AI governance.</v>
      </c>
      <c r="AT358" s="48" t="str">
        <f>IFERROR(INDEX(_TECH_Initiative_Library!$A$5:$A$76,MATCH(1,INDEX((_TECH_Initiative_Library!$B$5:$B$76=$C358)*(_TECH_Initiative_Library!$C$5:$C$76=$D358),0),0)),"")</f>
        <v>INI-062</v>
      </c>
      <c r="AU358" s="48" t="str">
        <f>IFERROR(INDEX(_TECH_Initiative_Library!$F$5:$F$76,MATCH(1,INDEX((_TECH_Initiative_Library!$B$5:$B$76=$C358)*(_TECH_Initiative_Library!$C$5:$C$76=$D358),0),0)),"")</f>
        <v>Implement AI readiness, governance and use-case portfolio</v>
      </c>
      <c r="AV358" s="48" t="str">
        <f ca="1">IFERROR(INDEX(_TECH_Initiative_Library!$AC$5:$AC$76,MATCH(1,INDEX((_TECH_Initiative_Library!$B$5:$B$76=$C358)*(_TECH_Initiative_Library!$C$5:$C$76=$D358),0),0)),"")</f>
        <v/>
      </c>
      <c r="AW358" s="48" t="str">
        <f ca="1">IFERROR(INDEX(_TECH_Initiative_Library!$AE$5:$AE$76,MATCH(1,INDEX((_TECH_Initiative_Library!$B$5:$B$76=$C358)*(_TECH_Initiative_Library!$C$5:$C$76=$D358),0),0)),"")</f>
        <v/>
      </c>
      <c r="AX358" s="48" t="str">
        <f>IF($B358="Yes",IFERROR(SUMIFS(_TECH_Industry_Templates!$E:$E,_TECH_Industry_Templates!$A:$A,'Company Profile'!$B$9,_TECH_Industry_Templates!$B:$B,$C358),1),"")</f>
        <v/>
      </c>
      <c r="AY358" s="48" t="str">
        <f t="shared" si="87"/>
        <v/>
      </c>
      <c r="AZ358" s="48" t="str">
        <f t="shared" si="88"/>
        <v/>
      </c>
      <c r="BA358" s="48" t="str">
        <f>IF($AZ358="","",RANK.EQ($AZ358,$AZ$8:$AZ$414,0)+COUNTIF($AZ$8:$AZ358,$AZ358)-1)</f>
        <v/>
      </c>
    </row>
    <row r="359" spans="1:53" ht="69.95" customHeight="1">
      <c r="A359" s="36" t="str">
        <f>IF($AZ359="","",RANK.EQ($AZ359,$AZ$8:$AZ$414,0)+COUNTIF($AZ$8:$AZ359,$AZ359)-1)</f>
        <v/>
      </c>
      <c r="B359" s="36" t="str">
        <f t="shared" si="75"/>
        <v/>
      </c>
      <c r="C359" s="36" t="s">
        <v>92</v>
      </c>
      <c r="D359" s="36" t="s">
        <v>1573</v>
      </c>
      <c r="E359" s="36" t="s">
        <v>5448</v>
      </c>
      <c r="F359" s="36" t="s">
        <v>1540</v>
      </c>
      <c r="G359" s="36" t="str">
        <f>IF($H359="","",IFERROR(INDEX('Risk Library'!$H$5:$M$411,MATCH($E359,'Risk Library'!$A$5:$A$411,0),$H359+1),""))</f>
        <v/>
      </c>
      <c r="H359" s="37" t="str">
        <f>IF(OR(COUNTA('Data BI AI'!$H$30)=0,'Data BI AI'!$H$30="N/A"),"",VALUE('Data BI AI'!$H$30))</f>
        <v/>
      </c>
      <c r="I359" s="36" t="str">
        <f>IF($H359="","",IFERROR(IF('Data BI AI'!$L$30="",IF($H359&lt;=1,"Critical",IF($H359=2,"High",IF($H359=3,"Medium",IF($H359=4,"Low","Resilient")))),'Data BI AI'!$L$30),IF($H359&lt;=1,"Critical",IF($H359=2,"High",IF($H359=3,"Medium",IF($H359=4,"Low","Resilient"))))))</f>
        <v/>
      </c>
      <c r="J359" s="37" t="str">
        <f t="shared" si="76"/>
        <v/>
      </c>
      <c r="K359" s="37" t="str">
        <f t="shared" si="77"/>
        <v/>
      </c>
      <c r="L359" s="37" t="str">
        <f t="shared" si="78"/>
        <v/>
      </c>
      <c r="M359" s="37" t="str">
        <f t="shared" si="79"/>
        <v/>
      </c>
      <c r="N359" s="37" t="str">
        <f>IF($H359="","",IFERROR(INDEX('Risk Library'!$T$5:$Y$411,MATCH($E359,'Risk Library'!$A$5:$A$411,0),$H359+1),""))</f>
        <v/>
      </c>
      <c r="O359" s="37" t="str">
        <f t="shared" si="80"/>
        <v/>
      </c>
      <c r="P359" s="37" t="str">
        <f t="shared" si="81"/>
        <v/>
      </c>
      <c r="Q359" s="37" t="str">
        <f t="shared" si="82"/>
        <v/>
      </c>
      <c r="R359" s="37" t="str">
        <f t="shared" si="83"/>
        <v/>
      </c>
      <c r="S359" s="38" t="str">
        <f t="shared" si="84"/>
        <v/>
      </c>
      <c r="T359" s="36" t="str">
        <f>IF($H359="","",IFERROR(INDEX('Risk Library'!$N$5:$S$411,MATCH($E359,'Risk Library'!$A$5:$A$411,0),$H359+1),""))</f>
        <v/>
      </c>
      <c r="U359" s="37">
        <f>IFERROR('Data BI AI'!$G$30,"")</f>
        <v>5</v>
      </c>
      <c r="V359" s="37">
        <f>IFERROR('Data BI AI'!$W$30,"")</f>
        <v>5</v>
      </c>
      <c r="W359" s="37">
        <f>IFERROR('Data BI AI'!$X$30,"")</f>
        <v>5</v>
      </c>
      <c r="X359" s="37">
        <f>IFERROR('Data BI AI'!$Y$30,"")</f>
        <v>5</v>
      </c>
      <c r="Y359" s="36" t="s">
        <v>5205</v>
      </c>
      <c r="Z359" s="36" t="s">
        <v>5206</v>
      </c>
      <c r="AA359" s="36" t="s">
        <v>5450</v>
      </c>
      <c r="AB359" s="36">
        <f>IFERROR('Data BI AI'!$U$30,"")</f>
        <v>0</v>
      </c>
      <c r="AC359" s="36"/>
      <c r="AD359" s="36"/>
      <c r="AE359" s="36"/>
      <c r="AF359" s="36" t="s">
        <v>5449</v>
      </c>
      <c r="AO359" s="48" t="str">
        <f>IF($B359="Yes",IFERROR(SUMIFS(_TECH_Crisis_Model!$D$5:$D$191,_TECH_Crisis_Model!$A$5:$A$191,'Crisis Simulator'!$B$4,_TECH_Crisis_Model!$B$5:$B$191,$C359),1),"")</f>
        <v/>
      </c>
      <c r="AP359" s="48" t="str">
        <f t="shared" si="85"/>
        <v/>
      </c>
      <c r="AQ359" s="48" t="str">
        <f t="shared" si="86"/>
        <v/>
      </c>
      <c r="AR359" s="48" t="str">
        <f>IFERROR(INDEX(_TECH_Crisis_Model!$E$5:$E$191,MATCH('Crisis Simulator'!$B$4&amp;"|"&amp;$C359,_TECH_Crisis_Model!$I$5:$I$191,0)),"")</f>
        <v>Data quality, BI and analytics determine decision visibility and forecasting under stress.</v>
      </c>
      <c r="AS359" s="48" t="str">
        <f>IFERROR(INDEX(_TECH_Crisis_Model!$G$5:$G$191,MATCH('Crisis Simulator'!$B$4&amp;"|"&amp;$C359,_TECH_Crisis_Model!$I$5:$I$191,0)),"")</f>
        <v>Assign data owners, improve data quality, dashboards, forecasting and AI governance.</v>
      </c>
      <c r="AT359" s="48" t="str">
        <f>IFERROR(INDEX(_TECH_Initiative_Library!$A$5:$A$76,MATCH(1,INDEX((_TECH_Initiative_Library!$B$5:$B$76=$C359)*(_TECH_Initiative_Library!$C$5:$C$76=$D359),0),0)),"")</f>
        <v>INI-062</v>
      </c>
      <c r="AU359" s="48" t="str">
        <f>IFERROR(INDEX(_TECH_Initiative_Library!$F$5:$F$76,MATCH(1,INDEX((_TECH_Initiative_Library!$B$5:$B$76=$C359)*(_TECH_Initiative_Library!$C$5:$C$76=$D359),0),0)),"")</f>
        <v>Implement AI readiness, governance and use-case portfolio</v>
      </c>
      <c r="AV359" s="48" t="str">
        <f ca="1">IFERROR(INDEX(_TECH_Initiative_Library!$AC$5:$AC$76,MATCH(1,INDEX((_TECH_Initiative_Library!$B$5:$B$76=$C359)*(_TECH_Initiative_Library!$C$5:$C$76=$D359),0),0)),"")</f>
        <v/>
      </c>
      <c r="AW359" s="48" t="str">
        <f ca="1">IFERROR(INDEX(_TECH_Initiative_Library!$AE$5:$AE$76,MATCH(1,INDEX((_TECH_Initiative_Library!$B$5:$B$76=$C359)*(_TECH_Initiative_Library!$C$5:$C$76=$D359),0),0)),"")</f>
        <v/>
      </c>
      <c r="AX359" s="48" t="str">
        <f>IF($B359="Yes",IFERROR(SUMIFS(_TECH_Industry_Templates!$E:$E,_TECH_Industry_Templates!$A:$A,'Company Profile'!$B$9,_TECH_Industry_Templates!$B:$B,$C359),1),"")</f>
        <v/>
      </c>
      <c r="AY359" s="48" t="str">
        <f t="shared" si="87"/>
        <v/>
      </c>
      <c r="AZ359" s="48" t="str">
        <f t="shared" si="88"/>
        <v/>
      </c>
      <c r="BA359" s="48" t="str">
        <f>IF($AZ359="","",RANK.EQ($AZ359,$AZ$8:$AZ$414,0)+COUNTIF($AZ$8:$AZ359,$AZ359)-1)</f>
        <v/>
      </c>
    </row>
    <row r="360" spans="1:53" ht="69.95" customHeight="1">
      <c r="A360" s="36" t="str">
        <f>IF($AZ360="","",RANK.EQ($AZ360,$AZ$8:$AZ$414,0)+COUNTIF($AZ$8:$AZ360,$AZ360)-1)</f>
        <v/>
      </c>
      <c r="B360" s="36" t="str">
        <f t="shared" si="75"/>
        <v/>
      </c>
      <c r="C360" s="36" t="s">
        <v>92</v>
      </c>
      <c r="D360" s="36" t="s">
        <v>1573</v>
      </c>
      <c r="E360" s="36" t="s">
        <v>5458</v>
      </c>
      <c r="F360" s="36" t="s">
        <v>1540</v>
      </c>
      <c r="G360" s="36" t="str">
        <f>IF($H360="","",IFERROR(INDEX('Risk Library'!$H$5:$M$411,MATCH($E360,'Risk Library'!$A$5:$A$411,0),$H360+1),""))</f>
        <v/>
      </c>
      <c r="H360" s="37" t="str">
        <f>IF(OR(COUNTA('Data BI AI'!$H$31)=0,'Data BI AI'!$H$31="N/A"),"",VALUE('Data BI AI'!$H$31))</f>
        <v/>
      </c>
      <c r="I360" s="36" t="str">
        <f>IF($H360="","",IFERROR(IF('Data BI AI'!$L$31="",IF($H360&lt;=1,"Critical",IF($H360=2,"High",IF($H360=3,"Medium",IF($H360=4,"Low","Resilient")))),'Data BI AI'!$L$31),IF($H360&lt;=1,"Critical",IF($H360=2,"High",IF($H360=3,"Medium",IF($H360=4,"Low","Resilient"))))))</f>
        <v/>
      </c>
      <c r="J360" s="37" t="str">
        <f t="shared" si="76"/>
        <v/>
      </c>
      <c r="K360" s="37" t="str">
        <f t="shared" si="77"/>
        <v/>
      </c>
      <c r="L360" s="37" t="str">
        <f t="shared" si="78"/>
        <v/>
      </c>
      <c r="M360" s="37" t="str">
        <f t="shared" si="79"/>
        <v/>
      </c>
      <c r="N360" s="37" t="str">
        <f>IF($H360="","",IFERROR(INDEX('Risk Library'!$T$5:$Y$411,MATCH($E360,'Risk Library'!$A$5:$A$411,0),$H360+1),""))</f>
        <v/>
      </c>
      <c r="O360" s="37" t="str">
        <f t="shared" si="80"/>
        <v/>
      </c>
      <c r="P360" s="37" t="str">
        <f t="shared" si="81"/>
        <v/>
      </c>
      <c r="Q360" s="37" t="str">
        <f t="shared" si="82"/>
        <v/>
      </c>
      <c r="R360" s="37" t="str">
        <f t="shared" si="83"/>
        <v/>
      </c>
      <c r="S360" s="38" t="str">
        <f t="shared" si="84"/>
        <v/>
      </c>
      <c r="T360" s="36" t="str">
        <f>IF($H360="","",IFERROR(INDEX('Risk Library'!$N$5:$S$411,MATCH($E360,'Risk Library'!$A$5:$A$411,0),$H360+1),""))</f>
        <v/>
      </c>
      <c r="U360" s="37">
        <f>IFERROR('Data BI AI'!$G$31,"")</f>
        <v>4</v>
      </c>
      <c r="V360" s="37">
        <f>IFERROR('Data BI AI'!$W$31,"")</f>
        <v>5</v>
      </c>
      <c r="W360" s="37">
        <f>IFERROR('Data BI AI'!$X$31,"")</f>
        <v>5</v>
      </c>
      <c r="X360" s="37">
        <f>IFERROR('Data BI AI'!$Y$31,"")</f>
        <v>5</v>
      </c>
      <c r="Y360" s="36" t="s">
        <v>5205</v>
      </c>
      <c r="Z360" s="36" t="s">
        <v>5206</v>
      </c>
      <c r="AA360" s="36" t="s">
        <v>5460</v>
      </c>
      <c r="AB360" s="36">
        <f>IFERROR('Data BI AI'!$U$31,"")</f>
        <v>0</v>
      </c>
      <c r="AC360" s="36"/>
      <c r="AD360" s="36"/>
      <c r="AE360" s="36"/>
      <c r="AF360" s="36" t="s">
        <v>5459</v>
      </c>
      <c r="AO360" s="48" t="str">
        <f>IF($B360="Yes",IFERROR(SUMIFS(_TECH_Crisis_Model!$D$5:$D$191,_TECH_Crisis_Model!$A$5:$A$191,'Crisis Simulator'!$B$4,_TECH_Crisis_Model!$B$5:$B$191,$C360),1),"")</f>
        <v/>
      </c>
      <c r="AP360" s="48" t="str">
        <f t="shared" si="85"/>
        <v/>
      </c>
      <c r="AQ360" s="48" t="str">
        <f t="shared" si="86"/>
        <v/>
      </c>
      <c r="AR360" s="48" t="str">
        <f>IFERROR(INDEX(_TECH_Crisis_Model!$E$5:$E$191,MATCH('Crisis Simulator'!$B$4&amp;"|"&amp;$C360,_TECH_Crisis_Model!$I$5:$I$191,0)),"")</f>
        <v>Data quality, BI and analytics determine decision visibility and forecasting under stress.</v>
      </c>
      <c r="AS360" s="48" t="str">
        <f>IFERROR(INDEX(_TECH_Crisis_Model!$G$5:$G$191,MATCH('Crisis Simulator'!$B$4&amp;"|"&amp;$C360,_TECH_Crisis_Model!$I$5:$I$191,0)),"")</f>
        <v>Assign data owners, improve data quality, dashboards, forecasting and AI governance.</v>
      </c>
      <c r="AT360" s="48" t="str">
        <f>IFERROR(INDEX(_TECH_Initiative_Library!$A$5:$A$76,MATCH(1,INDEX((_TECH_Initiative_Library!$B$5:$B$76=$C360)*(_TECH_Initiative_Library!$C$5:$C$76=$D360),0),0)),"")</f>
        <v>INI-062</v>
      </c>
      <c r="AU360" s="48" t="str">
        <f>IFERROR(INDEX(_TECH_Initiative_Library!$F$5:$F$76,MATCH(1,INDEX((_TECH_Initiative_Library!$B$5:$B$76=$C360)*(_TECH_Initiative_Library!$C$5:$C$76=$D360),0),0)),"")</f>
        <v>Implement AI readiness, governance and use-case portfolio</v>
      </c>
      <c r="AV360" s="48" t="str">
        <f ca="1">IFERROR(INDEX(_TECH_Initiative_Library!$AC$5:$AC$76,MATCH(1,INDEX((_TECH_Initiative_Library!$B$5:$B$76=$C360)*(_TECH_Initiative_Library!$C$5:$C$76=$D360),0),0)),"")</f>
        <v/>
      </c>
      <c r="AW360" s="48" t="str">
        <f ca="1">IFERROR(INDEX(_TECH_Initiative_Library!$AE$5:$AE$76,MATCH(1,INDEX((_TECH_Initiative_Library!$B$5:$B$76=$C360)*(_TECH_Initiative_Library!$C$5:$C$76=$D360),0),0)),"")</f>
        <v/>
      </c>
      <c r="AX360" s="48" t="str">
        <f>IF($B360="Yes",IFERROR(SUMIFS(_TECH_Industry_Templates!$E:$E,_TECH_Industry_Templates!$A:$A,'Company Profile'!$B$9,_TECH_Industry_Templates!$B:$B,$C360),1),"")</f>
        <v/>
      </c>
      <c r="AY360" s="48" t="str">
        <f t="shared" si="87"/>
        <v/>
      </c>
      <c r="AZ360" s="48" t="str">
        <f t="shared" si="88"/>
        <v/>
      </c>
      <c r="BA360" s="48" t="str">
        <f>IF($AZ360="","",RANK.EQ($AZ360,$AZ$8:$AZ$414,0)+COUNTIF($AZ$8:$AZ360,$AZ360)-1)</f>
        <v/>
      </c>
    </row>
    <row r="361" spans="1:53" ht="69.95" customHeight="1">
      <c r="A361" s="36" t="str">
        <f>IF($AZ361="","",RANK.EQ($AZ361,$AZ$8:$AZ$414,0)+COUNTIF($AZ$8:$AZ361,$AZ361)-1)</f>
        <v/>
      </c>
      <c r="B361" s="36" t="str">
        <f t="shared" si="75"/>
        <v/>
      </c>
      <c r="C361" s="36" t="s">
        <v>93</v>
      </c>
      <c r="D361" s="36" t="s">
        <v>1581</v>
      </c>
      <c r="E361" s="36" t="s">
        <v>5470</v>
      </c>
      <c r="F361" s="36" t="s">
        <v>1586</v>
      </c>
      <c r="G361" s="36" t="str">
        <f>IF($H361="","",IFERROR(INDEX('Risk Library'!$H$5:$M$411,MATCH($E361,'Risk Library'!$A$5:$A$411,0),$H361+1),""))</f>
        <v/>
      </c>
      <c r="H361" s="37" t="str">
        <f>IF(OR(COUNTA('Cyber Privacy'!$H$5)=0,'Cyber Privacy'!$H$5="N/A"),"",VALUE('Cyber Privacy'!$H$5))</f>
        <v/>
      </c>
      <c r="I361" s="36" t="str">
        <f>IF($H361="","",IFERROR(IF('Cyber Privacy'!$L$5="",IF($H361&lt;=1,"Critical",IF($H361=2,"High",IF($H361=3,"Medium",IF($H361=4,"Low","Resilient")))),'Cyber Privacy'!$L$5),IF($H361&lt;=1,"Critical",IF($H361=2,"High",IF($H361=3,"Medium",IF($H361=4,"Low","Resilient"))))))</f>
        <v/>
      </c>
      <c r="J361" s="37" t="str">
        <f t="shared" si="76"/>
        <v/>
      </c>
      <c r="K361" s="37" t="str">
        <f t="shared" si="77"/>
        <v/>
      </c>
      <c r="L361" s="37" t="str">
        <f t="shared" si="78"/>
        <v/>
      </c>
      <c r="M361" s="37" t="str">
        <f t="shared" si="79"/>
        <v/>
      </c>
      <c r="N361" s="37" t="str">
        <f>IF($H361="","",IFERROR(INDEX('Risk Library'!$T$5:$Y$411,MATCH($E361,'Risk Library'!$A$5:$A$411,0),$H361+1),""))</f>
        <v/>
      </c>
      <c r="O361" s="37" t="str">
        <f t="shared" si="80"/>
        <v/>
      </c>
      <c r="P361" s="37" t="str">
        <f t="shared" si="81"/>
        <v/>
      </c>
      <c r="Q361" s="37" t="str">
        <f t="shared" si="82"/>
        <v/>
      </c>
      <c r="R361" s="37" t="str">
        <f t="shared" si="83"/>
        <v/>
      </c>
      <c r="S361" s="38" t="str">
        <f t="shared" si="84"/>
        <v/>
      </c>
      <c r="T361" s="36" t="str">
        <f>IF($H361="","",IFERROR(INDEX('Risk Library'!$N$5:$S$411,MATCH($E361,'Risk Library'!$A$5:$A$411,0),$H361+1),""))</f>
        <v/>
      </c>
      <c r="U361" s="37">
        <f>IFERROR('Cyber Privacy'!$G$5,"")</f>
        <v>4</v>
      </c>
      <c r="V361" s="37">
        <f>IFERROR('Cyber Privacy'!$W$5,"")</f>
        <v>5</v>
      </c>
      <c r="W361" s="37">
        <f>IFERROR('Cyber Privacy'!$X$5,"")</f>
        <v>5</v>
      </c>
      <c r="X361" s="37">
        <f>IFERROR('Cyber Privacy'!$Y$5,"")</f>
        <v>5</v>
      </c>
      <c r="Y361" s="36" t="s">
        <v>5481</v>
      </c>
      <c r="Z361" s="36" t="s">
        <v>5482</v>
      </c>
      <c r="AA361" s="36" t="s">
        <v>5474</v>
      </c>
      <c r="AB361" s="36">
        <f>IFERROR('Cyber Privacy'!$U$5,"")</f>
        <v>0</v>
      </c>
      <c r="AC361" s="36"/>
      <c r="AD361" s="36"/>
      <c r="AE361" s="36"/>
      <c r="AF361" s="36" t="s">
        <v>5471</v>
      </c>
      <c r="AO361" s="48" t="str">
        <f>IF($B361="Yes",IFERROR(SUMIFS(_TECH_Crisis_Model!$D$5:$D$191,_TECH_Crisis_Model!$A$5:$A$191,'Crisis Simulator'!$B$4,_TECH_Crisis_Model!$B$5:$B$191,$C361),1),"")</f>
        <v/>
      </c>
      <c r="AP361" s="48" t="str">
        <f t="shared" si="85"/>
        <v/>
      </c>
      <c r="AQ361" s="48" t="str">
        <f t="shared" si="86"/>
        <v/>
      </c>
      <c r="AR361" s="48" t="str">
        <f>IFERROR(INDEX(_TECH_Crisis_Model!$E$5:$E$191,MATCH('Crisis Simulator'!$B$4&amp;"|"&amp;$C361,_TECH_Crisis_Model!$I$5:$I$191,0)),"")</f>
        <v>Cybersecurity and privacy controls determine resistance to digital disruption and regulatory exposure.</v>
      </c>
      <c r="AS361" s="48" t="str">
        <f>IFERROR(INDEX(_TECH_Crisis_Model!$G$5:$G$191,MATCH('Crisis Simulator'!$B$4&amp;"|"&amp;$C361,_TECH_Crisis_Model!$I$5:$I$191,0)),"")</f>
        <v>Strengthen MFA, EDR, logging, IR playbooks, restore testing, privacy controls and awareness.</v>
      </c>
      <c r="AT361" s="48" t="str">
        <f>IFERROR(INDEX(_TECH_Initiative_Library!$A$5:$A$76,MATCH(1,INDEX((_TECH_Initiative_Library!$B$5:$B$76=$C361)*(_TECH_Initiative_Library!$C$5:$C$76=$D361),0),0)),"")</f>
        <v>INI-063</v>
      </c>
      <c r="AU361" s="48" t="str">
        <f>IFERROR(INDEX(_TECH_Initiative_Library!$F$5:$F$76,MATCH(1,INDEX((_TECH_Initiative_Library!$B$5:$B$76=$C361)*(_TECH_Initiative_Library!$C$5:$C$76=$D361),0),0)),"")</f>
        <v>Implement security governance and risk-management operating model</v>
      </c>
      <c r="AV361" s="48" t="str">
        <f ca="1">IFERROR(INDEX(_TECH_Initiative_Library!$AC$5:$AC$76,MATCH(1,INDEX((_TECH_Initiative_Library!$B$5:$B$76=$C361)*(_TECH_Initiative_Library!$C$5:$C$76=$D361),0),0)),"")</f>
        <v/>
      </c>
      <c r="AW361" s="48" t="str">
        <f ca="1">IFERROR(INDEX(_TECH_Initiative_Library!$AE$5:$AE$76,MATCH(1,INDEX((_TECH_Initiative_Library!$B$5:$B$76=$C361)*(_TECH_Initiative_Library!$C$5:$C$76=$D361),0),0)),"")</f>
        <v/>
      </c>
      <c r="AX361" s="48" t="str">
        <f>IF($B361="Yes",IFERROR(SUMIFS(_TECH_Industry_Templates!$E:$E,_TECH_Industry_Templates!$A:$A,'Company Profile'!$B$9,_TECH_Industry_Templates!$B:$B,$C361),1),"")</f>
        <v/>
      </c>
      <c r="AY361" s="48" t="str">
        <f t="shared" si="87"/>
        <v/>
      </c>
      <c r="AZ361" s="48" t="str">
        <f t="shared" si="88"/>
        <v/>
      </c>
      <c r="BA361" s="48" t="str">
        <f>IF($AZ361="","",RANK.EQ($AZ361,$AZ$8:$AZ$414,0)+COUNTIF($AZ$8:$AZ361,$AZ361)-1)</f>
        <v/>
      </c>
    </row>
    <row r="362" spans="1:53" ht="69.95" customHeight="1">
      <c r="A362" s="36" t="str">
        <f>IF($AZ362="","",RANK.EQ($AZ362,$AZ$8:$AZ$414,0)+COUNTIF($AZ$8:$AZ362,$AZ362)-1)</f>
        <v/>
      </c>
      <c r="B362" s="36" t="str">
        <f t="shared" si="75"/>
        <v/>
      </c>
      <c r="C362" s="36" t="s">
        <v>93</v>
      </c>
      <c r="D362" s="36" t="s">
        <v>1581</v>
      </c>
      <c r="E362" s="36" t="s">
        <v>5484</v>
      </c>
      <c r="F362" s="36" t="s">
        <v>1586</v>
      </c>
      <c r="G362" s="36" t="str">
        <f>IF($H362="","",IFERROR(INDEX('Risk Library'!$H$5:$M$411,MATCH($E362,'Risk Library'!$A$5:$A$411,0),$H362+1),""))</f>
        <v/>
      </c>
      <c r="H362" s="37" t="str">
        <f>IF(OR(COUNTA('Cyber Privacy'!$H$6)=0,'Cyber Privacy'!$H$6="N/A"),"",VALUE('Cyber Privacy'!$H$6))</f>
        <v/>
      </c>
      <c r="I362" s="36" t="str">
        <f>IF($H362="","",IFERROR(IF('Cyber Privacy'!$L$6="",IF($H362&lt;=1,"Critical",IF($H362=2,"High",IF($H362=3,"Medium",IF($H362=4,"Low","Resilient")))),'Cyber Privacy'!$L$6),IF($H362&lt;=1,"Critical",IF($H362=2,"High",IF($H362=3,"Medium",IF($H362=4,"Low","Resilient"))))))</f>
        <v/>
      </c>
      <c r="J362" s="37" t="str">
        <f t="shared" si="76"/>
        <v/>
      </c>
      <c r="K362" s="37" t="str">
        <f t="shared" si="77"/>
        <v/>
      </c>
      <c r="L362" s="37" t="str">
        <f t="shared" si="78"/>
        <v/>
      </c>
      <c r="M362" s="37" t="str">
        <f t="shared" si="79"/>
        <v/>
      </c>
      <c r="N362" s="37" t="str">
        <f>IF($H362="","",IFERROR(INDEX('Risk Library'!$T$5:$Y$411,MATCH($E362,'Risk Library'!$A$5:$A$411,0),$H362+1),""))</f>
        <v/>
      </c>
      <c r="O362" s="37" t="str">
        <f t="shared" si="80"/>
        <v/>
      </c>
      <c r="P362" s="37" t="str">
        <f t="shared" si="81"/>
        <v/>
      </c>
      <c r="Q362" s="37" t="str">
        <f t="shared" si="82"/>
        <v/>
      </c>
      <c r="R362" s="37" t="str">
        <f t="shared" si="83"/>
        <v/>
      </c>
      <c r="S362" s="38" t="str">
        <f t="shared" si="84"/>
        <v/>
      </c>
      <c r="T362" s="36" t="str">
        <f>IF($H362="","",IFERROR(INDEX('Risk Library'!$N$5:$S$411,MATCH($E362,'Risk Library'!$A$5:$A$411,0),$H362+1),""))</f>
        <v/>
      </c>
      <c r="U362" s="37">
        <f>IFERROR('Cyber Privacy'!$G$6,"")</f>
        <v>5</v>
      </c>
      <c r="V362" s="37">
        <f>IFERROR('Cyber Privacy'!$W$6,"")</f>
        <v>5</v>
      </c>
      <c r="W362" s="37">
        <f>IFERROR('Cyber Privacy'!$X$6,"")</f>
        <v>5</v>
      </c>
      <c r="X362" s="37">
        <f>IFERROR('Cyber Privacy'!$Y$6,"")</f>
        <v>5</v>
      </c>
      <c r="Y362" s="36" t="s">
        <v>5481</v>
      </c>
      <c r="Z362" s="36" t="s">
        <v>5482</v>
      </c>
      <c r="AA362" s="36" t="s">
        <v>5486</v>
      </c>
      <c r="AB362" s="36">
        <f>IFERROR('Cyber Privacy'!$U$6,"")</f>
        <v>0</v>
      </c>
      <c r="AC362" s="36"/>
      <c r="AD362" s="36"/>
      <c r="AE362" s="36"/>
      <c r="AF362" s="36" t="s">
        <v>5485</v>
      </c>
      <c r="AO362" s="48" t="str">
        <f>IF($B362="Yes",IFERROR(SUMIFS(_TECH_Crisis_Model!$D$5:$D$191,_TECH_Crisis_Model!$A$5:$A$191,'Crisis Simulator'!$B$4,_TECH_Crisis_Model!$B$5:$B$191,$C362),1),"")</f>
        <v/>
      </c>
      <c r="AP362" s="48" t="str">
        <f t="shared" si="85"/>
        <v/>
      </c>
      <c r="AQ362" s="48" t="str">
        <f t="shared" si="86"/>
        <v/>
      </c>
      <c r="AR362" s="48" t="str">
        <f>IFERROR(INDEX(_TECH_Crisis_Model!$E$5:$E$191,MATCH('Crisis Simulator'!$B$4&amp;"|"&amp;$C362,_TECH_Crisis_Model!$I$5:$I$191,0)),"")</f>
        <v>Cybersecurity and privacy controls determine resistance to digital disruption and regulatory exposure.</v>
      </c>
      <c r="AS362" s="48" t="str">
        <f>IFERROR(INDEX(_TECH_Crisis_Model!$G$5:$G$191,MATCH('Crisis Simulator'!$B$4&amp;"|"&amp;$C362,_TECH_Crisis_Model!$I$5:$I$191,0)),"")</f>
        <v>Strengthen MFA, EDR, logging, IR playbooks, restore testing, privacy controls and awareness.</v>
      </c>
      <c r="AT362" s="48" t="str">
        <f>IFERROR(INDEX(_TECH_Initiative_Library!$A$5:$A$76,MATCH(1,INDEX((_TECH_Initiative_Library!$B$5:$B$76=$C362)*(_TECH_Initiative_Library!$C$5:$C$76=$D362),0),0)),"")</f>
        <v>INI-063</v>
      </c>
      <c r="AU362" s="48" t="str">
        <f>IFERROR(INDEX(_TECH_Initiative_Library!$F$5:$F$76,MATCH(1,INDEX((_TECH_Initiative_Library!$B$5:$B$76=$C362)*(_TECH_Initiative_Library!$C$5:$C$76=$D362),0),0)),"")</f>
        <v>Implement security governance and risk-management operating model</v>
      </c>
      <c r="AV362" s="48" t="str">
        <f ca="1">IFERROR(INDEX(_TECH_Initiative_Library!$AC$5:$AC$76,MATCH(1,INDEX((_TECH_Initiative_Library!$B$5:$B$76=$C362)*(_TECH_Initiative_Library!$C$5:$C$76=$D362),0),0)),"")</f>
        <v/>
      </c>
      <c r="AW362" s="48" t="str">
        <f ca="1">IFERROR(INDEX(_TECH_Initiative_Library!$AE$5:$AE$76,MATCH(1,INDEX((_TECH_Initiative_Library!$B$5:$B$76=$C362)*(_TECH_Initiative_Library!$C$5:$C$76=$D362),0),0)),"")</f>
        <v/>
      </c>
      <c r="AX362" s="48" t="str">
        <f>IF($B362="Yes",IFERROR(SUMIFS(_TECH_Industry_Templates!$E:$E,_TECH_Industry_Templates!$A:$A,'Company Profile'!$B$9,_TECH_Industry_Templates!$B:$B,$C362),1),"")</f>
        <v/>
      </c>
      <c r="AY362" s="48" t="str">
        <f t="shared" si="87"/>
        <v/>
      </c>
      <c r="AZ362" s="48" t="str">
        <f t="shared" si="88"/>
        <v/>
      </c>
      <c r="BA362" s="48" t="str">
        <f>IF($AZ362="","",RANK.EQ($AZ362,$AZ$8:$AZ$414,0)+COUNTIF($AZ$8:$AZ362,$AZ362)-1)</f>
        <v/>
      </c>
    </row>
    <row r="363" spans="1:53" ht="69.95" customHeight="1">
      <c r="A363" s="36" t="str">
        <f>IF($AZ363="","",RANK.EQ($AZ363,$AZ$8:$AZ$414,0)+COUNTIF($AZ$8:$AZ363,$AZ363)-1)</f>
        <v/>
      </c>
      <c r="B363" s="36" t="str">
        <f t="shared" si="75"/>
        <v/>
      </c>
      <c r="C363" s="36" t="s">
        <v>93</v>
      </c>
      <c r="D363" s="36" t="s">
        <v>1581</v>
      </c>
      <c r="E363" s="36" t="s">
        <v>5494</v>
      </c>
      <c r="F363" s="36" t="s">
        <v>1586</v>
      </c>
      <c r="G363" s="36" t="str">
        <f>IF($H363="","",IFERROR(INDEX('Risk Library'!$H$5:$M$411,MATCH($E363,'Risk Library'!$A$5:$A$411,0),$H363+1),""))</f>
        <v/>
      </c>
      <c r="H363" s="37" t="str">
        <f>IF(OR(COUNTA('Cyber Privacy'!$H$7)=0,'Cyber Privacy'!$H$7="N/A"),"",VALUE('Cyber Privacy'!$H$7))</f>
        <v/>
      </c>
      <c r="I363" s="36" t="str">
        <f>IF($H363="","",IFERROR(IF('Cyber Privacy'!$L$7="",IF($H363&lt;=1,"Critical",IF($H363=2,"High",IF($H363=3,"Medium",IF($H363=4,"Low","Resilient")))),'Cyber Privacy'!$L$7),IF($H363&lt;=1,"Critical",IF($H363=2,"High",IF($H363=3,"Medium",IF($H363=4,"Low","Resilient"))))))</f>
        <v/>
      </c>
      <c r="J363" s="37" t="str">
        <f t="shared" si="76"/>
        <v/>
      </c>
      <c r="K363" s="37" t="str">
        <f t="shared" si="77"/>
        <v/>
      </c>
      <c r="L363" s="37" t="str">
        <f t="shared" si="78"/>
        <v/>
      </c>
      <c r="M363" s="37" t="str">
        <f t="shared" si="79"/>
        <v/>
      </c>
      <c r="N363" s="37" t="str">
        <f>IF($H363="","",IFERROR(INDEX('Risk Library'!$T$5:$Y$411,MATCH($E363,'Risk Library'!$A$5:$A$411,0),$H363+1),""))</f>
        <v/>
      </c>
      <c r="O363" s="37" t="str">
        <f t="shared" si="80"/>
        <v/>
      </c>
      <c r="P363" s="37" t="str">
        <f t="shared" si="81"/>
        <v/>
      </c>
      <c r="Q363" s="37" t="str">
        <f t="shared" si="82"/>
        <v/>
      </c>
      <c r="R363" s="37" t="str">
        <f t="shared" si="83"/>
        <v/>
      </c>
      <c r="S363" s="38" t="str">
        <f t="shared" si="84"/>
        <v/>
      </c>
      <c r="T363" s="36" t="str">
        <f>IF($H363="","",IFERROR(INDEX('Risk Library'!$N$5:$S$411,MATCH($E363,'Risk Library'!$A$5:$A$411,0),$H363+1),""))</f>
        <v/>
      </c>
      <c r="U363" s="37">
        <f>IFERROR('Cyber Privacy'!$G$7,"")</f>
        <v>5</v>
      </c>
      <c r="V363" s="37">
        <f>IFERROR('Cyber Privacy'!$W$7,"")</f>
        <v>5</v>
      </c>
      <c r="W363" s="37">
        <f>IFERROR('Cyber Privacy'!$X$7,"")</f>
        <v>5</v>
      </c>
      <c r="X363" s="37">
        <f>IFERROR('Cyber Privacy'!$Y$7,"")</f>
        <v>5</v>
      </c>
      <c r="Y363" s="36" t="s">
        <v>5481</v>
      </c>
      <c r="Z363" s="36" t="s">
        <v>5482</v>
      </c>
      <c r="AA363" s="36" t="s">
        <v>5496</v>
      </c>
      <c r="AB363" s="36">
        <f>IFERROR('Cyber Privacy'!$U$7,"")</f>
        <v>0</v>
      </c>
      <c r="AC363" s="36"/>
      <c r="AD363" s="36"/>
      <c r="AE363" s="36"/>
      <c r="AF363" s="36" t="s">
        <v>5495</v>
      </c>
      <c r="AO363" s="48" t="str">
        <f>IF($B363="Yes",IFERROR(SUMIFS(_TECH_Crisis_Model!$D$5:$D$191,_TECH_Crisis_Model!$A$5:$A$191,'Crisis Simulator'!$B$4,_TECH_Crisis_Model!$B$5:$B$191,$C363),1),"")</f>
        <v/>
      </c>
      <c r="AP363" s="48" t="str">
        <f t="shared" si="85"/>
        <v/>
      </c>
      <c r="AQ363" s="48" t="str">
        <f t="shared" si="86"/>
        <v/>
      </c>
      <c r="AR363" s="48" t="str">
        <f>IFERROR(INDEX(_TECH_Crisis_Model!$E$5:$E$191,MATCH('Crisis Simulator'!$B$4&amp;"|"&amp;$C363,_TECH_Crisis_Model!$I$5:$I$191,0)),"")</f>
        <v>Cybersecurity and privacy controls determine resistance to digital disruption and regulatory exposure.</v>
      </c>
      <c r="AS363" s="48" t="str">
        <f>IFERROR(INDEX(_TECH_Crisis_Model!$G$5:$G$191,MATCH('Crisis Simulator'!$B$4&amp;"|"&amp;$C363,_TECH_Crisis_Model!$I$5:$I$191,0)),"")</f>
        <v>Strengthen MFA, EDR, logging, IR playbooks, restore testing, privacy controls and awareness.</v>
      </c>
      <c r="AT363" s="48" t="str">
        <f>IFERROR(INDEX(_TECH_Initiative_Library!$A$5:$A$76,MATCH(1,INDEX((_TECH_Initiative_Library!$B$5:$B$76=$C363)*(_TECH_Initiative_Library!$C$5:$C$76=$D363),0),0)),"")</f>
        <v>INI-063</v>
      </c>
      <c r="AU363" s="48" t="str">
        <f>IFERROR(INDEX(_TECH_Initiative_Library!$F$5:$F$76,MATCH(1,INDEX((_TECH_Initiative_Library!$B$5:$B$76=$C363)*(_TECH_Initiative_Library!$C$5:$C$76=$D363),0),0)),"")</f>
        <v>Implement security governance and risk-management operating model</v>
      </c>
      <c r="AV363" s="48" t="str">
        <f ca="1">IFERROR(INDEX(_TECH_Initiative_Library!$AC$5:$AC$76,MATCH(1,INDEX((_TECH_Initiative_Library!$B$5:$B$76=$C363)*(_TECH_Initiative_Library!$C$5:$C$76=$D363),0),0)),"")</f>
        <v/>
      </c>
      <c r="AW363" s="48" t="str">
        <f ca="1">IFERROR(INDEX(_TECH_Initiative_Library!$AE$5:$AE$76,MATCH(1,INDEX((_TECH_Initiative_Library!$B$5:$B$76=$C363)*(_TECH_Initiative_Library!$C$5:$C$76=$D363),0),0)),"")</f>
        <v/>
      </c>
      <c r="AX363" s="48" t="str">
        <f>IF($B363="Yes",IFERROR(SUMIFS(_TECH_Industry_Templates!$E:$E,_TECH_Industry_Templates!$A:$A,'Company Profile'!$B$9,_TECH_Industry_Templates!$B:$B,$C363),1),"")</f>
        <v/>
      </c>
      <c r="AY363" s="48" t="str">
        <f t="shared" si="87"/>
        <v/>
      </c>
      <c r="AZ363" s="48" t="str">
        <f t="shared" si="88"/>
        <v/>
      </c>
      <c r="BA363" s="48" t="str">
        <f>IF($AZ363="","",RANK.EQ($AZ363,$AZ$8:$AZ$414,0)+COUNTIF($AZ$8:$AZ363,$AZ363)-1)</f>
        <v/>
      </c>
    </row>
    <row r="364" spans="1:53" ht="69.95" customHeight="1">
      <c r="A364" s="36" t="str">
        <f>IF($AZ364="","",RANK.EQ($AZ364,$AZ$8:$AZ$414,0)+COUNTIF($AZ$8:$AZ364,$AZ364)-1)</f>
        <v/>
      </c>
      <c r="B364" s="36" t="str">
        <f t="shared" si="75"/>
        <v/>
      </c>
      <c r="C364" s="36" t="s">
        <v>93</v>
      </c>
      <c r="D364" s="36" t="s">
        <v>1581</v>
      </c>
      <c r="E364" s="36" t="s">
        <v>5504</v>
      </c>
      <c r="F364" s="36" t="s">
        <v>1586</v>
      </c>
      <c r="G364" s="36" t="str">
        <f>IF($H364="","",IFERROR(INDEX('Risk Library'!$H$5:$M$411,MATCH($E364,'Risk Library'!$A$5:$A$411,0),$H364+1),""))</f>
        <v/>
      </c>
      <c r="H364" s="37" t="str">
        <f>IF(OR(COUNTA('Cyber Privacy'!$H$8)=0,'Cyber Privacy'!$H$8="N/A"),"",VALUE('Cyber Privacy'!$H$8))</f>
        <v/>
      </c>
      <c r="I364" s="36" t="str">
        <f>IF($H364="","",IFERROR(IF('Cyber Privacy'!$L$8="",IF($H364&lt;=1,"Critical",IF($H364=2,"High",IF($H364=3,"Medium",IF($H364=4,"Low","Resilient")))),'Cyber Privacy'!$L$8),IF($H364&lt;=1,"Critical",IF($H364=2,"High",IF($H364=3,"Medium",IF($H364=4,"Low","Resilient"))))))</f>
        <v/>
      </c>
      <c r="J364" s="37" t="str">
        <f t="shared" si="76"/>
        <v/>
      </c>
      <c r="K364" s="37" t="str">
        <f t="shared" si="77"/>
        <v/>
      </c>
      <c r="L364" s="37" t="str">
        <f t="shared" si="78"/>
        <v/>
      </c>
      <c r="M364" s="37" t="str">
        <f t="shared" si="79"/>
        <v/>
      </c>
      <c r="N364" s="37" t="str">
        <f>IF($H364="","",IFERROR(INDEX('Risk Library'!$T$5:$Y$411,MATCH($E364,'Risk Library'!$A$5:$A$411,0),$H364+1),""))</f>
        <v/>
      </c>
      <c r="O364" s="37" t="str">
        <f t="shared" si="80"/>
        <v/>
      </c>
      <c r="P364" s="37" t="str">
        <f t="shared" si="81"/>
        <v/>
      </c>
      <c r="Q364" s="37" t="str">
        <f t="shared" si="82"/>
        <v/>
      </c>
      <c r="R364" s="37" t="str">
        <f t="shared" si="83"/>
        <v/>
      </c>
      <c r="S364" s="38" t="str">
        <f t="shared" si="84"/>
        <v/>
      </c>
      <c r="T364" s="36" t="str">
        <f>IF($H364="","",IFERROR(INDEX('Risk Library'!$N$5:$S$411,MATCH($E364,'Risk Library'!$A$5:$A$411,0),$H364+1),""))</f>
        <v/>
      </c>
      <c r="U364" s="37">
        <f>IFERROR('Cyber Privacy'!$G$8,"")</f>
        <v>4</v>
      </c>
      <c r="V364" s="37">
        <f>IFERROR('Cyber Privacy'!$W$8,"")</f>
        <v>5</v>
      </c>
      <c r="W364" s="37">
        <f>IFERROR('Cyber Privacy'!$X$8,"")</f>
        <v>5</v>
      </c>
      <c r="X364" s="37">
        <f>IFERROR('Cyber Privacy'!$Y$8,"")</f>
        <v>5</v>
      </c>
      <c r="Y364" s="36" t="s">
        <v>5481</v>
      </c>
      <c r="Z364" s="36" t="s">
        <v>5482</v>
      </c>
      <c r="AA364" s="36" t="s">
        <v>5506</v>
      </c>
      <c r="AB364" s="36">
        <f>IFERROR('Cyber Privacy'!$U$8,"")</f>
        <v>0</v>
      </c>
      <c r="AC364" s="36"/>
      <c r="AD364" s="36"/>
      <c r="AE364" s="36"/>
      <c r="AF364" s="36" t="s">
        <v>5505</v>
      </c>
      <c r="AO364" s="48" t="str">
        <f>IF($B364="Yes",IFERROR(SUMIFS(_TECH_Crisis_Model!$D$5:$D$191,_TECH_Crisis_Model!$A$5:$A$191,'Crisis Simulator'!$B$4,_TECH_Crisis_Model!$B$5:$B$191,$C364),1),"")</f>
        <v/>
      </c>
      <c r="AP364" s="48" t="str">
        <f t="shared" si="85"/>
        <v/>
      </c>
      <c r="AQ364" s="48" t="str">
        <f t="shared" si="86"/>
        <v/>
      </c>
      <c r="AR364" s="48" t="str">
        <f>IFERROR(INDEX(_TECH_Crisis_Model!$E$5:$E$191,MATCH('Crisis Simulator'!$B$4&amp;"|"&amp;$C364,_TECH_Crisis_Model!$I$5:$I$191,0)),"")</f>
        <v>Cybersecurity and privacy controls determine resistance to digital disruption and regulatory exposure.</v>
      </c>
      <c r="AS364" s="48" t="str">
        <f>IFERROR(INDEX(_TECH_Crisis_Model!$G$5:$G$191,MATCH('Crisis Simulator'!$B$4&amp;"|"&amp;$C364,_TECH_Crisis_Model!$I$5:$I$191,0)),"")</f>
        <v>Strengthen MFA, EDR, logging, IR playbooks, restore testing, privacy controls and awareness.</v>
      </c>
      <c r="AT364" s="48" t="str">
        <f>IFERROR(INDEX(_TECH_Initiative_Library!$A$5:$A$76,MATCH(1,INDEX((_TECH_Initiative_Library!$B$5:$B$76=$C364)*(_TECH_Initiative_Library!$C$5:$C$76=$D364),0),0)),"")</f>
        <v>INI-063</v>
      </c>
      <c r="AU364" s="48" t="str">
        <f>IFERROR(INDEX(_TECH_Initiative_Library!$F$5:$F$76,MATCH(1,INDEX((_TECH_Initiative_Library!$B$5:$B$76=$C364)*(_TECH_Initiative_Library!$C$5:$C$76=$D364),0),0)),"")</f>
        <v>Implement security governance and risk-management operating model</v>
      </c>
      <c r="AV364" s="48" t="str">
        <f ca="1">IFERROR(INDEX(_TECH_Initiative_Library!$AC$5:$AC$76,MATCH(1,INDEX((_TECH_Initiative_Library!$B$5:$B$76=$C364)*(_TECH_Initiative_Library!$C$5:$C$76=$D364),0),0)),"")</f>
        <v/>
      </c>
      <c r="AW364" s="48" t="str">
        <f ca="1">IFERROR(INDEX(_TECH_Initiative_Library!$AE$5:$AE$76,MATCH(1,INDEX((_TECH_Initiative_Library!$B$5:$B$76=$C364)*(_TECH_Initiative_Library!$C$5:$C$76=$D364),0),0)),"")</f>
        <v/>
      </c>
      <c r="AX364" s="48" t="str">
        <f>IF($B364="Yes",IFERROR(SUMIFS(_TECH_Industry_Templates!$E:$E,_TECH_Industry_Templates!$A:$A,'Company Profile'!$B$9,_TECH_Industry_Templates!$B:$B,$C364),1),"")</f>
        <v/>
      </c>
      <c r="AY364" s="48" t="str">
        <f t="shared" si="87"/>
        <v/>
      </c>
      <c r="AZ364" s="48" t="str">
        <f t="shared" si="88"/>
        <v/>
      </c>
      <c r="BA364" s="48" t="str">
        <f>IF($AZ364="","",RANK.EQ($AZ364,$AZ$8:$AZ$414,0)+COUNTIF($AZ$8:$AZ364,$AZ364)-1)</f>
        <v/>
      </c>
    </row>
    <row r="365" spans="1:53" ht="69.95" customHeight="1">
      <c r="A365" s="36" t="str">
        <f>IF($AZ365="","",RANK.EQ($AZ365,$AZ$8:$AZ$414,0)+COUNTIF($AZ$8:$AZ365,$AZ365)-1)</f>
        <v/>
      </c>
      <c r="B365" s="36" t="str">
        <f t="shared" si="75"/>
        <v/>
      </c>
      <c r="C365" s="36" t="s">
        <v>93</v>
      </c>
      <c r="D365" s="36" t="s">
        <v>1581</v>
      </c>
      <c r="E365" s="36" t="s">
        <v>5514</v>
      </c>
      <c r="F365" s="36" t="s">
        <v>1586</v>
      </c>
      <c r="G365" s="36" t="str">
        <f>IF($H365="","",IFERROR(INDEX('Risk Library'!$H$5:$M$411,MATCH($E365,'Risk Library'!$A$5:$A$411,0),$H365+1),""))</f>
        <v/>
      </c>
      <c r="H365" s="37" t="str">
        <f>IF(OR(COUNTA('Cyber Privacy'!$H$9)=0,'Cyber Privacy'!$H$9="N/A"),"",VALUE('Cyber Privacy'!$H$9))</f>
        <v/>
      </c>
      <c r="I365" s="36" t="str">
        <f>IF($H365="","",IFERROR(IF('Cyber Privacy'!$L$9="",IF($H365&lt;=1,"Critical",IF($H365=2,"High",IF($H365=3,"Medium",IF($H365=4,"Low","Resilient")))),'Cyber Privacy'!$L$9),IF($H365&lt;=1,"Critical",IF($H365=2,"High",IF($H365=3,"Medium",IF($H365=4,"Low","Resilient"))))))</f>
        <v/>
      </c>
      <c r="J365" s="37" t="str">
        <f t="shared" si="76"/>
        <v/>
      </c>
      <c r="K365" s="37" t="str">
        <f t="shared" si="77"/>
        <v/>
      </c>
      <c r="L365" s="37" t="str">
        <f t="shared" si="78"/>
        <v/>
      </c>
      <c r="M365" s="37" t="str">
        <f t="shared" si="79"/>
        <v/>
      </c>
      <c r="N365" s="37" t="str">
        <f>IF($H365="","",IFERROR(INDEX('Risk Library'!$T$5:$Y$411,MATCH($E365,'Risk Library'!$A$5:$A$411,0),$H365+1),""))</f>
        <v/>
      </c>
      <c r="O365" s="37" t="str">
        <f t="shared" si="80"/>
        <v/>
      </c>
      <c r="P365" s="37" t="str">
        <f t="shared" si="81"/>
        <v/>
      </c>
      <c r="Q365" s="37" t="str">
        <f t="shared" si="82"/>
        <v/>
      </c>
      <c r="R365" s="37" t="str">
        <f t="shared" si="83"/>
        <v/>
      </c>
      <c r="S365" s="38" t="str">
        <f t="shared" si="84"/>
        <v/>
      </c>
      <c r="T365" s="36" t="str">
        <f>IF($H365="","",IFERROR(INDEX('Risk Library'!$N$5:$S$411,MATCH($E365,'Risk Library'!$A$5:$A$411,0),$H365+1),""))</f>
        <v/>
      </c>
      <c r="U365" s="37">
        <f>IFERROR('Cyber Privacy'!$G$9,"")</f>
        <v>5</v>
      </c>
      <c r="V365" s="37">
        <f>IFERROR('Cyber Privacy'!$W$9,"")</f>
        <v>5</v>
      </c>
      <c r="W365" s="37">
        <f>IFERROR('Cyber Privacy'!$X$9,"")</f>
        <v>5</v>
      </c>
      <c r="X365" s="37">
        <f>IFERROR('Cyber Privacy'!$Y$9,"")</f>
        <v>5</v>
      </c>
      <c r="Y365" s="36" t="s">
        <v>5481</v>
      </c>
      <c r="Z365" s="36" t="s">
        <v>5482</v>
      </c>
      <c r="AA365" s="36" t="s">
        <v>5516</v>
      </c>
      <c r="AB365" s="36">
        <f>IFERROR('Cyber Privacy'!$U$9,"")</f>
        <v>0</v>
      </c>
      <c r="AC365" s="36"/>
      <c r="AD365" s="36"/>
      <c r="AE365" s="36"/>
      <c r="AF365" s="36" t="s">
        <v>5515</v>
      </c>
      <c r="AO365" s="48" t="str">
        <f>IF($B365="Yes",IFERROR(SUMIFS(_TECH_Crisis_Model!$D$5:$D$191,_TECH_Crisis_Model!$A$5:$A$191,'Crisis Simulator'!$B$4,_TECH_Crisis_Model!$B$5:$B$191,$C365),1),"")</f>
        <v/>
      </c>
      <c r="AP365" s="48" t="str">
        <f t="shared" si="85"/>
        <v/>
      </c>
      <c r="AQ365" s="48" t="str">
        <f t="shared" si="86"/>
        <v/>
      </c>
      <c r="AR365" s="48" t="str">
        <f>IFERROR(INDEX(_TECH_Crisis_Model!$E$5:$E$191,MATCH('Crisis Simulator'!$B$4&amp;"|"&amp;$C365,_TECH_Crisis_Model!$I$5:$I$191,0)),"")</f>
        <v>Cybersecurity and privacy controls determine resistance to digital disruption and regulatory exposure.</v>
      </c>
      <c r="AS365" s="48" t="str">
        <f>IFERROR(INDEX(_TECH_Crisis_Model!$G$5:$G$191,MATCH('Crisis Simulator'!$B$4&amp;"|"&amp;$C365,_TECH_Crisis_Model!$I$5:$I$191,0)),"")</f>
        <v>Strengthen MFA, EDR, logging, IR playbooks, restore testing, privacy controls and awareness.</v>
      </c>
      <c r="AT365" s="48" t="str">
        <f>IFERROR(INDEX(_TECH_Initiative_Library!$A$5:$A$76,MATCH(1,INDEX((_TECH_Initiative_Library!$B$5:$B$76=$C365)*(_TECH_Initiative_Library!$C$5:$C$76=$D365),0),0)),"")</f>
        <v>INI-063</v>
      </c>
      <c r="AU365" s="48" t="str">
        <f>IFERROR(INDEX(_TECH_Initiative_Library!$F$5:$F$76,MATCH(1,INDEX((_TECH_Initiative_Library!$B$5:$B$76=$C365)*(_TECH_Initiative_Library!$C$5:$C$76=$D365),0),0)),"")</f>
        <v>Implement security governance and risk-management operating model</v>
      </c>
      <c r="AV365" s="48" t="str">
        <f ca="1">IFERROR(INDEX(_TECH_Initiative_Library!$AC$5:$AC$76,MATCH(1,INDEX((_TECH_Initiative_Library!$B$5:$B$76=$C365)*(_TECH_Initiative_Library!$C$5:$C$76=$D365),0),0)),"")</f>
        <v/>
      </c>
      <c r="AW365" s="48" t="str">
        <f ca="1">IFERROR(INDEX(_TECH_Initiative_Library!$AE$5:$AE$76,MATCH(1,INDEX((_TECH_Initiative_Library!$B$5:$B$76=$C365)*(_TECH_Initiative_Library!$C$5:$C$76=$D365),0),0)),"")</f>
        <v/>
      </c>
      <c r="AX365" s="48" t="str">
        <f>IF($B365="Yes",IFERROR(SUMIFS(_TECH_Industry_Templates!$E:$E,_TECH_Industry_Templates!$A:$A,'Company Profile'!$B$9,_TECH_Industry_Templates!$B:$B,$C365),1),"")</f>
        <v/>
      </c>
      <c r="AY365" s="48" t="str">
        <f t="shared" si="87"/>
        <v/>
      </c>
      <c r="AZ365" s="48" t="str">
        <f t="shared" si="88"/>
        <v/>
      </c>
      <c r="BA365" s="48" t="str">
        <f>IF($AZ365="","",RANK.EQ($AZ365,$AZ$8:$AZ$414,0)+COUNTIF($AZ$8:$AZ365,$AZ365)-1)</f>
        <v/>
      </c>
    </row>
    <row r="366" spans="1:53" ht="69.95" customHeight="1">
      <c r="A366" s="36" t="str">
        <f>IF($AZ366="","",RANK.EQ($AZ366,$AZ$8:$AZ$414,0)+COUNTIF($AZ$8:$AZ366,$AZ366)-1)</f>
        <v/>
      </c>
      <c r="B366" s="36" t="str">
        <f t="shared" si="75"/>
        <v/>
      </c>
      <c r="C366" s="36" t="s">
        <v>93</v>
      </c>
      <c r="D366" s="36" t="s">
        <v>1581</v>
      </c>
      <c r="E366" s="36" t="s">
        <v>5524</v>
      </c>
      <c r="F366" s="36" t="s">
        <v>1586</v>
      </c>
      <c r="G366" s="36" t="str">
        <f>IF($H366="","",IFERROR(INDEX('Risk Library'!$H$5:$M$411,MATCH($E366,'Risk Library'!$A$5:$A$411,0),$H366+1),""))</f>
        <v/>
      </c>
      <c r="H366" s="37" t="str">
        <f>IF(OR(COUNTA('Cyber Privacy'!$H$10)=0,'Cyber Privacy'!$H$10="N/A"),"",VALUE('Cyber Privacy'!$H$10))</f>
        <v/>
      </c>
      <c r="I366" s="36" t="str">
        <f>IF($H366="","",IFERROR(IF('Cyber Privacy'!$L$10="",IF($H366&lt;=1,"Critical",IF($H366=2,"High",IF($H366=3,"Medium",IF($H366=4,"Low","Resilient")))),'Cyber Privacy'!$L$10),IF($H366&lt;=1,"Critical",IF($H366=2,"High",IF($H366=3,"Medium",IF($H366=4,"Low","Resilient"))))))</f>
        <v/>
      </c>
      <c r="J366" s="37" t="str">
        <f t="shared" si="76"/>
        <v/>
      </c>
      <c r="K366" s="37" t="str">
        <f t="shared" si="77"/>
        <v/>
      </c>
      <c r="L366" s="37" t="str">
        <f t="shared" si="78"/>
        <v/>
      </c>
      <c r="M366" s="37" t="str">
        <f t="shared" si="79"/>
        <v/>
      </c>
      <c r="N366" s="37" t="str">
        <f>IF($H366="","",IFERROR(INDEX('Risk Library'!$T$5:$Y$411,MATCH($E366,'Risk Library'!$A$5:$A$411,0),$H366+1),""))</f>
        <v/>
      </c>
      <c r="O366" s="37" t="str">
        <f t="shared" si="80"/>
        <v/>
      </c>
      <c r="P366" s="37" t="str">
        <f t="shared" si="81"/>
        <v/>
      </c>
      <c r="Q366" s="37" t="str">
        <f t="shared" si="82"/>
        <v/>
      </c>
      <c r="R366" s="37" t="str">
        <f t="shared" si="83"/>
        <v/>
      </c>
      <c r="S366" s="38" t="str">
        <f t="shared" si="84"/>
        <v/>
      </c>
      <c r="T366" s="36" t="str">
        <f>IF($H366="","",IFERROR(INDEX('Risk Library'!$N$5:$S$411,MATCH($E366,'Risk Library'!$A$5:$A$411,0),$H366+1),""))</f>
        <v/>
      </c>
      <c r="U366" s="37">
        <f>IFERROR('Cyber Privacy'!$G$10,"")</f>
        <v>4</v>
      </c>
      <c r="V366" s="37">
        <f>IFERROR('Cyber Privacy'!$W$10,"")</f>
        <v>5</v>
      </c>
      <c r="W366" s="37">
        <f>IFERROR('Cyber Privacy'!$X$10,"")</f>
        <v>5</v>
      </c>
      <c r="X366" s="37">
        <f>IFERROR('Cyber Privacy'!$Y$10,"")</f>
        <v>5</v>
      </c>
      <c r="Y366" s="36" t="s">
        <v>5481</v>
      </c>
      <c r="Z366" s="36" t="s">
        <v>5482</v>
      </c>
      <c r="AA366" s="36" t="s">
        <v>5526</v>
      </c>
      <c r="AB366" s="36">
        <f>IFERROR('Cyber Privacy'!$U$10,"")</f>
        <v>0</v>
      </c>
      <c r="AC366" s="36"/>
      <c r="AD366" s="36"/>
      <c r="AE366" s="36"/>
      <c r="AF366" s="36" t="s">
        <v>5525</v>
      </c>
      <c r="AO366" s="48" t="str">
        <f>IF($B366="Yes",IFERROR(SUMIFS(_TECH_Crisis_Model!$D$5:$D$191,_TECH_Crisis_Model!$A$5:$A$191,'Crisis Simulator'!$B$4,_TECH_Crisis_Model!$B$5:$B$191,$C366),1),"")</f>
        <v/>
      </c>
      <c r="AP366" s="48" t="str">
        <f t="shared" si="85"/>
        <v/>
      </c>
      <c r="AQ366" s="48" t="str">
        <f t="shared" si="86"/>
        <v/>
      </c>
      <c r="AR366" s="48" t="str">
        <f>IFERROR(INDEX(_TECH_Crisis_Model!$E$5:$E$191,MATCH('Crisis Simulator'!$B$4&amp;"|"&amp;$C366,_TECH_Crisis_Model!$I$5:$I$191,0)),"")</f>
        <v>Cybersecurity and privacy controls determine resistance to digital disruption and regulatory exposure.</v>
      </c>
      <c r="AS366" s="48" t="str">
        <f>IFERROR(INDEX(_TECH_Crisis_Model!$G$5:$G$191,MATCH('Crisis Simulator'!$B$4&amp;"|"&amp;$C366,_TECH_Crisis_Model!$I$5:$I$191,0)),"")</f>
        <v>Strengthen MFA, EDR, logging, IR playbooks, restore testing, privacy controls and awareness.</v>
      </c>
      <c r="AT366" s="48" t="str">
        <f>IFERROR(INDEX(_TECH_Initiative_Library!$A$5:$A$76,MATCH(1,INDEX((_TECH_Initiative_Library!$B$5:$B$76=$C366)*(_TECH_Initiative_Library!$C$5:$C$76=$D366),0),0)),"")</f>
        <v>INI-063</v>
      </c>
      <c r="AU366" s="48" t="str">
        <f>IFERROR(INDEX(_TECH_Initiative_Library!$F$5:$F$76,MATCH(1,INDEX((_TECH_Initiative_Library!$B$5:$B$76=$C366)*(_TECH_Initiative_Library!$C$5:$C$76=$D366),0),0)),"")</f>
        <v>Implement security governance and risk-management operating model</v>
      </c>
      <c r="AV366" s="48" t="str">
        <f ca="1">IFERROR(INDEX(_TECH_Initiative_Library!$AC$5:$AC$76,MATCH(1,INDEX((_TECH_Initiative_Library!$B$5:$B$76=$C366)*(_TECH_Initiative_Library!$C$5:$C$76=$D366),0),0)),"")</f>
        <v/>
      </c>
      <c r="AW366" s="48" t="str">
        <f ca="1">IFERROR(INDEX(_TECH_Initiative_Library!$AE$5:$AE$76,MATCH(1,INDEX((_TECH_Initiative_Library!$B$5:$B$76=$C366)*(_TECH_Initiative_Library!$C$5:$C$76=$D366),0),0)),"")</f>
        <v/>
      </c>
      <c r="AX366" s="48" t="str">
        <f>IF($B366="Yes",IFERROR(SUMIFS(_TECH_Industry_Templates!$E:$E,_TECH_Industry_Templates!$A:$A,'Company Profile'!$B$9,_TECH_Industry_Templates!$B:$B,$C366),1),"")</f>
        <v/>
      </c>
      <c r="AY366" s="48" t="str">
        <f t="shared" si="87"/>
        <v/>
      </c>
      <c r="AZ366" s="48" t="str">
        <f t="shared" si="88"/>
        <v/>
      </c>
      <c r="BA366" s="48" t="str">
        <f>IF($AZ366="","",RANK.EQ($AZ366,$AZ$8:$AZ$414,0)+COUNTIF($AZ$8:$AZ366,$AZ366)-1)</f>
        <v/>
      </c>
    </row>
    <row r="367" spans="1:53" ht="69.95" customHeight="1">
      <c r="A367" s="36" t="str">
        <f>IF($AZ367="","",RANK.EQ($AZ367,$AZ$8:$AZ$414,0)+COUNTIF($AZ$8:$AZ367,$AZ367)-1)</f>
        <v/>
      </c>
      <c r="B367" s="36" t="str">
        <f t="shared" si="75"/>
        <v/>
      </c>
      <c r="C367" s="36" t="s">
        <v>93</v>
      </c>
      <c r="D367" s="36" t="s">
        <v>1596</v>
      </c>
      <c r="E367" s="36" t="s">
        <v>5534</v>
      </c>
      <c r="F367" s="36" t="s">
        <v>1586</v>
      </c>
      <c r="G367" s="36" t="str">
        <f>IF($H367="","",IFERROR(INDEX('Risk Library'!$H$5:$M$411,MATCH($E367,'Risk Library'!$A$5:$A$411,0),$H367+1),""))</f>
        <v/>
      </c>
      <c r="H367" s="37" t="str">
        <f>IF(OR(COUNTA('Cyber Privacy'!$H$11)=0,'Cyber Privacy'!$H$11="N/A"),"",VALUE('Cyber Privacy'!$H$11))</f>
        <v/>
      </c>
      <c r="I367" s="36" t="str">
        <f>IF($H367="","",IFERROR(IF('Cyber Privacy'!$L$11="",IF($H367&lt;=1,"Critical",IF($H367=2,"High",IF($H367=3,"Medium",IF($H367=4,"Low","Resilient")))),'Cyber Privacy'!$L$11),IF($H367&lt;=1,"Critical",IF($H367=2,"High",IF($H367=3,"Medium",IF($H367=4,"Low","Resilient"))))))</f>
        <v/>
      </c>
      <c r="J367" s="37" t="str">
        <f t="shared" si="76"/>
        <v/>
      </c>
      <c r="K367" s="37" t="str">
        <f t="shared" si="77"/>
        <v/>
      </c>
      <c r="L367" s="37" t="str">
        <f t="shared" si="78"/>
        <v/>
      </c>
      <c r="M367" s="37" t="str">
        <f t="shared" si="79"/>
        <v/>
      </c>
      <c r="N367" s="37" t="str">
        <f>IF($H367="","",IFERROR(INDEX('Risk Library'!$T$5:$Y$411,MATCH($E367,'Risk Library'!$A$5:$A$411,0),$H367+1),""))</f>
        <v/>
      </c>
      <c r="O367" s="37" t="str">
        <f t="shared" si="80"/>
        <v/>
      </c>
      <c r="P367" s="37" t="str">
        <f t="shared" si="81"/>
        <v/>
      </c>
      <c r="Q367" s="37" t="str">
        <f t="shared" si="82"/>
        <v/>
      </c>
      <c r="R367" s="37" t="str">
        <f t="shared" si="83"/>
        <v/>
      </c>
      <c r="S367" s="38" t="str">
        <f t="shared" si="84"/>
        <v/>
      </c>
      <c r="T367" s="36" t="str">
        <f>IF($H367="","",IFERROR(INDEX('Risk Library'!$N$5:$S$411,MATCH($E367,'Risk Library'!$A$5:$A$411,0),$H367+1),""))</f>
        <v/>
      </c>
      <c r="U367" s="37">
        <f>IFERROR('Cyber Privacy'!$G$11,"")</f>
        <v>4</v>
      </c>
      <c r="V367" s="37">
        <f>IFERROR('Cyber Privacy'!$W$11,"")</f>
        <v>5</v>
      </c>
      <c r="W367" s="37">
        <f>IFERROR('Cyber Privacy'!$X$11,"")</f>
        <v>5</v>
      </c>
      <c r="X367" s="37">
        <f>IFERROR('Cyber Privacy'!$Y$11,"")</f>
        <v>5</v>
      </c>
      <c r="Y367" s="36" t="s">
        <v>5481</v>
      </c>
      <c r="Z367" s="36" t="s">
        <v>5482</v>
      </c>
      <c r="AA367" s="36" t="s">
        <v>5536</v>
      </c>
      <c r="AB367" s="36">
        <f>IFERROR('Cyber Privacy'!$U$11,"")</f>
        <v>0</v>
      </c>
      <c r="AC367" s="36"/>
      <c r="AD367" s="36"/>
      <c r="AE367" s="36"/>
      <c r="AF367" s="36" t="s">
        <v>5535</v>
      </c>
      <c r="AO367" s="48" t="str">
        <f>IF($B367="Yes",IFERROR(SUMIFS(_TECH_Crisis_Model!$D$5:$D$191,_TECH_Crisis_Model!$A$5:$A$191,'Crisis Simulator'!$B$4,_TECH_Crisis_Model!$B$5:$B$191,$C367),1),"")</f>
        <v/>
      </c>
      <c r="AP367" s="48" t="str">
        <f t="shared" si="85"/>
        <v/>
      </c>
      <c r="AQ367" s="48" t="str">
        <f t="shared" si="86"/>
        <v/>
      </c>
      <c r="AR367" s="48" t="str">
        <f>IFERROR(INDEX(_TECH_Crisis_Model!$E$5:$E$191,MATCH('Crisis Simulator'!$B$4&amp;"|"&amp;$C367,_TECH_Crisis_Model!$I$5:$I$191,0)),"")</f>
        <v>Cybersecurity and privacy controls determine resistance to digital disruption and regulatory exposure.</v>
      </c>
      <c r="AS367" s="48" t="str">
        <f>IFERROR(INDEX(_TECH_Crisis_Model!$G$5:$G$191,MATCH('Crisis Simulator'!$B$4&amp;"|"&amp;$C367,_TECH_Crisis_Model!$I$5:$I$191,0)),"")</f>
        <v>Strengthen MFA, EDR, logging, IR playbooks, restore testing, privacy controls and awareness.</v>
      </c>
      <c r="AT367" s="48" t="str">
        <f>IFERROR(INDEX(_TECH_Initiative_Library!$A$5:$A$76,MATCH(1,INDEX((_TECH_Initiative_Library!$B$5:$B$76=$C367)*(_TECH_Initiative_Library!$C$5:$C$76=$D367),0),0)),"")</f>
        <v>INI-064</v>
      </c>
      <c r="AU367" s="48" t="str">
        <f>IFERROR(INDEX(_TECH_Initiative_Library!$F$5:$F$76,MATCH(1,INDEX((_TECH_Initiative_Library!$B$5:$B$76=$C367)*(_TECH_Initiative_Library!$C$5:$C$76=$D367),0),0)),"")</f>
        <v>Strengthen IAM, MFA, privileged access and joiner/mover/leaver controls</v>
      </c>
      <c r="AV367" s="48" t="str">
        <f ca="1">IFERROR(INDEX(_TECH_Initiative_Library!$AC$5:$AC$76,MATCH(1,INDEX((_TECH_Initiative_Library!$B$5:$B$76=$C367)*(_TECH_Initiative_Library!$C$5:$C$76=$D367),0),0)),"")</f>
        <v/>
      </c>
      <c r="AW367" s="48" t="str">
        <f ca="1">IFERROR(INDEX(_TECH_Initiative_Library!$AE$5:$AE$76,MATCH(1,INDEX((_TECH_Initiative_Library!$B$5:$B$76=$C367)*(_TECH_Initiative_Library!$C$5:$C$76=$D367),0),0)),"")</f>
        <v/>
      </c>
      <c r="AX367" s="48" t="str">
        <f>IF($B367="Yes",IFERROR(SUMIFS(_TECH_Industry_Templates!$E:$E,_TECH_Industry_Templates!$A:$A,'Company Profile'!$B$9,_TECH_Industry_Templates!$B:$B,$C367),1),"")</f>
        <v/>
      </c>
      <c r="AY367" s="48" t="str">
        <f t="shared" si="87"/>
        <v/>
      </c>
      <c r="AZ367" s="48" t="str">
        <f t="shared" si="88"/>
        <v/>
      </c>
      <c r="BA367" s="48" t="str">
        <f>IF($AZ367="","",RANK.EQ($AZ367,$AZ$8:$AZ$414,0)+COUNTIF($AZ$8:$AZ367,$AZ367)-1)</f>
        <v/>
      </c>
    </row>
    <row r="368" spans="1:53" ht="69.95" customHeight="1">
      <c r="A368" s="36" t="str">
        <f>IF($AZ368="","",RANK.EQ($AZ368,$AZ$8:$AZ$414,0)+COUNTIF($AZ$8:$AZ368,$AZ368)-1)</f>
        <v/>
      </c>
      <c r="B368" s="36" t="str">
        <f t="shared" si="75"/>
        <v/>
      </c>
      <c r="C368" s="36" t="s">
        <v>93</v>
      </c>
      <c r="D368" s="36" t="s">
        <v>1596</v>
      </c>
      <c r="E368" s="36" t="s">
        <v>5544</v>
      </c>
      <c r="F368" s="36" t="s">
        <v>1586</v>
      </c>
      <c r="G368" s="36" t="str">
        <f>IF($H368="","",IFERROR(INDEX('Risk Library'!$H$5:$M$411,MATCH($E368,'Risk Library'!$A$5:$A$411,0),$H368+1),""))</f>
        <v/>
      </c>
      <c r="H368" s="37" t="str">
        <f>IF(OR(COUNTA('Cyber Privacy'!$H$12)=0,'Cyber Privacy'!$H$12="N/A"),"",VALUE('Cyber Privacy'!$H$12))</f>
        <v/>
      </c>
      <c r="I368" s="36" t="str">
        <f>IF($H368="","",IFERROR(IF('Cyber Privacy'!$L$12="",IF($H368&lt;=1,"Critical",IF($H368=2,"High",IF($H368=3,"Medium",IF($H368=4,"Low","Resilient")))),'Cyber Privacy'!$L$12),IF($H368&lt;=1,"Critical",IF($H368=2,"High",IF($H368=3,"Medium",IF($H368=4,"Low","Resilient"))))))</f>
        <v/>
      </c>
      <c r="J368" s="37" t="str">
        <f t="shared" si="76"/>
        <v/>
      </c>
      <c r="K368" s="37" t="str">
        <f t="shared" si="77"/>
        <v/>
      </c>
      <c r="L368" s="37" t="str">
        <f t="shared" si="78"/>
        <v/>
      </c>
      <c r="M368" s="37" t="str">
        <f t="shared" si="79"/>
        <v/>
      </c>
      <c r="N368" s="37" t="str">
        <f>IF($H368="","",IFERROR(INDEX('Risk Library'!$T$5:$Y$411,MATCH($E368,'Risk Library'!$A$5:$A$411,0),$H368+1),""))</f>
        <v/>
      </c>
      <c r="O368" s="37" t="str">
        <f t="shared" si="80"/>
        <v/>
      </c>
      <c r="P368" s="37" t="str">
        <f t="shared" si="81"/>
        <v/>
      </c>
      <c r="Q368" s="37" t="str">
        <f t="shared" si="82"/>
        <v/>
      </c>
      <c r="R368" s="37" t="str">
        <f t="shared" si="83"/>
        <v/>
      </c>
      <c r="S368" s="38" t="str">
        <f t="shared" si="84"/>
        <v/>
      </c>
      <c r="T368" s="36" t="str">
        <f>IF($H368="","",IFERROR(INDEX('Risk Library'!$N$5:$S$411,MATCH($E368,'Risk Library'!$A$5:$A$411,0),$H368+1),""))</f>
        <v/>
      </c>
      <c r="U368" s="37">
        <f>IFERROR('Cyber Privacy'!$G$12,"")</f>
        <v>5</v>
      </c>
      <c r="V368" s="37">
        <f>IFERROR('Cyber Privacy'!$W$12,"")</f>
        <v>5</v>
      </c>
      <c r="W368" s="37">
        <f>IFERROR('Cyber Privacy'!$X$12,"")</f>
        <v>5</v>
      </c>
      <c r="X368" s="37">
        <f>IFERROR('Cyber Privacy'!$Y$12,"")</f>
        <v>5</v>
      </c>
      <c r="Y368" s="36" t="s">
        <v>5481</v>
      </c>
      <c r="Z368" s="36" t="s">
        <v>5482</v>
      </c>
      <c r="AA368" s="36" t="s">
        <v>5546</v>
      </c>
      <c r="AB368" s="36">
        <f>IFERROR('Cyber Privacy'!$U$12,"")</f>
        <v>0</v>
      </c>
      <c r="AC368" s="36"/>
      <c r="AD368" s="36"/>
      <c r="AE368" s="36"/>
      <c r="AF368" s="36" t="s">
        <v>5545</v>
      </c>
      <c r="AO368" s="48" t="str">
        <f>IF($B368="Yes",IFERROR(SUMIFS(_TECH_Crisis_Model!$D$5:$D$191,_TECH_Crisis_Model!$A$5:$A$191,'Crisis Simulator'!$B$4,_TECH_Crisis_Model!$B$5:$B$191,$C368),1),"")</f>
        <v/>
      </c>
      <c r="AP368" s="48" t="str">
        <f t="shared" si="85"/>
        <v/>
      </c>
      <c r="AQ368" s="48" t="str">
        <f t="shared" si="86"/>
        <v/>
      </c>
      <c r="AR368" s="48" t="str">
        <f>IFERROR(INDEX(_TECH_Crisis_Model!$E$5:$E$191,MATCH('Crisis Simulator'!$B$4&amp;"|"&amp;$C368,_TECH_Crisis_Model!$I$5:$I$191,0)),"")</f>
        <v>Cybersecurity and privacy controls determine resistance to digital disruption and regulatory exposure.</v>
      </c>
      <c r="AS368" s="48" t="str">
        <f>IFERROR(INDEX(_TECH_Crisis_Model!$G$5:$G$191,MATCH('Crisis Simulator'!$B$4&amp;"|"&amp;$C368,_TECH_Crisis_Model!$I$5:$I$191,0)),"")</f>
        <v>Strengthen MFA, EDR, logging, IR playbooks, restore testing, privacy controls and awareness.</v>
      </c>
      <c r="AT368" s="48" t="str">
        <f>IFERROR(INDEX(_TECH_Initiative_Library!$A$5:$A$76,MATCH(1,INDEX((_TECH_Initiative_Library!$B$5:$B$76=$C368)*(_TECH_Initiative_Library!$C$5:$C$76=$D368),0),0)),"")</f>
        <v>INI-064</v>
      </c>
      <c r="AU368" s="48" t="str">
        <f>IFERROR(INDEX(_TECH_Initiative_Library!$F$5:$F$76,MATCH(1,INDEX((_TECH_Initiative_Library!$B$5:$B$76=$C368)*(_TECH_Initiative_Library!$C$5:$C$76=$D368),0),0)),"")</f>
        <v>Strengthen IAM, MFA, privileged access and joiner/mover/leaver controls</v>
      </c>
      <c r="AV368" s="48" t="str">
        <f ca="1">IFERROR(INDEX(_TECH_Initiative_Library!$AC$5:$AC$76,MATCH(1,INDEX((_TECH_Initiative_Library!$B$5:$B$76=$C368)*(_TECH_Initiative_Library!$C$5:$C$76=$D368),0),0)),"")</f>
        <v/>
      </c>
      <c r="AW368" s="48" t="str">
        <f ca="1">IFERROR(INDEX(_TECH_Initiative_Library!$AE$5:$AE$76,MATCH(1,INDEX((_TECH_Initiative_Library!$B$5:$B$76=$C368)*(_TECH_Initiative_Library!$C$5:$C$76=$D368),0),0)),"")</f>
        <v/>
      </c>
      <c r="AX368" s="48" t="str">
        <f>IF($B368="Yes",IFERROR(SUMIFS(_TECH_Industry_Templates!$E:$E,_TECH_Industry_Templates!$A:$A,'Company Profile'!$B$9,_TECH_Industry_Templates!$B:$B,$C368),1),"")</f>
        <v/>
      </c>
      <c r="AY368" s="48" t="str">
        <f t="shared" si="87"/>
        <v/>
      </c>
      <c r="AZ368" s="48" t="str">
        <f t="shared" si="88"/>
        <v/>
      </c>
      <c r="BA368" s="48" t="str">
        <f>IF($AZ368="","",RANK.EQ($AZ368,$AZ$8:$AZ$414,0)+COUNTIF($AZ$8:$AZ368,$AZ368)-1)</f>
        <v/>
      </c>
    </row>
    <row r="369" spans="1:53" ht="69.95" customHeight="1">
      <c r="A369" s="36" t="str">
        <f>IF($AZ369="","",RANK.EQ($AZ369,$AZ$8:$AZ$414,0)+COUNTIF($AZ$8:$AZ369,$AZ369)-1)</f>
        <v/>
      </c>
      <c r="B369" s="36" t="str">
        <f t="shared" si="75"/>
        <v/>
      </c>
      <c r="C369" s="36" t="s">
        <v>93</v>
      </c>
      <c r="D369" s="36" t="s">
        <v>1596</v>
      </c>
      <c r="E369" s="36" t="s">
        <v>5554</v>
      </c>
      <c r="F369" s="36" t="s">
        <v>1586</v>
      </c>
      <c r="G369" s="36" t="str">
        <f>IF($H369="","",IFERROR(INDEX('Risk Library'!$H$5:$M$411,MATCH($E369,'Risk Library'!$A$5:$A$411,0),$H369+1),""))</f>
        <v/>
      </c>
      <c r="H369" s="37" t="str">
        <f>IF(OR(COUNTA('Cyber Privacy'!$H$13)=0,'Cyber Privacy'!$H$13="N/A"),"",VALUE('Cyber Privacy'!$H$13))</f>
        <v/>
      </c>
      <c r="I369" s="36" t="str">
        <f>IF($H369="","",IFERROR(IF('Cyber Privacy'!$L$13="",IF($H369&lt;=1,"Critical",IF($H369=2,"High",IF($H369=3,"Medium",IF($H369=4,"Low","Resilient")))),'Cyber Privacy'!$L$13),IF($H369&lt;=1,"Critical",IF($H369=2,"High",IF($H369=3,"Medium",IF($H369=4,"Low","Resilient"))))))</f>
        <v/>
      </c>
      <c r="J369" s="37" t="str">
        <f t="shared" si="76"/>
        <v/>
      </c>
      <c r="K369" s="37" t="str">
        <f t="shared" si="77"/>
        <v/>
      </c>
      <c r="L369" s="37" t="str">
        <f t="shared" si="78"/>
        <v/>
      </c>
      <c r="M369" s="37" t="str">
        <f t="shared" si="79"/>
        <v/>
      </c>
      <c r="N369" s="37" t="str">
        <f>IF($H369="","",IFERROR(INDEX('Risk Library'!$T$5:$Y$411,MATCH($E369,'Risk Library'!$A$5:$A$411,0),$H369+1),""))</f>
        <v/>
      </c>
      <c r="O369" s="37" t="str">
        <f t="shared" si="80"/>
        <v/>
      </c>
      <c r="P369" s="37" t="str">
        <f t="shared" si="81"/>
        <v/>
      </c>
      <c r="Q369" s="37" t="str">
        <f t="shared" si="82"/>
        <v/>
      </c>
      <c r="R369" s="37" t="str">
        <f t="shared" si="83"/>
        <v/>
      </c>
      <c r="S369" s="38" t="str">
        <f t="shared" si="84"/>
        <v/>
      </c>
      <c r="T369" s="36" t="str">
        <f>IF($H369="","",IFERROR(INDEX('Risk Library'!$N$5:$S$411,MATCH($E369,'Risk Library'!$A$5:$A$411,0),$H369+1),""))</f>
        <v/>
      </c>
      <c r="U369" s="37">
        <f>IFERROR('Cyber Privacy'!$G$13,"")</f>
        <v>4</v>
      </c>
      <c r="V369" s="37">
        <f>IFERROR('Cyber Privacy'!$W$13,"")</f>
        <v>5</v>
      </c>
      <c r="W369" s="37">
        <f>IFERROR('Cyber Privacy'!$X$13,"")</f>
        <v>5</v>
      </c>
      <c r="X369" s="37">
        <f>IFERROR('Cyber Privacy'!$Y$13,"")</f>
        <v>5</v>
      </c>
      <c r="Y369" s="36" t="s">
        <v>5481</v>
      </c>
      <c r="Z369" s="36" t="s">
        <v>5482</v>
      </c>
      <c r="AA369" s="36" t="s">
        <v>5556</v>
      </c>
      <c r="AB369" s="36">
        <f>IFERROR('Cyber Privacy'!$U$13,"")</f>
        <v>0</v>
      </c>
      <c r="AC369" s="36"/>
      <c r="AD369" s="36"/>
      <c r="AE369" s="36"/>
      <c r="AF369" s="36" t="s">
        <v>5555</v>
      </c>
      <c r="AO369" s="48" t="str">
        <f>IF($B369="Yes",IFERROR(SUMIFS(_TECH_Crisis_Model!$D$5:$D$191,_TECH_Crisis_Model!$A$5:$A$191,'Crisis Simulator'!$B$4,_TECH_Crisis_Model!$B$5:$B$191,$C369),1),"")</f>
        <v/>
      </c>
      <c r="AP369" s="48" t="str">
        <f t="shared" si="85"/>
        <v/>
      </c>
      <c r="AQ369" s="48" t="str">
        <f t="shared" si="86"/>
        <v/>
      </c>
      <c r="AR369" s="48" t="str">
        <f>IFERROR(INDEX(_TECH_Crisis_Model!$E$5:$E$191,MATCH('Crisis Simulator'!$B$4&amp;"|"&amp;$C369,_TECH_Crisis_Model!$I$5:$I$191,0)),"")</f>
        <v>Cybersecurity and privacy controls determine resistance to digital disruption and regulatory exposure.</v>
      </c>
      <c r="AS369" s="48" t="str">
        <f>IFERROR(INDEX(_TECH_Crisis_Model!$G$5:$G$191,MATCH('Crisis Simulator'!$B$4&amp;"|"&amp;$C369,_TECH_Crisis_Model!$I$5:$I$191,0)),"")</f>
        <v>Strengthen MFA, EDR, logging, IR playbooks, restore testing, privacy controls and awareness.</v>
      </c>
      <c r="AT369" s="48" t="str">
        <f>IFERROR(INDEX(_TECH_Initiative_Library!$A$5:$A$76,MATCH(1,INDEX((_TECH_Initiative_Library!$B$5:$B$76=$C369)*(_TECH_Initiative_Library!$C$5:$C$76=$D369),0),0)),"")</f>
        <v>INI-064</v>
      </c>
      <c r="AU369" s="48" t="str">
        <f>IFERROR(INDEX(_TECH_Initiative_Library!$F$5:$F$76,MATCH(1,INDEX((_TECH_Initiative_Library!$B$5:$B$76=$C369)*(_TECH_Initiative_Library!$C$5:$C$76=$D369),0),0)),"")</f>
        <v>Strengthen IAM, MFA, privileged access and joiner/mover/leaver controls</v>
      </c>
      <c r="AV369" s="48" t="str">
        <f ca="1">IFERROR(INDEX(_TECH_Initiative_Library!$AC$5:$AC$76,MATCH(1,INDEX((_TECH_Initiative_Library!$B$5:$B$76=$C369)*(_TECH_Initiative_Library!$C$5:$C$76=$D369),0),0)),"")</f>
        <v/>
      </c>
      <c r="AW369" s="48" t="str">
        <f ca="1">IFERROR(INDEX(_TECH_Initiative_Library!$AE$5:$AE$76,MATCH(1,INDEX((_TECH_Initiative_Library!$B$5:$B$76=$C369)*(_TECH_Initiative_Library!$C$5:$C$76=$D369),0),0)),"")</f>
        <v/>
      </c>
      <c r="AX369" s="48" t="str">
        <f>IF($B369="Yes",IFERROR(SUMIFS(_TECH_Industry_Templates!$E:$E,_TECH_Industry_Templates!$A:$A,'Company Profile'!$B$9,_TECH_Industry_Templates!$B:$B,$C369),1),"")</f>
        <v/>
      </c>
      <c r="AY369" s="48" t="str">
        <f t="shared" si="87"/>
        <v/>
      </c>
      <c r="AZ369" s="48" t="str">
        <f t="shared" si="88"/>
        <v/>
      </c>
      <c r="BA369" s="48" t="str">
        <f>IF($AZ369="","",RANK.EQ($AZ369,$AZ$8:$AZ$414,0)+COUNTIF($AZ$8:$AZ369,$AZ369)-1)</f>
        <v/>
      </c>
    </row>
    <row r="370" spans="1:53" ht="69.95" customHeight="1">
      <c r="A370" s="36" t="str">
        <f>IF($AZ370="","",RANK.EQ($AZ370,$AZ$8:$AZ$414,0)+COUNTIF($AZ$8:$AZ370,$AZ370)-1)</f>
        <v/>
      </c>
      <c r="B370" s="36" t="str">
        <f t="shared" si="75"/>
        <v/>
      </c>
      <c r="C370" s="36" t="s">
        <v>93</v>
      </c>
      <c r="D370" s="36" t="s">
        <v>1596</v>
      </c>
      <c r="E370" s="36" t="s">
        <v>5564</v>
      </c>
      <c r="F370" s="36" t="s">
        <v>1586</v>
      </c>
      <c r="G370" s="36" t="str">
        <f>IF($H370="","",IFERROR(INDEX('Risk Library'!$H$5:$M$411,MATCH($E370,'Risk Library'!$A$5:$A$411,0),$H370+1),""))</f>
        <v/>
      </c>
      <c r="H370" s="37" t="str">
        <f>IF(OR(COUNTA('Cyber Privacy'!$H$14)=0,'Cyber Privacy'!$H$14="N/A"),"",VALUE('Cyber Privacy'!$H$14))</f>
        <v/>
      </c>
      <c r="I370" s="36" t="str">
        <f>IF($H370="","",IFERROR(IF('Cyber Privacy'!$L$14="",IF($H370&lt;=1,"Critical",IF($H370=2,"High",IF($H370=3,"Medium",IF($H370=4,"Low","Resilient")))),'Cyber Privacy'!$L$14),IF($H370&lt;=1,"Critical",IF($H370=2,"High",IF($H370=3,"Medium",IF($H370=4,"Low","Resilient"))))))</f>
        <v/>
      </c>
      <c r="J370" s="37" t="str">
        <f t="shared" si="76"/>
        <v/>
      </c>
      <c r="K370" s="37" t="str">
        <f t="shared" si="77"/>
        <v/>
      </c>
      <c r="L370" s="37" t="str">
        <f t="shared" si="78"/>
        <v/>
      </c>
      <c r="M370" s="37" t="str">
        <f t="shared" si="79"/>
        <v/>
      </c>
      <c r="N370" s="37" t="str">
        <f>IF($H370="","",IFERROR(INDEX('Risk Library'!$T$5:$Y$411,MATCH($E370,'Risk Library'!$A$5:$A$411,0),$H370+1),""))</f>
        <v/>
      </c>
      <c r="O370" s="37" t="str">
        <f t="shared" si="80"/>
        <v/>
      </c>
      <c r="P370" s="37" t="str">
        <f t="shared" si="81"/>
        <v/>
      </c>
      <c r="Q370" s="37" t="str">
        <f t="shared" si="82"/>
        <v/>
      </c>
      <c r="R370" s="37" t="str">
        <f t="shared" si="83"/>
        <v/>
      </c>
      <c r="S370" s="38" t="str">
        <f t="shared" si="84"/>
        <v/>
      </c>
      <c r="T370" s="36" t="str">
        <f>IF($H370="","",IFERROR(INDEX('Risk Library'!$N$5:$S$411,MATCH($E370,'Risk Library'!$A$5:$A$411,0),$H370+1),""))</f>
        <v/>
      </c>
      <c r="U370" s="37">
        <f>IFERROR('Cyber Privacy'!$G$14,"")</f>
        <v>3</v>
      </c>
      <c r="V370" s="37">
        <f>IFERROR('Cyber Privacy'!$W$14,"")</f>
        <v>5</v>
      </c>
      <c r="W370" s="37">
        <f>IFERROR('Cyber Privacy'!$X$14,"")</f>
        <v>5</v>
      </c>
      <c r="X370" s="37">
        <f>IFERROR('Cyber Privacy'!$Y$14,"")</f>
        <v>5</v>
      </c>
      <c r="Y370" s="36" t="s">
        <v>5481</v>
      </c>
      <c r="Z370" s="36" t="s">
        <v>5482</v>
      </c>
      <c r="AA370" s="36" t="s">
        <v>5566</v>
      </c>
      <c r="AB370" s="36">
        <f>IFERROR('Cyber Privacy'!$U$14,"")</f>
        <v>0</v>
      </c>
      <c r="AC370" s="36"/>
      <c r="AD370" s="36"/>
      <c r="AE370" s="36"/>
      <c r="AF370" s="36" t="s">
        <v>5565</v>
      </c>
      <c r="AO370" s="48" t="str">
        <f>IF($B370="Yes",IFERROR(SUMIFS(_TECH_Crisis_Model!$D$5:$D$191,_TECH_Crisis_Model!$A$5:$A$191,'Crisis Simulator'!$B$4,_TECH_Crisis_Model!$B$5:$B$191,$C370),1),"")</f>
        <v/>
      </c>
      <c r="AP370" s="48" t="str">
        <f t="shared" si="85"/>
        <v/>
      </c>
      <c r="AQ370" s="48" t="str">
        <f t="shared" si="86"/>
        <v/>
      </c>
      <c r="AR370" s="48" t="str">
        <f>IFERROR(INDEX(_TECH_Crisis_Model!$E$5:$E$191,MATCH('Crisis Simulator'!$B$4&amp;"|"&amp;$C370,_TECH_Crisis_Model!$I$5:$I$191,0)),"")</f>
        <v>Cybersecurity and privacy controls determine resistance to digital disruption and regulatory exposure.</v>
      </c>
      <c r="AS370" s="48" t="str">
        <f>IFERROR(INDEX(_TECH_Crisis_Model!$G$5:$G$191,MATCH('Crisis Simulator'!$B$4&amp;"|"&amp;$C370,_TECH_Crisis_Model!$I$5:$I$191,0)),"")</f>
        <v>Strengthen MFA, EDR, logging, IR playbooks, restore testing, privacy controls and awareness.</v>
      </c>
      <c r="AT370" s="48" t="str">
        <f>IFERROR(INDEX(_TECH_Initiative_Library!$A$5:$A$76,MATCH(1,INDEX((_TECH_Initiative_Library!$B$5:$B$76=$C370)*(_TECH_Initiative_Library!$C$5:$C$76=$D370),0),0)),"")</f>
        <v>INI-064</v>
      </c>
      <c r="AU370" s="48" t="str">
        <f>IFERROR(INDEX(_TECH_Initiative_Library!$F$5:$F$76,MATCH(1,INDEX((_TECH_Initiative_Library!$B$5:$B$76=$C370)*(_TECH_Initiative_Library!$C$5:$C$76=$D370),0),0)),"")</f>
        <v>Strengthen IAM, MFA, privileged access and joiner/mover/leaver controls</v>
      </c>
      <c r="AV370" s="48" t="str">
        <f ca="1">IFERROR(INDEX(_TECH_Initiative_Library!$AC$5:$AC$76,MATCH(1,INDEX((_TECH_Initiative_Library!$B$5:$B$76=$C370)*(_TECH_Initiative_Library!$C$5:$C$76=$D370),0),0)),"")</f>
        <v/>
      </c>
      <c r="AW370" s="48" t="str">
        <f ca="1">IFERROR(INDEX(_TECH_Initiative_Library!$AE$5:$AE$76,MATCH(1,INDEX((_TECH_Initiative_Library!$B$5:$B$76=$C370)*(_TECH_Initiative_Library!$C$5:$C$76=$D370),0),0)),"")</f>
        <v/>
      </c>
      <c r="AX370" s="48" t="str">
        <f>IF($B370="Yes",IFERROR(SUMIFS(_TECH_Industry_Templates!$E:$E,_TECH_Industry_Templates!$A:$A,'Company Profile'!$B$9,_TECH_Industry_Templates!$B:$B,$C370),1),"")</f>
        <v/>
      </c>
      <c r="AY370" s="48" t="str">
        <f t="shared" si="87"/>
        <v/>
      </c>
      <c r="AZ370" s="48" t="str">
        <f t="shared" si="88"/>
        <v/>
      </c>
      <c r="BA370" s="48" t="str">
        <f>IF($AZ370="","",RANK.EQ($AZ370,$AZ$8:$AZ$414,0)+COUNTIF($AZ$8:$AZ370,$AZ370)-1)</f>
        <v/>
      </c>
    </row>
    <row r="371" spans="1:53" ht="69.95" customHeight="1">
      <c r="A371" s="36" t="str">
        <f>IF($AZ371="","",RANK.EQ($AZ371,$AZ$8:$AZ$414,0)+COUNTIF($AZ$8:$AZ371,$AZ371)-1)</f>
        <v/>
      </c>
      <c r="B371" s="36" t="str">
        <f t="shared" si="75"/>
        <v/>
      </c>
      <c r="C371" s="36" t="s">
        <v>93</v>
      </c>
      <c r="D371" s="36" t="s">
        <v>1596</v>
      </c>
      <c r="E371" s="36" t="s">
        <v>5574</v>
      </c>
      <c r="F371" s="36" t="s">
        <v>1586</v>
      </c>
      <c r="G371" s="36" t="str">
        <f>IF($H371="","",IFERROR(INDEX('Risk Library'!$H$5:$M$411,MATCH($E371,'Risk Library'!$A$5:$A$411,0),$H371+1),""))</f>
        <v/>
      </c>
      <c r="H371" s="37" t="str">
        <f>IF(OR(COUNTA('Cyber Privacy'!$H$15)=0,'Cyber Privacy'!$H$15="N/A"),"",VALUE('Cyber Privacy'!$H$15))</f>
        <v/>
      </c>
      <c r="I371" s="36" t="str">
        <f>IF($H371="","",IFERROR(IF('Cyber Privacy'!$L$15="",IF($H371&lt;=1,"Critical",IF($H371=2,"High",IF($H371=3,"Medium",IF($H371=4,"Low","Resilient")))),'Cyber Privacy'!$L$15),IF($H371&lt;=1,"Critical",IF($H371=2,"High",IF($H371=3,"Medium",IF($H371=4,"Low","Resilient"))))))</f>
        <v/>
      </c>
      <c r="J371" s="37" t="str">
        <f t="shared" si="76"/>
        <v/>
      </c>
      <c r="K371" s="37" t="str">
        <f t="shared" si="77"/>
        <v/>
      </c>
      <c r="L371" s="37" t="str">
        <f t="shared" si="78"/>
        <v/>
      </c>
      <c r="M371" s="37" t="str">
        <f t="shared" si="79"/>
        <v/>
      </c>
      <c r="N371" s="37" t="str">
        <f>IF($H371="","",IFERROR(INDEX('Risk Library'!$T$5:$Y$411,MATCH($E371,'Risk Library'!$A$5:$A$411,0),$H371+1),""))</f>
        <v/>
      </c>
      <c r="O371" s="37" t="str">
        <f t="shared" si="80"/>
        <v/>
      </c>
      <c r="P371" s="37" t="str">
        <f t="shared" si="81"/>
        <v/>
      </c>
      <c r="Q371" s="37" t="str">
        <f t="shared" si="82"/>
        <v/>
      </c>
      <c r="R371" s="37" t="str">
        <f t="shared" si="83"/>
        <v/>
      </c>
      <c r="S371" s="38" t="str">
        <f t="shared" si="84"/>
        <v/>
      </c>
      <c r="T371" s="36" t="str">
        <f>IF($H371="","",IFERROR(INDEX('Risk Library'!$N$5:$S$411,MATCH($E371,'Risk Library'!$A$5:$A$411,0),$H371+1),""))</f>
        <v/>
      </c>
      <c r="U371" s="37">
        <f>IFERROR('Cyber Privacy'!$G$15,"")</f>
        <v>4</v>
      </c>
      <c r="V371" s="37">
        <f>IFERROR('Cyber Privacy'!$W$15,"")</f>
        <v>5</v>
      </c>
      <c r="W371" s="37">
        <f>IFERROR('Cyber Privacy'!$X$15,"")</f>
        <v>5</v>
      </c>
      <c r="X371" s="37">
        <f>IFERROR('Cyber Privacy'!$Y$15,"")</f>
        <v>5</v>
      </c>
      <c r="Y371" s="36" t="s">
        <v>5481</v>
      </c>
      <c r="Z371" s="36" t="s">
        <v>5482</v>
      </c>
      <c r="AA371" s="36" t="s">
        <v>5576</v>
      </c>
      <c r="AB371" s="36">
        <f>IFERROR('Cyber Privacy'!$U$15,"")</f>
        <v>0</v>
      </c>
      <c r="AC371" s="36"/>
      <c r="AD371" s="36"/>
      <c r="AE371" s="36"/>
      <c r="AF371" s="36" t="s">
        <v>5575</v>
      </c>
      <c r="AO371" s="48" t="str">
        <f>IF($B371="Yes",IFERROR(SUMIFS(_TECH_Crisis_Model!$D$5:$D$191,_TECH_Crisis_Model!$A$5:$A$191,'Crisis Simulator'!$B$4,_TECH_Crisis_Model!$B$5:$B$191,$C371),1),"")</f>
        <v/>
      </c>
      <c r="AP371" s="48" t="str">
        <f t="shared" si="85"/>
        <v/>
      </c>
      <c r="AQ371" s="48" t="str">
        <f t="shared" si="86"/>
        <v/>
      </c>
      <c r="AR371" s="48" t="str">
        <f>IFERROR(INDEX(_TECH_Crisis_Model!$E$5:$E$191,MATCH('Crisis Simulator'!$B$4&amp;"|"&amp;$C371,_TECH_Crisis_Model!$I$5:$I$191,0)),"")</f>
        <v>Cybersecurity and privacy controls determine resistance to digital disruption and regulatory exposure.</v>
      </c>
      <c r="AS371" s="48" t="str">
        <f>IFERROR(INDEX(_TECH_Crisis_Model!$G$5:$G$191,MATCH('Crisis Simulator'!$B$4&amp;"|"&amp;$C371,_TECH_Crisis_Model!$I$5:$I$191,0)),"")</f>
        <v>Strengthen MFA, EDR, logging, IR playbooks, restore testing, privacy controls and awareness.</v>
      </c>
      <c r="AT371" s="48" t="str">
        <f>IFERROR(INDEX(_TECH_Initiative_Library!$A$5:$A$76,MATCH(1,INDEX((_TECH_Initiative_Library!$B$5:$B$76=$C371)*(_TECH_Initiative_Library!$C$5:$C$76=$D371),0),0)),"")</f>
        <v>INI-064</v>
      </c>
      <c r="AU371" s="48" t="str">
        <f>IFERROR(INDEX(_TECH_Initiative_Library!$F$5:$F$76,MATCH(1,INDEX((_TECH_Initiative_Library!$B$5:$B$76=$C371)*(_TECH_Initiative_Library!$C$5:$C$76=$D371),0),0)),"")</f>
        <v>Strengthen IAM, MFA, privileged access and joiner/mover/leaver controls</v>
      </c>
      <c r="AV371" s="48" t="str">
        <f ca="1">IFERROR(INDEX(_TECH_Initiative_Library!$AC$5:$AC$76,MATCH(1,INDEX((_TECH_Initiative_Library!$B$5:$B$76=$C371)*(_TECH_Initiative_Library!$C$5:$C$76=$D371),0),0)),"")</f>
        <v/>
      </c>
      <c r="AW371" s="48" t="str">
        <f ca="1">IFERROR(INDEX(_TECH_Initiative_Library!$AE$5:$AE$76,MATCH(1,INDEX((_TECH_Initiative_Library!$B$5:$B$76=$C371)*(_TECH_Initiative_Library!$C$5:$C$76=$D371),0),0)),"")</f>
        <v/>
      </c>
      <c r="AX371" s="48" t="str">
        <f>IF($B371="Yes",IFERROR(SUMIFS(_TECH_Industry_Templates!$E:$E,_TECH_Industry_Templates!$A:$A,'Company Profile'!$B$9,_TECH_Industry_Templates!$B:$B,$C371),1),"")</f>
        <v/>
      </c>
      <c r="AY371" s="48" t="str">
        <f t="shared" si="87"/>
        <v/>
      </c>
      <c r="AZ371" s="48" t="str">
        <f t="shared" si="88"/>
        <v/>
      </c>
      <c r="BA371" s="48" t="str">
        <f>IF($AZ371="","",RANK.EQ($AZ371,$AZ$8:$AZ$414,0)+COUNTIF($AZ$8:$AZ371,$AZ371)-1)</f>
        <v/>
      </c>
    </row>
    <row r="372" spans="1:53" ht="69.95" customHeight="1">
      <c r="A372" s="36" t="str">
        <f>IF($AZ372="","",RANK.EQ($AZ372,$AZ$8:$AZ$414,0)+COUNTIF($AZ$8:$AZ372,$AZ372)-1)</f>
        <v/>
      </c>
      <c r="B372" s="36" t="str">
        <f t="shared" si="75"/>
        <v/>
      </c>
      <c r="C372" s="36" t="s">
        <v>93</v>
      </c>
      <c r="D372" s="36" t="s">
        <v>1596</v>
      </c>
      <c r="E372" s="36" t="s">
        <v>5584</v>
      </c>
      <c r="F372" s="36" t="s">
        <v>1586</v>
      </c>
      <c r="G372" s="36" t="str">
        <f>IF($H372="","",IFERROR(INDEX('Risk Library'!$H$5:$M$411,MATCH($E372,'Risk Library'!$A$5:$A$411,0),$H372+1),""))</f>
        <v/>
      </c>
      <c r="H372" s="37" t="str">
        <f>IF(OR(COUNTA('Cyber Privacy'!$H$16)=0,'Cyber Privacy'!$H$16="N/A"),"",VALUE('Cyber Privacy'!$H$16))</f>
        <v/>
      </c>
      <c r="I372" s="36" t="str">
        <f>IF($H372="","",IFERROR(IF('Cyber Privacy'!$L$16="",IF($H372&lt;=1,"Critical",IF($H372=2,"High",IF($H372=3,"Medium",IF($H372=4,"Low","Resilient")))),'Cyber Privacy'!$L$16),IF($H372&lt;=1,"Critical",IF($H372=2,"High",IF($H372=3,"Medium",IF($H372=4,"Low","Resilient"))))))</f>
        <v/>
      </c>
      <c r="J372" s="37" t="str">
        <f t="shared" si="76"/>
        <v/>
      </c>
      <c r="K372" s="37" t="str">
        <f t="shared" si="77"/>
        <v/>
      </c>
      <c r="L372" s="37" t="str">
        <f t="shared" si="78"/>
        <v/>
      </c>
      <c r="M372" s="37" t="str">
        <f t="shared" si="79"/>
        <v/>
      </c>
      <c r="N372" s="37" t="str">
        <f>IF($H372="","",IFERROR(INDEX('Risk Library'!$T$5:$Y$411,MATCH($E372,'Risk Library'!$A$5:$A$411,0),$H372+1),""))</f>
        <v/>
      </c>
      <c r="O372" s="37" t="str">
        <f t="shared" si="80"/>
        <v/>
      </c>
      <c r="P372" s="37" t="str">
        <f t="shared" si="81"/>
        <v/>
      </c>
      <c r="Q372" s="37" t="str">
        <f t="shared" si="82"/>
        <v/>
      </c>
      <c r="R372" s="37" t="str">
        <f t="shared" si="83"/>
        <v/>
      </c>
      <c r="S372" s="38" t="str">
        <f t="shared" si="84"/>
        <v/>
      </c>
      <c r="T372" s="36" t="str">
        <f>IF($H372="","",IFERROR(INDEX('Risk Library'!$N$5:$S$411,MATCH($E372,'Risk Library'!$A$5:$A$411,0),$H372+1),""))</f>
        <v/>
      </c>
      <c r="U372" s="37">
        <f>IFERROR('Cyber Privacy'!$G$16,"")</f>
        <v>5</v>
      </c>
      <c r="V372" s="37">
        <f>IFERROR('Cyber Privacy'!$W$16,"")</f>
        <v>5</v>
      </c>
      <c r="W372" s="37">
        <f>IFERROR('Cyber Privacy'!$X$16,"")</f>
        <v>5</v>
      </c>
      <c r="X372" s="37">
        <f>IFERROR('Cyber Privacy'!$Y$16,"")</f>
        <v>5</v>
      </c>
      <c r="Y372" s="36" t="s">
        <v>5481</v>
      </c>
      <c r="Z372" s="36" t="s">
        <v>5482</v>
      </c>
      <c r="AA372" s="36" t="s">
        <v>5586</v>
      </c>
      <c r="AB372" s="36">
        <f>IFERROR('Cyber Privacy'!$U$16,"")</f>
        <v>0</v>
      </c>
      <c r="AC372" s="36"/>
      <c r="AD372" s="36"/>
      <c r="AE372" s="36"/>
      <c r="AF372" s="36" t="s">
        <v>5585</v>
      </c>
      <c r="AO372" s="48" t="str">
        <f>IF($B372="Yes",IFERROR(SUMIFS(_TECH_Crisis_Model!$D$5:$D$191,_TECH_Crisis_Model!$A$5:$A$191,'Crisis Simulator'!$B$4,_TECH_Crisis_Model!$B$5:$B$191,$C372),1),"")</f>
        <v/>
      </c>
      <c r="AP372" s="48" t="str">
        <f t="shared" si="85"/>
        <v/>
      </c>
      <c r="AQ372" s="48" t="str">
        <f t="shared" si="86"/>
        <v/>
      </c>
      <c r="AR372" s="48" t="str">
        <f>IFERROR(INDEX(_TECH_Crisis_Model!$E$5:$E$191,MATCH('Crisis Simulator'!$B$4&amp;"|"&amp;$C372,_TECH_Crisis_Model!$I$5:$I$191,0)),"")</f>
        <v>Cybersecurity and privacy controls determine resistance to digital disruption and regulatory exposure.</v>
      </c>
      <c r="AS372" s="48" t="str">
        <f>IFERROR(INDEX(_TECH_Crisis_Model!$G$5:$G$191,MATCH('Crisis Simulator'!$B$4&amp;"|"&amp;$C372,_TECH_Crisis_Model!$I$5:$I$191,0)),"")</f>
        <v>Strengthen MFA, EDR, logging, IR playbooks, restore testing, privacy controls and awareness.</v>
      </c>
      <c r="AT372" s="48" t="str">
        <f>IFERROR(INDEX(_TECH_Initiative_Library!$A$5:$A$76,MATCH(1,INDEX((_TECH_Initiative_Library!$B$5:$B$76=$C372)*(_TECH_Initiative_Library!$C$5:$C$76=$D372),0),0)),"")</f>
        <v>INI-064</v>
      </c>
      <c r="AU372" s="48" t="str">
        <f>IFERROR(INDEX(_TECH_Initiative_Library!$F$5:$F$76,MATCH(1,INDEX((_TECH_Initiative_Library!$B$5:$B$76=$C372)*(_TECH_Initiative_Library!$C$5:$C$76=$D372),0),0)),"")</f>
        <v>Strengthen IAM, MFA, privileged access and joiner/mover/leaver controls</v>
      </c>
      <c r="AV372" s="48" t="str">
        <f ca="1">IFERROR(INDEX(_TECH_Initiative_Library!$AC$5:$AC$76,MATCH(1,INDEX((_TECH_Initiative_Library!$B$5:$B$76=$C372)*(_TECH_Initiative_Library!$C$5:$C$76=$D372),0),0)),"")</f>
        <v/>
      </c>
      <c r="AW372" s="48" t="str">
        <f ca="1">IFERROR(INDEX(_TECH_Initiative_Library!$AE$5:$AE$76,MATCH(1,INDEX((_TECH_Initiative_Library!$B$5:$B$76=$C372)*(_TECH_Initiative_Library!$C$5:$C$76=$D372),0),0)),"")</f>
        <v/>
      </c>
      <c r="AX372" s="48" t="str">
        <f>IF($B372="Yes",IFERROR(SUMIFS(_TECH_Industry_Templates!$E:$E,_TECH_Industry_Templates!$A:$A,'Company Profile'!$B$9,_TECH_Industry_Templates!$B:$B,$C372),1),"")</f>
        <v/>
      </c>
      <c r="AY372" s="48" t="str">
        <f t="shared" si="87"/>
        <v/>
      </c>
      <c r="AZ372" s="48" t="str">
        <f t="shared" si="88"/>
        <v/>
      </c>
      <c r="BA372" s="48" t="str">
        <f>IF($AZ372="","",RANK.EQ($AZ372,$AZ$8:$AZ$414,0)+COUNTIF($AZ$8:$AZ372,$AZ372)-1)</f>
        <v/>
      </c>
    </row>
    <row r="373" spans="1:53" ht="69.95" customHeight="1">
      <c r="A373" s="36" t="str">
        <f>IF($AZ373="","",RANK.EQ($AZ373,$AZ$8:$AZ$414,0)+COUNTIF($AZ$8:$AZ373,$AZ373)-1)</f>
        <v/>
      </c>
      <c r="B373" s="36" t="str">
        <f t="shared" si="75"/>
        <v/>
      </c>
      <c r="C373" s="36" t="s">
        <v>93</v>
      </c>
      <c r="D373" s="36" t="s">
        <v>1604</v>
      </c>
      <c r="E373" s="36" t="s">
        <v>5594</v>
      </c>
      <c r="F373" s="36" t="s">
        <v>1586</v>
      </c>
      <c r="G373" s="36" t="str">
        <f>IF($H373="","",IFERROR(INDEX('Risk Library'!$H$5:$M$411,MATCH($E373,'Risk Library'!$A$5:$A$411,0),$H373+1),""))</f>
        <v/>
      </c>
      <c r="H373" s="37" t="str">
        <f>IF(OR(COUNTA('Cyber Privacy'!$H$17)=0,'Cyber Privacy'!$H$17="N/A"),"",VALUE('Cyber Privacy'!$H$17))</f>
        <v/>
      </c>
      <c r="I373" s="36" t="str">
        <f>IF($H373="","",IFERROR(IF('Cyber Privacy'!$L$17="",IF($H373&lt;=1,"Critical",IF($H373=2,"High",IF($H373=3,"Medium",IF($H373=4,"Low","Resilient")))),'Cyber Privacy'!$L$17),IF($H373&lt;=1,"Critical",IF($H373=2,"High",IF($H373=3,"Medium",IF($H373=4,"Low","Resilient"))))))</f>
        <v/>
      </c>
      <c r="J373" s="37" t="str">
        <f t="shared" si="76"/>
        <v/>
      </c>
      <c r="K373" s="37" t="str">
        <f t="shared" si="77"/>
        <v/>
      </c>
      <c r="L373" s="37" t="str">
        <f t="shared" si="78"/>
        <v/>
      </c>
      <c r="M373" s="37" t="str">
        <f t="shared" si="79"/>
        <v/>
      </c>
      <c r="N373" s="37" t="str">
        <f>IF($H373="","",IFERROR(INDEX('Risk Library'!$T$5:$Y$411,MATCH($E373,'Risk Library'!$A$5:$A$411,0),$H373+1),""))</f>
        <v/>
      </c>
      <c r="O373" s="37" t="str">
        <f t="shared" si="80"/>
        <v/>
      </c>
      <c r="P373" s="37" t="str">
        <f t="shared" si="81"/>
        <v/>
      </c>
      <c r="Q373" s="37" t="str">
        <f t="shared" si="82"/>
        <v/>
      </c>
      <c r="R373" s="37" t="str">
        <f t="shared" si="83"/>
        <v/>
      </c>
      <c r="S373" s="38" t="str">
        <f t="shared" si="84"/>
        <v/>
      </c>
      <c r="T373" s="36" t="str">
        <f>IF($H373="","",IFERROR(INDEX('Risk Library'!$N$5:$S$411,MATCH($E373,'Risk Library'!$A$5:$A$411,0),$H373+1),""))</f>
        <v/>
      </c>
      <c r="U373" s="37">
        <f>IFERROR('Cyber Privacy'!$G$17,"")</f>
        <v>5</v>
      </c>
      <c r="V373" s="37">
        <f>IFERROR('Cyber Privacy'!$W$17,"")</f>
        <v>5</v>
      </c>
      <c r="W373" s="37">
        <f>IFERROR('Cyber Privacy'!$X$17,"")</f>
        <v>5</v>
      </c>
      <c r="X373" s="37">
        <f>IFERROR('Cyber Privacy'!$Y$17,"")</f>
        <v>5</v>
      </c>
      <c r="Y373" s="36" t="s">
        <v>5481</v>
      </c>
      <c r="Z373" s="36" t="s">
        <v>5482</v>
      </c>
      <c r="AA373" s="36" t="s">
        <v>5596</v>
      </c>
      <c r="AB373" s="36">
        <f>IFERROR('Cyber Privacy'!$U$17,"")</f>
        <v>0</v>
      </c>
      <c r="AC373" s="36"/>
      <c r="AD373" s="36"/>
      <c r="AE373" s="36"/>
      <c r="AF373" s="36" t="s">
        <v>5595</v>
      </c>
      <c r="AO373" s="48" t="str">
        <f>IF($B373="Yes",IFERROR(SUMIFS(_TECH_Crisis_Model!$D$5:$D$191,_TECH_Crisis_Model!$A$5:$A$191,'Crisis Simulator'!$B$4,_TECH_Crisis_Model!$B$5:$B$191,$C373),1),"")</f>
        <v/>
      </c>
      <c r="AP373" s="48" t="str">
        <f t="shared" si="85"/>
        <v/>
      </c>
      <c r="AQ373" s="48" t="str">
        <f t="shared" si="86"/>
        <v/>
      </c>
      <c r="AR373" s="48" t="str">
        <f>IFERROR(INDEX(_TECH_Crisis_Model!$E$5:$E$191,MATCH('Crisis Simulator'!$B$4&amp;"|"&amp;$C373,_TECH_Crisis_Model!$I$5:$I$191,0)),"")</f>
        <v>Cybersecurity and privacy controls determine resistance to digital disruption and regulatory exposure.</v>
      </c>
      <c r="AS373" s="48" t="str">
        <f>IFERROR(INDEX(_TECH_Crisis_Model!$G$5:$G$191,MATCH('Crisis Simulator'!$B$4&amp;"|"&amp;$C373,_TECH_Crisis_Model!$I$5:$I$191,0)),"")</f>
        <v>Strengthen MFA, EDR, logging, IR playbooks, restore testing, privacy controls and awareness.</v>
      </c>
      <c r="AT373" s="48" t="str">
        <f>IFERROR(INDEX(_TECH_Initiative_Library!$A$5:$A$76,MATCH(1,INDEX((_TECH_Initiative_Library!$B$5:$B$76=$C373)*(_TECH_Initiative_Library!$C$5:$C$76=$D373),0),0)),"")</f>
        <v>INI-065</v>
      </c>
      <c r="AU373" s="48" t="str">
        <f>IFERROR(INDEX(_TECH_Initiative_Library!$F$5:$F$76,MATCH(1,INDEX((_TECH_Initiative_Library!$B$5:$B$76=$C373)*(_TECH_Initiative_Library!$C$5:$C$76=$D373),0),0)),"")</f>
        <v>Improve endpoint, network, backup and vulnerability protection</v>
      </c>
      <c r="AV373" s="48" t="str">
        <f ca="1">IFERROR(INDEX(_TECH_Initiative_Library!$AC$5:$AC$76,MATCH(1,INDEX((_TECH_Initiative_Library!$B$5:$B$76=$C373)*(_TECH_Initiative_Library!$C$5:$C$76=$D373),0),0)),"")</f>
        <v/>
      </c>
      <c r="AW373" s="48" t="str">
        <f ca="1">IFERROR(INDEX(_TECH_Initiative_Library!$AE$5:$AE$76,MATCH(1,INDEX((_TECH_Initiative_Library!$B$5:$B$76=$C373)*(_TECH_Initiative_Library!$C$5:$C$76=$D373),0),0)),"")</f>
        <v/>
      </c>
      <c r="AX373" s="48" t="str">
        <f>IF($B373="Yes",IFERROR(SUMIFS(_TECH_Industry_Templates!$E:$E,_TECH_Industry_Templates!$A:$A,'Company Profile'!$B$9,_TECH_Industry_Templates!$B:$B,$C373),1),"")</f>
        <v/>
      </c>
      <c r="AY373" s="48" t="str">
        <f t="shared" si="87"/>
        <v/>
      </c>
      <c r="AZ373" s="48" t="str">
        <f t="shared" si="88"/>
        <v/>
      </c>
      <c r="BA373" s="48" t="str">
        <f>IF($AZ373="","",RANK.EQ($AZ373,$AZ$8:$AZ$414,0)+COUNTIF($AZ$8:$AZ373,$AZ373)-1)</f>
        <v/>
      </c>
    </row>
    <row r="374" spans="1:53" ht="69.95" customHeight="1">
      <c r="A374" s="36" t="str">
        <f>IF($AZ374="","",RANK.EQ($AZ374,$AZ$8:$AZ$414,0)+COUNTIF($AZ$8:$AZ374,$AZ374)-1)</f>
        <v/>
      </c>
      <c r="B374" s="36" t="str">
        <f t="shared" si="75"/>
        <v/>
      </c>
      <c r="C374" s="36" t="s">
        <v>93</v>
      </c>
      <c r="D374" s="36" t="s">
        <v>1604</v>
      </c>
      <c r="E374" s="36" t="s">
        <v>5604</v>
      </c>
      <c r="F374" s="36" t="s">
        <v>1586</v>
      </c>
      <c r="G374" s="36" t="str">
        <f>IF($H374="","",IFERROR(INDEX('Risk Library'!$H$5:$M$411,MATCH($E374,'Risk Library'!$A$5:$A$411,0),$H374+1),""))</f>
        <v/>
      </c>
      <c r="H374" s="37" t="str">
        <f>IF(OR(COUNTA('Cyber Privacy'!$H$18)=0,'Cyber Privacy'!$H$18="N/A"),"",VALUE('Cyber Privacy'!$H$18))</f>
        <v/>
      </c>
      <c r="I374" s="36" t="str">
        <f>IF($H374="","",IFERROR(IF('Cyber Privacy'!$L$18="",IF($H374&lt;=1,"Critical",IF($H374=2,"High",IF($H374=3,"Medium",IF($H374=4,"Low","Resilient")))),'Cyber Privacy'!$L$18),IF($H374&lt;=1,"Critical",IF($H374=2,"High",IF($H374=3,"Medium",IF($H374=4,"Low","Resilient"))))))</f>
        <v/>
      </c>
      <c r="J374" s="37" t="str">
        <f t="shared" si="76"/>
        <v/>
      </c>
      <c r="K374" s="37" t="str">
        <f t="shared" si="77"/>
        <v/>
      </c>
      <c r="L374" s="37" t="str">
        <f t="shared" si="78"/>
        <v/>
      </c>
      <c r="M374" s="37" t="str">
        <f t="shared" si="79"/>
        <v/>
      </c>
      <c r="N374" s="37" t="str">
        <f>IF($H374="","",IFERROR(INDEX('Risk Library'!$T$5:$Y$411,MATCH($E374,'Risk Library'!$A$5:$A$411,0),$H374+1),""))</f>
        <v/>
      </c>
      <c r="O374" s="37" t="str">
        <f t="shared" si="80"/>
        <v/>
      </c>
      <c r="P374" s="37" t="str">
        <f t="shared" si="81"/>
        <v/>
      </c>
      <c r="Q374" s="37" t="str">
        <f t="shared" si="82"/>
        <v/>
      </c>
      <c r="R374" s="37" t="str">
        <f t="shared" si="83"/>
        <v/>
      </c>
      <c r="S374" s="38" t="str">
        <f t="shared" si="84"/>
        <v/>
      </c>
      <c r="T374" s="36" t="str">
        <f>IF($H374="","",IFERROR(INDEX('Risk Library'!$N$5:$S$411,MATCH($E374,'Risk Library'!$A$5:$A$411,0),$H374+1),""))</f>
        <v/>
      </c>
      <c r="U374" s="37">
        <f>IFERROR('Cyber Privacy'!$G$18,"")</f>
        <v>5</v>
      </c>
      <c r="V374" s="37">
        <f>IFERROR('Cyber Privacy'!$W$18,"")</f>
        <v>5</v>
      </c>
      <c r="W374" s="37">
        <f>IFERROR('Cyber Privacy'!$X$18,"")</f>
        <v>5</v>
      </c>
      <c r="X374" s="37">
        <f>IFERROR('Cyber Privacy'!$Y$18,"")</f>
        <v>5</v>
      </c>
      <c r="Y374" s="36" t="s">
        <v>5481</v>
      </c>
      <c r="Z374" s="36" t="s">
        <v>5482</v>
      </c>
      <c r="AA374" s="36" t="s">
        <v>5606</v>
      </c>
      <c r="AB374" s="36">
        <f>IFERROR('Cyber Privacy'!$U$18,"")</f>
        <v>0</v>
      </c>
      <c r="AC374" s="36"/>
      <c r="AD374" s="36"/>
      <c r="AE374" s="36"/>
      <c r="AF374" s="36" t="s">
        <v>5605</v>
      </c>
      <c r="AO374" s="48" t="str">
        <f>IF($B374="Yes",IFERROR(SUMIFS(_TECH_Crisis_Model!$D$5:$D$191,_TECH_Crisis_Model!$A$5:$A$191,'Crisis Simulator'!$B$4,_TECH_Crisis_Model!$B$5:$B$191,$C374),1),"")</f>
        <v/>
      </c>
      <c r="AP374" s="48" t="str">
        <f t="shared" si="85"/>
        <v/>
      </c>
      <c r="AQ374" s="48" t="str">
        <f t="shared" si="86"/>
        <v/>
      </c>
      <c r="AR374" s="48" t="str">
        <f>IFERROR(INDEX(_TECH_Crisis_Model!$E$5:$E$191,MATCH('Crisis Simulator'!$B$4&amp;"|"&amp;$C374,_TECH_Crisis_Model!$I$5:$I$191,0)),"")</f>
        <v>Cybersecurity and privacy controls determine resistance to digital disruption and regulatory exposure.</v>
      </c>
      <c r="AS374" s="48" t="str">
        <f>IFERROR(INDEX(_TECH_Crisis_Model!$G$5:$G$191,MATCH('Crisis Simulator'!$B$4&amp;"|"&amp;$C374,_TECH_Crisis_Model!$I$5:$I$191,0)),"")</f>
        <v>Strengthen MFA, EDR, logging, IR playbooks, restore testing, privacy controls and awareness.</v>
      </c>
      <c r="AT374" s="48" t="str">
        <f>IFERROR(INDEX(_TECH_Initiative_Library!$A$5:$A$76,MATCH(1,INDEX((_TECH_Initiative_Library!$B$5:$B$76=$C374)*(_TECH_Initiative_Library!$C$5:$C$76=$D374),0),0)),"")</f>
        <v>INI-065</v>
      </c>
      <c r="AU374" s="48" t="str">
        <f>IFERROR(INDEX(_TECH_Initiative_Library!$F$5:$F$76,MATCH(1,INDEX((_TECH_Initiative_Library!$B$5:$B$76=$C374)*(_TECH_Initiative_Library!$C$5:$C$76=$D374),0),0)),"")</f>
        <v>Improve endpoint, network, backup and vulnerability protection</v>
      </c>
      <c r="AV374" s="48" t="str">
        <f ca="1">IFERROR(INDEX(_TECH_Initiative_Library!$AC$5:$AC$76,MATCH(1,INDEX((_TECH_Initiative_Library!$B$5:$B$76=$C374)*(_TECH_Initiative_Library!$C$5:$C$76=$D374),0),0)),"")</f>
        <v/>
      </c>
      <c r="AW374" s="48" t="str">
        <f ca="1">IFERROR(INDEX(_TECH_Initiative_Library!$AE$5:$AE$76,MATCH(1,INDEX((_TECH_Initiative_Library!$B$5:$B$76=$C374)*(_TECH_Initiative_Library!$C$5:$C$76=$D374),0),0)),"")</f>
        <v/>
      </c>
      <c r="AX374" s="48" t="str">
        <f>IF($B374="Yes",IFERROR(SUMIFS(_TECH_Industry_Templates!$E:$E,_TECH_Industry_Templates!$A:$A,'Company Profile'!$B$9,_TECH_Industry_Templates!$B:$B,$C374),1),"")</f>
        <v/>
      </c>
      <c r="AY374" s="48" t="str">
        <f t="shared" si="87"/>
        <v/>
      </c>
      <c r="AZ374" s="48" t="str">
        <f t="shared" si="88"/>
        <v/>
      </c>
      <c r="BA374" s="48" t="str">
        <f>IF($AZ374="","",RANK.EQ($AZ374,$AZ$8:$AZ$414,0)+COUNTIF($AZ$8:$AZ374,$AZ374)-1)</f>
        <v/>
      </c>
    </row>
    <row r="375" spans="1:53" ht="69.95" customHeight="1">
      <c r="A375" s="36" t="str">
        <f>IF($AZ375="","",RANK.EQ($AZ375,$AZ$8:$AZ$414,0)+COUNTIF($AZ$8:$AZ375,$AZ375)-1)</f>
        <v/>
      </c>
      <c r="B375" s="36" t="str">
        <f t="shared" si="75"/>
        <v/>
      </c>
      <c r="C375" s="36" t="s">
        <v>93</v>
      </c>
      <c r="D375" s="36" t="s">
        <v>1604</v>
      </c>
      <c r="E375" s="36" t="s">
        <v>5614</v>
      </c>
      <c r="F375" s="36" t="s">
        <v>1586</v>
      </c>
      <c r="G375" s="36" t="str">
        <f>IF($H375="","",IFERROR(INDEX('Risk Library'!$H$5:$M$411,MATCH($E375,'Risk Library'!$A$5:$A$411,0),$H375+1),""))</f>
        <v/>
      </c>
      <c r="H375" s="37" t="str">
        <f>IF(OR(COUNTA('Cyber Privacy'!$H$19)=0,'Cyber Privacy'!$H$19="N/A"),"",VALUE('Cyber Privacy'!$H$19))</f>
        <v/>
      </c>
      <c r="I375" s="36" t="str">
        <f>IF($H375="","",IFERROR(IF('Cyber Privacy'!$L$19="",IF($H375&lt;=1,"Critical",IF($H375=2,"High",IF($H375=3,"Medium",IF($H375=4,"Low","Resilient")))),'Cyber Privacy'!$L$19),IF($H375&lt;=1,"Critical",IF($H375=2,"High",IF($H375=3,"Medium",IF($H375=4,"Low","Resilient"))))))</f>
        <v/>
      </c>
      <c r="J375" s="37" t="str">
        <f t="shared" si="76"/>
        <v/>
      </c>
      <c r="K375" s="37" t="str">
        <f t="shared" si="77"/>
        <v/>
      </c>
      <c r="L375" s="37" t="str">
        <f t="shared" si="78"/>
        <v/>
      </c>
      <c r="M375" s="37" t="str">
        <f t="shared" si="79"/>
        <v/>
      </c>
      <c r="N375" s="37" t="str">
        <f>IF($H375="","",IFERROR(INDEX('Risk Library'!$T$5:$Y$411,MATCH($E375,'Risk Library'!$A$5:$A$411,0),$H375+1),""))</f>
        <v/>
      </c>
      <c r="O375" s="37" t="str">
        <f t="shared" si="80"/>
        <v/>
      </c>
      <c r="P375" s="37" t="str">
        <f t="shared" si="81"/>
        <v/>
      </c>
      <c r="Q375" s="37" t="str">
        <f t="shared" si="82"/>
        <v/>
      </c>
      <c r="R375" s="37" t="str">
        <f t="shared" si="83"/>
        <v/>
      </c>
      <c r="S375" s="38" t="str">
        <f t="shared" si="84"/>
        <v/>
      </c>
      <c r="T375" s="36" t="str">
        <f>IF($H375="","",IFERROR(INDEX('Risk Library'!$N$5:$S$411,MATCH($E375,'Risk Library'!$A$5:$A$411,0),$H375+1),""))</f>
        <v/>
      </c>
      <c r="U375" s="37">
        <f>IFERROR('Cyber Privacy'!$G$19,"")</f>
        <v>5</v>
      </c>
      <c r="V375" s="37">
        <f>IFERROR('Cyber Privacy'!$W$19,"")</f>
        <v>5</v>
      </c>
      <c r="W375" s="37">
        <f>IFERROR('Cyber Privacy'!$X$19,"")</f>
        <v>5</v>
      </c>
      <c r="X375" s="37">
        <f>IFERROR('Cyber Privacy'!$Y$19,"")</f>
        <v>5</v>
      </c>
      <c r="Y375" s="36" t="s">
        <v>5481</v>
      </c>
      <c r="Z375" s="36" t="s">
        <v>5482</v>
      </c>
      <c r="AA375" s="36" t="s">
        <v>5616</v>
      </c>
      <c r="AB375" s="36">
        <f>IFERROR('Cyber Privacy'!$U$19,"")</f>
        <v>0</v>
      </c>
      <c r="AC375" s="36"/>
      <c r="AD375" s="36"/>
      <c r="AE375" s="36"/>
      <c r="AF375" s="36" t="s">
        <v>5615</v>
      </c>
      <c r="AO375" s="48" t="str">
        <f>IF($B375="Yes",IFERROR(SUMIFS(_TECH_Crisis_Model!$D$5:$D$191,_TECH_Crisis_Model!$A$5:$A$191,'Crisis Simulator'!$B$4,_TECH_Crisis_Model!$B$5:$B$191,$C375),1),"")</f>
        <v/>
      </c>
      <c r="AP375" s="48" t="str">
        <f t="shared" si="85"/>
        <v/>
      </c>
      <c r="AQ375" s="48" t="str">
        <f t="shared" si="86"/>
        <v/>
      </c>
      <c r="AR375" s="48" t="str">
        <f>IFERROR(INDEX(_TECH_Crisis_Model!$E$5:$E$191,MATCH('Crisis Simulator'!$B$4&amp;"|"&amp;$C375,_TECH_Crisis_Model!$I$5:$I$191,0)),"")</f>
        <v>Cybersecurity and privacy controls determine resistance to digital disruption and regulatory exposure.</v>
      </c>
      <c r="AS375" s="48" t="str">
        <f>IFERROR(INDEX(_TECH_Crisis_Model!$G$5:$G$191,MATCH('Crisis Simulator'!$B$4&amp;"|"&amp;$C375,_TECH_Crisis_Model!$I$5:$I$191,0)),"")</f>
        <v>Strengthen MFA, EDR, logging, IR playbooks, restore testing, privacy controls and awareness.</v>
      </c>
      <c r="AT375" s="48" t="str">
        <f>IFERROR(INDEX(_TECH_Initiative_Library!$A$5:$A$76,MATCH(1,INDEX((_TECH_Initiative_Library!$B$5:$B$76=$C375)*(_TECH_Initiative_Library!$C$5:$C$76=$D375),0),0)),"")</f>
        <v>INI-065</v>
      </c>
      <c r="AU375" s="48" t="str">
        <f>IFERROR(INDEX(_TECH_Initiative_Library!$F$5:$F$76,MATCH(1,INDEX((_TECH_Initiative_Library!$B$5:$B$76=$C375)*(_TECH_Initiative_Library!$C$5:$C$76=$D375),0),0)),"")</f>
        <v>Improve endpoint, network, backup and vulnerability protection</v>
      </c>
      <c r="AV375" s="48" t="str">
        <f ca="1">IFERROR(INDEX(_TECH_Initiative_Library!$AC$5:$AC$76,MATCH(1,INDEX((_TECH_Initiative_Library!$B$5:$B$76=$C375)*(_TECH_Initiative_Library!$C$5:$C$76=$D375),0),0)),"")</f>
        <v/>
      </c>
      <c r="AW375" s="48" t="str">
        <f ca="1">IFERROR(INDEX(_TECH_Initiative_Library!$AE$5:$AE$76,MATCH(1,INDEX((_TECH_Initiative_Library!$B$5:$B$76=$C375)*(_TECH_Initiative_Library!$C$5:$C$76=$D375),0),0)),"")</f>
        <v/>
      </c>
      <c r="AX375" s="48" t="str">
        <f>IF($B375="Yes",IFERROR(SUMIFS(_TECH_Industry_Templates!$E:$E,_TECH_Industry_Templates!$A:$A,'Company Profile'!$B$9,_TECH_Industry_Templates!$B:$B,$C375),1),"")</f>
        <v/>
      </c>
      <c r="AY375" s="48" t="str">
        <f t="shared" si="87"/>
        <v/>
      </c>
      <c r="AZ375" s="48" t="str">
        <f t="shared" si="88"/>
        <v/>
      </c>
      <c r="BA375" s="48" t="str">
        <f>IF($AZ375="","",RANK.EQ($AZ375,$AZ$8:$AZ$414,0)+COUNTIF($AZ$8:$AZ375,$AZ375)-1)</f>
        <v/>
      </c>
    </row>
    <row r="376" spans="1:53" ht="69.95" customHeight="1">
      <c r="A376" s="36" t="str">
        <f>IF($AZ376="","",RANK.EQ($AZ376,$AZ$8:$AZ$414,0)+COUNTIF($AZ$8:$AZ376,$AZ376)-1)</f>
        <v/>
      </c>
      <c r="B376" s="36" t="str">
        <f t="shared" si="75"/>
        <v/>
      </c>
      <c r="C376" s="36" t="s">
        <v>93</v>
      </c>
      <c r="D376" s="36" t="s">
        <v>1604</v>
      </c>
      <c r="E376" s="36" t="s">
        <v>5624</v>
      </c>
      <c r="F376" s="36" t="s">
        <v>1586</v>
      </c>
      <c r="G376" s="36" t="str">
        <f>IF($H376="","",IFERROR(INDEX('Risk Library'!$H$5:$M$411,MATCH($E376,'Risk Library'!$A$5:$A$411,0),$H376+1),""))</f>
        <v/>
      </c>
      <c r="H376" s="37" t="str">
        <f>IF(OR(COUNTA('Cyber Privacy'!$H$20)=0,'Cyber Privacy'!$H$20="N/A"),"",VALUE('Cyber Privacy'!$H$20))</f>
        <v/>
      </c>
      <c r="I376" s="36" t="str">
        <f>IF($H376="","",IFERROR(IF('Cyber Privacy'!$L$20="",IF($H376&lt;=1,"Critical",IF($H376=2,"High",IF($H376=3,"Medium",IF($H376=4,"Low","Resilient")))),'Cyber Privacy'!$L$20),IF($H376&lt;=1,"Critical",IF($H376=2,"High",IF($H376=3,"Medium",IF($H376=4,"Low","Resilient"))))))</f>
        <v/>
      </c>
      <c r="J376" s="37" t="str">
        <f t="shared" si="76"/>
        <v/>
      </c>
      <c r="K376" s="37" t="str">
        <f t="shared" si="77"/>
        <v/>
      </c>
      <c r="L376" s="37" t="str">
        <f t="shared" si="78"/>
        <v/>
      </c>
      <c r="M376" s="37" t="str">
        <f t="shared" si="79"/>
        <v/>
      </c>
      <c r="N376" s="37" t="str">
        <f>IF($H376="","",IFERROR(INDEX('Risk Library'!$T$5:$Y$411,MATCH($E376,'Risk Library'!$A$5:$A$411,0),$H376+1),""))</f>
        <v/>
      </c>
      <c r="O376" s="37" t="str">
        <f t="shared" si="80"/>
        <v/>
      </c>
      <c r="P376" s="37" t="str">
        <f t="shared" si="81"/>
        <v/>
      </c>
      <c r="Q376" s="37" t="str">
        <f t="shared" si="82"/>
        <v/>
      </c>
      <c r="R376" s="37" t="str">
        <f t="shared" si="83"/>
        <v/>
      </c>
      <c r="S376" s="38" t="str">
        <f t="shared" si="84"/>
        <v/>
      </c>
      <c r="T376" s="36" t="str">
        <f>IF($H376="","",IFERROR(INDEX('Risk Library'!$N$5:$S$411,MATCH($E376,'Risk Library'!$A$5:$A$411,0),$H376+1),""))</f>
        <v/>
      </c>
      <c r="U376" s="37">
        <f>IFERROR('Cyber Privacy'!$G$20,"")</f>
        <v>3</v>
      </c>
      <c r="V376" s="37">
        <f>IFERROR('Cyber Privacy'!$W$20,"")</f>
        <v>5</v>
      </c>
      <c r="W376" s="37">
        <f>IFERROR('Cyber Privacy'!$X$20,"")</f>
        <v>5</v>
      </c>
      <c r="X376" s="37">
        <f>IFERROR('Cyber Privacy'!$Y$20,"")</f>
        <v>5</v>
      </c>
      <c r="Y376" s="36" t="s">
        <v>5481</v>
      </c>
      <c r="Z376" s="36" t="s">
        <v>5482</v>
      </c>
      <c r="AA376" s="36" t="s">
        <v>5626</v>
      </c>
      <c r="AB376" s="36">
        <f>IFERROR('Cyber Privacy'!$U$20,"")</f>
        <v>0</v>
      </c>
      <c r="AC376" s="36"/>
      <c r="AD376" s="36"/>
      <c r="AE376" s="36"/>
      <c r="AF376" s="36" t="s">
        <v>5625</v>
      </c>
      <c r="AO376" s="48" t="str">
        <f>IF($B376="Yes",IFERROR(SUMIFS(_TECH_Crisis_Model!$D$5:$D$191,_TECH_Crisis_Model!$A$5:$A$191,'Crisis Simulator'!$B$4,_TECH_Crisis_Model!$B$5:$B$191,$C376),1),"")</f>
        <v/>
      </c>
      <c r="AP376" s="48" t="str">
        <f t="shared" si="85"/>
        <v/>
      </c>
      <c r="AQ376" s="48" t="str">
        <f t="shared" si="86"/>
        <v/>
      </c>
      <c r="AR376" s="48" t="str">
        <f>IFERROR(INDEX(_TECH_Crisis_Model!$E$5:$E$191,MATCH('Crisis Simulator'!$B$4&amp;"|"&amp;$C376,_TECH_Crisis_Model!$I$5:$I$191,0)),"")</f>
        <v>Cybersecurity and privacy controls determine resistance to digital disruption and regulatory exposure.</v>
      </c>
      <c r="AS376" s="48" t="str">
        <f>IFERROR(INDEX(_TECH_Crisis_Model!$G$5:$G$191,MATCH('Crisis Simulator'!$B$4&amp;"|"&amp;$C376,_TECH_Crisis_Model!$I$5:$I$191,0)),"")</f>
        <v>Strengthen MFA, EDR, logging, IR playbooks, restore testing, privacy controls and awareness.</v>
      </c>
      <c r="AT376" s="48" t="str">
        <f>IFERROR(INDEX(_TECH_Initiative_Library!$A$5:$A$76,MATCH(1,INDEX((_TECH_Initiative_Library!$B$5:$B$76=$C376)*(_TECH_Initiative_Library!$C$5:$C$76=$D376),0),0)),"")</f>
        <v>INI-065</v>
      </c>
      <c r="AU376" s="48" t="str">
        <f>IFERROR(INDEX(_TECH_Initiative_Library!$F$5:$F$76,MATCH(1,INDEX((_TECH_Initiative_Library!$B$5:$B$76=$C376)*(_TECH_Initiative_Library!$C$5:$C$76=$D376),0),0)),"")</f>
        <v>Improve endpoint, network, backup and vulnerability protection</v>
      </c>
      <c r="AV376" s="48" t="str">
        <f ca="1">IFERROR(INDEX(_TECH_Initiative_Library!$AC$5:$AC$76,MATCH(1,INDEX((_TECH_Initiative_Library!$B$5:$B$76=$C376)*(_TECH_Initiative_Library!$C$5:$C$76=$D376),0),0)),"")</f>
        <v/>
      </c>
      <c r="AW376" s="48" t="str">
        <f ca="1">IFERROR(INDEX(_TECH_Initiative_Library!$AE$5:$AE$76,MATCH(1,INDEX((_TECH_Initiative_Library!$B$5:$B$76=$C376)*(_TECH_Initiative_Library!$C$5:$C$76=$D376),0),0)),"")</f>
        <v/>
      </c>
      <c r="AX376" s="48" t="str">
        <f>IF($B376="Yes",IFERROR(SUMIFS(_TECH_Industry_Templates!$E:$E,_TECH_Industry_Templates!$A:$A,'Company Profile'!$B$9,_TECH_Industry_Templates!$B:$B,$C376),1),"")</f>
        <v/>
      </c>
      <c r="AY376" s="48" t="str">
        <f t="shared" si="87"/>
        <v/>
      </c>
      <c r="AZ376" s="48" t="str">
        <f t="shared" si="88"/>
        <v/>
      </c>
      <c r="BA376" s="48" t="str">
        <f>IF($AZ376="","",RANK.EQ($AZ376,$AZ$8:$AZ$414,0)+COUNTIF($AZ$8:$AZ376,$AZ376)-1)</f>
        <v/>
      </c>
    </row>
    <row r="377" spans="1:53" ht="69.95" customHeight="1">
      <c r="A377" s="36" t="str">
        <f>IF($AZ377="","",RANK.EQ($AZ377,$AZ$8:$AZ$414,0)+COUNTIF($AZ$8:$AZ377,$AZ377)-1)</f>
        <v/>
      </c>
      <c r="B377" s="36" t="str">
        <f t="shared" si="75"/>
        <v/>
      </c>
      <c r="C377" s="36" t="s">
        <v>93</v>
      </c>
      <c r="D377" s="36" t="s">
        <v>1604</v>
      </c>
      <c r="E377" s="36" t="s">
        <v>5634</v>
      </c>
      <c r="F377" s="36" t="s">
        <v>1586</v>
      </c>
      <c r="G377" s="36" t="str">
        <f>IF($H377="","",IFERROR(INDEX('Risk Library'!$H$5:$M$411,MATCH($E377,'Risk Library'!$A$5:$A$411,0),$H377+1),""))</f>
        <v/>
      </c>
      <c r="H377" s="37" t="str">
        <f>IF(OR(COUNTA('Cyber Privacy'!$H$21)=0,'Cyber Privacy'!$H$21="N/A"),"",VALUE('Cyber Privacy'!$H$21))</f>
        <v/>
      </c>
      <c r="I377" s="36" t="str">
        <f>IF($H377="","",IFERROR(IF('Cyber Privacy'!$L$21="",IF($H377&lt;=1,"Critical",IF($H377=2,"High",IF($H377=3,"Medium",IF($H377=4,"Low","Resilient")))),'Cyber Privacy'!$L$21),IF($H377&lt;=1,"Critical",IF($H377=2,"High",IF($H377=3,"Medium",IF($H377=4,"Low","Resilient"))))))</f>
        <v/>
      </c>
      <c r="J377" s="37" t="str">
        <f t="shared" si="76"/>
        <v/>
      </c>
      <c r="K377" s="37" t="str">
        <f t="shared" si="77"/>
        <v/>
      </c>
      <c r="L377" s="37" t="str">
        <f t="shared" si="78"/>
        <v/>
      </c>
      <c r="M377" s="37" t="str">
        <f t="shared" si="79"/>
        <v/>
      </c>
      <c r="N377" s="37" t="str">
        <f>IF($H377="","",IFERROR(INDEX('Risk Library'!$T$5:$Y$411,MATCH($E377,'Risk Library'!$A$5:$A$411,0),$H377+1),""))</f>
        <v/>
      </c>
      <c r="O377" s="37" t="str">
        <f t="shared" si="80"/>
        <v/>
      </c>
      <c r="P377" s="37" t="str">
        <f t="shared" si="81"/>
        <v/>
      </c>
      <c r="Q377" s="37" t="str">
        <f t="shared" si="82"/>
        <v/>
      </c>
      <c r="R377" s="37" t="str">
        <f t="shared" si="83"/>
        <v/>
      </c>
      <c r="S377" s="38" t="str">
        <f t="shared" si="84"/>
        <v/>
      </c>
      <c r="T377" s="36" t="str">
        <f>IF($H377="","",IFERROR(INDEX('Risk Library'!$N$5:$S$411,MATCH($E377,'Risk Library'!$A$5:$A$411,0),$H377+1),""))</f>
        <v/>
      </c>
      <c r="U377" s="37">
        <f>IFERROR('Cyber Privacy'!$G$21,"")</f>
        <v>5</v>
      </c>
      <c r="V377" s="37">
        <f>IFERROR('Cyber Privacy'!$W$21,"")</f>
        <v>5</v>
      </c>
      <c r="W377" s="37">
        <f>IFERROR('Cyber Privacy'!$X$21,"")</f>
        <v>5</v>
      </c>
      <c r="X377" s="37">
        <f>IFERROR('Cyber Privacy'!$Y$21,"")</f>
        <v>5</v>
      </c>
      <c r="Y377" s="36" t="s">
        <v>5481</v>
      </c>
      <c r="Z377" s="36" t="s">
        <v>5482</v>
      </c>
      <c r="AA377" s="36" t="s">
        <v>5636</v>
      </c>
      <c r="AB377" s="36">
        <f>IFERROR('Cyber Privacy'!$U$21,"")</f>
        <v>0</v>
      </c>
      <c r="AC377" s="36"/>
      <c r="AD377" s="36"/>
      <c r="AE377" s="36"/>
      <c r="AF377" s="36" t="s">
        <v>5635</v>
      </c>
      <c r="AO377" s="48" t="str">
        <f>IF($B377="Yes",IFERROR(SUMIFS(_TECH_Crisis_Model!$D$5:$D$191,_TECH_Crisis_Model!$A$5:$A$191,'Crisis Simulator'!$B$4,_TECH_Crisis_Model!$B$5:$B$191,$C377),1),"")</f>
        <v/>
      </c>
      <c r="AP377" s="48" t="str">
        <f t="shared" si="85"/>
        <v/>
      </c>
      <c r="AQ377" s="48" t="str">
        <f t="shared" si="86"/>
        <v/>
      </c>
      <c r="AR377" s="48" t="str">
        <f>IFERROR(INDEX(_TECH_Crisis_Model!$E$5:$E$191,MATCH('Crisis Simulator'!$B$4&amp;"|"&amp;$C377,_TECH_Crisis_Model!$I$5:$I$191,0)),"")</f>
        <v>Cybersecurity and privacy controls determine resistance to digital disruption and regulatory exposure.</v>
      </c>
      <c r="AS377" s="48" t="str">
        <f>IFERROR(INDEX(_TECH_Crisis_Model!$G$5:$G$191,MATCH('Crisis Simulator'!$B$4&amp;"|"&amp;$C377,_TECH_Crisis_Model!$I$5:$I$191,0)),"")</f>
        <v>Strengthen MFA, EDR, logging, IR playbooks, restore testing, privacy controls and awareness.</v>
      </c>
      <c r="AT377" s="48" t="str">
        <f>IFERROR(INDEX(_TECH_Initiative_Library!$A$5:$A$76,MATCH(1,INDEX((_TECH_Initiative_Library!$B$5:$B$76=$C377)*(_TECH_Initiative_Library!$C$5:$C$76=$D377),0),0)),"")</f>
        <v>INI-065</v>
      </c>
      <c r="AU377" s="48" t="str">
        <f>IFERROR(INDEX(_TECH_Initiative_Library!$F$5:$F$76,MATCH(1,INDEX((_TECH_Initiative_Library!$B$5:$B$76=$C377)*(_TECH_Initiative_Library!$C$5:$C$76=$D377),0),0)),"")</f>
        <v>Improve endpoint, network, backup and vulnerability protection</v>
      </c>
      <c r="AV377" s="48" t="str">
        <f ca="1">IFERROR(INDEX(_TECH_Initiative_Library!$AC$5:$AC$76,MATCH(1,INDEX((_TECH_Initiative_Library!$B$5:$B$76=$C377)*(_TECH_Initiative_Library!$C$5:$C$76=$D377),0),0)),"")</f>
        <v/>
      </c>
      <c r="AW377" s="48" t="str">
        <f ca="1">IFERROR(INDEX(_TECH_Initiative_Library!$AE$5:$AE$76,MATCH(1,INDEX((_TECH_Initiative_Library!$B$5:$B$76=$C377)*(_TECH_Initiative_Library!$C$5:$C$76=$D377),0),0)),"")</f>
        <v/>
      </c>
      <c r="AX377" s="48" t="str">
        <f>IF($B377="Yes",IFERROR(SUMIFS(_TECH_Industry_Templates!$E:$E,_TECH_Industry_Templates!$A:$A,'Company Profile'!$B$9,_TECH_Industry_Templates!$B:$B,$C377),1),"")</f>
        <v/>
      </c>
      <c r="AY377" s="48" t="str">
        <f t="shared" si="87"/>
        <v/>
      </c>
      <c r="AZ377" s="48" t="str">
        <f t="shared" si="88"/>
        <v/>
      </c>
      <c r="BA377" s="48" t="str">
        <f>IF($AZ377="","",RANK.EQ($AZ377,$AZ$8:$AZ$414,0)+COUNTIF($AZ$8:$AZ377,$AZ377)-1)</f>
        <v/>
      </c>
    </row>
    <row r="378" spans="1:53" ht="69.95" customHeight="1">
      <c r="A378" s="36" t="str">
        <f>IF($AZ378="","",RANK.EQ($AZ378,$AZ$8:$AZ$414,0)+COUNTIF($AZ$8:$AZ378,$AZ378)-1)</f>
        <v/>
      </c>
      <c r="B378" s="36" t="str">
        <f t="shared" si="75"/>
        <v/>
      </c>
      <c r="C378" s="36" t="s">
        <v>93</v>
      </c>
      <c r="D378" s="36" t="s">
        <v>1604</v>
      </c>
      <c r="E378" s="36" t="s">
        <v>5644</v>
      </c>
      <c r="F378" s="36" t="s">
        <v>1586</v>
      </c>
      <c r="G378" s="36" t="str">
        <f>IF($H378="","",IFERROR(INDEX('Risk Library'!$H$5:$M$411,MATCH($E378,'Risk Library'!$A$5:$A$411,0),$H378+1),""))</f>
        <v/>
      </c>
      <c r="H378" s="37" t="str">
        <f>IF(OR(COUNTA('Cyber Privacy'!$H$22)=0,'Cyber Privacy'!$H$22="N/A"),"",VALUE('Cyber Privacy'!$H$22))</f>
        <v/>
      </c>
      <c r="I378" s="36" t="str">
        <f>IF($H378="","",IFERROR(IF('Cyber Privacy'!$L$22="",IF($H378&lt;=1,"Critical",IF($H378=2,"High",IF($H378=3,"Medium",IF($H378=4,"Low","Resilient")))),'Cyber Privacy'!$L$22),IF($H378&lt;=1,"Critical",IF($H378=2,"High",IF($H378=3,"Medium",IF($H378=4,"Low","Resilient"))))))</f>
        <v/>
      </c>
      <c r="J378" s="37" t="str">
        <f t="shared" si="76"/>
        <v/>
      </c>
      <c r="K378" s="37" t="str">
        <f t="shared" si="77"/>
        <v/>
      </c>
      <c r="L378" s="37" t="str">
        <f t="shared" si="78"/>
        <v/>
      </c>
      <c r="M378" s="37" t="str">
        <f t="shared" si="79"/>
        <v/>
      </c>
      <c r="N378" s="37" t="str">
        <f>IF($H378="","",IFERROR(INDEX('Risk Library'!$T$5:$Y$411,MATCH($E378,'Risk Library'!$A$5:$A$411,0),$H378+1),""))</f>
        <v/>
      </c>
      <c r="O378" s="37" t="str">
        <f t="shared" si="80"/>
        <v/>
      </c>
      <c r="P378" s="37" t="str">
        <f t="shared" si="81"/>
        <v/>
      </c>
      <c r="Q378" s="37" t="str">
        <f t="shared" si="82"/>
        <v/>
      </c>
      <c r="R378" s="37" t="str">
        <f t="shared" si="83"/>
        <v/>
      </c>
      <c r="S378" s="38" t="str">
        <f t="shared" si="84"/>
        <v/>
      </c>
      <c r="T378" s="36" t="str">
        <f>IF($H378="","",IFERROR(INDEX('Risk Library'!$N$5:$S$411,MATCH($E378,'Risk Library'!$A$5:$A$411,0),$H378+1),""))</f>
        <v/>
      </c>
      <c r="U378" s="37">
        <f>IFERROR('Cyber Privacy'!$G$22,"")</f>
        <v>3</v>
      </c>
      <c r="V378" s="37">
        <f>IFERROR('Cyber Privacy'!$W$22,"")</f>
        <v>5</v>
      </c>
      <c r="W378" s="37">
        <f>IFERROR('Cyber Privacy'!$X$22,"")</f>
        <v>5</v>
      </c>
      <c r="X378" s="37">
        <f>IFERROR('Cyber Privacy'!$Y$22,"")</f>
        <v>5</v>
      </c>
      <c r="Y378" s="36" t="s">
        <v>5481</v>
      </c>
      <c r="Z378" s="36" t="s">
        <v>5482</v>
      </c>
      <c r="AA378" s="36" t="s">
        <v>5646</v>
      </c>
      <c r="AB378" s="36">
        <f>IFERROR('Cyber Privacy'!$U$22,"")</f>
        <v>0</v>
      </c>
      <c r="AC378" s="36"/>
      <c r="AD378" s="36"/>
      <c r="AE378" s="36"/>
      <c r="AF378" s="36" t="s">
        <v>5645</v>
      </c>
      <c r="AO378" s="48" t="str">
        <f>IF($B378="Yes",IFERROR(SUMIFS(_TECH_Crisis_Model!$D$5:$D$191,_TECH_Crisis_Model!$A$5:$A$191,'Crisis Simulator'!$B$4,_TECH_Crisis_Model!$B$5:$B$191,$C378),1),"")</f>
        <v/>
      </c>
      <c r="AP378" s="48" t="str">
        <f t="shared" si="85"/>
        <v/>
      </c>
      <c r="AQ378" s="48" t="str">
        <f t="shared" si="86"/>
        <v/>
      </c>
      <c r="AR378" s="48" t="str">
        <f>IFERROR(INDEX(_TECH_Crisis_Model!$E$5:$E$191,MATCH('Crisis Simulator'!$B$4&amp;"|"&amp;$C378,_TECH_Crisis_Model!$I$5:$I$191,0)),"")</f>
        <v>Cybersecurity and privacy controls determine resistance to digital disruption and regulatory exposure.</v>
      </c>
      <c r="AS378" s="48" t="str">
        <f>IFERROR(INDEX(_TECH_Crisis_Model!$G$5:$G$191,MATCH('Crisis Simulator'!$B$4&amp;"|"&amp;$C378,_TECH_Crisis_Model!$I$5:$I$191,0)),"")</f>
        <v>Strengthen MFA, EDR, logging, IR playbooks, restore testing, privacy controls and awareness.</v>
      </c>
      <c r="AT378" s="48" t="str">
        <f>IFERROR(INDEX(_TECH_Initiative_Library!$A$5:$A$76,MATCH(1,INDEX((_TECH_Initiative_Library!$B$5:$B$76=$C378)*(_TECH_Initiative_Library!$C$5:$C$76=$D378),0),0)),"")</f>
        <v>INI-065</v>
      </c>
      <c r="AU378" s="48" t="str">
        <f>IFERROR(INDEX(_TECH_Initiative_Library!$F$5:$F$76,MATCH(1,INDEX((_TECH_Initiative_Library!$B$5:$B$76=$C378)*(_TECH_Initiative_Library!$C$5:$C$76=$D378),0),0)),"")</f>
        <v>Improve endpoint, network, backup and vulnerability protection</v>
      </c>
      <c r="AV378" s="48" t="str">
        <f ca="1">IFERROR(INDEX(_TECH_Initiative_Library!$AC$5:$AC$76,MATCH(1,INDEX((_TECH_Initiative_Library!$B$5:$B$76=$C378)*(_TECH_Initiative_Library!$C$5:$C$76=$D378),0),0)),"")</f>
        <v/>
      </c>
      <c r="AW378" s="48" t="str">
        <f ca="1">IFERROR(INDEX(_TECH_Initiative_Library!$AE$5:$AE$76,MATCH(1,INDEX((_TECH_Initiative_Library!$B$5:$B$76=$C378)*(_TECH_Initiative_Library!$C$5:$C$76=$D378),0),0)),"")</f>
        <v/>
      </c>
      <c r="AX378" s="48" t="str">
        <f>IF($B378="Yes",IFERROR(SUMIFS(_TECH_Industry_Templates!$E:$E,_TECH_Industry_Templates!$A:$A,'Company Profile'!$B$9,_TECH_Industry_Templates!$B:$B,$C378),1),"")</f>
        <v/>
      </c>
      <c r="AY378" s="48" t="str">
        <f t="shared" si="87"/>
        <v/>
      </c>
      <c r="AZ378" s="48" t="str">
        <f t="shared" si="88"/>
        <v/>
      </c>
      <c r="BA378" s="48" t="str">
        <f>IF($AZ378="","",RANK.EQ($AZ378,$AZ$8:$AZ$414,0)+COUNTIF($AZ$8:$AZ378,$AZ378)-1)</f>
        <v/>
      </c>
    </row>
    <row r="379" spans="1:53" ht="69.95" customHeight="1">
      <c r="A379" s="36" t="str">
        <f>IF($AZ379="","",RANK.EQ($AZ379,$AZ$8:$AZ$414,0)+COUNTIF($AZ$8:$AZ379,$AZ379)-1)</f>
        <v/>
      </c>
      <c r="B379" s="36" t="str">
        <f t="shared" si="75"/>
        <v/>
      </c>
      <c r="C379" s="36" t="s">
        <v>93</v>
      </c>
      <c r="D379" s="36" t="s">
        <v>1604</v>
      </c>
      <c r="E379" s="36" t="s">
        <v>5654</v>
      </c>
      <c r="F379" s="36" t="s">
        <v>1586</v>
      </c>
      <c r="G379" s="36" t="str">
        <f>IF($H379="","",IFERROR(INDEX('Risk Library'!$H$5:$M$411,MATCH($E379,'Risk Library'!$A$5:$A$411,0),$H379+1),""))</f>
        <v/>
      </c>
      <c r="H379" s="37" t="str">
        <f>IF(OR(COUNTA('Cyber Privacy'!$H$23)=0,'Cyber Privacy'!$H$23="N/A"),"",VALUE('Cyber Privacy'!$H$23))</f>
        <v/>
      </c>
      <c r="I379" s="36" t="str">
        <f>IF($H379="","",IFERROR(IF('Cyber Privacy'!$L$23="",IF($H379&lt;=1,"Critical",IF($H379=2,"High",IF($H379=3,"Medium",IF($H379=4,"Low","Resilient")))),'Cyber Privacy'!$L$23),IF($H379&lt;=1,"Critical",IF($H379=2,"High",IF($H379=3,"Medium",IF($H379=4,"Low","Resilient"))))))</f>
        <v/>
      </c>
      <c r="J379" s="37" t="str">
        <f t="shared" si="76"/>
        <v/>
      </c>
      <c r="K379" s="37" t="str">
        <f t="shared" si="77"/>
        <v/>
      </c>
      <c r="L379" s="37" t="str">
        <f t="shared" si="78"/>
        <v/>
      </c>
      <c r="M379" s="37" t="str">
        <f t="shared" si="79"/>
        <v/>
      </c>
      <c r="N379" s="37" t="str">
        <f>IF($H379="","",IFERROR(INDEX('Risk Library'!$T$5:$Y$411,MATCH($E379,'Risk Library'!$A$5:$A$411,0),$H379+1),""))</f>
        <v/>
      </c>
      <c r="O379" s="37" t="str">
        <f t="shared" si="80"/>
        <v/>
      </c>
      <c r="P379" s="37" t="str">
        <f t="shared" si="81"/>
        <v/>
      </c>
      <c r="Q379" s="37" t="str">
        <f t="shared" si="82"/>
        <v/>
      </c>
      <c r="R379" s="37" t="str">
        <f t="shared" si="83"/>
        <v/>
      </c>
      <c r="S379" s="38" t="str">
        <f t="shared" si="84"/>
        <v/>
      </c>
      <c r="T379" s="36" t="str">
        <f>IF($H379="","",IFERROR(INDEX('Risk Library'!$N$5:$S$411,MATCH($E379,'Risk Library'!$A$5:$A$411,0),$H379+1),""))</f>
        <v/>
      </c>
      <c r="U379" s="37">
        <f>IFERROR('Cyber Privacy'!$G$23,"")</f>
        <v>4</v>
      </c>
      <c r="V379" s="37">
        <f>IFERROR('Cyber Privacy'!$W$23,"")</f>
        <v>5</v>
      </c>
      <c r="W379" s="37">
        <f>IFERROR('Cyber Privacy'!$X$23,"")</f>
        <v>5</v>
      </c>
      <c r="X379" s="37">
        <f>IFERROR('Cyber Privacy'!$Y$23,"")</f>
        <v>5</v>
      </c>
      <c r="Y379" s="36" t="s">
        <v>5481</v>
      </c>
      <c r="Z379" s="36" t="s">
        <v>5482</v>
      </c>
      <c r="AA379" s="36" t="s">
        <v>5656</v>
      </c>
      <c r="AB379" s="36">
        <f>IFERROR('Cyber Privacy'!$U$23,"")</f>
        <v>0</v>
      </c>
      <c r="AC379" s="36"/>
      <c r="AD379" s="36"/>
      <c r="AE379" s="36"/>
      <c r="AF379" s="36" t="s">
        <v>5655</v>
      </c>
      <c r="AO379" s="48" t="str">
        <f>IF($B379="Yes",IFERROR(SUMIFS(_TECH_Crisis_Model!$D$5:$D$191,_TECH_Crisis_Model!$A$5:$A$191,'Crisis Simulator'!$B$4,_TECH_Crisis_Model!$B$5:$B$191,$C379),1),"")</f>
        <v/>
      </c>
      <c r="AP379" s="48" t="str">
        <f t="shared" si="85"/>
        <v/>
      </c>
      <c r="AQ379" s="48" t="str">
        <f t="shared" si="86"/>
        <v/>
      </c>
      <c r="AR379" s="48" t="str">
        <f>IFERROR(INDEX(_TECH_Crisis_Model!$E$5:$E$191,MATCH('Crisis Simulator'!$B$4&amp;"|"&amp;$C379,_TECH_Crisis_Model!$I$5:$I$191,0)),"")</f>
        <v>Cybersecurity and privacy controls determine resistance to digital disruption and regulatory exposure.</v>
      </c>
      <c r="AS379" s="48" t="str">
        <f>IFERROR(INDEX(_TECH_Crisis_Model!$G$5:$G$191,MATCH('Crisis Simulator'!$B$4&amp;"|"&amp;$C379,_TECH_Crisis_Model!$I$5:$I$191,0)),"")</f>
        <v>Strengthen MFA, EDR, logging, IR playbooks, restore testing, privacy controls and awareness.</v>
      </c>
      <c r="AT379" s="48" t="str">
        <f>IFERROR(INDEX(_TECH_Initiative_Library!$A$5:$A$76,MATCH(1,INDEX((_TECH_Initiative_Library!$B$5:$B$76=$C379)*(_TECH_Initiative_Library!$C$5:$C$76=$D379),0),0)),"")</f>
        <v>INI-065</v>
      </c>
      <c r="AU379" s="48" t="str">
        <f>IFERROR(INDEX(_TECH_Initiative_Library!$F$5:$F$76,MATCH(1,INDEX((_TECH_Initiative_Library!$B$5:$B$76=$C379)*(_TECH_Initiative_Library!$C$5:$C$76=$D379),0),0)),"")</f>
        <v>Improve endpoint, network, backup and vulnerability protection</v>
      </c>
      <c r="AV379" s="48" t="str">
        <f ca="1">IFERROR(INDEX(_TECH_Initiative_Library!$AC$5:$AC$76,MATCH(1,INDEX((_TECH_Initiative_Library!$B$5:$B$76=$C379)*(_TECH_Initiative_Library!$C$5:$C$76=$D379),0),0)),"")</f>
        <v/>
      </c>
      <c r="AW379" s="48" t="str">
        <f ca="1">IFERROR(INDEX(_TECH_Initiative_Library!$AE$5:$AE$76,MATCH(1,INDEX((_TECH_Initiative_Library!$B$5:$B$76=$C379)*(_TECH_Initiative_Library!$C$5:$C$76=$D379),0),0)),"")</f>
        <v/>
      </c>
      <c r="AX379" s="48" t="str">
        <f>IF($B379="Yes",IFERROR(SUMIFS(_TECH_Industry_Templates!$E:$E,_TECH_Industry_Templates!$A:$A,'Company Profile'!$B$9,_TECH_Industry_Templates!$B:$B,$C379),1),"")</f>
        <v/>
      </c>
      <c r="AY379" s="48" t="str">
        <f t="shared" si="87"/>
        <v/>
      </c>
      <c r="AZ379" s="48" t="str">
        <f t="shared" si="88"/>
        <v/>
      </c>
      <c r="BA379" s="48" t="str">
        <f>IF($AZ379="","",RANK.EQ($AZ379,$AZ$8:$AZ$414,0)+COUNTIF($AZ$8:$AZ379,$AZ379)-1)</f>
        <v/>
      </c>
    </row>
    <row r="380" spans="1:53" ht="69.95" customHeight="1">
      <c r="A380" s="36" t="str">
        <f>IF($AZ380="","",RANK.EQ($AZ380,$AZ$8:$AZ$414,0)+COUNTIF($AZ$8:$AZ380,$AZ380)-1)</f>
        <v/>
      </c>
      <c r="B380" s="36" t="str">
        <f t="shared" si="75"/>
        <v/>
      </c>
      <c r="C380" s="36" t="s">
        <v>93</v>
      </c>
      <c r="D380" s="36" t="s">
        <v>1604</v>
      </c>
      <c r="E380" s="36" t="s">
        <v>5664</v>
      </c>
      <c r="F380" s="36" t="s">
        <v>1586</v>
      </c>
      <c r="G380" s="36" t="str">
        <f>IF($H380="","",IFERROR(INDEX('Risk Library'!$H$5:$M$411,MATCH($E380,'Risk Library'!$A$5:$A$411,0),$H380+1),""))</f>
        <v/>
      </c>
      <c r="H380" s="37" t="str">
        <f>IF(OR(COUNTA('Cyber Privacy'!$H$24)=0,'Cyber Privacy'!$H$24="N/A"),"",VALUE('Cyber Privacy'!$H$24))</f>
        <v/>
      </c>
      <c r="I380" s="36" t="str">
        <f>IF($H380="","",IFERROR(IF('Cyber Privacy'!$L$24="",IF($H380&lt;=1,"Critical",IF($H380=2,"High",IF($H380=3,"Medium",IF($H380=4,"Low","Resilient")))),'Cyber Privacy'!$L$24),IF($H380&lt;=1,"Critical",IF($H380=2,"High",IF($H380=3,"Medium",IF($H380=4,"Low","Resilient"))))))</f>
        <v/>
      </c>
      <c r="J380" s="37" t="str">
        <f t="shared" si="76"/>
        <v/>
      </c>
      <c r="K380" s="37" t="str">
        <f t="shared" si="77"/>
        <v/>
      </c>
      <c r="L380" s="37" t="str">
        <f t="shared" si="78"/>
        <v/>
      </c>
      <c r="M380" s="37" t="str">
        <f t="shared" si="79"/>
        <v/>
      </c>
      <c r="N380" s="37" t="str">
        <f>IF($H380="","",IFERROR(INDEX('Risk Library'!$T$5:$Y$411,MATCH($E380,'Risk Library'!$A$5:$A$411,0),$H380+1),""))</f>
        <v/>
      </c>
      <c r="O380" s="37" t="str">
        <f t="shared" si="80"/>
        <v/>
      </c>
      <c r="P380" s="37" t="str">
        <f t="shared" si="81"/>
        <v/>
      </c>
      <c r="Q380" s="37" t="str">
        <f t="shared" si="82"/>
        <v/>
      </c>
      <c r="R380" s="37" t="str">
        <f t="shared" si="83"/>
        <v/>
      </c>
      <c r="S380" s="38" t="str">
        <f t="shared" si="84"/>
        <v/>
      </c>
      <c r="T380" s="36" t="str">
        <f>IF($H380="","",IFERROR(INDEX('Risk Library'!$N$5:$S$411,MATCH($E380,'Risk Library'!$A$5:$A$411,0),$H380+1),""))</f>
        <v/>
      </c>
      <c r="U380" s="37">
        <f>IFERROR('Cyber Privacy'!$G$24,"")</f>
        <v>5</v>
      </c>
      <c r="V380" s="37">
        <f>IFERROR('Cyber Privacy'!$W$24,"")</f>
        <v>5</v>
      </c>
      <c r="W380" s="37">
        <f>IFERROR('Cyber Privacy'!$X$24,"")</f>
        <v>5</v>
      </c>
      <c r="X380" s="37">
        <f>IFERROR('Cyber Privacy'!$Y$24,"")</f>
        <v>5</v>
      </c>
      <c r="Y380" s="36" t="s">
        <v>5481</v>
      </c>
      <c r="Z380" s="36" t="s">
        <v>5482</v>
      </c>
      <c r="AA380" s="36" t="s">
        <v>5666</v>
      </c>
      <c r="AB380" s="36">
        <f>IFERROR('Cyber Privacy'!$U$24,"")</f>
        <v>0</v>
      </c>
      <c r="AC380" s="36"/>
      <c r="AD380" s="36"/>
      <c r="AE380" s="36"/>
      <c r="AF380" s="36" t="s">
        <v>5665</v>
      </c>
      <c r="AO380" s="48" t="str">
        <f>IF($B380="Yes",IFERROR(SUMIFS(_TECH_Crisis_Model!$D$5:$D$191,_TECH_Crisis_Model!$A$5:$A$191,'Crisis Simulator'!$B$4,_TECH_Crisis_Model!$B$5:$B$191,$C380),1),"")</f>
        <v/>
      </c>
      <c r="AP380" s="48" t="str">
        <f t="shared" si="85"/>
        <v/>
      </c>
      <c r="AQ380" s="48" t="str">
        <f t="shared" si="86"/>
        <v/>
      </c>
      <c r="AR380" s="48" t="str">
        <f>IFERROR(INDEX(_TECH_Crisis_Model!$E$5:$E$191,MATCH('Crisis Simulator'!$B$4&amp;"|"&amp;$C380,_TECH_Crisis_Model!$I$5:$I$191,0)),"")</f>
        <v>Cybersecurity and privacy controls determine resistance to digital disruption and regulatory exposure.</v>
      </c>
      <c r="AS380" s="48" t="str">
        <f>IFERROR(INDEX(_TECH_Crisis_Model!$G$5:$G$191,MATCH('Crisis Simulator'!$B$4&amp;"|"&amp;$C380,_TECH_Crisis_Model!$I$5:$I$191,0)),"")</f>
        <v>Strengthen MFA, EDR, logging, IR playbooks, restore testing, privacy controls and awareness.</v>
      </c>
      <c r="AT380" s="48" t="str">
        <f>IFERROR(INDEX(_TECH_Initiative_Library!$A$5:$A$76,MATCH(1,INDEX((_TECH_Initiative_Library!$B$5:$B$76=$C380)*(_TECH_Initiative_Library!$C$5:$C$76=$D380),0),0)),"")</f>
        <v>INI-065</v>
      </c>
      <c r="AU380" s="48" t="str">
        <f>IFERROR(INDEX(_TECH_Initiative_Library!$F$5:$F$76,MATCH(1,INDEX((_TECH_Initiative_Library!$B$5:$B$76=$C380)*(_TECH_Initiative_Library!$C$5:$C$76=$D380),0),0)),"")</f>
        <v>Improve endpoint, network, backup and vulnerability protection</v>
      </c>
      <c r="AV380" s="48" t="str">
        <f ca="1">IFERROR(INDEX(_TECH_Initiative_Library!$AC$5:$AC$76,MATCH(1,INDEX((_TECH_Initiative_Library!$B$5:$B$76=$C380)*(_TECH_Initiative_Library!$C$5:$C$76=$D380),0),0)),"")</f>
        <v/>
      </c>
      <c r="AW380" s="48" t="str">
        <f ca="1">IFERROR(INDEX(_TECH_Initiative_Library!$AE$5:$AE$76,MATCH(1,INDEX((_TECH_Initiative_Library!$B$5:$B$76=$C380)*(_TECH_Initiative_Library!$C$5:$C$76=$D380),0),0)),"")</f>
        <v/>
      </c>
      <c r="AX380" s="48" t="str">
        <f>IF($B380="Yes",IFERROR(SUMIFS(_TECH_Industry_Templates!$E:$E,_TECH_Industry_Templates!$A:$A,'Company Profile'!$B$9,_TECH_Industry_Templates!$B:$B,$C380),1),"")</f>
        <v/>
      </c>
      <c r="AY380" s="48" t="str">
        <f t="shared" si="87"/>
        <v/>
      </c>
      <c r="AZ380" s="48" t="str">
        <f t="shared" si="88"/>
        <v/>
      </c>
      <c r="BA380" s="48" t="str">
        <f>IF($AZ380="","",RANK.EQ($AZ380,$AZ$8:$AZ$414,0)+COUNTIF($AZ$8:$AZ380,$AZ380)-1)</f>
        <v/>
      </c>
    </row>
    <row r="381" spans="1:53" ht="69.95" customHeight="1">
      <c r="A381" s="36" t="str">
        <f>IF($AZ381="","",RANK.EQ($AZ381,$AZ$8:$AZ$414,0)+COUNTIF($AZ$8:$AZ381,$AZ381)-1)</f>
        <v/>
      </c>
      <c r="B381" s="36" t="str">
        <f t="shared" si="75"/>
        <v/>
      </c>
      <c r="C381" s="36" t="s">
        <v>93</v>
      </c>
      <c r="D381" s="36" t="s">
        <v>1612</v>
      </c>
      <c r="E381" s="36" t="s">
        <v>5674</v>
      </c>
      <c r="F381" s="36" t="s">
        <v>1586</v>
      </c>
      <c r="G381" s="36" t="str">
        <f>IF($H381="","",IFERROR(INDEX('Risk Library'!$H$5:$M$411,MATCH($E381,'Risk Library'!$A$5:$A$411,0),$H381+1),""))</f>
        <v/>
      </c>
      <c r="H381" s="37" t="str">
        <f>IF(OR(COUNTA('Cyber Privacy'!$H$25)=0,'Cyber Privacy'!$H$25="N/A"),"",VALUE('Cyber Privacy'!$H$25))</f>
        <v/>
      </c>
      <c r="I381" s="36" t="str">
        <f>IF($H381="","",IFERROR(IF('Cyber Privacy'!$L$25="",IF($H381&lt;=1,"Critical",IF($H381=2,"High",IF($H381=3,"Medium",IF($H381=4,"Low","Resilient")))),'Cyber Privacy'!$L$25),IF($H381&lt;=1,"Critical",IF($H381=2,"High",IF($H381=3,"Medium",IF($H381=4,"Low","Resilient"))))))</f>
        <v/>
      </c>
      <c r="J381" s="37" t="str">
        <f t="shared" si="76"/>
        <v/>
      </c>
      <c r="K381" s="37" t="str">
        <f t="shared" si="77"/>
        <v/>
      </c>
      <c r="L381" s="37" t="str">
        <f t="shared" si="78"/>
        <v/>
      </c>
      <c r="M381" s="37" t="str">
        <f t="shared" si="79"/>
        <v/>
      </c>
      <c r="N381" s="37" t="str">
        <f>IF($H381="","",IFERROR(INDEX('Risk Library'!$T$5:$Y$411,MATCH($E381,'Risk Library'!$A$5:$A$411,0),$H381+1),""))</f>
        <v/>
      </c>
      <c r="O381" s="37" t="str">
        <f t="shared" si="80"/>
        <v/>
      </c>
      <c r="P381" s="37" t="str">
        <f t="shared" si="81"/>
        <v/>
      </c>
      <c r="Q381" s="37" t="str">
        <f t="shared" si="82"/>
        <v/>
      </c>
      <c r="R381" s="37" t="str">
        <f t="shared" si="83"/>
        <v/>
      </c>
      <c r="S381" s="38" t="str">
        <f t="shared" si="84"/>
        <v/>
      </c>
      <c r="T381" s="36" t="str">
        <f>IF($H381="","",IFERROR(INDEX('Risk Library'!$N$5:$S$411,MATCH($E381,'Risk Library'!$A$5:$A$411,0),$H381+1),""))</f>
        <v/>
      </c>
      <c r="U381" s="37">
        <f>IFERROR('Cyber Privacy'!$G$25,"")</f>
        <v>5</v>
      </c>
      <c r="V381" s="37">
        <f>IFERROR('Cyber Privacy'!$W$25,"")</f>
        <v>5</v>
      </c>
      <c r="W381" s="37">
        <f>IFERROR('Cyber Privacy'!$X$25,"")</f>
        <v>5</v>
      </c>
      <c r="X381" s="37">
        <f>IFERROR('Cyber Privacy'!$Y$25,"")</f>
        <v>5</v>
      </c>
      <c r="Y381" s="36" t="s">
        <v>5481</v>
      </c>
      <c r="Z381" s="36" t="s">
        <v>5482</v>
      </c>
      <c r="AA381" s="36" t="s">
        <v>5676</v>
      </c>
      <c r="AB381" s="36">
        <f>IFERROR('Cyber Privacy'!$U$25,"")</f>
        <v>0</v>
      </c>
      <c r="AC381" s="36"/>
      <c r="AD381" s="36"/>
      <c r="AE381" s="36"/>
      <c r="AF381" s="36" t="s">
        <v>5675</v>
      </c>
      <c r="AO381" s="48" t="str">
        <f>IF($B381="Yes",IFERROR(SUMIFS(_TECH_Crisis_Model!$D$5:$D$191,_TECH_Crisis_Model!$A$5:$A$191,'Crisis Simulator'!$B$4,_TECH_Crisis_Model!$B$5:$B$191,$C381),1),"")</f>
        <v/>
      </c>
      <c r="AP381" s="48" t="str">
        <f t="shared" si="85"/>
        <v/>
      </c>
      <c r="AQ381" s="48" t="str">
        <f t="shared" si="86"/>
        <v/>
      </c>
      <c r="AR381" s="48" t="str">
        <f>IFERROR(INDEX(_TECH_Crisis_Model!$E$5:$E$191,MATCH('Crisis Simulator'!$B$4&amp;"|"&amp;$C381,_TECH_Crisis_Model!$I$5:$I$191,0)),"")</f>
        <v>Cybersecurity and privacy controls determine resistance to digital disruption and regulatory exposure.</v>
      </c>
      <c r="AS381" s="48" t="str">
        <f>IFERROR(INDEX(_TECH_Crisis_Model!$G$5:$G$191,MATCH('Crisis Simulator'!$B$4&amp;"|"&amp;$C381,_TECH_Crisis_Model!$I$5:$I$191,0)),"")</f>
        <v>Strengthen MFA, EDR, logging, IR playbooks, restore testing, privacy controls and awareness.</v>
      </c>
      <c r="AT381" s="48" t="str">
        <f>IFERROR(INDEX(_TECH_Initiative_Library!$A$5:$A$76,MATCH(1,INDEX((_TECH_Initiative_Library!$B$5:$B$76=$C381)*(_TECH_Initiative_Library!$C$5:$C$76=$D381),0),0)),"")</f>
        <v>INI-066</v>
      </c>
      <c r="AU381" s="48" t="str">
        <f>IFERROR(INDEX(_TECH_Initiative_Library!$F$5:$F$76,MATCH(1,INDEX((_TECH_Initiative_Library!$B$5:$B$76=$C381)*(_TECH_Initiative_Library!$C$5:$C$76=$D381),0),0)),"")</f>
        <v>Implement detection, response, logging and security incident exercises</v>
      </c>
      <c r="AV381" s="48" t="str">
        <f ca="1">IFERROR(INDEX(_TECH_Initiative_Library!$AC$5:$AC$76,MATCH(1,INDEX((_TECH_Initiative_Library!$B$5:$B$76=$C381)*(_TECH_Initiative_Library!$C$5:$C$76=$D381),0),0)),"")</f>
        <v/>
      </c>
      <c r="AW381" s="48" t="str">
        <f ca="1">IFERROR(INDEX(_TECH_Initiative_Library!$AE$5:$AE$76,MATCH(1,INDEX((_TECH_Initiative_Library!$B$5:$B$76=$C381)*(_TECH_Initiative_Library!$C$5:$C$76=$D381),0),0)),"")</f>
        <v/>
      </c>
      <c r="AX381" s="48" t="str">
        <f>IF($B381="Yes",IFERROR(SUMIFS(_TECH_Industry_Templates!$E:$E,_TECH_Industry_Templates!$A:$A,'Company Profile'!$B$9,_TECH_Industry_Templates!$B:$B,$C381),1),"")</f>
        <v/>
      </c>
      <c r="AY381" s="48" t="str">
        <f t="shared" si="87"/>
        <v/>
      </c>
      <c r="AZ381" s="48" t="str">
        <f t="shared" si="88"/>
        <v/>
      </c>
      <c r="BA381" s="48" t="str">
        <f>IF($AZ381="","",RANK.EQ($AZ381,$AZ$8:$AZ$414,0)+COUNTIF($AZ$8:$AZ381,$AZ381)-1)</f>
        <v/>
      </c>
    </row>
    <row r="382" spans="1:53" ht="69.95" customHeight="1">
      <c r="A382" s="36" t="str">
        <f>IF($AZ382="","",RANK.EQ($AZ382,$AZ$8:$AZ$414,0)+COUNTIF($AZ$8:$AZ382,$AZ382)-1)</f>
        <v/>
      </c>
      <c r="B382" s="36" t="str">
        <f t="shared" si="75"/>
        <v/>
      </c>
      <c r="C382" s="36" t="s">
        <v>93</v>
      </c>
      <c r="D382" s="36" t="s">
        <v>1612</v>
      </c>
      <c r="E382" s="36" t="s">
        <v>5684</v>
      </c>
      <c r="F382" s="36" t="s">
        <v>1586</v>
      </c>
      <c r="G382" s="36" t="str">
        <f>IF($H382="","",IFERROR(INDEX('Risk Library'!$H$5:$M$411,MATCH($E382,'Risk Library'!$A$5:$A$411,0),$H382+1),""))</f>
        <v/>
      </c>
      <c r="H382" s="37" t="str">
        <f>IF(OR(COUNTA('Cyber Privacy'!$H$26)=0,'Cyber Privacy'!$H$26="N/A"),"",VALUE('Cyber Privacy'!$H$26))</f>
        <v/>
      </c>
      <c r="I382" s="36" t="str">
        <f>IF($H382="","",IFERROR(IF('Cyber Privacy'!$L$26="",IF($H382&lt;=1,"Critical",IF($H382=2,"High",IF($H382=3,"Medium",IF($H382=4,"Low","Resilient")))),'Cyber Privacy'!$L$26),IF($H382&lt;=1,"Critical",IF($H382=2,"High",IF($H382=3,"Medium",IF($H382=4,"Low","Resilient"))))))</f>
        <v/>
      </c>
      <c r="J382" s="37" t="str">
        <f t="shared" si="76"/>
        <v/>
      </c>
      <c r="K382" s="37" t="str">
        <f t="shared" si="77"/>
        <v/>
      </c>
      <c r="L382" s="37" t="str">
        <f t="shared" si="78"/>
        <v/>
      </c>
      <c r="M382" s="37" t="str">
        <f t="shared" si="79"/>
        <v/>
      </c>
      <c r="N382" s="37" t="str">
        <f>IF($H382="","",IFERROR(INDEX('Risk Library'!$T$5:$Y$411,MATCH($E382,'Risk Library'!$A$5:$A$411,0),$H382+1),""))</f>
        <v/>
      </c>
      <c r="O382" s="37" t="str">
        <f t="shared" si="80"/>
        <v/>
      </c>
      <c r="P382" s="37" t="str">
        <f t="shared" si="81"/>
        <v/>
      </c>
      <c r="Q382" s="37" t="str">
        <f t="shared" si="82"/>
        <v/>
      </c>
      <c r="R382" s="37" t="str">
        <f t="shared" si="83"/>
        <v/>
      </c>
      <c r="S382" s="38" t="str">
        <f t="shared" si="84"/>
        <v/>
      </c>
      <c r="T382" s="36" t="str">
        <f>IF($H382="","",IFERROR(INDEX('Risk Library'!$N$5:$S$411,MATCH($E382,'Risk Library'!$A$5:$A$411,0),$H382+1),""))</f>
        <v/>
      </c>
      <c r="U382" s="37">
        <f>IFERROR('Cyber Privacy'!$G$26,"")</f>
        <v>3</v>
      </c>
      <c r="V382" s="37">
        <f>IFERROR('Cyber Privacy'!$W$26,"")</f>
        <v>5</v>
      </c>
      <c r="W382" s="37">
        <f>IFERROR('Cyber Privacy'!$X$26,"")</f>
        <v>5</v>
      </c>
      <c r="X382" s="37">
        <f>IFERROR('Cyber Privacy'!$Y$26,"")</f>
        <v>5</v>
      </c>
      <c r="Y382" s="36" t="s">
        <v>5481</v>
      </c>
      <c r="Z382" s="36" t="s">
        <v>5482</v>
      </c>
      <c r="AA382" s="36" t="s">
        <v>5686</v>
      </c>
      <c r="AB382" s="36">
        <f>IFERROR('Cyber Privacy'!$U$26,"")</f>
        <v>0</v>
      </c>
      <c r="AC382" s="36"/>
      <c r="AD382" s="36"/>
      <c r="AE382" s="36"/>
      <c r="AF382" s="36" t="s">
        <v>5685</v>
      </c>
      <c r="AO382" s="48" t="str">
        <f>IF($B382="Yes",IFERROR(SUMIFS(_TECH_Crisis_Model!$D$5:$D$191,_TECH_Crisis_Model!$A$5:$A$191,'Crisis Simulator'!$B$4,_TECH_Crisis_Model!$B$5:$B$191,$C382),1),"")</f>
        <v/>
      </c>
      <c r="AP382" s="48" t="str">
        <f t="shared" si="85"/>
        <v/>
      </c>
      <c r="AQ382" s="48" t="str">
        <f t="shared" si="86"/>
        <v/>
      </c>
      <c r="AR382" s="48" t="str">
        <f>IFERROR(INDEX(_TECH_Crisis_Model!$E$5:$E$191,MATCH('Crisis Simulator'!$B$4&amp;"|"&amp;$C382,_TECH_Crisis_Model!$I$5:$I$191,0)),"")</f>
        <v>Cybersecurity and privacy controls determine resistance to digital disruption and regulatory exposure.</v>
      </c>
      <c r="AS382" s="48" t="str">
        <f>IFERROR(INDEX(_TECH_Crisis_Model!$G$5:$G$191,MATCH('Crisis Simulator'!$B$4&amp;"|"&amp;$C382,_TECH_Crisis_Model!$I$5:$I$191,0)),"")</f>
        <v>Strengthen MFA, EDR, logging, IR playbooks, restore testing, privacy controls and awareness.</v>
      </c>
      <c r="AT382" s="48" t="str">
        <f>IFERROR(INDEX(_TECH_Initiative_Library!$A$5:$A$76,MATCH(1,INDEX((_TECH_Initiative_Library!$B$5:$B$76=$C382)*(_TECH_Initiative_Library!$C$5:$C$76=$D382),0),0)),"")</f>
        <v>INI-066</v>
      </c>
      <c r="AU382" s="48" t="str">
        <f>IFERROR(INDEX(_TECH_Initiative_Library!$F$5:$F$76,MATCH(1,INDEX((_TECH_Initiative_Library!$B$5:$B$76=$C382)*(_TECH_Initiative_Library!$C$5:$C$76=$D382),0),0)),"")</f>
        <v>Implement detection, response, logging and security incident exercises</v>
      </c>
      <c r="AV382" s="48" t="str">
        <f ca="1">IFERROR(INDEX(_TECH_Initiative_Library!$AC$5:$AC$76,MATCH(1,INDEX((_TECH_Initiative_Library!$B$5:$B$76=$C382)*(_TECH_Initiative_Library!$C$5:$C$76=$D382),0),0)),"")</f>
        <v/>
      </c>
      <c r="AW382" s="48" t="str">
        <f ca="1">IFERROR(INDEX(_TECH_Initiative_Library!$AE$5:$AE$76,MATCH(1,INDEX((_TECH_Initiative_Library!$B$5:$B$76=$C382)*(_TECH_Initiative_Library!$C$5:$C$76=$D382),0),0)),"")</f>
        <v/>
      </c>
      <c r="AX382" s="48" t="str">
        <f>IF($B382="Yes",IFERROR(SUMIFS(_TECH_Industry_Templates!$E:$E,_TECH_Industry_Templates!$A:$A,'Company Profile'!$B$9,_TECH_Industry_Templates!$B:$B,$C382),1),"")</f>
        <v/>
      </c>
      <c r="AY382" s="48" t="str">
        <f t="shared" si="87"/>
        <v/>
      </c>
      <c r="AZ382" s="48" t="str">
        <f t="shared" si="88"/>
        <v/>
      </c>
      <c r="BA382" s="48" t="str">
        <f>IF($AZ382="","",RANK.EQ($AZ382,$AZ$8:$AZ$414,0)+COUNTIF($AZ$8:$AZ382,$AZ382)-1)</f>
        <v/>
      </c>
    </row>
    <row r="383" spans="1:53" ht="69.95" customHeight="1">
      <c r="A383" s="36" t="str">
        <f>IF($AZ383="","",RANK.EQ($AZ383,$AZ$8:$AZ$414,0)+COUNTIF($AZ$8:$AZ383,$AZ383)-1)</f>
        <v/>
      </c>
      <c r="B383" s="36" t="str">
        <f t="shared" si="75"/>
        <v/>
      </c>
      <c r="C383" s="36" t="s">
        <v>93</v>
      </c>
      <c r="D383" s="36" t="s">
        <v>1612</v>
      </c>
      <c r="E383" s="36" t="s">
        <v>5694</v>
      </c>
      <c r="F383" s="36" t="s">
        <v>1586</v>
      </c>
      <c r="G383" s="36" t="str">
        <f>IF($H383="","",IFERROR(INDEX('Risk Library'!$H$5:$M$411,MATCH($E383,'Risk Library'!$A$5:$A$411,0),$H383+1),""))</f>
        <v/>
      </c>
      <c r="H383" s="37" t="str">
        <f>IF(OR(COUNTA('Cyber Privacy'!$H$27)=0,'Cyber Privacy'!$H$27="N/A"),"",VALUE('Cyber Privacy'!$H$27))</f>
        <v/>
      </c>
      <c r="I383" s="36" t="str">
        <f>IF($H383="","",IFERROR(IF('Cyber Privacy'!$L$27="",IF($H383&lt;=1,"Critical",IF($H383=2,"High",IF($H383=3,"Medium",IF($H383=4,"Low","Resilient")))),'Cyber Privacy'!$L$27),IF($H383&lt;=1,"Critical",IF($H383=2,"High",IF($H383=3,"Medium",IF($H383=4,"Low","Resilient"))))))</f>
        <v/>
      </c>
      <c r="J383" s="37" t="str">
        <f t="shared" si="76"/>
        <v/>
      </c>
      <c r="K383" s="37" t="str">
        <f t="shared" si="77"/>
        <v/>
      </c>
      <c r="L383" s="37" t="str">
        <f t="shared" si="78"/>
        <v/>
      </c>
      <c r="M383" s="37" t="str">
        <f t="shared" si="79"/>
        <v/>
      </c>
      <c r="N383" s="37" t="str">
        <f>IF($H383="","",IFERROR(INDEX('Risk Library'!$T$5:$Y$411,MATCH($E383,'Risk Library'!$A$5:$A$411,0),$H383+1),""))</f>
        <v/>
      </c>
      <c r="O383" s="37" t="str">
        <f t="shared" si="80"/>
        <v/>
      </c>
      <c r="P383" s="37" t="str">
        <f t="shared" si="81"/>
        <v/>
      </c>
      <c r="Q383" s="37" t="str">
        <f t="shared" si="82"/>
        <v/>
      </c>
      <c r="R383" s="37" t="str">
        <f t="shared" si="83"/>
        <v/>
      </c>
      <c r="S383" s="38" t="str">
        <f t="shared" si="84"/>
        <v/>
      </c>
      <c r="T383" s="36" t="str">
        <f>IF($H383="","",IFERROR(INDEX('Risk Library'!$N$5:$S$411,MATCH($E383,'Risk Library'!$A$5:$A$411,0),$H383+1),""))</f>
        <v/>
      </c>
      <c r="U383" s="37">
        <f>IFERROR('Cyber Privacy'!$G$27,"")</f>
        <v>5</v>
      </c>
      <c r="V383" s="37">
        <f>IFERROR('Cyber Privacy'!$W$27,"")</f>
        <v>5</v>
      </c>
      <c r="W383" s="37">
        <f>IFERROR('Cyber Privacy'!$X$27,"")</f>
        <v>5</v>
      </c>
      <c r="X383" s="37">
        <f>IFERROR('Cyber Privacy'!$Y$27,"")</f>
        <v>5</v>
      </c>
      <c r="Y383" s="36" t="s">
        <v>5481</v>
      </c>
      <c r="Z383" s="36" t="s">
        <v>5482</v>
      </c>
      <c r="AA383" s="36" t="s">
        <v>5696</v>
      </c>
      <c r="AB383" s="36">
        <f>IFERROR('Cyber Privacy'!$U$27,"")</f>
        <v>0</v>
      </c>
      <c r="AC383" s="36"/>
      <c r="AD383" s="36"/>
      <c r="AE383" s="36"/>
      <c r="AF383" s="36" t="s">
        <v>5695</v>
      </c>
      <c r="AO383" s="48" t="str">
        <f>IF($B383="Yes",IFERROR(SUMIFS(_TECH_Crisis_Model!$D$5:$D$191,_TECH_Crisis_Model!$A$5:$A$191,'Crisis Simulator'!$B$4,_TECH_Crisis_Model!$B$5:$B$191,$C383),1),"")</f>
        <v/>
      </c>
      <c r="AP383" s="48" t="str">
        <f t="shared" si="85"/>
        <v/>
      </c>
      <c r="AQ383" s="48" t="str">
        <f t="shared" si="86"/>
        <v/>
      </c>
      <c r="AR383" s="48" t="str">
        <f>IFERROR(INDEX(_TECH_Crisis_Model!$E$5:$E$191,MATCH('Crisis Simulator'!$B$4&amp;"|"&amp;$C383,_TECH_Crisis_Model!$I$5:$I$191,0)),"")</f>
        <v>Cybersecurity and privacy controls determine resistance to digital disruption and regulatory exposure.</v>
      </c>
      <c r="AS383" s="48" t="str">
        <f>IFERROR(INDEX(_TECH_Crisis_Model!$G$5:$G$191,MATCH('Crisis Simulator'!$B$4&amp;"|"&amp;$C383,_TECH_Crisis_Model!$I$5:$I$191,0)),"")</f>
        <v>Strengthen MFA, EDR, logging, IR playbooks, restore testing, privacy controls and awareness.</v>
      </c>
      <c r="AT383" s="48" t="str">
        <f>IFERROR(INDEX(_TECH_Initiative_Library!$A$5:$A$76,MATCH(1,INDEX((_TECH_Initiative_Library!$B$5:$B$76=$C383)*(_TECH_Initiative_Library!$C$5:$C$76=$D383),0),0)),"")</f>
        <v>INI-066</v>
      </c>
      <c r="AU383" s="48" t="str">
        <f>IFERROR(INDEX(_TECH_Initiative_Library!$F$5:$F$76,MATCH(1,INDEX((_TECH_Initiative_Library!$B$5:$B$76=$C383)*(_TECH_Initiative_Library!$C$5:$C$76=$D383),0),0)),"")</f>
        <v>Implement detection, response, logging and security incident exercises</v>
      </c>
      <c r="AV383" s="48" t="str">
        <f ca="1">IFERROR(INDEX(_TECH_Initiative_Library!$AC$5:$AC$76,MATCH(1,INDEX((_TECH_Initiative_Library!$B$5:$B$76=$C383)*(_TECH_Initiative_Library!$C$5:$C$76=$D383),0),0)),"")</f>
        <v/>
      </c>
      <c r="AW383" s="48" t="str">
        <f ca="1">IFERROR(INDEX(_TECH_Initiative_Library!$AE$5:$AE$76,MATCH(1,INDEX((_TECH_Initiative_Library!$B$5:$B$76=$C383)*(_TECH_Initiative_Library!$C$5:$C$76=$D383),0),0)),"")</f>
        <v/>
      </c>
      <c r="AX383" s="48" t="str">
        <f>IF($B383="Yes",IFERROR(SUMIFS(_TECH_Industry_Templates!$E:$E,_TECH_Industry_Templates!$A:$A,'Company Profile'!$B$9,_TECH_Industry_Templates!$B:$B,$C383),1),"")</f>
        <v/>
      </c>
      <c r="AY383" s="48" t="str">
        <f t="shared" si="87"/>
        <v/>
      </c>
      <c r="AZ383" s="48" t="str">
        <f t="shared" si="88"/>
        <v/>
      </c>
      <c r="BA383" s="48" t="str">
        <f>IF($AZ383="","",RANK.EQ($AZ383,$AZ$8:$AZ$414,0)+COUNTIF($AZ$8:$AZ383,$AZ383)-1)</f>
        <v/>
      </c>
    </row>
    <row r="384" spans="1:53" ht="69.95" customHeight="1">
      <c r="A384" s="36" t="str">
        <f>IF($AZ384="","",RANK.EQ($AZ384,$AZ$8:$AZ$414,0)+COUNTIF($AZ$8:$AZ384,$AZ384)-1)</f>
        <v/>
      </c>
      <c r="B384" s="36" t="str">
        <f t="shared" si="75"/>
        <v/>
      </c>
      <c r="C384" s="36" t="s">
        <v>93</v>
      </c>
      <c r="D384" s="36" t="s">
        <v>1612</v>
      </c>
      <c r="E384" s="36" t="s">
        <v>5704</v>
      </c>
      <c r="F384" s="36" t="s">
        <v>1586</v>
      </c>
      <c r="G384" s="36" t="str">
        <f>IF($H384="","",IFERROR(INDEX('Risk Library'!$H$5:$M$411,MATCH($E384,'Risk Library'!$A$5:$A$411,0),$H384+1),""))</f>
        <v/>
      </c>
      <c r="H384" s="37" t="str">
        <f>IF(OR(COUNTA('Cyber Privacy'!$H$28)=0,'Cyber Privacy'!$H$28="N/A"),"",VALUE('Cyber Privacy'!$H$28))</f>
        <v/>
      </c>
      <c r="I384" s="36" t="str">
        <f>IF($H384="","",IFERROR(IF('Cyber Privacy'!$L$28="",IF($H384&lt;=1,"Critical",IF($H384=2,"High",IF($H384=3,"Medium",IF($H384=4,"Low","Resilient")))),'Cyber Privacy'!$L$28),IF($H384&lt;=1,"Critical",IF($H384=2,"High",IF($H384=3,"Medium",IF($H384=4,"Low","Resilient"))))))</f>
        <v/>
      </c>
      <c r="J384" s="37" t="str">
        <f t="shared" si="76"/>
        <v/>
      </c>
      <c r="K384" s="37" t="str">
        <f t="shared" si="77"/>
        <v/>
      </c>
      <c r="L384" s="37" t="str">
        <f t="shared" si="78"/>
        <v/>
      </c>
      <c r="M384" s="37" t="str">
        <f t="shared" si="79"/>
        <v/>
      </c>
      <c r="N384" s="37" t="str">
        <f>IF($H384="","",IFERROR(INDEX('Risk Library'!$T$5:$Y$411,MATCH($E384,'Risk Library'!$A$5:$A$411,0),$H384+1),""))</f>
        <v/>
      </c>
      <c r="O384" s="37" t="str">
        <f t="shared" si="80"/>
        <v/>
      </c>
      <c r="P384" s="37" t="str">
        <f t="shared" si="81"/>
        <v/>
      </c>
      <c r="Q384" s="37" t="str">
        <f t="shared" si="82"/>
        <v/>
      </c>
      <c r="R384" s="37" t="str">
        <f t="shared" si="83"/>
        <v/>
      </c>
      <c r="S384" s="38" t="str">
        <f t="shared" si="84"/>
        <v/>
      </c>
      <c r="T384" s="36" t="str">
        <f>IF($H384="","",IFERROR(INDEX('Risk Library'!$N$5:$S$411,MATCH($E384,'Risk Library'!$A$5:$A$411,0),$H384+1),""))</f>
        <v/>
      </c>
      <c r="U384" s="37">
        <f>IFERROR('Cyber Privacy'!$G$28,"")</f>
        <v>5</v>
      </c>
      <c r="V384" s="37">
        <f>IFERROR('Cyber Privacy'!$W$28,"")</f>
        <v>5</v>
      </c>
      <c r="W384" s="37">
        <f>IFERROR('Cyber Privacy'!$X$28,"")</f>
        <v>5</v>
      </c>
      <c r="X384" s="37">
        <f>IFERROR('Cyber Privacy'!$Y$28,"")</f>
        <v>5</v>
      </c>
      <c r="Y384" s="36" t="s">
        <v>5481</v>
      </c>
      <c r="Z384" s="36" t="s">
        <v>5482</v>
      </c>
      <c r="AA384" s="36" t="s">
        <v>5706</v>
      </c>
      <c r="AB384" s="36">
        <f>IFERROR('Cyber Privacy'!$U$28,"")</f>
        <v>0</v>
      </c>
      <c r="AC384" s="36"/>
      <c r="AD384" s="36"/>
      <c r="AE384" s="36"/>
      <c r="AF384" s="36" t="s">
        <v>5705</v>
      </c>
      <c r="AO384" s="48" t="str">
        <f>IF($B384="Yes",IFERROR(SUMIFS(_TECH_Crisis_Model!$D$5:$D$191,_TECH_Crisis_Model!$A$5:$A$191,'Crisis Simulator'!$B$4,_TECH_Crisis_Model!$B$5:$B$191,$C384),1),"")</f>
        <v/>
      </c>
      <c r="AP384" s="48" t="str">
        <f t="shared" si="85"/>
        <v/>
      </c>
      <c r="AQ384" s="48" t="str">
        <f t="shared" si="86"/>
        <v/>
      </c>
      <c r="AR384" s="48" t="str">
        <f>IFERROR(INDEX(_TECH_Crisis_Model!$E$5:$E$191,MATCH('Crisis Simulator'!$B$4&amp;"|"&amp;$C384,_TECH_Crisis_Model!$I$5:$I$191,0)),"")</f>
        <v>Cybersecurity and privacy controls determine resistance to digital disruption and regulatory exposure.</v>
      </c>
      <c r="AS384" s="48" t="str">
        <f>IFERROR(INDEX(_TECH_Crisis_Model!$G$5:$G$191,MATCH('Crisis Simulator'!$B$4&amp;"|"&amp;$C384,_TECH_Crisis_Model!$I$5:$I$191,0)),"")</f>
        <v>Strengthen MFA, EDR, logging, IR playbooks, restore testing, privacy controls and awareness.</v>
      </c>
      <c r="AT384" s="48" t="str">
        <f>IFERROR(INDEX(_TECH_Initiative_Library!$A$5:$A$76,MATCH(1,INDEX((_TECH_Initiative_Library!$B$5:$B$76=$C384)*(_TECH_Initiative_Library!$C$5:$C$76=$D384),0),0)),"")</f>
        <v>INI-066</v>
      </c>
      <c r="AU384" s="48" t="str">
        <f>IFERROR(INDEX(_TECH_Initiative_Library!$F$5:$F$76,MATCH(1,INDEX((_TECH_Initiative_Library!$B$5:$B$76=$C384)*(_TECH_Initiative_Library!$C$5:$C$76=$D384),0),0)),"")</f>
        <v>Implement detection, response, logging and security incident exercises</v>
      </c>
      <c r="AV384" s="48" t="str">
        <f ca="1">IFERROR(INDEX(_TECH_Initiative_Library!$AC$5:$AC$76,MATCH(1,INDEX((_TECH_Initiative_Library!$B$5:$B$76=$C384)*(_TECH_Initiative_Library!$C$5:$C$76=$D384),0),0)),"")</f>
        <v/>
      </c>
      <c r="AW384" s="48" t="str">
        <f ca="1">IFERROR(INDEX(_TECH_Initiative_Library!$AE$5:$AE$76,MATCH(1,INDEX((_TECH_Initiative_Library!$B$5:$B$76=$C384)*(_TECH_Initiative_Library!$C$5:$C$76=$D384),0),0)),"")</f>
        <v/>
      </c>
      <c r="AX384" s="48" t="str">
        <f>IF($B384="Yes",IFERROR(SUMIFS(_TECH_Industry_Templates!$E:$E,_TECH_Industry_Templates!$A:$A,'Company Profile'!$B$9,_TECH_Industry_Templates!$B:$B,$C384),1),"")</f>
        <v/>
      </c>
      <c r="AY384" s="48" t="str">
        <f t="shared" si="87"/>
        <v/>
      </c>
      <c r="AZ384" s="48" t="str">
        <f t="shared" si="88"/>
        <v/>
      </c>
      <c r="BA384" s="48" t="str">
        <f>IF($AZ384="","",RANK.EQ($AZ384,$AZ$8:$AZ$414,0)+COUNTIF($AZ$8:$AZ384,$AZ384)-1)</f>
        <v/>
      </c>
    </row>
    <row r="385" spans="1:53" ht="69.95" customHeight="1">
      <c r="A385" s="36" t="str">
        <f>IF($AZ385="","",RANK.EQ($AZ385,$AZ$8:$AZ$414,0)+COUNTIF($AZ$8:$AZ385,$AZ385)-1)</f>
        <v/>
      </c>
      <c r="B385" s="36" t="str">
        <f t="shared" si="75"/>
        <v/>
      </c>
      <c r="C385" s="36" t="s">
        <v>93</v>
      </c>
      <c r="D385" s="36" t="s">
        <v>1612</v>
      </c>
      <c r="E385" s="36" t="s">
        <v>5714</v>
      </c>
      <c r="F385" s="36" t="s">
        <v>1586</v>
      </c>
      <c r="G385" s="36" t="str">
        <f>IF($H385="","",IFERROR(INDEX('Risk Library'!$H$5:$M$411,MATCH($E385,'Risk Library'!$A$5:$A$411,0),$H385+1),""))</f>
        <v/>
      </c>
      <c r="H385" s="37" t="str">
        <f>IF(OR(COUNTA('Cyber Privacy'!$H$29)=0,'Cyber Privacy'!$H$29="N/A"),"",VALUE('Cyber Privacy'!$H$29))</f>
        <v/>
      </c>
      <c r="I385" s="36" t="str">
        <f>IF($H385="","",IFERROR(IF('Cyber Privacy'!$L$29="",IF($H385&lt;=1,"Critical",IF($H385=2,"High",IF($H385=3,"Medium",IF($H385=4,"Low","Resilient")))),'Cyber Privacy'!$L$29),IF($H385&lt;=1,"Critical",IF($H385=2,"High",IF($H385=3,"Medium",IF($H385=4,"Low","Resilient"))))))</f>
        <v/>
      </c>
      <c r="J385" s="37" t="str">
        <f t="shared" si="76"/>
        <v/>
      </c>
      <c r="K385" s="37" t="str">
        <f t="shared" si="77"/>
        <v/>
      </c>
      <c r="L385" s="37" t="str">
        <f t="shared" si="78"/>
        <v/>
      </c>
      <c r="M385" s="37" t="str">
        <f t="shared" si="79"/>
        <v/>
      </c>
      <c r="N385" s="37" t="str">
        <f>IF($H385="","",IFERROR(INDEX('Risk Library'!$T$5:$Y$411,MATCH($E385,'Risk Library'!$A$5:$A$411,0),$H385+1),""))</f>
        <v/>
      </c>
      <c r="O385" s="37" t="str">
        <f t="shared" si="80"/>
        <v/>
      </c>
      <c r="P385" s="37" t="str">
        <f t="shared" si="81"/>
        <v/>
      </c>
      <c r="Q385" s="37" t="str">
        <f t="shared" si="82"/>
        <v/>
      </c>
      <c r="R385" s="37" t="str">
        <f t="shared" si="83"/>
        <v/>
      </c>
      <c r="S385" s="38" t="str">
        <f t="shared" si="84"/>
        <v/>
      </c>
      <c r="T385" s="36" t="str">
        <f>IF($H385="","",IFERROR(INDEX('Risk Library'!$N$5:$S$411,MATCH($E385,'Risk Library'!$A$5:$A$411,0),$H385+1),""))</f>
        <v/>
      </c>
      <c r="U385" s="37">
        <f>IFERROR('Cyber Privacy'!$G$29,"")</f>
        <v>5</v>
      </c>
      <c r="V385" s="37">
        <f>IFERROR('Cyber Privacy'!$W$29,"")</f>
        <v>5</v>
      </c>
      <c r="W385" s="37">
        <f>IFERROR('Cyber Privacy'!$X$29,"")</f>
        <v>5</v>
      </c>
      <c r="X385" s="37">
        <f>IFERROR('Cyber Privacy'!$Y$29,"")</f>
        <v>5</v>
      </c>
      <c r="Y385" s="36" t="s">
        <v>5481</v>
      </c>
      <c r="Z385" s="36" t="s">
        <v>5482</v>
      </c>
      <c r="AA385" s="36" t="s">
        <v>5716</v>
      </c>
      <c r="AB385" s="36">
        <f>IFERROR('Cyber Privacy'!$U$29,"")</f>
        <v>0</v>
      </c>
      <c r="AC385" s="36"/>
      <c r="AD385" s="36"/>
      <c r="AE385" s="36"/>
      <c r="AF385" s="36" t="s">
        <v>5715</v>
      </c>
      <c r="AO385" s="48" t="str">
        <f>IF($B385="Yes",IFERROR(SUMIFS(_TECH_Crisis_Model!$D$5:$D$191,_TECH_Crisis_Model!$A$5:$A$191,'Crisis Simulator'!$B$4,_TECH_Crisis_Model!$B$5:$B$191,$C385),1),"")</f>
        <v/>
      </c>
      <c r="AP385" s="48" t="str">
        <f t="shared" si="85"/>
        <v/>
      </c>
      <c r="AQ385" s="48" t="str">
        <f t="shared" si="86"/>
        <v/>
      </c>
      <c r="AR385" s="48" t="str">
        <f>IFERROR(INDEX(_TECH_Crisis_Model!$E$5:$E$191,MATCH('Crisis Simulator'!$B$4&amp;"|"&amp;$C385,_TECH_Crisis_Model!$I$5:$I$191,0)),"")</f>
        <v>Cybersecurity and privacy controls determine resistance to digital disruption and regulatory exposure.</v>
      </c>
      <c r="AS385" s="48" t="str">
        <f>IFERROR(INDEX(_TECH_Crisis_Model!$G$5:$G$191,MATCH('Crisis Simulator'!$B$4&amp;"|"&amp;$C385,_TECH_Crisis_Model!$I$5:$I$191,0)),"")</f>
        <v>Strengthen MFA, EDR, logging, IR playbooks, restore testing, privacy controls and awareness.</v>
      </c>
      <c r="AT385" s="48" t="str">
        <f>IFERROR(INDEX(_TECH_Initiative_Library!$A$5:$A$76,MATCH(1,INDEX((_TECH_Initiative_Library!$B$5:$B$76=$C385)*(_TECH_Initiative_Library!$C$5:$C$76=$D385),0),0)),"")</f>
        <v>INI-066</v>
      </c>
      <c r="AU385" s="48" t="str">
        <f>IFERROR(INDEX(_TECH_Initiative_Library!$F$5:$F$76,MATCH(1,INDEX((_TECH_Initiative_Library!$B$5:$B$76=$C385)*(_TECH_Initiative_Library!$C$5:$C$76=$D385),0),0)),"")</f>
        <v>Implement detection, response, logging and security incident exercises</v>
      </c>
      <c r="AV385" s="48" t="str">
        <f ca="1">IFERROR(INDEX(_TECH_Initiative_Library!$AC$5:$AC$76,MATCH(1,INDEX((_TECH_Initiative_Library!$B$5:$B$76=$C385)*(_TECH_Initiative_Library!$C$5:$C$76=$D385),0),0)),"")</f>
        <v/>
      </c>
      <c r="AW385" s="48" t="str">
        <f ca="1">IFERROR(INDEX(_TECH_Initiative_Library!$AE$5:$AE$76,MATCH(1,INDEX((_TECH_Initiative_Library!$B$5:$B$76=$C385)*(_TECH_Initiative_Library!$C$5:$C$76=$D385),0),0)),"")</f>
        <v/>
      </c>
      <c r="AX385" s="48" t="str">
        <f>IF($B385="Yes",IFERROR(SUMIFS(_TECH_Industry_Templates!$E:$E,_TECH_Industry_Templates!$A:$A,'Company Profile'!$B$9,_TECH_Industry_Templates!$B:$B,$C385),1),"")</f>
        <v/>
      </c>
      <c r="AY385" s="48" t="str">
        <f t="shared" si="87"/>
        <v/>
      </c>
      <c r="AZ385" s="48" t="str">
        <f t="shared" si="88"/>
        <v/>
      </c>
      <c r="BA385" s="48" t="str">
        <f>IF($AZ385="","",RANK.EQ($AZ385,$AZ$8:$AZ$414,0)+COUNTIF($AZ$8:$AZ385,$AZ385)-1)</f>
        <v/>
      </c>
    </row>
    <row r="386" spans="1:53" ht="69.95" customHeight="1">
      <c r="A386" s="36" t="str">
        <f>IF($AZ386="","",RANK.EQ($AZ386,$AZ$8:$AZ$414,0)+COUNTIF($AZ$8:$AZ386,$AZ386)-1)</f>
        <v/>
      </c>
      <c r="B386" s="36" t="str">
        <f t="shared" si="75"/>
        <v/>
      </c>
      <c r="C386" s="36" t="s">
        <v>93</v>
      </c>
      <c r="D386" s="36" t="s">
        <v>1612</v>
      </c>
      <c r="E386" s="36" t="s">
        <v>5724</v>
      </c>
      <c r="F386" s="36" t="s">
        <v>1586</v>
      </c>
      <c r="G386" s="36" t="str">
        <f>IF($H386="","",IFERROR(INDEX('Risk Library'!$H$5:$M$411,MATCH($E386,'Risk Library'!$A$5:$A$411,0),$H386+1),""))</f>
        <v/>
      </c>
      <c r="H386" s="37" t="str">
        <f>IF(OR(COUNTA('Cyber Privacy'!$H$30)=0,'Cyber Privacy'!$H$30="N/A"),"",VALUE('Cyber Privacy'!$H$30))</f>
        <v/>
      </c>
      <c r="I386" s="36" t="str">
        <f>IF($H386="","",IFERROR(IF('Cyber Privacy'!$L$30="",IF($H386&lt;=1,"Critical",IF($H386=2,"High",IF($H386=3,"Medium",IF($H386=4,"Low","Resilient")))),'Cyber Privacy'!$L$30),IF($H386&lt;=1,"Critical",IF($H386=2,"High",IF($H386=3,"Medium",IF($H386=4,"Low","Resilient"))))))</f>
        <v/>
      </c>
      <c r="J386" s="37" t="str">
        <f t="shared" si="76"/>
        <v/>
      </c>
      <c r="K386" s="37" t="str">
        <f t="shared" si="77"/>
        <v/>
      </c>
      <c r="L386" s="37" t="str">
        <f t="shared" si="78"/>
        <v/>
      </c>
      <c r="M386" s="37" t="str">
        <f t="shared" si="79"/>
        <v/>
      </c>
      <c r="N386" s="37" t="str">
        <f>IF($H386="","",IFERROR(INDEX('Risk Library'!$T$5:$Y$411,MATCH($E386,'Risk Library'!$A$5:$A$411,0),$H386+1),""))</f>
        <v/>
      </c>
      <c r="O386" s="37" t="str">
        <f t="shared" si="80"/>
        <v/>
      </c>
      <c r="P386" s="37" t="str">
        <f t="shared" si="81"/>
        <v/>
      </c>
      <c r="Q386" s="37" t="str">
        <f t="shared" si="82"/>
        <v/>
      </c>
      <c r="R386" s="37" t="str">
        <f t="shared" si="83"/>
        <v/>
      </c>
      <c r="S386" s="38" t="str">
        <f t="shared" si="84"/>
        <v/>
      </c>
      <c r="T386" s="36" t="str">
        <f>IF($H386="","",IFERROR(INDEX('Risk Library'!$N$5:$S$411,MATCH($E386,'Risk Library'!$A$5:$A$411,0),$H386+1),""))</f>
        <v/>
      </c>
      <c r="U386" s="37">
        <f>IFERROR('Cyber Privacy'!$G$30,"")</f>
        <v>5</v>
      </c>
      <c r="V386" s="37">
        <f>IFERROR('Cyber Privacy'!$W$30,"")</f>
        <v>5</v>
      </c>
      <c r="W386" s="37">
        <f>IFERROR('Cyber Privacy'!$X$30,"")</f>
        <v>5</v>
      </c>
      <c r="X386" s="37">
        <f>IFERROR('Cyber Privacy'!$Y$30,"")</f>
        <v>5</v>
      </c>
      <c r="Y386" s="36" t="s">
        <v>5481</v>
      </c>
      <c r="Z386" s="36" t="s">
        <v>5482</v>
      </c>
      <c r="AA386" s="36" t="s">
        <v>5726</v>
      </c>
      <c r="AB386" s="36">
        <f>IFERROR('Cyber Privacy'!$U$30,"")</f>
        <v>0</v>
      </c>
      <c r="AC386" s="36"/>
      <c r="AD386" s="36"/>
      <c r="AE386" s="36"/>
      <c r="AF386" s="36" t="s">
        <v>5725</v>
      </c>
      <c r="AO386" s="48" t="str">
        <f>IF($B386="Yes",IFERROR(SUMIFS(_TECH_Crisis_Model!$D$5:$D$191,_TECH_Crisis_Model!$A$5:$A$191,'Crisis Simulator'!$B$4,_TECH_Crisis_Model!$B$5:$B$191,$C386),1),"")</f>
        <v/>
      </c>
      <c r="AP386" s="48" t="str">
        <f t="shared" si="85"/>
        <v/>
      </c>
      <c r="AQ386" s="48" t="str">
        <f t="shared" si="86"/>
        <v/>
      </c>
      <c r="AR386" s="48" t="str">
        <f>IFERROR(INDEX(_TECH_Crisis_Model!$E$5:$E$191,MATCH('Crisis Simulator'!$B$4&amp;"|"&amp;$C386,_TECH_Crisis_Model!$I$5:$I$191,0)),"")</f>
        <v>Cybersecurity and privacy controls determine resistance to digital disruption and regulatory exposure.</v>
      </c>
      <c r="AS386" s="48" t="str">
        <f>IFERROR(INDEX(_TECH_Crisis_Model!$G$5:$G$191,MATCH('Crisis Simulator'!$B$4&amp;"|"&amp;$C386,_TECH_Crisis_Model!$I$5:$I$191,0)),"")</f>
        <v>Strengthen MFA, EDR, logging, IR playbooks, restore testing, privacy controls and awareness.</v>
      </c>
      <c r="AT386" s="48" t="str">
        <f>IFERROR(INDEX(_TECH_Initiative_Library!$A$5:$A$76,MATCH(1,INDEX((_TECH_Initiative_Library!$B$5:$B$76=$C386)*(_TECH_Initiative_Library!$C$5:$C$76=$D386),0),0)),"")</f>
        <v>INI-066</v>
      </c>
      <c r="AU386" s="48" t="str">
        <f>IFERROR(INDEX(_TECH_Initiative_Library!$F$5:$F$76,MATCH(1,INDEX((_TECH_Initiative_Library!$B$5:$B$76=$C386)*(_TECH_Initiative_Library!$C$5:$C$76=$D386),0),0)),"")</f>
        <v>Implement detection, response, logging and security incident exercises</v>
      </c>
      <c r="AV386" s="48" t="str">
        <f ca="1">IFERROR(INDEX(_TECH_Initiative_Library!$AC$5:$AC$76,MATCH(1,INDEX((_TECH_Initiative_Library!$B$5:$B$76=$C386)*(_TECH_Initiative_Library!$C$5:$C$76=$D386),0),0)),"")</f>
        <v/>
      </c>
      <c r="AW386" s="48" t="str">
        <f ca="1">IFERROR(INDEX(_TECH_Initiative_Library!$AE$5:$AE$76,MATCH(1,INDEX((_TECH_Initiative_Library!$B$5:$B$76=$C386)*(_TECH_Initiative_Library!$C$5:$C$76=$D386),0),0)),"")</f>
        <v/>
      </c>
      <c r="AX386" s="48" t="str">
        <f>IF($B386="Yes",IFERROR(SUMIFS(_TECH_Industry_Templates!$E:$E,_TECH_Industry_Templates!$A:$A,'Company Profile'!$B$9,_TECH_Industry_Templates!$B:$B,$C386),1),"")</f>
        <v/>
      </c>
      <c r="AY386" s="48" t="str">
        <f t="shared" si="87"/>
        <v/>
      </c>
      <c r="AZ386" s="48" t="str">
        <f t="shared" si="88"/>
        <v/>
      </c>
      <c r="BA386" s="48" t="str">
        <f>IF($AZ386="","",RANK.EQ($AZ386,$AZ$8:$AZ$414,0)+COUNTIF($AZ$8:$AZ386,$AZ386)-1)</f>
        <v/>
      </c>
    </row>
    <row r="387" spans="1:53" ht="69.95" customHeight="1">
      <c r="A387" s="36" t="str">
        <f>IF($AZ387="","",RANK.EQ($AZ387,$AZ$8:$AZ$414,0)+COUNTIF($AZ$8:$AZ387,$AZ387)-1)</f>
        <v/>
      </c>
      <c r="B387" s="36" t="str">
        <f t="shared" si="75"/>
        <v/>
      </c>
      <c r="C387" s="36" t="s">
        <v>93</v>
      </c>
      <c r="D387" s="36" t="s">
        <v>1620</v>
      </c>
      <c r="E387" s="36" t="s">
        <v>5734</v>
      </c>
      <c r="F387" s="36" t="s">
        <v>1586</v>
      </c>
      <c r="G387" s="36" t="str">
        <f>IF($H387="","",IFERROR(INDEX('Risk Library'!$H$5:$M$411,MATCH($E387,'Risk Library'!$A$5:$A$411,0),$H387+1),""))</f>
        <v/>
      </c>
      <c r="H387" s="37" t="str">
        <f>IF(OR(COUNTA('Cyber Privacy'!$H$31)=0,'Cyber Privacy'!$H$31="N/A"),"",VALUE('Cyber Privacy'!$H$31))</f>
        <v/>
      </c>
      <c r="I387" s="36" t="str">
        <f>IF($H387="","",IFERROR(IF('Cyber Privacy'!$L$31="",IF($H387&lt;=1,"Critical",IF($H387=2,"High",IF($H387=3,"Medium",IF($H387=4,"Low","Resilient")))),'Cyber Privacy'!$L$31),IF($H387&lt;=1,"Critical",IF($H387=2,"High",IF($H387=3,"Medium",IF($H387=4,"Low","Resilient"))))))</f>
        <v/>
      </c>
      <c r="J387" s="37" t="str">
        <f t="shared" si="76"/>
        <v/>
      </c>
      <c r="K387" s="37" t="str">
        <f t="shared" si="77"/>
        <v/>
      </c>
      <c r="L387" s="37" t="str">
        <f t="shared" si="78"/>
        <v/>
      </c>
      <c r="M387" s="37" t="str">
        <f t="shared" si="79"/>
        <v/>
      </c>
      <c r="N387" s="37" t="str">
        <f>IF($H387="","",IFERROR(INDEX('Risk Library'!$T$5:$Y$411,MATCH($E387,'Risk Library'!$A$5:$A$411,0),$H387+1),""))</f>
        <v/>
      </c>
      <c r="O387" s="37" t="str">
        <f t="shared" si="80"/>
        <v/>
      </c>
      <c r="P387" s="37" t="str">
        <f t="shared" si="81"/>
        <v/>
      </c>
      <c r="Q387" s="37" t="str">
        <f t="shared" si="82"/>
        <v/>
      </c>
      <c r="R387" s="37" t="str">
        <f t="shared" si="83"/>
        <v/>
      </c>
      <c r="S387" s="38" t="str">
        <f t="shared" si="84"/>
        <v/>
      </c>
      <c r="T387" s="36" t="str">
        <f>IF($H387="","",IFERROR(INDEX('Risk Library'!$N$5:$S$411,MATCH($E387,'Risk Library'!$A$5:$A$411,0),$H387+1),""))</f>
        <v/>
      </c>
      <c r="U387" s="37">
        <f>IFERROR('Cyber Privacy'!$G$31,"")</f>
        <v>3</v>
      </c>
      <c r="V387" s="37">
        <f>IFERROR('Cyber Privacy'!$W$31,"")</f>
        <v>5</v>
      </c>
      <c r="W387" s="37">
        <f>IFERROR('Cyber Privacy'!$X$31,"")</f>
        <v>5</v>
      </c>
      <c r="X387" s="37">
        <f>IFERROR('Cyber Privacy'!$Y$31,"")</f>
        <v>5</v>
      </c>
      <c r="Y387" s="36" t="s">
        <v>5481</v>
      </c>
      <c r="Z387" s="36" t="s">
        <v>5482</v>
      </c>
      <c r="AA387" s="36" t="s">
        <v>5736</v>
      </c>
      <c r="AB387" s="36">
        <f>IFERROR('Cyber Privacy'!$U$31,"")</f>
        <v>0</v>
      </c>
      <c r="AC387" s="36"/>
      <c r="AD387" s="36"/>
      <c r="AE387" s="36"/>
      <c r="AF387" s="36" t="s">
        <v>5735</v>
      </c>
      <c r="AO387" s="48" t="str">
        <f>IF($B387="Yes",IFERROR(SUMIFS(_TECH_Crisis_Model!$D$5:$D$191,_TECH_Crisis_Model!$A$5:$A$191,'Crisis Simulator'!$B$4,_TECH_Crisis_Model!$B$5:$B$191,$C387),1),"")</f>
        <v/>
      </c>
      <c r="AP387" s="48" t="str">
        <f t="shared" si="85"/>
        <v/>
      </c>
      <c r="AQ387" s="48" t="str">
        <f t="shared" si="86"/>
        <v/>
      </c>
      <c r="AR387" s="48" t="str">
        <f>IFERROR(INDEX(_TECH_Crisis_Model!$E$5:$E$191,MATCH('Crisis Simulator'!$B$4&amp;"|"&amp;$C387,_TECH_Crisis_Model!$I$5:$I$191,0)),"")</f>
        <v>Cybersecurity and privacy controls determine resistance to digital disruption and regulatory exposure.</v>
      </c>
      <c r="AS387" s="48" t="str">
        <f>IFERROR(INDEX(_TECH_Crisis_Model!$G$5:$G$191,MATCH('Crisis Simulator'!$B$4&amp;"|"&amp;$C387,_TECH_Crisis_Model!$I$5:$I$191,0)),"")</f>
        <v>Strengthen MFA, EDR, logging, IR playbooks, restore testing, privacy controls and awareness.</v>
      </c>
      <c r="AT387" s="48" t="str">
        <f>IFERROR(INDEX(_TECH_Initiative_Library!$A$5:$A$76,MATCH(1,INDEX((_TECH_Initiative_Library!$B$5:$B$76=$C387)*(_TECH_Initiative_Library!$C$5:$C$76=$D387),0),0)),"")</f>
        <v>INI-067</v>
      </c>
      <c r="AU387" s="48" t="str">
        <f>IFERROR(INDEX(_TECH_Initiative_Library!$F$5:$F$76,MATCH(1,INDEX((_TECH_Initiative_Library!$B$5:$B$76=$C387)*(_TECH_Initiative_Library!$C$5:$C$76=$D387),0),0)),"")</f>
        <v>Strengthen application, API and OT security controls</v>
      </c>
      <c r="AV387" s="48" t="str">
        <f ca="1">IFERROR(INDEX(_TECH_Initiative_Library!$AC$5:$AC$76,MATCH(1,INDEX((_TECH_Initiative_Library!$B$5:$B$76=$C387)*(_TECH_Initiative_Library!$C$5:$C$76=$D387),0),0)),"")</f>
        <v/>
      </c>
      <c r="AW387" s="48" t="str">
        <f ca="1">IFERROR(INDEX(_TECH_Initiative_Library!$AE$5:$AE$76,MATCH(1,INDEX((_TECH_Initiative_Library!$B$5:$B$76=$C387)*(_TECH_Initiative_Library!$C$5:$C$76=$D387),0),0)),"")</f>
        <v/>
      </c>
      <c r="AX387" s="48" t="str">
        <f>IF($B387="Yes",IFERROR(SUMIFS(_TECH_Industry_Templates!$E:$E,_TECH_Industry_Templates!$A:$A,'Company Profile'!$B$9,_TECH_Industry_Templates!$B:$B,$C387),1),"")</f>
        <v/>
      </c>
      <c r="AY387" s="48" t="str">
        <f t="shared" si="87"/>
        <v/>
      </c>
      <c r="AZ387" s="48" t="str">
        <f t="shared" si="88"/>
        <v/>
      </c>
      <c r="BA387" s="48" t="str">
        <f>IF($AZ387="","",RANK.EQ($AZ387,$AZ$8:$AZ$414,0)+COUNTIF($AZ$8:$AZ387,$AZ387)-1)</f>
        <v/>
      </c>
    </row>
    <row r="388" spans="1:53" ht="69.95" customHeight="1">
      <c r="A388" s="36" t="str">
        <f>IF($AZ388="","",RANK.EQ($AZ388,$AZ$8:$AZ$414,0)+COUNTIF($AZ$8:$AZ388,$AZ388)-1)</f>
        <v/>
      </c>
      <c r="B388" s="36" t="str">
        <f t="shared" si="75"/>
        <v/>
      </c>
      <c r="C388" s="36" t="s">
        <v>93</v>
      </c>
      <c r="D388" s="36" t="s">
        <v>1620</v>
      </c>
      <c r="E388" s="36" t="s">
        <v>5744</v>
      </c>
      <c r="F388" s="36" t="s">
        <v>1586</v>
      </c>
      <c r="G388" s="36" t="str">
        <f>IF($H388="","",IFERROR(INDEX('Risk Library'!$H$5:$M$411,MATCH($E388,'Risk Library'!$A$5:$A$411,0),$H388+1),""))</f>
        <v/>
      </c>
      <c r="H388" s="37" t="str">
        <f>IF(OR(COUNTA('Cyber Privacy'!$H$32)=0,'Cyber Privacy'!$H$32="N/A"),"",VALUE('Cyber Privacy'!$H$32))</f>
        <v/>
      </c>
      <c r="I388" s="36" t="str">
        <f>IF($H388="","",IFERROR(IF('Cyber Privacy'!$L$32="",IF($H388&lt;=1,"Critical",IF($H388=2,"High",IF($H388=3,"Medium",IF($H388=4,"Low","Resilient")))),'Cyber Privacy'!$L$32),IF($H388&lt;=1,"Critical",IF($H388=2,"High",IF($H388=3,"Medium",IF($H388=4,"Low","Resilient"))))))</f>
        <v/>
      </c>
      <c r="J388" s="37" t="str">
        <f t="shared" si="76"/>
        <v/>
      </c>
      <c r="K388" s="37" t="str">
        <f t="shared" si="77"/>
        <v/>
      </c>
      <c r="L388" s="37" t="str">
        <f t="shared" si="78"/>
        <v/>
      </c>
      <c r="M388" s="37" t="str">
        <f t="shared" si="79"/>
        <v/>
      </c>
      <c r="N388" s="37" t="str">
        <f>IF($H388="","",IFERROR(INDEX('Risk Library'!$T$5:$Y$411,MATCH($E388,'Risk Library'!$A$5:$A$411,0),$H388+1),""))</f>
        <v/>
      </c>
      <c r="O388" s="37" t="str">
        <f t="shared" si="80"/>
        <v/>
      </c>
      <c r="P388" s="37" t="str">
        <f t="shared" si="81"/>
        <v/>
      </c>
      <c r="Q388" s="37" t="str">
        <f t="shared" si="82"/>
        <v/>
      </c>
      <c r="R388" s="37" t="str">
        <f t="shared" si="83"/>
        <v/>
      </c>
      <c r="S388" s="38" t="str">
        <f t="shared" si="84"/>
        <v/>
      </c>
      <c r="T388" s="36" t="str">
        <f>IF($H388="","",IFERROR(INDEX('Risk Library'!$N$5:$S$411,MATCH($E388,'Risk Library'!$A$5:$A$411,0),$H388+1),""))</f>
        <v/>
      </c>
      <c r="U388" s="37">
        <f>IFERROR('Cyber Privacy'!$G$32,"")</f>
        <v>3</v>
      </c>
      <c r="V388" s="37">
        <f>IFERROR('Cyber Privacy'!$W$32,"")</f>
        <v>5</v>
      </c>
      <c r="W388" s="37">
        <f>IFERROR('Cyber Privacy'!$X$32,"")</f>
        <v>5</v>
      </c>
      <c r="X388" s="37">
        <f>IFERROR('Cyber Privacy'!$Y$32,"")</f>
        <v>5</v>
      </c>
      <c r="Y388" s="36" t="s">
        <v>5481</v>
      </c>
      <c r="Z388" s="36" t="s">
        <v>5482</v>
      </c>
      <c r="AA388" s="36" t="s">
        <v>5746</v>
      </c>
      <c r="AB388" s="36">
        <f>IFERROR('Cyber Privacy'!$U$32,"")</f>
        <v>0</v>
      </c>
      <c r="AC388" s="36"/>
      <c r="AD388" s="36"/>
      <c r="AE388" s="36"/>
      <c r="AF388" s="36" t="s">
        <v>5745</v>
      </c>
      <c r="AO388" s="48" t="str">
        <f>IF($B388="Yes",IFERROR(SUMIFS(_TECH_Crisis_Model!$D$5:$D$191,_TECH_Crisis_Model!$A$5:$A$191,'Crisis Simulator'!$B$4,_TECH_Crisis_Model!$B$5:$B$191,$C388),1),"")</f>
        <v/>
      </c>
      <c r="AP388" s="48" t="str">
        <f t="shared" si="85"/>
        <v/>
      </c>
      <c r="AQ388" s="48" t="str">
        <f t="shared" si="86"/>
        <v/>
      </c>
      <c r="AR388" s="48" t="str">
        <f>IFERROR(INDEX(_TECH_Crisis_Model!$E$5:$E$191,MATCH('Crisis Simulator'!$B$4&amp;"|"&amp;$C388,_TECH_Crisis_Model!$I$5:$I$191,0)),"")</f>
        <v>Cybersecurity and privacy controls determine resistance to digital disruption and regulatory exposure.</v>
      </c>
      <c r="AS388" s="48" t="str">
        <f>IFERROR(INDEX(_TECH_Crisis_Model!$G$5:$G$191,MATCH('Crisis Simulator'!$B$4&amp;"|"&amp;$C388,_TECH_Crisis_Model!$I$5:$I$191,0)),"")</f>
        <v>Strengthen MFA, EDR, logging, IR playbooks, restore testing, privacy controls and awareness.</v>
      </c>
      <c r="AT388" s="48" t="str">
        <f>IFERROR(INDEX(_TECH_Initiative_Library!$A$5:$A$76,MATCH(1,INDEX((_TECH_Initiative_Library!$B$5:$B$76=$C388)*(_TECH_Initiative_Library!$C$5:$C$76=$D388),0),0)),"")</f>
        <v>INI-067</v>
      </c>
      <c r="AU388" s="48" t="str">
        <f>IFERROR(INDEX(_TECH_Initiative_Library!$F$5:$F$76,MATCH(1,INDEX((_TECH_Initiative_Library!$B$5:$B$76=$C388)*(_TECH_Initiative_Library!$C$5:$C$76=$D388),0),0)),"")</f>
        <v>Strengthen application, API and OT security controls</v>
      </c>
      <c r="AV388" s="48" t="str">
        <f ca="1">IFERROR(INDEX(_TECH_Initiative_Library!$AC$5:$AC$76,MATCH(1,INDEX((_TECH_Initiative_Library!$B$5:$B$76=$C388)*(_TECH_Initiative_Library!$C$5:$C$76=$D388),0),0)),"")</f>
        <v/>
      </c>
      <c r="AW388" s="48" t="str">
        <f ca="1">IFERROR(INDEX(_TECH_Initiative_Library!$AE$5:$AE$76,MATCH(1,INDEX((_TECH_Initiative_Library!$B$5:$B$76=$C388)*(_TECH_Initiative_Library!$C$5:$C$76=$D388),0),0)),"")</f>
        <v/>
      </c>
      <c r="AX388" s="48" t="str">
        <f>IF($B388="Yes",IFERROR(SUMIFS(_TECH_Industry_Templates!$E:$E,_TECH_Industry_Templates!$A:$A,'Company Profile'!$B$9,_TECH_Industry_Templates!$B:$B,$C388),1),"")</f>
        <v/>
      </c>
      <c r="AY388" s="48" t="str">
        <f t="shared" si="87"/>
        <v/>
      </c>
      <c r="AZ388" s="48" t="str">
        <f t="shared" si="88"/>
        <v/>
      </c>
      <c r="BA388" s="48" t="str">
        <f>IF($AZ388="","",RANK.EQ($AZ388,$AZ$8:$AZ$414,0)+COUNTIF($AZ$8:$AZ388,$AZ388)-1)</f>
        <v/>
      </c>
    </row>
    <row r="389" spans="1:53" ht="69.95" customHeight="1">
      <c r="A389" s="36" t="str">
        <f>IF($AZ389="","",RANK.EQ($AZ389,$AZ$8:$AZ$414,0)+COUNTIF($AZ$8:$AZ389,$AZ389)-1)</f>
        <v/>
      </c>
      <c r="B389" s="36" t="str">
        <f t="shared" si="75"/>
        <v/>
      </c>
      <c r="C389" s="36" t="s">
        <v>93</v>
      </c>
      <c r="D389" s="36" t="s">
        <v>1620</v>
      </c>
      <c r="E389" s="36" t="s">
        <v>5754</v>
      </c>
      <c r="F389" s="36" t="s">
        <v>1586</v>
      </c>
      <c r="G389" s="36" t="str">
        <f>IF($H389="","",IFERROR(INDEX('Risk Library'!$H$5:$M$411,MATCH($E389,'Risk Library'!$A$5:$A$411,0),$H389+1),""))</f>
        <v/>
      </c>
      <c r="H389" s="37" t="str">
        <f>IF(OR(COUNTA('Cyber Privacy'!$H$33)=0,'Cyber Privacy'!$H$33="N/A"),"",VALUE('Cyber Privacy'!$H$33))</f>
        <v/>
      </c>
      <c r="I389" s="36" t="str">
        <f>IF($H389="","",IFERROR(IF('Cyber Privacy'!$L$33="",IF($H389&lt;=1,"Critical",IF($H389=2,"High",IF($H389=3,"Medium",IF($H389=4,"Low","Resilient")))),'Cyber Privacy'!$L$33),IF($H389&lt;=1,"Critical",IF($H389=2,"High",IF($H389=3,"Medium",IF($H389=4,"Low","Resilient"))))))</f>
        <v/>
      </c>
      <c r="J389" s="37" t="str">
        <f t="shared" si="76"/>
        <v/>
      </c>
      <c r="K389" s="37" t="str">
        <f t="shared" si="77"/>
        <v/>
      </c>
      <c r="L389" s="37" t="str">
        <f t="shared" si="78"/>
        <v/>
      </c>
      <c r="M389" s="37" t="str">
        <f t="shared" si="79"/>
        <v/>
      </c>
      <c r="N389" s="37" t="str">
        <f>IF($H389="","",IFERROR(INDEX('Risk Library'!$T$5:$Y$411,MATCH($E389,'Risk Library'!$A$5:$A$411,0),$H389+1),""))</f>
        <v/>
      </c>
      <c r="O389" s="37" t="str">
        <f t="shared" si="80"/>
        <v/>
      </c>
      <c r="P389" s="37" t="str">
        <f t="shared" si="81"/>
        <v/>
      </c>
      <c r="Q389" s="37" t="str">
        <f t="shared" si="82"/>
        <v/>
      </c>
      <c r="R389" s="37" t="str">
        <f t="shared" si="83"/>
        <v/>
      </c>
      <c r="S389" s="38" t="str">
        <f t="shared" si="84"/>
        <v/>
      </c>
      <c r="T389" s="36" t="str">
        <f>IF($H389="","",IFERROR(INDEX('Risk Library'!$N$5:$S$411,MATCH($E389,'Risk Library'!$A$5:$A$411,0),$H389+1),""))</f>
        <v/>
      </c>
      <c r="U389" s="37">
        <f>IFERROR('Cyber Privacy'!$G$33,"")</f>
        <v>4</v>
      </c>
      <c r="V389" s="37">
        <f>IFERROR('Cyber Privacy'!$W$33,"")</f>
        <v>5</v>
      </c>
      <c r="W389" s="37">
        <f>IFERROR('Cyber Privacy'!$X$33,"")</f>
        <v>5</v>
      </c>
      <c r="X389" s="37">
        <f>IFERROR('Cyber Privacy'!$Y$33,"")</f>
        <v>5</v>
      </c>
      <c r="Y389" s="36" t="s">
        <v>5481</v>
      </c>
      <c r="Z389" s="36" t="s">
        <v>5482</v>
      </c>
      <c r="AA389" s="36" t="s">
        <v>4230</v>
      </c>
      <c r="AB389" s="36">
        <f>IFERROR('Cyber Privacy'!$U$33,"")</f>
        <v>0</v>
      </c>
      <c r="AC389" s="36"/>
      <c r="AD389" s="36"/>
      <c r="AE389" s="36"/>
      <c r="AF389" s="36" t="s">
        <v>4229</v>
      </c>
      <c r="AO389" s="48" t="str">
        <f>IF($B389="Yes",IFERROR(SUMIFS(_TECH_Crisis_Model!$D$5:$D$191,_TECH_Crisis_Model!$A$5:$A$191,'Crisis Simulator'!$B$4,_TECH_Crisis_Model!$B$5:$B$191,$C389),1),"")</f>
        <v/>
      </c>
      <c r="AP389" s="48" t="str">
        <f t="shared" si="85"/>
        <v/>
      </c>
      <c r="AQ389" s="48" t="str">
        <f t="shared" si="86"/>
        <v/>
      </c>
      <c r="AR389" s="48" t="str">
        <f>IFERROR(INDEX(_TECH_Crisis_Model!$E$5:$E$191,MATCH('Crisis Simulator'!$B$4&amp;"|"&amp;$C389,_TECH_Crisis_Model!$I$5:$I$191,0)),"")</f>
        <v>Cybersecurity and privacy controls determine resistance to digital disruption and regulatory exposure.</v>
      </c>
      <c r="AS389" s="48" t="str">
        <f>IFERROR(INDEX(_TECH_Crisis_Model!$G$5:$G$191,MATCH('Crisis Simulator'!$B$4&amp;"|"&amp;$C389,_TECH_Crisis_Model!$I$5:$I$191,0)),"")</f>
        <v>Strengthen MFA, EDR, logging, IR playbooks, restore testing, privacy controls and awareness.</v>
      </c>
      <c r="AT389" s="48" t="str">
        <f>IFERROR(INDEX(_TECH_Initiative_Library!$A$5:$A$76,MATCH(1,INDEX((_TECH_Initiative_Library!$B$5:$B$76=$C389)*(_TECH_Initiative_Library!$C$5:$C$76=$D389),0),0)),"")</f>
        <v>INI-067</v>
      </c>
      <c r="AU389" s="48" t="str">
        <f>IFERROR(INDEX(_TECH_Initiative_Library!$F$5:$F$76,MATCH(1,INDEX((_TECH_Initiative_Library!$B$5:$B$76=$C389)*(_TECH_Initiative_Library!$C$5:$C$76=$D389),0),0)),"")</f>
        <v>Strengthen application, API and OT security controls</v>
      </c>
      <c r="AV389" s="48" t="str">
        <f ca="1">IFERROR(INDEX(_TECH_Initiative_Library!$AC$5:$AC$76,MATCH(1,INDEX((_TECH_Initiative_Library!$B$5:$B$76=$C389)*(_TECH_Initiative_Library!$C$5:$C$76=$D389),0),0)),"")</f>
        <v/>
      </c>
      <c r="AW389" s="48" t="str">
        <f ca="1">IFERROR(INDEX(_TECH_Initiative_Library!$AE$5:$AE$76,MATCH(1,INDEX((_TECH_Initiative_Library!$B$5:$B$76=$C389)*(_TECH_Initiative_Library!$C$5:$C$76=$D389),0),0)),"")</f>
        <v/>
      </c>
      <c r="AX389" s="48" t="str">
        <f>IF($B389="Yes",IFERROR(SUMIFS(_TECH_Industry_Templates!$E:$E,_TECH_Industry_Templates!$A:$A,'Company Profile'!$B$9,_TECH_Industry_Templates!$B:$B,$C389),1),"")</f>
        <v/>
      </c>
      <c r="AY389" s="48" t="str">
        <f t="shared" si="87"/>
        <v/>
      </c>
      <c r="AZ389" s="48" t="str">
        <f t="shared" si="88"/>
        <v/>
      </c>
      <c r="BA389" s="48" t="str">
        <f>IF($AZ389="","",RANK.EQ($AZ389,$AZ$8:$AZ$414,0)+COUNTIF($AZ$8:$AZ389,$AZ389)-1)</f>
        <v/>
      </c>
    </row>
    <row r="390" spans="1:53" ht="69.95" customHeight="1">
      <c r="A390" s="36" t="str">
        <f>IF($AZ390="","",RANK.EQ($AZ390,$AZ$8:$AZ$414,0)+COUNTIF($AZ$8:$AZ390,$AZ390)-1)</f>
        <v/>
      </c>
      <c r="B390" s="36" t="str">
        <f t="shared" si="75"/>
        <v/>
      </c>
      <c r="C390" s="36" t="s">
        <v>93</v>
      </c>
      <c r="D390" s="36" t="s">
        <v>1620</v>
      </c>
      <c r="E390" s="36" t="s">
        <v>5756</v>
      </c>
      <c r="F390" s="36" t="s">
        <v>1586</v>
      </c>
      <c r="G390" s="36" t="str">
        <f>IF($H390="","",IFERROR(INDEX('Risk Library'!$H$5:$M$411,MATCH($E390,'Risk Library'!$A$5:$A$411,0),$H390+1),""))</f>
        <v/>
      </c>
      <c r="H390" s="37" t="str">
        <f>IF(OR(COUNTA('Cyber Privacy'!$H$34)=0,'Cyber Privacy'!$H$34="N/A"),"",VALUE('Cyber Privacy'!$H$34))</f>
        <v/>
      </c>
      <c r="I390" s="36" t="str">
        <f>IF($H390="","",IFERROR(IF('Cyber Privacy'!$L$34="",IF($H390&lt;=1,"Critical",IF($H390=2,"High",IF($H390=3,"Medium",IF($H390=4,"Low","Resilient")))),'Cyber Privacy'!$L$34),IF($H390&lt;=1,"Critical",IF($H390=2,"High",IF($H390=3,"Medium",IF($H390=4,"Low","Resilient"))))))</f>
        <v/>
      </c>
      <c r="J390" s="37" t="str">
        <f t="shared" si="76"/>
        <v/>
      </c>
      <c r="K390" s="37" t="str">
        <f t="shared" si="77"/>
        <v/>
      </c>
      <c r="L390" s="37" t="str">
        <f t="shared" si="78"/>
        <v/>
      </c>
      <c r="M390" s="37" t="str">
        <f t="shared" si="79"/>
        <v/>
      </c>
      <c r="N390" s="37" t="str">
        <f>IF($H390="","",IFERROR(INDEX('Risk Library'!$T$5:$Y$411,MATCH($E390,'Risk Library'!$A$5:$A$411,0),$H390+1),""))</f>
        <v/>
      </c>
      <c r="O390" s="37" t="str">
        <f t="shared" si="80"/>
        <v/>
      </c>
      <c r="P390" s="37" t="str">
        <f t="shared" si="81"/>
        <v/>
      </c>
      <c r="Q390" s="37" t="str">
        <f t="shared" si="82"/>
        <v/>
      </c>
      <c r="R390" s="37" t="str">
        <f t="shared" si="83"/>
        <v/>
      </c>
      <c r="S390" s="38" t="str">
        <f t="shared" si="84"/>
        <v/>
      </c>
      <c r="T390" s="36" t="str">
        <f>IF($H390="","",IFERROR(INDEX('Risk Library'!$N$5:$S$411,MATCH($E390,'Risk Library'!$A$5:$A$411,0),$H390+1),""))</f>
        <v/>
      </c>
      <c r="U390" s="37">
        <f>IFERROR('Cyber Privacy'!$G$34,"")</f>
        <v>4</v>
      </c>
      <c r="V390" s="37">
        <f>IFERROR('Cyber Privacy'!$W$34,"")</f>
        <v>5</v>
      </c>
      <c r="W390" s="37">
        <f>IFERROR('Cyber Privacy'!$X$34,"")</f>
        <v>5</v>
      </c>
      <c r="X390" s="37">
        <f>IFERROR('Cyber Privacy'!$Y$34,"")</f>
        <v>5</v>
      </c>
      <c r="Y390" s="36" t="s">
        <v>5481</v>
      </c>
      <c r="Z390" s="36" t="s">
        <v>5482</v>
      </c>
      <c r="AA390" s="36" t="s">
        <v>5758</v>
      </c>
      <c r="AB390" s="36">
        <f>IFERROR('Cyber Privacy'!$U$34,"")</f>
        <v>0</v>
      </c>
      <c r="AC390" s="36"/>
      <c r="AD390" s="36"/>
      <c r="AE390" s="36"/>
      <c r="AF390" s="36" t="s">
        <v>5757</v>
      </c>
      <c r="AO390" s="48" t="str">
        <f>IF($B390="Yes",IFERROR(SUMIFS(_TECH_Crisis_Model!$D$5:$D$191,_TECH_Crisis_Model!$A$5:$A$191,'Crisis Simulator'!$B$4,_TECH_Crisis_Model!$B$5:$B$191,$C390),1),"")</f>
        <v/>
      </c>
      <c r="AP390" s="48" t="str">
        <f t="shared" si="85"/>
        <v/>
      </c>
      <c r="AQ390" s="48" t="str">
        <f t="shared" si="86"/>
        <v/>
      </c>
      <c r="AR390" s="48" t="str">
        <f>IFERROR(INDEX(_TECH_Crisis_Model!$E$5:$E$191,MATCH('Crisis Simulator'!$B$4&amp;"|"&amp;$C390,_TECH_Crisis_Model!$I$5:$I$191,0)),"")</f>
        <v>Cybersecurity and privacy controls determine resistance to digital disruption and regulatory exposure.</v>
      </c>
      <c r="AS390" s="48" t="str">
        <f>IFERROR(INDEX(_TECH_Crisis_Model!$G$5:$G$191,MATCH('Crisis Simulator'!$B$4&amp;"|"&amp;$C390,_TECH_Crisis_Model!$I$5:$I$191,0)),"")</f>
        <v>Strengthen MFA, EDR, logging, IR playbooks, restore testing, privacy controls and awareness.</v>
      </c>
      <c r="AT390" s="48" t="str">
        <f>IFERROR(INDEX(_TECH_Initiative_Library!$A$5:$A$76,MATCH(1,INDEX((_TECH_Initiative_Library!$B$5:$B$76=$C390)*(_TECH_Initiative_Library!$C$5:$C$76=$D390),0),0)),"")</f>
        <v>INI-067</v>
      </c>
      <c r="AU390" s="48" t="str">
        <f>IFERROR(INDEX(_TECH_Initiative_Library!$F$5:$F$76,MATCH(1,INDEX((_TECH_Initiative_Library!$B$5:$B$76=$C390)*(_TECH_Initiative_Library!$C$5:$C$76=$D390),0),0)),"")</f>
        <v>Strengthen application, API and OT security controls</v>
      </c>
      <c r="AV390" s="48" t="str">
        <f ca="1">IFERROR(INDEX(_TECH_Initiative_Library!$AC$5:$AC$76,MATCH(1,INDEX((_TECH_Initiative_Library!$B$5:$B$76=$C390)*(_TECH_Initiative_Library!$C$5:$C$76=$D390),0),0)),"")</f>
        <v/>
      </c>
      <c r="AW390" s="48" t="str">
        <f ca="1">IFERROR(INDEX(_TECH_Initiative_Library!$AE$5:$AE$76,MATCH(1,INDEX((_TECH_Initiative_Library!$B$5:$B$76=$C390)*(_TECH_Initiative_Library!$C$5:$C$76=$D390),0),0)),"")</f>
        <v/>
      </c>
      <c r="AX390" s="48" t="str">
        <f>IF($B390="Yes",IFERROR(SUMIFS(_TECH_Industry_Templates!$E:$E,_TECH_Industry_Templates!$A:$A,'Company Profile'!$B$9,_TECH_Industry_Templates!$B:$B,$C390),1),"")</f>
        <v/>
      </c>
      <c r="AY390" s="48" t="str">
        <f t="shared" si="87"/>
        <v/>
      </c>
      <c r="AZ390" s="48" t="str">
        <f t="shared" si="88"/>
        <v/>
      </c>
      <c r="BA390" s="48" t="str">
        <f>IF($AZ390="","",RANK.EQ($AZ390,$AZ$8:$AZ$414,0)+COUNTIF($AZ$8:$AZ390,$AZ390)-1)</f>
        <v/>
      </c>
    </row>
    <row r="391" spans="1:53" ht="69.95" customHeight="1">
      <c r="A391" s="36" t="str">
        <f>IF($AZ391="","",RANK.EQ($AZ391,$AZ$8:$AZ$414,0)+COUNTIF($AZ$8:$AZ391,$AZ391)-1)</f>
        <v/>
      </c>
      <c r="B391" s="36" t="str">
        <f t="shared" si="75"/>
        <v/>
      </c>
      <c r="C391" s="36" t="s">
        <v>93</v>
      </c>
      <c r="D391" s="36" t="s">
        <v>1620</v>
      </c>
      <c r="E391" s="36" t="s">
        <v>5766</v>
      </c>
      <c r="F391" s="36" t="s">
        <v>1586</v>
      </c>
      <c r="G391" s="36" t="str">
        <f>IF($H391="","",IFERROR(INDEX('Risk Library'!$H$5:$M$411,MATCH($E391,'Risk Library'!$A$5:$A$411,0),$H391+1),""))</f>
        <v/>
      </c>
      <c r="H391" s="37" t="str">
        <f>IF(OR(COUNTA('Cyber Privacy'!$H$35)=0,'Cyber Privacy'!$H$35="N/A"),"",VALUE('Cyber Privacy'!$H$35))</f>
        <v/>
      </c>
      <c r="I391" s="36" t="str">
        <f>IF($H391="","",IFERROR(IF('Cyber Privacy'!$L$35="",IF($H391&lt;=1,"Critical",IF($H391=2,"High",IF($H391=3,"Medium",IF($H391=4,"Low","Resilient")))),'Cyber Privacy'!$L$35),IF($H391&lt;=1,"Critical",IF($H391=2,"High",IF($H391=3,"Medium",IF($H391=4,"Low","Resilient"))))))</f>
        <v/>
      </c>
      <c r="J391" s="37" t="str">
        <f t="shared" si="76"/>
        <v/>
      </c>
      <c r="K391" s="37" t="str">
        <f t="shared" si="77"/>
        <v/>
      </c>
      <c r="L391" s="37" t="str">
        <f t="shared" si="78"/>
        <v/>
      </c>
      <c r="M391" s="37" t="str">
        <f t="shared" si="79"/>
        <v/>
      </c>
      <c r="N391" s="37" t="str">
        <f>IF($H391="","",IFERROR(INDEX('Risk Library'!$T$5:$Y$411,MATCH($E391,'Risk Library'!$A$5:$A$411,0),$H391+1),""))</f>
        <v/>
      </c>
      <c r="O391" s="37" t="str">
        <f t="shared" si="80"/>
        <v/>
      </c>
      <c r="P391" s="37" t="str">
        <f t="shared" si="81"/>
        <v/>
      </c>
      <c r="Q391" s="37" t="str">
        <f t="shared" si="82"/>
        <v/>
      </c>
      <c r="R391" s="37" t="str">
        <f t="shared" si="83"/>
        <v/>
      </c>
      <c r="S391" s="38" t="str">
        <f t="shared" si="84"/>
        <v/>
      </c>
      <c r="T391" s="36" t="str">
        <f>IF($H391="","",IFERROR(INDEX('Risk Library'!$N$5:$S$411,MATCH($E391,'Risk Library'!$A$5:$A$411,0),$H391+1),""))</f>
        <v/>
      </c>
      <c r="U391" s="37">
        <f>IFERROR('Cyber Privacy'!$G$35,"")</f>
        <v>5</v>
      </c>
      <c r="V391" s="37">
        <f>IFERROR('Cyber Privacy'!$W$35,"")</f>
        <v>5</v>
      </c>
      <c r="W391" s="37">
        <f>IFERROR('Cyber Privacy'!$X$35,"")</f>
        <v>5</v>
      </c>
      <c r="X391" s="37">
        <f>IFERROR('Cyber Privacy'!$Y$35,"")</f>
        <v>5</v>
      </c>
      <c r="Y391" s="36" t="s">
        <v>5481</v>
      </c>
      <c r="Z391" s="36" t="s">
        <v>5482</v>
      </c>
      <c r="AA391" s="36" t="s">
        <v>5768</v>
      </c>
      <c r="AB391" s="36">
        <f>IFERROR('Cyber Privacy'!$U$35,"")</f>
        <v>0</v>
      </c>
      <c r="AC391" s="36"/>
      <c r="AD391" s="36"/>
      <c r="AE391" s="36"/>
      <c r="AF391" s="36" t="s">
        <v>5767</v>
      </c>
      <c r="AO391" s="48" t="str">
        <f>IF($B391="Yes",IFERROR(SUMIFS(_TECH_Crisis_Model!$D$5:$D$191,_TECH_Crisis_Model!$A$5:$A$191,'Crisis Simulator'!$B$4,_TECH_Crisis_Model!$B$5:$B$191,$C391),1),"")</f>
        <v/>
      </c>
      <c r="AP391" s="48" t="str">
        <f t="shared" si="85"/>
        <v/>
      </c>
      <c r="AQ391" s="48" t="str">
        <f t="shared" si="86"/>
        <v/>
      </c>
      <c r="AR391" s="48" t="str">
        <f>IFERROR(INDEX(_TECH_Crisis_Model!$E$5:$E$191,MATCH('Crisis Simulator'!$B$4&amp;"|"&amp;$C391,_TECH_Crisis_Model!$I$5:$I$191,0)),"")</f>
        <v>Cybersecurity and privacy controls determine resistance to digital disruption and regulatory exposure.</v>
      </c>
      <c r="AS391" s="48" t="str">
        <f>IFERROR(INDEX(_TECH_Crisis_Model!$G$5:$G$191,MATCH('Crisis Simulator'!$B$4&amp;"|"&amp;$C391,_TECH_Crisis_Model!$I$5:$I$191,0)),"")</f>
        <v>Strengthen MFA, EDR, logging, IR playbooks, restore testing, privacy controls and awareness.</v>
      </c>
      <c r="AT391" s="48" t="str">
        <f>IFERROR(INDEX(_TECH_Initiative_Library!$A$5:$A$76,MATCH(1,INDEX((_TECH_Initiative_Library!$B$5:$B$76=$C391)*(_TECH_Initiative_Library!$C$5:$C$76=$D391),0),0)),"")</f>
        <v>INI-067</v>
      </c>
      <c r="AU391" s="48" t="str">
        <f>IFERROR(INDEX(_TECH_Initiative_Library!$F$5:$F$76,MATCH(1,INDEX((_TECH_Initiative_Library!$B$5:$B$76=$C391)*(_TECH_Initiative_Library!$C$5:$C$76=$D391),0),0)),"")</f>
        <v>Strengthen application, API and OT security controls</v>
      </c>
      <c r="AV391" s="48" t="str">
        <f ca="1">IFERROR(INDEX(_TECH_Initiative_Library!$AC$5:$AC$76,MATCH(1,INDEX((_TECH_Initiative_Library!$B$5:$B$76=$C391)*(_TECH_Initiative_Library!$C$5:$C$76=$D391),0),0)),"")</f>
        <v/>
      </c>
      <c r="AW391" s="48" t="str">
        <f ca="1">IFERROR(INDEX(_TECH_Initiative_Library!$AE$5:$AE$76,MATCH(1,INDEX((_TECH_Initiative_Library!$B$5:$B$76=$C391)*(_TECH_Initiative_Library!$C$5:$C$76=$D391),0),0)),"")</f>
        <v/>
      </c>
      <c r="AX391" s="48" t="str">
        <f>IF($B391="Yes",IFERROR(SUMIFS(_TECH_Industry_Templates!$E:$E,_TECH_Industry_Templates!$A:$A,'Company Profile'!$B$9,_TECH_Industry_Templates!$B:$B,$C391),1),"")</f>
        <v/>
      </c>
      <c r="AY391" s="48" t="str">
        <f t="shared" si="87"/>
        <v/>
      </c>
      <c r="AZ391" s="48" t="str">
        <f t="shared" si="88"/>
        <v/>
      </c>
      <c r="BA391" s="48" t="str">
        <f>IF($AZ391="","",RANK.EQ($AZ391,$AZ$8:$AZ$414,0)+COUNTIF($AZ$8:$AZ391,$AZ391)-1)</f>
        <v/>
      </c>
    </row>
    <row r="392" spans="1:53" ht="69.95" customHeight="1">
      <c r="A392" s="36" t="str">
        <f>IF($AZ392="","",RANK.EQ($AZ392,$AZ$8:$AZ$414,0)+COUNTIF($AZ$8:$AZ392,$AZ392)-1)</f>
        <v/>
      </c>
      <c r="B392" s="36" t="str">
        <f t="shared" ref="B392:B414" si="89">IF($H392="","",IF($H392&lt;5,"Yes","Maintain"))</f>
        <v/>
      </c>
      <c r="C392" s="36" t="s">
        <v>93</v>
      </c>
      <c r="D392" s="36" t="s">
        <v>1628</v>
      </c>
      <c r="E392" s="36" t="s">
        <v>5776</v>
      </c>
      <c r="F392" s="36" t="s">
        <v>1586</v>
      </c>
      <c r="G392" s="36" t="str">
        <f>IF($H392="","",IFERROR(INDEX('Risk Library'!$H$5:$M$411,MATCH($E392,'Risk Library'!$A$5:$A$411,0),$H392+1),""))</f>
        <v/>
      </c>
      <c r="H392" s="37" t="str">
        <f>IF(OR(COUNTA('Cyber Privacy'!$H$36)=0,'Cyber Privacy'!$H$36="N/A"),"",VALUE('Cyber Privacy'!$H$36))</f>
        <v/>
      </c>
      <c r="I392" s="36" t="str">
        <f>IF($H392="","",IFERROR(IF('Cyber Privacy'!$L$36="",IF($H392&lt;=1,"Critical",IF($H392=2,"High",IF($H392=3,"Medium",IF($H392=4,"Low","Resilient")))),'Cyber Privacy'!$L$36),IF($H392&lt;=1,"Critical",IF($H392=2,"High",IF($H392=3,"Medium",IF($H392=4,"Low","Resilient"))))))</f>
        <v/>
      </c>
      <c r="J392" s="37" t="str">
        <f t="shared" ref="J392:J414" si="90">IF($H392="","",MAX(1,6-$H392))</f>
        <v/>
      </c>
      <c r="K392" s="37" t="str">
        <f t="shared" ref="K392:K414" si="91">IF($H392="","",MAX(1,MIN(5,ROUNDUP(($U392*0.45)+($W392*0.35)+($X392*0.2),0))))</f>
        <v/>
      </c>
      <c r="L392" s="37" t="str">
        <f t="shared" ref="L392:L414" si="92">IF($H392="","",$J392*$K392)</f>
        <v/>
      </c>
      <c r="M392" s="37" t="str">
        <f t="shared" ref="M392:M414" si="93">IF($H392="","",MAX(1,MIN(5,ROUNDUP($L392/5,0))))</f>
        <v/>
      </c>
      <c r="N392" s="37" t="str">
        <f>IF($H392="","",IFERROR(INDEX('Risk Library'!$T$5:$Y$411,MATCH($E392,'Risk Library'!$A$5:$A$411,0),$H392+1),""))</f>
        <v/>
      </c>
      <c r="O392" s="37" t="str">
        <f t="shared" ref="O392:O414" si="94">IF($H392="","",MAX(1,MIN(5,ROUND(($U392+$V392+$X392)/3,0))))</f>
        <v/>
      </c>
      <c r="P392" s="37" t="str">
        <f t="shared" ref="P392:P414" si="95">IF($H392="","",IF($I392="Critical",5,IF($I392="High",4,IF($I392="Medium",3,IF($I392="Low",2,1)))))</f>
        <v/>
      </c>
      <c r="Q392" s="37" t="str">
        <f t="shared" ref="Q392:Q414" si="96">IF($H392="","",MAX(1,MIN(5,ROUNDUP(((5-$H392)*0.65)+($W392*0.35),0))))</f>
        <v/>
      </c>
      <c r="R392" s="37" t="str">
        <f t="shared" ref="R392:R414" si="97">IF($H392="","",MAX(1,MIN(5,ROUND(($V392+$X392)/2,0))))</f>
        <v/>
      </c>
      <c r="S392" s="38" t="str">
        <f t="shared" ref="S392:S414" si="98">IF($H392="","",ROUND(($O392+$P392+$Q392+$R392)/$N392,2))</f>
        <v/>
      </c>
      <c r="T392" s="36" t="str">
        <f>IF($H392="","",IFERROR(INDEX('Risk Library'!$N$5:$S$411,MATCH($E392,'Risk Library'!$A$5:$A$411,0),$H392+1),""))</f>
        <v/>
      </c>
      <c r="U392" s="37">
        <f>IFERROR('Cyber Privacy'!$G$36,"")</f>
        <v>4</v>
      </c>
      <c r="V392" s="37">
        <f>IFERROR('Cyber Privacy'!$W$36,"")</f>
        <v>5</v>
      </c>
      <c r="W392" s="37">
        <f>IFERROR('Cyber Privacy'!$X$36,"")</f>
        <v>5</v>
      </c>
      <c r="X392" s="37">
        <f>IFERROR('Cyber Privacy'!$Y$36,"")</f>
        <v>5</v>
      </c>
      <c r="Y392" s="36" t="s">
        <v>5481</v>
      </c>
      <c r="Z392" s="36" t="s">
        <v>5482</v>
      </c>
      <c r="AA392" s="36" t="s">
        <v>5778</v>
      </c>
      <c r="AB392" s="36">
        <f>IFERROR('Cyber Privacy'!$U$36,"")</f>
        <v>0</v>
      </c>
      <c r="AC392" s="36"/>
      <c r="AD392" s="36"/>
      <c r="AE392" s="36"/>
      <c r="AF392" s="36" t="s">
        <v>5777</v>
      </c>
      <c r="AO392" s="48" t="str">
        <f>IF($B392="Yes",IFERROR(SUMIFS(_TECH_Crisis_Model!$D$5:$D$191,_TECH_Crisis_Model!$A$5:$A$191,'Crisis Simulator'!$B$4,_TECH_Crisis_Model!$B$5:$B$191,$C392),1),"")</f>
        <v/>
      </c>
      <c r="AP392" s="48" t="str">
        <f t="shared" ref="AP392:AP455" si="99">IF(AO392="","",ROUND($L392*AO392,1))</f>
        <v/>
      </c>
      <c r="AQ392" s="48" t="str">
        <f t="shared" ref="AQ392:AQ414" si="100">IF(AO392="","",ROUND($S392*(0.7+0.3*AO392),2))</f>
        <v/>
      </c>
      <c r="AR392" s="48" t="str">
        <f>IFERROR(INDEX(_TECH_Crisis_Model!$E$5:$E$191,MATCH('Crisis Simulator'!$B$4&amp;"|"&amp;$C392,_TECH_Crisis_Model!$I$5:$I$191,0)),"")</f>
        <v>Cybersecurity and privacy controls determine resistance to digital disruption and regulatory exposure.</v>
      </c>
      <c r="AS392" s="48" t="str">
        <f>IFERROR(INDEX(_TECH_Crisis_Model!$G$5:$G$191,MATCH('Crisis Simulator'!$B$4&amp;"|"&amp;$C392,_TECH_Crisis_Model!$I$5:$I$191,0)),"")</f>
        <v>Strengthen MFA, EDR, logging, IR playbooks, restore testing, privacy controls and awareness.</v>
      </c>
      <c r="AT392" s="48" t="str">
        <f>IFERROR(INDEX(_TECH_Initiative_Library!$A$5:$A$76,MATCH(1,INDEX((_TECH_Initiative_Library!$B$5:$B$76=$C392)*(_TECH_Initiative_Library!$C$5:$C$76=$D392),0),0)),"")</f>
        <v>INI-068</v>
      </c>
      <c r="AU392" s="48" t="str">
        <f>IFERROR(INDEX(_TECH_Initiative_Library!$F$5:$F$76,MATCH(1,INDEX((_TECH_Initiative_Library!$B$5:$B$76=$C392)*(_TECH_Initiative_Library!$C$5:$C$76=$D392),0),0)),"")</f>
        <v>Implement privacy governance, DPIA and personal-data controls</v>
      </c>
      <c r="AV392" s="48" t="str">
        <f ca="1">IFERROR(INDEX(_TECH_Initiative_Library!$AC$5:$AC$76,MATCH(1,INDEX((_TECH_Initiative_Library!$B$5:$B$76=$C392)*(_TECH_Initiative_Library!$C$5:$C$76=$D392),0),0)),"")</f>
        <v/>
      </c>
      <c r="AW392" s="48" t="str">
        <f ca="1">IFERROR(INDEX(_TECH_Initiative_Library!$AE$5:$AE$76,MATCH(1,INDEX((_TECH_Initiative_Library!$B$5:$B$76=$C392)*(_TECH_Initiative_Library!$C$5:$C$76=$D392),0),0)),"")</f>
        <v/>
      </c>
      <c r="AX392" s="48" t="str">
        <f>IF($B392="Yes",IFERROR(SUMIFS(_TECH_Industry_Templates!$E:$E,_TECH_Industry_Templates!$A:$A,'Company Profile'!$B$9,_TECH_Industry_Templates!$B:$B,$C392),1),"")</f>
        <v/>
      </c>
      <c r="AY392" s="48" t="str">
        <f t="shared" ref="AY392:AY414" si="101">IF($L392="","",ROUND(IF($AP392="",$L392,$AP392)*$AX392,2))</f>
        <v/>
      </c>
      <c r="AZ392" s="48" t="str">
        <f t="shared" ref="AZ392:AZ414" si="102">IF($S392="","",ROUND(IF($AQ392="",$S392,$AQ392)*$AX392,2))</f>
        <v/>
      </c>
      <c r="BA392" s="48" t="str">
        <f>IF($AZ392="","",RANK.EQ($AZ392,$AZ$8:$AZ$414,0)+COUNTIF($AZ$8:$AZ392,$AZ392)-1)</f>
        <v/>
      </c>
    </row>
    <row r="393" spans="1:53" ht="69.95" customHeight="1">
      <c r="A393" s="36" t="str">
        <f>IF($AZ393="","",RANK.EQ($AZ393,$AZ$8:$AZ$414,0)+COUNTIF($AZ$8:$AZ393,$AZ393)-1)</f>
        <v/>
      </c>
      <c r="B393" s="36" t="str">
        <f t="shared" si="89"/>
        <v/>
      </c>
      <c r="C393" s="36" t="s">
        <v>93</v>
      </c>
      <c r="D393" s="36" t="s">
        <v>1628</v>
      </c>
      <c r="E393" s="36" t="s">
        <v>5786</v>
      </c>
      <c r="F393" s="36" t="s">
        <v>1586</v>
      </c>
      <c r="G393" s="36" t="str">
        <f>IF($H393="","",IFERROR(INDEX('Risk Library'!$H$5:$M$411,MATCH($E393,'Risk Library'!$A$5:$A$411,0),$H393+1),""))</f>
        <v/>
      </c>
      <c r="H393" s="37" t="str">
        <f>IF(OR(COUNTA('Cyber Privacy'!$H$37)=0,'Cyber Privacy'!$H$37="N/A"),"",VALUE('Cyber Privacy'!$H$37))</f>
        <v/>
      </c>
      <c r="I393" s="36" t="str">
        <f>IF($H393="","",IFERROR(IF('Cyber Privacy'!$L$37="",IF($H393&lt;=1,"Critical",IF($H393=2,"High",IF($H393=3,"Medium",IF($H393=4,"Low","Resilient")))),'Cyber Privacy'!$L$37),IF($H393&lt;=1,"Critical",IF($H393=2,"High",IF($H393=3,"Medium",IF($H393=4,"Low","Resilient"))))))</f>
        <v/>
      </c>
      <c r="J393" s="37" t="str">
        <f t="shared" si="90"/>
        <v/>
      </c>
      <c r="K393" s="37" t="str">
        <f t="shared" si="91"/>
        <v/>
      </c>
      <c r="L393" s="37" t="str">
        <f t="shared" si="92"/>
        <v/>
      </c>
      <c r="M393" s="37" t="str">
        <f t="shared" si="93"/>
        <v/>
      </c>
      <c r="N393" s="37" t="str">
        <f>IF($H393="","",IFERROR(INDEX('Risk Library'!$T$5:$Y$411,MATCH($E393,'Risk Library'!$A$5:$A$411,0),$H393+1),""))</f>
        <v/>
      </c>
      <c r="O393" s="37" t="str">
        <f t="shared" si="94"/>
        <v/>
      </c>
      <c r="P393" s="37" t="str">
        <f t="shared" si="95"/>
        <v/>
      </c>
      <c r="Q393" s="37" t="str">
        <f t="shared" si="96"/>
        <v/>
      </c>
      <c r="R393" s="37" t="str">
        <f t="shared" si="97"/>
        <v/>
      </c>
      <c r="S393" s="38" t="str">
        <f t="shared" si="98"/>
        <v/>
      </c>
      <c r="T393" s="36" t="str">
        <f>IF($H393="","",IFERROR(INDEX('Risk Library'!$N$5:$S$411,MATCH($E393,'Risk Library'!$A$5:$A$411,0),$H393+1),""))</f>
        <v/>
      </c>
      <c r="U393" s="37">
        <f>IFERROR('Cyber Privacy'!$G$37,"")</f>
        <v>4</v>
      </c>
      <c r="V393" s="37">
        <f>IFERROR('Cyber Privacy'!$W$37,"")</f>
        <v>5</v>
      </c>
      <c r="W393" s="37">
        <f>IFERROR('Cyber Privacy'!$X$37,"")</f>
        <v>5</v>
      </c>
      <c r="X393" s="37">
        <f>IFERROR('Cyber Privacy'!$Y$37,"")</f>
        <v>5</v>
      </c>
      <c r="Y393" s="36" t="s">
        <v>5481</v>
      </c>
      <c r="Z393" s="36" t="s">
        <v>5482</v>
      </c>
      <c r="AA393" s="36" t="s">
        <v>5788</v>
      </c>
      <c r="AB393" s="36">
        <f>IFERROR('Cyber Privacy'!$U$37,"")</f>
        <v>0</v>
      </c>
      <c r="AC393" s="36"/>
      <c r="AD393" s="36"/>
      <c r="AE393" s="36"/>
      <c r="AF393" s="36" t="s">
        <v>5787</v>
      </c>
      <c r="AO393" s="48" t="str">
        <f>IF($B393="Yes",IFERROR(SUMIFS(_TECH_Crisis_Model!$D$5:$D$191,_TECH_Crisis_Model!$A$5:$A$191,'Crisis Simulator'!$B$4,_TECH_Crisis_Model!$B$5:$B$191,$C393),1),"")</f>
        <v/>
      </c>
      <c r="AP393" s="48" t="str">
        <f t="shared" si="99"/>
        <v/>
      </c>
      <c r="AQ393" s="48" t="str">
        <f t="shared" si="100"/>
        <v/>
      </c>
      <c r="AR393" s="48" t="str">
        <f>IFERROR(INDEX(_TECH_Crisis_Model!$E$5:$E$191,MATCH('Crisis Simulator'!$B$4&amp;"|"&amp;$C393,_TECH_Crisis_Model!$I$5:$I$191,0)),"")</f>
        <v>Cybersecurity and privacy controls determine resistance to digital disruption and regulatory exposure.</v>
      </c>
      <c r="AS393" s="48" t="str">
        <f>IFERROR(INDEX(_TECH_Crisis_Model!$G$5:$G$191,MATCH('Crisis Simulator'!$B$4&amp;"|"&amp;$C393,_TECH_Crisis_Model!$I$5:$I$191,0)),"")</f>
        <v>Strengthen MFA, EDR, logging, IR playbooks, restore testing, privacy controls and awareness.</v>
      </c>
      <c r="AT393" s="48" t="str">
        <f>IFERROR(INDEX(_TECH_Initiative_Library!$A$5:$A$76,MATCH(1,INDEX((_TECH_Initiative_Library!$B$5:$B$76=$C393)*(_TECH_Initiative_Library!$C$5:$C$76=$D393),0),0)),"")</f>
        <v>INI-068</v>
      </c>
      <c r="AU393" s="48" t="str">
        <f>IFERROR(INDEX(_TECH_Initiative_Library!$F$5:$F$76,MATCH(1,INDEX((_TECH_Initiative_Library!$B$5:$B$76=$C393)*(_TECH_Initiative_Library!$C$5:$C$76=$D393),0),0)),"")</f>
        <v>Implement privacy governance, DPIA and personal-data controls</v>
      </c>
      <c r="AV393" s="48" t="str">
        <f ca="1">IFERROR(INDEX(_TECH_Initiative_Library!$AC$5:$AC$76,MATCH(1,INDEX((_TECH_Initiative_Library!$B$5:$B$76=$C393)*(_TECH_Initiative_Library!$C$5:$C$76=$D393),0),0)),"")</f>
        <v/>
      </c>
      <c r="AW393" s="48" t="str">
        <f ca="1">IFERROR(INDEX(_TECH_Initiative_Library!$AE$5:$AE$76,MATCH(1,INDEX((_TECH_Initiative_Library!$B$5:$B$76=$C393)*(_TECH_Initiative_Library!$C$5:$C$76=$D393),0),0)),"")</f>
        <v/>
      </c>
      <c r="AX393" s="48" t="str">
        <f>IF($B393="Yes",IFERROR(SUMIFS(_TECH_Industry_Templates!$E:$E,_TECH_Industry_Templates!$A:$A,'Company Profile'!$B$9,_TECH_Industry_Templates!$B:$B,$C393),1),"")</f>
        <v/>
      </c>
      <c r="AY393" s="48" t="str">
        <f t="shared" si="101"/>
        <v/>
      </c>
      <c r="AZ393" s="48" t="str">
        <f t="shared" si="102"/>
        <v/>
      </c>
      <c r="BA393" s="48" t="str">
        <f>IF($AZ393="","",RANK.EQ($AZ393,$AZ$8:$AZ$414,0)+COUNTIF($AZ$8:$AZ393,$AZ393)-1)</f>
        <v/>
      </c>
    </row>
    <row r="394" spans="1:53" ht="69.95" customHeight="1">
      <c r="A394" s="36" t="str">
        <f>IF($AZ394="","",RANK.EQ($AZ394,$AZ$8:$AZ$414,0)+COUNTIF($AZ$8:$AZ394,$AZ394)-1)</f>
        <v/>
      </c>
      <c r="B394" s="36" t="str">
        <f t="shared" si="89"/>
        <v/>
      </c>
      <c r="C394" s="36" t="s">
        <v>93</v>
      </c>
      <c r="D394" s="36" t="s">
        <v>1628</v>
      </c>
      <c r="E394" s="36" t="s">
        <v>5796</v>
      </c>
      <c r="F394" s="36" t="s">
        <v>1586</v>
      </c>
      <c r="G394" s="36" t="str">
        <f>IF($H394="","",IFERROR(INDEX('Risk Library'!$H$5:$M$411,MATCH($E394,'Risk Library'!$A$5:$A$411,0),$H394+1),""))</f>
        <v/>
      </c>
      <c r="H394" s="37" t="str">
        <f>IF(OR(COUNTA('Cyber Privacy'!$H$38)=0,'Cyber Privacy'!$H$38="N/A"),"",VALUE('Cyber Privacy'!$H$38))</f>
        <v/>
      </c>
      <c r="I394" s="36" t="str">
        <f>IF($H394="","",IFERROR(IF('Cyber Privacy'!$L$38="",IF($H394&lt;=1,"Critical",IF($H394=2,"High",IF($H394=3,"Medium",IF($H394=4,"Low","Resilient")))),'Cyber Privacy'!$L$38),IF($H394&lt;=1,"Critical",IF($H394=2,"High",IF($H394=3,"Medium",IF($H394=4,"Low","Resilient"))))))</f>
        <v/>
      </c>
      <c r="J394" s="37" t="str">
        <f t="shared" si="90"/>
        <v/>
      </c>
      <c r="K394" s="37" t="str">
        <f t="shared" si="91"/>
        <v/>
      </c>
      <c r="L394" s="37" t="str">
        <f t="shared" si="92"/>
        <v/>
      </c>
      <c r="M394" s="37" t="str">
        <f t="shared" si="93"/>
        <v/>
      </c>
      <c r="N394" s="37" t="str">
        <f>IF($H394="","",IFERROR(INDEX('Risk Library'!$T$5:$Y$411,MATCH($E394,'Risk Library'!$A$5:$A$411,0),$H394+1),""))</f>
        <v/>
      </c>
      <c r="O394" s="37" t="str">
        <f t="shared" si="94"/>
        <v/>
      </c>
      <c r="P394" s="37" t="str">
        <f t="shared" si="95"/>
        <v/>
      </c>
      <c r="Q394" s="37" t="str">
        <f t="shared" si="96"/>
        <v/>
      </c>
      <c r="R394" s="37" t="str">
        <f t="shared" si="97"/>
        <v/>
      </c>
      <c r="S394" s="38" t="str">
        <f t="shared" si="98"/>
        <v/>
      </c>
      <c r="T394" s="36" t="str">
        <f>IF($H394="","",IFERROR(INDEX('Risk Library'!$N$5:$S$411,MATCH($E394,'Risk Library'!$A$5:$A$411,0),$H394+1),""))</f>
        <v/>
      </c>
      <c r="U394" s="37">
        <f>IFERROR('Cyber Privacy'!$G$38,"")</f>
        <v>5</v>
      </c>
      <c r="V394" s="37">
        <f>IFERROR('Cyber Privacy'!$W$38,"")</f>
        <v>5</v>
      </c>
      <c r="W394" s="37">
        <f>IFERROR('Cyber Privacy'!$X$38,"")</f>
        <v>5</v>
      </c>
      <c r="X394" s="37">
        <f>IFERROR('Cyber Privacy'!$Y$38,"")</f>
        <v>5</v>
      </c>
      <c r="Y394" s="36" t="s">
        <v>5481</v>
      </c>
      <c r="Z394" s="36" t="s">
        <v>5482</v>
      </c>
      <c r="AA394" s="36" t="s">
        <v>5798</v>
      </c>
      <c r="AB394" s="36">
        <f>IFERROR('Cyber Privacy'!$U$38,"")</f>
        <v>0</v>
      </c>
      <c r="AC394" s="36"/>
      <c r="AD394" s="36"/>
      <c r="AE394" s="36"/>
      <c r="AF394" s="36" t="s">
        <v>5797</v>
      </c>
      <c r="AO394" s="48" t="str">
        <f>IF($B394="Yes",IFERROR(SUMIFS(_TECH_Crisis_Model!$D$5:$D$191,_TECH_Crisis_Model!$A$5:$A$191,'Crisis Simulator'!$B$4,_TECH_Crisis_Model!$B$5:$B$191,$C394),1),"")</f>
        <v/>
      </c>
      <c r="AP394" s="48" t="str">
        <f t="shared" si="99"/>
        <v/>
      </c>
      <c r="AQ394" s="48" t="str">
        <f t="shared" si="100"/>
        <v/>
      </c>
      <c r="AR394" s="48" t="str">
        <f>IFERROR(INDEX(_TECH_Crisis_Model!$E$5:$E$191,MATCH('Crisis Simulator'!$B$4&amp;"|"&amp;$C394,_TECH_Crisis_Model!$I$5:$I$191,0)),"")</f>
        <v>Cybersecurity and privacy controls determine resistance to digital disruption and regulatory exposure.</v>
      </c>
      <c r="AS394" s="48" t="str">
        <f>IFERROR(INDEX(_TECH_Crisis_Model!$G$5:$G$191,MATCH('Crisis Simulator'!$B$4&amp;"|"&amp;$C394,_TECH_Crisis_Model!$I$5:$I$191,0)),"")</f>
        <v>Strengthen MFA, EDR, logging, IR playbooks, restore testing, privacy controls and awareness.</v>
      </c>
      <c r="AT394" s="48" t="str">
        <f>IFERROR(INDEX(_TECH_Initiative_Library!$A$5:$A$76,MATCH(1,INDEX((_TECH_Initiative_Library!$B$5:$B$76=$C394)*(_TECH_Initiative_Library!$C$5:$C$76=$D394),0),0)),"")</f>
        <v>INI-068</v>
      </c>
      <c r="AU394" s="48" t="str">
        <f>IFERROR(INDEX(_TECH_Initiative_Library!$F$5:$F$76,MATCH(1,INDEX((_TECH_Initiative_Library!$B$5:$B$76=$C394)*(_TECH_Initiative_Library!$C$5:$C$76=$D394),0),0)),"")</f>
        <v>Implement privacy governance, DPIA and personal-data controls</v>
      </c>
      <c r="AV394" s="48" t="str">
        <f ca="1">IFERROR(INDEX(_TECH_Initiative_Library!$AC$5:$AC$76,MATCH(1,INDEX((_TECH_Initiative_Library!$B$5:$B$76=$C394)*(_TECH_Initiative_Library!$C$5:$C$76=$D394),0),0)),"")</f>
        <v/>
      </c>
      <c r="AW394" s="48" t="str">
        <f ca="1">IFERROR(INDEX(_TECH_Initiative_Library!$AE$5:$AE$76,MATCH(1,INDEX((_TECH_Initiative_Library!$B$5:$B$76=$C394)*(_TECH_Initiative_Library!$C$5:$C$76=$D394),0),0)),"")</f>
        <v/>
      </c>
      <c r="AX394" s="48" t="str">
        <f>IF($B394="Yes",IFERROR(SUMIFS(_TECH_Industry_Templates!$E:$E,_TECH_Industry_Templates!$A:$A,'Company Profile'!$B$9,_TECH_Industry_Templates!$B:$B,$C394),1),"")</f>
        <v/>
      </c>
      <c r="AY394" s="48" t="str">
        <f t="shared" si="101"/>
        <v/>
      </c>
      <c r="AZ394" s="48" t="str">
        <f t="shared" si="102"/>
        <v/>
      </c>
      <c r="BA394" s="48" t="str">
        <f>IF($AZ394="","",RANK.EQ($AZ394,$AZ$8:$AZ$414,0)+COUNTIF($AZ$8:$AZ394,$AZ394)-1)</f>
        <v/>
      </c>
    </row>
    <row r="395" spans="1:53" ht="69.95" customHeight="1">
      <c r="A395" s="36" t="str">
        <f>IF($AZ395="","",RANK.EQ($AZ395,$AZ$8:$AZ$414,0)+COUNTIF($AZ$8:$AZ395,$AZ395)-1)</f>
        <v/>
      </c>
      <c r="B395" s="36" t="str">
        <f t="shared" si="89"/>
        <v/>
      </c>
      <c r="C395" s="36" t="s">
        <v>94</v>
      </c>
      <c r="D395" s="36" t="s">
        <v>1636</v>
      </c>
      <c r="E395" s="36" t="s">
        <v>5808</v>
      </c>
      <c r="F395" s="36" t="s">
        <v>1639</v>
      </c>
      <c r="G395" s="36" t="str">
        <f>IF($H395="","",IFERROR(INDEX('Risk Library'!$H$5:$M$411,MATCH($E395,'Risk Library'!$A$5:$A$411,0),$H395+1),""))</f>
        <v/>
      </c>
      <c r="H395" s="37" t="str">
        <f>IF(OR(COUNTA('Quality Portfolio'!$H$5)=0,'Quality Portfolio'!$H$5="N/A"),"",VALUE('Quality Portfolio'!$H$5))</f>
        <v/>
      </c>
      <c r="I395" s="36" t="str">
        <f>IF($H395="","",IFERROR(IF('Quality Portfolio'!$L$5="",IF($H395&lt;=1,"Critical",IF($H395=2,"High",IF($H395=3,"Medium",IF($H395=4,"Low","Resilient")))),'Quality Portfolio'!$L$5),IF($H395&lt;=1,"Critical",IF($H395=2,"High",IF($H395=3,"Medium",IF($H395=4,"Low","Resilient"))))))</f>
        <v/>
      </c>
      <c r="J395" s="37" t="str">
        <f t="shared" si="90"/>
        <v/>
      </c>
      <c r="K395" s="37" t="str">
        <f t="shared" si="91"/>
        <v/>
      </c>
      <c r="L395" s="37" t="str">
        <f t="shared" si="92"/>
        <v/>
      </c>
      <c r="M395" s="37" t="str">
        <f t="shared" si="93"/>
        <v/>
      </c>
      <c r="N395" s="37" t="str">
        <f>IF($H395="","",IFERROR(INDEX('Risk Library'!$T$5:$Y$411,MATCH($E395,'Risk Library'!$A$5:$A$411,0),$H395+1),""))</f>
        <v/>
      </c>
      <c r="O395" s="37" t="str">
        <f t="shared" si="94"/>
        <v/>
      </c>
      <c r="P395" s="37" t="str">
        <f t="shared" si="95"/>
        <v/>
      </c>
      <c r="Q395" s="37" t="str">
        <f t="shared" si="96"/>
        <v/>
      </c>
      <c r="R395" s="37" t="str">
        <f t="shared" si="97"/>
        <v/>
      </c>
      <c r="S395" s="38" t="str">
        <f t="shared" si="98"/>
        <v/>
      </c>
      <c r="T395" s="36" t="str">
        <f>IF($H395="","",IFERROR(INDEX('Risk Library'!$N$5:$S$411,MATCH($E395,'Risk Library'!$A$5:$A$411,0),$H395+1),""))</f>
        <v/>
      </c>
      <c r="U395" s="37">
        <f>IFERROR('Quality Portfolio'!$G$5,"")</f>
        <v>3</v>
      </c>
      <c r="V395" s="37">
        <f>IFERROR('Quality Portfolio'!$W$5,"")</f>
        <v>4</v>
      </c>
      <c r="W395" s="37">
        <f>IFERROR('Quality Portfolio'!$X$5,"")</f>
        <v>5</v>
      </c>
      <c r="X395" s="37">
        <f>IFERROR('Quality Portfolio'!$Y$5,"")</f>
        <v>5</v>
      </c>
      <c r="Y395" s="36" t="s">
        <v>5819</v>
      </c>
      <c r="Z395" s="36" t="s">
        <v>5820</v>
      </c>
      <c r="AA395" s="36" t="s">
        <v>5812</v>
      </c>
      <c r="AB395" s="36">
        <f>IFERROR('Quality Portfolio'!$U$5,"")</f>
        <v>0</v>
      </c>
      <c r="AC395" s="36"/>
      <c r="AD395" s="36"/>
      <c r="AE395" s="36"/>
      <c r="AF395" s="36" t="s">
        <v>5809</v>
      </c>
      <c r="AO395" s="48" t="str">
        <f>IF($B395="Yes",IFERROR(SUMIFS(_TECH_Crisis_Model!$D$5:$D$191,_TECH_Crisis_Model!$A$5:$A$191,'Crisis Simulator'!$B$4,_TECH_Crisis_Model!$B$5:$B$191,$C395),1),"")</f>
        <v/>
      </c>
      <c r="AP395" s="48" t="str">
        <f t="shared" si="99"/>
        <v/>
      </c>
      <c r="AQ395" s="48" t="str">
        <f t="shared" si="100"/>
        <v/>
      </c>
      <c r="AR395" s="48" t="str">
        <f>IFERROR(INDEX(_TECH_Crisis_Model!$E$5:$E$191,MATCH('Crisis Simulator'!$B$4&amp;"|"&amp;$C395,_TECH_Crisis_Model!$I$5:$I$191,0)),"")</f>
        <v>Portfolio discipline and benefits realization determine whether scarce resources are focused on the right actions.</v>
      </c>
      <c r="AS395" s="48" t="str">
        <f>IFERROR(INDEX(_TECH_Crisis_Model!$G$5:$G$191,MATCH('Crisis Simulator'!$B$4&amp;"|"&amp;$C395,_TECH_Crisis_Model!$I$5:$I$191,0)),"")</f>
        <v>Prioritize crisis initiatives by value, risk reduction, dependencies and implementation waves.</v>
      </c>
      <c r="AT395" s="48" t="str">
        <f>IFERROR(INDEX(_TECH_Initiative_Library!$A$5:$A$76,MATCH(1,INDEX((_TECH_Initiative_Library!$B$5:$B$76=$C395)*(_TECH_Initiative_Library!$C$5:$C$76=$D395),0),0)),"")</f>
        <v>INI-069</v>
      </c>
      <c r="AU395" s="48" t="str">
        <f>IFERROR(INDEX(_TECH_Initiative_Library!$F$5:$F$76,MATCH(1,INDEX((_TECH_Initiative_Library!$B$5:$B$76=$C395)*(_TECH_Initiative_Library!$C$5:$C$76=$D395),0),0)),"")</f>
        <v>Build process ownership, SOP and continuous-improvement model</v>
      </c>
      <c r="AV395" s="48" t="str">
        <f ca="1">IFERROR(INDEX(_TECH_Initiative_Library!$AC$5:$AC$76,MATCH(1,INDEX((_TECH_Initiative_Library!$B$5:$B$76=$C395)*(_TECH_Initiative_Library!$C$5:$C$76=$D395),0),0)),"")</f>
        <v/>
      </c>
      <c r="AW395" s="48" t="str">
        <f ca="1">IFERROR(INDEX(_TECH_Initiative_Library!$AE$5:$AE$76,MATCH(1,INDEX((_TECH_Initiative_Library!$B$5:$B$76=$C395)*(_TECH_Initiative_Library!$C$5:$C$76=$D395),0),0)),"")</f>
        <v/>
      </c>
      <c r="AX395" s="48" t="str">
        <f>IF($B395="Yes",IFERROR(SUMIFS(_TECH_Industry_Templates!$E:$E,_TECH_Industry_Templates!$A:$A,'Company Profile'!$B$9,_TECH_Industry_Templates!$B:$B,$C395),1),"")</f>
        <v/>
      </c>
      <c r="AY395" s="48" t="str">
        <f t="shared" si="101"/>
        <v/>
      </c>
      <c r="AZ395" s="48" t="str">
        <f t="shared" si="102"/>
        <v/>
      </c>
      <c r="BA395" s="48" t="str">
        <f>IF($AZ395="","",RANK.EQ($AZ395,$AZ$8:$AZ$414,0)+COUNTIF($AZ$8:$AZ395,$AZ395)-1)</f>
        <v/>
      </c>
    </row>
    <row r="396" spans="1:53" ht="69.95" customHeight="1">
      <c r="A396" s="36" t="str">
        <f>IF($AZ396="","",RANK.EQ($AZ396,$AZ$8:$AZ$414,0)+COUNTIF($AZ$8:$AZ396,$AZ396)-1)</f>
        <v/>
      </c>
      <c r="B396" s="36" t="str">
        <f t="shared" si="89"/>
        <v/>
      </c>
      <c r="C396" s="36" t="s">
        <v>94</v>
      </c>
      <c r="D396" s="36" t="s">
        <v>1636</v>
      </c>
      <c r="E396" s="36" t="s">
        <v>5822</v>
      </c>
      <c r="F396" s="36" t="s">
        <v>1639</v>
      </c>
      <c r="G396" s="36" t="str">
        <f>IF($H396="","",IFERROR(INDEX('Risk Library'!$H$5:$M$411,MATCH($E396,'Risk Library'!$A$5:$A$411,0),$H396+1),""))</f>
        <v/>
      </c>
      <c r="H396" s="37" t="str">
        <f>IF(OR(COUNTA('Quality Portfolio'!$H$6)=0,'Quality Portfolio'!$H$6="N/A"),"",VALUE('Quality Portfolio'!$H$6))</f>
        <v/>
      </c>
      <c r="I396" s="36" t="str">
        <f>IF($H396="","",IFERROR(IF('Quality Portfolio'!$L$6="",IF($H396&lt;=1,"Critical",IF($H396=2,"High",IF($H396=3,"Medium",IF($H396=4,"Low","Resilient")))),'Quality Portfolio'!$L$6),IF($H396&lt;=1,"Critical",IF($H396=2,"High",IF($H396=3,"Medium",IF($H396=4,"Low","Resilient"))))))</f>
        <v/>
      </c>
      <c r="J396" s="37" t="str">
        <f t="shared" si="90"/>
        <v/>
      </c>
      <c r="K396" s="37" t="str">
        <f t="shared" si="91"/>
        <v/>
      </c>
      <c r="L396" s="37" t="str">
        <f t="shared" si="92"/>
        <v/>
      </c>
      <c r="M396" s="37" t="str">
        <f t="shared" si="93"/>
        <v/>
      </c>
      <c r="N396" s="37" t="str">
        <f>IF($H396="","",IFERROR(INDEX('Risk Library'!$T$5:$Y$411,MATCH($E396,'Risk Library'!$A$5:$A$411,0),$H396+1),""))</f>
        <v/>
      </c>
      <c r="O396" s="37" t="str">
        <f t="shared" si="94"/>
        <v/>
      </c>
      <c r="P396" s="37" t="str">
        <f t="shared" si="95"/>
        <v/>
      </c>
      <c r="Q396" s="37" t="str">
        <f t="shared" si="96"/>
        <v/>
      </c>
      <c r="R396" s="37" t="str">
        <f t="shared" si="97"/>
        <v/>
      </c>
      <c r="S396" s="38" t="str">
        <f t="shared" si="98"/>
        <v/>
      </c>
      <c r="T396" s="36" t="str">
        <f>IF($H396="","",IFERROR(INDEX('Risk Library'!$N$5:$S$411,MATCH($E396,'Risk Library'!$A$5:$A$411,0),$H396+1),""))</f>
        <v/>
      </c>
      <c r="U396" s="37">
        <f>IFERROR('Quality Portfolio'!$G$6,"")</f>
        <v>5</v>
      </c>
      <c r="V396" s="37">
        <f>IFERROR('Quality Portfolio'!$W$6,"")</f>
        <v>4</v>
      </c>
      <c r="W396" s="37">
        <f>IFERROR('Quality Portfolio'!$X$6,"")</f>
        <v>5</v>
      </c>
      <c r="X396" s="37">
        <f>IFERROR('Quality Portfolio'!$Y$6,"")</f>
        <v>5</v>
      </c>
      <c r="Y396" s="36" t="s">
        <v>5819</v>
      </c>
      <c r="Z396" s="36" t="s">
        <v>5820</v>
      </c>
      <c r="AA396" s="36" t="s">
        <v>5824</v>
      </c>
      <c r="AB396" s="36">
        <f>IFERROR('Quality Portfolio'!$U$6,"")</f>
        <v>0</v>
      </c>
      <c r="AC396" s="36"/>
      <c r="AD396" s="36"/>
      <c r="AE396" s="36"/>
      <c r="AF396" s="36" t="s">
        <v>5823</v>
      </c>
      <c r="AO396" s="48" t="str">
        <f>IF($B396="Yes",IFERROR(SUMIFS(_TECH_Crisis_Model!$D$5:$D$191,_TECH_Crisis_Model!$A$5:$A$191,'Crisis Simulator'!$B$4,_TECH_Crisis_Model!$B$5:$B$191,$C396),1),"")</f>
        <v/>
      </c>
      <c r="AP396" s="48" t="str">
        <f t="shared" si="99"/>
        <v/>
      </c>
      <c r="AQ396" s="48" t="str">
        <f t="shared" si="100"/>
        <v/>
      </c>
      <c r="AR396" s="48" t="str">
        <f>IFERROR(INDEX(_TECH_Crisis_Model!$E$5:$E$191,MATCH('Crisis Simulator'!$B$4&amp;"|"&amp;$C396,_TECH_Crisis_Model!$I$5:$I$191,0)),"")</f>
        <v>Portfolio discipline and benefits realization determine whether scarce resources are focused on the right actions.</v>
      </c>
      <c r="AS396" s="48" t="str">
        <f>IFERROR(INDEX(_TECH_Crisis_Model!$G$5:$G$191,MATCH('Crisis Simulator'!$B$4&amp;"|"&amp;$C396,_TECH_Crisis_Model!$I$5:$I$191,0)),"")</f>
        <v>Prioritize crisis initiatives by value, risk reduction, dependencies and implementation waves.</v>
      </c>
      <c r="AT396" s="48" t="str">
        <f>IFERROR(INDEX(_TECH_Initiative_Library!$A$5:$A$76,MATCH(1,INDEX((_TECH_Initiative_Library!$B$5:$B$76=$C396)*(_TECH_Initiative_Library!$C$5:$C$76=$D396),0),0)),"")</f>
        <v>INI-069</v>
      </c>
      <c r="AU396" s="48" t="str">
        <f>IFERROR(INDEX(_TECH_Initiative_Library!$F$5:$F$76,MATCH(1,INDEX((_TECH_Initiative_Library!$B$5:$B$76=$C396)*(_TECH_Initiative_Library!$C$5:$C$76=$D396),0),0)),"")</f>
        <v>Build process ownership, SOP and continuous-improvement model</v>
      </c>
      <c r="AV396" s="48" t="str">
        <f ca="1">IFERROR(INDEX(_TECH_Initiative_Library!$AC$5:$AC$76,MATCH(1,INDEX((_TECH_Initiative_Library!$B$5:$B$76=$C396)*(_TECH_Initiative_Library!$C$5:$C$76=$D396),0),0)),"")</f>
        <v/>
      </c>
      <c r="AW396" s="48" t="str">
        <f ca="1">IFERROR(INDEX(_TECH_Initiative_Library!$AE$5:$AE$76,MATCH(1,INDEX((_TECH_Initiative_Library!$B$5:$B$76=$C396)*(_TECH_Initiative_Library!$C$5:$C$76=$D396),0),0)),"")</f>
        <v/>
      </c>
      <c r="AX396" s="48" t="str">
        <f>IF($B396="Yes",IFERROR(SUMIFS(_TECH_Industry_Templates!$E:$E,_TECH_Industry_Templates!$A:$A,'Company Profile'!$B$9,_TECH_Industry_Templates!$B:$B,$C396),1),"")</f>
        <v/>
      </c>
      <c r="AY396" s="48" t="str">
        <f t="shared" si="101"/>
        <v/>
      </c>
      <c r="AZ396" s="48" t="str">
        <f t="shared" si="102"/>
        <v/>
      </c>
      <c r="BA396" s="48" t="str">
        <f>IF($AZ396="","",RANK.EQ($AZ396,$AZ$8:$AZ$414,0)+COUNTIF($AZ$8:$AZ396,$AZ396)-1)</f>
        <v/>
      </c>
    </row>
    <row r="397" spans="1:53" ht="69.95" customHeight="1">
      <c r="A397" s="36" t="str">
        <f>IF($AZ397="","",RANK.EQ($AZ397,$AZ$8:$AZ$414,0)+COUNTIF($AZ$8:$AZ397,$AZ397)-1)</f>
        <v/>
      </c>
      <c r="B397" s="36" t="str">
        <f t="shared" si="89"/>
        <v/>
      </c>
      <c r="C397" s="36" t="s">
        <v>94</v>
      </c>
      <c r="D397" s="36" t="s">
        <v>1636</v>
      </c>
      <c r="E397" s="36" t="s">
        <v>5832</v>
      </c>
      <c r="F397" s="36" t="s">
        <v>1639</v>
      </c>
      <c r="G397" s="36" t="str">
        <f>IF($H397="","",IFERROR(INDEX('Risk Library'!$H$5:$M$411,MATCH($E397,'Risk Library'!$A$5:$A$411,0),$H397+1),""))</f>
        <v/>
      </c>
      <c r="H397" s="37" t="str">
        <f>IF(OR(COUNTA('Quality Portfolio'!$H$7)=0,'Quality Portfolio'!$H$7="N/A"),"",VALUE('Quality Portfolio'!$H$7))</f>
        <v/>
      </c>
      <c r="I397" s="36" t="str">
        <f>IF($H397="","",IFERROR(IF('Quality Portfolio'!$L$7="",IF($H397&lt;=1,"Critical",IF($H397=2,"High",IF($H397=3,"Medium",IF($H397=4,"Low","Resilient")))),'Quality Portfolio'!$L$7),IF($H397&lt;=1,"Critical",IF($H397=2,"High",IF($H397=3,"Medium",IF($H397=4,"Low","Resilient"))))))</f>
        <v/>
      </c>
      <c r="J397" s="37" t="str">
        <f t="shared" si="90"/>
        <v/>
      </c>
      <c r="K397" s="37" t="str">
        <f t="shared" si="91"/>
        <v/>
      </c>
      <c r="L397" s="37" t="str">
        <f t="shared" si="92"/>
        <v/>
      </c>
      <c r="M397" s="37" t="str">
        <f t="shared" si="93"/>
        <v/>
      </c>
      <c r="N397" s="37" t="str">
        <f>IF($H397="","",IFERROR(INDEX('Risk Library'!$T$5:$Y$411,MATCH($E397,'Risk Library'!$A$5:$A$411,0),$H397+1),""))</f>
        <v/>
      </c>
      <c r="O397" s="37" t="str">
        <f t="shared" si="94"/>
        <v/>
      </c>
      <c r="P397" s="37" t="str">
        <f t="shared" si="95"/>
        <v/>
      </c>
      <c r="Q397" s="37" t="str">
        <f t="shared" si="96"/>
        <v/>
      </c>
      <c r="R397" s="37" t="str">
        <f t="shared" si="97"/>
        <v/>
      </c>
      <c r="S397" s="38" t="str">
        <f t="shared" si="98"/>
        <v/>
      </c>
      <c r="T397" s="36" t="str">
        <f>IF($H397="","",IFERROR(INDEX('Risk Library'!$N$5:$S$411,MATCH($E397,'Risk Library'!$A$5:$A$411,0),$H397+1),""))</f>
        <v/>
      </c>
      <c r="U397" s="37">
        <f>IFERROR('Quality Portfolio'!$G$7,"")</f>
        <v>3</v>
      </c>
      <c r="V397" s="37">
        <f>IFERROR('Quality Portfolio'!$W$7,"")</f>
        <v>4</v>
      </c>
      <c r="W397" s="37">
        <f>IFERROR('Quality Portfolio'!$X$7,"")</f>
        <v>5</v>
      </c>
      <c r="X397" s="37">
        <f>IFERROR('Quality Portfolio'!$Y$7,"")</f>
        <v>5</v>
      </c>
      <c r="Y397" s="36" t="s">
        <v>5819</v>
      </c>
      <c r="Z397" s="36" t="s">
        <v>5820</v>
      </c>
      <c r="AA397" s="36" t="s">
        <v>5834</v>
      </c>
      <c r="AB397" s="36">
        <f>IFERROR('Quality Portfolio'!$U$7,"")</f>
        <v>0</v>
      </c>
      <c r="AC397" s="36"/>
      <c r="AD397" s="36"/>
      <c r="AE397" s="36"/>
      <c r="AF397" s="36" t="s">
        <v>5833</v>
      </c>
      <c r="AO397" s="48" t="str">
        <f>IF($B397="Yes",IFERROR(SUMIFS(_TECH_Crisis_Model!$D$5:$D$191,_TECH_Crisis_Model!$A$5:$A$191,'Crisis Simulator'!$B$4,_TECH_Crisis_Model!$B$5:$B$191,$C397),1),"")</f>
        <v/>
      </c>
      <c r="AP397" s="48" t="str">
        <f t="shared" si="99"/>
        <v/>
      </c>
      <c r="AQ397" s="48" t="str">
        <f t="shared" si="100"/>
        <v/>
      </c>
      <c r="AR397" s="48" t="str">
        <f>IFERROR(INDEX(_TECH_Crisis_Model!$E$5:$E$191,MATCH('Crisis Simulator'!$B$4&amp;"|"&amp;$C397,_TECH_Crisis_Model!$I$5:$I$191,0)),"")</f>
        <v>Portfolio discipline and benefits realization determine whether scarce resources are focused on the right actions.</v>
      </c>
      <c r="AS397" s="48" t="str">
        <f>IFERROR(INDEX(_TECH_Crisis_Model!$G$5:$G$191,MATCH('Crisis Simulator'!$B$4&amp;"|"&amp;$C397,_TECH_Crisis_Model!$I$5:$I$191,0)),"")</f>
        <v>Prioritize crisis initiatives by value, risk reduction, dependencies and implementation waves.</v>
      </c>
      <c r="AT397" s="48" t="str">
        <f>IFERROR(INDEX(_TECH_Initiative_Library!$A$5:$A$76,MATCH(1,INDEX((_TECH_Initiative_Library!$B$5:$B$76=$C397)*(_TECH_Initiative_Library!$C$5:$C$76=$D397),0),0)),"")</f>
        <v>INI-069</v>
      </c>
      <c r="AU397" s="48" t="str">
        <f>IFERROR(INDEX(_TECH_Initiative_Library!$F$5:$F$76,MATCH(1,INDEX((_TECH_Initiative_Library!$B$5:$B$76=$C397)*(_TECH_Initiative_Library!$C$5:$C$76=$D397),0),0)),"")</f>
        <v>Build process ownership, SOP and continuous-improvement model</v>
      </c>
      <c r="AV397" s="48" t="str">
        <f ca="1">IFERROR(INDEX(_TECH_Initiative_Library!$AC$5:$AC$76,MATCH(1,INDEX((_TECH_Initiative_Library!$B$5:$B$76=$C397)*(_TECH_Initiative_Library!$C$5:$C$76=$D397),0),0)),"")</f>
        <v/>
      </c>
      <c r="AW397" s="48" t="str">
        <f ca="1">IFERROR(INDEX(_TECH_Initiative_Library!$AE$5:$AE$76,MATCH(1,INDEX((_TECH_Initiative_Library!$B$5:$B$76=$C397)*(_TECH_Initiative_Library!$C$5:$C$76=$D397),0),0)),"")</f>
        <v/>
      </c>
      <c r="AX397" s="48" t="str">
        <f>IF($B397="Yes",IFERROR(SUMIFS(_TECH_Industry_Templates!$E:$E,_TECH_Industry_Templates!$A:$A,'Company Profile'!$B$9,_TECH_Industry_Templates!$B:$B,$C397),1),"")</f>
        <v/>
      </c>
      <c r="AY397" s="48" t="str">
        <f t="shared" si="101"/>
        <v/>
      </c>
      <c r="AZ397" s="48" t="str">
        <f t="shared" si="102"/>
        <v/>
      </c>
      <c r="BA397" s="48" t="str">
        <f>IF($AZ397="","",RANK.EQ($AZ397,$AZ$8:$AZ$414,0)+COUNTIF($AZ$8:$AZ397,$AZ397)-1)</f>
        <v/>
      </c>
    </row>
    <row r="398" spans="1:53" ht="69.95" customHeight="1">
      <c r="A398" s="36" t="str">
        <f>IF($AZ398="","",RANK.EQ($AZ398,$AZ$8:$AZ$414,0)+COUNTIF($AZ$8:$AZ398,$AZ398)-1)</f>
        <v/>
      </c>
      <c r="B398" s="36" t="str">
        <f t="shared" si="89"/>
        <v/>
      </c>
      <c r="C398" s="36" t="s">
        <v>94</v>
      </c>
      <c r="D398" s="36" t="s">
        <v>1636</v>
      </c>
      <c r="E398" s="36" t="s">
        <v>5842</v>
      </c>
      <c r="F398" s="36" t="s">
        <v>1639</v>
      </c>
      <c r="G398" s="36" t="str">
        <f>IF($H398="","",IFERROR(INDEX('Risk Library'!$H$5:$M$411,MATCH($E398,'Risk Library'!$A$5:$A$411,0),$H398+1),""))</f>
        <v/>
      </c>
      <c r="H398" s="37" t="str">
        <f>IF(OR(COUNTA('Quality Portfolio'!$H$8)=0,'Quality Portfolio'!$H$8="N/A"),"",VALUE('Quality Portfolio'!$H$8))</f>
        <v/>
      </c>
      <c r="I398" s="36" t="str">
        <f>IF($H398="","",IFERROR(IF('Quality Portfolio'!$L$8="",IF($H398&lt;=1,"Critical",IF($H398=2,"High",IF($H398=3,"Medium",IF($H398=4,"Low","Resilient")))),'Quality Portfolio'!$L$8),IF($H398&lt;=1,"Critical",IF($H398=2,"High",IF($H398=3,"Medium",IF($H398=4,"Low","Resilient"))))))</f>
        <v/>
      </c>
      <c r="J398" s="37" t="str">
        <f t="shared" si="90"/>
        <v/>
      </c>
      <c r="K398" s="37" t="str">
        <f t="shared" si="91"/>
        <v/>
      </c>
      <c r="L398" s="37" t="str">
        <f t="shared" si="92"/>
        <v/>
      </c>
      <c r="M398" s="37" t="str">
        <f t="shared" si="93"/>
        <v/>
      </c>
      <c r="N398" s="37" t="str">
        <f>IF($H398="","",IFERROR(INDEX('Risk Library'!$T$5:$Y$411,MATCH($E398,'Risk Library'!$A$5:$A$411,0),$H398+1),""))</f>
        <v/>
      </c>
      <c r="O398" s="37" t="str">
        <f t="shared" si="94"/>
        <v/>
      </c>
      <c r="P398" s="37" t="str">
        <f t="shared" si="95"/>
        <v/>
      </c>
      <c r="Q398" s="37" t="str">
        <f t="shared" si="96"/>
        <v/>
      </c>
      <c r="R398" s="37" t="str">
        <f t="shared" si="97"/>
        <v/>
      </c>
      <c r="S398" s="38" t="str">
        <f t="shared" si="98"/>
        <v/>
      </c>
      <c r="T398" s="36" t="str">
        <f>IF($H398="","",IFERROR(INDEX('Risk Library'!$N$5:$S$411,MATCH($E398,'Risk Library'!$A$5:$A$411,0),$H398+1),""))</f>
        <v/>
      </c>
      <c r="U398" s="37">
        <f>IFERROR('Quality Portfolio'!$G$8,"")</f>
        <v>3</v>
      </c>
      <c r="V398" s="37">
        <f>IFERROR('Quality Portfolio'!$W$8,"")</f>
        <v>4</v>
      </c>
      <c r="W398" s="37">
        <f>IFERROR('Quality Portfolio'!$X$8,"")</f>
        <v>5</v>
      </c>
      <c r="X398" s="37">
        <f>IFERROR('Quality Portfolio'!$Y$8,"")</f>
        <v>5</v>
      </c>
      <c r="Y398" s="36" t="s">
        <v>5819</v>
      </c>
      <c r="Z398" s="36" t="s">
        <v>5820</v>
      </c>
      <c r="AA398" s="36" t="s">
        <v>5844</v>
      </c>
      <c r="AB398" s="36">
        <f>IFERROR('Quality Portfolio'!$U$8,"")</f>
        <v>0</v>
      </c>
      <c r="AC398" s="36"/>
      <c r="AD398" s="36"/>
      <c r="AE398" s="36"/>
      <c r="AF398" s="36" t="s">
        <v>5843</v>
      </c>
      <c r="AO398" s="48" t="str">
        <f>IF($B398="Yes",IFERROR(SUMIFS(_TECH_Crisis_Model!$D$5:$D$191,_TECH_Crisis_Model!$A$5:$A$191,'Crisis Simulator'!$B$4,_TECH_Crisis_Model!$B$5:$B$191,$C398),1),"")</f>
        <v/>
      </c>
      <c r="AP398" s="48" t="str">
        <f t="shared" si="99"/>
        <v/>
      </c>
      <c r="AQ398" s="48" t="str">
        <f t="shared" si="100"/>
        <v/>
      </c>
      <c r="AR398" s="48" t="str">
        <f>IFERROR(INDEX(_TECH_Crisis_Model!$E$5:$E$191,MATCH('Crisis Simulator'!$B$4&amp;"|"&amp;$C398,_TECH_Crisis_Model!$I$5:$I$191,0)),"")</f>
        <v>Portfolio discipline and benefits realization determine whether scarce resources are focused on the right actions.</v>
      </c>
      <c r="AS398" s="48" t="str">
        <f>IFERROR(INDEX(_TECH_Crisis_Model!$G$5:$G$191,MATCH('Crisis Simulator'!$B$4&amp;"|"&amp;$C398,_TECH_Crisis_Model!$I$5:$I$191,0)),"")</f>
        <v>Prioritize crisis initiatives by value, risk reduction, dependencies and implementation waves.</v>
      </c>
      <c r="AT398" s="48" t="str">
        <f>IFERROR(INDEX(_TECH_Initiative_Library!$A$5:$A$76,MATCH(1,INDEX((_TECH_Initiative_Library!$B$5:$B$76=$C398)*(_TECH_Initiative_Library!$C$5:$C$76=$D398),0),0)),"")</f>
        <v>INI-069</v>
      </c>
      <c r="AU398" s="48" t="str">
        <f>IFERROR(INDEX(_TECH_Initiative_Library!$F$5:$F$76,MATCH(1,INDEX((_TECH_Initiative_Library!$B$5:$B$76=$C398)*(_TECH_Initiative_Library!$C$5:$C$76=$D398),0),0)),"")</f>
        <v>Build process ownership, SOP and continuous-improvement model</v>
      </c>
      <c r="AV398" s="48" t="str">
        <f ca="1">IFERROR(INDEX(_TECH_Initiative_Library!$AC$5:$AC$76,MATCH(1,INDEX((_TECH_Initiative_Library!$B$5:$B$76=$C398)*(_TECH_Initiative_Library!$C$5:$C$76=$D398),0),0)),"")</f>
        <v/>
      </c>
      <c r="AW398" s="48" t="str">
        <f ca="1">IFERROR(INDEX(_TECH_Initiative_Library!$AE$5:$AE$76,MATCH(1,INDEX((_TECH_Initiative_Library!$B$5:$B$76=$C398)*(_TECH_Initiative_Library!$C$5:$C$76=$D398),0),0)),"")</f>
        <v/>
      </c>
      <c r="AX398" s="48" t="str">
        <f>IF($B398="Yes",IFERROR(SUMIFS(_TECH_Industry_Templates!$E:$E,_TECH_Industry_Templates!$A:$A,'Company Profile'!$B$9,_TECH_Industry_Templates!$B:$B,$C398),1),"")</f>
        <v/>
      </c>
      <c r="AY398" s="48" t="str">
        <f t="shared" si="101"/>
        <v/>
      </c>
      <c r="AZ398" s="48" t="str">
        <f t="shared" si="102"/>
        <v/>
      </c>
      <c r="BA398" s="48" t="str">
        <f>IF($AZ398="","",RANK.EQ($AZ398,$AZ$8:$AZ$414,0)+COUNTIF($AZ$8:$AZ398,$AZ398)-1)</f>
        <v/>
      </c>
    </row>
    <row r="399" spans="1:53" ht="69.95" customHeight="1">
      <c r="A399" s="36" t="str">
        <f>IF($AZ399="","",RANK.EQ($AZ399,$AZ$8:$AZ$414,0)+COUNTIF($AZ$8:$AZ399,$AZ399)-1)</f>
        <v/>
      </c>
      <c r="B399" s="36" t="str">
        <f t="shared" si="89"/>
        <v/>
      </c>
      <c r="C399" s="36" t="s">
        <v>94</v>
      </c>
      <c r="D399" s="36" t="s">
        <v>1636</v>
      </c>
      <c r="E399" s="36" t="s">
        <v>5852</v>
      </c>
      <c r="F399" s="36" t="s">
        <v>1639</v>
      </c>
      <c r="G399" s="36" t="str">
        <f>IF($H399="","",IFERROR(INDEX('Risk Library'!$H$5:$M$411,MATCH($E399,'Risk Library'!$A$5:$A$411,0),$H399+1),""))</f>
        <v/>
      </c>
      <c r="H399" s="37" t="str">
        <f>IF(OR(COUNTA('Quality Portfolio'!$H$9)=0,'Quality Portfolio'!$H$9="N/A"),"",VALUE('Quality Portfolio'!$H$9))</f>
        <v/>
      </c>
      <c r="I399" s="36" t="str">
        <f>IF($H399="","",IFERROR(IF('Quality Portfolio'!$L$9="",IF($H399&lt;=1,"Critical",IF($H399=2,"High",IF($H399=3,"Medium",IF($H399=4,"Low","Resilient")))),'Quality Portfolio'!$L$9),IF($H399&lt;=1,"Critical",IF($H399=2,"High",IF($H399=3,"Medium",IF($H399=4,"Low","Resilient"))))))</f>
        <v/>
      </c>
      <c r="J399" s="37" t="str">
        <f t="shared" si="90"/>
        <v/>
      </c>
      <c r="K399" s="37" t="str">
        <f t="shared" si="91"/>
        <v/>
      </c>
      <c r="L399" s="37" t="str">
        <f t="shared" si="92"/>
        <v/>
      </c>
      <c r="M399" s="37" t="str">
        <f t="shared" si="93"/>
        <v/>
      </c>
      <c r="N399" s="37" t="str">
        <f>IF($H399="","",IFERROR(INDEX('Risk Library'!$T$5:$Y$411,MATCH($E399,'Risk Library'!$A$5:$A$411,0),$H399+1),""))</f>
        <v/>
      </c>
      <c r="O399" s="37" t="str">
        <f t="shared" si="94"/>
        <v/>
      </c>
      <c r="P399" s="37" t="str">
        <f t="shared" si="95"/>
        <v/>
      </c>
      <c r="Q399" s="37" t="str">
        <f t="shared" si="96"/>
        <v/>
      </c>
      <c r="R399" s="37" t="str">
        <f t="shared" si="97"/>
        <v/>
      </c>
      <c r="S399" s="38" t="str">
        <f t="shared" si="98"/>
        <v/>
      </c>
      <c r="T399" s="36" t="str">
        <f>IF($H399="","",IFERROR(INDEX('Risk Library'!$N$5:$S$411,MATCH($E399,'Risk Library'!$A$5:$A$411,0),$H399+1),""))</f>
        <v/>
      </c>
      <c r="U399" s="37">
        <f>IFERROR('Quality Portfolio'!$G$9,"")</f>
        <v>3</v>
      </c>
      <c r="V399" s="37">
        <f>IFERROR('Quality Portfolio'!$W$9,"")</f>
        <v>4</v>
      </c>
      <c r="W399" s="37">
        <f>IFERROR('Quality Portfolio'!$X$9,"")</f>
        <v>5</v>
      </c>
      <c r="X399" s="37">
        <f>IFERROR('Quality Portfolio'!$Y$9,"")</f>
        <v>5</v>
      </c>
      <c r="Y399" s="36" t="s">
        <v>5819</v>
      </c>
      <c r="Z399" s="36" t="s">
        <v>5820</v>
      </c>
      <c r="AA399" s="36" t="s">
        <v>5854</v>
      </c>
      <c r="AB399" s="36">
        <f>IFERROR('Quality Portfolio'!$U$9,"")</f>
        <v>0</v>
      </c>
      <c r="AC399" s="36"/>
      <c r="AD399" s="36"/>
      <c r="AE399" s="36"/>
      <c r="AF399" s="36" t="s">
        <v>5853</v>
      </c>
      <c r="AO399" s="48" t="str">
        <f>IF($B399="Yes",IFERROR(SUMIFS(_TECH_Crisis_Model!$D$5:$D$191,_TECH_Crisis_Model!$A$5:$A$191,'Crisis Simulator'!$B$4,_TECH_Crisis_Model!$B$5:$B$191,$C399),1),"")</f>
        <v/>
      </c>
      <c r="AP399" s="48" t="str">
        <f t="shared" si="99"/>
        <v/>
      </c>
      <c r="AQ399" s="48" t="str">
        <f t="shared" si="100"/>
        <v/>
      </c>
      <c r="AR399" s="48" t="str">
        <f>IFERROR(INDEX(_TECH_Crisis_Model!$E$5:$E$191,MATCH('Crisis Simulator'!$B$4&amp;"|"&amp;$C399,_TECH_Crisis_Model!$I$5:$I$191,0)),"")</f>
        <v>Portfolio discipline and benefits realization determine whether scarce resources are focused on the right actions.</v>
      </c>
      <c r="AS399" s="48" t="str">
        <f>IFERROR(INDEX(_TECH_Crisis_Model!$G$5:$G$191,MATCH('Crisis Simulator'!$B$4&amp;"|"&amp;$C399,_TECH_Crisis_Model!$I$5:$I$191,0)),"")</f>
        <v>Prioritize crisis initiatives by value, risk reduction, dependencies and implementation waves.</v>
      </c>
      <c r="AT399" s="48" t="str">
        <f>IFERROR(INDEX(_TECH_Initiative_Library!$A$5:$A$76,MATCH(1,INDEX((_TECH_Initiative_Library!$B$5:$B$76=$C399)*(_TECH_Initiative_Library!$C$5:$C$76=$D399),0),0)),"")</f>
        <v>INI-069</v>
      </c>
      <c r="AU399" s="48" t="str">
        <f>IFERROR(INDEX(_TECH_Initiative_Library!$F$5:$F$76,MATCH(1,INDEX((_TECH_Initiative_Library!$B$5:$B$76=$C399)*(_TECH_Initiative_Library!$C$5:$C$76=$D399),0),0)),"")</f>
        <v>Build process ownership, SOP and continuous-improvement model</v>
      </c>
      <c r="AV399" s="48" t="str">
        <f ca="1">IFERROR(INDEX(_TECH_Initiative_Library!$AC$5:$AC$76,MATCH(1,INDEX((_TECH_Initiative_Library!$B$5:$B$76=$C399)*(_TECH_Initiative_Library!$C$5:$C$76=$D399),0),0)),"")</f>
        <v/>
      </c>
      <c r="AW399" s="48" t="str">
        <f ca="1">IFERROR(INDEX(_TECH_Initiative_Library!$AE$5:$AE$76,MATCH(1,INDEX((_TECH_Initiative_Library!$B$5:$B$76=$C399)*(_TECH_Initiative_Library!$C$5:$C$76=$D399),0),0)),"")</f>
        <v/>
      </c>
      <c r="AX399" s="48" t="str">
        <f>IF($B399="Yes",IFERROR(SUMIFS(_TECH_Industry_Templates!$E:$E,_TECH_Industry_Templates!$A:$A,'Company Profile'!$B$9,_TECH_Industry_Templates!$B:$B,$C399),1),"")</f>
        <v/>
      </c>
      <c r="AY399" s="48" t="str">
        <f t="shared" si="101"/>
        <v/>
      </c>
      <c r="AZ399" s="48" t="str">
        <f t="shared" si="102"/>
        <v/>
      </c>
      <c r="BA399" s="48" t="str">
        <f>IF($AZ399="","",RANK.EQ($AZ399,$AZ$8:$AZ$414,0)+COUNTIF($AZ$8:$AZ399,$AZ399)-1)</f>
        <v/>
      </c>
    </row>
    <row r="400" spans="1:53" ht="69.95" customHeight="1">
      <c r="A400" s="36" t="str">
        <f>IF($AZ400="","",RANK.EQ($AZ400,$AZ$8:$AZ$414,0)+COUNTIF($AZ$8:$AZ400,$AZ400)-1)</f>
        <v/>
      </c>
      <c r="B400" s="36" t="str">
        <f t="shared" si="89"/>
        <v/>
      </c>
      <c r="C400" s="36" t="s">
        <v>94</v>
      </c>
      <c r="D400" s="36" t="s">
        <v>1647</v>
      </c>
      <c r="E400" s="36" t="s">
        <v>5862</v>
      </c>
      <c r="F400" s="36" t="s">
        <v>1639</v>
      </c>
      <c r="G400" s="36" t="str">
        <f>IF($H400="","",IFERROR(INDEX('Risk Library'!$H$5:$M$411,MATCH($E400,'Risk Library'!$A$5:$A$411,0),$H400+1),""))</f>
        <v/>
      </c>
      <c r="H400" s="37" t="str">
        <f>IF(OR(COUNTA('Quality Portfolio'!$H$10)=0,'Quality Portfolio'!$H$10="N/A"),"",VALUE('Quality Portfolio'!$H$10))</f>
        <v/>
      </c>
      <c r="I400" s="36" t="str">
        <f>IF($H400="","",IFERROR(IF('Quality Portfolio'!$L$10="",IF($H400&lt;=1,"Critical",IF($H400=2,"High",IF($H400=3,"Medium",IF($H400=4,"Low","Resilient")))),'Quality Portfolio'!$L$10),IF($H400&lt;=1,"Critical",IF($H400=2,"High",IF($H400=3,"Medium",IF($H400=4,"Low","Resilient"))))))</f>
        <v/>
      </c>
      <c r="J400" s="37" t="str">
        <f t="shared" si="90"/>
        <v/>
      </c>
      <c r="K400" s="37" t="str">
        <f t="shared" si="91"/>
        <v/>
      </c>
      <c r="L400" s="37" t="str">
        <f t="shared" si="92"/>
        <v/>
      </c>
      <c r="M400" s="37" t="str">
        <f t="shared" si="93"/>
        <v/>
      </c>
      <c r="N400" s="37" t="str">
        <f>IF($H400="","",IFERROR(INDEX('Risk Library'!$T$5:$Y$411,MATCH($E400,'Risk Library'!$A$5:$A$411,0),$H400+1),""))</f>
        <v/>
      </c>
      <c r="O400" s="37" t="str">
        <f t="shared" si="94"/>
        <v/>
      </c>
      <c r="P400" s="37" t="str">
        <f t="shared" si="95"/>
        <v/>
      </c>
      <c r="Q400" s="37" t="str">
        <f t="shared" si="96"/>
        <v/>
      </c>
      <c r="R400" s="37" t="str">
        <f t="shared" si="97"/>
        <v/>
      </c>
      <c r="S400" s="38" t="str">
        <f t="shared" si="98"/>
        <v/>
      </c>
      <c r="T400" s="36" t="str">
        <f>IF($H400="","",IFERROR(INDEX('Risk Library'!$N$5:$S$411,MATCH($E400,'Risk Library'!$A$5:$A$411,0),$H400+1),""))</f>
        <v/>
      </c>
      <c r="U400" s="37">
        <f>IFERROR('Quality Portfolio'!$G$10,"")</f>
        <v>4</v>
      </c>
      <c r="V400" s="37">
        <f>IFERROR('Quality Portfolio'!$W$10,"")</f>
        <v>4</v>
      </c>
      <c r="W400" s="37">
        <f>IFERROR('Quality Portfolio'!$X$10,"")</f>
        <v>5</v>
      </c>
      <c r="X400" s="37">
        <f>IFERROR('Quality Portfolio'!$Y$10,"")</f>
        <v>5</v>
      </c>
      <c r="Y400" s="36" t="s">
        <v>5819</v>
      </c>
      <c r="Z400" s="36" t="s">
        <v>5820</v>
      </c>
      <c r="AA400" s="36" t="s">
        <v>5864</v>
      </c>
      <c r="AB400" s="36">
        <f>IFERROR('Quality Portfolio'!$U$10,"")</f>
        <v>0</v>
      </c>
      <c r="AC400" s="36"/>
      <c r="AD400" s="36"/>
      <c r="AE400" s="36"/>
      <c r="AF400" s="36" t="s">
        <v>5863</v>
      </c>
      <c r="AO400" s="48" t="str">
        <f>IF($B400="Yes",IFERROR(SUMIFS(_TECH_Crisis_Model!$D$5:$D$191,_TECH_Crisis_Model!$A$5:$A$191,'Crisis Simulator'!$B$4,_TECH_Crisis_Model!$B$5:$B$191,$C400),1),"")</f>
        <v/>
      </c>
      <c r="AP400" s="48" t="str">
        <f t="shared" si="99"/>
        <v/>
      </c>
      <c r="AQ400" s="48" t="str">
        <f t="shared" si="100"/>
        <v/>
      </c>
      <c r="AR400" s="48" t="str">
        <f>IFERROR(INDEX(_TECH_Crisis_Model!$E$5:$E$191,MATCH('Crisis Simulator'!$B$4&amp;"|"&amp;$C400,_TECH_Crisis_Model!$I$5:$I$191,0)),"")</f>
        <v>Portfolio discipline and benefits realization determine whether scarce resources are focused on the right actions.</v>
      </c>
      <c r="AS400" s="48" t="str">
        <f>IFERROR(INDEX(_TECH_Crisis_Model!$G$5:$G$191,MATCH('Crisis Simulator'!$B$4&amp;"|"&amp;$C400,_TECH_Crisis_Model!$I$5:$I$191,0)),"")</f>
        <v>Prioritize crisis initiatives by value, risk reduction, dependencies and implementation waves.</v>
      </c>
      <c r="AT400" s="48" t="str">
        <f>IFERROR(INDEX(_TECH_Initiative_Library!$A$5:$A$76,MATCH(1,INDEX((_TECH_Initiative_Library!$B$5:$B$76=$C400)*(_TECH_Initiative_Library!$C$5:$C$76=$D400),0),0)),"")</f>
        <v>INI-070</v>
      </c>
      <c r="AU400" s="48" t="str">
        <f>IFERROR(INDEX(_TECH_Initiative_Library!$F$5:$F$76,MATCH(1,INDEX((_TECH_Initiative_Library!$B$5:$B$76=$C400)*(_TECH_Initiative_Library!$C$5:$C$76=$D400),0),0)),"")</f>
        <v>Strengthen quality management and audit readiness</v>
      </c>
      <c r="AV400" s="48" t="str">
        <f ca="1">IFERROR(INDEX(_TECH_Initiative_Library!$AC$5:$AC$76,MATCH(1,INDEX((_TECH_Initiative_Library!$B$5:$B$76=$C400)*(_TECH_Initiative_Library!$C$5:$C$76=$D400),0),0)),"")</f>
        <v/>
      </c>
      <c r="AW400" s="48" t="str">
        <f ca="1">IFERROR(INDEX(_TECH_Initiative_Library!$AE$5:$AE$76,MATCH(1,INDEX((_TECH_Initiative_Library!$B$5:$B$76=$C400)*(_TECH_Initiative_Library!$C$5:$C$76=$D400),0),0)),"")</f>
        <v/>
      </c>
      <c r="AX400" s="48" t="str">
        <f>IF($B400="Yes",IFERROR(SUMIFS(_TECH_Industry_Templates!$E:$E,_TECH_Industry_Templates!$A:$A,'Company Profile'!$B$9,_TECH_Industry_Templates!$B:$B,$C400),1),"")</f>
        <v/>
      </c>
      <c r="AY400" s="48" t="str">
        <f t="shared" si="101"/>
        <v/>
      </c>
      <c r="AZ400" s="48" t="str">
        <f t="shared" si="102"/>
        <v/>
      </c>
      <c r="BA400" s="48" t="str">
        <f>IF($AZ400="","",RANK.EQ($AZ400,$AZ$8:$AZ$414,0)+COUNTIF($AZ$8:$AZ400,$AZ400)-1)</f>
        <v/>
      </c>
    </row>
    <row r="401" spans="1:53" ht="69.95" customHeight="1">
      <c r="A401" s="36" t="str">
        <f>IF($AZ401="","",RANK.EQ($AZ401,$AZ$8:$AZ$414,0)+COUNTIF($AZ$8:$AZ401,$AZ401)-1)</f>
        <v/>
      </c>
      <c r="B401" s="36" t="str">
        <f t="shared" si="89"/>
        <v/>
      </c>
      <c r="C401" s="36" t="s">
        <v>94</v>
      </c>
      <c r="D401" s="36" t="s">
        <v>1647</v>
      </c>
      <c r="E401" s="36" t="s">
        <v>5872</v>
      </c>
      <c r="F401" s="36" t="s">
        <v>1639</v>
      </c>
      <c r="G401" s="36" t="str">
        <f>IF($H401="","",IFERROR(INDEX('Risk Library'!$H$5:$M$411,MATCH($E401,'Risk Library'!$A$5:$A$411,0),$H401+1),""))</f>
        <v/>
      </c>
      <c r="H401" s="37" t="str">
        <f>IF(OR(COUNTA('Quality Portfolio'!$H$11)=0,'Quality Portfolio'!$H$11="N/A"),"",VALUE('Quality Portfolio'!$H$11))</f>
        <v/>
      </c>
      <c r="I401" s="36" t="str">
        <f>IF($H401="","",IFERROR(IF('Quality Portfolio'!$L$11="",IF($H401&lt;=1,"Critical",IF($H401=2,"High",IF($H401=3,"Medium",IF($H401=4,"Low","Resilient")))),'Quality Portfolio'!$L$11),IF($H401&lt;=1,"Critical",IF($H401=2,"High",IF($H401=3,"Medium",IF($H401=4,"Low","Resilient"))))))</f>
        <v/>
      </c>
      <c r="J401" s="37" t="str">
        <f t="shared" si="90"/>
        <v/>
      </c>
      <c r="K401" s="37" t="str">
        <f t="shared" si="91"/>
        <v/>
      </c>
      <c r="L401" s="37" t="str">
        <f t="shared" si="92"/>
        <v/>
      </c>
      <c r="M401" s="37" t="str">
        <f t="shared" si="93"/>
        <v/>
      </c>
      <c r="N401" s="37" t="str">
        <f>IF($H401="","",IFERROR(INDEX('Risk Library'!$T$5:$Y$411,MATCH($E401,'Risk Library'!$A$5:$A$411,0),$H401+1),""))</f>
        <v/>
      </c>
      <c r="O401" s="37" t="str">
        <f t="shared" si="94"/>
        <v/>
      </c>
      <c r="P401" s="37" t="str">
        <f t="shared" si="95"/>
        <v/>
      </c>
      <c r="Q401" s="37" t="str">
        <f t="shared" si="96"/>
        <v/>
      </c>
      <c r="R401" s="37" t="str">
        <f t="shared" si="97"/>
        <v/>
      </c>
      <c r="S401" s="38" t="str">
        <f t="shared" si="98"/>
        <v/>
      </c>
      <c r="T401" s="36" t="str">
        <f>IF($H401="","",IFERROR(INDEX('Risk Library'!$N$5:$S$411,MATCH($E401,'Risk Library'!$A$5:$A$411,0),$H401+1),""))</f>
        <v/>
      </c>
      <c r="U401" s="37">
        <f>IFERROR('Quality Portfolio'!$G$11,"")</f>
        <v>3</v>
      </c>
      <c r="V401" s="37">
        <f>IFERROR('Quality Portfolio'!$W$11,"")</f>
        <v>4</v>
      </c>
      <c r="W401" s="37">
        <f>IFERROR('Quality Portfolio'!$X$11,"")</f>
        <v>5</v>
      </c>
      <c r="X401" s="37">
        <f>IFERROR('Quality Portfolio'!$Y$11,"")</f>
        <v>5</v>
      </c>
      <c r="Y401" s="36" t="s">
        <v>5819</v>
      </c>
      <c r="Z401" s="36" t="s">
        <v>5820</v>
      </c>
      <c r="AA401" s="36" t="s">
        <v>5874</v>
      </c>
      <c r="AB401" s="36">
        <f>IFERROR('Quality Portfolio'!$U$11,"")</f>
        <v>0</v>
      </c>
      <c r="AC401" s="36"/>
      <c r="AD401" s="36"/>
      <c r="AE401" s="36"/>
      <c r="AF401" s="36" t="s">
        <v>5873</v>
      </c>
      <c r="AO401" s="48" t="str">
        <f>IF($B401="Yes",IFERROR(SUMIFS(_TECH_Crisis_Model!$D$5:$D$191,_TECH_Crisis_Model!$A$5:$A$191,'Crisis Simulator'!$B$4,_TECH_Crisis_Model!$B$5:$B$191,$C401),1),"")</f>
        <v/>
      </c>
      <c r="AP401" s="48" t="str">
        <f t="shared" si="99"/>
        <v/>
      </c>
      <c r="AQ401" s="48" t="str">
        <f t="shared" si="100"/>
        <v/>
      </c>
      <c r="AR401" s="48" t="str">
        <f>IFERROR(INDEX(_TECH_Crisis_Model!$E$5:$E$191,MATCH('Crisis Simulator'!$B$4&amp;"|"&amp;$C401,_TECH_Crisis_Model!$I$5:$I$191,0)),"")</f>
        <v>Portfolio discipline and benefits realization determine whether scarce resources are focused on the right actions.</v>
      </c>
      <c r="AS401" s="48" t="str">
        <f>IFERROR(INDEX(_TECH_Crisis_Model!$G$5:$G$191,MATCH('Crisis Simulator'!$B$4&amp;"|"&amp;$C401,_TECH_Crisis_Model!$I$5:$I$191,0)),"")</f>
        <v>Prioritize crisis initiatives by value, risk reduction, dependencies and implementation waves.</v>
      </c>
      <c r="AT401" s="48" t="str">
        <f>IFERROR(INDEX(_TECH_Initiative_Library!$A$5:$A$76,MATCH(1,INDEX((_TECH_Initiative_Library!$B$5:$B$76=$C401)*(_TECH_Initiative_Library!$C$5:$C$76=$D401),0),0)),"")</f>
        <v>INI-070</v>
      </c>
      <c r="AU401" s="48" t="str">
        <f>IFERROR(INDEX(_TECH_Initiative_Library!$F$5:$F$76,MATCH(1,INDEX((_TECH_Initiative_Library!$B$5:$B$76=$C401)*(_TECH_Initiative_Library!$C$5:$C$76=$D401),0),0)),"")</f>
        <v>Strengthen quality management and audit readiness</v>
      </c>
      <c r="AV401" s="48" t="str">
        <f ca="1">IFERROR(INDEX(_TECH_Initiative_Library!$AC$5:$AC$76,MATCH(1,INDEX((_TECH_Initiative_Library!$B$5:$B$76=$C401)*(_TECH_Initiative_Library!$C$5:$C$76=$D401),0),0)),"")</f>
        <v/>
      </c>
      <c r="AW401" s="48" t="str">
        <f ca="1">IFERROR(INDEX(_TECH_Initiative_Library!$AE$5:$AE$76,MATCH(1,INDEX((_TECH_Initiative_Library!$B$5:$B$76=$C401)*(_TECH_Initiative_Library!$C$5:$C$76=$D401),0),0)),"")</f>
        <v/>
      </c>
      <c r="AX401" s="48" t="str">
        <f>IF($B401="Yes",IFERROR(SUMIFS(_TECH_Industry_Templates!$E:$E,_TECH_Industry_Templates!$A:$A,'Company Profile'!$B$9,_TECH_Industry_Templates!$B:$B,$C401),1),"")</f>
        <v/>
      </c>
      <c r="AY401" s="48" t="str">
        <f t="shared" si="101"/>
        <v/>
      </c>
      <c r="AZ401" s="48" t="str">
        <f t="shared" si="102"/>
        <v/>
      </c>
      <c r="BA401" s="48" t="str">
        <f>IF($AZ401="","",RANK.EQ($AZ401,$AZ$8:$AZ$414,0)+COUNTIF($AZ$8:$AZ401,$AZ401)-1)</f>
        <v/>
      </c>
    </row>
    <row r="402" spans="1:53" ht="69.95" customHeight="1">
      <c r="A402" s="36" t="str">
        <f>IF($AZ402="","",RANK.EQ($AZ402,$AZ$8:$AZ$414,0)+COUNTIF($AZ$8:$AZ402,$AZ402)-1)</f>
        <v/>
      </c>
      <c r="B402" s="36" t="str">
        <f t="shared" si="89"/>
        <v/>
      </c>
      <c r="C402" s="36" t="s">
        <v>94</v>
      </c>
      <c r="D402" s="36" t="s">
        <v>1647</v>
      </c>
      <c r="E402" s="36" t="s">
        <v>5882</v>
      </c>
      <c r="F402" s="36" t="s">
        <v>1639</v>
      </c>
      <c r="G402" s="36" t="str">
        <f>IF($H402="","",IFERROR(INDEX('Risk Library'!$H$5:$M$411,MATCH($E402,'Risk Library'!$A$5:$A$411,0),$H402+1),""))</f>
        <v/>
      </c>
      <c r="H402" s="37" t="str">
        <f>IF(OR(COUNTA('Quality Portfolio'!$H$12)=0,'Quality Portfolio'!$H$12="N/A"),"",VALUE('Quality Portfolio'!$H$12))</f>
        <v/>
      </c>
      <c r="I402" s="36" t="str">
        <f>IF($H402="","",IFERROR(IF('Quality Portfolio'!$L$12="",IF($H402&lt;=1,"Critical",IF($H402=2,"High",IF($H402=3,"Medium",IF($H402=4,"Low","Resilient")))),'Quality Portfolio'!$L$12),IF($H402&lt;=1,"Critical",IF($H402=2,"High",IF($H402=3,"Medium",IF($H402=4,"Low","Resilient"))))))</f>
        <v/>
      </c>
      <c r="J402" s="37" t="str">
        <f t="shared" si="90"/>
        <v/>
      </c>
      <c r="K402" s="37" t="str">
        <f t="shared" si="91"/>
        <v/>
      </c>
      <c r="L402" s="37" t="str">
        <f t="shared" si="92"/>
        <v/>
      </c>
      <c r="M402" s="37" t="str">
        <f t="shared" si="93"/>
        <v/>
      </c>
      <c r="N402" s="37" t="str">
        <f>IF($H402="","",IFERROR(INDEX('Risk Library'!$T$5:$Y$411,MATCH($E402,'Risk Library'!$A$5:$A$411,0),$H402+1),""))</f>
        <v/>
      </c>
      <c r="O402" s="37" t="str">
        <f t="shared" si="94"/>
        <v/>
      </c>
      <c r="P402" s="37" t="str">
        <f t="shared" si="95"/>
        <v/>
      </c>
      <c r="Q402" s="37" t="str">
        <f t="shared" si="96"/>
        <v/>
      </c>
      <c r="R402" s="37" t="str">
        <f t="shared" si="97"/>
        <v/>
      </c>
      <c r="S402" s="38" t="str">
        <f t="shared" si="98"/>
        <v/>
      </c>
      <c r="T402" s="36" t="str">
        <f>IF($H402="","",IFERROR(INDEX('Risk Library'!$N$5:$S$411,MATCH($E402,'Risk Library'!$A$5:$A$411,0),$H402+1),""))</f>
        <v/>
      </c>
      <c r="U402" s="37">
        <f>IFERROR('Quality Portfolio'!$G$12,"")</f>
        <v>5</v>
      </c>
      <c r="V402" s="37">
        <f>IFERROR('Quality Portfolio'!$W$12,"")</f>
        <v>4</v>
      </c>
      <c r="W402" s="37">
        <f>IFERROR('Quality Portfolio'!$X$12,"")</f>
        <v>5</v>
      </c>
      <c r="X402" s="37">
        <f>IFERROR('Quality Portfolio'!$Y$12,"")</f>
        <v>5</v>
      </c>
      <c r="Y402" s="36" t="s">
        <v>5819</v>
      </c>
      <c r="Z402" s="36" t="s">
        <v>5820</v>
      </c>
      <c r="AA402" s="36" t="s">
        <v>5884</v>
      </c>
      <c r="AB402" s="36">
        <f>IFERROR('Quality Portfolio'!$U$12,"")</f>
        <v>0</v>
      </c>
      <c r="AC402" s="36"/>
      <c r="AD402" s="36"/>
      <c r="AE402" s="36"/>
      <c r="AF402" s="36" t="s">
        <v>5883</v>
      </c>
      <c r="AO402" s="48" t="str">
        <f>IF($B402="Yes",IFERROR(SUMIFS(_TECH_Crisis_Model!$D$5:$D$191,_TECH_Crisis_Model!$A$5:$A$191,'Crisis Simulator'!$B$4,_TECH_Crisis_Model!$B$5:$B$191,$C402),1),"")</f>
        <v/>
      </c>
      <c r="AP402" s="48" t="str">
        <f t="shared" si="99"/>
        <v/>
      </c>
      <c r="AQ402" s="48" t="str">
        <f t="shared" si="100"/>
        <v/>
      </c>
      <c r="AR402" s="48" t="str">
        <f>IFERROR(INDEX(_TECH_Crisis_Model!$E$5:$E$191,MATCH('Crisis Simulator'!$B$4&amp;"|"&amp;$C402,_TECH_Crisis_Model!$I$5:$I$191,0)),"")</f>
        <v>Portfolio discipline and benefits realization determine whether scarce resources are focused on the right actions.</v>
      </c>
      <c r="AS402" s="48" t="str">
        <f>IFERROR(INDEX(_TECH_Crisis_Model!$G$5:$G$191,MATCH('Crisis Simulator'!$B$4&amp;"|"&amp;$C402,_TECH_Crisis_Model!$I$5:$I$191,0)),"")</f>
        <v>Prioritize crisis initiatives by value, risk reduction, dependencies and implementation waves.</v>
      </c>
      <c r="AT402" s="48" t="str">
        <f>IFERROR(INDEX(_TECH_Initiative_Library!$A$5:$A$76,MATCH(1,INDEX((_TECH_Initiative_Library!$B$5:$B$76=$C402)*(_TECH_Initiative_Library!$C$5:$C$76=$D402),0),0)),"")</f>
        <v>INI-070</v>
      </c>
      <c r="AU402" s="48" t="str">
        <f>IFERROR(INDEX(_TECH_Initiative_Library!$F$5:$F$76,MATCH(1,INDEX((_TECH_Initiative_Library!$B$5:$B$76=$C402)*(_TECH_Initiative_Library!$C$5:$C$76=$D402),0),0)),"")</f>
        <v>Strengthen quality management and audit readiness</v>
      </c>
      <c r="AV402" s="48" t="str">
        <f ca="1">IFERROR(INDEX(_TECH_Initiative_Library!$AC$5:$AC$76,MATCH(1,INDEX((_TECH_Initiative_Library!$B$5:$B$76=$C402)*(_TECH_Initiative_Library!$C$5:$C$76=$D402),0),0)),"")</f>
        <v/>
      </c>
      <c r="AW402" s="48" t="str">
        <f ca="1">IFERROR(INDEX(_TECH_Initiative_Library!$AE$5:$AE$76,MATCH(1,INDEX((_TECH_Initiative_Library!$B$5:$B$76=$C402)*(_TECH_Initiative_Library!$C$5:$C$76=$D402),0),0)),"")</f>
        <v/>
      </c>
      <c r="AX402" s="48" t="str">
        <f>IF($B402="Yes",IFERROR(SUMIFS(_TECH_Industry_Templates!$E:$E,_TECH_Industry_Templates!$A:$A,'Company Profile'!$B$9,_TECH_Industry_Templates!$B:$B,$C402),1),"")</f>
        <v/>
      </c>
      <c r="AY402" s="48" t="str">
        <f t="shared" si="101"/>
        <v/>
      </c>
      <c r="AZ402" s="48" t="str">
        <f t="shared" si="102"/>
        <v/>
      </c>
      <c r="BA402" s="48" t="str">
        <f>IF($AZ402="","",RANK.EQ($AZ402,$AZ$8:$AZ$414,0)+COUNTIF($AZ$8:$AZ402,$AZ402)-1)</f>
        <v/>
      </c>
    </row>
    <row r="403" spans="1:53" ht="69.95" customHeight="1">
      <c r="A403" s="36" t="str">
        <f>IF($AZ403="","",RANK.EQ($AZ403,$AZ$8:$AZ$414,0)+COUNTIF($AZ$8:$AZ403,$AZ403)-1)</f>
        <v/>
      </c>
      <c r="B403" s="36" t="str">
        <f t="shared" si="89"/>
        <v/>
      </c>
      <c r="C403" s="36" t="s">
        <v>94</v>
      </c>
      <c r="D403" s="36" t="s">
        <v>1647</v>
      </c>
      <c r="E403" s="36" t="s">
        <v>5892</v>
      </c>
      <c r="F403" s="36" t="s">
        <v>1639</v>
      </c>
      <c r="G403" s="36" t="str">
        <f>IF($H403="","",IFERROR(INDEX('Risk Library'!$H$5:$M$411,MATCH($E403,'Risk Library'!$A$5:$A$411,0),$H403+1),""))</f>
        <v/>
      </c>
      <c r="H403" s="37" t="str">
        <f>IF(OR(COUNTA('Quality Portfolio'!$H$13)=0,'Quality Portfolio'!$H$13="N/A"),"",VALUE('Quality Portfolio'!$H$13))</f>
        <v/>
      </c>
      <c r="I403" s="36" t="str">
        <f>IF($H403="","",IFERROR(IF('Quality Portfolio'!$L$13="",IF($H403&lt;=1,"Critical",IF($H403=2,"High",IF($H403=3,"Medium",IF($H403=4,"Low","Resilient")))),'Quality Portfolio'!$L$13),IF($H403&lt;=1,"Critical",IF($H403=2,"High",IF($H403=3,"Medium",IF($H403=4,"Low","Resilient"))))))</f>
        <v/>
      </c>
      <c r="J403" s="37" t="str">
        <f t="shared" si="90"/>
        <v/>
      </c>
      <c r="K403" s="37" t="str">
        <f t="shared" si="91"/>
        <v/>
      </c>
      <c r="L403" s="37" t="str">
        <f t="shared" si="92"/>
        <v/>
      </c>
      <c r="M403" s="37" t="str">
        <f t="shared" si="93"/>
        <v/>
      </c>
      <c r="N403" s="37" t="str">
        <f>IF($H403="","",IFERROR(INDEX('Risk Library'!$T$5:$Y$411,MATCH($E403,'Risk Library'!$A$5:$A$411,0),$H403+1),""))</f>
        <v/>
      </c>
      <c r="O403" s="37" t="str">
        <f t="shared" si="94"/>
        <v/>
      </c>
      <c r="P403" s="37" t="str">
        <f t="shared" si="95"/>
        <v/>
      </c>
      <c r="Q403" s="37" t="str">
        <f t="shared" si="96"/>
        <v/>
      </c>
      <c r="R403" s="37" t="str">
        <f t="shared" si="97"/>
        <v/>
      </c>
      <c r="S403" s="38" t="str">
        <f t="shared" si="98"/>
        <v/>
      </c>
      <c r="T403" s="36" t="str">
        <f>IF($H403="","",IFERROR(INDEX('Risk Library'!$N$5:$S$411,MATCH($E403,'Risk Library'!$A$5:$A$411,0),$H403+1),""))</f>
        <v/>
      </c>
      <c r="U403" s="37">
        <f>IFERROR('Quality Portfolio'!$G$13,"")</f>
        <v>3</v>
      </c>
      <c r="V403" s="37">
        <f>IFERROR('Quality Portfolio'!$W$13,"")</f>
        <v>4</v>
      </c>
      <c r="W403" s="37">
        <f>IFERROR('Quality Portfolio'!$X$13,"")</f>
        <v>5</v>
      </c>
      <c r="X403" s="37">
        <f>IFERROR('Quality Portfolio'!$Y$13,"")</f>
        <v>5</v>
      </c>
      <c r="Y403" s="36" t="s">
        <v>5819</v>
      </c>
      <c r="Z403" s="36" t="s">
        <v>5820</v>
      </c>
      <c r="AA403" s="36" t="s">
        <v>5894</v>
      </c>
      <c r="AB403" s="36">
        <f>IFERROR('Quality Portfolio'!$U$13,"")</f>
        <v>0</v>
      </c>
      <c r="AC403" s="36"/>
      <c r="AD403" s="36"/>
      <c r="AE403" s="36"/>
      <c r="AF403" s="36" t="s">
        <v>5893</v>
      </c>
      <c r="AO403" s="48" t="str">
        <f>IF($B403="Yes",IFERROR(SUMIFS(_TECH_Crisis_Model!$D$5:$D$191,_TECH_Crisis_Model!$A$5:$A$191,'Crisis Simulator'!$B$4,_TECH_Crisis_Model!$B$5:$B$191,$C403),1),"")</f>
        <v/>
      </c>
      <c r="AP403" s="48" t="str">
        <f t="shared" si="99"/>
        <v/>
      </c>
      <c r="AQ403" s="48" t="str">
        <f t="shared" si="100"/>
        <v/>
      </c>
      <c r="AR403" s="48" t="str">
        <f>IFERROR(INDEX(_TECH_Crisis_Model!$E$5:$E$191,MATCH('Crisis Simulator'!$B$4&amp;"|"&amp;$C403,_TECH_Crisis_Model!$I$5:$I$191,0)),"")</f>
        <v>Portfolio discipline and benefits realization determine whether scarce resources are focused on the right actions.</v>
      </c>
      <c r="AS403" s="48" t="str">
        <f>IFERROR(INDEX(_TECH_Crisis_Model!$G$5:$G$191,MATCH('Crisis Simulator'!$B$4&amp;"|"&amp;$C403,_TECH_Crisis_Model!$I$5:$I$191,0)),"")</f>
        <v>Prioritize crisis initiatives by value, risk reduction, dependencies and implementation waves.</v>
      </c>
      <c r="AT403" s="48" t="str">
        <f>IFERROR(INDEX(_TECH_Initiative_Library!$A$5:$A$76,MATCH(1,INDEX((_TECH_Initiative_Library!$B$5:$B$76=$C403)*(_TECH_Initiative_Library!$C$5:$C$76=$D403),0),0)),"")</f>
        <v>INI-070</v>
      </c>
      <c r="AU403" s="48" t="str">
        <f>IFERROR(INDEX(_TECH_Initiative_Library!$F$5:$F$76,MATCH(1,INDEX((_TECH_Initiative_Library!$B$5:$B$76=$C403)*(_TECH_Initiative_Library!$C$5:$C$76=$D403),0),0)),"")</f>
        <v>Strengthen quality management and audit readiness</v>
      </c>
      <c r="AV403" s="48" t="str">
        <f ca="1">IFERROR(INDEX(_TECH_Initiative_Library!$AC$5:$AC$76,MATCH(1,INDEX((_TECH_Initiative_Library!$B$5:$B$76=$C403)*(_TECH_Initiative_Library!$C$5:$C$76=$D403),0),0)),"")</f>
        <v/>
      </c>
      <c r="AW403" s="48" t="str">
        <f ca="1">IFERROR(INDEX(_TECH_Initiative_Library!$AE$5:$AE$76,MATCH(1,INDEX((_TECH_Initiative_Library!$B$5:$B$76=$C403)*(_TECH_Initiative_Library!$C$5:$C$76=$D403),0),0)),"")</f>
        <v/>
      </c>
      <c r="AX403" s="48" t="str">
        <f>IF($B403="Yes",IFERROR(SUMIFS(_TECH_Industry_Templates!$E:$E,_TECH_Industry_Templates!$A:$A,'Company Profile'!$B$9,_TECH_Industry_Templates!$B:$B,$C403),1),"")</f>
        <v/>
      </c>
      <c r="AY403" s="48" t="str">
        <f t="shared" si="101"/>
        <v/>
      </c>
      <c r="AZ403" s="48" t="str">
        <f t="shared" si="102"/>
        <v/>
      </c>
      <c r="BA403" s="48" t="str">
        <f>IF($AZ403="","",RANK.EQ($AZ403,$AZ$8:$AZ$414,0)+COUNTIF($AZ$8:$AZ403,$AZ403)-1)</f>
        <v/>
      </c>
    </row>
    <row r="404" spans="1:53" ht="69.95" customHeight="1">
      <c r="A404" s="36" t="str">
        <f>IF($AZ404="","",RANK.EQ($AZ404,$AZ$8:$AZ$414,0)+COUNTIF($AZ$8:$AZ404,$AZ404)-1)</f>
        <v/>
      </c>
      <c r="B404" s="36" t="str">
        <f t="shared" si="89"/>
        <v/>
      </c>
      <c r="C404" s="36" t="s">
        <v>94</v>
      </c>
      <c r="D404" s="36" t="s">
        <v>1647</v>
      </c>
      <c r="E404" s="36" t="s">
        <v>5902</v>
      </c>
      <c r="F404" s="36" t="s">
        <v>1639</v>
      </c>
      <c r="G404" s="36" t="str">
        <f>IF($H404="","",IFERROR(INDEX('Risk Library'!$H$5:$M$411,MATCH($E404,'Risk Library'!$A$5:$A$411,0),$H404+1),""))</f>
        <v/>
      </c>
      <c r="H404" s="37" t="str">
        <f>IF(OR(COUNTA('Quality Portfolio'!$H$14)=0,'Quality Portfolio'!$H$14="N/A"),"",VALUE('Quality Portfolio'!$H$14))</f>
        <v/>
      </c>
      <c r="I404" s="36" t="str">
        <f>IF($H404="","",IFERROR(IF('Quality Portfolio'!$L$14="",IF($H404&lt;=1,"Critical",IF($H404=2,"High",IF($H404=3,"Medium",IF($H404=4,"Low","Resilient")))),'Quality Portfolio'!$L$14),IF($H404&lt;=1,"Critical",IF($H404=2,"High",IF($H404=3,"Medium",IF($H404=4,"Low","Resilient"))))))</f>
        <v/>
      </c>
      <c r="J404" s="37" t="str">
        <f t="shared" si="90"/>
        <v/>
      </c>
      <c r="K404" s="37" t="str">
        <f t="shared" si="91"/>
        <v/>
      </c>
      <c r="L404" s="37" t="str">
        <f t="shared" si="92"/>
        <v/>
      </c>
      <c r="M404" s="37" t="str">
        <f t="shared" si="93"/>
        <v/>
      </c>
      <c r="N404" s="37" t="str">
        <f>IF($H404="","",IFERROR(INDEX('Risk Library'!$T$5:$Y$411,MATCH($E404,'Risk Library'!$A$5:$A$411,0),$H404+1),""))</f>
        <v/>
      </c>
      <c r="O404" s="37" t="str">
        <f t="shared" si="94"/>
        <v/>
      </c>
      <c r="P404" s="37" t="str">
        <f t="shared" si="95"/>
        <v/>
      </c>
      <c r="Q404" s="37" t="str">
        <f t="shared" si="96"/>
        <v/>
      </c>
      <c r="R404" s="37" t="str">
        <f t="shared" si="97"/>
        <v/>
      </c>
      <c r="S404" s="38" t="str">
        <f t="shared" si="98"/>
        <v/>
      </c>
      <c r="T404" s="36" t="str">
        <f>IF($H404="","",IFERROR(INDEX('Risk Library'!$N$5:$S$411,MATCH($E404,'Risk Library'!$A$5:$A$411,0),$H404+1),""))</f>
        <v/>
      </c>
      <c r="U404" s="37">
        <f>IFERROR('Quality Portfolio'!$G$14,"")</f>
        <v>4</v>
      </c>
      <c r="V404" s="37">
        <f>IFERROR('Quality Portfolio'!$W$14,"")</f>
        <v>4</v>
      </c>
      <c r="W404" s="37">
        <f>IFERROR('Quality Portfolio'!$X$14,"")</f>
        <v>5</v>
      </c>
      <c r="X404" s="37">
        <f>IFERROR('Quality Portfolio'!$Y$14,"")</f>
        <v>5</v>
      </c>
      <c r="Y404" s="36" t="s">
        <v>5819</v>
      </c>
      <c r="Z404" s="36" t="s">
        <v>5820</v>
      </c>
      <c r="AA404" s="36" t="s">
        <v>5904</v>
      </c>
      <c r="AB404" s="36">
        <f>IFERROR('Quality Portfolio'!$U$14,"")</f>
        <v>0</v>
      </c>
      <c r="AC404" s="36"/>
      <c r="AD404" s="36"/>
      <c r="AE404" s="36"/>
      <c r="AF404" s="36" t="s">
        <v>5903</v>
      </c>
      <c r="AO404" s="48" t="str">
        <f>IF($B404="Yes",IFERROR(SUMIFS(_TECH_Crisis_Model!$D$5:$D$191,_TECH_Crisis_Model!$A$5:$A$191,'Crisis Simulator'!$B$4,_TECH_Crisis_Model!$B$5:$B$191,$C404),1),"")</f>
        <v/>
      </c>
      <c r="AP404" s="48" t="str">
        <f t="shared" si="99"/>
        <v/>
      </c>
      <c r="AQ404" s="48" t="str">
        <f t="shared" si="100"/>
        <v/>
      </c>
      <c r="AR404" s="48" t="str">
        <f>IFERROR(INDEX(_TECH_Crisis_Model!$E$5:$E$191,MATCH('Crisis Simulator'!$B$4&amp;"|"&amp;$C404,_TECH_Crisis_Model!$I$5:$I$191,0)),"")</f>
        <v>Portfolio discipline and benefits realization determine whether scarce resources are focused on the right actions.</v>
      </c>
      <c r="AS404" s="48" t="str">
        <f>IFERROR(INDEX(_TECH_Crisis_Model!$G$5:$G$191,MATCH('Crisis Simulator'!$B$4&amp;"|"&amp;$C404,_TECH_Crisis_Model!$I$5:$I$191,0)),"")</f>
        <v>Prioritize crisis initiatives by value, risk reduction, dependencies and implementation waves.</v>
      </c>
      <c r="AT404" s="48" t="str">
        <f>IFERROR(INDEX(_TECH_Initiative_Library!$A$5:$A$76,MATCH(1,INDEX((_TECH_Initiative_Library!$B$5:$B$76=$C404)*(_TECH_Initiative_Library!$C$5:$C$76=$D404),0),0)),"")</f>
        <v>INI-070</v>
      </c>
      <c r="AU404" s="48" t="str">
        <f>IFERROR(INDEX(_TECH_Initiative_Library!$F$5:$F$76,MATCH(1,INDEX((_TECH_Initiative_Library!$B$5:$B$76=$C404)*(_TECH_Initiative_Library!$C$5:$C$76=$D404),0),0)),"")</f>
        <v>Strengthen quality management and audit readiness</v>
      </c>
      <c r="AV404" s="48" t="str">
        <f ca="1">IFERROR(INDEX(_TECH_Initiative_Library!$AC$5:$AC$76,MATCH(1,INDEX((_TECH_Initiative_Library!$B$5:$B$76=$C404)*(_TECH_Initiative_Library!$C$5:$C$76=$D404),0),0)),"")</f>
        <v/>
      </c>
      <c r="AW404" s="48" t="str">
        <f ca="1">IFERROR(INDEX(_TECH_Initiative_Library!$AE$5:$AE$76,MATCH(1,INDEX((_TECH_Initiative_Library!$B$5:$B$76=$C404)*(_TECH_Initiative_Library!$C$5:$C$76=$D404),0),0)),"")</f>
        <v/>
      </c>
      <c r="AX404" s="48" t="str">
        <f>IF($B404="Yes",IFERROR(SUMIFS(_TECH_Industry_Templates!$E:$E,_TECH_Industry_Templates!$A:$A,'Company Profile'!$B$9,_TECH_Industry_Templates!$B:$B,$C404),1),"")</f>
        <v/>
      </c>
      <c r="AY404" s="48" t="str">
        <f t="shared" si="101"/>
        <v/>
      </c>
      <c r="AZ404" s="48" t="str">
        <f t="shared" si="102"/>
        <v/>
      </c>
      <c r="BA404" s="48" t="str">
        <f>IF($AZ404="","",RANK.EQ($AZ404,$AZ$8:$AZ$414,0)+COUNTIF($AZ$8:$AZ404,$AZ404)-1)</f>
        <v/>
      </c>
    </row>
    <row r="405" spans="1:53" ht="69.95" customHeight="1">
      <c r="A405" s="36" t="str">
        <f>IF($AZ405="","",RANK.EQ($AZ405,$AZ$8:$AZ$414,0)+COUNTIF($AZ$8:$AZ405,$AZ405)-1)</f>
        <v/>
      </c>
      <c r="B405" s="36" t="str">
        <f t="shared" si="89"/>
        <v/>
      </c>
      <c r="C405" s="36" t="s">
        <v>94</v>
      </c>
      <c r="D405" s="36" t="s">
        <v>1655</v>
      </c>
      <c r="E405" s="36" t="s">
        <v>5912</v>
      </c>
      <c r="F405" s="36" t="s">
        <v>1639</v>
      </c>
      <c r="G405" s="36" t="str">
        <f>IF($H405="","",IFERROR(INDEX('Risk Library'!$H$5:$M$411,MATCH($E405,'Risk Library'!$A$5:$A$411,0),$H405+1),""))</f>
        <v/>
      </c>
      <c r="H405" s="37" t="str">
        <f>IF(OR(COUNTA('Quality Portfolio'!$H$15)=0,'Quality Portfolio'!$H$15="N/A"),"",VALUE('Quality Portfolio'!$H$15))</f>
        <v/>
      </c>
      <c r="I405" s="36" t="str">
        <f>IF($H405="","",IFERROR(IF('Quality Portfolio'!$L$15="",IF($H405&lt;=1,"Critical",IF($H405=2,"High",IF($H405=3,"Medium",IF($H405=4,"Low","Resilient")))),'Quality Portfolio'!$L$15),IF($H405&lt;=1,"Critical",IF($H405=2,"High",IF($H405=3,"Medium",IF($H405=4,"Low","Resilient"))))))</f>
        <v/>
      </c>
      <c r="J405" s="37" t="str">
        <f t="shared" si="90"/>
        <v/>
      </c>
      <c r="K405" s="37" t="str">
        <f t="shared" si="91"/>
        <v/>
      </c>
      <c r="L405" s="37" t="str">
        <f t="shared" si="92"/>
        <v/>
      </c>
      <c r="M405" s="37" t="str">
        <f t="shared" si="93"/>
        <v/>
      </c>
      <c r="N405" s="37" t="str">
        <f>IF($H405="","",IFERROR(INDEX('Risk Library'!$T$5:$Y$411,MATCH($E405,'Risk Library'!$A$5:$A$411,0),$H405+1),""))</f>
        <v/>
      </c>
      <c r="O405" s="37" t="str">
        <f t="shared" si="94"/>
        <v/>
      </c>
      <c r="P405" s="37" t="str">
        <f t="shared" si="95"/>
        <v/>
      </c>
      <c r="Q405" s="37" t="str">
        <f t="shared" si="96"/>
        <v/>
      </c>
      <c r="R405" s="37" t="str">
        <f t="shared" si="97"/>
        <v/>
      </c>
      <c r="S405" s="38" t="str">
        <f t="shared" si="98"/>
        <v/>
      </c>
      <c r="T405" s="36" t="str">
        <f>IF($H405="","",IFERROR(INDEX('Risk Library'!$N$5:$S$411,MATCH($E405,'Risk Library'!$A$5:$A$411,0),$H405+1),""))</f>
        <v/>
      </c>
      <c r="U405" s="37">
        <f>IFERROR('Quality Portfolio'!$G$15,"")</f>
        <v>4</v>
      </c>
      <c r="V405" s="37">
        <f>IFERROR('Quality Portfolio'!$W$15,"")</f>
        <v>4</v>
      </c>
      <c r="W405" s="37">
        <f>IFERROR('Quality Portfolio'!$X$15,"")</f>
        <v>5</v>
      </c>
      <c r="X405" s="37">
        <f>IFERROR('Quality Portfolio'!$Y$15,"")</f>
        <v>5</v>
      </c>
      <c r="Y405" s="36" t="s">
        <v>5819</v>
      </c>
      <c r="Z405" s="36" t="s">
        <v>5820</v>
      </c>
      <c r="AA405" s="36" t="s">
        <v>5914</v>
      </c>
      <c r="AB405" s="36">
        <f>IFERROR('Quality Portfolio'!$U$15,"")</f>
        <v>0</v>
      </c>
      <c r="AC405" s="36"/>
      <c r="AD405" s="36"/>
      <c r="AE405" s="36"/>
      <c r="AF405" s="36" t="s">
        <v>5913</v>
      </c>
      <c r="AO405" s="48" t="str">
        <f>IF($B405="Yes",IFERROR(SUMIFS(_TECH_Crisis_Model!$D$5:$D$191,_TECH_Crisis_Model!$A$5:$A$191,'Crisis Simulator'!$B$4,_TECH_Crisis_Model!$B$5:$B$191,$C405),1),"")</f>
        <v/>
      </c>
      <c r="AP405" s="48" t="str">
        <f t="shared" si="99"/>
        <v/>
      </c>
      <c r="AQ405" s="48" t="str">
        <f t="shared" si="100"/>
        <v/>
      </c>
      <c r="AR405" s="48" t="str">
        <f>IFERROR(INDEX(_TECH_Crisis_Model!$E$5:$E$191,MATCH('Crisis Simulator'!$B$4&amp;"|"&amp;$C405,_TECH_Crisis_Model!$I$5:$I$191,0)),"")</f>
        <v>Portfolio discipline and benefits realization determine whether scarce resources are focused on the right actions.</v>
      </c>
      <c r="AS405" s="48" t="str">
        <f>IFERROR(INDEX(_TECH_Crisis_Model!$G$5:$G$191,MATCH('Crisis Simulator'!$B$4&amp;"|"&amp;$C405,_TECH_Crisis_Model!$I$5:$I$191,0)),"")</f>
        <v>Prioritize crisis initiatives by value, risk reduction, dependencies and implementation waves.</v>
      </c>
      <c r="AT405" s="48" t="str">
        <f>IFERROR(INDEX(_TECH_Initiative_Library!$A$5:$A$76,MATCH(1,INDEX((_TECH_Initiative_Library!$B$5:$B$76=$C405)*(_TECH_Initiative_Library!$C$5:$C$76=$D405),0),0)),"")</f>
        <v>INI-071</v>
      </c>
      <c r="AU405" s="48" t="str">
        <f>IFERROR(INDEX(_TECH_Initiative_Library!$F$5:$F$76,MATCH(1,INDEX((_TECH_Initiative_Library!$B$5:$B$76=$C405)*(_TECH_Initiative_Library!$C$5:$C$76=$D405),0),0)),"")</f>
        <v>Implement portfolio governance, prioritization and change control</v>
      </c>
      <c r="AV405" s="48" t="str">
        <f ca="1">IFERROR(INDEX(_TECH_Initiative_Library!$AC$5:$AC$76,MATCH(1,INDEX((_TECH_Initiative_Library!$B$5:$B$76=$C405)*(_TECH_Initiative_Library!$C$5:$C$76=$D405),0),0)),"")</f>
        <v/>
      </c>
      <c r="AW405" s="48" t="str">
        <f ca="1">IFERROR(INDEX(_TECH_Initiative_Library!$AE$5:$AE$76,MATCH(1,INDEX((_TECH_Initiative_Library!$B$5:$B$76=$C405)*(_TECH_Initiative_Library!$C$5:$C$76=$D405),0),0)),"")</f>
        <v/>
      </c>
      <c r="AX405" s="48" t="str">
        <f>IF($B405="Yes",IFERROR(SUMIFS(_TECH_Industry_Templates!$E:$E,_TECH_Industry_Templates!$A:$A,'Company Profile'!$B$9,_TECH_Industry_Templates!$B:$B,$C405),1),"")</f>
        <v/>
      </c>
      <c r="AY405" s="48" t="str">
        <f t="shared" si="101"/>
        <v/>
      </c>
      <c r="AZ405" s="48" t="str">
        <f t="shared" si="102"/>
        <v/>
      </c>
      <c r="BA405" s="48" t="str">
        <f>IF($AZ405="","",RANK.EQ($AZ405,$AZ$8:$AZ$414,0)+COUNTIF($AZ$8:$AZ405,$AZ405)-1)</f>
        <v/>
      </c>
    </row>
    <row r="406" spans="1:53" ht="69.95" customHeight="1">
      <c r="A406" s="36" t="str">
        <f>IF($AZ406="","",RANK.EQ($AZ406,$AZ$8:$AZ$414,0)+COUNTIF($AZ$8:$AZ406,$AZ406)-1)</f>
        <v/>
      </c>
      <c r="B406" s="36" t="str">
        <f t="shared" si="89"/>
        <v/>
      </c>
      <c r="C406" s="36" t="s">
        <v>94</v>
      </c>
      <c r="D406" s="36" t="s">
        <v>1655</v>
      </c>
      <c r="E406" s="36" t="s">
        <v>5922</v>
      </c>
      <c r="F406" s="36" t="s">
        <v>1639</v>
      </c>
      <c r="G406" s="36" t="str">
        <f>IF($H406="","",IFERROR(INDEX('Risk Library'!$H$5:$M$411,MATCH($E406,'Risk Library'!$A$5:$A$411,0),$H406+1),""))</f>
        <v/>
      </c>
      <c r="H406" s="37" t="str">
        <f>IF(OR(COUNTA('Quality Portfolio'!$H$16)=0,'Quality Portfolio'!$H$16="N/A"),"",VALUE('Quality Portfolio'!$H$16))</f>
        <v/>
      </c>
      <c r="I406" s="36" t="str">
        <f>IF($H406="","",IFERROR(IF('Quality Portfolio'!$L$16="",IF($H406&lt;=1,"Critical",IF($H406=2,"High",IF($H406=3,"Medium",IF($H406=4,"Low","Resilient")))),'Quality Portfolio'!$L$16),IF($H406&lt;=1,"Critical",IF($H406=2,"High",IF($H406=3,"Medium",IF($H406=4,"Low","Resilient"))))))</f>
        <v/>
      </c>
      <c r="J406" s="37" t="str">
        <f t="shared" si="90"/>
        <v/>
      </c>
      <c r="K406" s="37" t="str">
        <f t="shared" si="91"/>
        <v/>
      </c>
      <c r="L406" s="37" t="str">
        <f t="shared" si="92"/>
        <v/>
      </c>
      <c r="M406" s="37" t="str">
        <f t="shared" si="93"/>
        <v/>
      </c>
      <c r="N406" s="37" t="str">
        <f>IF($H406="","",IFERROR(INDEX('Risk Library'!$T$5:$Y$411,MATCH($E406,'Risk Library'!$A$5:$A$411,0),$H406+1),""))</f>
        <v/>
      </c>
      <c r="O406" s="37" t="str">
        <f t="shared" si="94"/>
        <v/>
      </c>
      <c r="P406" s="37" t="str">
        <f t="shared" si="95"/>
        <v/>
      </c>
      <c r="Q406" s="37" t="str">
        <f t="shared" si="96"/>
        <v/>
      </c>
      <c r="R406" s="37" t="str">
        <f t="shared" si="97"/>
        <v/>
      </c>
      <c r="S406" s="38" t="str">
        <f t="shared" si="98"/>
        <v/>
      </c>
      <c r="T406" s="36" t="str">
        <f>IF($H406="","",IFERROR(INDEX('Risk Library'!$N$5:$S$411,MATCH($E406,'Risk Library'!$A$5:$A$411,0),$H406+1),""))</f>
        <v/>
      </c>
      <c r="U406" s="37">
        <f>IFERROR('Quality Portfolio'!$G$16,"")</f>
        <v>5</v>
      </c>
      <c r="V406" s="37">
        <f>IFERROR('Quality Portfolio'!$W$16,"")</f>
        <v>4</v>
      </c>
      <c r="W406" s="37">
        <f>IFERROR('Quality Portfolio'!$X$16,"")</f>
        <v>5</v>
      </c>
      <c r="X406" s="37">
        <f>IFERROR('Quality Portfolio'!$Y$16,"")</f>
        <v>5</v>
      </c>
      <c r="Y406" s="36" t="s">
        <v>5819</v>
      </c>
      <c r="Z406" s="36" t="s">
        <v>5820</v>
      </c>
      <c r="AA406" s="36" t="s">
        <v>5924</v>
      </c>
      <c r="AB406" s="36">
        <f>IFERROR('Quality Portfolio'!$U$16,"")</f>
        <v>0</v>
      </c>
      <c r="AC406" s="36"/>
      <c r="AD406" s="36"/>
      <c r="AE406" s="36"/>
      <c r="AF406" s="36" t="s">
        <v>5923</v>
      </c>
      <c r="AO406" s="48" t="str">
        <f>IF($B406="Yes",IFERROR(SUMIFS(_TECH_Crisis_Model!$D$5:$D$191,_TECH_Crisis_Model!$A$5:$A$191,'Crisis Simulator'!$B$4,_TECH_Crisis_Model!$B$5:$B$191,$C406),1),"")</f>
        <v/>
      </c>
      <c r="AP406" s="48" t="str">
        <f t="shared" si="99"/>
        <v/>
      </c>
      <c r="AQ406" s="48" t="str">
        <f t="shared" si="100"/>
        <v/>
      </c>
      <c r="AR406" s="48" t="str">
        <f>IFERROR(INDEX(_TECH_Crisis_Model!$E$5:$E$191,MATCH('Crisis Simulator'!$B$4&amp;"|"&amp;$C406,_TECH_Crisis_Model!$I$5:$I$191,0)),"")</f>
        <v>Portfolio discipline and benefits realization determine whether scarce resources are focused on the right actions.</v>
      </c>
      <c r="AS406" s="48" t="str">
        <f>IFERROR(INDEX(_TECH_Crisis_Model!$G$5:$G$191,MATCH('Crisis Simulator'!$B$4&amp;"|"&amp;$C406,_TECH_Crisis_Model!$I$5:$I$191,0)),"")</f>
        <v>Prioritize crisis initiatives by value, risk reduction, dependencies and implementation waves.</v>
      </c>
      <c r="AT406" s="48" t="str">
        <f>IFERROR(INDEX(_TECH_Initiative_Library!$A$5:$A$76,MATCH(1,INDEX((_TECH_Initiative_Library!$B$5:$B$76=$C406)*(_TECH_Initiative_Library!$C$5:$C$76=$D406),0),0)),"")</f>
        <v>INI-071</v>
      </c>
      <c r="AU406" s="48" t="str">
        <f>IFERROR(INDEX(_TECH_Initiative_Library!$F$5:$F$76,MATCH(1,INDEX((_TECH_Initiative_Library!$B$5:$B$76=$C406)*(_TECH_Initiative_Library!$C$5:$C$76=$D406),0),0)),"")</f>
        <v>Implement portfolio governance, prioritization and change control</v>
      </c>
      <c r="AV406" s="48" t="str">
        <f ca="1">IFERROR(INDEX(_TECH_Initiative_Library!$AC$5:$AC$76,MATCH(1,INDEX((_TECH_Initiative_Library!$B$5:$B$76=$C406)*(_TECH_Initiative_Library!$C$5:$C$76=$D406),0),0)),"")</f>
        <v/>
      </c>
      <c r="AW406" s="48" t="str">
        <f ca="1">IFERROR(INDEX(_TECH_Initiative_Library!$AE$5:$AE$76,MATCH(1,INDEX((_TECH_Initiative_Library!$B$5:$B$76=$C406)*(_TECH_Initiative_Library!$C$5:$C$76=$D406),0),0)),"")</f>
        <v/>
      </c>
      <c r="AX406" s="48" t="str">
        <f>IF($B406="Yes",IFERROR(SUMIFS(_TECH_Industry_Templates!$E:$E,_TECH_Industry_Templates!$A:$A,'Company Profile'!$B$9,_TECH_Industry_Templates!$B:$B,$C406),1),"")</f>
        <v/>
      </c>
      <c r="AY406" s="48" t="str">
        <f t="shared" si="101"/>
        <v/>
      </c>
      <c r="AZ406" s="48" t="str">
        <f t="shared" si="102"/>
        <v/>
      </c>
      <c r="BA406" s="48" t="str">
        <f>IF($AZ406="","",RANK.EQ($AZ406,$AZ$8:$AZ$414,0)+COUNTIF($AZ$8:$AZ406,$AZ406)-1)</f>
        <v/>
      </c>
    </row>
    <row r="407" spans="1:53" ht="69.95" customHeight="1">
      <c r="A407" s="36" t="str">
        <f>IF($AZ407="","",RANK.EQ($AZ407,$AZ$8:$AZ$414,0)+COUNTIF($AZ$8:$AZ407,$AZ407)-1)</f>
        <v/>
      </c>
      <c r="B407" s="36" t="str">
        <f t="shared" si="89"/>
        <v/>
      </c>
      <c r="C407" s="36" t="s">
        <v>94</v>
      </c>
      <c r="D407" s="36" t="s">
        <v>1655</v>
      </c>
      <c r="E407" s="36" t="s">
        <v>5932</v>
      </c>
      <c r="F407" s="36" t="s">
        <v>1639</v>
      </c>
      <c r="G407" s="36" t="str">
        <f>IF($H407="","",IFERROR(INDEX('Risk Library'!$H$5:$M$411,MATCH($E407,'Risk Library'!$A$5:$A$411,0),$H407+1),""))</f>
        <v/>
      </c>
      <c r="H407" s="37" t="str">
        <f>IF(OR(COUNTA('Quality Portfolio'!$H$17)=0,'Quality Portfolio'!$H$17="N/A"),"",VALUE('Quality Portfolio'!$H$17))</f>
        <v/>
      </c>
      <c r="I407" s="36" t="str">
        <f>IF($H407="","",IFERROR(IF('Quality Portfolio'!$L$17="",IF($H407&lt;=1,"Critical",IF($H407=2,"High",IF($H407=3,"Medium",IF($H407=4,"Low","Resilient")))),'Quality Portfolio'!$L$17),IF($H407&lt;=1,"Critical",IF($H407=2,"High",IF($H407=3,"Medium",IF($H407=4,"Low","Resilient"))))))</f>
        <v/>
      </c>
      <c r="J407" s="37" t="str">
        <f t="shared" si="90"/>
        <v/>
      </c>
      <c r="K407" s="37" t="str">
        <f t="shared" si="91"/>
        <v/>
      </c>
      <c r="L407" s="37" t="str">
        <f t="shared" si="92"/>
        <v/>
      </c>
      <c r="M407" s="37" t="str">
        <f t="shared" si="93"/>
        <v/>
      </c>
      <c r="N407" s="37" t="str">
        <f>IF($H407="","",IFERROR(INDEX('Risk Library'!$T$5:$Y$411,MATCH($E407,'Risk Library'!$A$5:$A$411,0),$H407+1),""))</f>
        <v/>
      </c>
      <c r="O407" s="37" t="str">
        <f t="shared" si="94"/>
        <v/>
      </c>
      <c r="P407" s="37" t="str">
        <f t="shared" si="95"/>
        <v/>
      </c>
      <c r="Q407" s="37" t="str">
        <f t="shared" si="96"/>
        <v/>
      </c>
      <c r="R407" s="37" t="str">
        <f t="shared" si="97"/>
        <v/>
      </c>
      <c r="S407" s="38" t="str">
        <f t="shared" si="98"/>
        <v/>
      </c>
      <c r="T407" s="36" t="str">
        <f>IF($H407="","",IFERROR(INDEX('Risk Library'!$N$5:$S$411,MATCH($E407,'Risk Library'!$A$5:$A$411,0),$H407+1),""))</f>
        <v/>
      </c>
      <c r="U407" s="37">
        <f>IFERROR('Quality Portfolio'!$G$17,"")</f>
        <v>3</v>
      </c>
      <c r="V407" s="37">
        <f>IFERROR('Quality Portfolio'!$W$17,"")</f>
        <v>4</v>
      </c>
      <c r="W407" s="37">
        <f>IFERROR('Quality Portfolio'!$X$17,"")</f>
        <v>5</v>
      </c>
      <c r="X407" s="37">
        <f>IFERROR('Quality Portfolio'!$Y$17,"")</f>
        <v>5</v>
      </c>
      <c r="Y407" s="36" t="s">
        <v>5819</v>
      </c>
      <c r="Z407" s="36" t="s">
        <v>5820</v>
      </c>
      <c r="AA407" s="36" t="s">
        <v>5934</v>
      </c>
      <c r="AB407" s="36">
        <f>IFERROR('Quality Portfolio'!$U$17,"")</f>
        <v>0</v>
      </c>
      <c r="AC407" s="36"/>
      <c r="AD407" s="36"/>
      <c r="AE407" s="36"/>
      <c r="AF407" s="36" t="s">
        <v>5933</v>
      </c>
      <c r="AO407" s="48" t="str">
        <f>IF($B407="Yes",IFERROR(SUMIFS(_TECH_Crisis_Model!$D$5:$D$191,_TECH_Crisis_Model!$A$5:$A$191,'Crisis Simulator'!$B$4,_TECH_Crisis_Model!$B$5:$B$191,$C407),1),"")</f>
        <v/>
      </c>
      <c r="AP407" s="48" t="str">
        <f t="shared" si="99"/>
        <v/>
      </c>
      <c r="AQ407" s="48" t="str">
        <f t="shared" si="100"/>
        <v/>
      </c>
      <c r="AR407" s="48" t="str">
        <f>IFERROR(INDEX(_TECH_Crisis_Model!$E$5:$E$191,MATCH('Crisis Simulator'!$B$4&amp;"|"&amp;$C407,_TECH_Crisis_Model!$I$5:$I$191,0)),"")</f>
        <v>Portfolio discipline and benefits realization determine whether scarce resources are focused on the right actions.</v>
      </c>
      <c r="AS407" s="48" t="str">
        <f>IFERROR(INDEX(_TECH_Crisis_Model!$G$5:$G$191,MATCH('Crisis Simulator'!$B$4&amp;"|"&amp;$C407,_TECH_Crisis_Model!$I$5:$I$191,0)),"")</f>
        <v>Prioritize crisis initiatives by value, risk reduction, dependencies and implementation waves.</v>
      </c>
      <c r="AT407" s="48" t="str">
        <f>IFERROR(INDEX(_TECH_Initiative_Library!$A$5:$A$76,MATCH(1,INDEX((_TECH_Initiative_Library!$B$5:$B$76=$C407)*(_TECH_Initiative_Library!$C$5:$C$76=$D407),0),0)),"")</f>
        <v>INI-071</v>
      </c>
      <c r="AU407" s="48" t="str">
        <f>IFERROR(INDEX(_TECH_Initiative_Library!$F$5:$F$76,MATCH(1,INDEX((_TECH_Initiative_Library!$B$5:$B$76=$C407)*(_TECH_Initiative_Library!$C$5:$C$76=$D407),0),0)),"")</f>
        <v>Implement portfolio governance, prioritization and change control</v>
      </c>
      <c r="AV407" s="48" t="str">
        <f ca="1">IFERROR(INDEX(_TECH_Initiative_Library!$AC$5:$AC$76,MATCH(1,INDEX((_TECH_Initiative_Library!$B$5:$B$76=$C407)*(_TECH_Initiative_Library!$C$5:$C$76=$D407),0),0)),"")</f>
        <v/>
      </c>
      <c r="AW407" s="48" t="str">
        <f ca="1">IFERROR(INDEX(_TECH_Initiative_Library!$AE$5:$AE$76,MATCH(1,INDEX((_TECH_Initiative_Library!$B$5:$B$76=$C407)*(_TECH_Initiative_Library!$C$5:$C$76=$D407),0),0)),"")</f>
        <v/>
      </c>
      <c r="AX407" s="48" t="str">
        <f>IF($B407="Yes",IFERROR(SUMIFS(_TECH_Industry_Templates!$E:$E,_TECH_Industry_Templates!$A:$A,'Company Profile'!$B$9,_TECH_Industry_Templates!$B:$B,$C407),1),"")</f>
        <v/>
      </c>
      <c r="AY407" s="48" t="str">
        <f t="shared" si="101"/>
        <v/>
      </c>
      <c r="AZ407" s="48" t="str">
        <f t="shared" si="102"/>
        <v/>
      </c>
      <c r="BA407" s="48" t="str">
        <f>IF($AZ407="","",RANK.EQ($AZ407,$AZ$8:$AZ$414,0)+COUNTIF($AZ$8:$AZ407,$AZ407)-1)</f>
        <v/>
      </c>
    </row>
    <row r="408" spans="1:53" ht="69.95" customHeight="1">
      <c r="A408" s="36" t="str">
        <f>IF($AZ408="","",RANK.EQ($AZ408,$AZ$8:$AZ$414,0)+COUNTIF($AZ$8:$AZ408,$AZ408)-1)</f>
        <v/>
      </c>
      <c r="B408" s="36" t="str">
        <f t="shared" si="89"/>
        <v/>
      </c>
      <c r="C408" s="36" t="s">
        <v>94</v>
      </c>
      <c r="D408" s="36" t="s">
        <v>1655</v>
      </c>
      <c r="E408" s="36" t="s">
        <v>5942</v>
      </c>
      <c r="F408" s="36" t="s">
        <v>1639</v>
      </c>
      <c r="G408" s="36" t="str">
        <f>IF($H408="","",IFERROR(INDEX('Risk Library'!$H$5:$M$411,MATCH($E408,'Risk Library'!$A$5:$A$411,0),$H408+1),""))</f>
        <v/>
      </c>
      <c r="H408" s="37" t="str">
        <f>IF(OR(COUNTA('Quality Portfolio'!$H$18)=0,'Quality Portfolio'!$H$18="N/A"),"",VALUE('Quality Portfolio'!$H$18))</f>
        <v/>
      </c>
      <c r="I408" s="36" t="str">
        <f>IF($H408="","",IFERROR(IF('Quality Portfolio'!$L$18="",IF($H408&lt;=1,"Critical",IF($H408=2,"High",IF($H408=3,"Medium",IF($H408=4,"Low","Resilient")))),'Quality Portfolio'!$L$18),IF($H408&lt;=1,"Critical",IF($H408=2,"High",IF($H408=3,"Medium",IF($H408=4,"Low","Resilient"))))))</f>
        <v/>
      </c>
      <c r="J408" s="37" t="str">
        <f t="shared" si="90"/>
        <v/>
      </c>
      <c r="K408" s="37" t="str">
        <f t="shared" si="91"/>
        <v/>
      </c>
      <c r="L408" s="37" t="str">
        <f t="shared" si="92"/>
        <v/>
      </c>
      <c r="M408" s="37" t="str">
        <f t="shared" si="93"/>
        <v/>
      </c>
      <c r="N408" s="37" t="str">
        <f>IF($H408="","",IFERROR(INDEX('Risk Library'!$T$5:$Y$411,MATCH($E408,'Risk Library'!$A$5:$A$411,0),$H408+1),""))</f>
        <v/>
      </c>
      <c r="O408" s="37" t="str">
        <f t="shared" si="94"/>
        <v/>
      </c>
      <c r="P408" s="37" t="str">
        <f t="shared" si="95"/>
        <v/>
      </c>
      <c r="Q408" s="37" t="str">
        <f t="shared" si="96"/>
        <v/>
      </c>
      <c r="R408" s="37" t="str">
        <f t="shared" si="97"/>
        <v/>
      </c>
      <c r="S408" s="38" t="str">
        <f t="shared" si="98"/>
        <v/>
      </c>
      <c r="T408" s="36" t="str">
        <f>IF($H408="","",IFERROR(INDEX('Risk Library'!$N$5:$S$411,MATCH($E408,'Risk Library'!$A$5:$A$411,0),$H408+1),""))</f>
        <v/>
      </c>
      <c r="U408" s="37">
        <f>IFERROR('Quality Portfolio'!$G$18,"")</f>
        <v>3</v>
      </c>
      <c r="V408" s="37">
        <f>IFERROR('Quality Portfolio'!$W$18,"")</f>
        <v>4</v>
      </c>
      <c r="W408" s="37">
        <f>IFERROR('Quality Portfolio'!$X$18,"")</f>
        <v>5</v>
      </c>
      <c r="X408" s="37">
        <f>IFERROR('Quality Portfolio'!$Y$18,"")</f>
        <v>5</v>
      </c>
      <c r="Y408" s="36" t="s">
        <v>5819</v>
      </c>
      <c r="Z408" s="36" t="s">
        <v>5820</v>
      </c>
      <c r="AA408" s="36" t="s">
        <v>5944</v>
      </c>
      <c r="AB408" s="36">
        <f>IFERROR('Quality Portfolio'!$U$18,"")</f>
        <v>0</v>
      </c>
      <c r="AC408" s="36"/>
      <c r="AD408" s="36"/>
      <c r="AE408" s="36"/>
      <c r="AF408" s="36" t="s">
        <v>5943</v>
      </c>
      <c r="AO408" s="48" t="str">
        <f>IF($B408="Yes",IFERROR(SUMIFS(_TECH_Crisis_Model!$D$5:$D$191,_TECH_Crisis_Model!$A$5:$A$191,'Crisis Simulator'!$B$4,_TECH_Crisis_Model!$B$5:$B$191,$C408),1),"")</f>
        <v/>
      </c>
      <c r="AP408" s="48" t="str">
        <f t="shared" si="99"/>
        <v/>
      </c>
      <c r="AQ408" s="48" t="str">
        <f t="shared" si="100"/>
        <v/>
      </c>
      <c r="AR408" s="48" t="str">
        <f>IFERROR(INDEX(_TECH_Crisis_Model!$E$5:$E$191,MATCH('Crisis Simulator'!$B$4&amp;"|"&amp;$C408,_TECH_Crisis_Model!$I$5:$I$191,0)),"")</f>
        <v>Portfolio discipline and benefits realization determine whether scarce resources are focused on the right actions.</v>
      </c>
      <c r="AS408" s="48" t="str">
        <f>IFERROR(INDEX(_TECH_Crisis_Model!$G$5:$G$191,MATCH('Crisis Simulator'!$B$4&amp;"|"&amp;$C408,_TECH_Crisis_Model!$I$5:$I$191,0)),"")</f>
        <v>Prioritize crisis initiatives by value, risk reduction, dependencies and implementation waves.</v>
      </c>
      <c r="AT408" s="48" t="str">
        <f>IFERROR(INDEX(_TECH_Initiative_Library!$A$5:$A$76,MATCH(1,INDEX((_TECH_Initiative_Library!$B$5:$B$76=$C408)*(_TECH_Initiative_Library!$C$5:$C$76=$D408),0),0)),"")</f>
        <v>INI-071</v>
      </c>
      <c r="AU408" s="48" t="str">
        <f>IFERROR(INDEX(_TECH_Initiative_Library!$F$5:$F$76,MATCH(1,INDEX((_TECH_Initiative_Library!$B$5:$B$76=$C408)*(_TECH_Initiative_Library!$C$5:$C$76=$D408),0),0)),"")</f>
        <v>Implement portfolio governance, prioritization and change control</v>
      </c>
      <c r="AV408" s="48" t="str">
        <f ca="1">IFERROR(INDEX(_TECH_Initiative_Library!$AC$5:$AC$76,MATCH(1,INDEX((_TECH_Initiative_Library!$B$5:$B$76=$C408)*(_TECH_Initiative_Library!$C$5:$C$76=$D408),0),0)),"")</f>
        <v/>
      </c>
      <c r="AW408" s="48" t="str">
        <f ca="1">IFERROR(INDEX(_TECH_Initiative_Library!$AE$5:$AE$76,MATCH(1,INDEX((_TECH_Initiative_Library!$B$5:$B$76=$C408)*(_TECH_Initiative_Library!$C$5:$C$76=$D408),0),0)),"")</f>
        <v/>
      </c>
      <c r="AX408" s="48" t="str">
        <f>IF($B408="Yes",IFERROR(SUMIFS(_TECH_Industry_Templates!$E:$E,_TECH_Industry_Templates!$A:$A,'Company Profile'!$B$9,_TECH_Industry_Templates!$B:$B,$C408),1),"")</f>
        <v/>
      </c>
      <c r="AY408" s="48" t="str">
        <f t="shared" si="101"/>
        <v/>
      </c>
      <c r="AZ408" s="48" t="str">
        <f t="shared" si="102"/>
        <v/>
      </c>
      <c r="BA408" s="48" t="str">
        <f>IF($AZ408="","",RANK.EQ($AZ408,$AZ$8:$AZ$414,0)+COUNTIF($AZ$8:$AZ408,$AZ408)-1)</f>
        <v/>
      </c>
    </row>
    <row r="409" spans="1:53" ht="69.95" customHeight="1">
      <c r="A409" s="36" t="str">
        <f>IF($AZ409="","",RANK.EQ($AZ409,$AZ$8:$AZ$414,0)+COUNTIF($AZ$8:$AZ409,$AZ409)-1)</f>
        <v/>
      </c>
      <c r="B409" s="36" t="str">
        <f t="shared" si="89"/>
        <v/>
      </c>
      <c r="C409" s="36" t="s">
        <v>94</v>
      </c>
      <c r="D409" s="36" t="s">
        <v>1655</v>
      </c>
      <c r="E409" s="36" t="s">
        <v>5952</v>
      </c>
      <c r="F409" s="36" t="s">
        <v>1639</v>
      </c>
      <c r="G409" s="36" t="str">
        <f>IF($H409="","",IFERROR(INDEX('Risk Library'!$H$5:$M$411,MATCH($E409,'Risk Library'!$A$5:$A$411,0),$H409+1),""))</f>
        <v/>
      </c>
      <c r="H409" s="37" t="str">
        <f>IF(OR(COUNTA('Quality Portfolio'!$H$19)=0,'Quality Portfolio'!$H$19="N/A"),"",VALUE('Quality Portfolio'!$H$19))</f>
        <v/>
      </c>
      <c r="I409" s="36" t="str">
        <f>IF($H409="","",IFERROR(IF('Quality Portfolio'!$L$19="",IF($H409&lt;=1,"Critical",IF($H409=2,"High",IF($H409=3,"Medium",IF($H409=4,"Low","Resilient")))),'Quality Portfolio'!$L$19),IF($H409&lt;=1,"Critical",IF($H409=2,"High",IF($H409=3,"Medium",IF($H409=4,"Low","Resilient"))))))</f>
        <v/>
      </c>
      <c r="J409" s="37" t="str">
        <f t="shared" si="90"/>
        <v/>
      </c>
      <c r="K409" s="37" t="str">
        <f t="shared" si="91"/>
        <v/>
      </c>
      <c r="L409" s="37" t="str">
        <f t="shared" si="92"/>
        <v/>
      </c>
      <c r="M409" s="37" t="str">
        <f t="shared" si="93"/>
        <v/>
      </c>
      <c r="N409" s="37" t="str">
        <f>IF($H409="","",IFERROR(INDEX('Risk Library'!$T$5:$Y$411,MATCH($E409,'Risk Library'!$A$5:$A$411,0),$H409+1),""))</f>
        <v/>
      </c>
      <c r="O409" s="37" t="str">
        <f t="shared" si="94"/>
        <v/>
      </c>
      <c r="P409" s="37" t="str">
        <f t="shared" si="95"/>
        <v/>
      </c>
      <c r="Q409" s="37" t="str">
        <f t="shared" si="96"/>
        <v/>
      </c>
      <c r="R409" s="37" t="str">
        <f t="shared" si="97"/>
        <v/>
      </c>
      <c r="S409" s="38" t="str">
        <f t="shared" si="98"/>
        <v/>
      </c>
      <c r="T409" s="36" t="str">
        <f>IF($H409="","",IFERROR(INDEX('Risk Library'!$N$5:$S$411,MATCH($E409,'Risk Library'!$A$5:$A$411,0),$H409+1),""))</f>
        <v/>
      </c>
      <c r="U409" s="37">
        <f>IFERROR('Quality Portfolio'!$G$19,"")</f>
        <v>5</v>
      </c>
      <c r="V409" s="37">
        <f>IFERROR('Quality Portfolio'!$W$19,"")</f>
        <v>4</v>
      </c>
      <c r="W409" s="37">
        <f>IFERROR('Quality Portfolio'!$X$19,"")</f>
        <v>5</v>
      </c>
      <c r="X409" s="37">
        <f>IFERROR('Quality Portfolio'!$Y$19,"")</f>
        <v>5</v>
      </c>
      <c r="Y409" s="36" t="s">
        <v>5819</v>
      </c>
      <c r="Z409" s="36" t="s">
        <v>5820</v>
      </c>
      <c r="AA409" s="36" t="s">
        <v>5954</v>
      </c>
      <c r="AB409" s="36">
        <f>IFERROR('Quality Portfolio'!$U$19,"")</f>
        <v>0</v>
      </c>
      <c r="AC409" s="36"/>
      <c r="AD409" s="36"/>
      <c r="AE409" s="36"/>
      <c r="AF409" s="36" t="s">
        <v>5953</v>
      </c>
      <c r="AO409" s="48" t="str">
        <f>IF($B409="Yes",IFERROR(SUMIFS(_TECH_Crisis_Model!$D$5:$D$191,_TECH_Crisis_Model!$A$5:$A$191,'Crisis Simulator'!$B$4,_TECH_Crisis_Model!$B$5:$B$191,$C409),1),"")</f>
        <v/>
      </c>
      <c r="AP409" s="48" t="str">
        <f t="shared" si="99"/>
        <v/>
      </c>
      <c r="AQ409" s="48" t="str">
        <f t="shared" si="100"/>
        <v/>
      </c>
      <c r="AR409" s="48" t="str">
        <f>IFERROR(INDEX(_TECH_Crisis_Model!$E$5:$E$191,MATCH('Crisis Simulator'!$B$4&amp;"|"&amp;$C409,_TECH_Crisis_Model!$I$5:$I$191,0)),"")</f>
        <v>Portfolio discipline and benefits realization determine whether scarce resources are focused on the right actions.</v>
      </c>
      <c r="AS409" s="48" t="str">
        <f>IFERROR(INDEX(_TECH_Crisis_Model!$G$5:$G$191,MATCH('Crisis Simulator'!$B$4&amp;"|"&amp;$C409,_TECH_Crisis_Model!$I$5:$I$191,0)),"")</f>
        <v>Prioritize crisis initiatives by value, risk reduction, dependencies and implementation waves.</v>
      </c>
      <c r="AT409" s="48" t="str">
        <f>IFERROR(INDEX(_TECH_Initiative_Library!$A$5:$A$76,MATCH(1,INDEX((_TECH_Initiative_Library!$B$5:$B$76=$C409)*(_TECH_Initiative_Library!$C$5:$C$76=$D409),0),0)),"")</f>
        <v>INI-071</v>
      </c>
      <c r="AU409" s="48" t="str">
        <f>IFERROR(INDEX(_TECH_Initiative_Library!$F$5:$F$76,MATCH(1,INDEX((_TECH_Initiative_Library!$B$5:$B$76=$C409)*(_TECH_Initiative_Library!$C$5:$C$76=$D409),0),0)),"")</f>
        <v>Implement portfolio governance, prioritization and change control</v>
      </c>
      <c r="AV409" s="48" t="str">
        <f ca="1">IFERROR(INDEX(_TECH_Initiative_Library!$AC$5:$AC$76,MATCH(1,INDEX((_TECH_Initiative_Library!$B$5:$B$76=$C409)*(_TECH_Initiative_Library!$C$5:$C$76=$D409),0),0)),"")</f>
        <v/>
      </c>
      <c r="AW409" s="48" t="str">
        <f ca="1">IFERROR(INDEX(_TECH_Initiative_Library!$AE$5:$AE$76,MATCH(1,INDEX((_TECH_Initiative_Library!$B$5:$B$76=$C409)*(_TECH_Initiative_Library!$C$5:$C$76=$D409),0),0)),"")</f>
        <v/>
      </c>
      <c r="AX409" s="48" t="str">
        <f>IF($B409="Yes",IFERROR(SUMIFS(_TECH_Industry_Templates!$E:$E,_TECH_Industry_Templates!$A:$A,'Company Profile'!$B$9,_TECH_Industry_Templates!$B:$B,$C409),1),"")</f>
        <v/>
      </c>
      <c r="AY409" s="48" t="str">
        <f t="shared" si="101"/>
        <v/>
      </c>
      <c r="AZ409" s="48" t="str">
        <f t="shared" si="102"/>
        <v/>
      </c>
      <c r="BA409" s="48" t="str">
        <f>IF($AZ409="","",RANK.EQ($AZ409,$AZ$8:$AZ$414,0)+COUNTIF($AZ$8:$AZ409,$AZ409)-1)</f>
        <v/>
      </c>
    </row>
    <row r="410" spans="1:53" ht="69.95" customHeight="1">
      <c r="A410" s="36" t="str">
        <f>IF($AZ410="","",RANK.EQ($AZ410,$AZ$8:$AZ$414,0)+COUNTIF($AZ$8:$AZ410,$AZ410)-1)</f>
        <v/>
      </c>
      <c r="B410" s="36" t="str">
        <f t="shared" si="89"/>
        <v/>
      </c>
      <c r="C410" s="36" t="s">
        <v>94</v>
      </c>
      <c r="D410" s="36" t="s">
        <v>1663</v>
      </c>
      <c r="E410" s="36" t="s">
        <v>5962</v>
      </c>
      <c r="F410" s="36" t="s">
        <v>1639</v>
      </c>
      <c r="G410" s="36" t="str">
        <f>IF($H410="","",IFERROR(INDEX('Risk Library'!$H$5:$M$411,MATCH($E410,'Risk Library'!$A$5:$A$411,0),$H410+1),""))</f>
        <v/>
      </c>
      <c r="H410" s="37" t="str">
        <f>IF(OR(COUNTA('Quality Portfolio'!$H$20)=0,'Quality Portfolio'!$H$20="N/A"),"",VALUE('Quality Portfolio'!$H$20))</f>
        <v/>
      </c>
      <c r="I410" s="36" t="str">
        <f>IF($H410="","",IFERROR(IF('Quality Portfolio'!$L$20="",IF($H410&lt;=1,"Critical",IF($H410=2,"High",IF($H410=3,"Medium",IF($H410=4,"Low","Resilient")))),'Quality Portfolio'!$L$20),IF($H410&lt;=1,"Critical",IF($H410=2,"High",IF($H410=3,"Medium",IF($H410=4,"Low","Resilient"))))))</f>
        <v/>
      </c>
      <c r="J410" s="37" t="str">
        <f t="shared" si="90"/>
        <v/>
      </c>
      <c r="K410" s="37" t="str">
        <f t="shared" si="91"/>
        <v/>
      </c>
      <c r="L410" s="37" t="str">
        <f t="shared" si="92"/>
        <v/>
      </c>
      <c r="M410" s="37" t="str">
        <f t="shared" si="93"/>
        <v/>
      </c>
      <c r="N410" s="37" t="str">
        <f>IF($H410="","",IFERROR(INDEX('Risk Library'!$T$5:$Y$411,MATCH($E410,'Risk Library'!$A$5:$A$411,0),$H410+1),""))</f>
        <v/>
      </c>
      <c r="O410" s="37" t="str">
        <f t="shared" si="94"/>
        <v/>
      </c>
      <c r="P410" s="37" t="str">
        <f t="shared" si="95"/>
        <v/>
      </c>
      <c r="Q410" s="37" t="str">
        <f t="shared" si="96"/>
        <v/>
      </c>
      <c r="R410" s="37" t="str">
        <f t="shared" si="97"/>
        <v/>
      </c>
      <c r="S410" s="38" t="str">
        <f t="shared" si="98"/>
        <v/>
      </c>
      <c r="T410" s="36" t="str">
        <f>IF($H410="","",IFERROR(INDEX('Risk Library'!$N$5:$S$411,MATCH($E410,'Risk Library'!$A$5:$A$411,0),$H410+1),""))</f>
        <v/>
      </c>
      <c r="U410" s="37">
        <f>IFERROR('Quality Portfolio'!$G$20,"")</f>
        <v>5</v>
      </c>
      <c r="V410" s="37">
        <f>IFERROR('Quality Portfolio'!$W$20,"")</f>
        <v>4</v>
      </c>
      <c r="W410" s="37">
        <f>IFERROR('Quality Portfolio'!$X$20,"")</f>
        <v>5</v>
      </c>
      <c r="X410" s="37">
        <f>IFERROR('Quality Portfolio'!$Y$20,"")</f>
        <v>5</v>
      </c>
      <c r="Y410" s="36" t="s">
        <v>5819</v>
      </c>
      <c r="Z410" s="36" t="s">
        <v>5820</v>
      </c>
      <c r="AA410" s="36" t="s">
        <v>5964</v>
      </c>
      <c r="AB410" s="36">
        <f>IFERROR('Quality Portfolio'!$U$20,"")</f>
        <v>0</v>
      </c>
      <c r="AC410" s="36"/>
      <c r="AD410" s="36"/>
      <c r="AE410" s="36"/>
      <c r="AF410" s="36" t="s">
        <v>5963</v>
      </c>
      <c r="AO410" s="48" t="str">
        <f>IF($B410="Yes",IFERROR(SUMIFS(_TECH_Crisis_Model!$D$5:$D$191,_TECH_Crisis_Model!$A$5:$A$191,'Crisis Simulator'!$B$4,_TECH_Crisis_Model!$B$5:$B$191,$C410),1),"")</f>
        <v/>
      </c>
      <c r="AP410" s="48" t="str">
        <f t="shared" si="99"/>
        <v/>
      </c>
      <c r="AQ410" s="48" t="str">
        <f t="shared" si="100"/>
        <v/>
      </c>
      <c r="AR410" s="48" t="str">
        <f>IFERROR(INDEX(_TECH_Crisis_Model!$E$5:$E$191,MATCH('Crisis Simulator'!$B$4&amp;"|"&amp;$C410,_TECH_Crisis_Model!$I$5:$I$191,0)),"")</f>
        <v>Portfolio discipline and benefits realization determine whether scarce resources are focused on the right actions.</v>
      </c>
      <c r="AS410" s="48" t="str">
        <f>IFERROR(INDEX(_TECH_Crisis_Model!$G$5:$G$191,MATCH('Crisis Simulator'!$B$4&amp;"|"&amp;$C410,_TECH_Crisis_Model!$I$5:$I$191,0)),"")</f>
        <v>Prioritize crisis initiatives by value, risk reduction, dependencies and implementation waves.</v>
      </c>
      <c r="AT410" s="48" t="str">
        <f>IFERROR(INDEX(_TECH_Initiative_Library!$A$5:$A$76,MATCH(1,INDEX((_TECH_Initiative_Library!$B$5:$B$76=$C410)*(_TECH_Initiative_Library!$C$5:$C$76=$D410),0),0)),"")</f>
        <v>INI-072</v>
      </c>
      <c r="AU410" s="48" t="str">
        <f>IFERROR(INDEX(_TECH_Initiative_Library!$F$5:$F$76,MATCH(1,INDEX((_TECH_Initiative_Library!$B$5:$B$76=$C410)*(_TECH_Initiative_Library!$C$5:$C$76=$D410),0),0)),"")</f>
        <v>Integrate management system, KPIs and continual improvement cycle</v>
      </c>
      <c r="AV410" s="48" t="str">
        <f ca="1">IFERROR(INDEX(_TECH_Initiative_Library!$AC$5:$AC$76,MATCH(1,INDEX((_TECH_Initiative_Library!$B$5:$B$76=$C410)*(_TECH_Initiative_Library!$C$5:$C$76=$D410),0),0)),"")</f>
        <v/>
      </c>
      <c r="AW410" s="48" t="str">
        <f ca="1">IFERROR(INDEX(_TECH_Initiative_Library!$AE$5:$AE$76,MATCH(1,INDEX((_TECH_Initiative_Library!$B$5:$B$76=$C410)*(_TECH_Initiative_Library!$C$5:$C$76=$D410),0),0)),"")</f>
        <v/>
      </c>
      <c r="AX410" s="48" t="str">
        <f>IF($B410="Yes",IFERROR(SUMIFS(_TECH_Industry_Templates!$E:$E,_TECH_Industry_Templates!$A:$A,'Company Profile'!$B$9,_TECH_Industry_Templates!$B:$B,$C410),1),"")</f>
        <v/>
      </c>
      <c r="AY410" s="48" t="str">
        <f t="shared" si="101"/>
        <v/>
      </c>
      <c r="AZ410" s="48" t="str">
        <f t="shared" si="102"/>
        <v/>
      </c>
      <c r="BA410" s="48" t="str">
        <f>IF($AZ410="","",RANK.EQ($AZ410,$AZ$8:$AZ$414,0)+COUNTIF($AZ$8:$AZ410,$AZ410)-1)</f>
        <v/>
      </c>
    </row>
    <row r="411" spans="1:53" ht="69.95" customHeight="1">
      <c r="A411" s="36" t="str">
        <f>IF($AZ411="","",RANK.EQ($AZ411,$AZ$8:$AZ$414,0)+COUNTIF($AZ$8:$AZ411,$AZ411)-1)</f>
        <v/>
      </c>
      <c r="B411" s="36" t="str">
        <f t="shared" si="89"/>
        <v/>
      </c>
      <c r="C411" s="36" t="s">
        <v>94</v>
      </c>
      <c r="D411" s="36" t="s">
        <v>1663</v>
      </c>
      <c r="E411" s="36" t="s">
        <v>5972</v>
      </c>
      <c r="F411" s="36" t="s">
        <v>1639</v>
      </c>
      <c r="G411" s="36" t="str">
        <f>IF($H411="","",IFERROR(INDEX('Risk Library'!$H$5:$M$411,MATCH($E411,'Risk Library'!$A$5:$A$411,0),$H411+1),""))</f>
        <v/>
      </c>
      <c r="H411" s="37" t="str">
        <f>IF(OR(COUNTA('Quality Portfolio'!$H$21)=0,'Quality Portfolio'!$H$21="N/A"),"",VALUE('Quality Portfolio'!$H$21))</f>
        <v/>
      </c>
      <c r="I411" s="36" t="str">
        <f>IF($H411="","",IFERROR(IF('Quality Portfolio'!$L$21="",IF($H411&lt;=1,"Critical",IF($H411=2,"High",IF($H411=3,"Medium",IF($H411=4,"Low","Resilient")))),'Quality Portfolio'!$L$21),IF($H411&lt;=1,"Critical",IF($H411=2,"High",IF($H411=3,"Medium",IF($H411=4,"Low","Resilient"))))))</f>
        <v/>
      </c>
      <c r="J411" s="37" t="str">
        <f t="shared" si="90"/>
        <v/>
      </c>
      <c r="K411" s="37" t="str">
        <f t="shared" si="91"/>
        <v/>
      </c>
      <c r="L411" s="37" t="str">
        <f t="shared" si="92"/>
        <v/>
      </c>
      <c r="M411" s="37" t="str">
        <f t="shared" si="93"/>
        <v/>
      </c>
      <c r="N411" s="37" t="str">
        <f>IF($H411="","",IFERROR(INDEX('Risk Library'!$T$5:$Y$411,MATCH($E411,'Risk Library'!$A$5:$A$411,0),$H411+1),""))</f>
        <v/>
      </c>
      <c r="O411" s="37" t="str">
        <f t="shared" si="94"/>
        <v/>
      </c>
      <c r="P411" s="37" t="str">
        <f t="shared" si="95"/>
        <v/>
      </c>
      <c r="Q411" s="37" t="str">
        <f t="shared" si="96"/>
        <v/>
      </c>
      <c r="R411" s="37" t="str">
        <f t="shared" si="97"/>
        <v/>
      </c>
      <c r="S411" s="38" t="str">
        <f t="shared" si="98"/>
        <v/>
      </c>
      <c r="T411" s="36" t="str">
        <f>IF($H411="","",IFERROR(INDEX('Risk Library'!$N$5:$S$411,MATCH($E411,'Risk Library'!$A$5:$A$411,0),$H411+1),""))</f>
        <v/>
      </c>
      <c r="U411" s="37">
        <f>IFERROR('Quality Portfolio'!$G$21,"")</f>
        <v>5</v>
      </c>
      <c r="V411" s="37">
        <f>IFERROR('Quality Portfolio'!$W$21,"")</f>
        <v>4</v>
      </c>
      <c r="W411" s="37">
        <f>IFERROR('Quality Portfolio'!$X$21,"")</f>
        <v>5</v>
      </c>
      <c r="X411" s="37">
        <f>IFERROR('Quality Portfolio'!$Y$21,"")</f>
        <v>5</v>
      </c>
      <c r="Y411" s="36" t="s">
        <v>5819</v>
      </c>
      <c r="Z411" s="36" t="s">
        <v>5820</v>
      </c>
      <c r="AA411" s="36" t="s">
        <v>5974</v>
      </c>
      <c r="AB411" s="36">
        <f>IFERROR('Quality Portfolio'!$U$21,"")</f>
        <v>0</v>
      </c>
      <c r="AC411" s="36"/>
      <c r="AD411" s="36"/>
      <c r="AE411" s="36"/>
      <c r="AF411" s="36" t="s">
        <v>5973</v>
      </c>
      <c r="AO411" s="48" t="str">
        <f>IF($B411="Yes",IFERROR(SUMIFS(_TECH_Crisis_Model!$D$5:$D$191,_TECH_Crisis_Model!$A$5:$A$191,'Crisis Simulator'!$B$4,_TECH_Crisis_Model!$B$5:$B$191,$C411),1),"")</f>
        <v/>
      </c>
      <c r="AP411" s="48" t="str">
        <f t="shared" si="99"/>
        <v/>
      </c>
      <c r="AQ411" s="48" t="str">
        <f t="shared" si="100"/>
        <v/>
      </c>
      <c r="AR411" s="48" t="str">
        <f>IFERROR(INDEX(_TECH_Crisis_Model!$E$5:$E$191,MATCH('Crisis Simulator'!$B$4&amp;"|"&amp;$C411,_TECH_Crisis_Model!$I$5:$I$191,0)),"")</f>
        <v>Portfolio discipline and benefits realization determine whether scarce resources are focused on the right actions.</v>
      </c>
      <c r="AS411" s="48" t="str">
        <f>IFERROR(INDEX(_TECH_Crisis_Model!$G$5:$G$191,MATCH('Crisis Simulator'!$B$4&amp;"|"&amp;$C411,_TECH_Crisis_Model!$I$5:$I$191,0)),"")</f>
        <v>Prioritize crisis initiatives by value, risk reduction, dependencies and implementation waves.</v>
      </c>
      <c r="AT411" s="48" t="str">
        <f>IFERROR(INDEX(_TECH_Initiative_Library!$A$5:$A$76,MATCH(1,INDEX((_TECH_Initiative_Library!$B$5:$B$76=$C411)*(_TECH_Initiative_Library!$C$5:$C$76=$D411),0),0)),"")</f>
        <v>INI-072</v>
      </c>
      <c r="AU411" s="48" t="str">
        <f>IFERROR(INDEX(_TECH_Initiative_Library!$F$5:$F$76,MATCH(1,INDEX((_TECH_Initiative_Library!$B$5:$B$76=$C411)*(_TECH_Initiative_Library!$C$5:$C$76=$D411),0),0)),"")</f>
        <v>Integrate management system, KPIs and continual improvement cycle</v>
      </c>
      <c r="AV411" s="48" t="str">
        <f ca="1">IFERROR(INDEX(_TECH_Initiative_Library!$AC$5:$AC$76,MATCH(1,INDEX((_TECH_Initiative_Library!$B$5:$B$76=$C411)*(_TECH_Initiative_Library!$C$5:$C$76=$D411),0),0)),"")</f>
        <v/>
      </c>
      <c r="AW411" s="48" t="str">
        <f ca="1">IFERROR(INDEX(_TECH_Initiative_Library!$AE$5:$AE$76,MATCH(1,INDEX((_TECH_Initiative_Library!$B$5:$B$76=$C411)*(_TECH_Initiative_Library!$C$5:$C$76=$D411),0),0)),"")</f>
        <v/>
      </c>
      <c r="AX411" s="48" t="str">
        <f>IF($B411="Yes",IFERROR(SUMIFS(_TECH_Industry_Templates!$E:$E,_TECH_Industry_Templates!$A:$A,'Company Profile'!$B$9,_TECH_Industry_Templates!$B:$B,$C411),1),"")</f>
        <v/>
      </c>
      <c r="AY411" s="48" t="str">
        <f t="shared" si="101"/>
        <v/>
      </c>
      <c r="AZ411" s="48" t="str">
        <f t="shared" si="102"/>
        <v/>
      </c>
      <c r="BA411" s="48" t="str">
        <f>IF($AZ411="","",RANK.EQ($AZ411,$AZ$8:$AZ$414,0)+COUNTIF($AZ$8:$AZ411,$AZ411)-1)</f>
        <v/>
      </c>
    </row>
    <row r="412" spans="1:53" ht="69.95" customHeight="1">
      <c r="A412" s="36" t="str">
        <f>IF($AZ412="","",RANK.EQ($AZ412,$AZ$8:$AZ$414,0)+COUNTIF($AZ$8:$AZ412,$AZ412)-1)</f>
        <v/>
      </c>
      <c r="B412" s="36" t="str">
        <f t="shared" si="89"/>
        <v/>
      </c>
      <c r="C412" s="36" t="s">
        <v>94</v>
      </c>
      <c r="D412" s="36" t="s">
        <v>1663</v>
      </c>
      <c r="E412" s="36" t="s">
        <v>5982</v>
      </c>
      <c r="F412" s="36" t="s">
        <v>1639</v>
      </c>
      <c r="G412" s="36" t="str">
        <f>IF($H412="","",IFERROR(INDEX('Risk Library'!$H$5:$M$411,MATCH($E412,'Risk Library'!$A$5:$A$411,0),$H412+1),""))</f>
        <v/>
      </c>
      <c r="H412" s="37" t="str">
        <f>IF(OR(COUNTA('Quality Portfolio'!$H$22)=0,'Quality Portfolio'!$H$22="N/A"),"",VALUE('Quality Portfolio'!$H$22))</f>
        <v/>
      </c>
      <c r="I412" s="36" t="str">
        <f>IF($H412="","",IFERROR(IF('Quality Portfolio'!$L$22="",IF($H412&lt;=1,"Critical",IF($H412=2,"High",IF($H412=3,"Medium",IF($H412=4,"Low","Resilient")))),'Quality Portfolio'!$L$22),IF($H412&lt;=1,"Critical",IF($H412=2,"High",IF($H412=3,"Medium",IF($H412=4,"Low","Resilient"))))))</f>
        <v/>
      </c>
      <c r="J412" s="37" t="str">
        <f t="shared" si="90"/>
        <v/>
      </c>
      <c r="K412" s="37" t="str">
        <f t="shared" si="91"/>
        <v/>
      </c>
      <c r="L412" s="37" t="str">
        <f t="shared" si="92"/>
        <v/>
      </c>
      <c r="M412" s="37" t="str">
        <f t="shared" si="93"/>
        <v/>
      </c>
      <c r="N412" s="37" t="str">
        <f>IF($H412="","",IFERROR(INDEX('Risk Library'!$T$5:$Y$411,MATCH($E412,'Risk Library'!$A$5:$A$411,0),$H412+1),""))</f>
        <v/>
      </c>
      <c r="O412" s="37" t="str">
        <f t="shared" si="94"/>
        <v/>
      </c>
      <c r="P412" s="37" t="str">
        <f t="shared" si="95"/>
        <v/>
      </c>
      <c r="Q412" s="37" t="str">
        <f t="shared" si="96"/>
        <v/>
      </c>
      <c r="R412" s="37" t="str">
        <f t="shared" si="97"/>
        <v/>
      </c>
      <c r="S412" s="38" t="str">
        <f t="shared" si="98"/>
        <v/>
      </c>
      <c r="T412" s="36" t="str">
        <f>IF($H412="","",IFERROR(INDEX('Risk Library'!$N$5:$S$411,MATCH($E412,'Risk Library'!$A$5:$A$411,0),$H412+1),""))</f>
        <v/>
      </c>
      <c r="U412" s="37">
        <f>IFERROR('Quality Portfolio'!$G$22,"")</f>
        <v>4</v>
      </c>
      <c r="V412" s="37">
        <f>IFERROR('Quality Portfolio'!$W$22,"")</f>
        <v>4</v>
      </c>
      <c r="W412" s="37">
        <f>IFERROR('Quality Portfolio'!$X$22,"")</f>
        <v>5</v>
      </c>
      <c r="X412" s="37">
        <f>IFERROR('Quality Portfolio'!$Y$22,"")</f>
        <v>5</v>
      </c>
      <c r="Y412" s="36" t="s">
        <v>5819</v>
      </c>
      <c r="Z412" s="36" t="s">
        <v>5820</v>
      </c>
      <c r="AA412" s="36" t="s">
        <v>5984</v>
      </c>
      <c r="AB412" s="36">
        <f>IFERROR('Quality Portfolio'!$U$22,"")</f>
        <v>0</v>
      </c>
      <c r="AC412" s="36"/>
      <c r="AD412" s="36"/>
      <c r="AE412" s="36"/>
      <c r="AF412" s="36" t="s">
        <v>5983</v>
      </c>
      <c r="AO412" s="48" t="str">
        <f>IF($B412="Yes",IFERROR(SUMIFS(_TECH_Crisis_Model!$D$5:$D$191,_TECH_Crisis_Model!$A$5:$A$191,'Crisis Simulator'!$B$4,_TECH_Crisis_Model!$B$5:$B$191,$C412),1),"")</f>
        <v/>
      </c>
      <c r="AP412" s="48" t="str">
        <f t="shared" si="99"/>
        <v/>
      </c>
      <c r="AQ412" s="48" t="str">
        <f t="shared" si="100"/>
        <v/>
      </c>
      <c r="AR412" s="48" t="str">
        <f>IFERROR(INDEX(_TECH_Crisis_Model!$E$5:$E$191,MATCH('Crisis Simulator'!$B$4&amp;"|"&amp;$C412,_TECH_Crisis_Model!$I$5:$I$191,0)),"")</f>
        <v>Portfolio discipline and benefits realization determine whether scarce resources are focused on the right actions.</v>
      </c>
      <c r="AS412" s="48" t="str">
        <f>IFERROR(INDEX(_TECH_Crisis_Model!$G$5:$G$191,MATCH('Crisis Simulator'!$B$4&amp;"|"&amp;$C412,_TECH_Crisis_Model!$I$5:$I$191,0)),"")</f>
        <v>Prioritize crisis initiatives by value, risk reduction, dependencies and implementation waves.</v>
      </c>
      <c r="AT412" s="48" t="str">
        <f>IFERROR(INDEX(_TECH_Initiative_Library!$A$5:$A$76,MATCH(1,INDEX((_TECH_Initiative_Library!$B$5:$B$76=$C412)*(_TECH_Initiative_Library!$C$5:$C$76=$D412),0),0)),"")</f>
        <v>INI-072</v>
      </c>
      <c r="AU412" s="48" t="str">
        <f>IFERROR(INDEX(_TECH_Initiative_Library!$F$5:$F$76,MATCH(1,INDEX((_TECH_Initiative_Library!$B$5:$B$76=$C412)*(_TECH_Initiative_Library!$C$5:$C$76=$D412),0),0)),"")</f>
        <v>Integrate management system, KPIs and continual improvement cycle</v>
      </c>
      <c r="AV412" s="48" t="str">
        <f ca="1">IFERROR(INDEX(_TECH_Initiative_Library!$AC$5:$AC$76,MATCH(1,INDEX((_TECH_Initiative_Library!$B$5:$B$76=$C412)*(_TECH_Initiative_Library!$C$5:$C$76=$D412),0),0)),"")</f>
        <v/>
      </c>
      <c r="AW412" s="48" t="str">
        <f ca="1">IFERROR(INDEX(_TECH_Initiative_Library!$AE$5:$AE$76,MATCH(1,INDEX((_TECH_Initiative_Library!$B$5:$B$76=$C412)*(_TECH_Initiative_Library!$C$5:$C$76=$D412),0),0)),"")</f>
        <v/>
      </c>
      <c r="AX412" s="48" t="str">
        <f>IF($B412="Yes",IFERROR(SUMIFS(_TECH_Industry_Templates!$E:$E,_TECH_Industry_Templates!$A:$A,'Company Profile'!$B$9,_TECH_Industry_Templates!$B:$B,$C412),1),"")</f>
        <v/>
      </c>
      <c r="AY412" s="48" t="str">
        <f t="shared" si="101"/>
        <v/>
      </c>
      <c r="AZ412" s="48" t="str">
        <f t="shared" si="102"/>
        <v/>
      </c>
      <c r="BA412" s="48" t="str">
        <f>IF($AZ412="","",RANK.EQ($AZ412,$AZ$8:$AZ$414,0)+COUNTIF($AZ$8:$AZ412,$AZ412)-1)</f>
        <v/>
      </c>
    </row>
    <row r="413" spans="1:53" ht="69.95" customHeight="1">
      <c r="A413" s="36" t="str">
        <f>IF($AZ413="","",RANK.EQ($AZ413,$AZ$8:$AZ$414,0)+COUNTIF($AZ$8:$AZ413,$AZ413)-1)</f>
        <v/>
      </c>
      <c r="B413" s="36" t="str">
        <f t="shared" si="89"/>
        <v/>
      </c>
      <c r="C413" s="36" t="s">
        <v>94</v>
      </c>
      <c r="D413" s="36" t="s">
        <v>1663</v>
      </c>
      <c r="E413" s="36" t="s">
        <v>5992</v>
      </c>
      <c r="F413" s="36" t="s">
        <v>1639</v>
      </c>
      <c r="G413" s="36" t="str">
        <f>IF($H413="","",IFERROR(INDEX('Risk Library'!$H$5:$M$411,MATCH($E413,'Risk Library'!$A$5:$A$411,0),$H413+1),""))</f>
        <v/>
      </c>
      <c r="H413" s="37" t="str">
        <f>IF(OR(COUNTA('Quality Portfolio'!$H$23)=0,'Quality Portfolio'!$H$23="N/A"),"",VALUE('Quality Portfolio'!$H$23))</f>
        <v/>
      </c>
      <c r="I413" s="36" t="str">
        <f>IF($H413="","",IFERROR(IF('Quality Portfolio'!$L$23="",IF($H413&lt;=1,"Critical",IF($H413=2,"High",IF($H413=3,"Medium",IF($H413=4,"Low","Resilient")))),'Quality Portfolio'!$L$23),IF($H413&lt;=1,"Critical",IF($H413=2,"High",IF($H413=3,"Medium",IF($H413=4,"Low","Resilient"))))))</f>
        <v/>
      </c>
      <c r="J413" s="37" t="str">
        <f t="shared" si="90"/>
        <v/>
      </c>
      <c r="K413" s="37" t="str">
        <f t="shared" si="91"/>
        <v/>
      </c>
      <c r="L413" s="37" t="str">
        <f t="shared" si="92"/>
        <v/>
      </c>
      <c r="M413" s="37" t="str">
        <f t="shared" si="93"/>
        <v/>
      </c>
      <c r="N413" s="37" t="str">
        <f>IF($H413="","",IFERROR(INDEX('Risk Library'!$T$5:$Y$411,MATCH($E413,'Risk Library'!$A$5:$A$411,0),$H413+1),""))</f>
        <v/>
      </c>
      <c r="O413" s="37" t="str">
        <f t="shared" si="94"/>
        <v/>
      </c>
      <c r="P413" s="37" t="str">
        <f t="shared" si="95"/>
        <v/>
      </c>
      <c r="Q413" s="37" t="str">
        <f t="shared" si="96"/>
        <v/>
      </c>
      <c r="R413" s="37" t="str">
        <f t="shared" si="97"/>
        <v/>
      </c>
      <c r="S413" s="38" t="str">
        <f t="shared" si="98"/>
        <v/>
      </c>
      <c r="T413" s="36" t="str">
        <f>IF($H413="","",IFERROR(INDEX('Risk Library'!$N$5:$S$411,MATCH($E413,'Risk Library'!$A$5:$A$411,0),$H413+1),""))</f>
        <v/>
      </c>
      <c r="U413" s="37">
        <f>IFERROR('Quality Portfolio'!$G$23,"")</f>
        <v>5</v>
      </c>
      <c r="V413" s="37">
        <f>IFERROR('Quality Portfolio'!$W$23,"")</f>
        <v>4</v>
      </c>
      <c r="W413" s="37">
        <f>IFERROR('Quality Portfolio'!$X$23,"")</f>
        <v>5</v>
      </c>
      <c r="X413" s="37">
        <f>IFERROR('Quality Portfolio'!$Y$23,"")</f>
        <v>5</v>
      </c>
      <c r="Y413" s="36" t="s">
        <v>5819</v>
      </c>
      <c r="Z413" s="36" t="s">
        <v>5820</v>
      </c>
      <c r="AA413" s="36" t="s">
        <v>5994</v>
      </c>
      <c r="AB413" s="36">
        <f>IFERROR('Quality Portfolio'!$U$23,"")</f>
        <v>0</v>
      </c>
      <c r="AC413" s="36"/>
      <c r="AD413" s="36"/>
      <c r="AE413" s="36"/>
      <c r="AF413" s="36" t="s">
        <v>5993</v>
      </c>
      <c r="AO413" s="48" t="str">
        <f>IF($B413="Yes",IFERROR(SUMIFS(_TECH_Crisis_Model!$D$5:$D$191,_TECH_Crisis_Model!$A$5:$A$191,'Crisis Simulator'!$B$4,_TECH_Crisis_Model!$B$5:$B$191,$C413),1),"")</f>
        <v/>
      </c>
      <c r="AP413" s="48" t="str">
        <f t="shared" si="99"/>
        <v/>
      </c>
      <c r="AQ413" s="48" t="str">
        <f t="shared" si="100"/>
        <v/>
      </c>
      <c r="AR413" s="48" t="str">
        <f>IFERROR(INDEX(_TECH_Crisis_Model!$E$5:$E$191,MATCH('Crisis Simulator'!$B$4&amp;"|"&amp;$C413,_TECH_Crisis_Model!$I$5:$I$191,0)),"")</f>
        <v>Portfolio discipline and benefits realization determine whether scarce resources are focused on the right actions.</v>
      </c>
      <c r="AS413" s="48" t="str">
        <f>IFERROR(INDEX(_TECH_Crisis_Model!$G$5:$G$191,MATCH('Crisis Simulator'!$B$4&amp;"|"&amp;$C413,_TECH_Crisis_Model!$I$5:$I$191,0)),"")</f>
        <v>Prioritize crisis initiatives by value, risk reduction, dependencies and implementation waves.</v>
      </c>
      <c r="AT413" s="48" t="str">
        <f>IFERROR(INDEX(_TECH_Initiative_Library!$A$5:$A$76,MATCH(1,INDEX((_TECH_Initiative_Library!$B$5:$B$76=$C413)*(_TECH_Initiative_Library!$C$5:$C$76=$D413),0),0)),"")</f>
        <v>INI-072</v>
      </c>
      <c r="AU413" s="48" t="str">
        <f>IFERROR(INDEX(_TECH_Initiative_Library!$F$5:$F$76,MATCH(1,INDEX((_TECH_Initiative_Library!$B$5:$B$76=$C413)*(_TECH_Initiative_Library!$C$5:$C$76=$D413),0),0)),"")</f>
        <v>Integrate management system, KPIs and continual improvement cycle</v>
      </c>
      <c r="AV413" s="48" t="str">
        <f ca="1">IFERROR(INDEX(_TECH_Initiative_Library!$AC$5:$AC$76,MATCH(1,INDEX((_TECH_Initiative_Library!$B$5:$B$76=$C413)*(_TECH_Initiative_Library!$C$5:$C$76=$D413),0),0)),"")</f>
        <v/>
      </c>
      <c r="AW413" s="48" t="str">
        <f ca="1">IFERROR(INDEX(_TECH_Initiative_Library!$AE$5:$AE$76,MATCH(1,INDEX((_TECH_Initiative_Library!$B$5:$B$76=$C413)*(_TECH_Initiative_Library!$C$5:$C$76=$D413),0),0)),"")</f>
        <v/>
      </c>
      <c r="AX413" s="48" t="str">
        <f>IF($B413="Yes",IFERROR(SUMIFS(_TECH_Industry_Templates!$E:$E,_TECH_Industry_Templates!$A:$A,'Company Profile'!$B$9,_TECH_Industry_Templates!$B:$B,$C413),1),"")</f>
        <v/>
      </c>
      <c r="AY413" s="48" t="str">
        <f t="shared" si="101"/>
        <v/>
      </c>
      <c r="AZ413" s="48" t="str">
        <f t="shared" si="102"/>
        <v/>
      </c>
      <c r="BA413" s="48" t="str">
        <f>IF($AZ413="","",RANK.EQ($AZ413,$AZ$8:$AZ$414,0)+COUNTIF($AZ$8:$AZ413,$AZ413)-1)</f>
        <v/>
      </c>
    </row>
    <row r="414" spans="1:53" ht="69.95" customHeight="1">
      <c r="A414" s="36" t="str">
        <f>IF($AZ414="","",RANK.EQ($AZ414,$AZ$8:$AZ$414,0)+COUNTIF($AZ$8:$AZ414,$AZ414)-1)</f>
        <v/>
      </c>
      <c r="B414" s="36" t="str">
        <f t="shared" si="89"/>
        <v/>
      </c>
      <c r="C414" s="36" t="s">
        <v>94</v>
      </c>
      <c r="D414" s="36" t="s">
        <v>1663</v>
      </c>
      <c r="E414" s="36" t="s">
        <v>6002</v>
      </c>
      <c r="F414" s="36" t="s">
        <v>1639</v>
      </c>
      <c r="G414" s="36" t="str">
        <f>IF($H414="","",IFERROR(INDEX('Risk Library'!$H$5:$M$411,MATCH($E414,'Risk Library'!$A$5:$A$411,0),$H414+1),""))</f>
        <v/>
      </c>
      <c r="H414" s="37" t="str">
        <f>IF(OR(COUNTA('Quality Portfolio'!$H$24)=0,'Quality Portfolio'!$H$24="N/A"),"",VALUE('Quality Portfolio'!$H$24))</f>
        <v/>
      </c>
      <c r="I414" s="36" t="str">
        <f>IF($H414="","",IFERROR(IF('Quality Portfolio'!$L$24="",IF($H414&lt;=1,"Critical",IF($H414=2,"High",IF($H414=3,"Medium",IF($H414=4,"Low","Resilient")))),'Quality Portfolio'!$L$24),IF($H414&lt;=1,"Critical",IF($H414=2,"High",IF($H414=3,"Medium",IF($H414=4,"Low","Resilient"))))))</f>
        <v/>
      </c>
      <c r="J414" s="37" t="str">
        <f t="shared" si="90"/>
        <v/>
      </c>
      <c r="K414" s="37" t="str">
        <f t="shared" si="91"/>
        <v/>
      </c>
      <c r="L414" s="37" t="str">
        <f t="shared" si="92"/>
        <v/>
      </c>
      <c r="M414" s="37" t="str">
        <f t="shared" si="93"/>
        <v/>
      </c>
      <c r="N414" s="37" t="str">
        <f>IF($H414="","",IFERROR(INDEX('Risk Library'!$T$5:$Y$411,MATCH($E414,'Risk Library'!$A$5:$A$411,0),$H414+1),""))</f>
        <v/>
      </c>
      <c r="O414" s="37" t="str">
        <f t="shared" si="94"/>
        <v/>
      </c>
      <c r="P414" s="37" t="str">
        <f t="shared" si="95"/>
        <v/>
      </c>
      <c r="Q414" s="37" t="str">
        <f t="shared" si="96"/>
        <v/>
      </c>
      <c r="R414" s="37" t="str">
        <f t="shared" si="97"/>
        <v/>
      </c>
      <c r="S414" s="38" t="str">
        <f t="shared" si="98"/>
        <v/>
      </c>
      <c r="T414" s="36" t="str">
        <f>IF($H414="","",IFERROR(INDEX('Risk Library'!$N$5:$S$411,MATCH($E414,'Risk Library'!$A$5:$A$411,0),$H414+1),""))</f>
        <v/>
      </c>
      <c r="U414" s="37">
        <f>IFERROR('Quality Portfolio'!$G$24,"")</f>
        <v>3</v>
      </c>
      <c r="V414" s="37">
        <f>IFERROR('Quality Portfolio'!$W$24,"")</f>
        <v>4</v>
      </c>
      <c r="W414" s="37">
        <f>IFERROR('Quality Portfolio'!$X$24,"")</f>
        <v>5</v>
      </c>
      <c r="X414" s="37">
        <f>IFERROR('Quality Portfolio'!$Y$24,"")</f>
        <v>5</v>
      </c>
      <c r="Y414" s="36" t="s">
        <v>5819</v>
      </c>
      <c r="Z414" s="36" t="s">
        <v>5820</v>
      </c>
      <c r="AA414" s="36" t="s">
        <v>6004</v>
      </c>
      <c r="AB414" s="36">
        <f>IFERROR('Quality Portfolio'!$U$24,"")</f>
        <v>0</v>
      </c>
      <c r="AC414" s="36"/>
      <c r="AD414" s="36"/>
      <c r="AE414" s="36"/>
      <c r="AF414" s="36" t="s">
        <v>6003</v>
      </c>
      <c r="AO414" s="48" t="str">
        <f>IF($B414="Yes",IFERROR(SUMIFS(_TECH_Crisis_Model!$D$5:$D$191,_TECH_Crisis_Model!$A$5:$A$191,'Crisis Simulator'!$B$4,_TECH_Crisis_Model!$B$5:$B$191,$C414),1),"")</f>
        <v/>
      </c>
      <c r="AP414" s="48" t="str">
        <f t="shared" si="99"/>
        <v/>
      </c>
      <c r="AQ414" s="48" t="str">
        <f t="shared" si="100"/>
        <v/>
      </c>
      <c r="AR414" s="48" t="str">
        <f>IFERROR(INDEX(_TECH_Crisis_Model!$E$5:$E$191,MATCH('Crisis Simulator'!$B$4&amp;"|"&amp;$C414,_TECH_Crisis_Model!$I$5:$I$191,0)),"")</f>
        <v>Portfolio discipline and benefits realization determine whether scarce resources are focused on the right actions.</v>
      </c>
      <c r="AS414" s="48" t="str">
        <f>IFERROR(INDEX(_TECH_Crisis_Model!$G$5:$G$191,MATCH('Crisis Simulator'!$B$4&amp;"|"&amp;$C414,_TECH_Crisis_Model!$I$5:$I$191,0)),"")</f>
        <v>Prioritize crisis initiatives by value, risk reduction, dependencies and implementation waves.</v>
      </c>
      <c r="AT414" s="48" t="str">
        <f>IFERROR(INDEX(_TECH_Initiative_Library!$A$5:$A$76,MATCH(1,INDEX((_TECH_Initiative_Library!$B$5:$B$76=$C414)*(_TECH_Initiative_Library!$C$5:$C$76=$D414),0),0)),"")</f>
        <v>INI-072</v>
      </c>
      <c r="AU414" s="48" t="str">
        <f>IFERROR(INDEX(_TECH_Initiative_Library!$F$5:$F$76,MATCH(1,INDEX((_TECH_Initiative_Library!$B$5:$B$76=$C414)*(_TECH_Initiative_Library!$C$5:$C$76=$D414),0),0)),"")</f>
        <v>Integrate management system, KPIs and continual improvement cycle</v>
      </c>
      <c r="AV414" s="48" t="str">
        <f ca="1">IFERROR(INDEX(_TECH_Initiative_Library!$AC$5:$AC$76,MATCH(1,INDEX((_TECH_Initiative_Library!$B$5:$B$76=$C414)*(_TECH_Initiative_Library!$C$5:$C$76=$D414),0),0)),"")</f>
        <v/>
      </c>
      <c r="AW414" s="48" t="str">
        <f ca="1">IFERROR(INDEX(_TECH_Initiative_Library!$AE$5:$AE$76,MATCH(1,INDEX((_TECH_Initiative_Library!$B$5:$B$76=$C414)*(_TECH_Initiative_Library!$C$5:$C$76=$D414),0),0)),"")</f>
        <v/>
      </c>
      <c r="AX414" s="48" t="str">
        <f>IF($B414="Yes",IFERROR(SUMIFS(_TECH_Industry_Templates!$E:$E,_TECH_Industry_Templates!$A:$A,'Company Profile'!$B$9,_TECH_Industry_Templates!$B:$B,$C414),1),"")</f>
        <v/>
      </c>
      <c r="AY414" s="48" t="str">
        <f t="shared" si="101"/>
        <v/>
      </c>
      <c r="AZ414" s="48" t="str">
        <f t="shared" si="102"/>
        <v/>
      </c>
      <c r="BA414" s="48" t="str">
        <f>IF($AZ414="","",RANK.EQ($AZ414,$AZ$8:$AZ$414,0)+COUNTIF($AZ$8:$AZ414,$AZ414)-1)</f>
        <v/>
      </c>
    </row>
  </sheetData>
  <autoFilter ref="A7:AF414" ns2:uid="{00000000-0009-0000-0000-000027000000}"/>
  <mergeCells count="2">
    <mergeCell ref="A1:AE1"/>
    <mergeCell ref="A2:AE2"/>
  </mergeCells>
  <conditionalFormatting sqref="I8:I414">
    <cfRule type="cellIs" dxfId="9" priority="3" operator="equal">
      <formula>"Critical"</formula>
    </cfRule>
    <cfRule type="cellIs" dxfId="8" priority="4" operator="equal">
      <formula>"High"</formula>
    </cfRule>
  </conditionalFormatting>
  <conditionalFormatting sqref="L8:L414">
    <cfRule type="colorScale" priority="1">
      <colorScale>
        <cfvo type="num" val="1"/>
        <cfvo type="num" val="12"/>
        <cfvo type="num" val="25"/>
        <color rgb="FFDCFCE7"/>
        <color rgb="FFFEF3C7"/>
        <color rgb="FFFCA5A5"/>
      </colorScale>
    </cfRule>
  </conditionalFormatting>
  <conditionalFormatting sqref="S8:S414">
    <cfRule type="colorScale" priority="2">
      <colorScale>
        <cfvo type="num" val="0"/>
        <cfvo type="num" val="4"/>
        <cfvo type="num" val="10"/>
        <color rgb="FFF3F4F6"/>
        <color rgb="FFFEF3C7"/>
        <color rgb="FFFCA5A5"/>
      </colorScale>
    </cfRule>
  </conditionalFormatting>
  <dataValidations count="1">
    <dataValidation type="list" allowBlank="1" sqref="AE8:AE414" ns2:uid="{00000000-0002-0000-2700-000000000000}">
      <formula1>"Not started,In progress,Mitigated,Accepted,Transferred,Avoided,Monitoring"</formula1>
    </dataValidation>
  </dataValidation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drawing r:id="rId1"/>
</worksheet>
</file>

<file path=xl/worksheets/sheet41.xml><?xml version="1.0" encoding="utf-8"?>
<worksheet xmlns="http://schemas.openxmlformats.org/spreadsheetml/2006/main" xmlns:ns1="http://schemas.openxmlformats.org/markup-compatibility/2006" xmlns:ns2="http://schemas.microsoft.com/office/spreadsheetml/2014/revision" ns1:Ignorable="x14ac xr xr2 xr3" ns2:uid="{00000000-0001-0000-2800-000000000000}">
  <sheetPr>
    <tabColor rgb="FF808080"/>
  </sheetPr>
  <dimension ref="A1:AD411"/>
  <sheetViews>
    <sheetView workbookViewId="0">
      <pane ySplit="4" topLeftCell="A5" activePane="bottomLeft" state="frozen"/>
      <selection pane="bottomLeft"/>
    </sheetView>
  </sheetViews>
  <sheetFormatPr defaultRowHeight="14.25"/>
  <cols>
    <col min="1" max="1" width="13" customWidth="1"/>
    <col min="2" max="2" width="20" customWidth="1"/>
    <col min="3" max="3" width="24" customWidth="1"/>
    <col min="4" max="4" width="28" customWidth="1"/>
    <col min="5" max="6" width="55" customWidth="1"/>
    <col min="7" max="7" width="45" customWidth="1"/>
    <col min="8" max="13" width="46" customWidth="1"/>
    <col min="14" max="19" width="48" customWidth="1"/>
    <col min="20" max="25" width="14" customWidth="1"/>
    <col min="26" max="26" width="32" customWidth="1"/>
    <col min="27" max="27" width="42" customWidth="1"/>
    <col min="28" max="28" width="28" customWidth="1"/>
    <col min="29" max="29" width="24" customWidth="1"/>
    <col min="30" max="30" width="18" customWidth="1"/>
  </cols>
  <sheetData>
    <row r="1" spans="1:30" ht="27.95" customHeight="1">
      <c r="A1" s="196" t="s">
        <v>9012</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row>
    <row r="2" spans="1:30">
      <c r="A2" s="197" t="s">
        <v>9013</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row>
    <row r="4" spans="1:30" ht="24">
      <c r="A4" s="39" t="s">
        <v>6037</v>
      </c>
      <c r="B4" s="39" t="s">
        <v>36</v>
      </c>
      <c r="C4" s="39" t="s">
        <v>759</v>
      </c>
      <c r="D4" s="39" t="s">
        <v>9002</v>
      </c>
      <c r="E4" s="39" t="s">
        <v>1819</v>
      </c>
      <c r="F4" s="39" t="s">
        <v>9014</v>
      </c>
      <c r="G4" s="39" t="s">
        <v>9015</v>
      </c>
      <c r="H4" s="39" t="s">
        <v>9016</v>
      </c>
      <c r="I4" s="39" t="s">
        <v>9017</v>
      </c>
      <c r="J4" s="39" t="s">
        <v>9018</v>
      </c>
      <c r="K4" s="39" t="s">
        <v>9019</v>
      </c>
      <c r="L4" s="39" t="s">
        <v>9020</v>
      </c>
      <c r="M4" s="39" t="s">
        <v>9021</v>
      </c>
      <c r="N4" s="39" t="s">
        <v>9022</v>
      </c>
      <c r="O4" s="39" t="s">
        <v>9023</v>
      </c>
      <c r="P4" s="39" t="s">
        <v>9024</v>
      </c>
      <c r="Q4" s="39" t="s">
        <v>9025</v>
      </c>
      <c r="R4" s="39" t="s">
        <v>9026</v>
      </c>
      <c r="S4" s="39" t="s">
        <v>9027</v>
      </c>
      <c r="T4" s="39" t="s">
        <v>6045</v>
      </c>
      <c r="U4" s="39" t="s">
        <v>6046</v>
      </c>
      <c r="V4" s="39" t="s">
        <v>6047</v>
      </c>
      <c r="W4" s="39" t="s">
        <v>6048</v>
      </c>
      <c r="X4" s="39" t="s">
        <v>6049</v>
      </c>
      <c r="Y4" s="39" t="s">
        <v>6050</v>
      </c>
      <c r="Z4" s="39" t="s">
        <v>1821</v>
      </c>
      <c r="AA4" s="39" t="s">
        <v>1822</v>
      </c>
      <c r="AB4" s="39" t="s">
        <v>6051</v>
      </c>
      <c r="AC4" s="39" t="s">
        <v>1832</v>
      </c>
      <c r="AD4" s="39" t="s">
        <v>6052</v>
      </c>
    </row>
    <row r="5" spans="1:30" ht="72">
      <c r="A5" s="36" t="s">
        <v>1851</v>
      </c>
      <c r="B5" s="36" t="s">
        <v>54</v>
      </c>
      <c r="C5" s="36" t="s">
        <v>998</v>
      </c>
      <c r="D5" s="36" t="s">
        <v>183</v>
      </c>
      <c r="E5" s="36" t="s">
        <v>1852</v>
      </c>
      <c r="F5" s="36" t="s">
        <v>9028</v>
      </c>
      <c r="G5" s="36" t="s">
        <v>9029</v>
      </c>
      <c r="H5" s="36" t="s">
        <v>9030</v>
      </c>
      <c r="I5" s="36" t="s">
        <v>9031</v>
      </c>
      <c r="J5" s="36" t="s">
        <v>9032</v>
      </c>
      <c r="K5" s="36" t="s">
        <v>9033</v>
      </c>
      <c r="L5" s="36" t="s">
        <v>9034</v>
      </c>
      <c r="M5" s="36" t="s">
        <v>9035</v>
      </c>
      <c r="N5" s="36" t="s">
        <v>9036</v>
      </c>
      <c r="O5" s="36" t="s">
        <v>9037</v>
      </c>
      <c r="P5" s="36" t="s">
        <v>9038</v>
      </c>
      <c r="Q5" s="36" t="s">
        <v>9039</v>
      </c>
      <c r="R5" s="36" t="s">
        <v>9040</v>
      </c>
      <c r="S5" s="36" t="s">
        <v>9041</v>
      </c>
      <c r="T5" s="36">
        <v>3</v>
      </c>
      <c r="U5" s="36">
        <v>3</v>
      </c>
      <c r="V5" s="36">
        <v>2</v>
      </c>
      <c r="W5" s="36">
        <v>2</v>
      </c>
      <c r="X5" s="36">
        <v>1</v>
      </c>
      <c r="Y5" s="36">
        <v>1</v>
      </c>
      <c r="Z5" s="36" t="s">
        <v>1854</v>
      </c>
      <c r="AA5" s="36" t="s">
        <v>1855</v>
      </c>
      <c r="AB5" s="36" t="s">
        <v>1862</v>
      </c>
      <c r="AC5" s="36" t="s">
        <v>1863</v>
      </c>
      <c r="AD5" s="36" t="s">
        <v>6060</v>
      </c>
    </row>
    <row r="6" spans="1:30" ht="72">
      <c r="A6" s="36" t="s">
        <v>1865</v>
      </c>
      <c r="B6" s="36" t="s">
        <v>54</v>
      </c>
      <c r="C6" s="36" t="s">
        <v>998</v>
      </c>
      <c r="D6" s="36" t="s">
        <v>183</v>
      </c>
      <c r="E6" s="36" t="s">
        <v>1866</v>
      </c>
      <c r="F6" s="36" t="s">
        <v>9042</v>
      </c>
      <c r="G6" s="36" t="s">
        <v>9043</v>
      </c>
      <c r="H6" s="36" t="s">
        <v>9044</v>
      </c>
      <c r="I6" s="36" t="s">
        <v>9045</v>
      </c>
      <c r="J6" s="36" t="s">
        <v>9046</v>
      </c>
      <c r="K6" s="36" t="s">
        <v>9047</v>
      </c>
      <c r="L6" s="36" t="s">
        <v>9048</v>
      </c>
      <c r="M6" s="36" t="s">
        <v>9049</v>
      </c>
      <c r="N6" s="36" t="s">
        <v>9050</v>
      </c>
      <c r="O6" s="36" t="s">
        <v>9051</v>
      </c>
      <c r="P6" s="36" t="s">
        <v>9052</v>
      </c>
      <c r="Q6" s="36" t="s">
        <v>9053</v>
      </c>
      <c r="R6" s="36" t="s">
        <v>9040</v>
      </c>
      <c r="S6" s="36" t="s">
        <v>9054</v>
      </c>
      <c r="T6" s="36">
        <v>3</v>
      </c>
      <c r="U6" s="36">
        <v>3</v>
      </c>
      <c r="V6" s="36">
        <v>2</v>
      </c>
      <c r="W6" s="36">
        <v>2</v>
      </c>
      <c r="X6" s="36">
        <v>1</v>
      </c>
      <c r="Y6" s="36">
        <v>1</v>
      </c>
      <c r="Z6" s="36" t="s">
        <v>1854</v>
      </c>
      <c r="AA6" s="36" t="s">
        <v>1867</v>
      </c>
      <c r="AB6" s="36" t="s">
        <v>1862</v>
      </c>
      <c r="AC6" s="36" t="s">
        <v>1863</v>
      </c>
      <c r="AD6" s="36" t="s">
        <v>6067</v>
      </c>
    </row>
    <row r="7" spans="1:30" ht="72">
      <c r="A7" s="36" t="s">
        <v>1875</v>
      </c>
      <c r="B7" s="36" t="s">
        <v>54</v>
      </c>
      <c r="C7" s="36" t="s">
        <v>998</v>
      </c>
      <c r="D7" s="36" t="s">
        <v>183</v>
      </c>
      <c r="E7" s="36" t="s">
        <v>1876</v>
      </c>
      <c r="F7" s="36" t="s">
        <v>9055</v>
      </c>
      <c r="G7" s="36" t="s">
        <v>9056</v>
      </c>
      <c r="H7" s="36" t="s">
        <v>9057</v>
      </c>
      <c r="I7" s="36" t="s">
        <v>9058</v>
      </c>
      <c r="J7" s="36" t="s">
        <v>9059</v>
      </c>
      <c r="K7" s="36" t="s">
        <v>9060</v>
      </c>
      <c r="L7" s="36" t="s">
        <v>9061</v>
      </c>
      <c r="M7" s="36" t="s">
        <v>9062</v>
      </c>
      <c r="N7" s="36" t="s">
        <v>9063</v>
      </c>
      <c r="O7" s="36" t="s">
        <v>9064</v>
      </c>
      <c r="P7" s="36" t="s">
        <v>9065</v>
      </c>
      <c r="Q7" s="36" t="s">
        <v>9066</v>
      </c>
      <c r="R7" s="36" t="s">
        <v>9040</v>
      </c>
      <c r="S7" s="36" t="s">
        <v>9067</v>
      </c>
      <c r="T7" s="36">
        <v>3</v>
      </c>
      <c r="U7" s="36">
        <v>3</v>
      </c>
      <c r="V7" s="36">
        <v>2</v>
      </c>
      <c r="W7" s="36">
        <v>2</v>
      </c>
      <c r="X7" s="36">
        <v>1</v>
      </c>
      <c r="Y7" s="36">
        <v>1</v>
      </c>
      <c r="Z7" s="36" t="s">
        <v>1854</v>
      </c>
      <c r="AA7" s="36" t="s">
        <v>1877</v>
      </c>
      <c r="AB7" s="36" t="s">
        <v>1862</v>
      </c>
      <c r="AC7" s="36" t="s">
        <v>1863</v>
      </c>
      <c r="AD7" s="36" t="s">
        <v>6074</v>
      </c>
    </row>
    <row r="8" spans="1:30" ht="72">
      <c r="A8" s="36" t="s">
        <v>1885</v>
      </c>
      <c r="B8" s="36" t="s">
        <v>54</v>
      </c>
      <c r="C8" s="36" t="s">
        <v>998</v>
      </c>
      <c r="D8" s="36" t="s">
        <v>183</v>
      </c>
      <c r="E8" s="36" t="s">
        <v>1886</v>
      </c>
      <c r="F8" s="36" t="s">
        <v>9068</v>
      </c>
      <c r="G8" s="36" t="s">
        <v>9069</v>
      </c>
      <c r="H8" s="36" t="s">
        <v>9070</v>
      </c>
      <c r="I8" s="36" t="s">
        <v>9071</v>
      </c>
      <c r="J8" s="36" t="s">
        <v>9072</v>
      </c>
      <c r="K8" s="36" t="s">
        <v>9073</v>
      </c>
      <c r="L8" s="36" t="s">
        <v>9074</v>
      </c>
      <c r="M8" s="36" t="s">
        <v>9075</v>
      </c>
      <c r="N8" s="36" t="s">
        <v>9076</v>
      </c>
      <c r="O8" s="36" t="s">
        <v>9077</v>
      </c>
      <c r="P8" s="36" t="s">
        <v>9078</v>
      </c>
      <c r="Q8" s="36" t="s">
        <v>9079</v>
      </c>
      <c r="R8" s="36" t="s">
        <v>9040</v>
      </c>
      <c r="S8" s="36" t="s">
        <v>9080</v>
      </c>
      <c r="T8" s="36">
        <v>3</v>
      </c>
      <c r="U8" s="36">
        <v>3</v>
      </c>
      <c r="V8" s="36">
        <v>2</v>
      </c>
      <c r="W8" s="36">
        <v>2</v>
      </c>
      <c r="X8" s="36">
        <v>1</v>
      </c>
      <c r="Y8" s="36">
        <v>1</v>
      </c>
      <c r="Z8" s="36" t="s">
        <v>1854</v>
      </c>
      <c r="AA8" s="36" t="s">
        <v>1887</v>
      </c>
      <c r="AB8" s="36" t="s">
        <v>1862</v>
      </c>
      <c r="AC8" s="36" t="s">
        <v>1863</v>
      </c>
      <c r="AD8" s="36" t="s">
        <v>6081</v>
      </c>
    </row>
    <row r="9" spans="1:30" ht="84">
      <c r="A9" s="36" t="s">
        <v>1895</v>
      </c>
      <c r="B9" s="36" t="s">
        <v>54</v>
      </c>
      <c r="C9" s="36" t="s">
        <v>998</v>
      </c>
      <c r="D9" s="36" t="s">
        <v>183</v>
      </c>
      <c r="E9" s="36" t="s">
        <v>1896</v>
      </c>
      <c r="F9" s="36" t="s">
        <v>9081</v>
      </c>
      <c r="G9" s="36" t="s">
        <v>9082</v>
      </c>
      <c r="H9" s="36" t="s">
        <v>9083</v>
      </c>
      <c r="I9" s="36" t="s">
        <v>9084</v>
      </c>
      <c r="J9" s="36" t="s">
        <v>9085</v>
      </c>
      <c r="K9" s="36" t="s">
        <v>9086</v>
      </c>
      <c r="L9" s="36" t="s">
        <v>9087</v>
      </c>
      <c r="M9" s="36" t="s">
        <v>9088</v>
      </c>
      <c r="N9" s="36" t="s">
        <v>9089</v>
      </c>
      <c r="O9" s="36" t="s">
        <v>9090</v>
      </c>
      <c r="P9" s="36" t="s">
        <v>9091</v>
      </c>
      <c r="Q9" s="36" t="s">
        <v>9092</v>
      </c>
      <c r="R9" s="36" t="s">
        <v>9040</v>
      </c>
      <c r="S9" s="36" t="s">
        <v>9093</v>
      </c>
      <c r="T9" s="36">
        <v>3</v>
      </c>
      <c r="U9" s="36">
        <v>3</v>
      </c>
      <c r="V9" s="36">
        <v>2</v>
      </c>
      <c r="W9" s="36">
        <v>2</v>
      </c>
      <c r="X9" s="36">
        <v>1</v>
      </c>
      <c r="Y9" s="36">
        <v>1</v>
      </c>
      <c r="Z9" s="36" t="s">
        <v>1854</v>
      </c>
      <c r="AA9" s="36" t="s">
        <v>1897</v>
      </c>
      <c r="AB9" s="36" t="s">
        <v>1862</v>
      </c>
      <c r="AC9" s="36" t="s">
        <v>1863</v>
      </c>
      <c r="AD9" s="36" t="s">
        <v>6088</v>
      </c>
    </row>
    <row r="10" spans="1:30" ht="72">
      <c r="A10" s="36" t="s">
        <v>1905</v>
      </c>
      <c r="B10" s="36" t="s">
        <v>54</v>
      </c>
      <c r="C10" s="36" t="s">
        <v>998</v>
      </c>
      <c r="D10" s="36" t="s">
        <v>183</v>
      </c>
      <c r="E10" s="36" t="s">
        <v>1906</v>
      </c>
      <c r="F10" s="36" t="s">
        <v>9094</v>
      </c>
      <c r="G10" s="36" t="s">
        <v>9095</v>
      </c>
      <c r="H10" s="36" t="s">
        <v>9096</v>
      </c>
      <c r="I10" s="36" t="s">
        <v>9097</v>
      </c>
      <c r="J10" s="36" t="s">
        <v>9098</v>
      </c>
      <c r="K10" s="36" t="s">
        <v>9099</v>
      </c>
      <c r="L10" s="36" t="s">
        <v>9100</v>
      </c>
      <c r="M10" s="36" t="s">
        <v>9101</v>
      </c>
      <c r="N10" s="36" t="s">
        <v>9102</v>
      </c>
      <c r="O10" s="36" t="s">
        <v>9103</v>
      </c>
      <c r="P10" s="36" t="s">
        <v>9104</v>
      </c>
      <c r="Q10" s="36" t="s">
        <v>9105</v>
      </c>
      <c r="R10" s="36" t="s">
        <v>9040</v>
      </c>
      <c r="S10" s="36" t="s">
        <v>9106</v>
      </c>
      <c r="T10" s="36">
        <v>3</v>
      </c>
      <c r="U10" s="36">
        <v>3</v>
      </c>
      <c r="V10" s="36">
        <v>2</v>
      </c>
      <c r="W10" s="36">
        <v>2</v>
      </c>
      <c r="X10" s="36">
        <v>1</v>
      </c>
      <c r="Y10" s="36">
        <v>1</v>
      </c>
      <c r="Z10" s="36" t="s">
        <v>1854</v>
      </c>
      <c r="AA10" s="36" t="s">
        <v>1907</v>
      </c>
      <c r="AB10" s="36" t="s">
        <v>1862</v>
      </c>
      <c r="AC10" s="36" t="s">
        <v>1863</v>
      </c>
      <c r="AD10" s="36" t="s">
        <v>6095</v>
      </c>
    </row>
    <row r="11" spans="1:30" ht="72">
      <c r="A11" s="36" t="s">
        <v>1915</v>
      </c>
      <c r="B11" s="36" t="s">
        <v>54</v>
      </c>
      <c r="C11" s="36" t="s">
        <v>998</v>
      </c>
      <c r="D11" s="36" t="s">
        <v>183</v>
      </c>
      <c r="E11" s="36" t="s">
        <v>1916</v>
      </c>
      <c r="F11" s="36" t="s">
        <v>9107</v>
      </c>
      <c r="G11" s="36" t="s">
        <v>9108</v>
      </c>
      <c r="H11" s="36" t="s">
        <v>9109</v>
      </c>
      <c r="I11" s="36" t="s">
        <v>9110</v>
      </c>
      <c r="J11" s="36" t="s">
        <v>9111</v>
      </c>
      <c r="K11" s="36" t="s">
        <v>9112</v>
      </c>
      <c r="L11" s="36" t="s">
        <v>9113</v>
      </c>
      <c r="M11" s="36" t="s">
        <v>9114</v>
      </c>
      <c r="N11" s="36" t="s">
        <v>9115</v>
      </c>
      <c r="O11" s="36" t="s">
        <v>9116</v>
      </c>
      <c r="P11" s="36" t="s">
        <v>9117</v>
      </c>
      <c r="Q11" s="36" t="s">
        <v>9118</v>
      </c>
      <c r="R11" s="36" t="s">
        <v>9040</v>
      </c>
      <c r="S11" s="36" t="s">
        <v>9119</v>
      </c>
      <c r="T11" s="36">
        <v>3</v>
      </c>
      <c r="U11" s="36">
        <v>3</v>
      </c>
      <c r="V11" s="36">
        <v>2</v>
      </c>
      <c r="W11" s="36">
        <v>2</v>
      </c>
      <c r="X11" s="36">
        <v>1</v>
      </c>
      <c r="Y11" s="36">
        <v>1</v>
      </c>
      <c r="Z11" s="36" t="s">
        <v>1854</v>
      </c>
      <c r="AA11" s="36" t="s">
        <v>1917</v>
      </c>
      <c r="AB11" s="36" t="s">
        <v>1862</v>
      </c>
      <c r="AC11" s="36" t="s">
        <v>1863</v>
      </c>
      <c r="AD11" s="36" t="s">
        <v>6102</v>
      </c>
    </row>
    <row r="12" spans="1:30" ht="72">
      <c r="A12" s="36" t="s">
        <v>1925</v>
      </c>
      <c r="B12" s="36" t="s">
        <v>54</v>
      </c>
      <c r="C12" s="36" t="s">
        <v>1016</v>
      </c>
      <c r="D12" s="36" t="s">
        <v>183</v>
      </c>
      <c r="E12" s="36" t="s">
        <v>1926</v>
      </c>
      <c r="F12" s="36" t="s">
        <v>9120</v>
      </c>
      <c r="G12" s="36" t="s">
        <v>9121</v>
      </c>
      <c r="H12" s="36" t="s">
        <v>9122</v>
      </c>
      <c r="I12" s="36" t="s">
        <v>9123</v>
      </c>
      <c r="J12" s="36" t="s">
        <v>9124</v>
      </c>
      <c r="K12" s="36" t="s">
        <v>9125</v>
      </c>
      <c r="L12" s="36" t="s">
        <v>9126</v>
      </c>
      <c r="M12" s="36" t="s">
        <v>9127</v>
      </c>
      <c r="N12" s="36" t="s">
        <v>9128</v>
      </c>
      <c r="O12" s="36" t="s">
        <v>9129</v>
      </c>
      <c r="P12" s="36" t="s">
        <v>9130</v>
      </c>
      <c r="Q12" s="36" t="s">
        <v>9131</v>
      </c>
      <c r="R12" s="36" t="s">
        <v>9040</v>
      </c>
      <c r="S12" s="36" t="s">
        <v>9132</v>
      </c>
      <c r="T12" s="36">
        <v>3</v>
      </c>
      <c r="U12" s="36">
        <v>3</v>
      </c>
      <c r="V12" s="36">
        <v>2</v>
      </c>
      <c r="W12" s="36">
        <v>2</v>
      </c>
      <c r="X12" s="36">
        <v>1</v>
      </c>
      <c r="Y12" s="36">
        <v>1</v>
      </c>
      <c r="Z12" s="36" t="s">
        <v>1854</v>
      </c>
      <c r="AA12" s="36" t="s">
        <v>1927</v>
      </c>
      <c r="AB12" s="36" t="s">
        <v>1862</v>
      </c>
      <c r="AC12" s="36" t="s">
        <v>1863</v>
      </c>
      <c r="AD12" s="36" t="s">
        <v>6110</v>
      </c>
    </row>
    <row r="13" spans="1:30" ht="72">
      <c r="A13" s="36" t="s">
        <v>1935</v>
      </c>
      <c r="B13" s="36" t="s">
        <v>54</v>
      </c>
      <c r="C13" s="36" t="s">
        <v>1016</v>
      </c>
      <c r="D13" s="36" t="s">
        <v>183</v>
      </c>
      <c r="E13" s="36" t="s">
        <v>1936</v>
      </c>
      <c r="F13" s="36" t="s">
        <v>9133</v>
      </c>
      <c r="G13" s="36" t="s">
        <v>9134</v>
      </c>
      <c r="H13" s="36" t="s">
        <v>9135</v>
      </c>
      <c r="I13" s="36" t="s">
        <v>9136</v>
      </c>
      <c r="J13" s="36" t="s">
        <v>9137</v>
      </c>
      <c r="K13" s="36" t="s">
        <v>9138</v>
      </c>
      <c r="L13" s="36" t="s">
        <v>9139</v>
      </c>
      <c r="M13" s="36" t="s">
        <v>9140</v>
      </c>
      <c r="N13" s="36" t="s">
        <v>9141</v>
      </c>
      <c r="O13" s="36" t="s">
        <v>9142</v>
      </c>
      <c r="P13" s="36" t="s">
        <v>9143</v>
      </c>
      <c r="Q13" s="36" t="s">
        <v>9144</v>
      </c>
      <c r="R13" s="36" t="s">
        <v>9040</v>
      </c>
      <c r="S13" s="36" t="s">
        <v>9145</v>
      </c>
      <c r="T13" s="36">
        <v>3</v>
      </c>
      <c r="U13" s="36">
        <v>3</v>
      </c>
      <c r="V13" s="36">
        <v>2</v>
      </c>
      <c r="W13" s="36">
        <v>2</v>
      </c>
      <c r="X13" s="36">
        <v>1</v>
      </c>
      <c r="Y13" s="36">
        <v>1</v>
      </c>
      <c r="Z13" s="36" t="s">
        <v>1854</v>
      </c>
      <c r="AA13" s="36" t="s">
        <v>1937</v>
      </c>
      <c r="AB13" s="36" t="s">
        <v>1862</v>
      </c>
      <c r="AC13" s="36" t="s">
        <v>1863</v>
      </c>
      <c r="AD13" s="36" t="s">
        <v>6117</v>
      </c>
    </row>
    <row r="14" spans="1:30" ht="72">
      <c r="A14" s="36" t="s">
        <v>1945</v>
      </c>
      <c r="B14" s="36" t="s">
        <v>54</v>
      </c>
      <c r="C14" s="36" t="s">
        <v>1016</v>
      </c>
      <c r="D14" s="36" t="s">
        <v>183</v>
      </c>
      <c r="E14" s="36" t="s">
        <v>1946</v>
      </c>
      <c r="F14" s="36" t="s">
        <v>9146</v>
      </c>
      <c r="G14" s="36" t="s">
        <v>9147</v>
      </c>
      <c r="H14" s="36" t="s">
        <v>9148</v>
      </c>
      <c r="I14" s="36" t="s">
        <v>9149</v>
      </c>
      <c r="J14" s="36" t="s">
        <v>9150</v>
      </c>
      <c r="K14" s="36" t="s">
        <v>9151</v>
      </c>
      <c r="L14" s="36" t="s">
        <v>9152</v>
      </c>
      <c r="M14" s="36" t="s">
        <v>9153</v>
      </c>
      <c r="N14" s="36" t="s">
        <v>9154</v>
      </c>
      <c r="O14" s="36" t="s">
        <v>9155</v>
      </c>
      <c r="P14" s="36" t="s">
        <v>9156</v>
      </c>
      <c r="Q14" s="36" t="s">
        <v>9157</v>
      </c>
      <c r="R14" s="36" t="s">
        <v>9040</v>
      </c>
      <c r="S14" s="36" t="s">
        <v>9158</v>
      </c>
      <c r="T14" s="36">
        <v>3</v>
      </c>
      <c r="U14" s="36">
        <v>3</v>
      </c>
      <c r="V14" s="36">
        <v>2</v>
      </c>
      <c r="W14" s="36">
        <v>2</v>
      </c>
      <c r="X14" s="36">
        <v>1</v>
      </c>
      <c r="Y14" s="36">
        <v>1</v>
      </c>
      <c r="Z14" s="36" t="s">
        <v>1854</v>
      </c>
      <c r="AA14" s="36" t="s">
        <v>1947</v>
      </c>
      <c r="AB14" s="36" t="s">
        <v>1862</v>
      </c>
      <c r="AC14" s="36" t="s">
        <v>1863</v>
      </c>
      <c r="AD14" s="36" t="s">
        <v>6124</v>
      </c>
    </row>
    <row r="15" spans="1:30" ht="72">
      <c r="A15" s="36" t="s">
        <v>1955</v>
      </c>
      <c r="B15" s="36" t="s">
        <v>54</v>
      </c>
      <c r="C15" s="36" t="s">
        <v>1016</v>
      </c>
      <c r="D15" s="36" t="s">
        <v>183</v>
      </c>
      <c r="E15" s="36" t="s">
        <v>1956</v>
      </c>
      <c r="F15" s="36" t="s">
        <v>9159</v>
      </c>
      <c r="G15" s="36" t="s">
        <v>9160</v>
      </c>
      <c r="H15" s="36" t="s">
        <v>9161</v>
      </c>
      <c r="I15" s="36" t="s">
        <v>9162</v>
      </c>
      <c r="J15" s="36" t="s">
        <v>9163</v>
      </c>
      <c r="K15" s="36" t="s">
        <v>9164</v>
      </c>
      <c r="L15" s="36" t="s">
        <v>9165</v>
      </c>
      <c r="M15" s="36" t="s">
        <v>9166</v>
      </c>
      <c r="N15" s="36" t="s">
        <v>9167</v>
      </c>
      <c r="O15" s="36" t="s">
        <v>9168</v>
      </c>
      <c r="P15" s="36" t="s">
        <v>9169</v>
      </c>
      <c r="Q15" s="36" t="s">
        <v>9170</v>
      </c>
      <c r="R15" s="36" t="s">
        <v>9040</v>
      </c>
      <c r="S15" s="36" t="s">
        <v>9171</v>
      </c>
      <c r="T15" s="36">
        <v>3</v>
      </c>
      <c r="U15" s="36">
        <v>3</v>
      </c>
      <c r="V15" s="36">
        <v>2</v>
      </c>
      <c r="W15" s="36">
        <v>2</v>
      </c>
      <c r="X15" s="36">
        <v>1</v>
      </c>
      <c r="Y15" s="36">
        <v>1</v>
      </c>
      <c r="Z15" s="36" t="s">
        <v>1854</v>
      </c>
      <c r="AA15" s="36" t="s">
        <v>1957</v>
      </c>
      <c r="AB15" s="36" t="s">
        <v>1862</v>
      </c>
      <c r="AC15" s="36" t="s">
        <v>1863</v>
      </c>
      <c r="AD15" s="36" t="s">
        <v>6131</v>
      </c>
    </row>
    <row r="16" spans="1:30" ht="72">
      <c r="A16" s="36" t="s">
        <v>1965</v>
      </c>
      <c r="B16" s="36" t="s">
        <v>54</v>
      </c>
      <c r="C16" s="36" t="s">
        <v>1016</v>
      </c>
      <c r="D16" s="36" t="s">
        <v>183</v>
      </c>
      <c r="E16" s="36" t="s">
        <v>1966</v>
      </c>
      <c r="F16" s="36" t="s">
        <v>9172</v>
      </c>
      <c r="G16" s="36" t="s">
        <v>9173</v>
      </c>
      <c r="H16" s="36" t="s">
        <v>9174</v>
      </c>
      <c r="I16" s="36" t="s">
        <v>9175</v>
      </c>
      <c r="J16" s="36" t="s">
        <v>9176</v>
      </c>
      <c r="K16" s="36" t="s">
        <v>9177</v>
      </c>
      <c r="L16" s="36" t="s">
        <v>9178</v>
      </c>
      <c r="M16" s="36" t="s">
        <v>9179</v>
      </c>
      <c r="N16" s="36" t="s">
        <v>9180</v>
      </c>
      <c r="O16" s="36" t="s">
        <v>9181</v>
      </c>
      <c r="P16" s="36" t="s">
        <v>9182</v>
      </c>
      <c r="Q16" s="36" t="s">
        <v>9183</v>
      </c>
      <c r="R16" s="36" t="s">
        <v>9040</v>
      </c>
      <c r="S16" s="36" t="s">
        <v>9184</v>
      </c>
      <c r="T16" s="36">
        <v>3</v>
      </c>
      <c r="U16" s="36">
        <v>3</v>
      </c>
      <c r="V16" s="36">
        <v>2</v>
      </c>
      <c r="W16" s="36">
        <v>2</v>
      </c>
      <c r="X16" s="36">
        <v>1</v>
      </c>
      <c r="Y16" s="36">
        <v>1</v>
      </c>
      <c r="Z16" s="36" t="s">
        <v>1854</v>
      </c>
      <c r="AA16" s="36" t="s">
        <v>1967</v>
      </c>
      <c r="AB16" s="36" t="s">
        <v>1862</v>
      </c>
      <c r="AC16" s="36" t="s">
        <v>1863</v>
      </c>
      <c r="AD16" s="36" t="s">
        <v>6138</v>
      </c>
    </row>
    <row r="17" spans="1:30" ht="84">
      <c r="A17" s="36" t="s">
        <v>1975</v>
      </c>
      <c r="B17" s="36" t="s">
        <v>54</v>
      </c>
      <c r="C17" s="36" t="s">
        <v>1016</v>
      </c>
      <c r="D17" s="36" t="s">
        <v>183</v>
      </c>
      <c r="E17" s="36" t="s">
        <v>1976</v>
      </c>
      <c r="F17" s="36" t="s">
        <v>9185</v>
      </c>
      <c r="G17" s="36" t="s">
        <v>9186</v>
      </c>
      <c r="H17" s="36" t="s">
        <v>9187</v>
      </c>
      <c r="I17" s="36" t="s">
        <v>9188</v>
      </c>
      <c r="J17" s="36" t="s">
        <v>9189</v>
      </c>
      <c r="K17" s="36" t="s">
        <v>9190</v>
      </c>
      <c r="L17" s="36" t="s">
        <v>9191</v>
      </c>
      <c r="M17" s="36" t="s">
        <v>9192</v>
      </c>
      <c r="N17" s="36" t="s">
        <v>9193</v>
      </c>
      <c r="O17" s="36" t="s">
        <v>9194</v>
      </c>
      <c r="P17" s="36" t="s">
        <v>9195</v>
      </c>
      <c r="Q17" s="36" t="s">
        <v>9196</v>
      </c>
      <c r="R17" s="36" t="s">
        <v>9040</v>
      </c>
      <c r="S17" s="36" t="s">
        <v>9197</v>
      </c>
      <c r="T17" s="36">
        <v>3</v>
      </c>
      <c r="U17" s="36">
        <v>3</v>
      </c>
      <c r="V17" s="36">
        <v>2</v>
      </c>
      <c r="W17" s="36">
        <v>2</v>
      </c>
      <c r="X17" s="36">
        <v>1</v>
      </c>
      <c r="Y17" s="36">
        <v>1</v>
      </c>
      <c r="Z17" s="36" t="s">
        <v>1854</v>
      </c>
      <c r="AA17" s="36" t="s">
        <v>1977</v>
      </c>
      <c r="AB17" s="36" t="s">
        <v>1862</v>
      </c>
      <c r="AC17" s="36" t="s">
        <v>1863</v>
      </c>
      <c r="AD17" s="36" t="s">
        <v>6145</v>
      </c>
    </row>
    <row r="18" spans="1:30" ht="72">
      <c r="A18" s="36" t="s">
        <v>1985</v>
      </c>
      <c r="B18" s="36" t="s">
        <v>54</v>
      </c>
      <c r="C18" s="36" t="s">
        <v>1016</v>
      </c>
      <c r="D18" s="36" t="s">
        <v>183</v>
      </c>
      <c r="E18" s="36" t="s">
        <v>1986</v>
      </c>
      <c r="F18" s="36" t="s">
        <v>9198</v>
      </c>
      <c r="G18" s="36" t="s">
        <v>9199</v>
      </c>
      <c r="H18" s="36" t="s">
        <v>9200</v>
      </c>
      <c r="I18" s="36" t="s">
        <v>9201</v>
      </c>
      <c r="J18" s="36" t="s">
        <v>9202</v>
      </c>
      <c r="K18" s="36" t="s">
        <v>9203</v>
      </c>
      <c r="L18" s="36" t="s">
        <v>9204</v>
      </c>
      <c r="M18" s="36" t="s">
        <v>9205</v>
      </c>
      <c r="N18" s="36" t="s">
        <v>9206</v>
      </c>
      <c r="O18" s="36" t="s">
        <v>9207</v>
      </c>
      <c r="P18" s="36" t="s">
        <v>9208</v>
      </c>
      <c r="Q18" s="36" t="s">
        <v>9209</v>
      </c>
      <c r="R18" s="36" t="s">
        <v>9040</v>
      </c>
      <c r="S18" s="36" t="s">
        <v>9210</v>
      </c>
      <c r="T18" s="36">
        <v>3</v>
      </c>
      <c r="U18" s="36">
        <v>3</v>
      </c>
      <c r="V18" s="36">
        <v>2</v>
      </c>
      <c r="W18" s="36">
        <v>2</v>
      </c>
      <c r="X18" s="36">
        <v>1</v>
      </c>
      <c r="Y18" s="36">
        <v>1</v>
      </c>
      <c r="Z18" s="36" t="s">
        <v>1854</v>
      </c>
      <c r="AA18" s="36" t="s">
        <v>1987</v>
      </c>
      <c r="AB18" s="36" t="s">
        <v>1862</v>
      </c>
      <c r="AC18" s="36" t="s">
        <v>1863</v>
      </c>
      <c r="AD18" s="36" t="s">
        <v>6152</v>
      </c>
    </row>
    <row r="19" spans="1:30" ht="84">
      <c r="A19" s="36" t="s">
        <v>1995</v>
      </c>
      <c r="B19" s="36" t="s">
        <v>54</v>
      </c>
      <c r="C19" s="36" t="s">
        <v>1024</v>
      </c>
      <c r="D19" s="36" t="s">
        <v>183</v>
      </c>
      <c r="E19" s="36" t="s">
        <v>1996</v>
      </c>
      <c r="F19" s="36" t="s">
        <v>9211</v>
      </c>
      <c r="G19" s="36" t="s">
        <v>9212</v>
      </c>
      <c r="H19" s="36" t="s">
        <v>9213</v>
      </c>
      <c r="I19" s="36" t="s">
        <v>9214</v>
      </c>
      <c r="J19" s="36" t="s">
        <v>9215</v>
      </c>
      <c r="K19" s="36" t="s">
        <v>9216</v>
      </c>
      <c r="L19" s="36" t="s">
        <v>9217</v>
      </c>
      <c r="M19" s="36" t="s">
        <v>9218</v>
      </c>
      <c r="N19" s="36" t="s">
        <v>9219</v>
      </c>
      <c r="O19" s="36" t="s">
        <v>9220</v>
      </c>
      <c r="P19" s="36" t="s">
        <v>9221</v>
      </c>
      <c r="Q19" s="36" t="s">
        <v>9222</v>
      </c>
      <c r="R19" s="36" t="s">
        <v>9040</v>
      </c>
      <c r="S19" s="36" t="s">
        <v>9223</v>
      </c>
      <c r="T19" s="36">
        <v>3</v>
      </c>
      <c r="U19" s="36">
        <v>3</v>
      </c>
      <c r="V19" s="36">
        <v>2</v>
      </c>
      <c r="W19" s="36">
        <v>2</v>
      </c>
      <c r="X19" s="36">
        <v>1</v>
      </c>
      <c r="Y19" s="36">
        <v>1</v>
      </c>
      <c r="Z19" s="36" t="s">
        <v>1854</v>
      </c>
      <c r="AA19" s="36" t="s">
        <v>1997</v>
      </c>
      <c r="AB19" s="36" t="s">
        <v>1862</v>
      </c>
      <c r="AC19" s="36" t="s">
        <v>1863</v>
      </c>
      <c r="AD19" s="36" t="s">
        <v>6160</v>
      </c>
    </row>
    <row r="20" spans="1:30" ht="72">
      <c r="A20" s="36" t="s">
        <v>2005</v>
      </c>
      <c r="B20" s="36" t="s">
        <v>54</v>
      </c>
      <c r="C20" s="36" t="s">
        <v>1024</v>
      </c>
      <c r="D20" s="36" t="s">
        <v>183</v>
      </c>
      <c r="E20" s="36" t="s">
        <v>2006</v>
      </c>
      <c r="F20" s="36" t="s">
        <v>9224</v>
      </c>
      <c r="G20" s="36" t="s">
        <v>9225</v>
      </c>
      <c r="H20" s="36" t="s">
        <v>9226</v>
      </c>
      <c r="I20" s="36" t="s">
        <v>9227</v>
      </c>
      <c r="J20" s="36" t="s">
        <v>9228</v>
      </c>
      <c r="K20" s="36" t="s">
        <v>9229</v>
      </c>
      <c r="L20" s="36" t="s">
        <v>9230</v>
      </c>
      <c r="M20" s="36" t="s">
        <v>9231</v>
      </c>
      <c r="N20" s="36" t="s">
        <v>9232</v>
      </c>
      <c r="O20" s="36" t="s">
        <v>9233</v>
      </c>
      <c r="P20" s="36" t="s">
        <v>9234</v>
      </c>
      <c r="Q20" s="36" t="s">
        <v>9235</v>
      </c>
      <c r="R20" s="36" t="s">
        <v>9040</v>
      </c>
      <c r="S20" s="36" t="s">
        <v>9236</v>
      </c>
      <c r="T20" s="36">
        <v>3</v>
      </c>
      <c r="U20" s="36">
        <v>3</v>
      </c>
      <c r="V20" s="36">
        <v>2</v>
      </c>
      <c r="W20" s="36">
        <v>2</v>
      </c>
      <c r="X20" s="36">
        <v>1</v>
      </c>
      <c r="Y20" s="36">
        <v>1</v>
      </c>
      <c r="Z20" s="36" t="s">
        <v>1854</v>
      </c>
      <c r="AA20" s="36" t="s">
        <v>2007</v>
      </c>
      <c r="AB20" s="36" t="s">
        <v>1862</v>
      </c>
      <c r="AC20" s="36" t="s">
        <v>1863</v>
      </c>
      <c r="AD20" s="36" t="s">
        <v>6167</v>
      </c>
    </row>
    <row r="21" spans="1:30" ht="84">
      <c r="A21" s="36" t="s">
        <v>2015</v>
      </c>
      <c r="B21" s="36" t="s">
        <v>54</v>
      </c>
      <c r="C21" s="36" t="s">
        <v>1024</v>
      </c>
      <c r="D21" s="36" t="s">
        <v>183</v>
      </c>
      <c r="E21" s="36" t="s">
        <v>2016</v>
      </c>
      <c r="F21" s="36" t="s">
        <v>9237</v>
      </c>
      <c r="G21" s="36" t="s">
        <v>9238</v>
      </c>
      <c r="H21" s="36" t="s">
        <v>9239</v>
      </c>
      <c r="I21" s="36" t="s">
        <v>9240</v>
      </c>
      <c r="J21" s="36" t="s">
        <v>9241</v>
      </c>
      <c r="K21" s="36" t="s">
        <v>9242</v>
      </c>
      <c r="L21" s="36" t="s">
        <v>9243</v>
      </c>
      <c r="M21" s="36" t="s">
        <v>9244</v>
      </c>
      <c r="N21" s="36" t="s">
        <v>9245</v>
      </c>
      <c r="O21" s="36" t="s">
        <v>9246</v>
      </c>
      <c r="P21" s="36" t="s">
        <v>9247</v>
      </c>
      <c r="Q21" s="36" t="s">
        <v>9248</v>
      </c>
      <c r="R21" s="36" t="s">
        <v>9040</v>
      </c>
      <c r="S21" s="36" t="s">
        <v>9249</v>
      </c>
      <c r="T21" s="36">
        <v>3</v>
      </c>
      <c r="U21" s="36">
        <v>3</v>
      </c>
      <c r="V21" s="36">
        <v>2</v>
      </c>
      <c r="W21" s="36">
        <v>2</v>
      </c>
      <c r="X21" s="36">
        <v>1</v>
      </c>
      <c r="Y21" s="36">
        <v>1</v>
      </c>
      <c r="Z21" s="36" t="s">
        <v>1854</v>
      </c>
      <c r="AA21" s="36" t="s">
        <v>2017</v>
      </c>
      <c r="AB21" s="36" t="s">
        <v>1862</v>
      </c>
      <c r="AC21" s="36" t="s">
        <v>1863</v>
      </c>
      <c r="AD21" s="36" t="s">
        <v>6174</v>
      </c>
    </row>
    <row r="22" spans="1:30" ht="72">
      <c r="A22" s="36" t="s">
        <v>2025</v>
      </c>
      <c r="B22" s="36" t="s">
        <v>54</v>
      </c>
      <c r="C22" s="36" t="s">
        <v>1024</v>
      </c>
      <c r="D22" s="36" t="s">
        <v>183</v>
      </c>
      <c r="E22" s="36" t="s">
        <v>2026</v>
      </c>
      <c r="F22" s="36" t="s">
        <v>9250</v>
      </c>
      <c r="G22" s="36" t="s">
        <v>9251</v>
      </c>
      <c r="H22" s="36" t="s">
        <v>9252</v>
      </c>
      <c r="I22" s="36" t="s">
        <v>9253</v>
      </c>
      <c r="J22" s="36" t="s">
        <v>9254</v>
      </c>
      <c r="K22" s="36" t="s">
        <v>9255</v>
      </c>
      <c r="L22" s="36" t="s">
        <v>9256</v>
      </c>
      <c r="M22" s="36" t="s">
        <v>9257</v>
      </c>
      <c r="N22" s="36" t="s">
        <v>9258</v>
      </c>
      <c r="O22" s="36" t="s">
        <v>9259</v>
      </c>
      <c r="P22" s="36" t="s">
        <v>9260</v>
      </c>
      <c r="Q22" s="36" t="s">
        <v>9261</v>
      </c>
      <c r="R22" s="36" t="s">
        <v>9040</v>
      </c>
      <c r="S22" s="36" t="s">
        <v>9262</v>
      </c>
      <c r="T22" s="36">
        <v>3</v>
      </c>
      <c r="U22" s="36">
        <v>3</v>
      </c>
      <c r="V22" s="36">
        <v>2</v>
      </c>
      <c r="W22" s="36">
        <v>2</v>
      </c>
      <c r="X22" s="36">
        <v>1</v>
      </c>
      <c r="Y22" s="36">
        <v>1</v>
      </c>
      <c r="Z22" s="36" t="s">
        <v>1854</v>
      </c>
      <c r="AA22" s="36" t="s">
        <v>2027</v>
      </c>
      <c r="AB22" s="36" t="s">
        <v>1862</v>
      </c>
      <c r="AC22" s="36" t="s">
        <v>1863</v>
      </c>
      <c r="AD22" s="36" t="s">
        <v>6181</v>
      </c>
    </row>
    <row r="23" spans="1:30" ht="72">
      <c r="A23" s="36" t="s">
        <v>2035</v>
      </c>
      <c r="B23" s="36" t="s">
        <v>54</v>
      </c>
      <c r="C23" s="36" t="s">
        <v>1024</v>
      </c>
      <c r="D23" s="36" t="s">
        <v>183</v>
      </c>
      <c r="E23" s="36" t="s">
        <v>2036</v>
      </c>
      <c r="F23" s="36" t="s">
        <v>9263</v>
      </c>
      <c r="G23" s="36" t="s">
        <v>9264</v>
      </c>
      <c r="H23" s="36" t="s">
        <v>9265</v>
      </c>
      <c r="I23" s="36" t="s">
        <v>9266</v>
      </c>
      <c r="J23" s="36" t="s">
        <v>9267</v>
      </c>
      <c r="K23" s="36" t="s">
        <v>9268</v>
      </c>
      <c r="L23" s="36" t="s">
        <v>9269</v>
      </c>
      <c r="M23" s="36" t="s">
        <v>9270</v>
      </c>
      <c r="N23" s="36" t="s">
        <v>9271</v>
      </c>
      <c r="O23" s="36" t="s">
        <v>9272</v>
      </c>
      <c r="P23" s="36" t="s">
        <v>9273</v>
      </c>
      <c r="Q23" s="36" t="s">
        <v>9274</v>
      </c>
      <c r="R23" s="36" t="s">
        <v>9040</v>
      </c>
      <c r="S23" s="36" t="s">
        <v>9275</v>
      </c>
      <c r="T23" s="36">
        <v>3</v>
      </c>
      <c r="U23" s="36">
        <v>3</v>
      </c>
      <c r="V23" s="36">
        <v>2</v>
      </c>
      <c r="W23" s="36">
        <v>2</v>
      </c>
      <c r="X23" s="36">
        <v>1</v>
      </c>
      <c r="Y23" s="36">
        <v>1</v>
      </c>
      <c r="Z23" s="36" t="s">
        <v>1854</v>
      </c>
      <c r="AA23" s="36" t="s">
        <v>2037</v>
      </c>
      <c r="AB23" s="36" t="s">
        <v>1862</v>
      </c>
      <c r="AC23" s="36" t="s">
        <v>1863</v>
      </c>
      <c r="AD23" s="36" t="s">
        <v>6188</v>
      </c>
    </row>
    <row r="24" spans="1:30" ht="72">
      <c r="A24" s="36" t="s">
        <v>2045</v>
      </c>
      <c r="B24" s="36" t="s">
        <v>54</v>
      </c>
      <c r="C24" s="36" t="s">
        <v>1024</v>
      </c>
      <c r="D24" s="36" t="s">
        <v>183</v>
      </c>
      <c r="E24" s="36" t="s">
        <v>2046</v>
      </c>
      <c r="F24" s="36" t="s">
        <v>9276</v>
      </c>
      <c r="G24" s="36" t="s">
        <v>9277</v>
      </c>
      <c r="H24" s="36" t="s">
        <v>9278</v>
      </c>
      <c r="I24" s="36" t="s">
        <v>9279</v>
      </c>
      <c r="J24" s="36" t="s">
        <v>9280</v>
      </c>
      <c r="K24" s="36" t="s">
        <v>9281</v>
      </c>
      <c r="L24" s="36" t="s">
        <v>9282</v>
      </c>
      <c r="M24" s="36" t="s">
        <v>9283</v>
      </c>
      <c r="N24" s="36" t="s">
        <v>9284</v>
      </c>
      <c r="O24" s="36" t="s">
        <v>9285</v>
      </c>
      <c r="P24" s="36" t="s">
        <v>9286</v>
      </c>
      <c r="Q24" s="36" t="s">
        <v>9287</v>
      </c>
      <c r="R24" s="36" t="s">
        <v>9040</v>
      </c>
      <c r="S24" s="36" t="s">
        <v>9288</v>
      </c>
      <c r="T24" s="36">
        <v>3</v>
      </c>
      <c r="U24" s="36">
        <v>3</v>
      </c>
      <c r="V24" s="36">
        <v>2</v>
      </c>
      <c r="W24" s="36">
        <v>2</v>
      </c>
      <c r="X24" s="36">
        <v>1</v>
      </c>
      <c r="Y24" s="36">
        <v>1</v>
      </c>
      <c r="Z24" s="36" t="s">
        <v>1854</v>
      </c>
      <c r="AA24" s="36" t="s">
        <v>2047</v>
      </c>
      <c r="AB24" s="36" t="s">
        <v>1862</v>
      </c>
      <c r="AC24" s="36" t="s">
        <v>1863</v>
      </c>
      <c r="AD24" s="36" t="s">
        <v>6195</v>
      </c>
    </row>
    <row r="25" spans="1:30" ht="72">
      <c r="A25" s="36" t="s">
        <v>2057</v>
      </c>
      <c r="B25" s="36" t="s">
        <v>57</v>
      </c>
      <c r="C25" s="36" t="s">
        <v>1032</v>
      </c>
      <c r="D25" s="36" t="s">
        <v>184</v>
      </c>
      <c r="E25" s="36" t="s">
        <v>2058</v>
      </c>
      <c r="F25" s="36" t="s">
        <v>9289</v>
      </c>
      <c r="G25" s="36" t="s">
        <v>9290</v>
      </c>
      <c r="H25" s="36" t="s">
        <v>9291</v>
      </c>
      <c r="I25" s="36" t="s">
        <v>9292</v>
      </c>
      <c r="J25" s="36" t="s">
        <v>9293</v>
      </c>
      <c r="K25" s="36" t="s">
        <v>9294</v>
      </c>
      <c r="L25" s="36" t="s">
        <v>9295</v>
      </c>
      <c r="M25" s="36" t="s">
        <v>9296</v>
      </c>
      <c r="N25" s="36" t="s">
        <v>9297</v>
      </c>
      <c r="O25" s="36" t="s">
        <v>9298</v>
      </c>
      <c r="P25" s="36" t="s">
        <v>9299</v>
      </c>
      <c r="Q25" s="36" t="s">
        <v>9300</v>
      </c>
      <c r="R25" s="36" t="s">
        <v>9040</v>
      </c>
      <c r="S25" s="36" t="s">
        <v>9301</v>
      </c>
      <c r="T25" s="36">
        <v>3</v>
      </c>
      <c r="U25" s="36">
        <v>3</v>
      </c>
      <c r="V25" s="36">
        <v>2</v>
      </c>
      <c r="W25" s="36">
        <v>2</v>
      </c>
      <c r="X25" s="36">
        <v>1</v>
      </c>
      <c r="Y25" s="36">
        <v>1</v>
      </c>
      <c r="Z25" s="36" t="s">
        <v>2060</v>
      </c>
      <c r="AA25" s="36" t="s">
        <v>2061</v>
      </c>
      <c r="AB25" s="36" t="s">
        <v>2068</v>
      </c>
      <c r="AC25" s="36" t="s">
        <v>2069</v>
      </c>
      <c r="AD25" s="36" t="s">
        <v>6203</v>
      </c>
    </row>
    <row r="26" spans="1:30" ht="72">
      <c r="A26" s="36" t="s">
        <v>2071</v>
      </c>
      <c r="B26" s="36" t="s">
        <v>57</v>
      </c>
      <c r="C26" s="36" t="s">
        <v>1032</v>
      </c>
      <c r="D26" s="36" t="s">
        <v>184</v>
      </c>
      <c r="E26" s="36" t="s">
        <v>2072</v>
      </c>
      <c r="F26" s="36" t="s">
        <v>9302</v>
      </c>
      <c r="G26" s="36" t="s">
        <v>9303</v>
      </c>
      <c r="H26" s="36" t="s">
        <v>9304</v>
      </c>
      <c r="I26" s="36" t="s">
        <v>9305</v>
      </c>
      <c r="J26" s="36" t="s">
        <v>9306</v>
      </c>
      <c r="K26" s="36" t="s">
        <v>9307</v>
      </c>
      <c r="L26" s="36" t="s">
        <v>9308</v>
      </c>
      <c r="M26" s="36" t="s">
        <v>9309</v>
      </c>
      <c r="N26" s="36" t="s">
        <v>9310</v>
      </c>
      <c r="O26" s="36" t="s">
        <v>9311</v>
      </c>
      <c r="P26" s="36" t="s">
        <v>9312</v>
      </c>
      <c r="Q26" s="36" t="s">
        <v>9313</v>
      </c>
      <c r="R26" s="36" t="s">
        <v>9040</v>
      </c>
      <c r="S26" s="36" t="s">
        <v>9314</v>
      </c>
      <c r="T26" s="36">
        <v>3</v>
      </c>
      <c r="U26" s="36">
        <v>3</v>
      </c>
      <c r="V26" s="36">
        <v>2</v>
      </c>
      <c r="W26" s="36">
        <v>2</v>
      </c>
      <c r="X26" s="36">
        <v>1</v>
      </c>
      <c r="Y26" s="36">
        <v>1</v>
      </c>
      <c r="Z26" s="36" t="s">
        <v>2060</v>
      </c>
      <c r="AA26" s="36" t="s">
        <v>2073</v>
      </c>
      <c r="AB26" s="36" t="s">
        <v>2068</v>
      </c>
      <c r="AC26" s="36" t="s">
        <v>2069</v>
      </c>
      <c r="AD26" s="36" t="s">
        <v>6210</v>
      </c>
    </row>
    <row r="27" spans="1:30" ht="84">
      <c r="A27" s="36" t="s">
        <v>2081</v>
      </c>
      <c r="B27" s="36" t="s">
        <v>57</v>
      </c>
      <c r="C27" s="36" t="s">
        <v>1032</v>
      </c>
      <c r="D27" s="36" t="s">
        <v>184</v>
      </c>
      <c r="E27" s="36" t="s">
        <v>2082</v>
      </c>
      <c r="F27" s="36" t="s">
        <v>9315</v>
      </c>
      <c r="G27" s="36" t="s">
        <v>9316</v>
      </c>
      <c r="H27" s="36" t="s">
        <v>9317</v>
      </c>
      <c r="I27" s="36" t="s">
        <v>9318</v>
      </c>
      <c r="J27" s="36" t="s">
        <v>9319</v>
      </c>
      <c r="K27" s="36" t="s">
        <v>9320</v>
      </c>
      <c r="L27" s="36" t="s">
        <v>9321</v>
      </c>
      <c r="M27" s="36" t="s">
        <v>9322</v>
      </c>
      <c r="N27" s="36" t="s">
        <v>9323</v>
      </c>
      <c r="O27" s="36" t="s">
        <v>9324</v>
      </c>
      <c r="P27" s="36" t="s">
        <v>9325</v>
      </c>
      <c r="Q27" s="36" t="s">
        <v>9326</v>
      </c>
      <c r="R27" s="36" t="s">
        <v>9040</v>
      </c>
      <c r="S27" s="36" t="s">
        <v>9327</v>
      </c>
      <c r="T27" s="36">
        <v>3</v>
      </c>
      <c r="U27" s="36">
        <v>3</v>
      </c>
      <c r="V27" s="36">
        <v>2</v>
      </c>
      <c r="W27" s="36">
        <v>2</v>
      </c>
      <c r="X27" s="36">
        <v>1</v>
      </c>
      <c r="Y27" s="36">
        <v>1</v>
      </c>
      <c r="Z27" s="36" t="s">
        <v>2060</v>
      </c>
      <c r="AA27" s="36" t="s">
        <v>2083</v>
      </c>
      <c r="AB27" s="36" t="s">
        <v>2068</v>
      </c>
      <c r="AC27" s="36" t="s">
        <v>2069</v>
      </c>
      <c r="AD27" s="36" t="s">
        <v>6217</v>
      </c>
    </row>
    <row r="28" spans="1:30" ht="72">
      <c r="A28" s="36" t="s">
        <v>2091</v>
      </c>
      <c r="B28" s="36" t="s">
        <v>57</v>
      </c>
      <c r="C28" s="36" t="s">
        <v>1032</v>
      </c>
      <c r="D28" s="36" t="s">
        <v>184</v>
      </c>
      <c r="E28" s="36" t="s">
        <v>2092</v>
      </c>
      <c r="F28" s="36" t="s">
        <v>9328</v>
      </c>
      <c r="G28" s="36" t="s">
        <v>9329</v>
      </c>
      <c r="H28" s="36" t="s">
        <v>9330</v>
      </c>
      <c r="I28" s="36" t="s">
        <v>9331</v>
      </c>
      <c r="J28" s="36" t="s">
        <v>9332</v>
      </c>
      <c r="K28" s="36" t="s">
        <v>9333</v>
      </c>
      <c r="L28" s="36" t="s">
        <v>9334</v>
      </c>
      <c r="M28" s="36" t="s">
        <v>9335</v>
      </c>
      <c r="N28" s="36" t="s">
        <v>9336</v>
      </c>
      <c r="O28" s="36" t="s">
        <v>9337</v>
      </c>
      <c r="P28" s="36" t="s">
        <v>9338</v>
      </c>
      <c r="Q28" s="36" t="s">
        <v>9339</v>
      </c>
      <c r="R28" s="36" t="s">
        <v>9040</v>
      </c>
      <c r="S28" s="36" t="s">
        <v>9340</v>
      </c>
      <c r="T28" s="36">
        <v>3</v>
      </c>
      <c r="U28" s="36">
        <v>3</v>
      </c>
      <c r="V28" s="36">
        <v>2</v>
      </c>
      <c r="W28" s="36">
        <v>2</v>
      </c>
      <c r="X28" s="36">
        <v>1</v>
      </c>
      <c r="Y28" s="36">
        <v>1</v>
      </c>
      <c r="Z28" s="36" t="s">
        <v>2060</v>
      </c>
      <c r="AA28" s="36" t="s">
        <v>2093</v>
      </c>
      <c r="AB28" s="36" t="s">
        <v>2068</v>
      </c>
      <c r="AC28" s="36" t="s">
        <v>2069</v>
      </c>
      <c r="AD28" s="36" t="s">
        <v>6224</v>
      </c>
    </row>
    <row r="29" spans="1:30" ht="72">
      <c r="A29" s="36" t="s">
        <v>2101</v>
      </c>
      <c r="B29" s="36" t="s">
        <v>57</v>
      </c>
      <c r="C29" s="36" t="s">
        <v>1032</v>
      </c>
      <c r="D29" s="36" t="s">
        <v>184</v>
      </c>
      <c r="E29" s="36" t="s">
        <v>2102</v>
      </c>
      <c r="F29" s="36" t="s">
        <v>9341</v>
      </c>
      <c r="G29" s="36" t="s">
        <v>9342</v>
      </c>
      <c r="H29" s="36" t="s">
        <v>9343</v>
      </c>
      <c r="I29" s="36" t="s">
        <v>9344</v>
      </c>
      <c r="J29" s="36" t="s">
        <v>9345</v>
      </c>
      <c r="K29" s="36" t="s">
        <v>9346</v>
      </c>
      <c r="L29" s="36" t="s">
        <v>9347</v>
      </c>
      <c r="M29" s="36" t="s">
        <v>9348</v>
      </c>
      <c r="N29" s="36" t="s">
        <v>9349</v>
      </c>
      <c r="O29" s="36" t="s">
        <v>9350</v>
      </c>
      <c r="P29" s="36" t="s">
        <v>9351</v>
      </c>
      <c r="Q29" s="36" t="s">
        <v>9352</v>
      </c>
      <c r="R29" s="36" t="s">
        <v>9040</v>
      </c>
      <c r="S29" s="36" t="s">
        <v>9353</v>
      </c>
      <c r="T29" s="36">
        <v>3</v>
      </c>
      <c r="U29" s="36">
        <v>3</v>
      </c>
      <c r="V29" s="36">
        <v>2</v>
      </c>
      <c r="W29" s="36">
        <v>2</v>
      </c>
      <c r="X29" s="36">
        <v>1</v>
      </c>
      <c r="Y29" s="36">
        <v>1</v>
      </c>
      <c r="Z29" s="36" t="s">
        <v>2060</v>
      </c>
      <c r="AA29" s="36" t="s">
        <v>2103</v>
      </c>
      <c r="AB29" s="36" t="s">
        <v>2068</v>
      </c>
      <c r="AC29" s="36" t="s">
        <v>2069</v>
      </c>
      <c r="AD29" s="36" t="s">
        <v>6231</v>
      </c>
    </row>
    <row r="30" spans="1:30" ht="72">
      <c r="A30" s="36" t="s">
        <v>2111</v>
      </c>
      <c r="B30" s="36" t="s">
        <v>57</v>
      </c>
      <c r="C30" s="36" t="s">
        <v>1032</v>
      </c>
      <c r="D30" s="36" t="s">
        <v>184</v>
      </c>
      <c r="E30" s="36" t="s">
        <v>2112</v>
      </c>
      <c r="F30" s="36" t="s">
        <v>9354</v>
      </c>
      <c r="G30" s="36" t="s">
        <v>9355</v>
      </c>
      <c r="H30" s="36" t="s">
        <v>9356</v>
      </c>
      <c r="I30" s="36" t="s">
        <v>9357</v>
      </c>
      <c r="J30" s="36" t="s">
        <v>9358</v>
      </c>
      <c r="K30" s="36" t="s">
        <v>9359</v>
      </c>
      <c r="L30" s="36" t="s">
        <v>9360</v>
      </c>
      <c r="M30" s="36" t="s">
        <v>9361</v>
      </c>
      <c r="N30" s="36" t="s">
        <v>9362</v>
      </c>
      <c r="O30" s="36" t="s">
        <v>9363</v>
      </c>
      <c r="P30" s="36" t="s">
        <v>9364</v>
      </c>
      <c r="Q30" s="36" t="s">
        <v>9365</v>
      </c>
      <c r="R30" s="36" t="s">
        <v>9040</v>
      </c>
      <c r="S30" s="36" t="s">
        <v>9366</v>
      </c>
      <c r="T30" s="36">
        <v>3</v>
      </c>
      <c r="U30" s="36">
        <v>3</v>
      </c>
      <c r="V30" s="36">
        <v>2</v>
      </c>
      <c r="W30" s="36">
        <v>2</v>
      </c>
      <c r="X30" s="36">
        <v>1</v>
      </c>
      <c r="Y30" s="36">
        <v>1</v>
      </c>
      <c r="Z30" s="36" t="s">
        <v>2060</v>
      </c>
      <c r="AA30" s="36" t="s">
        <v>2113</v>
      </c>
      <c r="AB30" s="36" t="s">
        <v>2068</v>
      </c>
      <c r="AC30" s="36" t="s">
        <v>2069</v>
      </c>
      <c r="AD30" s="36" t="s">
        <v>6238</v>
      </c>
    </row>
    <row r="31" spans="1:30" ht="84">
      <c r="A31" s="36" t="s">
        <v>2121</v>
      </c>
      <c r="B31" s="36" t="s">
        <v>57</v>
      </c>
      <c r="C31" s="36" t="s">
        <v>1048</v>
      </c>
      <c r="D31" s="36" t="s">
        <v>184</v>
      </c>
      <c r="E31" s="36" t="s">
        <v>2122</v>
      </c>
      <c r="F31" s="36" t="s">
        <v>9367</v>
      </c>
      <c r="G31" s="36" t="s">
        <v>9368</v>
      </c>
      <c r="H31" s="36" t="s">
        <v>9369</v>
      </c>
      <c r="I31" s="36" t="s">
        <v>9370</v>
      </c>
      <c r="J31" s="36" t="s">
        <v>9371</v>
      </c>
      <c r="K31" s="36" t="s">
        <v>9372</v>
      </c>
      <c r="L31" s="36" t="s">
        <v>9373</v>
      </c>
      <c r="M31" s="36" t="s">
        <v>9374</v>
      </c>
      <c r="N31" s="36" t="s">
        <v>9375</v>
      </c>
      <c r="O31" s="36" t="s">
        <v>9376</v>
      </c>
      <c r="P31" s="36" t="s">
        <v>9377</v>
      </c>
      <c r="Q31" s="36" t="s">
        <v>9378</v>
      </c>
      <c r="R31" s="36" t="s">
        <v>9040</v>
      </c>
      <c r="S31" s="36" t="s">
        <v>9379</v>
      </c>
      <c r="T31" s="36">
        <v>3</v>
      </c>
      <c r="U31" s="36">
        <v>3</v>
      </c>
      <c r="V31" s="36">
        <v>2</v>
      </c>
      <c r="W31" s="36">
        <v>2</v>
      </c>
      <c r="X31" s="36">
        <v>1</v>
      </c>
      <c r="Y31" s="36">
        <v>1</v>
      </c>
      <c r="Z31" s="36" t="s">
        <v>2060</v>
      </c>
      <c r="AA31" s="36" t="s">
        <v>2123</v>
      </c>
      <c r="AB31" s="36" t="s">
        <v>2068</v>
      </c>
      <c r="AC31" s="36" t="s">
        <v>2069</v>
      </c>
      <c r="AD31" s="36" t="s">
        <v>6246</v>
      </c>
    </row>
    <row r="32" spans="1:30" ht="72">
      <c r="A32" s="36" t="s">
        <v>2131</v>
      </c>
      <c r="B32" s="36" t="s">
        <v>57</v>
      </c>
      <c r="C32" s="36" t="s">
        <v>1048</v>
      </c>
      <c r="D32" s="36" t="s">
        <v>184</v>
      </c>
      <c r="E32" s="36" t="s">
        <v>2132</v>
      </c>
      <c r="F32" s="36" t="s">
        <v>9380</v>
      </c>
      <c r="G32" s="36" t="s">
        <v>9381</v>
      </c>
      <c r="H32" s="36" t="s">
        <v>9382</v>
      </c>
      <c r="I32" s="36" t="s">
        <v>9383</v>
      </c>
      <c r="J32" s="36" t="s">
        <v>9384</v>
      </c>
      <c r="K32" s="36" t="s">
        <v>9385</v>
      </c>
      <c r="L32" s="36" t="s">
        <v>9386</v>
      </c>
      <c r="M32" s="36" t="s">
        <v>9387</v>
      </c>
      <c r="N32" s="36" t="s">
        <v>9388</v>
      </c>
      <c r="O32" s="36" t="s">
        <v>9389</v>
      </c>
      <c r="P32" s="36" t="s">
        <v>9390</v>
      </c>
      <c r="Q32" s="36" t="s">
        <v>9391</v>
      </c>
      <c r="R32" s="36" t="s">
        <v>9040</v>
      </c>
      <c r="S32" s="36" t="s">
        <v>9392</v>
      </c>
      <c r="T32" s="36">
        <v>3</v>
      </c>
      <c r="U32" s="36">
        <v>3</v>
      </c>
      <c r="V32" s="36">
        <v>2</v>
      </c>
      <c r="W32" s="36">
        <v>2</v>
      </c>
      <c r="X32" s="36">
        <v>1</v>
      </c>
      <c r="Y32" s="36">
        <v>1</v>
      </c>
      <c r="Z32" s="36" t="s">
        <v>2060</v>
      </c>
      <c r="AA32" s="36" t="s">
        <v>2133</v>
      </c>
      <c r="AB32" s="36" t="s">
        <v>2068</v>
      </c>
      <c r="AC32" s="36" t="s">
        <v>2069</v>
      </c>
      <c r="AD32" s="36" t="s">
        <v>6253</v>
      </c>
    </row>
    <row r="33" spans="1:30" ht="72">
      <c r="A33" s="36" t="s">
        <v>2141</v>
      </c>
      <c r="B33" s="36" t="s">
        <v>57</v>
      </c>
      <c r="C33" s="36" t="s">
        <v>1048</v>
      </c>
      <c r="D33" s="36" t="s">
        <v>184</v>
      </c>
      <c r="E33" s="36" t="s">
        <v>2142</v>
      </c>
      <c r="F33" s="36" t="s">
        <v>9393</v>
      </c>
      <c r="G33" s="36" t="s">
        <v>9394</v>
      </c>
      <c r="H33" s="36" t="s">
        <v>9395</v>
      </c>
      <c r="I33" s="36" t="s">
        <v>9396</v>
      </c>
      <c r="J33" s="36" t="s">
        <v>9397</v>
      </c>
      <c r="K33" s="36" t="s">
        <v>9398</v>
      </c>
      <c r="L33" s="36" t="s">
        <v>9399</v>
      </c>
      <c r="M33" s="36" t="s">
        <v>9400</v>
      </c>
      <c r="N33" s="36" t="s">
        <v>9401</v>
      </c>
      <c r="O33" s="36" t="s">
        <v>9402</v>
      </c>
      <c r="P33" s="36" t="s">
        <v>9403</v>
      </c>
      <c r="Q33" s="36" t="s">
        <v>9404</v>
      </c>
      <c r="R33" s="36" t="s">
        <v>9040</v>
      </c>
      <c r="S33" s="36" t="s">
        <v>9405</v>
      </c>
      <c r="T33" s="36">
        <v>3</v>
      </c>
      <c r="U33" s="36">
        <v>3</v>
      </c>
      <c r="V33" s="36">
        <v>2</v>
      </c>
      <c r="W33" s="36">
        <v>2</v>
      </c>
      <c r="X33" s="36">
        <v>1</v>
      </c>
      <c r="Y33" s="36">
        <v>1</v>
      </c>
      <c r="Z33" s="36" t="s">
        <v>2060</v>
      </c>
      <c r="AA33" s="36" t="s">
        <v>2143</v>
      </c>
      <c r="AB33" s="36" t="s">
        <v>2068</v>
      </c>
      <c r="AC33" s="36" t="s">
        <v>2069</v>
      </c>
      <c r="AD33" s="36" t="s">
        <v>6260</v>
      </c>
    </row>
    <row r="34" spans="1:30" ht="84">
      <c r="A34" s="36" t="s">
        <v>2151</v>
      </c>
      <c r="B34" s="36" t="s">
        <v>57</v>
      </c>
      <c r="C34" s="36" t="s">
        <v>1048</v>
      </c>
      <c r="D34" s="36" t="s">
        <v>184</v>
      </c>
      <c r="E34" s="36" t="s">
        <v>2152</v>
      </c>
      <c r="F34" s="36" t="s">
        <v>9406</v>
      </c>
      <c r="G34" s="36" t="s">
        <v>9407</v>
      </c>
      <c r="H34" s="36" t="s">
        <v>9408</v>
      </c>
      <c r="I34" s="36" t="s">
        <v>9409</v>
      </c>
      <c r="J34" s="36" t="s">
        <v>9410</v>
      </c>
      <c r="K34" s="36" t="s">
        <v>9411</v>
      </c>
      <c r="L34" s="36" t="s">
        <v>9412</v>
      </c>
      <c r="M34" s="36" t="s">
        <v>9413</v>
      </c>
      <c r="N34" s="36" t="s">
        <v>9414</v>
      </c>
      <c r="O34" s="36" t="s">
        <v>9415</v>
      </c>
      <c r="P34" s="36" t="s">
        <v>9416</v>
      </c>
      <c r="Q34" s="36" t="s">
        <v>9417</v>
      </c>
      <c r="R34" s="36" t="s">
        <v>9040</v>
      </c>
      <c r="S34" s="36" t="s">
        <v>9418</v>
      </c>
      <c r="T34" s="36">
        <v>3</v>
      </c>
      <c r="U34" s="36">
        <v>3</v>
      </c>
      <c r="V34" s="36">
        <v>2</v>
      </c>
      <c r="W34" s="36">
        <v>2</v>
      </c>
      <c r="X34" s="36">
        <v>1</v>
      </c>
      <c r="Y34" s="36">
        <v>1</v>
      </c>
      <c r="Z34" s="36" t="s">
        <v>2060</v>
      </c>
      <c r="AA34" s="36" t="s">
        <v>2153</v>
      </c>
      <c r="AB34" s="36" t="s">
        <v>2068</v>
      </c>
      <c r="AC34" s="36" t="s">
        <v>2069</v>
      </c>
      <c r="AD34" s="36" t="s">
        <v>6267</v>
      </c>
    </row>
    <row r="35" spans="1:30" ht="72">
      <c r="A35" s="36" t="s">
        <v>2161</v>
      </c>
      <c r="B35" s="36" t="s">
        <v>57</v>
      </c>
      <c r="C35" s="36" t="s">
        <v>1048</v>
      </c>
      <c r="D35" s="36" t="s">
        <v>184</v>
      </c>
      <c r="E35" s="36" t="s">
        <v>2162</v>
      </c>
      <c r="F35" s="36" t="s">
        <v>9419</v>
      </c>
      <c r="G35" s="36" t="s">
        <v>9420</v>
      </c>
      <c r="H35" s="36" t="s">
        <v>9421</v>
      </c>
      <c r="I35" s="36" t="s">
        <v>9422</v>
      </c>
      <c r="J35" s="36" t="s">
        <v>9423</v>
      </c>
      <c r="K35" s="36" t="s">
        <v>9424</v>
      </c>
      <c r="L35" s="36" t="s">
        <v>9425</v>
      </c>
      <c r="M35" s="36" t="s">
        <v>9426</v>
      </c>
      <c r="N35" s="36" t="s">
        <v>9427</v>
      </c>
      <c r="O35" s="36" t="s">
        <v>9428</v>
      </c>
      <c r="P35" s="36" t="s">
        <v>9429</v>
      </c>
      <c r="Q35" s="36" t="s">
        <v>9430</v>
      </c>
      <c r="R35" s="36" t="s">
        <v>9040</v>
      </c>
      <c r="S35" s="36" t="s">
        <v>9431</v>
      </c>
      <c r="T35" s="36">
        <v>3</v>
      </c>
      <c r="U35" s="36">
        <v>3</v>
      </c>
      <c r="V35" s="36">
        <v>2</v>
      </c>
      <c r="W35" s="36">
        <v>2</v>
      </c>
      <c r="X35" s="36">
        <v>1</v>
      </c>
      <c r="Y35" s="36">
        <v>1</v>
      </c>
      <c r="Z35" s="36" t="s">
        <v>2060</v>
      </c>
      <c r="AA35" s="36" t="s">
        <v>2163</v>
      </c>
      <c r="AB35" s="36" t="s">
        <v>2068</v>
      </c>
      <c r="AC35" s="36" t="s">
        <v>2069</v>
      </c>
      <c r="AD35" s="36" t="s">
        <v>6274</v>
      </c>
    </row>
    <row r="36" spans="1:30" ht="84">
      <c r="A36" s="36" t="s">
        <v>2171</v>
      </c>
      <c r="B36" s="36" t="s">
        <v>57</v>
      </c>
      <c r="C36" s="36" t="s">
        <v>1048</v>
      </c>
      <c r="D36" s="36" t="s">
        <v>184</v>
      </c>
      <c r="E36" s="36" t="s">
        <v>2172</v>
      </c>
      <c r="F36" s="36" t="s">
        <v>9432</v>
      </c>
      <c r="G36" s="36" t="s">
        <v>9433</v>
      </c>
      <c r="H36" s="36" t="s">
        <v>9434</v>
      </c>
      <c r="I36" s="36" t="s">
        <v>9435</v>
      </c>
      <c r="J36" s="36" t="s">
        <v>9436</v>
      </c>
      <c r="K36" s="36" t="s">
        <v>9437</v>
      </c>
      <c r="L36" s="36" t="s">
        <v>9438</v>
      </c>
      <c r="M36" s="36" t="s">
        <v>9439</v>
      </c>
      <c r="N36" s="36" t="s">
        <v>9440</v>
      </c>
      <c r="O36" s="36" t="s">
        <v>9441</v>
      </c>
      <c r="P36" s="36" t="s">
        <v>9442</v>
      </c>
      <c r="Q36" s="36" t="s">
        <v>9443</v>
      </c>
      <c r="R36" s="36" t="s">
        <v>9040</v>
      </c>
      <c r="S36" s="36" t="s">
        <v>9444</v>
      </c>
      <c r="T36" s="36">
        <v>3</v>
      </c>
      <c r="U36" s="36">
        <v>3</v>
      </c>
      <c r="V36" s="36">
        <v>2</v>
      </c>
      <c r="W36" s="36">
        <v>2</v>
      </c>
      <c r="X36" s="36">
        <v>1</v>
      </c>
      <c r="Y36" s="36">
        <v>1</v>
      </c>
      <c r="Z36" s="36" t="s">
        <v>2060</v>
      </c>
      <c r="AA36" s="36" t="s">
        <v>2173</v>
      </c>
      <c r="AB36" s="36" t="s">
        <v>2068</v>
      </c>
      <c r="AC36" s="36" t="s">
        <v>2069</v>
      </c>
      <c r="AD36" s="36" t="s">
        <v>6281</v>
      </c>
    </row>
    <row r="37" spans="1:30" ht="84">
      <c r="A37" s="36" t="s">
        <v>2181</v>
      </c>
      <c r="B37" s="36" t="s">
        <v>57</v>
      </c>
      <c r="C37" s="36" t="s">
        <v>1059</v>
      </c>
      <c r="D37" s="36" t="s">
        <v>184</v>
      </c>
      <c r="E37" s="36" t="s">
        <v>2182</v>
      </c>
      <c r="F37" s="36" t="s">
        <v>9445</v>
      </c>
      <c r="G37" s="36" t="s">
        <v>9446</v>
      </c>
      <c r="H37" s="36" t="s">
        <v>9447</v>
      </c>
      <c r="I37" s="36" t="s">
        <v>9448</v>
      </c>
      <c r="J37" s="36" t="s">
        <v>9449</v>
      </c>
      <c r="K37" s="36" t="s">
        <v>9450</v>
      </c>
      <c r="L37" s="36" t="s">
        <v>9451</v>
      </c>
      <c r="M37" s="36" t="s">
        <v>9452</v>
      </c>
      <c r="N37" s="36" t="s">
        <v>9453</v>
      </c>
      <c r="O37" s="36" t="s">
        <v>9454</v>
      </c>
      <c r="P37" s="36" t="s">
        <v>9455</v>
      </c>
      <c r="Q37" s="36" t="s">
        <v>9456</v>
      </c>
      <c r="R37" s="36" t="s">
        <v>9040</v>
      </c>
      <c r="S37" s="36" t="s">
        <v>9457</v>
      </c>
      <c r="T37" s="36">
        <v>3</v>
      </c>
      <c r="U37" s="36">
        <v>3</v>
      </c>
      <c r="V37" s="36">
        <v>2</v>
      </c>
      <c r="W37" s="36">
        <v>2</v>
      </c>
      <c r="X37" s="36">
        <v>1</v>
      </c>
      <c r="Y37" s="36">
        <v>1</v>
      </c>
      <c r="Z37" s="36" t="s">
        <v>2060</v>
      </c>
      <c r="AA37" s="36" t="s">
        <v>2183</v>
      </c>
      <c r="AB37" s="36" t="s">
        <v>2068</v>
      </c>
      <c r="AC37" s="36" t="s">
        <v>2069</v>
      </c>
      <c r="AD37" s="36" t="s">
        <v>6289</v>
      </c>
    </row>
    <row r="38" spans="1:30" ht="72">
      <c r="A38" s="36" t="s">
        <v>2191</v>
      </c>
      <c r="B38" s="36" t="s">
        <v>57</v>
      </c>
      <c r="C38" s="36" t="s">
        <v>1059</v>
      </c>
      <c r="D38" s="36" t="s">
        <v>184</v>
      </c>
      <c r="E38" s="36" t="s">
        <v>2192</v>
      </c>
      <c r="F38" s="36" t="s">
        <v>9458</v>
      </c>
      <c r="G38" s="36" t="s">
        <v>9459</v>
      </c>
      <c r="H38" s="36" t="s">
        <v>9460</v>
      </c>
      <c r="I38" s="36" t="s">
        <v>9461</v>
      </c>
      <c r="J38" s="36" t="s">
        <v>9462</v>
      </c>
      <c r="K38" s="36" t="s">
        <v>9463</v>
      </c>
      <c r="L38" s="36" t="s">
        <v>9464</v>
      </c>
      <c r="M38" s="36" t="s">
        <v>9465</v>
      </c>
      <c r="N38" s="36" t="s">
        <v>9466</v>
      </c>
      <c r="O38" s="36" t="s">
        <v>9467</v>
      </c>
      <c r="P38" s="36" t="s">
        <v>9468</v>
      </c>
      <c r="Q38" s="36" t="s">
        <v>9469</v>
      </c>
      <c r="R38" s="36" t="s">
        <v>9040</v>
      </c>
      <c r="S38" s="36" t="s">
        <v>9470</v>
      </c>
      <c r="T38" s="36">
        <v>3</v>
      </c>
      <c r="U38" s="36">
        <v>3</v>
      </c>
      <c r="V38" s="36">
        <v>2</v>
      </c>
      <c r="W38" s="36">
        <v>2</v>
      </c>
      <c r="X38" s="36">
        <v>1</v>
      </c>
      <c r="Y38" s="36">
        <v>1</v>
      </c>
      <c r="Z38" s="36" t="s">
        <v>2060</v>
      </c>
      <c r="AA38" s="36" t="s">
        <v>2193</v>
      </c>
      <c r="AB38" s="36" t="s">
        <v>2068</v>
      </c>
      <c r="AC38" s="36" t="s">
        <v>2069</v>
      </c>
      <c r="AD38" s="36" t="s">
        <v>6296</v>
      </c>
    </row>
    <row r="39" spans="1:30" ht="84">
      <c r="A39" s="36" t="s">
        <v>2201</v>
      </c>
      <c r="B39" s="36" t="s">
        <v>57</v>
      </c>
      <c r="C39" s="36" t="s">
        <v>1059</v>
      </c>
      <c r="D39" s="36" t="s">
        <v>184</v>
      </c>
      <c r="E39" s="36" t="s">
        <v>2202</v>
      </c>
      <c r="F39" s="36" t="s">
        <v>9471</v>
      </c>
      <c r="G39" s="36" t="s">
        <v>9472</v>
      </c>
      <c r="H39" s="36" t="s">
        <v>9473</v>
      </c>
      <c r="I39" s="36" t="s">
        <v>9474</v>
      </c>
      <c r="J39" s="36" t="s">
        <v>9475</v>
      </c>
      <c r="K39" s="36" t="s">
        <v>9476</v>
      </c>
      <c r="L39" s="36" t="s">
        <v>9477</v>
      </c>
      <c r="M39" s="36" t="s">
        <v>9478</v>
      </c>
      <c r="N39" s="36" t="s">
        <v>9479</v>
      </c>
      <c r="O39" s="36" t="s">
        <v>9480</v>
      </c>
      <c r="P39" s="36" t="s">
        <v>9481</v>
      </c>
      <c r="Q39" s="36" t="s">
        <v>9482</v>
      </c>
      <c r="R39" s="36" t="s">
        <v>9040</v>
      </c>
      <c r="S39" s="36" t="s">
        <v>9483</v>
      </c>
      <c r="T39" s="36">
        <v>3</v>
      </c>
      <c r="U39" s="36">
        <v>3</v>
      </c>
      <c r="V39" s="36">
        <v>2</v>
      </c>
      <c r="W39" s="36">
        <v>2</v>
      </c>
      <c r="X39" s="36">
        <v>1</v>
      </c>
      <c r="Y39" s="36">
        <v>1</v>
      </c>
      <c r="Z39" s="36" t="s">
        <v>2060</v>
      </c>
      <c r="AA39" s="36" t="s">
        <v>2203</v>
      </c>
      <c r="AB39" s="36" t="s">
        <v>2068</v>
      </c>
      <c r="AC39" s="36" t="s">
        <v>2069</v>
      </c>
      <c r="AD39" s="36" t="s">
        <v>6303</v>
      </c>
    </row>
    <row r="40" spans="1:30" ht="72">
      <c r="A40" s="36" t="s">
        <v>2211</v>
      </c>
      <c r="B40" s="36" t="s">
        <v>57</v>
      </c>
      <c r="C40" s="36" t="s">
        <v>1059</v>
      </c>
      <c r="D40" s="36" t="s">
        <v>184</v>
      </c>
      <c r="E40" s="36" t="s">
        <v>2212</v>
      </c>
      <c r="F40" s="36" t="s">
        <v>9484</v>
      </c>
      <c r="G40" s="36" t="s">
        <v>9485</v>
      </c>
      <c r="H40" s="36" t="s">
        <v>9486</v>
      </c>
      <c r="I40" s="36" t="s">
        <v>9487</v>
      </c>
      <c r="J40" s="36" t="s">
        <v>9488</v>
      </c>
      <c r="K40" s="36" t="s">
        <v>9489</v>
      </c>
      <c r="L40" s="36" t="s">
        <v>9490</v>
      </c>
      <c r="M40" s="36" t="s">
        <v>9491</v>
      </c>
      <c r="N40" s="36" t="s">
        <v>9492</v>
      </c>
      <c r="O40" s="36" t="s">
        <v>9493</v>
      </c>
      <c r="P40" s="36" t="s">
        <v>9494</v>
      </c>
      <c r="Q40" s="36" t="s">
        <v>9495</v>
      </c>
      <c r="R40" s="36" t="s">
        <v>9040</v>
      </c>
      <c r="S40" s="36" t="s">
        <v>9496</v>
      </c>
      <c r="T40" s="36">
        <v>3</v>
      </c>
      <c r="U40" s="36">
        <v>3</v>
      </c>
      <c r="V40" s="36">
        <v>2</v>
      </c>
      <c r="W40" s="36">
        <v>2</v>
      </c>
      <c r="X40" s="36">
        <v>1</v>
      </c>
      <c r="Y40" s="36">
        <v>1</v>
      </c>
      <c r="Z40" s="36" t="s">
        <v>2060</v>
      </c>
      <c r="AA40" s="36" t="s">
        <v>2213</v>
      </c>
      <c r="AB40" s="36" t="s">
        <v>2068</v>
      </c>
      <c r="AC40" s="36" t="s">
        <v>2069</v>
      </c>
      <c r="AD40" s="36" t="s">
        <v>6310</v>
      </c>
    </row>
    <row r="41" spans="1:30" ht="84">
      <c r="A41" s="36" t="s">
        <v>2221</v>
      </c>
      <c r="B41" s="36" t="s">
        <v>57</v>
      </c>
      <c r="C41" s="36" t="s">
        <v>1059</v>
      </c>
      <c r="D41" s="36" t="s">
        <v>184</v>
      </c>
      <c r="E41" s="36" t="s">
        <v>2222</v>
      </c>
      <c r="F41" s="36" t="s">
        <v>9497</v>
      </c>
      <c r="G41" s="36" t="s">
        <v>9498</v>
      </c>
      <c r="H41" s="36" t="s">
        <v>9499</v>
      </c>
      <c r="I41" s="36" t="s">
        <v>9500</v>
      </c>
      <c r="J41" s="36" t="s">
        <v>9501</v>
      </c>
      <c r="K41" s="36" t="s">
        <v>9502</v>
      </c>
      <c r="L41" s="36" t="s">
        <v>9503</v>
      </c>
      <c r="M41" s="36" t="s">
        <v>9504</v>
      </c>
      <c r="N41" s="36" t="s">
        <v>9505</v>
      </c>
      <c r="O41" s="36" t="s">
        <v>9506</v>
      </c>
      <c r="P41" s="36" t="s">
        <v>9507</v>
      </c>
      <c r="Q41" s="36" t="s">
        <v>9508</v>
      </c>
      <c r="R41" s="36" t="s">
        <v>9040</v>
      </c>
      <c r="S41" s="36" t="s">
        <v>9509</v>
      </c>
      <c r="T41" s="36">
        <v>3</v>
      </c>
      <c r="U41" s="36">
        <v>3</v>
      </c>
      <c r="V41" s="36">
        <v>2</v>
      </c>
      <c r="W41" s="36">
        <v>2</v>
      </c>
      <c r="X41" s="36">
        <v>1</v>
      </c>
      <c r="Y41" s="36">
        <v>1</v>
      </c>
      <c r="Z41" s="36" t="s">
        <v>2060</v>
      </c>
      <c r="AA41" s="36" t="s">
        <v>2223</v>
      </c>
      <c r="AB41" s="36" t="s">
        <v>2068</v>
      </c>
      <c r="AC41" s="36" t="s">
        <v>2069</v>
      </c>
      <c r="AD41" s="36" t="s">
        <v>6317</v>
      </c>
    </row>
    <row r="42" spans="1:30" ht="72">
      <c r="A42" s="36" t="s">
        <v>2231</v>
      </c>
      <c r="B42" s="36" t="s">
        <v>57</v>
      </c>
      <c r="C42" s="36" t="s">
        <v>1059</v>
      </c>
      <c r="D42" s="36" t="s">
        <v>184</v>
      </c>
      <c r="E42" s="36" t="s">
        <v>2232</v>
      </c>
      <c r="F42" s="36" t="s">
        <v>9510</v>
      </c>
      <c r="G42" s="36" t="s">
        <v>9511</v>
      </c>
      <c r="H42" s="36" t="s">
        <v>9512</v>
      </c>
      <c r="I42" s="36" t="s">
        <v>9513</v>
      </c>
      <c r="J42" s="36" t="s">
        <v>9514</v>
      </c>
      <c r="K42" s="36" t="s">
        <v>9515</v>
      </c>
      <c r="L42" s="36" t="s">
        <v>9516</v>
      </c>
      <c r="M42" s="36" t="s">
        <v>9517</v>
      </c>
      <c r="N42" s="36" t="s">
        <v>9518</v>
      </c>
      <c r="O42" s="36" t="s">
        <v>9519</v>
      </c>
      <c r="P42" s="36" t="s">
        <v>9520</v>
      </c>
      <c r="Q42" s="36" t="s">
        <v>9521</v>
      </c>
      <c r="R42" s="36" t="s">
        <v>9040</v>
      </c>
      <c r="S42" s="36" t="s">
        <v>9522</v>
      </c>
      <c r="T42" s="36">
        <v>3</v>
      </c>
      <c r="U42" s="36">
        <v>3</v>
      </c>
      <c r="V42" s="36">
        <v>2</v>
      </c>
      <c r="W42" s="36">
        <v>2</v>
      </c>
      <c r="X42" s="36">
        <v>1</v>
      </c>
      <c r="Y42" s="36">
        <v>1</v>
      </c>
      <c r="Z42" s="36" t="s">
        <v>2060</v>
      </c>
      <c r="AA42" s="36" t="s">
        <v>2233</v>
      </c>
      <c r="AB42" s="36" t="s">
        <v>2068</v>
      </c>
      <c r="AC42" s="36" t="s">
        <v>2069</v>
      </c>
      <c r="AD42" s="36" t="s">
        <v>6324</v>
      </c>
    </row>
    <row r="43" spans="1:30" ht="84">
      <c r="A43" s="36" t="s">
        <v>2241</v>
      </c>
      <c r="B43" s="36" t="s">
        <v>57</v>
      </c>
      <c r="C43" s="36" t="s">
        <v>1067</v>
      </c>
      <c r="D43" s="36" t="s">
        <v>184</v>
      </c>
      <c r="E43" s="36" t="s">
        <v>2242</v>
      </c>
      <c r="F43" s="36" t="s">
        <v>9523</v>
      </c>
      <c r="G43" s="36" t="s">
        <v>9524</v>
      </c>
      <c r="H43" s="36" t="s">
        <v>9525</v>
      </c>
      <c r="I43" s="36" t="s">
        <v>9526</v>
      </c>
      <c r="J43" s="36" t="s">
        <v>9527</v>
      </c>
      <c r="K43" s="36" t="s">
        <v>9528</v>
      </c>
      <c r="L43" s="36" t="s">
        <v>9529</v>
      </c>
      <c r="M43" s="36" t="s">
        <v>9530</v>
      </c>
      <c r="N43" s="36" t="s">
        <v>9531</v>
      </c>
      <c r="O43" s="36" t="s">
        <v>9532</v>
      </c>
      <c r="P43" s="36" t="s">
        <v>9533</v>
      </c>
      <c r="Q43" s="36" t="s">
        <v>9534</v>
      </c>
      <c r="R43" s="36" t="s">
        <v>9040</v>
      </c>
      <c r="S43" s="36" t="s">
        <v>9535</v>
      </c>
      <c r="T43" s="36">
        <v>3</v>
      </c>
      <c r="U43" s="36">
        <v>3</v>
      </c>
      <c r="V43" s="36">
        <v>2</v>
      </c>
      <c r="W43" s="36">
        <v>2</v>
      </c>
      <c r="X43" s="36">
        <v>1</v>
      </c>
      <c r="Y43" s="36">
        <v>1</v>
      </c>
      <c r="Z43" s="36" t="s">
        <v>2060</v>
      </c>
      <c r="AA43" s="36" t="s">
        <v>2243</v>
      </c>
      <c r="AB43" s="36" t="s">
        <v>2068</v>
      </c>
      <c r="AC43" s="36" t="s">
        <v>2069</v>
      </c>
      <c r="AD43" s="36" t="s">
        <v>6332</v>
      </c>
    </row>
    <row r="44" spans="1:30" ht="84">
      <c r="A44" s="36" t="s">
        <v>2251</v>
      </c>
      <c r="B44" s="36" t="s">
        <v>57</v>
      </c>
      <c r="C44" s="36" t="s">
        <v>1067</v>
      </c>
      <c r="D44" s="36" t="s">
        <v>184</v>
      </c>
      <c r="E44" s="36" t="s">
        <v>2252</v>
      </c>
      <c r="F44" s="36" t="s">
        <v>9536</v>
      </c>
      <c r="G44" s="36" t="s">
        <v>9537</v>
      </c>
      <c r="H44" s="36" t="s">
        <v>9538</v>
      </c>
      <c r="I44" s="36" t="s">
        <v>9539</v>
      </c>
      <c r="J44" s="36" t="s">
        <v>9540</v>
      </c>
      <c r="K44" s="36" t="s">
        <v>9541</v>
      </c>
      <c r="L44" s="36" t="s">
        <v>9542</v>
      </c>
      <c r="M44" s="36" t="s">
        <v>9543</v>
      </c>
      <c r="N44" s="36" t="s">
        <v>9544</v>
      </c>
      <c r="O44" s="36" t="s">
        <v>9545</v>
      </c>
      <c r="P44" s="36" t="s">
        <v>9546</v>
      </c>
      <c r="Q44" s="36" t="s">
        <v>9547</v>
      </c>
      <c r="R44" s="36" t="s">
        <v>9040</v>
      </c>
      <c r="S44" s="36" t="s">
        <v>9548</v>
      </c>
      <c r="T44" s="36">
        <v>3</v>
      </c>
      <c r="U44" s="36">
        <v>3</v>
      </c>
      <c r="V44" s="36">
        <v>2</v>
      </c>
      <c r="W44" s="36">
        <v>2</v>
      </c>
      <c r="X44" s="36">
        <v>1</v>
      </c>
      <c r="Y44" s="36">
        <v>1</v>
      </c>
      <c r="Z44" s="36" t="s">
        <v>2060</v>
      </c>
      <c r="AA44" s="36" t="s">
        <v>2253</v>
      </c>
      <c r="AB44" s="36" t="s">
        <v>2068</v>
      </c>
      <c r="AC44" s="36" t="s">
        <v>2069</v>
      </c>
      <c r="AD44" s="36" t="s">
        <v>6339</v>
      </c>
    </row>
    <row r="45" spans="1:30" ht="84">
      <c r="A45" s="36" t="s">
        <v>2261</v>
      </c>
      <c r="B45" s="36" t="s">
        <v>57</v>
      </c>
      <c r="C45" s="36" t="s">
        <v>1067</v>
      </c>
      <c r="D45" s="36" t="s">
        <v>184</v>
      </c>
      <c r="E45" s="36" t="s">
        <v>2262</v>
      </c>
      <c r="F45" s="36" t="s">
        <v>9549</v>
      </c>
      <c r="G45" s="36" t="s">
        <v>9550</v>
      </c>
      <c r="H45" s="36" t="s">
        <v>9551</v>
      </c>
      <c r="I45" s="36" t="s">
        <v>9552</v>
      </c>
      <c r="J45" s="36" t="s">
        <v>9553</v>
      </c>
      <c r="K45" s="36" t="s">
        <v>9554</v>
      </c>
      <c r="L45" s="36" t="s">
        <v>9555</v>
      </c>
      <c r="M45" s="36" t="s">
        <v>9556</v>
      </c>
      <c r="N45" s="36" t="s">
        <v>9557</v>
      </c>
      <c r="O45" s="36" t="s">
        <v>9558</v>
      </c>
      <c r="P45" s="36" t="s">
        <v>9559</v>
      </c>
      <c r="Q45" s="36" t="s">
        <v>9560</v>
      </c>
      <c r="R45" s="36" t="s">
        <v>9040</v>
      </c>
      <c r="S45" s="36" t="s">
        <v>9561</v>
      </c>
      <c r="T45" s="36">
        <v>3</v>
      </c>
      <c r="U45" s="36">
        <v>3</v>
      </c>
      <c r="V45" s="36">
        <v>2</v>
      </c>
      <c r="W45" s="36">
        <v>2</v>
      </c>
      <c r="X45" s="36">
        <v>1</v>
      </c>
      <c r="Y45" s="36">
        <v>1</v>
      </c>
      <c r="Z45" s="36" t="s">
        <v>2060</v>
      </c>
      <c r="AA45" s="36" t="s">
        <v>2263</v>
      </c>
      <c r="AB45" s="36" t="s">
        <v>2068</v>
      </c>
      <c r="AC45" s="36" t="s">
        <v>2069</v>
      </c>
      <c r="AD45" s="36" t="s">
        <v>6346</v>
      </c>
    </row>
    <row r="46" spans="1:30" ht="72">
      <c r="A46" s="36" t="s">
        <v>2271</v>
      </c>
      <c r="B46" s="36" t="s">
        <v>57</v>
      </c>
      <c r="C46" s="36" t="s">
        <v>1067</v>
      </c>
      <c r="D46" s="36" t="s">
        <v>184</v>
      </c>
      <c r="E46" s="36" t="s">
        <v>2272</v>
      </c>
      <c r="F46" s="36" t="s">
        <v>9562</v>
      </c>
      <c r="G46" s="36" t="s">
        <v>9563</v>
      </c>
      <c r="H46" s="36" t="s">
        <v>9564</v>
      </c>
      <c r="I46" s="36" t="s">
        <v>9565</v>
      </c>
      <c r="J46" s="36" t="s">
        <v>9566</v>
      </c>
      <c r="K46" s="36" t="s">
        <v>9567</v>
      </c>
      <c r="L46" s="36" t="s">
        <v>9568</v>
      </c>
      <c r="M46" s="36" t="s">
        <v>9569</v>
      </c>
      <c r="N46" s="36" t="s">
        <v>9570</v>
      </c>
      <c r="O46" s="36" t="s">
        <v>9571</v>
      </c>
      <c r="P46" s="36" t="s">
        <v>9572</v>
      </c>
      <c r="Q46" s="36" t="s">
        <v>9573</v>
      </c>
      <c r="R46" s="36" t="s">
        <v>9040</v>
      </c>
      <c r="S46" s="36" t="s">
        <v>9574</v>
      </c>
      <c r="T46" s="36">
        <v>3</v>
      </c>
      <c r="U46" s="36">
        <v>3</v>
      </c>
      <c r="V46" s="36">
        <v>2</v>
      </c>
      <c r="W46" s="36">
        <v>2</v>
      </c>
      <c r="X46" s="36">
        <v>1</v>
      </c>
      <c r="Y46" s="36">
        <v>1</v>
      </c>
      <c r="Z46" s="36" t="s">
        <v>2060</v>
      </c>
      <c r="AA46" s="36" t="s">
        <v>2273</v>
      </c>
      <c r="AB46" s="36" t="s">
        <v>2068</v>
      </c>
      <c r="AC46" s="36" t="s">
        <v>2069</v>
      </c>
      <c r="AD46" s="36" t="s">
        <v>6353</v>
      </c>
    </row>
    <row r="47" spans="1:30" ht="72">
      <c r="A47" s="36" t="s">
        <v>2281</v>
      </c>
      <c r="B47" s="36" t="s">
        <v>57</v>
      </c>
      <c r="C47" s="36" t="s">
        <v>1067</v>
      </c>
      <c r="D47" s="36" t="s">
        <v>184</v>
      </c>
      <c r="E47" s="36" t="s">
        <v>2282</v>
      </c>
      <c r="F47" s="36" t="s">
        <v>9575</v>
      </c>
      <c r="G47" s="36" t="s">
        <v>9576</v>
      </c>
      <c r="H47" s="36" t="s">
        <v>9577</v>
      </c>
      <c r="I47" s="36" t="s">
        <v>9578</v>
      </c>
      <c r="J47" s="36" t="s">
        <v>9579</v>
      </c>
      <c r="K47" s="36" t="s">
        <v>9580</v>
      </c>
      <c r="L47" s="36" t="s">
        <v>9581</v>
      </c>
      <c r="M47" s="36" t="s">
        <v>9582</v>
      </c>
      <c r="N47" s="36" t="s">
        <v>9583</v>
      </c>
      <c r="O47" s="36" t="s">
        <v>9584</v>
      </c>
      <c r="P47" s="36" t="s">
        <v>9585</v>
      </c>
      <c r="Q47" s="36" t="s">
        <v>9586</v>
      </c>
      <c r="R47" s="36" t="s">
        <v>9040</v>
      </c>
      <c r="S47" s="36" t="s">
        <v>9587</v>
      </c>
      <c r="T47" s="36">
        <v>3</v>
      </c>
      <c r="U47" s="36">
        <v>3</v>
      </c>
      <c r="V47" s="36">
        <v>2</v>
      </c>
      <c r="W47" s="36">
        <v>2</v>
      </c>
      <c r="X47" s="36">
        <v>1</v>
      </c>
      <c r="Y47" s="36">
        <v>1</v>
      </c>
      <c r="Z47" s="36" t="s">
        <v>2060</v>
      </c>
      <c r="AA47" s="36" t="s">
        <v>2283</v>
      </c>
      <c r="AB47" s="36" t="s">
        <v>2068</v>
      </c>
      <c r="AC47" s="36" t="s">
        <v>2069</v>
      </c>
      <c r="AD47" s="36" t="s">
        <v>6360</v>
      </c>
    </row>
    <row r="48" spans="1:30" ht="84">
      <c r="A48" s="36" t="s">
        <v>2291</v>
      </c>
      <c r="B48" s="36" t="s">
        <v>57</v>
      </c>
      <c r="C48" s="36" t="s">
        <v>1067</v>
      </c>
      <c r="D48" s="36" t="s">
        <v>184</v>
      </c>
      <c r="E48" s="36" t="s">
        <v>2292</v>
      </c>
      <c r="F48" s="36" t="s">
        <v>9588</v>
      </c>
      <c r="G48" s="36" t="s">
        <v>9589</v>
      </c>
      <c r="H48" s="36" t="s">
        <v>9590</v>
      </c>
      <c r="I48" s="36" t="s">
        <v>9591</v>
      </c>
      <c r="J48" s="36" t="s">
        <v>9592</v>
      </c>
      <c r="K48" s="36" t="s">
        <v>9593</v>
      </c>
      <c r="L48" s="36" t="s">
        <v>9594</v>
      </c>
      <c r="M48" s="36" t="s">
        <v>9595</v>
      </c>
      <c r="N48" s="36" t="s">
        <v>9596</v>
      </c>
      <c r="O48" s="36" t="s">
        <v>9597</v>
      </c>
      <c r="P48" s="36" t="s">
        <v>9598</v>
      </c>
      <c r="Q48" s="36" t="s">
        <v>9599</v>
      </c>
      <c r="R48" s="36" t="s">
        <v>9040</v>
      </c>
      <c r="S48" s="36" t="s">
        <v>9600</v>
      </c>
      <c r="T48" s="36">
        <v>3</v>
      </c>
      <c r="U48" s="36">
        <v>3</v>
      </c>
      <c r="V48" s="36">
        <v>2</v>
      </c>
      <c r="W48" s="36">
        <v>2</v>
      </c>
      <c r="X48" s="36">
        <v>1</v>
      </c>
      <c r="Y48" s="36">
        <v>1</v>
      </c>
      <c r="Z48" s="36" t="s">
        <v>2060</v>
      </c>
      <c r="AA48" s="36" t="s">
        <v>2293</v>
      </c>
      <c r="AB48" s="36" t="s">
        <v>2068</v>
      </c>
      <c r="AC48" s="36" t="s">
        <v>2069</v>
      </c>
      <c r="AD48" s="36" t="s">
        <v>6367</v>
      </c>
    </row>
    <row r="49" spans="1:30" ht="60">
      <c r="A49" s="36" t="s">
        <v>2303</v>
      </c>
      <c r="B49" s="36" t="s">
        <v>60</v>
      </c>
      <c r="C49" s="36" t="s">
        <v>1075</v>
      </c>
      <c r="D49" s="36" t="s">
        <v>185</v>
      </c>
      <c r="E49" s="36" t="s">
        <v>2304</v>
      </c>
      <c r="F49" s="36" t="s">
        <v>9601</v>
      </c>
      <c r="G49" s="36" t="s">
        <v>9602</v>
      </c>
      <c r="H49" s="36" t="s">
        <v>9603</v>
      </c>
      <c r="I49" s="36" t="s">
        <v>9604</v>
      </c>
      <c r="J49" s="36" t="s">
        <v>9605</v>
      </c>
      <c r="K49" s="36" t="s">
        <v>9606</v>
      </c>
      <c r="L49" s="36" t="s">
        <v>9607</v>
      </c>
      <c r="M49" s="36" t="s">
        <v>9608</v>
      </c>
      <c r="N49" s="36" t="s">
        <v>9609</v>
      </c>
      <c r="O49" s="36" t="s">
        <v>9610</v>
      </c>
      <c r="P49" s="36" t="s">
        <v>9611</v>
      </c>
      <c r="Q49" s="36" t="s">
        <v>9612</v>
      </c>
      <c r="R49" s="36" t="s">
        <v>9040</v>
      </c>
      <c r="S49" s="36" t="s">
        <v>9613</v>
      </c>
      <c r="T49" s="36">
        <v>3</v>
      </c>
      <c r="U49" s="36">
        <v>3</v>
      </c>
      <c r="V49" s="36">
        <v>2</v>
      </c>
      <c r="W49" s="36">
        <v>2</v>
      </c>
      <c r="X49" s="36">
        <v>1</v>
      </c>
      <c r="Y49" s="36">
        <v>1</v>
      </c>
      <c r="Z49" s="36" t="s">
        <v>2306</v>
      </c>
      <c r="AA49" s="36" t="s">
        <v>2307</v>
      </c>
      <c r="AB49" s="36" t="s">
        <v>2314</v>
      </c>
      <c r="AC49" s="36" t="s">
        <v>1863</v>
      </c>
      <c r="AD49" s="36" t="s">
        <v>6375</v>
      </c>
    </row>
    <row r="50" spans="1:30" ht="60">
      <c r="A50" s="36" t="s">
        <v>2316</v>
      </c>
      <c r="B50" s="36" t="s">
        <v>60</v>
      </c>
      <c r="C50" s="36" t="s">
        <v>1075</v>
      </c>
      <c r="D50" s="36" t="s">
        <v>185</v>
      </c>
      <c r="E50" s="36" t="s">
        <v>2317</v>
      </c>
      <c r="F50" s="36" t="s">
        <v>9614</v>
      </c>
      <c r="G50" s="36" t="s">
        <v>9615</v>
      </c>
      <c r="H50" s="36" t="s">
        <v>9616</v>
      </c>
      <c r="I50" s="36" t="s">
        <v>9617</v>
      </c>
      <c r="J50" s="36" t="s">
        <v>9618</v>
      </c>
      <c r="K50" s="36" t="s">
        <v>9619</v>
      </c>
      <c r="L50" s="36" t="s">
        <v>9620</v>
      </c>
      <c r="M50" s="36" t="s">
        <v>9621</v>
      </c>
      <c r="N50" s="36" t="s">
        <v>9622</v>
      </c>
      <c r="O50" s="36" t="s">
        <v>9623</v>
      </c>
      <c r="P50" s="36" t="s">
        <v>9624</v>
      </c>
      <c r="Q50" s="36" t="s">
        <v>9625</v>
      </c>
      <c r="R50" s="36" t="s">
        <v>9040</v>
      </c>
      <c r="S50" s="36" t="s">
        <v>9626</v>
      </c>
      <c r="T50" s="36">
        <v>3</v>
      </c>
      <c r="U50" s="36">
        <v>3</v>
      </c>
      <c r="V50" s="36">
        <v>2</v>
      </c>
      <c r="W50" s="36">
        <v>2</v>
      </c>
      <c r="X50" s="36">
        <v>1</v>
      </c>
      <c r="Y50" s="36">
        <v>1</v>
      </c>
      <c r="Z50" s="36" t="s">
        <v>2306</v>
      </c>
      <c r="AA50" s="36" t="s">
        <v>2318</v>
      </c>
      <c r="AB50" s="36" t="s">
        <v>2314</v>
      </c>
      <c r="AC50" s="36" t="s">
        <v>1863</v>
      </c>
      <c r="AD50" s="36" t="s">
        <v>6382</v>
      </c>
    </row>
    <row r="51" spans="1:30" ht="60">
      <c r="A51" s="36" t="s">
        <v>2326</v>
      </c>
      <c r="B51" s="36" t="s">
        <v>60</v>
      </c>
      <c r="C51" s="36" t="s">
        <v>1075</v>
      </c>
      <c r="D51" s="36" t="s">
        <v>185</v>
      </c>
      <c r="E51" s="36" t="s">
        <v>2327</v>
      </c>
      <c r="F51" s="36" t="s">
        <v>9627</v>
      </c>
      <c r="G51" s="36" t="s">
        <v>9628</v>
      </c>
      <c r="H51" s="36" t="s">
        <v>9629</v>
      </c>
      <c r="I51" s="36" t="s">
        <v>9630</v>
      </c>
      <c r="J51" s="36" t="s">
        <v>9631</v>
      </c>
      <c r="K51" s="36" t="s">
        <v>9632</v>
      </c>
      <c r="L51" s="36" t="s">
        <v>9633</v>
      </c>
      <c r="M51" s="36" t="s">
        <v>9634</v>
      </c>
      <c r="N51" s="36" t="s">
        <v>9635</v>
      </c>
      <c r="O51" s="36" t="s">
        <v>9636</v>
      </c>
      <c r="P51" s="36" t="s">
        <v>9637</v>
      </c>
      <c r="Q51" s="36" t="s">
        <v>9638</v>
      </c>
      <c r="R51" s="36" t="s">
        <v>9040</v>
      </c>
      <c r="S51" s="36" t="s">
        <v>9639</v>
      </c>
      <c r="T51" s="36">
        <v>3</v>
      </c>
      <c r="U51" s="36">
        <v>3</v>
      </c>
      <c r="V51" s="36">
        <v>2</v>
      </c>
      <c r="W51" s="36">
        <v>2</v>
      </c>
      <c r="X51" s="36">
        <v>1</v>
      </c>
      <c r="Y51" s="36">
        <v>1</v>
      </c>
      <c r="Z51" s="36" t="s">
        <v>2306</v>
      </c>
      <c r="AA51" s="36" t="s">
        <v>2328</v>
      </c>
      <c r="AB51" s="36" t="s">
        <v>2314</v>
      </c>
      <c r="AC51" s="36" t="s">
        <v>1863</v>
      </c>
      <c r="AD51" s="36" t="s">
        <v>6389</v>
      </c>
    </row>
    <row r="52" spans="1:30" ht="60">
      <c r="A52" s="36" t="s">
        <v>2336</v>
      </c>
      <c r="B52" s="36" t="s">
        <v>60</v>
      </c>
      <c r="C52" s="36" t="s">
        <v>1075</v>
      </c>
      <c r="D52" s="36" t="s">
        <v>185</v>
      </c>
      <c r="E52" s="36" t="s">
        <v>2337</v>
      </c>
      <c r="F52" s="36" t="s">
        <v>9640</v>
      </c>
      <c r="G52" s="36" t="s">
        <v>9641</v>
      </c>
      <c r="H52" s="36" t="s">
        <v>9642</v>
      </c>
      <c r="I52" s="36" t="s">
        <v>9643</v>
      </c>
      <c r="J52" s="36" t="s">
        <v>9644</v>
      </c>
      <c r="K52" s="36" t="s">
        <v>9645</v>
      </c>
      <c r="L52" s="36" t="s">
        <v>9646</v>
      </c>
      <c r="M52" s="36" t="s">
        <v>9647</v>
      </c>
      <c r="N52" s="36" t="s">
        <v>9648</v>
      </c>
      <c r="O52" s="36" t="s">
        <v>9649</v>
      </c>
      <c r="P52" s="36" t="s">
        <v>9650</v>
      </c>
      <c r="Q52" s="36" t="s">
        <v>9651</v>
      </c>
      <c r="R52" s="36" t="s">
        <v>9040</v>
      </c>
      <c r="S52" s="36" t="s">
        <v>9652</v>
      </c>
      <c r="T52" s="36">
        <v>3</v>
      </c>
      <c r="U52" s="36">
        <v>3</v>
      </c>
      <c r="V52" s="36">
        <v>2</v>
      </c>
      <c r="W52" s="36">
        <v>2</v>
      </c>
      <c r="X52" s="36">
        <v>1</v>
      </c>
      <c r="Y52" s="36">
        <v>1</v>
      </c>
      <c r="Z52" s="36" t="s">
        <v>2306</v>
      </c>
      <c r="AA52" s="36" t="s">
        <v>2338</v>
      </c>
      <c r="AB52" s="36" t="s">
        <v>2314</v>
      </c>
      <c r="AC52" s="36" t="s">
        <v>1863</v>
      </c>
      <c r="AD52" s="36" t="s">
        <v>6396</v>
      </c>
    </row>
    <row r="53" spans="1:30" ht="60">
      <c r="A53" s="36" t="s">
        <v>2346</v>
      </c>
      <c r="B53" s="36" t="s">
        <v>60</v>
      </c>
      <c r="C53" s="36" t="s">
        <v>1075</v>
      </c>
      <c r="D53" s="36" t="s">
        <v>185</v>
      </c>
      <c r="E53" s="36" t="s">
        <v>2347</v>
      </c>
      <c r="F53" s="36" t="s">
        <v>9653</v>
      </c>
      <c r="G53" s="36" t="s">
        <v>9654</v>
      </c>
      <c r="H53" s="36" t="s">
        <v>9655</v>
      </c>
      <c r="I53" s="36" t="s">
        <v>9656</v>
      </c>
      <c r="J53" s="36" t="s">
        <v>9657</v>
      </c>
      <c r="K53" s="36" t="s">
        <v>9658</v>
      </c>
      <c r="L53" s="36" t="s">
        <v>9659</v>
      </c>
      <c r="M53" s="36" t="s">
        <v>9660</v>
      </c>
      <c r="N53" s="36" t="s">
        <v>9661</v>
      </c>
      <c r="O53" s="36" t="s">
        <v>9662</v>
      </c>
      <c r="P53" s="36" t="s">
        <v>9663</v>
      </c>
      <c r="Q53" s="36" t="s">
        <v>9664</v>
      </c>
      <c r="R53" s="36" t="s">
        <v>9040</v>
      </c>
      <c r="S53" s="36" t="s">
        <v>9665</v>
      </c>
      <c r="T53" s="36">
        <v>3</v>
      </c>
      <c r="U53" s="36">
        <v>3</v>
      </c>
      <c r="V53" s="36">
        <v>2</v>
      </c>
      <c r="W53" s="36">
        <v>2</v>
      </c>
      <c r="X53" s="36">
        <v>1</v>
      </c>
      <c r="Y53" s="36">
        <v>1</v>
      </c>
      <c r="Z53" s="36" t="s">
        <v>2306</v>
      </c>
      <c r="AA53" s="36" t="s">
        <v>2348</v>
      </c>
      <c r="AB53" s="36" t="s">
        <v>2314</v>
      </c>
      <c r="AC53" s="36" t="s">
        <v>1863</v>
      </c>
      <c r="AD53" s="36" t="s">
        <v>6403</v>
      </c>
    </row>
    <row r="54" spans="1:30" ht="60">
      <c r="A54" s="36" t="s">
        <v>2356</v>
      </c>
      <c r="B54" s="36" t="s">
        <v>60</v>
      </c>
      <c r="C54" s="36" t="s">
        <v>1075</v>
      </c>
      <c r="D54" s="36" t="s">
        <v>185</v>
      </c>
      <c r="E54" s="36" t="s">
        <v>2357</v>
      </c>
      <c r="F54" s="36" t="s">
        <v>9666</v>
      </c>
      <c r="G54" s="36" t="s">
        <v>9667</v>
      </c>
      <c r="H54" s="36" t="s">
        <v>9668</v>
      </c>
      <c r="I54" s="36" t="s">
        <v>9669</v>
      </c>
      <c r="J54" s="36" t="s">
        <v>9670</v>
      </c>
      <c r="K54" s="36" t="s">
        <v>9671</v>
      </c>
      <c r="L54" s="36" t="s">
        <v>9672</v>
      </c>
      <c r="M54" s="36" t="s">
        <v>9673</v>
      </c>
      <c r="N54" s="36" t="s">
        <v>9674</v>
      </c>
      <c r="O54" s="36" t="s">
        <v>9675</v>
      </c>
      <c r="P54" s="36" t="s">
        <v>9676</v>
      </c>
      <c r="Q54" s="36" t="s">
        <v>9677</v>
      </c>
      <c r="R54" s="36" t="s">
        <v>9040</v>
      </c>
      <c r="S54" s="36" t="s">
        <v>9678</v>
      </c>
      <c r="T54" s="36">
        <v>3</v>
      </c>
      <c r="U54" s="36">
        <v>3</v>
      </c>
      <c r="V54" s="36">
        <v>2</v>
      </c>
      <c r="W54" s="36">
        <v>2</v>
      </c>
      <c r="X54" s="36">
        <v>1</v>
      </c>
      <c r="Y54" s="36">
        <v>1</v>
      </c>
      <c r="Z54" s="36" t="s">
        <v>2306</v>
      </c>
      <c r="AA54" s="36" t="s">
        <v>2358</v>
      </c>
      <c r="AB54" s="36" t="s">
        <v>2314</v>
      </c>
      <c r="AC54" s="36" t="s">
        <v>1863</v>
      </c>
      <c r="AD54" s="36" t="s">
        <v>6410</v>
      </c>
    </row>
    <row r="55" spans="1:30" ht="60">
      <c r="A55" s="36" t="s">
        <v>2366</v>
      </c>
      <c r="B55" s="36" t="s">
        <v>60</v>
      </c>
      <c r="C55" s="36" t="s">
        <v>1084</v>
      </c>
      <c r="D55" s="36" t="s">
        <v>185</v>
      </c>
      <c r="E55" s="36" t="s">
        <v>2367</v>
      </c>
      <c r="F55" s="36" t="s">
        <v>9679</v>
      </c>
      <c r="G55" s="36" t="s">
        <v>9680</v>
      </c>
      <c r="H55" s="36" t="s">
        <v>9681</v>
      </c>
      <c r="I55" s="36" t="s">
        <v>9682</v>
      </c>
      <c r="J55" s="36" t="s">
        <v>9683</v>
      </c>
      <c r="K55" s="36" t="s">
        <v>9684</v>
      </c>
      <c r="L55" s="36" t="s">
        <v>9685</v>
      </c>
      <c r="M55" s="36" t="s">
        <v>9686</v>
      </c>
      <c r="N55" s="36" t="s">
        <v>9687</v>
      </c>
      <c r="O55" s="36" t="s">
        <v>9688</v>
      </c>
      <c r="P55" s="36" t="s">
        <v>9689</v>
      </c>
      <c r="Q55" s="36" t="s">
        <v>9690</v>
      </c>
      <c r="R55" s="36" t="s">
        <v>9040</v>
      </c>
      <c r="S55" s="36" t="s">
        <v>9691</v>
      </c>
      <c r="T55" s="36">
        <v>3</v>
      </c>
      <c r="U55" s="36">
        <v>3</v>
      </c>
      <c r="V55" s="36">
        <v>2</v>
      </c>
      <c r="W55" s="36">
        <v>2</v>
      </c>
      <c r="X55" s="36">
        <v>1</v>
      </c>
      <c r="Y55" s="36">
        <v>1</v>
      </c>
      <c r="Z55" s="36" t="s">
        <v>2306</v>
      </c>
      <c r="AA55" s="36" t="s">
        <v>2368</v>
      </c>
      <c r="AB55" s="36" t="s">
        <v>2314</v>
      </c>
      <c r="AC55" s="36" t="s">
        <v>1863</v>
      </c>
      <c r="AD55" s="36" t="s">
        <v>6418</v>
      </c>
    </row>
    <row r="56" spans="1:30" ht="60">
      <c r="A56" s="36" t="s">
        <v>2376</v>
      </c>
      <c r="B56" s="36" t="s">
        <v>60</v>
      </c>
      <c r="C56" s="36" t="s">
        <v>1084</v>
      </c>
      <c r="D56" s="36" t="s">
        <v>185</v>
      </c>
      <c r="E56" s="36" t="s">
        <v>2377</v>
      </c>
      <c r="F56" s="36" t="s">
        <v>9692</v>
      </c>
      <c r="G56" s="36" t="s">
        <v>9693</v>
      </c>
      <c r="H56" s="36" t="s">
        <v>9694</v>
      </c>
      <c r="I56" s="36" t="s">
        <v>9695</v>
      </c>
      <c r="J56" s="36" t="s">
        <v>9696</v>
      </c>
      <c r="K56" s="36" t="s">
        <v>9697</v>
      </c>
      <c r="L56" s="36" t="s">
        <v>9698</v>
      </c>
      <c r="M56" s="36" t="s">
        <v>9699</v>
      </c>
      <c r="N56" s="36" t="s">
        <v>9700</v>
      </c>
      <c r="O56" s="36" t="s">
        <v>9701</v>
      </c>
      <c r="P56" s="36" t="s">
        <v>9702</v>
      </c>
      <c r="Q56" s="36" t="s">
        <v>9703</v>
      </c>
      <c r="R56" s="36" t="s">
        <v>9040</v>
      </c>
      <c r="S56" s="36" t="s">
        <v>9704</v>
      </c>
      <c r="T56" s="36">
        <v>3</v>
      </c>
      <c r="U56" s="36">
        <v>3</v>
      </c>
      <c r="V56" s="36">
        <v>2</v>
      </c>
      <c r="W56" s="36">
        <v>2</v>
      </c>
      <c r="X56" s="36">
        <v>1</v>
      </c>
      <c r="Y56" s="36">
        <v>1</v>
      </c>
      <c r="Z56" s="36" t="s">
        <v>2306</v>
      </c>
      <c r="AA56" s="36" t="s">
        <v>2378</v>
      </c>
      <c r="AB56" s="36" t="s">
        <v>2314</v>
      </c>
      <c r="AC56" s="36" t="s">
        <v>1863</v>
      </c>
      <c r="AD56" s="36" t="s">
        <v>6425</v>
      </c>
    </row>
    <row r="57" spans="1:30" ht="60">
      <c r="A57" s="36" t="s">
        <v>2386</v>
      </c>
      <c r="B57" s="36" t="s">
        <v>60</v>
      </c>
      <c r="C57" s="36" t="s">
        <v>1084</v>
      </c>
      <c r="D57" s="36" t="s">
        <v>185</v>
      </c>
      <c r="E57" s="36" t="s">
        <v>2387</v>
      </c>
      <c r="F57" s="36" t="s">
        <v>9705</v>
      </c>
      <c r="G57" s="36" t="s">
        <v>9706</v>
      </c>
      <c r="H57" s="36" t="s">
        <v>9707</v>
      </c>
      <c r="I57" s="36" t="s">
        <v>9708</v>
      </c>
      <c r="J57" s="36" t="s">
        <v>9709</v>
      </c>
      <c r="K57" s="36" t="s">
        <v>9710</v>
      </c>
      <c r="L57" s="36" t="s">
        <v>9711</v>
      </c>
      <c r="M57" s="36" t="s">
        <v>9712</v>
      </c>
      <c r="N57" s="36" t="s">
        <v>9713</v>
      </c>
      <c r="O57" s="36" t="s">
        <v>9714</v>
      </c>
      <c r="P57" s="36" t="s">
        <v>9715</v>
      </c>
      <c r="Q57" s="36" t="s">
        <v>9716</v>
      </c>
      <c r="R57" s="36" t="s">
        <v>9040</v>
      </c>
      <c r="S57" s="36" t="s">
        <v>9717</v>
      </c>
      <c r="T57" s="36">
        <v>3</v>
      </c>
      <c r="U57" s="36">
        <v>3</v>
      </c>
      <c r="V57" s="36">
        <v>2</v>
      </c>
      <c r="W57" s="36">
        <v>2</v>
      </c>
      <c r="X57" s="36">
        <v>1</v>
      </c>
      <c r="Y57" s="36">
        <v>1</v>
      </c>
      <c r="Z57" s="36" t="s">
        <v>2306</v>
      </c>
      <c r="AA57" s="36" t="s">
        <v>2388</v>
      </c>
      <c r="AB57" s="36" t="s">
        <v>2314</v>
      </c>
      <c r="AC57" s="36" t="s">
        <v>1863</v>
      </c>
      <c r="AD57" s="36" t="s">
        <v>6432</v>
      </c>
    </row>
    <row r="58" spans="1:30" ht="60">
      <c r="A58" s="36" t="s">
        <v>2396</v>
      </c>
      <c r="B58" s="36" t="s">
        <v>60</v>
      </c>
      <c r="C58" s="36" t="s">
        <v>1084</v>
      </c>
      <c r="D58" s="36" t="s">
        <v>185</v>
      </c>
      <c r="E58" s="36" t="s">
        <v>2397</v>
      </c>
      <c r="F58" s="36" t="s">
        <v>9718</v>
      </c>
      <c r="G58" s="36" t="s">
        <v>9719</v>
      </c>
      <c r="H58" s="36" t="s">
        <v>9720</v>
      </c>
      <c r="I58" s="36" t="s">
        <v>9721</v>
      </c>
      <c r="J58" s="36" t="s">
        <v>9722</v>
      </c>
      <c r="K58" s="36" t="s">
        <v>9723</v>
      </c>
      <c r="L58" s="36" t="s">
        <v>9724</v>
      </c>
      <c r="M58" s="36" t="s">
        <v>9725</v>
      </c>
      <c r="N58" s="36" t="s">
        <v>9726</v>
      </c>
      <c r="O58" s="36" t="s">
        <v>9727</v>
      </c>
      <c r="P58" s="36" t="s">
        <v>9728</v>
      </c>
      <c r="Q58" s="36" t="s">
        <v>9729</v>
      </c>
      <c r="R58" s="36" t="s">
        <v>9040</v>
      </c>
      <c r="S58" s="36" t="s">
        <v>9730</v>
      </c>
      <c r="T58" s="36">
        <v>3</v>
      </c>
      <c r="U58" s="36">
        <v>3</v>
      </c>
      <c r="V58" s="36">
        <v>2</v>
      </c>
      <c r="W58" s="36">
        <v>2</v>
      </c>
      <c r="X58" s="36">
        <v>1</v>
      </c>
      <c r="Y58" s="36">
        <v>1</v>
      </c>
      <c r="Z58" s="36" t="s">
        <v>2306</v>
      </c>
      <c r="AA58" s="36" t="s">
        <v>2398</v>
      </c>
      <c r="AB58" s="36" t="s">
        <v>2314</v>
      </c>
      <c r="AC58" s="36" t="s">
        <v>1863</v>
      </c>
      <c r="AD58" s="36" t="s">
        <v>6439</v>
      </c>
    </row>
    <row r="59" spans="1:30" ht="72">
      <c r="A59" s="36" t="s">
        <v>2406</v>
      </c>
      <c r="B59" s="36" t="s">
        <v>60</v>
      </c>
      <c r="C59" s="36" t="s">
        <v>1084</v>
      </c>
      <c r="D59" s="36" t="s">
        <v>185</v>
      </c>
      <c r="E59" s="36" t="s">
        <v>2407</v>
      </c>
      <c r="F59" s="36" t="s">
        <v>9731</v>
      </c>
      <c r="G59" s="36" t="s">
        <v>9732</v>
      </c>
      <c r="H59" s="36" t="s">
        <v>9733</v>
      </c>
      <c r="I59" s="36" t="s">
        <v>9734</v>
      </c>
      <c r="J59" s="36" t="s">
        <v>9735</v>
      </c>
      <c r="K59" s="36" t="s">
        <v>9736</v>
      </c>
      <c r="L59" s="36" t="s">
        <v>9737</v>
      </c>
      <c r="M59" s="36" t="s">
        <v>9738</v>
      </c>
      <c r="N59" s="36" t="s">
        <v>9739</v>
      </c>
      <c r="O59" s="36" t="s">
        <v>9740</v>
      </c>
      <c r="P59" s="36" t="s">
        <v>9741</v>
      </c>
      <c r="Q59" s="36" t="s">
        <v>9742</v>
      </c>
      <c r="R59" s="36" t="s">
        <v>9040</v>
      </c>
      <c r="S59" s="36" t="s">
        <v>9743</v>
      </c>
      <c r="T59" s="36">
        <v>3</v>
      </c>
      <c r="U59" s="36">
        <v>3</v>
      </c>
      <c r="V59" s="36">
        <v>2</v>
      </c>
      <c r="W59" s="36">
        <v>2</v>
      </c>
      <c r="X59" s="36">
        <v>1</v>
      </c>
      <c r="Y59" s="36">
        <v>1</v>
      </c>
      <c r="Z59" s="36" t="s">
        <v>2306</v>
      </c>
      <c r="AA59" s="36" t="s">
        <v>2408</v>
      </c>
      <c r="AB59" s="36" t="s">
        <v>2314</v>
      </c>
      <c r="AC59" s="36" t="s">
        <v>1863</v>
      </c>
      <c r="AD59" s="36" t="s">
        <v>6446</v>
      </c>
    </row>
    <row r="60" spans="1:30" ht="72">
      <c r="A60" s="36" t="s">
        <v>2416</v>
      </c>
      <c r="B60" s="36" t="s">
        <v>60</v>
      </c>
      <c r="C60" s="36" t="s">
        <v>1084</v>
      </c>
      <c r="D60" s="36" t="s">
        <v>185</v>
      </c>
      <c r="E60" s="36" t="s">
        <v>2417</v>
      </c>
      <c r="F60" s="36" t="s">
        <v>9744</v>
      </c>
      <c r="G60" s="36" t="s">
        <v>9745</v>
      </c>
      <c r="H60" s="36" t="s">
        <v>9746</v>
      </c>
      <c r="I60" s="36" t="s">
        <v>9747</v>
      </c>
      <c r="J60" s="36" t="s">
        <v>9748</v>
      </c>
      <c r="K60" s="36" t="s">
        <v>9749</v>
      </c>
      <c r="L60" s="36" t="s">
        <v>9750</v>
      </c>
      <c r="M60" s="36" t="s">
        <v>9751</v>
      </c>
      <c r="N60" s="36" t="s">
        <v>9752</v>
      </c>
      <c r="O60" s="36" t="s">
        <v>9753</v>
      </c>
      <c r="P60" s="36" t="s">
        <v>9754</v>
      </c>
      <c r="Q60" s="36" t="s">
        <v>9755</v>
      </c>
      <c r="R60" s="36" t="s">
        <v>9040</v>
      </c>
      <c r="S60" s="36" t="s">
        <v>9756</v>
      </c>
      <c r="T60" s="36">
        <v>3</v>
      </c>
      <c r="U60" s="36">
        <v>3</v>
      </c>
      <c r="V60" s="36">
        <v>2</v>
      </c>
      <c r="W60" s="36">
        <v>2</v>
      </c>
      <c r="X60" s="36">
        <v>1</v>
      </c>
      <c r="Y60" s="36">
        <v>1</v>
      </c>
      <c r="Z60" s="36" t="s">
        <v>2306</v>
      </c>
      <c r="AA60" s="36" t="s">
        <v>2418</v>
      </c>
      <c r="AB60" s="36" t="s">
        <v>2314</v>
      </c>
      <c r="AC60" s="36" t="s">
        <v>1863</v>
      </c>
      <c r="AD60" s="36" t="s">
        <v>6453</v>
      </c>
    </row>
    <row r="61" spans="1:30" ht="60">
      <c r="A61" s="36" t="s">
        <v>2426</v>
      </c>
      <c r="B61" s="36" t="s">
        <v>60</v>
      </c>
      <c r="C61" s="36" t="s">
        <v>1084</v>
      </c>
      <c r="D61" s="36" t="s">
        <v>185</v>
      </c>
      <c r="E61" s="36" t="s">
        <v>2427</v>
      </c>
      <c r="F61" s="36" t="s">
        <v>9757</v>
      </c>
      <c r="G61" s="36" t="s">
        <v>9758</v>
      </c>
      <c r="H61" s="36" t="s">
        <v>9759</v>
      </c>
      <c r="I61" s="36" t="s">
        <v>9760</v>
      </c>
      <c r="J61" s="36" t="s">
        <v>9761</v>
      </c>
      <c r="K61" s="36" t="s">
        <v>9762</v>
      </c>
      <c r="L61" s="36" t="s">
        <v>9763</v>
      </c>
      <c r="M61" s="36" t="s">
        <v>9764</v>
      </c>
      <c r="N61" s="36" t="s">
        <v>9765</v>
      </c>
      <c r="O61" s="36" t="s">
        <v>9766</v>
      </c>
      <c r="P61" s="36" t="s">
        <v>9767</v>
      </c>
      <c r="Q61" s="36" t="s">
        <v>9768</v>
      </c>
      <c r="R61" s="36" t="s">
        <v>9040</v>
      </c>
      <c r="S61" s="36" t="s">
        <v>9769</v>
      </c>
      <c r="T61" s="36">
        <v>3</v>
      </c>
      <c r="U61" s="36">
        <v>3</v>
      </c>
      <c r="V61" s="36">
        <v>2</v>
      </c>
      <c r="W61" s="36">
        <v>2</v>
      </c>
      <c r="X61" s="36">
        <v>1</v>
      </c>
      <c r="Y61" s="36">
        <v>1</v>
      </c>
      <c r="Z61" s="36" t="s">
        <v>2306</v>
      </c>
      <c r="AA61" s="36" t="s">
        <v>2428</v>
      </c>
      <c r="AB61" s="36" t="s">
        <v>2314</v>
      </c>
      <c r="AC61" s="36" t="s">
        <v>1863</v>
      </c>
      <c r="AD61" s="36" t="s">
        <v>6460</v>
      </c>
    </row>
    <row r="62" spans="1:30" ht="60">
      <c r="A62" s="36" t="s">
        <v>2436</v>
      </c>
      <c r="B62" s="36" t="s">
        <v>60</v>
      </c>
      <c r="C62" s="36" t="s">
        <v>1092</v>
      </c>
      <c r="D62" s="36" t="s">
        <v>185</v>
      </c>
      <c r="E62" s="36" t="s">
        <v>2437</v>
      </c>
      <c r="F62" s="36" t="s">
        <v>9770</v>
      </c>
      <c r="G62" s="36" t="s">
        <v>9771</v>
      </c>
      <c r="H62" s="36" t="s">
        <v>9772</v>
      </c>
      <c r="I62" s="36" t="s">
        <v>9773</v>
      </c>
      <c r="J62" s="36" t="s">
        <v>9774</v>
      </c>
      <c r="K62" s="36" t="s">
        <v>9775</v>
      </c>
      <c r="L62" s="36" t="s">
        <v>9776</v>
      </c>
      <c r="M62" s="36" t="s">
        <v>9777</v>
      </c>
      <c r="N62" s="36" t="s">
        <v>9778</v>
      </c>
      <c r="O62" s="36" t="s">
        <v>9779</v>
      </c>
      <c r="P62" s="36" t="s">
        <v>9780</v>
      </c>
      <c r="Q62" s="36" t="s">
        <v>9781</v>
      </c>
      <c r="R62" s="36" t="s">
        <v>9040</v>
      </c>
      <c r="S62" s="36" t="s">
        <v>9782</v>
      </c>
      <c r="T62" s="36">
        <v>3</v>
      </c>
      <c r="U62" s="36">
        <v>3</v>
      </c>
      <c r="V62" s="36">
        <v>2</v>
      </c>
      <c r="W62" s="36">
        <v>2</v>
      </c>
      <c r="X62" s="36">
        <v>1</v>
      </c>
      <c r="Y62" s="36">
        <v>1</v>
      </c>
      <c r="Z62" s="36" t="s">
        <v>2306</v>
      </c>
      <c r="AA62" s="36" t="s">
        <v>2438</v>
      </c>
      <c r="AB62" s="36" t="s">
        <v>2314</v>
      </c>
      <c r="AC62" s="36" t="s">
        <v>1863</v>
      </c>
      <c r="AD62" s="36" t="s">
        <v>6468</v>
      </c>
    </row>
    <row r="63" spans="1:30" ht="60">
      <c r="A63" s="36" t="s">
        <v>2446</v>
      </c>
      <c r="B63" s="36" t="s">
        <v>60</v>
      </c>
      <c r="C63" s="36" t="s">
        <v>1092</v>
      </c>
      <c r="D63" s="36" t="s">
        <v>185</v>
      </c>
      <c r="E63" s="36" t="s">
        <v>2447</v>
      </c>
      <c r="F63" s="36" t="s">
        <v>9783</v>
      </c>
      <c r="G63" s="36" t="s">
        <v>9784</v>
      </c>
      <c r="H63" s="36" t="s">
        <v>9785</v>
      </c>
      <c r="I63" s="36" t="s">
        <v>9786</v>
      </c>
      <c r="J63" s="36" t="s">
        <v>9787</v>
      </c>
      <c r="K63" s="36" t="s">
        <v>9788</v>
      </c>
      <c r="L63" s="36" t="s">
        <v>9789</v>
      </c>
      <c r="M63" s="36" t="s">
        <v>9790</v>
      </c>
      <c r="N63" s="36" t="s">
        <v>9791</v>
      </c>
      <c r="O63" s="36" t="s">
        <v>9792</v>
      </c>
      <c r="P63" s="36" t="s">
        <v>9793</v>
      </c>
      <c r="Q63" s="36" t="s">
        <v>9794</v>
      </c>
      <c r="R63" s="36" t="s">
        <v>9040</v>
      </c>
      <c r="S63" s="36" t="s">
        <v>9795</v>
      </c>
      <c r="T63" s="36">
        <v>3</v>
      </c>
      <c r="U63" s="36">
        <v>3</v>
      </c>
      <c r="V63" s="36">
        <v>2</v>
      </c>
      <c r="W63" s="36">
        <v>2</v>
      </c>
      <c r="X63" s="36">
        <v>1</v>
      </c>
      <c r="Y63" s="36">
        <v>1</v>
      </c>
      <c r="Z63" s="36" t="s">
        <v>2306</v>
      </c>
      <c r="AA63" s="36" t="s">
        <v>2448</v>
      </c>
      <c r="AB63" s="36" t="s">
        <v>2314</v>
      </c>
      <c r="AC63" s="36" t="s">
        <v>1863</v>
      </c>
      <c r="AD63" s="36" t="s">
        <v>6475</v>
      </c>
    </row>
    <row r="64" spans="1:30" ht="60">
      <c r="A64" s="36" t="s">
        <v>2456</v>
      </c>
      <c r="B64" s="36" t="s">
        <v>60</v>
      </c>
      <c r="C64" s="36" t="s">
        <v>1092</v>
      </c>
      <c r="D64" s="36" t="s">
        <v>185</v>
      </c>
      <c r="E64" s="36" t="s">
        <v>2457</v>
      </c>
      <c r="F64" s="36" t="s">
        <v>9796</v>
      </c>
      <c r="G64" s="36" t="s">
        <v>9797</v>
      </c>
      <c r="H64" s="36" t="s">
        <v>9798</v>
      </c>
      <c r="I64" s="36" t="s">
        <v>9799</v>
      </c>
      <c r="J64" s="36" t="s">
        <v>9800</v>
      </c>
      <c r="K64" s="36" t="s">
        <v>9801</v>
      </c>
      <c r="L64" s="36" t="s">
        <v>9802</v>
      </c>
      <c r="M64" s="36" t="s">
        <v>9803</v>
      </c>
      <c r="N64" s="36" t="s">
        <v>9804</v>
      </c>
      <c r="O64" s="36" t="s">
        <v>9805</v>
      </c>
      <c r="P64" s="36" t="s">
        <v>9806</v>
      </c>
      <c r="Q64" s="36" t="s">
        <v>9807</v>
      </c>
      <c r="R64" s="36" t="s">
        <v>9040</v>
      </c>
      <c r="S64" s="36" t="s">
        <v>9808</v>
      </c>
      <c r="T64" s="36">
        <v>3</v>
      </c>
      <c r="U64" s="36">
        <v>3</v>
      </c>
      <c r="V64" s="36">
        <v>2</v>
      </c>
      <c r="W64" s="36">
        <v>2</v>
      </c>
      <c r="X64" s="36">
        <v>1</v>
      </c>
      <c r="Y64" s="36">
        <v>1</v>
      </c>
      <c r="Z64" s="36" t="s">
        <v>2306</v>
      </c>
      <c r="AA64" s="36" t="s">
        <v>2458</v>
      </c>
      <c r="AB64" s="36" t="s">
        <v>2314</v>
      </c>
      <c r="AC64" s="36" t="s">
        <v>1863</v>
      </c>
      <c r="AD64" s="36" t="s">
        <v>6482</v>
      </c>
    </row>
    <row r="65" spans="1:30" ht="60">
      <c r="A65" s="36" t="s">
        <v>2466</v>
      </c>
      <c r="B65" s="36" t="s">
        <v>60</v>
      </c>
      <c r="C65" s="36" t="s">
        <v>1092</v>
      </c>
      <c r="D65" s="36" t="s">
        <v>185</v>
      </c>
      <c r="E65" s="36" t="s">
        <v>2467</v>
      </c>
      <c r="F65" s="36" t="s">
        <v>9809</v>
      </c>
      <c r="G65" s="36" t="s">
        <v>9810</v>
      </c>
      <c r="H65" s="36" t="s">
        <v>9811</v>
      </c>
      <c r="I65" s="36" t="s">
        <v>9812</v>
      </c>
      <c r="J65" s="36" t="s">
        <v>9813</v>
      </c>
      <c r="K65" s="36" t="s">
        <v>9814</v>
      </c>
      <c r="L65" s="36" t="s">
        <v>9815</v>
      </c>
      <c r="M65" s="36" t="s">
        <v>9816</v>
      </c>
      <c r="N65" s="36" t="s">
        <v>9817</v>
      </c>
      <c r="O65" s="36" t="s">
        <v>9818</v>
      </c>
      <c r="P65" s="36" t="s">
        <v>9819</v>
      </c>
      <c r="Q65" s="36" t="s">
        <v>9820</v>
      </c>
      <c r="R65" s="36" t="s">
        <v>9040</v>
      </c>
      <c r="S65" s="36" t="s">
        <v>9821</v>
      </c>
      <c r="T65" s="36">
        <v>3</v>
      </c>
      <c r="U65" s="36">
        <v>3</v>
      </c>
      <c r="V65" s="36">
        <v>2</v>
      </c>
      <c r="W65" s="36">
        <v>2</v>
      </c>
      <c r="X65" s="36">
        <v>1</v>
      </c>
      <c r="Y65" s="36">
        <v>1</v>
      </c>
      <c r="Z65" s="36" t="s">
        <v>2306</v>
      </c>
      <c r="AA65" s="36" t="s">
        <v>2468</v>
      </c>
      <c r="AB65" s="36" t="s">
        <v>2314</v>
      </c>
      <c r="AC65" s="36" t="s">
        <v>1863</v>
      </c>
      <c r="AD65" s="36" t="s">
        <v>6489</v>
      </c>
    </row>
    <row r="66" spans="1:30" ht="48">
      <c r="A66" s="36" t="s">
        <v>2476</v>
      </c>
      <c r="B66" s="36" t="s">
        <v>60</v>
      </c>
      <c r="C66" s="36" t="s">
        <v>1092</v>
      </c>
      <c r="D66" s="36" t="s">
        <v>185</v>
      </c>
      <c r="E66" s="36" t="s">
        <v>2477</v>
      </c>
      <c r="F66" s="36" t="s">
        <v>9822</v>
      </c>
      <c r="G66" s="36" t="s">
        <v>9823</v>
      </c>
      <c r="H66" s="36" t="s">
        <v>9824</v>
      </c>
      <c r="I66" s="36" t="s">
        <v>9825</v>
      </c>
      <c r="J66" s="36" t="s">
        <v>9826</v>
      </c>
      <c r="K66" s="36" t="s">
        <v>9827</v>
      </c>
      <c r="L66" s="36" t="s">
        <v>9828</v>
      </c>
      <c r="M66" s="36" t="s">
        <v>9829</v>
      </c>
      <c r="N66" s="36" t="s">
        <v>9830</v>
      </c>
      <c r="O66" s="36" t="s">
        <v>9831</v>
      </c>
      <c r="P66" s="36" t="s">
        <v>9832</v>
      </c>
      <c r="Q66" s="36" t="s">
        <v>9833</v>
      </c>
      <c r="R66" s="36" t="s">
        <v>9040</v>
      </c>
      <c r="S66" s="36" t="s">
        <v>9834</v>
      </c>
      <c r="T66" s="36">
        <v>3</v>
      </c>
      <c r="U66" s="36">
        <v>3</v>
      </c>
      <c r="V66" s="36">
        <v>2</v>
      </c>
      <c r="W66" s="36">
        <v>2</v>
      </c>
      <c r="X66" s="36">
        <v>1</v>
      </c>
      <c r="Y66" s="36">
        <v>1</v>
      </c>
      <c r="Z66" s="36" t="s">
        <v>2306</v>
      </c>
      <c r="AA66" s="36" t="s">
        <v>2478</v>
      </c>
      <c r="AB66" s="36" t="s">
        <v>2314</v>
      </c>
      <c r="AC66" s="36" t="s">
        <v>1863</v>
      </c>
      <c r="AD66" s="36" t="s">
        <v>6496</v>
      </c>
    </row>
    <row r="67" spans="1:30" ht="60">
      <c r="A67" s="36" t="s">
        <v>2486</v>
      </c>
      <c r="B67" s="36" t="s">
        <v>60</v>
      </c>
      <c r="C67" s="36" t="s">
        <v>1092</v>
      </c>
      <c r="D67" s="36" t="s">
        <v>185</v>
      </c>
      <c r="E67" s="36" t="s">
        <v>2487</v>
      </c>
      <c r="F67" s="36" t="s">
        <v>9835</v>
      </c>
      <c r="G67" s="36" t="s">
        <v>9836</v>
      </c>
      <c r="H67" s="36" t="s">
        <v>9837</v>
      </c>
      <c r="I67" s="36" t="s">
        <v>9838</v>
      </c>
      <c r="J67" s="36" t="s">
        <v>9839</v>
      </c>
      <c r="K67" s="36" t="s">
        <v>9840</v>
      </c>
      <c r="L67" s="36" t="s">
        <v>9841</v>
      </c>
      <c r="M67" s="36" t="s">
        <v>9842</v>
      </c>
      <c r="N67" s="36" t="s">
        <v>9843</v>
      </c>
      <c r="O67" s="36" t="s">
        <v>9844</v>
      </c>
      <c r="P67" s="36" t="s">
        <v>9845</v>
      </c>
      <c r="Q67" s="36" t="s">
        <v>9846</v>
      </c>
      <c r="R67" s="36" t="s">
        <v>9040</v>
      </c>
      <c r="S67" s="36" t="s">
        <v>9847</v>
      </c>
      <c r="T67" s="36">
        <v>3</v>
      </c>
      <c r="U67" s="36">
        <v>3</v>
      </c>
      <c r="V67" s="36">
        <v>2</v>
      </c>
      <c r="W67" s="36">
        <v>2</v>
      </c>
      <c r="X67" s="36">
        <v>1</v>
      </c>
      <c r="Y67" s="36">
        <v>1</v>
      </c>
      <c r="Z67" s="36" t="s">
        <v>2306</v>
      </c>
      <c r="AA67" s="36" t="s">
        <v>2488</v>
      </c>
      <c r="AB67" s="36" t="s">
        <v>2314</v>
      </c>
      <c r="AC67" s="36" t="s">
        <v>1863</v>
      </c>
      <c r="AD67" s="36" t="s">
        <v>6503</v>
      </c>
    </row>
    <row r="68" spans="1:30" ht="84">
      <c r="A68" s="36" t="s">
        <v>2498</v>
      </c>
      <c r="B68" s="36" t="s">
        <v>63</v>
      </c>
      <c r="C68" s="36" t="s">
        <v>1100</v>
      </c>
      <c r="D68" s="36" t="s">
        <v>186</v>
      </c>
      <c r="E68" s="36" t="s">
        <v>2499</v>
      </c>
      <c r="F68" s="36" t="s">
        <v>9848</v>
      </c>
      <c r="G68" s="36" t="s">
        <v>9849</v>
      </c>
      <c r="H68" s="36" t="s">
        <v>9850</v>
      </c>
      <c r="I68" s="36" t="s">
        <v>9851</v>
      </c>
      <c r="J68" s="36" t="s">
        <v>9852</v>
      </c>
      <c r="K68" s="36" t="s">
        <v>9853</v>
      </c>
      <c r="L68" s="36" t="s">
        <v>9854</v>
      </c>
      <c r="M68" s="36" t="s">
        <v>9855</v>
      </c>
      <c r="N68" s="36" t="s">
        <v>9856</v>
      </c>
      <c r="O68" s="36" t="s">
        <v>9857</v>
      </c>
      <c r="P68" s="36" t="s">
        <v>9858</v>
      </c>
      <c r="Q68" s="36" t="s">
        <v>9859</v>
      </c>
      <c r="R68" s="36" t="s">
        <v>9040</v>
      </c>
      <c r="S68" s="36" t="s">
        <v>9860</v>
      </c>
      <c r="T68" s="36">
        <v>3</v>
      </c>
      <c r="U68" s="36">
        <v>3</v>
      </c>
      <c r="V68" s="36">
        <v>2</v>
      </c>
      <c r="W68" s="36">
        <v>2</v>
      </c>
      <c r="X68" s="36">
        <v>1</v>
      </c>
      <c r="Y68" s="36">
        <v>1</v>
      </c>
      <c r="Z68" s="36" t="s">
        <v>2501</v>
      </c>
      <c r="AA68" s="36" t="s">
        <v>2502</v>
      </c>
      <c r="AB68" s="36" t="s">
        <v>2509</v>
      </c>
      <c r="AC68" s="36" t="s">
        <v>2510</v>
      </c>
      <c r="AD68" s="36" t="s">
        <v>6511</v>
      </c>
    </row>
    <row r="69" spans="1:30" ht="84">
      <c r="A69" s="36" t="s">
        <v>2512</v>
      </c>
      <c r="B69" s="36" t="s">
        <v>63</v>
      </c>
      <c r="C69" s="36" t="s">
        <v>1100</v>
      </c>
      <c r="D69" s="36" t="s">
        <v>186</v>
      </c>
      <c r="E69" s="36" t="s">
        <v>2513</v>
      </c>
      <c r="F69" s="36" t="s">
        <v>9861</v>
      </c>
      <c r="G69" s="36" t="s">
        <v>9862</v>
      </c>
      <c r="H69" s="36" t="s">
        <v>9863</v>
      </c>
      <c r="I69" s="36" t="s">
        <v>9864</v>
      </c>
      <c r="J69" s="36" t="s">
        <v>9865</v>
      </c>
      <c r="K69" s="36" t="s">
        <v>9866</v>
      </c>
      <c r="L69" s="36" t="s">
        <v>9867</v>
      </c>
      <c r="M69" s="36" t="s">
        <v>9868</v>
      </c>
      <c r="N69" s="36" t="s">
        <v>9869</v>
      </c>
      <c r="O69" s="36" t="s">
        <v>9870</v>
      </c>
      <c r="P69" s="36" t="s">
        <v>9871</v>
      </c>
      <c r="Q69" s="36" t="s">
        <v>9872</v>
      </c>
      <c r="R69" s="36" t="s">
        <v>9040</v>
      </c>
      <c r="S69" s="36" t="s">
        <v>9873</v>
      </c>
      <c r="T69" s="36">
        <v>3</v>
      </c>
      <c r="U69" s="36">
        <v>3</v>
      </c>
      <c r="V69" s="36">
        <v>2</v>
      </c>
      <c r="W69" s="36">
        <v>2</v>
      </c>
      <c r="X69" s="36">
        <v>1</v>
      </c>
      <c r="Y69" s="36">
        <v>1</v>
      </c>
      <c r="Z69" s="36" t="s">
        <v>2501</v>
      </c>
      <c r="AA69" s="36" t="s">
        <v>2514</v>
      </c>
      <c r="AB69" s="36" t="s">
        <v>2509</v>
      </c>
      <c r="AC69" s="36" t="s">
        <v>2510</v>
      </c>
      <c r="AD69" s="36" t="s">
        <v>6518</v>
      </c>
    </row>
    <row r="70" spans="1:30" ht="84">
      <c r="A70" s="36" t="s">
        <v>2522</v>
      </c>
      <c r="B70" s="36" t="s">
        <v>63</v>
      </c>
      <c r="C70" s="36" t="s">
        <v>1100</v>
      </c>
      <c r="D70" s="36" t="s">
        <v>186</v>
      </c>
      <c r="E70" s="36" t="s">
        <v>2523</v>
      </c>
      <c r="F70" s="36" t="s">
        <v>9874</v>
      </c>
      <c r="G70" s="36" t="s">
        <v>9875</v>
      </c>
      <c r="H70" s="36" t="s">
        <v>9876</v>
      </c>
      <c r="I70" s="36" t="s">
        <v>9877</v>
      </c>
      <c r="J70" s="36" t="s">
        <v>9878</v>
      </c>
      <c r="K70" s="36" t="s">
        <v>9879</v>
      </c>
      <c r="L70" s="36" t="s">
        <v>9880</v>
      </c>
      <c r="M70" s="36" t="s">
        <v>9881</v>
      </c>
      <c r="N70" s="36" t="s">
        <v>9882</v>
      </c>
      <c r="O70" s="36" t="s">
        <v>9883</v>
      </c>
      <c r="P70" s="36" t="s">
        <v>9884</v>
      </c>
      <c r="Q70" s="36" t="s">
        <v>9885</v>
      </c>
      <c r="R70" s="36" t="s">
        <v>9040</v>
      </c>
      <c r="S70" s="36" t="s">
        <v>9886</v>
      </c>
      <c r="T70" s="36">
        <v>3</v>
      </c>
      <c r="U70" s="36">
        <v>3</v>
      </c>
      <c r="V70" s="36">
        <v>2</v>
      </c>
      <c r="W70" s="36">
        <v>2</v>
      </c>
      <c r="X70" s="36">
        <v>1</v>
      </c>
      <c r="Y70" s="36">
        <v>1</v>
      </c>
      <c r="Z70" s="36" t="s">
        <v>2501</v>
      </c>
      <c r="AA70" s="36" t="s">
        <v>2524</v>
      </c>
      <c r="AB70" s="36" t="s">
        <v>2509</v>
      </c>
      <c r="AC70" s="36" t="s">
        <v>2510</v>
      </c>
      <c r="AD70" s="36" t="s">
        <v>6525</v>
      </c>
    </row>
    <row r="71" spans="1:30" ht="84">
      <c r="A71" s="36" t="s">
        <v>2532</v>
      </c>
      <c r="B71" s="36" t="s">
        <v>63</v>
      </c>
      <c r="C71" s="36" t="s">
        <v>1100</v>
      </c>
      <c r="D71" s="36" t="s">
        <v>186</v>
      </c>
      <c r="E71" s="36" t="s">
        <v>2533</v>
      </c>
      <c r="F71" s="36" t="s">
        <v>9887</v>
      </c>
      <c r="G71" s="36" t="s">
        <v>9888</v>
      </c>
      <c r="H71" s="36" t="s">
        <v>9889</v>
      </c>
      <c r="I71" s="36" t="s">
        <v>9890</v>
      </c>
      <c r="J71" s="36" t="s">
        <v>9891</v>
      </c>
      <c r="K71" s="36" t="s">
        <v>9892</v>
      </c>
      <c r="L71" s="36" t="s">
        <v>9893</v>
      </c>
      <c r="M71" s="36" t="s">
        <v>9894</v>
      </c>
      <c r="N71" s="36" t="s">
        <v>9895</v>
      </c>
      <c r="O71" s="36" t="s">
        <v>9896</v>
      </c>
      <c r="P71" s="36" t="s">
        <v>9897</v>
      </c>
      <c r="Q71" s="36" t="s">
        <v>9898</v>
      </c>
      <c r="R71" s="36" t="s">
        <v>9040</v>
      </c>
      <c r="S71" s="36" t="s">
        <v>9899</v>
      </c>
      <c r="T71" s="36">
        <v>3</v>
      </c>
      <c r="U71" s="36">
        <v>3</v>
      </c>
      <c r="V71" s="36">
        <v>2</v>
      </c>
      <c r="W71" s="36">
        <v>2</v>
      </c>
      <c r="X71" s="36">
        <v>1</v>
      </c>
      <c r="Y71" s="36">
        <v>1</v>
      </c>
      <c r="Z71" s="36" t="s">
        <v>2501</v>
      </c>
      <c r="AA71" s="36" t="s">
        <v>2534</v>
      </c>
      <c r="AB71" s="36" t="s">
        <v>2509</v>
      </c>
      <c r="AC71" s="36" t="s">
        <v>2510</v>
      </c>
      <c r="AD71" s="36" t="s">
        <v>6532</v>
      </c>
    </row>
    <row r="72" spans="1:30" ht="84">
      <c r="A72" s="36" t="s">
        <v>2542</v>
      </c>
      <c r="B72" s="36" t="s">
        <v>63</v>
      </c>
      <c r="C72" s="36" t="s">
        <v>1100</v>
      </c>
      <c r="D72" s="36" t="s">
        <v>186</v>
      </c>
      <c r="E72" s="36" t="s">
        <v>2543</v>
      </c>
      <c r="F72" s="36" t="s">
        <v>9900</v>
      </c>
      <c r="G72" s="36" t="s">
        <v>9901</v>
      </c>
      <c r="H72" s="36" t="s">
        <v>9902</v>
      </c>
      <c r="I72" s="36" t="s">
        <v>9903</v>
      </c>
      <c r="J72" s="36" t="s">
        <v>9904</v>
      </c>
      <c r="K72" s="36" t="s">
        <v>9905</v>
      </c>
      <c r="L72" s="36" t="s">
        <v>9906</v>
      </c>
      <c r="M72" s="36" t="s">
        <v>9907</v>
      </c>
      <c r="N72" s="36" t="s">
        <v>9908</v>
      </c>
      <c r="O72" s="36" t="s">
        <v>9909</v>
      </c>
      <c r="P72" s="36" t="s">
        <v>9910</v>
      </c>
      <c r="Q72" s="36" t="s">
        <v>9911</v>
      </c>
      <c r="R72" s="36" t="s">
        <v>9040</v>
      </c>
      <c r="S72" s="36" t="s">
        <v>9912</v>
      </c>
      <c r="T72" s="36">
        <v>3</v>
      </c>
      <c r="U72" s="36">
        <v>3</v>
      </c>
      <c r="V72" s="36">
        <v>2</v>
      </c>
      <c r="W72" s="36">
        <v>2</v>
      </c>
      <c r="X72" s="36">
        <v>1</v>
      </c>
      <c r="Y72" s="36">
        <v>1</v>
      </c>
      <c r="Z72" s="36" t="s">
        <v>2501</v>
      </c>
      <c r="AA72" s="36" t="s">
        <v>2544</v>
      </c>
      <c r="AB72" s="36" t="s">
        <v>2509</v>
      </c>
      <c r="AC72" s="36" t="s">
        <v>2510</v>
      </c>
      <c r="AD72" s="36" t="s">
        <v>6539</v>
      </c>
    </row>
    <row r="73" spans="1:30" ht="72">
      <c r="A73" s="36" t="s">
        <v>2552</v>
      </c>
      <c r="B73" s="36" t="s">
        <v>63</v>
      </c>
      <c r="C73" s="36" t="s">
        <v>1100</v>
      </c>
      <c r="D73" s="36" t="s">
        <v>186</v>
      </c>
      <c r="E73" s="36" t="s">
        <v>2553</v>
      </c>
      <c r="F73" s="36" t="s">
        <v>9913</v>
      </c>
      <c r="G73" s="36" t="s">
        <v>9914</v>
      </c>
      <c r="H73" s="36" t="s">
        <v>9915</v>
      </c>
      <c r="I73" s="36" t="s">
        <v>9916</v>
      </c>
      <c r="J73" s="36" t="s">
        <v>9917</v>
      </c>
      <c r="K73" s="36" t="s">
        <v>9918</v>
      </c>
      <c r="L73" s="36" t="s">
        <v>9919</v>
      </c>
      <c r="M73" s="36" t="s">
        <v>9920</v>
      </c>
      <c r="N73" s="36" t="s">
        <v>9921</v>
      </c>
      <c r="O73" s="36" t="s">
        <v>9922</v>
      </c>
      <c r="P73" s="36" t="s">
        <v>9923</v>
      </c>
      <c r="Q73" s="36" t="s">
        <v>9924</v>
      </c>
      <c r="R73" s="36" t="s">
        <v>9040</v>
      </c>
      <c r="S73" s="36" t="s">
        <v>9925</v>
      </c>
      <c r="T73" s="36">
        <v>3</v>
      </c>
      <c r="U73" s="36">
        <v>3</v>
      </c>
      <c r="V73" s="36">
        <v>2</v>
      </c>
      <c r="W73" s="36">
        <v>2</v>
      </c>
      <c r="X73" s="36">
        <v>1</v>
      </c>
      <c r="Y73" s="36">
        <v>1</v>
      </c>
      <c r="Z73" s="36" t="s">
        <v>2501</v>
      </c>
      <c r="AA73" s="36" t="s">
        <v>2554</v>
      </c>
      <c r="AB73" s="36" t="s">
        <v>2509</v>
      </c>
      <c r="AC73" s="36" t="s">
        <v>2510</v>
      </c>
      <c r="AD73" s="36" t="s">
        <v>6546</v>
      </c>
    </row>
    <row r="74" spans="1:30" ht="84">
      <c r="A74" s="36" t="s">
        <v>2562</v>
      </c>
      <c r="B74" s="36" t="s">
        <v>63</v>
      </c>
      <c r="C74" s="36" t="s">
        <v>1113</v>
      </c>
      <c r="D74" s="36" t="s">
        <v>186</v>
      </c>
      <c r="E74" s="36" t="s">
        <v>2563</v>
      </c>
      <c r="F74" s="36" t="s">
        <v>9926</v>
      </c>
      <c r="G74" s="36" t="s">
        <v>9927</v>
      </c>
      <c r="H74" s="36" t="s">
        <v>9928</v>
      </c>
      <c r="I74" s="36" t="s">
        <v>9929</v>
      </c>
      <c r="J74" s="36" t="s">
        <v>9930</v>
      </c>
      <c r="K74" s="36" t="s">
        <v>9931</v>
      </c>
      <c r="L74" s="36" t="s">
        <v>9932</v>
      </c>
      <c r="M74" s="36" t="s">
        <v>9933</v>
      </c>
      <c r="N74" s="36" t="s">
        <v>9934</v>
      </c>
      <c r="O74" s="36" t="s">
        <v>9935</v>
      </c>
      <c r="P74" s="36" t="s">
        <v>9936</v>
      </c>
      <c r="Q74" s="36" t="s">
        <v>9937</v>
      </c>
      <c r="R74" s="36" t="s">
        <v>9040</v>
      </c>
      <c r="S74" s="36" t="s">
        <v>9938</v>
      </c>
      <c r="T74" s="36">
        <v>3</v>
      </c>
      <c r="U74" s="36">
        <v>3</v>
      </c>
      <c r="V74" s="36">
        <v>2</v>
      </c>
      <c r="W74" s="36">
        <v>2</v>
      </c>
      <c r="X74" s="36">
        <v>1</v>
      </c>
      <c r="Y74" s="36">
        <v>1</v>
      </c>
      <c r="Z74" s="36" t="s">
        <v>2501</v>
      </c>
      <c r="AA74" s="36" t="s">
        <v>2564</v>
      </c>
      <c r="AB74" s="36" t="s">
        <v>2509</v>
      </c>
      <c r="AC74" s="36" t="s">
        <v>2510</v>
      </c>
      <c r="AD74" s="36" t="s">
        <v>6554</v>
      </c>
    </row>
    <row r="75" spans="1:30" ht="72">
      <c r="A75" s="36" t="s">
        <v>2572</v>
      </c>
      <c r="B75" s="36" t="s">
        <v>63</v>
      </c>
      <c r="C75" s="36" t="s">
        <v>1113</v>
      </c>
      <c r="D75" s="36" t="s">
        <v>186</v>
      </c>
      <c r="E75" s="36" t="s">
        <v>2573</v>
      </c>
      <c r="F75" s="36" t="s">
        <v>9939</v>
      </c>
      <c r="G75" s="36" t="s">
        <v>9940</v>
      </c>
      <c r="H75" s="36" t="s">
        <v>9941</v>
      </c>
      <c r="I75" s="36" t="s">
        <v>9942</v>
      </c>
      <c r="J75" s="36" t="s">
        <v>9943</v>
      </c>
      <c r="K75" s="36" t="s">
        <v>9944</v>
      </c>
      <c r="L75" s="36" t="s">
        <v>9945</v>
      </c>
      <c r="M75" s="36" t="s">
        <v>9946</v>
      </c>
      <c r="N75" s="36" t="s">
        <v>9947</v>
      </c>
      <c r="O75" s="36" t="s">
        <v>9948</v>
      </c>
      <c r="P75" s="36" t="s">
        <v>9949</v>
      </c>
      <c r="Q75" s="36" t="s">
        <v>9950</v>
      </c>
      <c r="R75" s="36" t="s">
        <v>9040</v>
      </c>
      <c r="S75" s="36" t="s">
        <v>9951</v>
      </c>
      <c r="T75" s="36">
        <v>3</v>
      </c>
      <c r="U75" s="36">
        <v>3</v>
      </c>
      <c r="V75" s="36">
        <v>2</v>
      </c>
      <c r="W75" s="36">
        <v>2</v>
      </c>
      <c r="X75" s="36">
        <v>1</v>
      </c>
      <c r="Y75" s="36">
        <v>1</v>
      </c>
      <c r="Z75" s="36" t="s">
        <v>2501</v>
      </c>
      <c r="AA75" s="36" t="s">
        <v>2574</v>
      </c>
      <c r="AB75" s="36" t="s">
        <v>2509</v>
      </c>
      <c r="AC75" s="36" t="s">
        <v>2510</v>
      </c>
      <c r="AD75" s="36" t="s">
        <v>6561</v>
      </c>
    </row>
    <row r="76" spans="1:30" ht="84">
      <c r="A76" s="36" t="s">
        <v>2582</v>
      </c>
      <c r="B76" s="36" t="s">
        <v>63</v>
      </c>
      <c r="C76" s="36" t="s">
        <v>1113</v>
      </c>
      <c r="D76" s="36" t="s">
        <v>186</v>
      </c>
      <c r="E76" s="36" t="s">
        <v>2583</v>
      </c>
      <c r="F76" s="36" t="s">
        <v>9952</v>
      </c>
      <c r="G76" s="36" t="s">
        <v>9953</v>
      </c>
      <c r="H76" s="36" t="s">
        <v>9954</v>
      </c>
      <c r="I76" s="36" t="s">
        <v>9955</v>
      </c>
      <c r="J76" s="36" t="s">
        <v>9956</v>
      </c>
      <c r="K76" s="36" t="s">
        <v>9957</v>
      </c>
      <c r="L76" s="36" t="s">
        <v>9958</v>
      </c>
      <c r="M76" s="36" t="s">
        <v>9959</v>
      </c>
      <c r="N76" s="36" t="s">
        <v>9960</v>
      </c>
      <c r="O76" s="36" t="s">
        <v>9961</v>
      </c>
      <c r="P76" s="36" t="s">
        <v>9962</v>
      </c>
      <c r="Q76" s="36" t="s">
        <v>9963</v>
      </c>
      <c r="R76" s="36" t="s">
        <v>9040</v>
      </c>
      <c r="S76" s="36" t="s">
        <v>9964</v>
      </c>
      <c r="T76" s="36">
        <v>3</v>
      </c>
      <c r="U76" s="36">
        <v>3</v>
      </c>
      <c r="V76" s="36">
        <v>2</v>
      </c>
      <c r="W76" s="36">
        <v>2</v>
      </c>
      <c r="X76" s="36">
        <v>1</v>
      </c>
      <c r="Y76" s="36">
        <v>1</v>
      </c>
      <c r="Z76" s="36" t="s">
        <v>2501</v>
      </c>
      <c r="AA76" s="36" t="s">
        <v>2584</v>
      </c>
      <c r="AB76" s="36" t="s">
        <v>2509</v>
      </c>
      <c r="AC76" s="36" t="s">
        <v>2510</v>
      </c>
      <c r="AD76" s="36" t="s">
        <v>6568</v>
      </c>
    </row>
    <row r="77" spans="1:30" ht="84">
      <c r="A77" s="36" t="s">
        <v>2592</v>
      </c>
      <c r="B77" s="36" t="s">
        <v>63</v>
      </c>
      <c r="C77" s="36" t="s">
        <v>1113</v>
      </c>
      <c r="D77" s="36" t="s">
        <v>186</v>
      </c>
      <c r="E77" s="36" t="s">
        <v>2593</v>
      </c>
      <c r="F77" s="36" t="s">
        <v>9965</v>
      </c>
      <c r="G77" s="36" t="s">
        <v>9966</v>
      </c>
      <c r="H77" s="36" t="s">
        <v>9967</v>
      </c>
      <c r="I77" s="36" t="s">
        <v>9968</v>
      </c>
      <c r="J77" s="36" t="s">
        <v>9969</v>
      </c>
      <c r="K77" s="36" t="s">
        <v>9970</v>
      </c>
      <c r="L77" s="36" t="s">
        <v>9971</v>
      </c>
      <c r="M77" s="36" t="s">
        <v>9972</v>
      </c>
      <c r="N77" s="36" t="s">
        <v>9973</v>
      </c>
      <c r="O77" s="36" t="s">
        <v>9974</v>
      </c>
      <c r="P77" s="36" t="s">
        <v>9975</v>
      </c>
      <c r="Q77" s="36" t="s">
        <v>9976</v>
      </c>
      <c r="R77" s="36" t="s">
        <v>9040</v>
      </c>
      <c r="S77" s="36" t="s">
        <v>9977</v>
      </c>
      <c r="T77" s="36">
        <v>3</v>
      </c>
      <c r="U77" s="36">
        <v>3</v>
      </c>
      <c r="V77" s="36">
        <v>2</v>
      </c>
      <c r="W77" s="36">
        <v>2</v>
      </c>
      <c r="X77" s="36">
        <v>1</v>
      </c>
      <c r="Y77" s="36">
        <v>1</v>
      </c>
      <c r="Z77" s="36" t="s">
        <v>2501</v>
      </c>
      <c r="AA77" s="36" t="s">
        <v>2594</v>
      </c>
      <c r="AB77" s="36" t="s">
        <v>2509</v>
      </c>
      <c r="AC77" s="36" t="s">
        <v>2510</v>
      </c>
      <c r="AD77" s="36" t="s">
        <v>6575</v>
      </c>
    </row>
    <row r="78" spans="1:30" ht="84">
      <c r="A78" s="36" t="s">
        <v>2602</v>
      </c>
      <c r="B78" s="36" t="s">
        <v>63</v>
      </c>
      <c r="C78" s="36" t="s">
        <v>1113</v>
      </c>
      <c r="D78" s="36" t="s">
        <v>186</v>
      </c>
      <c r="E78" s="36" t="s">
        <v>2603</v>
      </c>
      <c r="F78" s="36" t="s">
        <v>9978</v>
      </c>
      <c r="G78" s="36" t="s">
        <v>9979</v>
      </c>
      <c r="H78" s="36" t="s">
        <v>9980</v>
      </c>
      <c r="I78" s="36" t="s">
        <v>9981</v>
      </c>
      <c r="J78" s="36" t="s">
        <v>9982</v>
      </c>
      <c r="K78" s="36" t="s">
        <v>9983</v>
      </c>
      <c r="L78" s="36" t="s">
        <v>9984</v>
      </c>
      <c r="M78" s="36" t="s">
        <v>9985</v>
      </c>
      <c r="N78" s="36" t="s">
        <v>9986</v>
      </c>
      <c r="O78" s="36" t="s">
        <v>9987</v>
      </c>
      <c r="P78" s="36" t="s">
        <v>9988</v>
      </c>
      <c r="Q78" s="36" t="s">
        <v>9989</v>
      </c>
      <c r="R78" s="36" t="s">
        <v>9040</v>
      </c>
      <c r="S78" s="36" t="s">
        <v>9990</v>
      </c>
      <c r="T78" s="36">
        <v>3</v>
      </c>
      <c r="U78" s="36">
        <v>3</v>
      </c>
      <c r="V78" s="36">
        <v>2</v>
      </c>
      <c r="W78" s="36">
        <v>2</v>
      </c>
      <c r="X78" s="36">
        <v>1</v>
      </c>
      <c r="Y78" s="36">
        <v>1</v>
      </c>
      <c r="Z78" s="36" t="s">
        <v>2501</v>
      </c>
      <c r="AA78" s="36" t="s">
        <v>2604</v>
      </c>
      <c r="AB78" s="36" t="s">
        <v>2509</v>
      </c>
      <c r="AC78" s="36" t="s">
        <v>2510</v>
      </c>
      <c r="AD78" s="36" t="s">
        <v>6582</v>
      </c>
    </row>
    <row r="79" spans="1:30" ht="84">
      <c r="A79" s="36" t="s">
        <v>2612</v>
      </c>
      <c r="B79" s="36" t="s">
        <v>63</v>
      </c>
      <c r="C79" s="36" t="s">
        <v>1113</v>
      </c>
      <c r="D79" s="36" t="s">
        <v>186</v>
      </c>
      <c r="E79" s="36" t="s">
        <v>2613</v>
      </c>
      <c r="F79" s="36" t="s">
        <v>9991</v>
      </c>
      <c r="G79" s="36" t="s">
        <v>9992</v>
      </c>
      <c r="H79" s="36" t="s">
        <v>9993</v>
      </c>
      <c r="I79" s="36" t="s">
        <v>9994</v>
      </c>
      <c r="J79" s="36" t="s">
        <v>9995</v>
      </c>
      <c r="K79" s="36" t="s">
        <v>9996</v>
      </c>
      <c r="L79" s="36" t="s">
        <v>9997</v>
      </c>
      <c r="M79" s="36" t="s">
        <v>9998</v>
      </c>
      <c r="N79" s="36" t="s">
        <v>9999</v>
      </c>
      <c r="O79" s="36" t="s">
        <v>10000</v>
      </c>
      <c r="P79" s="36" t="s">
        <v>10001</v>
      </c>
      <c r="Q79" s="36" t="s">
        <v>10002</v>
      </c>
      <c r="R79" s="36" t="s">
        <v>9040</v>
      </c>
      <c r="S79" s="36" t="s">
        <v>10003</v>
      </c>
      <c r="T79" s="36">
        <v>3</v>
      </c>
      <c r="U79" s="36">
        <v>3</v>
      </c>
      <c r="V79" s="36">
        <v>2</v>
      </c>
      <c r="W79" s="36">
        <v>2</v>
      </c>
      <c r="X79" s="36">
        <v>1</v>
      </c>
      <c r="Y79" s="36">
        <v>1</v>
      </c>
      <c r="Z79" s="36" t="s">
        <v>2501</v>
      </c>
      <c r="AA79" s="36" t="s">
        <v>2614</v>
      </c>
      <c r="AB79" s="36" t="s">
        <v>2509</v>
      </c>
      <c r="AC79" s="36" t="s">
        <v>2510</v>
      </c>
      <c r="AD79" s="36" t="s">
        <v>6589</v>
      </c>
    </row>
    <row r="80" spans="1:30" ht="84">
      <c r="A80" s="36" t="s">
        <v>2622</v>
      </c>
      <c r="B80" s="36" t="s">
        <v>63</v>
      </c>
      <c r="C80" s="36" t="s">
        <v>1121</v>
      </c>
      <c r="D80" s="36" t="s">
        <v>186</v>
      </c>
      <c r="E80" s="36" t="s">
        <v>2623</v>
      </c>
      <c r="F80" s="36" t="s">
        <v>10004</v>
      </c>
      <c r="G80" s="36" t="s">
        <v>10005</v>
      </c>
      <c r="H80" s="36" t="s">
        <v>10006</v>
      </c>
      <c r="I80" s="36" t="s">
        <v>10007</v>
      </c>
      <c r="J80" s="36" t="s">
        <v>10008</v>
      </c>
      <c r="K80" s="36" t="s">
        <v>10009</v>
      </c>
      <c r="L80" s="36" t="s">
        <v>10010</v>
      </c>
      <c r="M80" s="36" t="s">
        <v>10011</v>
      </c>
      <c r="N80" s="36" t="s">
        <v>10012</v>
      </c>
      <c r="O80" s="36" t="s">
        <v>10013</v>
      </c>
      <c r="P80" s="36" t="s">
        <v>10014</v>
      </c>
      <c r="Q80" s="36" t="s">
        <v>10015</v>
      </c>
      <c r="R80" s="36" t="s">
        <v>9040</v>
      </c>
      <c r="S80" s="36" t="s">
        <v>10016</v>
      </c>
      <c r="T80" s="36">
        <v>3</v>
      </c>
      <c r="U80" s="36">
        <v>3</v>
      </c>
      <c r="V80" s="36">
        <v>2</v>
      </c>
      <c r="W80" s="36">
        <v>2</v>
      </c>
      <c r="X80" s="36">
        <v>1</v>
      </c>
      <c r="Y80" s="36">
        <v>1</v>
      </c>
      <c r="Z80" s="36" t="s">
        <v>2501</v>
      </c>
      <c r="AA80" s="36" t="s">
        <v>2624</v>
      </c>
      <c r="AB80" s="36" t="s">
        <v>2509</v>
      </c>
      <c r="AC80" s="36" t="s">
        <v>2510</v>
      </c>
      <c r="AD80" s="36" t="s">
        <v>6597</v>
      </c>
    </row>
    <row r="81" spans="1:30" ht="84">
      <c r="A81" s="36" t="s">
        <v>2632</v>
      </c>
      <c r="B81" s="36" t="s">
        <v>63</v>
      </c>
      <c r="C81" s="36" t="s">
        <v>1121</v>
      </c>
      <c r="D81" s="36" t="s">
        <v>186</v>
      </c>
      <c r="E81" s="36" t="s">
        <v>2633</v>
      </c>
      <c r="F81" s="36" t="s">
        <v>10017</v>
      </c>
      <c r="G81" s="36" t="s">
        <v>10018</v>
      </c>
      <c r="H81" s="36" t="s">
        <v>10019</v>
      </c>
      <c r="I81" s="36" t="s">
        <v>10020</v>
      </c>
      <c r="J81" s="36" t="s">
        <v>10021</v>
      </c>
      <c r="K81" s="36" t="s">
        <v>10022</v>
      </c>
      <c r="L81" s="36" t="s">
        <v>10023</v>
      </c>
      <c r="M81" s="36" t="s">
        <v>10024</v>
      </c>
      <c r="N81" s="36" t="s">
        <v>10025</v>
      </c>
      <c r="O81" s="36" t="s">
        <v>10026</v>
      </c>
      <c r="P81" s="36" t="s">
        <v>10027</v>
      </c>
      <c r="Q81" s="36" t="s">
        <v>10028</v>
      </c>
      <c r="R81" s="36" t="s">
        <v>9040</v>
      </c>
      <c r="S81" s="36" t="s">
        <v>10029</v>
      </c>
      <c r="T81" s="36">
        <v>3</v>
      </c>
      <c r="U81" s="36">
        <v>3</v>
      </c>
      <c r="V81" s="36">
        <v>2</v>
      </c>
      <c r="W81" s="36">
        <v>2</v>
      </c>
      <c r="X81" s="36">
        <v>1</v>
      </c>
      <c r="Y81" s="36">
        <v>1</v>
      </c>
      <c r="Z81" s="36" t="s">
        <v>2501</v>
      </c>
      <c r="AA81" s="36" t="s">
        <v>2634</v>
      </c>
      <c r="AB81" s="36" t="s">
        <v>2509</v>
      </c>
      <c r="AC81" s="36" t="s">
        <v>2510</v>
      </c>
      <c r="AD81" s="36" t="s">
        <v>6604</v>
      </c>
    </row>
    <row r="82" spans="1:30" ht="72">
      <c r="A82" s="36" t="s">
        <v>2642</v>
      </c>
      <c r="B82" s="36" t="s">
        <v>63</v>
      </c>
      <c r="C82" s="36" t="s">
        <v>1121</v>
      </c>
      <c r="D82" s="36" t="s">
        <v>186</v>
      </c>
      <c r="E82" s="36" t="s">
        <v>2643</v>
      </c>
      <c r="F82" s="36" t="s">
        <v>10030</v>
      </c>
      <c r="G82" s="36" t="s">
        <v>10031</v>
      </c>
      <c r="H82" s="36" t="s">
        <v>10032</v>
      </c>
      <c r="I82" s="36" t="s">
        <v>10033</v>
      </c>
      <c r="J82" s="36" t="s">
        <v>10034</v>
      </c>
      <c r="K82" s="36" t="s">
        <v>10035</v>
      </c>
      <c r="L82" s="36" t="s">
        <v>10036</v>
      </c>
      <c r="M82" s="36" t="s">
        <v>10037</v>
      </c>
      <c r="N82" s="36" t="s">
        <v>10038</v>
      </c>
      <c r="O82" s="36" t="s">
        <v>10039</v>
      </c>
      <c r="P82" s="36" t="s">
        <v>10040</v>
      </c>
      <c r="Q82" s="36" t="s">
        <v>10041</v>
      </c>
      <c r="R82" s="36" t="s">
        <v>9040</v>
      </c>
      <c r="S82" s="36" t="s">
        <v>10042</v>
      </c>
      <c r="T82" s="36">
        <v>3</v>
      </c>
      <c r="U82" s="36">
        <v>3</v>
      </c>
      <c r="V82" s="36">
        <v>2</v>
      </c>
      <c r="W82" s="36">
        <v>2</v>
      </c>
      <c r="X82" s="36">
        <v>1</v>
      </c>
      <c r="Y82" s="36">
        <v>1</v>
      </c>
      <c r="Z82" s="36" t="s">
        <v>2501</v>
      </c>
      <c r="AA82" s="36" t="s">
        <v>2644</v>
      </c>
      <c r="AB82" s="36" t="s">
        <v>2509</v>
      </c>
      <c r="AC82" s="36" t="s">
        <v>2510</v>
      </c>
      <c r="AD82" s="36" t="s">
        <v>6611</v>
      </c>
    </row>
    <row r="83" spans="1:30" ht="72">
      <c r="A83" s="36" t="s">
        <v>2652</v>
      </c>
      <c r="B83" s="36" t="s">
        <v>63</v>
      </c>
      <c r="C83" s="36" t="s">
        <v>1121</v>
      </c>
      <c r="D83" s="36" t="s">
        <v>186</v>
      </c>
      <c r="E83" s="36" t="s">
        <v>2653</v>
      </c>
      <c r="F83" s="36" t="s">
        <v>10043</v>
      </c>
      <c r="G83" s="36" t="s">
        <v>10044</v>
      </c>
      <c r="H83" s="36" t="s">
        <v>10045</v>
      </c>
      <c r="I83" s="36" t="s">
        <v>10046</v>
      </c>
      <c r="J83" s="36" t="s">
        <v>10047</v>
      </c>
      <c r="K83" s="36" t="s">
        <v>10048</v>
      </c>
      <c r="L83" s="36" t="s">
        <v>10049</v>
      </c>
      <c r="M83" s="36" t="s">
        <v>10050</v>
      </c>
      <c r="N83" s="36" t="s">
        <v>10051</v>
      </c>
      <c r="O83" s="36" t="s">
        <v>10052</v>
      </c>
      <c r="P83" s="36" t="s">
        <v>10053</v>
      </c>
      <c r="Q83" s="36" t="s">
        <v>10054</v>
      </c>
      <c r="R83" s="36" t="s">
        <v>9040</v>
      </c>
      <c r="S83" s="36" t="s">
        <v>10055</v>
      </c>
      <c r="T83" s="36">
        <v>3</v>
      </c>
      <c r="U83" s="36">
        <v>3</v>
      </c>
      <c r="V83" s="36">
        <v>2</v>
      </c>
      <c r="W83" s="36">
        <v>2</v>
      </c>
      <c r="X83" s="36">
        <v>1</v>
      </c>
      <c r="Y83" s="36">
        <v>1</v>
      </c>
      <c r="Z83" s="36" t="s">
        <v>2501</v>
      </c>
      <c r="AA83" s="36" t="s">
        <v>2654</v>
      </c>
      <c r="AB83" s="36" t="s">
        <v>2509</v>
      </c>
      <c r="AC83" s="36" t="s">
        <v>2510</v>
      </c>
      <c r="AD83" s="36" t="s">
        <v>6618</v>
      </c>
    </row>
    <row r="84" spans="1:30" ht="84">
      <c r="A84" s="36" t="s">
        <v>2662</v>
      </c>
      <c r="B84" s="36" t="s">
        <v>63</v>
      </c>
      <c r="C84" s="36" t="s">
        <v>1121</v>
      </c>
      <c r="D84" s="36" t="s">
        <v>186</v>
      </c>
      <c r="E84" s="36" t="s">
        <v>2663</v>
      </c>
      <c r="F84" s="36" t="s">
        <v>10056</v>
      </c>
      <c r="G84" s="36" t="s">
        <v>10057</v>
      </c>
      <c r="H84" s="36" t="s">
        <v>10058</v>
      </c>
      <c r="I84" s="36" t="s">
        <v>10059</v>
      </c>
      <c r="J84" s="36" t="s">
        <v>10060</v>
      </c>
      <c r="K84" s="36" t="s">
        <v>10061</v>
      </c>
      <c r="L84" s="36" t="s">
        <v>10062</v>
      </c>
      <c r="M84" s="36" t="s">
        <v>10063</v>
      </c>
      <c r="N84" s="36" t="s">
        <v>10064</v>
      </c>
      <c r="O84" s="36" t="s">
        <v>10065</v>
      </c>
      <c r="P84" s="36" t="s">
        <v>10066</v>
      </c>
      <c r="Q84" s="36" t="s">
        <v>10067</v>
      </c>
      <c r="R84" s="36" t="s">
        <v>9040</v>
      </c>
      <c r="S84" s="36" t="s">
        <v>10068</v>
      </c>
      <c r="T84" s="36">
        <v>3</v>
      </c>
      <c r="U84" s="36">
        <v>3</v>
      </c>
      <c r="V84" s="36">
        <v>2</v>
      </c>
      <c r="W84" s="36">
        <v>2</v>
      </c>
      <c r="X84" s="36">
        <v>1</v>
      </c>
      <c r="Y84" s="36">
        <v>1</v>
      </c>
      <c r="Z84" s="36" t="s">
        <v>2501</v>
      </c>
      <c r="AA84" s="36" t="s">
        <v>2664</v>
      </c>
      <c r="AB84" s="36" t="s">
        <v>2509</v>
      </c>
      <c r="AC84" s="36" t="s">
        <v>2510</v>
      </c>
      <c r="AD84" s="36" t="s">
        <v>6625</v>
      </c>
    </row>
    <row r="85" spans="1:30" ht="84">
      <c r="A85" s="36" t="s">
        <v>2672</v>
      </c>
      <c r="B85" s="36" t="s">
        <v>63</v>
      </c>
      <c r="C85" s="36" t="s">
        <v>1121</v>
      </c>
      <c r="D85" s="36" t="s">
        <v>186</v>
      </c>
      <c r="E85" s="36" t="s">
        <v>2673</v>
      </c>
      <c r="F85" s="36" t="s">
        <v>10069</v>
      </c>
      <c r="G85" s="36" t="s">
        <v>10070</v>
      </c>
      <c r="H85" s="36" t="s">
        <v>10071</v>
      </c>
      <c r="I85" s="36" t="s">
        <v>10072</v>
      </c>
      <c r="J85" s="36" t="s">
        <v>10073</v>
      </c>
      <c r="K85" s="36" t="s">
        <v>10074</v>
      </c>
      <c r="L85" s="36" t="s">
        <v>10075</v>
      </c>
      <c r="M85" s="36" t="s">
        <v>10076</v>
      </c>
      <c r="N85" s="36" t="s">
        <v>10077</v>
      </c>
      <c r="O85" s="36" t="s">
        <v>10078</v>
      </c>
      <c r="P85" s="36" t="s">
        <v>10079</v>
      </c>
      <c r="Q85" s="36" t="s">
        <v>10080</v>
      </c>
      <c r="R85" s="36" t="s">
        <v>9040</v>
      </c>
      <c r="S85" s="36" t="s">
        <v>10081</v>
      </c>
      <c r="T85" s="36">
        <v>3</v>
      </c>
      <c r="U85" s="36">
        <v>3</v>
      </c>
      <c r="V85" s="36">
        <v>2</v>
      </c>
      <c r="W85" s="36">
        <v>2</v>
      </c>
      <c r="X85" s="36">
        <v>1</v>
      </c>
      <c r="Y85" s="36">
        <v>1</v>
      </c>
      <c r="Z85" s="36" t="s">
        <v>2501</v>
      </c>
      <c r="AA85" s="36" t="s">
        <v>2674</v>
      </c>
      <c r="AB85" s="36" t="s">
        <v>2509</v>
      </c>
      <c r="AC85" s="36" t="s">
        <v>2510</v>
      </c>
      <c r="AD85" s="36" t="s">
        <v>6632</v>
      </c>
    </row>
    <row r="86" spans="1:30" ht="84">
      <c r="A86" s="36" t="s">
        <v>2682</v>
      </c>
      <c r="B86" s="36" t="s">
        <v>63</v>
      </c>
      <c r="C86" s="36" t="s">
        <v>1121</v>
      </c>
      <c r="D86" s="36" t="s">
        <v>186</v>
      </c>
      <c r="E86" s="36" t="s">
        <v>2683</v>
      </c>
      <c r="F86" s="36" t="s">
        <v>10082</v>
      </c>
      <c r="G86" s="36" t="s">
        <v>10083</v>
      </c>
      <c r="H86" s="36" t="s">
        <v>10084</v>
      </c>
      <c r="I86" s="36" t="s">
        <v>10085</v>
      </c>
      <c r="J86" s="36" t="s">
        <v>10086</v>
      </c>
      <c r="K86" s="36" t="s">
        <v>10087</v>
      </c>
      <c r="L86" s="36" t="s">
        <v>10088</v>
      </c>
      <c r="M86" s="36" t="s">
        <v>10089</v>
      </c>
      <c r="N86" s="36" t="s">
        <v>10090</v>
      </c>
      <c r="O86" s="36" t="s">
        <v>10091</v>
      </c>
      <c r="P86" s="36" t="s">
        <v>10092</v>
      </c>
      <c r="Q86" s="36" t="s">
        <v>10093</v>
      </c>
      <c r="R86" s="36" t="s">
        <v>9040</v>
      </c>
      <c r="S86" s="36" t="s">
        <v>10094</v>
      </c>
      <c r="T86" s="36">
        <v>3</v>
      </c>
      <c r="U86" s="36">
        <v>3</v>
      </c>
      <c r="V86" s="36">
        <v>2</v>
      </c>
      <c r="W86" s="36">
        <v>2</v>
      </c>
      <c r="X86" s="36">
        <v>1</v>
      </c>
      <c r="Y86" s="36">
        <v>1</v>
      </c>
      <c r="Z86" s="36" t="s">
        <v>2501</v>
      </c>
      <c r="AA86" s="36" t="s">
        <v>2684</v>
      </c>
      <c r="AB86" s="36" t="s">
        <v>2509</v>
      </c>
      <c r="AC86" s="36" t="s">
        <v>2510</v>
      </c>
      <c r="AD86" s="36" t="s">
        <v>6639</v>
      </c>
    </row>
    <row r="87" spans="1:30" ht="84">
      <c r="A87" s="36" t="s">
        <v>2692</v>
      </c>
      <c r="B87" s="36" t="s">
        <v>63</v>
      </c>
      <c r="C87" s="36" t="s">
        <v>1129</v>
      </c>
      <c r="D87" s="36" t="s">
        <v>186</v>
      </c>
      <c r="E87" s="36" t="s">
        <v>2693</v>
      </c>
      <c r="F87" s="36" t="s">
        <v>10095</v>
      </c>
      <c r="G87" s="36" t="s">
        <v>10096</v>
      </c>
      <c r="H87" s="36" t="s">
        <v>10097</v>
      </c>
      <c r="I87" s="36" t="s">
        <v>10098</v>
      </c>
      <c r="J87" s="36" t="s">
        <v>10099</v>
      </c>
      <c r="K87" s="36" t="s">
        <v>10100</v>
      </c>
      <c r="L87" s="36" t="s">
        <v>10101</v>
      </c>
      <c r="M87" s="36" t="s">
        <v>10102</v>
      </c>
      <c r="N87" s="36" t="s">
        <v>10103</v>
      </c>
      <c r="O87" s="36" t="s">
        <v>10104</v>
      </c>
      <c r="P87" s="36" t="s">
        <v>10105</v>
      </c>
      <c r="Q87" s="36" t="s">
        <v>10106</v>
      </c>
      <c r="R87" s="36" t="s">
        <v>9040</v>
      </c>
      <c r="S87" s="36" t="s">
        <v>10107</v>
      </c>
      <c r="T87" s="36">
        <v>3</v>
      </c>
      <c r="U87" s="36">
        <v>3</v>
      </c>
      <c r="V87" s="36">
        <v>2</v>
      </c>
      <c r="W87" s="36">
        <v>2</v>
      </c>
      <c r="X87" s="36">
        <v>1</v>
      </c>
      <c r="Y87" s="36">
        <v>1</v>
      </c>
      <c r="Z87" s="36" t="s">
        <v>2501</v>
      </c>
      <c r="AA87" s="36" t="s">
        <v>2694</v>
      </c>
      <c r="AB87" s="36" t="s">
        <v>2509</v>
      </c>
      <c r="AC87" s="36" t="s">
        <v>2510</v>
      </c>
      <c r="AD87" s="36" t="s">
        <v>6647</v>
      </c>
    </row>
    <row r="88" spans="1:30" ht="84">
      <c r="A88" s="36" t="s">
        <v>2702</v>
      </c>
      <c r="B88" s="36" t="s">
        <v>63</v>
      </c>
      <c r="C88" s="36" t="s">
        <v>1129</v>
      </c>
      <c r="D88" s="36" t="s">
        <v>186</v>
      </c>
      <c r="E88" s="36" t="s">
        <v>2703</v>
      </c>
      <c r="F88" s="36" t="s">
        <v>10108</v>
      </c>
      <c r="G88" s="36" t="s">
        <v>10109</v>
      </c>
      <c r="H88" s="36" t="s">
        <v>10110</v>
      </c>
      <c r="I88" s="36" t="s">
        <v>10111</v>
      </c>
      <c r="J88" s="36" t="s">
        <v>10112</v>
      </c>
      <c r="K88" s="36" t="s">
        <v>10113</v>
      </c>
      <c r="L88" s="36" t="s">
        <v>10114</v>
      </c>
      <c r="M88" s="36" t="s">
        <v>10115</v>
      </c>
      <c r="N88" s="36" t="s">
        <v>10116</v>
      </c>
      <c r="O88" s="36" t="s">
        <v>10117</v>
      </c>
      <c r="P88" s="36" t="s">
        <v>10118</v>
      </c>
      <c r="Q88" s="36" t="s">
        <v>10119</v>
      </c>
      <c r="R88" s="36" t="s">
        <v>9040</v>
      </c>
      <c r="S88" s="36" t="s">
        <v>10120</v>
      </c>
      <c r="T88" s="36">
        <v>3</v>
      </c>
      <c r="U88" s="36">
        <v>3</v>
      </c>
      <c r="V88" s="36">
        <v>2</v>
      </c>
      <c r="W88" s="36">
        <v>2</v>
      </c>
      <c r="X88" s="36">
        <v>1</v>
      </c>
      <c r="Y88" s="36">
        <v>1</v>
      </c>
      <c r="Z88" s="36" t="s">
        <v>2501</v>
      </c>
      <c r="AA88" s="36" t="s">
        <v>2704</v>
      </c>
      <c r="AB88" s="36" t="s">
        <v>2509</v>
      </c>
      <c r="AC88" s="36" t="s">
        <v>2510</v>
      </c>
      <c r="AD88" s="36" t="s">
        <v>6654</v>
      </c>
    </row>
    <row r="89" spans="1:30" ht="84">
      <c r="A89" s="36" t="s">
        <v>2712</v>
      </c>
      <c r="B89" s="36" t="s">
        <v>63</v>
      </c>
      <c r="C89" s="36" t="s">
        <v>1129</v>
      </c>
      <c r="D89" s="36" t="s">
        <v>186</v>
      </c>
      <c r="E89" s="36" t="s">
        <v>2713</v>
      </c>
      <c r="F89" s="36" t="s">
        <v>10121</v>
      </c>
      <c r="G89" s="36" t="s">
        <v>10122</v>
      </c>
      <c r="H89" s="36" t="s">
        <v>10123</v>
      </c>
      <c r="I89" s="36" t="s">
        <v>10124</v>
      </c>
      <c r="J89" s="36" t="s">
        <v>10125</v>
      </c>
      <c r="K89" s="36" t="s">
        <v>10126</v>
      </c>
      <c r="L89" s="36" t="s">
        <v>10127</v>
      </c>
      <c r="M89" s="36" t="s">
        <v>10128</v>
      </c>
      <c r="N89" s="36" t="s">
        <v>10129</v>
      </c>
      <c r="O89" s="36" t="s">
        <v>10130</v>
      </c>
      <c r="P89" s="36" t="s">
        <v>10131</v>
      </c>
      <c r="Q89" s="36" t="s">
        <v>10132</v>
      </c>
      <c r="R89" s="36" t="s">
        <v>9040</v>
      </c>
      <c r="S89" s="36" t="s">
        <v>10133</v>
      </c>
      <c r="T89" s="36">
        <v>3</v>
      </c>
      <c r="U89" s="36">
        <v>3</v>
      </c>
      <c r="V89" s="36">
        <v>2</v>
      </c>
      <c r="W89" s="36">
        <v>2</v>
      </c>
      <c r="X89" s="36">
        <v>1</v>
      </c>
      <c r="Y89" s="36">
        <v>1</v>
      </c>
      <c r="Z89" s="36" t="s">
        <v>2501</v>
      </c>
      <c r="AA89" s="36" t="s">
        <v>2714</v>
      </c>
      <c r="AB89" s="36" t="s">
        <v>2509</v>
      </c>
      <c r="AC89" s="36" t="s">
        <v>2510</v>
      </c>
      <c r="AD89" s="36" t="s">
        <v>6661</v>
      </c>
    </row>
    <row r="90" spans="1:30" ht="84">
      <c r="A90" s="36" t="s">
        <v>2722</v>
      </c>
      <c r="B90" s="36" t="s">
        <v>63</v>
      </c>
      <c r="C90" s="36" t="s">
        <v>1129</v>
      </c>
      <c r="D90" s="36" t="s">
        <v>186</v>
      </c>
      <c r="E90" s="36" t="s">
        <v>2723</v>
      </c>
      <c r="F90" s="36" t="s">
        <v>10134</v>
      </c>
      <c r="G90" s="36" t="s">
        <v>10135</v>
      </c>
      <c r="H90" s="36" t="s">
        <v>10136</v>
      </c>
      <c r="I90" s="36" t="s">
        <v>10137</v>
      </c>
      <c r="J90" s="36" t="s">
        <v>10138</v>
      </c>
      <c r="K90" s="36" t="s">
        <v>10139</v>
      </c>
      <c r="L90" s="36" t="s">
        <v>10140</v>
      </c>
      <c r="M90" s="36" t="s">
        <v>10141</v>
      </c>
      <c r="N90" s="36" t="s">
        <v>10142</v>
      </c>
      <c r="O90" s="36" t="s">
        <v>10143</v>
      </c>
      <c r="P90" s="36" t="s">
        <v>10144</v>
      </c>
      <c r="Q90" s="36" t="s">
        <v>10145</v>
      </c>
      <c r="R90" s="36" t="s">
        <v>9040</v>
      </c>
      <c r="S90" s="36" t="s">
        <v>10146</v>
      </c>
      <c r="T90" s="36">
        <v>3</v>
      </c>
      <c r="U90" s="36">
        <v>3</v>
      </c>
      <c r="V90" s="36">
        <v>2</v>
      </c>
      <c r="W90" s="36">
        <v>2</v>
      </c>
      <c r="X90" s="36">
        <v>1</v>
      </c>
      <c r="Y90" s="36">
        <v>1</v>
      </c>
      <c r="Z90" s="36" t="s">
        <v>2501</v>
      </c>
      <c r="AA90" s="36" t="s">
        <v>2724</v>
      </c>
      <c r="AB90" s="36" t="s">
        <v>2509</v>
      </c>
      <c r="AC90" s="36" t="s">
        <v>2510</v>
      </c>
      <c r="AD90" s="36" t="s">
        <v>6668</v>
      </c>
    </row>
    <row r="91" spans="1:30" ht="84">
      <c r="A91" s="36" t="s">
        <v>2732</v>
      </c>
      <c r="B91" s="36" t="s">
        <v>63</v>
      </c>
      <c r="C91" s="36" t="s">
        <v>1129</v>
      </c>
      <c r="D91" s="36" t="s">
        <v>186</v>
      </c>
      <c r="E91" s="36" t="s">
        <v>2733</v>
      </c>
      <c r="F91" s="36" t="s">
        <v>10147</v>
      </c>
      <c r="G91" s="36" t="s">
        <v>10148</v>
      </c>
      <c r="H91" s="36" t="s">
        <v>10149</v>
      </c>
      <c r="I91" s="36" t="s">
        <v>10150</v>
      </c>
      <c r="J91" s="36" t="s">
        <v>10151</v>
      </c>
      <c r="K91" s="36" t="s">
        <v>10152</v>
      </c>
      <c r="L91" s="36" t="s">
        <v>10153</v>
      </c>
      <c r="M91" s="36" t="s">
        <v>10154</v>
      </c>
      <c r="N91" s="36" t="s">
        <v>10155</v>
      </c>
      <c r="O91" s="36" t="s">
        <v>10156</v>
      </c>
      <c r="P91" s="36" t="s">
        <v>10157</v>
      </c>
      <c r="Q91" s="36" t="s">
        <v>10158</v>
      </c>
      <c r="R91" s="36" t="s">
        <v>9040</v>
      </c>
      <c r="S91" s="36" t="s">
        <v>10159</v>
      </c>
      <c r="T91" s="36">
        <v>3</v>
      </c>
      <c r="U91" s="36">
        <v>3</v>
      </c>
      <c r="V91" s="36">
        <v>2</v>
      </c>
      <c r="W91" s="36">
        <v>2</v>
      </c>
      <c r="X91" s="36">
        <v>1</v>
      </c>
      <c r="Y91" s="36">
        <v>1</v>
      </c>
      <c r="Z91" s="36" t="s">
        <v>2501</v>
      </c>
      <c r="AA91" s="36" t="s">
        <v>2734</v>
      </c>
      <c r="AB91" s="36" t="s">
        <v>2509</v>
      </c>
      <c r="AC91" s="36" t="s">
        <v>2510</v>
      </c>
      <c r="AD91" s="36" t="s">
        <v>6675</v>
      </c>
    </row>
    <row r="92" spans="1:30" ht="72">
      <c r="A92" s="36" t="s">
        <v>2744</v>
      </c>
      <c r="B92" s="36" t="s">
        <v>66</v>
      </c>
      <c r="C92" s="36" t="s">
        <v>1137</v>
      </c>
      <c r="D92" s="36" t="s">
        <v>187</v>
      </c>
      <c r="E92" s="36" t="s">
        <v>2745</v>
      </c>
      <c r="F92" s="36" t="s">
        <v>10160</v>
      </c>
      <c r="G92" s="36" t="s">
        <v>10161</v>
      </c>
      <c r="H92" s="36" t="s">
        <v>10162</v>
      </c>
      <c r="I92" s="36" t="s">
        <v>10163</v>
      </c>
      <c r="J92" s="36" t="s">
        <v>10164</v>
      </c>
      <c r="K92" s="36" t="s">
        <v>10165</v>
      </c>
      <c r="L92" s="36" t="s">
        <v>10166</v>
      </c>
      <c r="M92" s="36" t="s">
        <v>10167</v>
      </c>
      <c r="N92" s="36" t="s">
        <v>10168</v>
      </c>
      <c r="O92" s="36" t="s">
        <v>10169</v>
      </c>
      <c r="P92" s="36" t="s">
        <v>10170</v>
      </c>
      <c r="Q92" s="36" t="s">
        <v>10171</v>
      </c>
      <c r="R92" s="36" t="s">
        <v>9040</v>
      </c>
      <c r="S92" s="36" t="s">
        <v>10172</v>
      </c>
      <c r="T92" s="36">
        <v>3</v>
      </c>
      <c r="U92" s="36">
        <v>3</v>
      </c>
      <c r="V92" s="36">
        <v>2</v>
      </c>
      <c r="W92" s="36">
        <v>2</v>
      </c>
      <c r="X92" s="36">
        <v>1</v>
      </c>
      <c r="Y92" s="36">
        <v>1</v>
      </c>
      <c r="Z92" s="36" t="s">
        <v>2747</v>
      </c>
      <c r="AA92" s="36" t="s">
        <v>2748</v>
      </c>
      <c r="AB92" s="36" t="s">
        <v>2755</v>
      </c>
      <c r="AC92" s="36" t="s">
        <v>2756</v>
      </c>
      <c r="AD92" s="36" t="s">
        <v>6683</v>
      </c>
    </row>
    <row r="93" spans="1:30" ht="72">
      <c r="A93" s="36" t="s">
        <v>2758</v>
      </c>
      <c r="B93" s="36" t="s">
        <v>66</v>
      </c>
      <c r="C93" s="36" t="s">
        <v>1137</v>
      </c>
      <c r="D93" s="36" t="s">
        <v>187</v>
      </c>
      <c r="E93" s="36" t="s">
        <v>2759</v>
      </c>
      <c r="F93" s="36" t="s">
        <v>10173</v>
      </c>
      <c r="G93" s="36" t="s">
        <v>10174</v>
      </c>
      <c r="H93" s="36" t="s">
        <v>10175</v>
      </c>
      <c r="I93" s="36" t="s">
        <v>10176</v>
      </c>
      <c r="J93" s="36" t="s">
        <v>10177</v>
      </c>
      <c r="K93" s="36" t="s">
        <v>10178</v>
      </c>
      <c r="L93" s="36" t="s">
        <v>10179</v>
      </c>
      <c r="M93" s="36" t="s">
        <v>10180</v>
      </c>
      <c r="N93" s="36" t="s">
        <v>10181</v>
      </c>
      <c r="O93" s="36" t="s">
        <v>10182</v>
      </c>
      <c r="P93" s="36" t="s">
        <v>10183</v>
      </c>
      <c r="Q93" s="36" t="s">
        <v>10184</v>
      </c>
      <c r="R93" s="36" t="s">
        <v>9040</v>
      </c>
      <c r="S93" s="36" t="s">
        <v>10185</v>
      </c>
      <c r="T93" s="36">
        <v>3</v>
      </c>
      <c r="U93" s="36">
        <v>3</v>
      </c>
      <c r="V93" s="36">
        <v>2</v>
      </c>
      <c r="W93" s="36">
        <v>2</v>
      </c>
      <c r="X93" s="36">
        <v>1</v>
      </c>
      <c r="Y93" s="36">
        <v>1</v>
      </c>
      <c r="Z93" s="36" t="s">
        <v>2747</v>
      </c>
      <c r="AA93" s="36" t="s">
        <v>2760</v>
      </c>
      <c r="AB93" s="36" t="s">
        <v>2755</v>
      </c>
      <c r="AC93" s="36" t="s">
        <v>2756</v>
      </c>
      <c r="AD93" s="36" t="s">
        <v>6690</v>
      </c>
    </row>
    <row r="94" spans="1:30" ht="72">
      <c r="A94" s="36" t="s">
        <v>2768</v>
      </c>
      <c r="B94" s="36" t="s">
        <v>66</v>
      </c>
      <c r="C94" s="36" t="s">
        <v>1137</v>
      </c>
      <c r="D94" s="36" t="s">
        <v>187</v>
      </c>
      <c r="E94" s="36" t="s">
        <v>2769</v>
      </c>
      <c r="F94" s="36" t="s">
        <v>10186</v>
      </c>
      <c r="G94" s="36" t="s">
        <v>10187</v>
      </c>
      <c r="H94" s="36" t="s">
        <v>10188</v>
      </c>
      <c r="I94" s="36" t="s">
        <v>10189</v>
      </c>
      <c r="J94" s="36" t="s">
        <v>10190</v>
      </c>
      <c r="K94" s="36" t="s">
        <v>10191</v>
      </c>
      <c r="L94" s="36" t="s">
        <v>10192</v>
      </c>
      <c r="M94" s="36" t="s">
        <v>10193</v>
      </c>
      <c r="N94" s="36" t="s">
        <v>10194</v>
      </c>
      <c r="O94" s="36" t="s">
        <v>10195</v>
      </c>
      <c r="P94" s="36" t="s">
        <v>10196</v>
      </c>
      <c r="Q94" s="36" t="s">
        <v>10197</v>
      </c>
      <c r="R94" s="36" t="s">
        <v>9040</v>
      </c>
      <c r="S94" s="36" t="s">
        <v>10198</v>
      </c>
      <c r="T94" s="36">
        <v>3</v>
      </c>
      <c r="U94" s="36">
        <v>3</v>
      </c>
      <c r="V94" s="36">
        <v>2</v>
      </c>
      <c r="W94" s="36">
        <v>2</v>
      </c>
      <c r="X94" s="36">
        <v>1</v>
      </c>
      <c r="Y94" s="36">
        <v>1</v>
      </c>
      <c r="Z94" s="36" t="s">
        <v>2747</v>
      </c>
      <c r="AA94" s="36" t="s">
        <v>2770</v>
      </c>
      <c r="AB94" s="36" t="s">
        <v>2755</v>
      </c>
      <c r="AC94" s="36" t="s">
        <v>2756</v>
      </c>
      <c r="AD94" s="36" t="s">
        <v>6697</v>
      </c>
    </row>
    <row r="95" spans="1:30" ht="72">
      <c r="A95" s="36" t="s">
        <v>2778</v>
      </c>
      <c r="B95" s="36" t="s">
        <v>66</v>
      </c>
      <c r="C95" s="36" t="s">
        <v>1137</v>
      </c>
      <c r="D95" s="36" t="s">
        <v>187</v>
      </c>
      <c r="E95" s="36" t="s">
        <v>2779</v>
      </c>
      <c r="F95" s="36" t="s">
        <v>10199</v>
      </c>
      <c r="G95" s="36" t="s">
        <v>10200</v>
      </c>
      <c r="H95" s="36" t="s">
        <v>10201</v>
      </c>
      <c r="I95" s="36" t="s">
        <v>10202</v>
      </c>
      <c r="J95" s="36" t="s">
        <v>10203</v>
      </c>
      <c r="K95" s="36" t="s">
        <v>10204</v>
      </c>
      <c r="L95" s="36" t="s">
        <v>10205</v>
      </c>
      <c r="M95" s="36" t="s">
        <v>10206</v>
      </c>
      <c r="N95" s="36" t="s">
        <v>10207</v>
      </c>
      <c r="O95" s="36" t="s">
        <v>10208</v>
      </c>
      <c r="P95" s="36" t="s">
        <v>10209</v>
      </c>
      <c r="Q95" s="36" t="s">
        <v>10210</v>
      </c>
      <c r="R95" s="36" t="s">
        <v>9040</v>
      </c>
      <c r="S95" s="36" t="s">
        <v>10211</v>
      </c>
      <c r="T95" s="36">
        <v>3</v>
      </c>
      <c r="U95" s="36">
        <v>3</v>
      </c>
      <c r="V95" s="36">
        <v>2</v>
      </c>
      <c r="W95" s="36">
        <v>2</v>
      </c>
      <c r="X95" s="36">
        <v>1</v>
      </c>
      <c r="Y95" s="36">
        <v>1</v>
      </c>
      <c r="Z95" s="36" t="s">
        <v>2747</v>
      </c>
      <c r="AA95" s="36" t="s">
        <v>2780</v>
      </c>
      <c r="AB95" s="36" t="s">
        <v>2755</v>
      </c>
      <c r="AC95" s="36" t="s">
        <v>2756</v>
      </c>
      <c r="AD95" s="36" t="s">
        <v>6704</v>
      </c>
    </row>
    <row r="96" spans="1:30" ht="60">
      <c r="A96" s="36" t="s">
        <v>2788</v>
      </c>
      <c r="B96" s="36" t="s">
        <v>66</v>
      </c>
      <c r="C96" s="36" t="s">
        <v>1137</v>
      </c>
      <c r="D96" s="36" t="s">
        <v>187</v>
      </c>
      <c r="E96" s="36" t="s">
        <v>2789</v>
      </c>
      <c r="F96" s="36" t="s">
        <v>10212</v>
      </c>
      <c r="G96" s="36" t="s">
        <v>10213</v>
      </c>
      <c r="H96" s="36" t="s">
        <v>10214</v>
      </c>
      <c r="I96" s="36" t="s">
        <v>10215</v>
      </c>
      <c r="J96" s="36" t="s">
        <v>10216</v>
      </c>
      <c r="K96" s="36" t="s">
        <v>10217</v>
      </c>
      <c r="L96" s="36" t="s">
        <v>10218</v>
      </c>
      <c r="M96" s="36" t="s">
        <v>10219</v>
      </c>
      <c r="N96" s="36" t="s">
        <v>10220</v>
      </c>
      <c r="O96" s="36" t="s">
        <v>10221</v>
      </c>
      <c r="P96" s="36" t="s">
        <v>10222</v>
      </c>
      <c r="Q96" s="36" t="s">
        <v>10223</v>
      </c>
      <c r="R96" s="36" t="s">
        <v>9040</v>
      </c>
      <c r="S96" s="36" t="s">
        <v>10224</v>
      </c>
      <c r="T96" s="36">
        <v>3</v>
      </c>
      <c r="U96" s="36">
        <v>3</v>
      </c>
      <c r="V96" s="36">
        <v>2</v>
      </c>
      <c r="W96" s="36">
        <v>2</v>
      </c>
      <c r="X96" s="36">
        <v>1</v>
      </c>
      <c r="Y96" s="36">
        <v>1</v>
      </c>
      <c r="Z96" s="36" t="s">
        <v>2747</v>
      </c>
      <c r="AA96" s="36" t="s">
        <v>2790</v>
      </c>
      <c r="AB96" s="36" t="s">
        <v>2755</v>
      </c>
      <c r="AC96" s="36" t="s">
        <v>2756</v>
      </c>
      <c r="AD96" s="36" t="s">
        <v>6711</v>
      </c>
    </row>
    <row r="97" spans="1:30" ht="84">
      <c r="A97" s="36" t="s">
        <v>2798</v>
      </c>
      <c r="B97" s="36" t="s">
        <v>66</v>
      </c>
      <c r="C97" s="36" t="s">
        <v>1137</v>
      </c>
      <c r="D97" s="36" t="s">
        <v>187</v>
      </c>
      <c r="E97" s="36" t="s">
        <v>2799</v>
      </c>
      <c r="F97" s="36" t="s">
        <v>10225</v>
      </c>
      <c r="G97" s="36" t="s">
        <v>10226</v>
      </c>
      <c r="H97" s="36" t="s">
        <v>10227</v>
      </c>
      <c r="I97" s="36" t="s">
        <v>10228</v>
      </c>
      <c r="J97" s="36" t="s">
        <v>10229</v>
      </c>
      <c r="K97" s="36" t="s">
        <v>10230</v>
      </c>
      <c r="L97" s="36" t="s">
        <v>10231</v>
      </c>
      <c r="M97" s="36" t="s">
        <v>10232</v>
      </c>
      <c r="N97" s="36" t="s">
        <v>10233</v>
      </c>
      <c r="O97" s="36" t="s">
        <v>10234</v>
      </c>
      <c r="P97" s="36" t="s">
        <v>10235</v>
      </c>
      <c r="Q97" s="36" t="s">
        <v>10236</v>
      </c>
      <c r="R97" s="36" t="s">
        <v>9040</v>
      </c>
      <c r="S97" s="36" t="s">
        <v>10237</v>
      </c>
      <c r="T97" s="36">
        <v>3</v>
      </c>
      <c r="U97" s="36">
        <v>3</v>
      </c>
      <c r="V97" s="36">
        <v>2</v>
      </c>
      <c r="W97" s="36">
        <v>2</v>
      </c>
      <c r="X97" s="36">
        <v>1</v>
      </c>
      <c r="Y97" s="36">
        <v>1</v>
      </c>
      <c r="Z97" s="36" t="s">
        <v>2747</v>
      </c>
      <c r="AA97" s="36" t="s">
        <v>2800</v>
      </c>
      <c r="AB97" s="36" t="s">
        <v>2755</v>
      </c>
      <c r="AC97" s="36" t="s">
        <v>2756</v>
      </c>
      <c r="AD97" s="36" t="s">
        <v>6718</v>
      </c>
    </row>
    <row r="98" spans="1:30" ht="72">
      <c r="A98" s="36" t="s">
        <v>2808</v>
      </c>
      <c r="B98" s="36" t="s">
        <v>66</v>
      </c>
      <c r="C98" s="36" t="s">
        <v>1147</v>
      </c>
      <c r="D98" s="36" t="s">
        <v>187</v>
      </c>
      <c r="E98" s="36" t="s">
        <v>2809</v>
      </c>
      <c r="F98" s="36" t="s">
        <v>10238</v>
      </c>
      <c r="G98" s="36" t="s">
        <v>10239</v>
      </c>
      <c r="H98" s="36" t="s">
        <v>10240</v>
      </c>
      <c r="I98" s="36" t="s">
        <v>10241</v>
      </c>
      <c r="J98" s="36" t="s">
        <v>10242</v>
      </c>
      <c r="K98" s="36" t="s">
        <v>10243</v>
      </c>
      <c r="L98" s="36" t="s">
        <v>10244</v>
      </c>
      <c r="M98" s="36" t="s">
        <v>10245</v>
      </c>
      <c r="N98" s="36" t="s">
        <v>10246</v>
      </c>
      <c r="O98" s="36" t="s">
        <v>10247</v>
      </c>
      <c r="P98" s="36" t="s">
        <v>10248</v>
      </c>
      <c r="Q98" s="36" t="s">
        <v>10249</v>
      </c>
      <c r="R98" s="36" t="s">
        <v>9040</v>
      </c>
      <c r="S98" s="36" t="s">
        <v>10250</v>
      </c>
      <c r="T98" s="36">
        <v>3</v>
      </c>
      <c r="U98" s="36">
        <v>3</v>
      </c>
      <c r="V98" s="36">
        <v>2</v>
      </c>
      <c r="W98" s="36">
        <v>2</v>
      </c>
      <c r="X98" s="36">
        <v>1</v>
      </c>
      <c r="Y98" s="36">
        <v>1</v>
      </c>
      <c r="Z98" s="36" t="s">
        <v>2747</v>
      </c>
      <c r="AA98" s="36" t="s">
        <v>2810</v>
      </c>
      <c r="AB98" s="36" t="s">
        <v>2755</v>
      </c>
      <c r="AC98" s="36" t="s">
        <v>2756</v>
      </c>
      <c r="AD98" s="36" t="s">
        <v>6726</v>
      </c>
    </row>
    <row r="99" spans="1:30" ht="72">
      <c r="A99" s="36" t="s">
        <v>2818</v>
      </c>
      <c r="B99" s="36" t="s">
        <v>66</v>
      </c>
      <c r="C99" s="36" t="s">
        <v>1147</v>
      </c>
      <c r="D99" s="36" t="s">
        <v>187</v>
      </c>
      <c r="E99" s="36" t="s">
        <v>2819</v>
      </c>
      <c r="F99" s="36" t="s">
        <v>10251</v>
      </c>
      <c r="G99" s="36" t="s">
        <v>10252</v>
      </c>
      <c r="H99" s="36" t="s">
        <v>10253</v>
      </c>
      <c r="I99" s="36" t="s">
        <v>10254</v>
      </c>
      <c r="J99" s="36" t="s">
        <v>10255</v>
      </c>
      <c r="K99" s="36" t="s">
        <v>10256</v>
      </c>
      <c r="L99" s="36" t="s">
        <v>10257</v>
      </c>
      <c r="M99" s="36" t="s">
        <v>10258</v>
      </c>
      <c r="N99" s="36" t="s">
        <v>10259</v>
      </c>
      <c r="O99" s="36" t="s">
        <v>10260</v>
      </c>
      <c r="P99" s="36" t="s">
        <v>10261</v>
      </c>
      <c r="Q99" s="36" t="s">
        <v>10262</v>
      </c>
      <c r="R99" s="36" t="s">
        <v>9040</v>
      </c>
      <c r="S99" s="36" t="s">
        <v>10263</v>
      </c>
      <c r="T99" s="36">
        <v>3</v>
      </c>
      <c r="U99" s="36">
        <v>3</v>
      </c>
      <c r="V99" s="36">
        <v>2</v>
      </c>
      <c r="W99" s="36">
        <v>2</v>
      </c>
      <c r="X99" s="36">
        <v>1</v>
      </c>
      <c r="Y99" s="36">
        <v>1</v>
      </c>
      <c r="Z99" s="36" t="s">
        <v>2747</v>
      </c>
      <c r="AA99" s="36" t="s">
        <v>2820</v>
      </c>
      <c r="AB99" s="36" t="s">
        <v>2755</v>
      </c>
      <c r="AC99" s="36" t="s">
        <v>2756</v>
      </c>
      <c r="AD99" s="36" t="s">
        <v>6733</v>
      </c>
    </row>
    <row r="100" spans="1:30" ht="72">
      <c r="A100" s="36" t="s">
        <v>2828</v>
      </c>
      <c r="B100" s="36" t="s">
        <v>66</v>
      </c>
      <c r="C100" s="36" t="s">
        <v>1147</v>
      </c>
      <c r="D100" s="36" t="s">
        <v>187</v>
      </c>
      <c r="E100" s="36" t="s">
        <v>2829</v>
      </c>
      <c r="F100" s="36" t="s">
        <v>10264</v>
      </c>
      <c r="G100" s="36" t="s">
        <v>10265</v>
      </c>
      <c r="H100" s="36" t="s">
        <v>10266</v>
      </c>
      <c r="I100" s="36" t="s">
        <v>10267</v>
      </c>
      <c r="J100" s="36" t="s">
        <v>10268</v>
      </c>
      <c r="K100" s="36" t="s">
        <v>10269</v>
      </c>
      <c r="L100" s="36" t="s">
        <v>10270</v>
      </c>
      <c r="M100" s="36" t="s">
        <v>10271</v>
      </c>
      <c r="N100" s="36" t="s">
        <v>10272</v>
      </c>
      <c r="O100" s="36" t="s">
        <v>10273</v>
      </c>
      <c r="P100" s="36" t="s">
        <v>10274</v>
      </c>
      <c r="Q100" s="36" t="s">
        <v>10275</v>
      </c>
      <c r="R100" s="36" t="s">
        <v>9040</v>
      </c>
      <c r="S100" s="36" t="s">
        <v>10276</v>
      </c>
      <c r="T100" s="36">
        <v>3</v>
      </c>
      <c r="U100" s="36">
        <v>3</v>
      </c>
      <c r="V100" s="36">
        <v>2</v>
      </c>
      <c r="W100" s="36">
        <v>2</v>
      </c>
      <c r="X100" s="36">
        <v>1</v>
      </c>
      <c r="Y100" s="36">
        <v>1</v>
      </c>
      <c r="Z100" s="36" t="s">
        <v>2747</v>
      </c>
      <c r="AA100" s="36" t="s">
        <v>2830</v>
      </c>
      <c r="AB100" s="36" t="s">
        <v>2755</v>
      </c>
      <c r="AC100" s="36" t="s">
        <v>2756</v>
      </c>
      <c r="AD100" s="36" t="s">
        <v>6740</v>
      </c>
    </row>
    <row r="101" spans="1:30" ht="72">
      <c r="A101" s="36" t="s">
        <v>2838</v>
      </c>
      <c r="B101" s="36" t="s">
        <v>66</v>
      </c>
      <c r="C101" s="36" t="s">
        <v>1147</v>
      </c>
      <c r="D101" s="36" t="s">
        <v>187</v>
      </c>
      <c r="E101" s="36" t="s">
        <v>2839</v>
      </c>
      <c r="F101" s="36" t="s">
        <v>10277</v>
      </c>
      <c r="G101" s="36" t="s">
        <v>10278</v>
      </c>
      <c r="H101" s="36" t="s">
        <v>10279</v>
      </c>
      <c r="I101" s="36" t="s">
        <v>10280</v>
      </c>
      <c r="J101" s="36" t="s">
        <v>10281</v>
      </c>
      <c r="K101" s="36" t="s">
        <v>10282</v>
      </c>
      <c r="L101" s="36" t="s">
        <v>10283</v>
      </c>
      <c r="M101" s="36" t="s">
        <v>10284</v>
      </c>
      <c r="N101" s="36" t="s">
        <v>10285</v>
      </c>
      <c r="O101" s="36" t="s">
        <v>10286</v>
      </c>
      <c r="P101" s="36" t="s">
        <v>10287</v>
      </c>
      <c r="Q101" s="36" t="s">
        <v>10288</v>
      </c>
      <c r="R101" s="36" t="s">
        <v>9040</v>
      </c>
      <c r="S101" s="36" t="s">
        <v>10289</v>
      </c>
      <c r="T101" s="36">
        <v>3</v>
      </c>
      <c r="U101" s="36">
        <v>3</v>
      </c>
      <c r="V101" s="36">
        <v>2</v>
      </c>
      <c r="W101" s="36">
        <v>2</v>
      </c>
      <c r="X101" s="36">
        <v>1</v>
      </c>
      <c r="Y101" s="36">
        <v>1</v>
      </c>
      <c r="Z101" s="36" t="s">
        <v>2747</v>
      </c>
      <c r="AA101" s="36" t="s">
        <v>2840</v>
      </c>
      <c r="AB101" s="36" t="s">
        <v>2755</v>
      </c>
      <c r="AC101" s="36" t="s">
        <v>2756</v>
      </c>
      <c r="AD101" s="36" t="s">
        <v>6747</v>
      </c>
    </row>
    <row r="102" spans="1:30" ht="84">
      <c r="A102" s="36" t="s">
        <v>2848</v>
      </c>
      <c r="B102" s="36" t="s">
        <v>66</v>
      </c>
      <c r="C102" s="36" t="s">
        <v>1147</v>
      </c>
      <c r="D102" s="36" t="s">
        <v>187</v>
      </c>
      <c r="E102" s="36" t="s">
        <v>2849</v>
      </c>
      <c r="F102" s="36" t="s">
        <v>10290</v>
      </c>
      <c r="G102" s="36" t="s">
        <v>10291</v>
      </c>
      <c r="H102" s="36" t="s">
        <v>10292</v>
      </c>
      <c r="I102" s="36" t="s">
        <v>10293</v>
      </c>
      <c r="J102" s="36" t="s">
        <v>10294</v>
      </c>
      <c r="K102" s="36" t="s">
        <v>10295</v>
      </c>
      <c r="L102" s="36" t="s">
        <v>10296</v>
      </c>
      <c r="M102" s="36" t="s">
        <v>10297</v>
      </c>
      <c r="N102" s="36" t="s">
        <v>10298</v>
      </c>
      <c r="O102" s="36" t="s">
        <v>10299</v>
      </c>
      <c r="P102" s="36" t="s">
        <v>10300</v>
      </c>
      <c r="Q102" s="36" t="s">
        <v>10301</v>
      </c>
      <c r="R102" s="36" t="s">
        <v>9040</v>
      </c>
      <c r="S102" s="36" t="s">
        <v>10302</v>
      </c>
      <c r="T102" s="36">
        <v>3</v>
      </c>
      <c r="U102" s="36">
        <v>3</v>
      </c>
      <c r="V102" s="36">
        <v>2</v>
      </c>
      <c r="W102" s="36">
        <v>2</v>
      </c>
      <c r="X102" s="36">
        <v>1</v>
      </c>
      <c r="Y102" s="36">
        <v>1</v>
      </c>
      <c r="Z102" s="36" t="s">
        <v>2747</v>
      </c>
      <c r="AA102" s="36" t="s">
        <v>2850</v>
      </c>
      <c r="AB102" s="36" t="s">
        <v>2755</v>
      </c>
      <c r="AC102" s="36" t="s">
        <v>2756</v>
      </c>
      <c r="AD102" s="36" t="s">
        <v>6754</v>
      </c>
    </row>
    <row r="103" spans="1:30" ht="72">
      <c r="A103" s="36" t="s">
        <v>2858</v>
      </c>
      <c r="B103" s="36" t="s">
        <v>66</v>
      </c>
      <c r="C103" s="36" t="s">
        <v>1147</v>
      </c>
      <c r="D103" s="36" t="s">
        <v>187</v>
      </c>
      <c r="E103" s="36" t="s">
        <v>2859</v>
      </c>
      <c r="F103" s="36" t="s">
        <v>10303</v>
      </c>
      <c r="G103" s="36" t="s">
        <v>10304</v>
      </c>
      <c r="H103" s="36" t="s">
        <v>10305</v>
      </c>
      <c r="I103" s="36" t="s">
        <v>10306</v>
      </c>
      <c r="J103" s="36" t="s">
        <v>10307</v>
      </c>
      <c r="K103" s="36" t="s">
        <v>10308</v>
      </c>
      <c r="L103" s="36" t="s">
        <v>10309</v>
      </c>
      <c r="M103" s="36" t="s">
        <v>10310</v>
      </c>
      <c r="N103" s="36" t="s">
        <v>10311</v>
      </c>
      <c r="O103" s="36" t="s">
        <v>10312</v>
      </c>
      <c r="P103" s="36" t="s">
        <v>10313</v>
      </c>
      <c r="Q103" s="36" t="s">
        <v>10314</v>
      </c>
      <c r="R103" s="36" t="s">
        <v>9040</v>
      </c>
      <c r="S103" s="36" t="s">
        <v>10315</v>
      </c>
      <c r="T103" s="36">
        <v>3</v>
      </c>
      <c r="U103" s="36">
        <v>3</v>
      </c>
      <c r="V103" s="36">
        <v>2</v>
      </c>
      <c r="W103" s="36">
        <v>2</v>
      </c>
      <c r="X103" s="36">
        <v>1</v>
      </c>
      <c r="Y103" s="36">
        <v>1</v>
      </c>
      <c r="Z103" s="36" t="s">
        <v>2747</v>
      </c>
      <c r="AA103" s="36" t="s">
        <v>2860</v>
      </c>
      <c r="AB103" s="36" t="s">
        <v>2755</v>
      </c>
      <c r="AC103" s="36" t="s">
        <v>2756</v>
      </c>
      <c r="AD103" s="36" t="s">
        <v>6761</v>
      </c>
    </row>
    <row r="104" spans="1:30" ht="72">
      <c r="A104" s="36" t="s">
        <v>2868</v>
      </c>
      <c r="B104" s="36" t="s">
        <v>66</v>
      </c>
      <c r="C104" s="36" t="s">
        <v>1158</v>
      </c>
      <c r="D104" s="36" t="s">
        <v>187</v>
      </c>
      <c r="E104" s="36" t="s">
        <v>2869</v>
      </c>
      <c r="F104" s="36" t="s">
        <v>10316</v>
      </c>
      <c r="G104" s="36" t="s">
        <v>10317</v>
      </c>
      <c r="H104" s="36" t="s">
        <v>10318</v>
      </c>
      <c r="I104" s="36" t="s">
        <v>10319</v>
      </c>
      <c r="J104" s="36" t="s">
        <v>10320</v>
      </c>
      <c r="K104" s="36" t="s">
        <v>10321</v>
      </c>
      <c r="L104" s="36" t="s">
        <v>10322</v>
      </c>
      <c r="M104" s="36" t="s">
        <v>10323</v>
      </c>
      <c r="N104" s="36" t="s">
        <v>10324</v>
      </c>
      <c r="O104" s="36" t="s">
        <v>10325</v>
      </c>
      <c r="P104" s="36" t="s">
        <v>10326</v>
      </c>
      <c r="Q104" s="36" t="s">
        <v>10327</v>
      </c>
      <c r="R104" s="36" t="s">
        <v>9040</v>
      </c>
      <c r="S104" s="36" t="s">
        <v>10328</v>
      </c>
      <c r="T104" s="36">
        <v>3</v>
      </c>
      <c r="U104" s="36">
        <v>3</v>
      </c>
      <c r="V104" s="36">
        <v>2</v>
      </c>
      <c r="W104" s="36">
        <v>2</v>
      </c>
      <c r="X104" s="36">
        <v>1</v>
      </c>
      <c r="Y104" s="36">
        <v>1</v>
      </c>
      <c r="Z104" s="36" t="s">
        <v>2747</v>
      </c>
      <c r="AA104" s="36" t="s">
        <v>2870</v>
      </c>
      <c r="AB104" s="36" t="s">
        <v>2755</v>
      </c>
      <c r="AC104" s="36" t="s">
        <v>2756</v>
      </c>
      <c r="AD104" s="36" t="s">
        <v>6769</v>
      </c>
    </row>
    <row r="105" spans="1:30" ht="72">
      <c r="A105" s="36" t="s">
        <v>2878</v>
      </c>
      <c r="B105" s="36" t="s">
        <v>66</v>
      </c>
      <c r="C105" s="36" t="s">
        <v>1158</v>
      </c>
      <c r="D105" s="36" t="s">
        <v>187</v>
      </c>
      <c r="E105" s="36" t="s">
        <v>2879</v>
      </c>
      <c r="F105" s="36" t="s">
        <v>10329</v>
      </c>
      <c r="G105" s="36" t="s">
        <v>10330</v>
      </c>
      <c r="H105" s="36" t="s">
        <v>10331</v>
      </c>
      <c r="I105" s="36" t="s">
        <v>10332</v>
      </c>
      <c r="J105" s="36" t="s">
        <v>10333</v>
      </c>
      <c r="K105" s="36" t="s">
        <v>10334</v>
      </c>
      <c r="L105" s="36" t="s">
        <v>10335</v>
      </c>
      <c r="M105" s="36" t="s">
        <v>10336</v>
      </c>
      <c r="N105" s="36" t="s">
        <v>10337</v>
      </c>
      <c r="O105" s="36" t="s">
        <v>10338</v>
      </c>
      <c r="P105" s="36" t="s">
        <v>10339</v>
      </c>
      <c r="Q105" s="36" t="s">
        <v>10340</v>
      </c>
      <c r="R105" s="36" t="s">
        <v>9040</v>
      </c>
      <c r="S105" s="36" t="s">
        <v>10341</v>
      </c>
      <c r="T105" s="36">
        <v>3</v>
      </c>
      <c r="U105" s="36">
        <v>3</v>
      </c>
      <c r="V105" s="36">
        <v>2</v>
      </c>
      <c r="W105" s="36">
        <v>2</v>
      </c>
      <c r="X105" s="36">
        <v>1</v>
      </c>
      <c r="Y105" s="36">
        <v>1</v>
      </c>
      <c r="Z105" s="36" t="s">
        <v>2747</v>
      </c>
      <c r="AA105" s="36" t="s">
        <v>2880</v>
      </c>
      <c r="AB105" s="36" t="s">
        <v>2755</v>
      </c>
      <c r="AC105" s="36" t="s">
        <v>2756</v>
      </c>
      <c r="AD105" s="36" t="s">
        <v>6776</v>
      </c>
    </row>
    <row r="106" spans="1:30" ht="72">
      <c r="A106" s="36" t="s">
        <v>2888</v>
      </c>
      <c r="B106" s="36" t="s">
        <v>66</v>
      </c>
      <c r="C106" s="36" t="s">
        <v>1158</v>
      </c>
      <c r="D106" s="36" t="s">
        <v>187</v>
      </c>
      <c r="E106" s="36" t="s">
        <v>2889</v>
      </c>
      <c r="F106" s="36" t="s">
        <v>10342</v>
      </c>
      <c r="G106" s="36" t="s">
        <v>10343</v>
      </c>
      <c r="H106" s="36" t="s">
        <v>10344</v>
      </c>
      <c r="I106" s="36" t="s">
        <v>10345</v>
      </c>
      <c r="J106" s="36" t="s">
        <v>10346</v>
      </c>
      <c r="K106" s="36" t="s">
        <v>10347</v>
      </c>
      <c r="L106" s="36" t="s">
        <v>10348</v>
      </c>
      <c r="M106" s="36" t="s">
        <v>10349</v>
      </c>
      <c r="N106" s="36" t="s">
        <v>10350</v>
      </c>
      <c r="O106" s="36" t="s">
        <v>10351</v>
      </c>
      <c r="P106" s="36" t="s">
        <v>10352</v>
      </c>
      <c r="Q106" s="36" t="s">
        <v>10353</v>
      </c>
      <c r="R106" s="36" t="s">
        <v>9040</v>
      </c>
      <c r="S106" s="36" t="s">
        <v>10354</v>
      </c>
      <c r="T106" s="36">
        <v>3</v>
      </c>
      <c r="U106" s="36">
        <v>3</v>
      </c>
      <c r="V106" s="36">
        <v>2</v>
      </c>
      <c r="W106" s="36">
        <v>2</v>
      </c>
      <c r="X106" s="36">
        <v>1</v>
      </c>
      <c r="Y106" s="36">
        <v>1</v>
      </c>
      <c r="Z106" s="36" t="s">
        <v>2747</v>
      </c>
      <c r="AA106" s="36" t="s">
        <v>2890</v>
      </c>
      <c r="AB106" s="36" t="s">
        <v>2755</v>
      </c>
      <c r="AC106" s="36" t="s">
        <v>2756</v>
      </c>
      <c r="AD106" s="36" t="s">
        <v>6783</v>
      </c>
    </row>
    <row r="107" spans="1:30" ht="72">
      <c r="A107" s="36" t="s">
        <v>2898</v>
      </c>
      <c r="B107" s="36" t="s">
        <v>66</v>
      </c>
      <c r="C107" s="36" t="s">
        <v>1158</v>
      </c>
      <c r="D107" s="36" t="s">
        <v>187</v>
      </c>
      <c r="E107" s="36" t="s">
        <v>2899</v>
      </c>
      <c r="F107" s="36" t="s">
        <v>10355</v>
      </c>
      <c r="G107" s="36" t="s">
        <v>10356</v>
      </c>
      <c r="H107" s="36" t="s">
        <v>10357</v>
      </c>
      <c r="I107" s="36" t="s">
        <v>10358</v>
      </c>
      <c r="J107" s="36" t="s">
        <v>10359</v>
      </c>
      <c r="K107" s="36" t="s">
        <v>10360</v>
      </c>
      <c r="L107" s="36" t="s">
        <v>10361</v>
      </c>
      <c r="M107" s="36" t="s">
        <v>10362</v>
      </c>
      <c r="N107" s="36" t="s">
        <v>10363</v>
      </c>
      <c r="O107" s="36" t="s">
        <v>10364</v>
      </c>
      <c r="P107" s="36" t="s">
        <v>10365</v>
      </c>
      <c r="Q107" s="36" t="s">
        <v>10366</v>
      </c>
      <c r="R107" s="36" t="s">
        <v>9040</v>
      </c>
      <c r="S107" s="36" t="s">
        <v>10367</v>
      </c>
      <c r="T107" s="36">
        <v>3</v>
      </c>
      <c r="U107" s="36">
        <v>3</v>
      </c>
      <c r="V107" s="36">
        <v>2</v>
      </c>
      <c r="W107" s="36">
        <v>2</v>
      </c>
      <c r="X107" s="36">
        <v>1</v>
      </c>
      <c r="Y107" s="36">
        <v>1</v>
      </c>
      <c r="Z107" s="36" t="s">
        <v>2747</v>
      </c>
      <c r="AA107" s="36" t="s">
        <v>2900</v>
      </c>
      <c r="AB107" s="36" t="s">
        <v>2755</v>
      </c>
      <c r="AC107" s="36" t="s">
        <v>2756</v>
      </c>
      <c r="AD107" s="36" t="s">
        <v>6790</v>
      </c>
    </row>
    <row r="108" spans="1:30" ht="72">
      <c r="A108" s="36" t="s">
        <v>2908</v>
      </c>
      <c r="B108" s="36" t="s">
        <v>66</v>
      </c>
      <c r="C108" s="36" t="s">
        <v>1158</v>
      </c>
      <c r="D108" s="36" t="s">
        <v>187</v>
      </c>
      <c r="E108" s="36" t="s">
        <v>2909</v>
      </c>
      <c r="F108" s="36" t="s">
        <v>10368</v>
      </c>
      <c r="G108" s="36" t="s">
        <v>10369</v>
      </c>
      <c r="H108" s="36" t="s">
        <v>10370</v>
      </c>
      <c r="I108" s="36" t="s">
        <v>10371</v>
      </c>
      <c r="J108" s="36" t="s">
        <v>10372</v>
      </c>
      <c r="K108" s="36" t="s">
        <v>10373</v>
      </c>
      <c r="L108" s="36" t="s">
        <v>10374</v>
      </c>
      <c r="M108" s="36" t="s">
        <v>10375</v>
      </c>
      <c r="N108" s="36" t="s">
        <v>10376</v>
      </c>
      <c r="O108" s="36" t="s">
        <v>10377</v>
      </c>
      <c r="P108" s="36" t="s">
        <v>10378</v>
      </c>
      <c r="Q108" s="36" t="s">
        <v>10379</v>
      </c>
      <c r="R108" s="36" t="s">
        <v>9040</v>
      </c>
      <c r="S108" s="36" t="s">
        <v>10380</v>
      </c>
      <c r="T108" s="36">
        <v>3</v>
      </c>
      <c r="U108" s="36">
        <v>3</v>
      </c>
      <c r="V108" s="36">
        <v>2</v>
      </c>
      <c r="W108" s="36">
        <v>2</v>
      </c>
      <c r="X108" s="36">
        <v>1</v>
      </c>
      <c r="Y108" s="36">
        <v>1</v>
      </c>
      <c r="Z108" s="36" t="s">
        <v>2747</v>
      </c>
      <c r="AA108" s="36" t="s">
        <v>2910</v>
      </c>
      <c r="AB108" s="36" t="s">
        <v>2755</v>
      </c>
      <c r="AC108" s="36" t="s">
        <v>2756</v>
      </c>
      <c r="AD108" s="36" t="s">
        <v>6797</v>
      </c>
    </row>
    <row r="109" spans="1:30" ht="72">
      <c r="A109" s="36" t="s">
        <v>2918</v>
      </c>
      <c r="B109" s="36" t="s">
        <v>66</v>
      </c>
      <c r="C109" s="36" t="s">
        <v>1158</v>
      </c>
      <c r="D109" s="36" t="s">
        <v>187</v>
      </c>
      <c r="E109" s="36" t="s">
        <v>2919</v>
      </c>
      <c r="F109" s="36" t="s">
        <v>10381</v>
      </c>
      <c r="G109" s="36" t="s">
        <v>10382</v>
      </c>
      <c r="H109" s="36" t="s">
        <v>10383</v>
      </c>
      <c r="I109" s="36" t="s">
        <v>10384</v>
      </c>
      <c r="J109" s="36" t="s">
        <v>10385</v>
      </c>
      <c r="K109" s="36" t="s">
        <v>10386</v>
      </c>
      <c r="L109" s="36" t="s">
        <v>10387</v>
      </c>
      <c r="M109" s="36" t="s">
        <v>10388</v>
      </c>
      <c r="N109" s="36" t="s">
        <v>10389</v>
      </c>
      <c r="O109" s="36" t="s">
        <v>10390</v>
      </c>
      <c r="P109" s="36" t="s">
        <v>10391</v>
      </c>
      <c r="Q109" s="36" t="s">
        <v>10392</v>
      </c>
      <c r="R109" s="36" t="s">
        <v>9040</v>
      </c>
      <c r="S109" s="36" t="s">
        <v>10393</v>
      </c>
      <c r="T109" s="36">
        <v>3</v>
      </c>
      <c r="U109" s="36">
        <v>3</v>
      </c>
      <c r="V109" s="36">
        <v>2</v>
      </c>
      <c r="W109" s="36">
        <v>2</v>
      </c>
      <c r="X109" s="36">
        <v>1</v>
      </c>
      <c r="Y109" s="36">
        <v>1</v>
      </c>
      <c r="Z109" s="36" t="s">
        <v>2747</v>
      </c>
      <c r="AA109" s="36" t="s">
        <v>2920</v>
      </c>
      <c r="AB109" s="36" t="s">
        <v>2755</v>
      </c>
      <c r="AC109" s="36" t="s">
        <v>2756</v>
      </c>
      <c r="AD109" s="36" t="s">
        <v>6804</v>
      </c>
    </row>
    <row r="110" spans="1:30" ht="72">
      <c r="A110" s="36" t="s">
        <v>2928</v>
      </c>
      <c r="B110" s="36" t="s">
        <v>66</v>
      </c>
      <c r="C110" s="36" t="s">
        <v>1158</v>
      </c>
      <c r="D110" s="36" t="s">
        <v>187</v>
      </c>
      <c r="E110" s="36" t="s">
        <v>2929</v>
      </c>
      <c r="F110" s="36" t="s">
        <v>10394</v>
      </c>
      <c r="G110" s="36" t="s">
        <v>10395</v>
      </c>
      <c r="H110" s="36" t="s">
        <v>10396</v>
      </c>
      <c r="I110" s="36" t="s">
        <v>10397</v>
      </c>
      <c r="J110" s="36" t="s">
        <v>10398</v>
      </c>
      <c r="K110" s="36" t="s">
        <v>10399</v>
      </c>
      <c r="L110" s="36" t="s">
        <v>10400</v>
      </c>
      <c r="M110" s="36" t="s">
        <v>10401</v>
      </c>
      <c r="N110" s="36" t="s">
        <v>10402</v>
      </c>
      <c r="O110" s="36" t="s">
        <v>10403</v>
      </c>
      <c r="P110" s="36" t="s">
        <v>10404</v>
      </c>
      <c r="Q110" s="36" t="s">
        <v>10405</v>
      </c>
      <c r="R110" s="36" t="s">
        <v>9040</v>
      </c>
      <c r="S110" s="36" t="s">
        <v>10406</v>
      </c>
      <c r="T110" s="36">
        <v>3</v>
      </c>
      <c r="U110" s="36">
        <v>3</v>
      </c>
      <c r="V110" s="36">
        <v>2</v>
      </c>
      <c r="W110" s="36">
        <v>2</v>
      </c>
      <c r="X110" s="36">
        <v>1</v>
      </c>
      <c r="Y110" s="36">
        <v>1</v>
      </c>
      <c r="Z110" s="36" t="s">
        <v>2747</v>
      </c>
      <c r="AA110" s="36" t="s">
        <v>2930</v>
      </c>
      <c r="AB110" s="36" t="s">
        <v>2755</v>
      </c>
      <c r="AC110" s="36" t="s">
        <v>2756</v>
      </c>
      <c r="AD110" s="36" t="s">
        <v>6811</v>
      </c>
    </row>
    <row r="111" spans="1:30" ht="72">
      <c r="A111" s="36" t="s">
        <v>2938</v>
      </c>
      <c r="B111" s="36" t="s">
        <v>66</v>
      </c>
      <c r="C111" s="36" t="s">
        <v>1169</v>
      </c>
      <c r="D111" s="36" t="s">
        <v>187</v>
      </c>
      <c r="E111" s="36" t="s">
        <v>2939</v>
      </c>
      <c r="F111" s="36" t="s">
        <v>10407</v>
      </c>
      <c r="G111" s="36" t="s">
        <v>10408</v>
      </c>
      <c r="H111" s="36" t="s">
        <v>10409</v>
      </c>
      <c r="I111" s="36" t="s">
        <v>10410</v>
      </c>
      <c r="J111" s="36" t="s">
        <v>10411</v>
      </c>
      <c r="K111" s="36" t="s">
        <v>10412</v>
      </c>
      <c r="L111" s="36" t="s">
        <v>10413</v>
      </c>
      <c r="M111" s="36" t="s">
        <v>10414</v>
      </c>
      <c r="N111" s="36" t="s">
        <v>10415</v>
      </c>
      <c r="O111" s="36" t="s">
        <v>10416</v>
      </c>
      <c r="P111" s="36" t="s">
        <v>10417</v>
      </c>
      <c r="Q111" s="36" t="s">
        <v>10418</v>
      </c>
      <c r="R111" s="36" t="s">
        <v>9040</v>
      </c>
      <c r="S111" s="36" t="s">
        <v>10419</v>
      </c>
      <c r="T111" s="36">
        <v>3</v>
      </c>
      <c r="U111" s="36">
        <v>3</v>
      </c>
      <c r="V111" s="36">
        <v>2</v>
      </c>
      <c r="W111" s="36">
        <v>2</v>
      </c>
      <c r="X111" s="36">
        <v>1</v>
      </c>
      <c r="Y111" s="36">
        <v>1</v>
      </c>
      <c r="Z111" s="36" t="s">
        <v>2747</v>
      </c>
      <c r="AA111" s="36" t="s">
        <v>2940</v>
      </c>
      <c r="AB111" s="36" t="s">
        <v>2755</v>
      </c>
      <c r="AC111" s="36" t="s">
        <v>2756</v>
      </c>
      <c r="AD111" s="36" t="s">
        <v>6819</v>
      </c>
    </row>
    <row r="112" spans="1:30" ht="72">
      <c r="A112" s="36" t="s">
        <v>2948</v>
      </c>
      <c r="B112" s="36" t="s">
        <v>66</v>
      </c>
      <c r="C112" s="36" t="s">
        <v>1169</v>
      </c>
      <c r="D112" s="36" t="s">
        <v>187</v>
      </c>
      <c r="E112" s="36" t="s">
        <v>2949</v>
      </c>
      <c r="F112" s="36" t="s">
        <v>10420</v>
      </c>
      <c r="G112" s="36" t="s">
        <v>10421</v>
      </c>
      <c r="H112" s="36" t="s">
        <v>10422</v>
      </c>
      <c r="I112" s="36" t="s">
        <v>10423</v>
      </c>
      <c r="J112" s="36" t="s">
        <v>10424</v>
      </c>
      <c r="K112" s="36" t="s">
        <v>10425</v>
      </c>
      <c r="L112" s="36" t="s">
        <v>10426</v>
      </c>
      <c r="M112" s="36" t="s">
        <v>10427</v>
      </c>
      <c r="N112" s="36" t="s">
        <v>10428</v>
      </c>
      <c r="O112" s="36" t="s">
        <v>10429</v>
      </c>
      <c r="P112" s="36" t="s">
        <v>10430</v>
      </c>
      <c r="Q112" s="36" t="s">
        <v>10431</v>
      </c>
      <c r="R112" s="36" t="s">
        <v>9040</v>
      </c>
      <c r="S112" s="36" t="s">
        <v>10432</v>
      </c>
      <c r="T112" s="36">
        <v>3</v>
      </c>
      <c r="U112" s="36">
        <v>3</v>
      </c>
      <c r="V112" s="36">
        <v>2</v>
      </c>
      <c r="W112" s="36">
        <v>2</v>
      </c>
      <c r="X112" s="36">
        <v>1</v>
      </c>
      <c r="Y112" s="36">
        <v>1</v>
      </c>
      <c r="Z112" s="36" t="s">
        <v>2747</v>
      </c>
      <c r="AA112" s="36" t="s">
        <v>2950</v>
      </c>
      <c r="AB112" s="36" t="s">
        <v>2755</v>
      </c>
      <c r="AC112" s="36" t="s">
        <v>2756</v>
      </c>
      <c r="AD112" s="36" t="s">
        <v>6826</v>
      </c>
    </row>
    <row r="113" spans="1:30" ht="72">
      <c r="A113" s="36" t="s">
        <v>2958</v>
      </c>
      <c r="B113" s="36" t="s">
        <v>66</v>
      </c>
      <c r="C113" s="36" t="s">
        <v>1169</v>
      </c>
      <c r="D113" s="36" t="s">
        <v>187</v>
      </c>
      <c r="E113" s="36" t="s">
        <v>2959</v>
      </c>
      <c r="F113" s="36" t="s">
        <v>10433</v>
      </c>
      <c r="G113" s="36" t="s">
        <v>10434</v>
      </c>
      <c r="H113" s="36" t="s">
        <v>10435</v>
      </c>
      <c r="I113" s="36" t="s">
        <v>10436</v>
      </c>
      <c r="J113" s="36" t="s">
        <v>10437</v>
      </c>
      <c r="K113" s="36" t="s">
        <v>10438</v>
      </c>
      <c r="L113" s="36" t="s">
        <v>10439</v>
      </c>
      <c r="M113" s="36" t="s">
        <v>10440</v>
      </c>
      <c r="N113" s="36" t="s">
        <v>10441</v>
      </c>
      <c r="O113" s="36" t="s">
        <v>10442</v>
      </c>
      <c r="P113" s="36" t="s">
        <v>10443</v>
      </c>
      <c r="Q113" s="36" t="s">
        <v>10444</v>
      </c>
      <c r="R113" s="36" t="s">
        <v>9040</v>
      </c>
      <c r="S113" s="36" t="s">
        <v>10445</v>
      </c>
      <c r="T113" s="36">
        <v>3</v>
      </c>
      <c r="U113" s="36">
        <v>3</v>
      </c>
      <c r="V113" s="36">
        <v>2</v>
      </c>
      <c r="W113" s="36">
        <v>2</v>
      </c>
      <c r="X113" s="36">
        <v>1</v>
      </c>
      <c r="Y113" s="36">
        <v>1</v>
      </c>
      <c r="Z113" s="36" t="s">
        <v>2747</v>
      </c>
      <c r="AA113" s="36" t="s">
        <v>2960</v>
      </c>
      <c r="AB113" s="36" t="s">
        <v>2755</v>
      </c>
      <c r="AC113" s="36" t="s">
        <v>2756</v>
      </c>
      <c r="AD113" s="36" t="s">
        <v>6833</v>
      </c>
    </row>
    <row r="114" spans="1:30" ht="72">
      <c r="A114" s="36" t="s">
        <v>2968</v>
      </c>
      <c r="B114" s="36" t="s">
        <v>66</v>
      </c>
      <c r="C114" s="36" t="s">
        <v>1169</v>
      </c>
      <c r="D114" s="36" t="s">
        <v>187</v>
      </c>
      <c r="E114" s="36" t="s">
        <v>2969</v>
      </c>
      <c r="F114" s="36" t="s">
        <v>10446</v>
      </c>
      <c r="G114" s="36" t="s">
        <v>10447</v>
      </c>
      <c r="H114" s="36" t="s">
        <v>10448</v>
      </c>
      <c r="I114" s="36" t="s">
        <v>10449</v>
      </c>
      <c r="J114" s="36" t="s">
        <v>10450</v>
      </c>
      <c r="K114" s="36" t="s">
        <v>10451</v>
      </c>
      <c r="L114" s="36" t="s">
        <v>10452</v>
      </c>
      <c r="M114" s="36" t="s">
        <v>10453</v>
      </c>
      <c r="N114" s="36" t="s">
        <v>10454</v>
      </c>
      <c r="O114" s="36" t="s">
        <v>10455</v>
      </c>
      <c r="P114" s="36" t="s">
        <v>10456</v>
      </c>
      <c r="Q114" s="36" t="s">
        <v>10457</v>
      </c>
      <c r="R114" s="36" t="s">
        <v>9040</v>
      </c>
      <c r="S114" s="36" t="s">
        <v>10458</v>
      </c>
      <c r="T114" s="36">
        <v>3</v>
      </c>
      <c r="U114" s="36">
        <v>3</v>
      </c>
      <c r="V114" s="36">
        <v>2</v>
      </c>
      <c r="W114" s="36">
        <v>2</v>
      </c>
      <c r="X114" s="36">
        <v>1</v>
      </c>
      <c r="Y114" s="36">
        <v>1</v>
      </c>
      <c r="Z114" s="36" t="s">
        <v>2747</v>
      </c>
      <c r="AA114" s="36" t="s">
        <v>2970</v>
      </c>
      <c r="AB114" s="36" t="s">
        <v>2755</v>
      </c>
      <c r="AC114" s="36" t="s">
        <v>2756</v>
      </c>
      <c r="AD114" s="36" t="s">
        <v>6840</v>
      </c>
    </row>
    <row r="115" spans="1:30" ht="72">
      <c r="A115" s="36" t="s">
        <v>2978</v>
      </c>
      <c r="B115" s="36" t="s">
        <v>66</v>
      </c>
      <c r="C115" s="36" t="s">
        <v>1169</v>
      </c>
      <c r="D115" s="36" t="s">
        <v>187</v>
      </c>
      <c r="E115" s="36" t="s">
        <v>2979</v>
      </c>
      <c r="F115" s="36" t="s">
        <v>10459</v>
      </c>
      <c r="G115" s="36" t="s">
        <v>10460</v>
      </c>
      <c r="H115" s="36" t="s">
        <v>10461</v>
      </c>
      <c r="I115" s="36" t="s">
        <v>10462</v>
      </c>
      <c r="J115" s="36" t="s">
        <v>10463</v>
      </c>
      <c r="K115" s="36" t="s">
        <v>10464</v>
      </c>
      <c r="L115" s="36" t="s">
        <v>10465</v>
      </c>
      <c r="M115" s="36" t="s">
        <v>10466</v>
      </c>
      <c r="N115" s="36" t="s">
        <v>10467</v>
      </c>
      <c r="O115" s="36" t="s">
        <v>10468</v>
      </c>
      <c r="P115" s="36" t="s">
        <v>10469</v>
      </c>
      <c r="Q115" s="36" t="s">
        <v>10470</v>
      </c>
      <c r="R115" s="36" t="s">
        <v>9040</v>
      </c>
      <c r="S115" s="36" t="s">
        <v>10471</v>
      </c>
      <c r="T115" s="36">
        <v>3</v>
      </c>
      <c r="U115" s="36">
        <v>3</v>
      </c>
      <c r="V115" s="36">
        <v>2</v>
      </c>
      <c r="W115" s="36">
        <v>2</v>
      </c>
      <c r="X115" s="36">
        <v>1</v>
      </c>
      <c r="Y115" s="36">
        <v>1</v>
      </c>
      <c r="Z115" s="36" t="s">
        <v>2747</v>
      </c>
      <c r="AA115" s="36" t="s">
        <v>2980</v>
      </c>
      <c r="AB115" s="36" t="s">
        <v>2755</v>
      </c>
      <c r="AC115" s="36" t="s">
        <v>2756</v>
      </c>
      <c r="AD115" s="36" t="s">
        <v>6847</v>
      </c>
    </row>
    <row r="116" spans="1:30" ht="72">
      <c r="A116" s="36" t="s">
        <v>2990</v>
      </c>
      <c r="B116" s="36" t="s">
        <v>69</v>
      </c>
      <c r="C116" s="36" t="s">
        <v>1177</v>
      </c>
      <c r="D116" s="36" t="s">
        <v>188</v>
      </c>
      <c r="E116" s="36" t="s">
        <v>2991</v>
      </c>
      <c r="F116" s="36" t="s">
        <v>10472</v>
      </c>
      <c r="G116" s="36" t="s">
        <v>10473</v>
      </c>
      <c r="H116" s="36" t="s">
        <v>10474</v>
      </c>
      <c r="I116" s="36" t="s">
        <v>10475</v>
      </c>
      <c r="J116" s="36" t="s">
        <v>10476</v>
      </c>
      <c r="K116" s="36" t="s">
        <v>10477</v>
      </c>
      <c r="L116" s="36" t="s">
        <v>10478</v>
      </c>
      <c r="M116" s="36" t="s">
        <v>10479</v>
      </c>
      <c r="N116" s="36" t="s">
        <v>10480</v>
      </c>
      <c r="O116" s="36" t="s">
        <v>10481</v>
      </c>
      <c r="P116" s="36" t="s">
        <v>10482</v>
      </c>
      <c r="Q116" s="36" t="s">
        <v>10483</v>
      </c>
      <c r="R116" s="36" t="s">
        <v>9040</v>
      </c>
      <c r="S116" s="36" t="s">
        <v>10484</v>
      </c>
      <c r="T116" s="36">
        <v>3</v>
      </c>
      <c r="U116" s="36">
        <v>3</v>
      </c>
      <c r="V116" s="36">
        <v>2</v>
      </c>
      <c r="W116" s="36">
        <v>2</v>
      </c>
      <c r="X116" s="36">
        <v>1</v>
      </c>
      <c r="Y116" s="36">
        <v>1</v>
      </c>
      <c r="Z116" s="36" t="s">
        <v>2993</v>
      </c>
      <c r="AA116" s="36" t="s">
        <v>2994</v>
      </c>
      <c r="AB116" s="36" t="s">
        <v>3001</v>
      </c>
      <c r="AC116" s="36" t="s">
        <v>3002</v>
      </c>
      <c r="AD116" s="36" t="s">
        <v>6855</v>
      </c>
    </row>
    <row r="117" spans="1:30" ht="84">
      <c r="A117" s="36" t="s">
        <v>3004</v>
      </c>
      <c r="B117" s="36" t="s">
        <v>69</v>
      </c>
      <c r="C117" s="36" t="s">
        <v>1177</v>
      </c>
      <c r="D117" s="36" t="s">
        <v>188</v>
      </c>
      <c r="E117" s="36" t="s">
        <v>3005</v>
      </c>
      <c r="F117" s="36" t="s">
        <v>10485</v>
      </c>
      <c r="G117" s="36" t="s">
        <v>10486</v>
      </c>
      <c r="H117" s="36" t="s">
        <v>10487</v>
      </c>
      <c r="I117" s="36" t="s">
        <v>10488</v>
      </c>
      <c r="J117" s="36" t="s">
        <v>10489</v>
      </c>
      <c r="K117" s="36" t="s">
        <v>10490</v>
      </c>
      <c r="L117" s="36" t="s">
        <v>10491</v>
      </c>
      <c r="M117" s="36" t="s">
        <v>10492</v>
      </c>
      <c r="N117" s="36" t="s">
        <v>10493</v>
      </c>
      <c r="O117" s="36" t="s">
        <v>10494</v>
      </c>
      <c r="P117" s="36" t="s">
        <v>10495</v>
      </c>
      <c r="Q117" s="36" t="s">
        <v>10496</v>
      </c>
      <c r="R117" s="36" t="s">
        <v>9040</v>
      </c>
      <c r="S117" s="36" t="s">
        <v>10497</v>
      </c>
      <c r="T117" s="36">
        <v>3</v>
      </c>
      <c r="U117" s="36">
        <v>3</v>
      </c>
      <c r="V117" s="36">
        <v>2</v>
      </c>
      <c r="W117" s="36">
        <v>2</v>
      </c>
      <c r="X117" s="36">
        <v>1</v>
      </c>
      <c r="Y117" s="36">
        <v>1</v>
      </c>
      <c r="Z117" s="36" t="s">
        <v>2993</v>
      </c>
      <c r="AA117" s="36" t="s">
        <v>3006</v>
      </c>
      <c r="AB117" s="36" t="s">
        <v>3001</v>
      </c>
      <c r="AC117" s="36" t="s">
        <v>3002</v>
      </c>
      <c r="AD117" s="36" t="s">
        <v>6862</v>
      </c>
    </row>
    <row r="118" spans="1:30" ht="72">
      <c r="A118" s="36" t="s">
        <v>3014</v>
      </c>
      <c r="B118" s="36" t="s">
        <v>69</v>
      </c>
      <c r="C118" s="36" t="s">
        <v>1177</v>
      </c>
      <c r="D118" s="36" t="s">
        <v>188</v>
      </c>
      <c r="E118" s="36" t="s">
        <v>3015</v>
      </c>
      <c r="F118" s="36" t="s">
        <v>10498</v>
      </c>
      <c r="G118" s="36" t="s">
        <v>10499</v>
      </c>
      <c r="H118" s="36" t="s">
        <v>10500</v>
      </c>
      <c r="I118" s="36" t="s">
        <v>10501</v>
      </c>
      <c r="J118" s="36" t="s">
        <v>10502</v>
      </c>
      <c r="K118" s="36" t="s">
        <v>10503</v>
      </c>
      <c r="L118" s="36" t="s">
        <v>10504</v>
      </c>
      <c r="M118" s="36" t="s">
        <v>10505</v>
      </c>
      <c r="N118" s="36" t="s">
        <v>10506</v>
      </c>
      <c r="O118" s="36" t="s">
        <v>10507</v>
      </c>
      <c r="P118" s="36" t="s">
        <v>10508</v>
      </c>
      <c r="Q118" s="36" t="s">
        <v>10509</v>
      </c>
      <c r="R118" s="36" t="s">
        <v>9040</v>
      </c>
      <c r="S118" s="36" t="s">
        <v>10510</v>
      </c>
      <c r="T118" s="36">
        <v>3</v>
      </c>
      <c r="U118" s="36">
        <v>3</v>
      </c>
      <c r="V118" s="36">
        <v>2</v>
      </c>
      <c r="W118" s="36">
        <v>2</v>
      </c>
      <c r="X118" s="36">
        <v>1</v>
      </c>
      <c r="Y118" s="36">
        <v>1</v>
      </c>
      <c r="Z118" s="36" t="s">
        <v>2993</v>
      </c>
      <c r="AA118" s="36" t="s">
        <v>3016</v>
      </c>
      <c r="AB118" s="36" t="s">
        <v>3001</v>
      </c>
      <c r="AC118" s="36" t="s">
        <v>3002</v>
      </c>
      <c r="AD118" s="36" t="s">
        <v>6869</v>
      </c>
    </row>
    <row r="119" spans="1:30" ht="72">
      <c r="A119" s="36" t="s">
        <v>3024</v>
      </c>
      <c r="B119" s="36" t="s">
        <v>69</v>
      </c>
      <c r="C119" s="36" t="s">
        <v>1177</v>
      </c>
      <c r="D119" s="36" t="s">
        <v>188</v>
      </c>
      <c r="E119" s="36" t="s">
        <v>3025</v>
      </c>
      <c r="F119" s="36" t="s">
        <v>10511</v>
      </c>
      <c r="G119" s="36" t="s">
        <v>10512</v>
      </c>
      <c r="H119" s="36" t="s">
        <v>10513</v>
      </c>
      <c r="I119" s="36" t="s">
        <v>10514</v>
      </c>
      <c r="J119" s="36" t="s">
        <v>10515</v>
      </c>
      <c r="K119" s="36" t="s">
        <v>10516</v>
      </c>
      <c r="L119" s="36" t="s">
        <v>10517</v>
      </c>
      <c r="M119" s="36" t="s">
        <v>10518</v>
      </c>
      <c r="N119" s="36" t="s">
        <v>10519</v>
      </c>
      <c r="O119" s="36" t="s">
        <v>10520</v>
      </c>
      <c r="P119" s="36" t="s">
        <v>10521</v>
      </c>
      <c r="Q119" s="36" t="s">
        <v>10522</v>
      </c>
      <c r="R119" s="36" t="s">
        <v>9040</v>
      </c>
      <c r="S119" s="36" t="s">
        <v>10523</v>
      </c>
      <c r="T119" s="36">
        <v>3</v>
      </c>
      <c r="U119" s="36">
        <v>3</v>
      </c>
      <c r="V119" s="36">
        <v>2</v>
      </c>
      <c r="W119" s="36">
        <v>2</v>
      </c>
      <c r="X119" s="36">
        <v>1</v>
      </c>
      <c r="Y119" s="36">
        <v>1</v>
      </c>
      <c r="Z119" s="36" t="s">
        <v>2993</v>
      </c>
      <c r="AA119" s="36" t="s">
        <v>3026</v>
      </c>
      <c r="AB119" s="36" t="s">
        <v>3001</v>
      </c>
      <c r="AC119" s="36" t="s">
        <v>3002</v>
      </c>
      <c r="AD119" s="36" t="s">
        <v>6876</v>
      </c>
    </row>
    <row r="120" spans="1:30" ht="72">
      <c r="A120" s="36" t="s">
        <v>3034</v>
      </c>
      <c r="B120" s="36" t="s">
        <v>69</v>
      </c>
      <c r="C120" s="36" t="s">
        <v>1177</v>
      </c>
      <c r="D120" s="36" t="s">
        <v>188</v>
      </c>
      <c r="E120" s="36" t="s">
        <v>3035</v>
      </c>
      <c r="F120" s="36" t="s">
        <v>10524</v>
      </c>
      <c r="G120" s="36" t="s">
        <v>10525</v>
      </c>
      <c r="H120" s="36" t="s">
        <v>10526</v>
      </c>
      <c r="I120" s="36" t="s">
        <v>10527</v>
      </c>
      <c r="J120" s="36" t="s">
        <v>10528</v>
      </c>
      <c r="K120" s="36" t="s">
        <v>10529</v>
      </c>
      <c r="L120" s="36" t="s">
        <v>10530</v>
      </c>
      <c r="M120" s="36" t="s">
        <v>10531</v>
      </c>
      <c r="N120" s="36" t="s">
        <v>10532</v>
      </c>
      <c r="O120" s="36" t="s">
        <v>10533</v>
      </c>
      <c r="P120" s="36" t="s">
        <v>10534</v>
      </c>
      <c r="Q120" s="36" t="s">
        <v>10535</v>
      </c>
      <c r="R120" s="36" t="s">
        <v>9040</v>
      </c>
      <c r="S120" s="36" t="s">
        <v>10536</v>
      </c>
      <c r="T120" s="36">
        <v>3</v>
      </c>
      <c r="U120" s="36">
        <v>3</v>
      </c>
      <c r="V120" s="36">
        <v>2</v>
      </c>
      <c r="W120" s="36">
        <v>2</v>
      </c>
      <c r="X120" s="36">
        <v>1</v>
      </c>
      <c r="Y120" s="36">
        <v>1</v>
      </c>
      <c r="Z120" s="36" t="s">
        <v>2993</v>
      </c>
      <c r="AA120" s="36" t="s">
        <v>3036</v>
      </c>
      <c r="AB120" s="36" t="s">
        <v>3001</v>
      </c>
      <c r="AC120" s="36" t="s">
        <v>3002</v>
      </c>
      <c r="AD120" s="36" t="s">
        <v>6883</v>
      </c>
    </row>
    <row r="121" spans="1:30" ht="72">
      <c r="A121" s="36" t="s">
        <v>3044</v>
      </c>
      <c r="B121" s="36" t="s">
        <v>69</v>
      </c>
      <c r="C121" s="36" t="s">
        <v>1177</v>
      </c>
      <c r="D121" s="36" t="s">
        <v>188</v>
      </c>
      <c r="E121" s="36" t="s">
        <v>3045</v>
      </c>
      <c r="F121" s="36" t="s">
        <v>10537</v>
      </c>
      <c r="G121" s="36" t="s">
        <v>10538</v>
      </c>
      <c r="H121" s="36" t="s">
        <v>10539</v>
      </c>
      <c r="I121" s="36" t="s">
        <v>10540</v>
      </c>
      <c r="J121" s="36" t="s">
        <v>10541</v>
      </c>
      <c r="K121" s="36" t="s">
        <v>10542</v>
      </c>
      <c r="L121" s="36" t="s">
        <v>10543</v>
      </c>
      <c r="M121" s="36" t="s">
        <v>10544</v>
      </c>
      <c r="N121" s="36" t="s">
        <v>10545</v>
      </c>
      <c r="O121" s="36" t="s">
        <v>10546</v>
      </c>
      <c r="P121" s="36" t="s">
        <v>10547</v>
      </c>
      <c r="Q121" s="36" t="s">
        <v>10548</v>
      </c>
      <c r="R121" s="36" t="s">
        <v>9040</v>
      </c>
      <c r="S121" s="36" t="s">
        <v>10549</v>
      </c>
      <c r="T121" s="36">
        <v>3</v>
      </c>
      <c r="U121" s="36">
        <v>3</v>
      </c>
      <c r="V121" s="36">
        <v>2</v>
      </c>
      <c r="W121" s="36">
        <v>2</v>
      </c>
      <c r="X121" s="36">
        <v>1</v>
      </c>
      <c r="Y121" s="36">
        <v>1</v>
      </c>
      <c r="Z121" s="36" t="s">
        <v>2993</v>
      </c>
      <c r="AA121" s="36" t="s">
        <v>3046</v>
      </c>
      <c r="AB121" s="36" t="s">
        <v>3001</v>
      </c>
      <c r="AC121" s="36" t="s">
        <v>3002</v>
      </c>
      <c r="AD121" s="36" t="s">
        <v>6890</v>
      </c>
    </row>
    <row r="122" spans="1:30" ht="72">
      <c r="A122" s="36" t="s">
        <v>3054</v>
      </c>
      <c r="B122" s="36" t="s">
        <v>69</v>
      </c>
      <c r="C122" s="36" t="s">
        <v>1187</v>
      </c>
      <c r="D122" s="36" t="s">
        <v>188</v>
      </c>
      <c r="E122" s="36" t="s">
        <v>3055</v>
      </c>
      <c r="F122" s="36" t="s">
        <v>10550</v>
      </c>
      <c r="G122" s="36" t="s">
        <v>10551</v>
      </c>
      <c r="H122" s="36" t="s">
        <v>10552</v>
      </c>
      <c r="I122" s="36" t="s">
        <v>10553</v>
      </c>
      <c r="J122" s="36" t="s">
        <v>10554</v>
      </c>
      <c r="K122" s="36" t="s">
        <v>10555</v>
      </c>
      <c r="L122" s="36" t="s">
        <v>10556</v>
      </c>
      <c r="M122" s="36" t="s">
        <v>10557</v>
      </c>
      <c r="N122" s="36" t="s">
        <v>10558</v>
      </c>
      <c r="O122" s="36" t="s">
        <v>10559</v>
      </c>
      <c r="P122" s="36" t="s">
        <v>10560</v>
      </c>
      <c r="Q122" s="36" t="s">
        <v>10561</v>
      </c>
      <c r="R122" s="36" t="s">
        <v>9040</v>
      </c>
      <c r="S122" s="36" t="s">
        <v>10562</v>
      </c>
      <c r="T122" s="36">
        <v>3</v>
      </c>
      <c r="U122" s="36">
        <v>3</v>
      </c>
      <c r="V122" s="36">
        <v>2</v>
      </c>
      <c r="W122" s="36">
        <v>2</v>
      </c>
      <c r="X122" s="36">
        <v>1</v>
      </c>
      <c r="Y122" s="36">
        <v>1</v>
      </c>
      <c r="Z122" s="36" t="s">
        <v>2993</v>
      </c>
      <c r="AA122" s="36" t="s">
        <v>3056</v>
      </c>
      <c r="AB122" s="36" t="s">
        <v>3001</v>
      </c>
      <c r="AC122" s="36" t="s">
        <v>3002</v>
      </c>
      <c r="AD122" s="36" t="s">
        <v>6898</v>
      </c>
    </row>
    <row r="123" spans="1:30" ht="72">
      <c r="A123" s="36" t="s">
        <v>3064</v>
      </c>
      <c r="B123" s="36" t="s">
        <v>69</v>
      </c>
      <c r="C123" s="36" t="s">
        <v>1187</v>
      </c>
      <c r="D123" s="36" t="s">
        <v>188</v>
      </c>
      <c r="E123" s="36" t="s">
        <v>3065</v>
      </c>
      <c r="F123" s="36" t="s">
        <v>10563</v>
      </c>
      <c r="G123" s="36" t="s">
        <v>10564</v>
      </c>
      <c r="H123" s="36" t="s">
        <v>10565</v>
      </c>
      <c r="I123" s="36" t="s">
        <v>10566</v>
      </c>
      <c r="J123" s="36" t="s">
        <v>10567</v>
      </c>
      <c r="K123" s="36" t="s">
        <v>10568</v>
      </c>
      <c r="L123" s="36" t="s">
        <v>10569</v>
      </c>
      <c r="M123" s="36" t="s">
        <v>10570</v>
      </c>
      <c r="N123" s="36" t="s">
        <v>10571</v>
      </c>
      <c r="O123" s="36" t="s">
        <v>10572</v>
      </c>
      <c r="P123" s="36" t="s">
        <v>10573</v>
      </c>
      <c r="Q123" s="36" t="s">
        <v>10574</v>
      </c>
      <c r="R123" s="36" t="s">
        <v>9040</v>
      </c>
      <c r="S123" s="36" t="s">
        <v>10575</v>
      </c>
      <c r="T123" s="36">
        <v>3</v>
      </c>
      <c r="U123" s="36">
        <v>3</v>
      </c>
      <c r="V123" s="36">
        <v>2</v>
      </c>
      <c r="W123" s="36">
        <v>2</v>
      </c>
      <c r="X123" s="36">
        <v>1</v>
      </c>
      <c r="Y123" s="36">
        <v>1</v>
      </c>
      <c r="Z123" s="36" t="s">
        <v>2993</v>
      </c>
      <c r="AA123" s="36" t="s">
        <v>3066</v>
      </c>
      <c r="AB123" s="36" t="s">
        <v>3001</v>
      </c>
      <c r="AC123" s="36" t="s">
        <v>3002</v>
      </c>
      <c r="AD123" s="36" t="s">
        <v>6905</v>
      </c>
    </row>
    <row r="124" spans="1:30" ht="72">
      <c r="A124" s="36" t="s">
        <v>3074</v>
      </c>
      <c r="B124" s="36" t="s">
        <v>69</v>
      </c>
      <c r="C124" s="36" t="s">
        <v>1187</v>
      </c>
      <c r="D124" s="36" t="s">
        <v>188</v>
      </c>
      <c r="E124" s="36" t="s">
        <v>3075</v>
      </c>
      <c r="F124" s="36" t="s">
        <v>10576</v>
      </c>
      <c r="G124" s="36" t="s">
        <v>10577</v>
      </c>
      <c r="H124" s="36" t="s">
        <v>10578</v>
      </c>
      <c r="I124" s="36" t="s">
        <v>10579</v>
      </c>
      <c r="J124" s="36" t="s">
        <v>10580</v>
      </c>
      <c r="K124" s="36" t="s">
        <v>10581</v>
      </c>
      <c r="L124" s="36" t="s">
        <v>10582</v>
      </c>
      <c r="M124" s="36" t="s">
        <v>10583</v>
      </c>
      <c r="N124" s="36" t="s">
        <v>10584</v>
      </c>
      <c r="O124" s="36" t="s">
        <v>10585</v>
      </c>
      <c r="P124" s="36" t="s">
        <v>10586</v>
      </c>
      <c r="Q124" s="36" t="s">
        <v>10587</v>
      </c>
      <c r="R124" s="36" t="s">
        <v>9040</v>
      </c>
      <c r="S124" s="36" t="s">
        <v>10588</v>
      </c>
      <c r="T124" s="36">
        <v>3</v>
      </c>
      <c r="U124" s="36">
        <v>3</v>
      </c>
      <c r="V124" s="36">
        <v>2</v>
      </c>
      <c r="W124" s="36">
        <v>2</v>
      </c>
      <c r="X124" s="36">
        <v>1</v>
      </c>
      <c r="Y124" s="36">
        <v>1</v>
      </c>
      <c r="Z124" s="36" t="s">
        <v>2993</v>
      </c>
      <c r="AA124" s="36" t="s">
        <v>3076</v>
      </c>
      <c r="AB124" s="36" t="s">
        <v>3001</v>
      </c>
      <c r="AC124" s="36" t="s">
        <v>3002</v>
      </c>
      <c r="AD124" s="36" t="s">
        <v>6912</v>
      </c>
    </row>
    <row r="125" spans="1:30" ht="72">
      <c r="A125" s="36" t="s">
        <v>3084</v>
      </c>
      <c r="B125" s="36" t="s">
        <v>69</v>
      </c>
      <c r="C125" s="36" t="s">
        <v>1187</v>
      </c>
      <c r="D125" s="36" t="s">
        <v>188</v>
      </c>
      <c r="E125" s="36" t="s">
        <v>3085</v>
      </c>
      <c r="F125" s="36" t="s">
        <v>10589</v>
      </c>
      <c r="G125" s="36" t="s">
        <v>10590</v>
      </c>
      <c r="H125" s="36" t="s">
        <v>10591</v>
      </c>
      <c r="I125" s="36" t="s">
        <v>10592</v>
      </c>
      <c r="J125" s="36" t="s">
        <v>10593</v>
      </c>
      <c r="K125" s="36" t="s">
        <v>10594</v>
      </c>
      <c r="L125" s="36" t="s">
        <v>10595</v>
      </c>
      <c r="M125" s="36" t="s">
        <v>10596</v>
      </c>
      <c r="N125" s="36" t="s">
        <v>10597</v>
      </c>
      <c r="O125" s="36" t="s">
        <v>10598</v>
      </c>
      <c r="P125" s="36" t="s">
        <v>10599</v>
      </c>
      <c r="Q125" s="36" t="s">
        <v>10600</v>
      </c>
      <c r="R125" s="36" t="s">
        <v>9040</v>
      </c>
      <c r="S125" s="36" t="s">
        <v>10601</v>
      </c>
      <c r="T125" s="36">
        <v>3</v>
      </c>
      <c r="U125" s="36">
        <v>3</v>
      </c>
      <c r="V125" s="36">
        <v>2</v>
      </c>
      <c r="W125" s="36">
        <v>2</v>
      </c>
      <c r="X125" s="36">
        <v>1</v>
      </c>
      <c r="Y125" s="36">
        <v>1</v>
      </c>
      <c r="Z125" s="36" t="s">
        <v>2993</v>
      </c>
      <c r="AA125" s="36" t="s">
        <v>3086</v>
      </c>
      <c r="AB125" s="36" t="s">
        <v>3001</v>
      </c>
      <c r="AC125" s="36" t="s">
        <v>3002</v>
      </c>
      <c r="AD125" s="36" t="s">
        <v>6919</v>
      </c>
    </row>
    <row r="126" spans="1:30" ht="72">
      <c r="A126" s="36" t="s">
        <v>3094</v>
      </c>
      <c r="B126" s="36" t="s">
        <v>69</v>
      </c>
      <c r="C126" s="36" t="s">
        <v>1187</v>
      </c>
      <c r="D126" s="36" t="s">
        <v>188</v>
      </c>
      <c r="E126" s="36" t="s">
        <v>3095</v>
      </c>
      <c r="F126" s="36" t="s">
        <v>10602</v>
      </c>
      <c r="G126" s="36" t="s">
        <v>10603</v>
      </c>
      <c r="H126" s="36" t="s">
        <v>10604</v>
      </c>
      <c r="I126" s="36" t="s">
        <v>10605</v>
      </c>
      <c r="J126" s="36" t="s">
        <v>10606</v>
      </c>
      <c r="K126" s="36" t="s">
        <v>10607</v>
      </c>
      <c r="L126" s="36" t="s">
        <v>10608</v>
      </c>
      <c r="M126" s="36" t="s">
        <v>10609</v>
      </c>
      <c r="N126" s="36" t="s">
        <v>10610</v>
      </c>
      <c r="O126" s="36" t="s">
        <v>10611</v>
      </c>
      <c r="P126" s="36" t="s">
        <v>10612</v>
      </c>
      <c r="Q126" s="36" t="s">
        <v>10613</v>
      </c>
      <c r="R126" s="36" t="s">
        <v>9040</v>
      </c>
      <c r="S126" s="36" t="s">
        <v>10614</v>
      </c>
      <c r="T126" s="36">
        <v>3</v>
      </c>
      <c r="U126" s="36">
        <v>3</v>
      </c>
      <c r="V126" s="36">
        <v>2</v>
      </c>
      <c r="W126" s="36">
        <v>2</v>
      </c>
      <c r="X126" s="36">
        <v>1</v>
      </c>
      <c r="Y126" s="36">
        <v>1</v>
      </c>
      <c r="Z126" s="36" t="s">
        <v>2993</v>
      </c>
      <c r="AA126" s="36" t="s">
        <v>3096</v>
      </c>
      <c r="AB126" s="36" t="s">
        <v>3001</v>
      </c>
      <c r="AC126" s="36" t="s">
        <v>3002</v>
      </c>
      <c r="AD126" s="36" t="s">
        <v>6926</v>
      </c>
    </row>
    <row r="127" spans="1:30" ht="72">
      <c r="A127" s="36" t="s">
        <v>3104</v>
      </c>
      <c r="B127" s="36" t="s">
        <v>69</v>
      </c>
      <c r="C127" s="36" t="s">
        <v>1187</v>
      </c>
      <c r="D127" s="36" t="s">
        <v>188</v>
      </c>
      <c r="E127" s="36" t="s">
        <v>3105</v>
      </c>
      <c r="F127" s="36" t="s">
        <v>10615</v>
      </c>
      <c r="G127" s="36" t="s">
        <v>10616</v>
      </c>
      <c r="H127" s="36" t="s">
        <v>10617</v>
      </c>
      <c r="I127" s="36" t="s">
        <v>10618</v>
      </c>
      <c r="J127" s="36" t="s">
        <v>10619</v>
      </c>
      <c r="K127" s="36" t="s">
        <v>10620</v>
      </c>
      <c r="L127" s="36" t="s">
        <v>10621</v>
      </c>
      <c r="M127" s="36" t="s">
        <v>10622</v>
      </c>
      <c r="N127" s="36" t="s">
        <v>10623</v>
      </c>
      <c r="O127" s="36" t="s">
        <v>10624</v>
      </c>
      <c r="P127" s="36" t="s">
        <v>10625</v>
      </c>
      <c r="Q127" s="36" t="s">
        <v>10626</v>
      </c>
      <c r="R127" s="36" t="s">
        <v>9040</v>
      </c>
      <c r="S127" s="36" t="s">
        <v>10627</v>
      </c>
      <c r="T127" s="36">
        <v>3</v>
      </c>
      <c r="U127" s="36">
        <v>3</v>
      </c>
      <c r="V127" s="36">
        <v>2</v>
      </c>
      <c r="W127" s="36">
        <v>2</v>
      </c>
      <c r="X127" s="36">
        <v>1</v>
      </c>
      <c r="Y127" s="36">
        <v>1</v>
      </c>
      <c r="Z127" s="36" t="s">
        <v>2993</v>
      </c>
      <c r="AA127" s="36" t="s">
        <v>3106</v>
      </c>
      <c r="AB127" s="36" t="s">
        <v>3001</v>
      </c>
      <c r="AC127" s="36" t="s">
        <v>3002</v>
      </c>
      <c r="AD127" s="36" t="s">
        <v>6933</v>
      </c>
    </row>
    <row r="128" spans="1:30" ht="72">
      <c r="A128" s="36" t="s">
        <v>3114</v>
      </c>
      <c r="B128" s="36" t="s">
        <v>69</v>
      </c>
      <c r="C128" s="36" t="s">
        <v>1195</v>
      </c>
      <c r="D128" s="36" t="s">
        <v>188</v>
      </c>
      <c r="E128" s="36" t="s">
        <v>3115</v>
      </c>
      <c r="F128" s="36" t="s">
        <v>10628</v>
      </c>
      <c r="G128" s="36" t="s">
        <v>10629</v>
      </c>
      <c r="H128" s="36" t="s">
        <v>10630</v>
      </c>
      <c r="I128" s="36" t="s">
        <v>10631</v>
      </c>
      <c r="J128" s="36" t="s">
        <v>10632</v>
      </c>
      <c r="K128" s="36" t="s">
        <v>10633</v>
      </c>
      <c r="L128" s="36" t="s">
        <v>10634</v>
      </c>
      <c r="M128" s="36" t="s">
        <v>10635</v>
      </c>
      <c r="N128" s="36" t="s">
        <v>10636</v>
      </c>
      <c r="O128" s="36" t="s">
        <v>10637</v>
      </c>
      <c r="P128" s="36" t="s">
        <v>10638</v>
      </c>
      <c r="Q128" s="36" t="s">
        <v>10639</v>
      </c>
      <c r="R128" s="36" t="s">
        <v>9040</v>
      </c>
      <c r="S128" s="36" t="s">
        <v>10640</v>
      </c>
      <c r="T128" s="36">
        <v>3</v>
      </c>
      <c r="U128" s="36">
        <v>3</v>
      </c>
      <c r="V128" s="36">
        <v>2</v>
      </c>
      <c r="W128" s="36">
        <v>2</v>
      </c>
      <c r="X128" s="36">
        <v>1</v>
      </c>
      <c r="Y128" s="36">
        <v>1</v>
      </c>
      <c r="Z128" s="36" t="s">
        <v>2993</v>
      </c>
      <c r="AA128" s="36" t="s">
        <v>3116</v>
      </c>
      <c r="AB128" s="36" t="s">
        <v>3001</v>
      </c>
      <c r="AC128" s="36" t="s">
        <v>3002</v>
      </c>
      <c r="AD128" s="36" t="s">
        <v>6941</v>
      </c>
    </row>
    <row r="129" spans="1:30" ht="72">
      <c r="A129" s="36" t="s">
        <v>3124</v>
      </c>
      <c r="B129" s="36" t="s">
        <v>69</v>
      </c>
      <c r="C129" s="36" t="s">
        <v>1195</v>
      </c>
      <c r="D129" s="36" t="s">
        <v>188</v>
      </c>
      <c r="E129" s="36" t="s">
        <v>3125</v>
      </c>
      <c r="F129" s="36" t="s">
        <v>10641</v>
      </c>
      <c r="G129" s="36" t="s">
        <v>10642</v>
      </c>
      <c r="H129" s="36" t="s">
        <v>10643</v>
      </c>
      <c r="I129" s="36" t="s">
        <v>10644</v>
      </c>
      <c r="J129" s="36" t="s">
        <v>10645</v>
      </c>
      <c r="K129" s="36" t="s">
        <v>10646</v>
      </c>
      <c r="L129" s="36" t="s">
        <v>10647</v>
      </c>
      <c r="M129" s="36" t="s">
        <v>10648</v>
      </c>
      <c r="N129" s="36" t="s">
        <v>10649</v>
      </c>
      <c r="O129" s="36" t="s">
        <v>10650</v>
      </c>
      <c r="P129" s="36" t="s">
        <v>10651</v>
      </c>
      <c r="Q129" s="36" t="s">
        <v>10652</v>
      </c>
      <c r="R129" s="36" t="s">
        <v>9040</v>
      </c>
      <c r="S129" s="36" t="s">
        <v>10653</v>
      </c>
      <c r="T129" s="36">
        <v>3</v>
      </c>
      <c r="U129" s="36">
        <v>3</v>
      </c>
      <c r="V129" s="36">
        <v>2</v>
      </c>
      <c r="W129" s="36">
        <v>2</v>
      </c>
      <c r="X129" s="36">
        <v>1</v>
      </c>
      <c r="Y129" s="36">
        <v>1</v>
      </c>
      <c r="Z129" s="36" t="s">
        <v>2993</v>
      </c>
      <c r="AA129" s="36" t="s">
        <v>3126</v>
      </c>
      <c r="AB129" s="36" t="s">
        <v>3001</v>
      </c>
      <c r="AC129" s="36" t="s">
        <v>3002</v>
      </c>
      <c r="AD129" s="36" t="s">
        <v>6948</v>
      </c>
    </row>
    <row r="130" spans="1:30" ht="72">
      <c r="A130" s="36" t="s">
        <v>3134</v>
      </c>
      <c r="B130" s="36" t="s">
        <v>69</v>
      </c>
      <c r="C130" s="36" t="s">
        <v>1195</v>
      </c>
      <c r="D130" s="36" t="s">
        <v>188</v>
      </c>
      <c r="E130" s="36" t="s">
        <v>3135</v>
      </c>
      <c r="F130" s="36" t="s">
        <v>10654</v>
      </c>
      <c r="G130" s="36" t="s">
        <v>10655</v>
      </c>
      <c r="H130" s="36" t="s">
        <v>10656</v>
      </c>
      <c r="I130" s="36" t="s">
        <v>10657</v>
      </c>
      <c r="J130" s="36" t="s">
        <v>10658</v>
      </c>
      <c r="K130" s="36" t="s">
        <v>10659</v>
      </c>
      <c r="L130" s="36" t="s">
        <v>10660</v>
      </c>
      <c r="M130" s="36" t="s">
        <v>10661</v>
      </c>
      <c r="N130" s="36" t="s">
        <v>10662</v>
      </c>
      <c r="O130" s="36" t="s">
        <v>10663</v>
      </c>
      <c r="P130" s="36" t="s">
        <v>10664</v>
      </c>
      <c r="Q130" s="36" t="s">
        <v>10665</v>
      </c>
      <c r="R130" s="36" t="s">
        <v>9040</v>
      </c>
      <c r="S130" s="36" t="s">
        <v>10666</v>
      </c>
      <c r="T130" s="36">
        <v>3</v>
      </c>
      <c r="U130" s="36">
        <v>3</v>
      </c>
      <c r="V130" s="36">
        <v>2</v>
      </c>
      <c r="W130" s="36">
        <v>2</v>
      </c>
      <c r="X130" s="36">
        <v>1</v>
      </c>
      <c r="Y130" s="36">
        <v>1</v>
      </c>
      <c r="Z130" s="36" t="s">
        <v>2993</v>
      </c>
      <c r="AA130" s="36" t="s">
        <v>3136</v>
      </c>
      <c r="AB130" s="36" t="s">
        <v>3001</v>
      </c>
      <c r="AC130" s="36" t="s">
        <v>3002</v>
      </c>
      <c r="AD130" s="36" t="s">
        <v>6955</v>
      </c>
    </row>
    <row r="131" spans="1:30" ht="84">
      <c r="A131" s="36" t="s">
        <v>3144</v>
      </c>
      <c r="B131" s="36" t="s">
        <v>69</v>
      </c>
      <c r="C131" s="36" t="s">
        <v>1195</v>
      </c>
      <c r="D131" s="36" t="s">
        <v>188</v>
      </c>
      <c r="E131" s="36" t="s">
        <v>3145</v>
      </c>
      <c r="F131" s="36" t="s">
        <v>10667</v>
      </c>
      <c r="G131" s="36" t="s">
        <v>10668</v>
      </c>
      <c r="H131" s="36" t="s">
        <v>10669</v>
      </c>
      <c r="I131" s="36" t="s">
        <v>10670</v>
      </c>
      <c r="J131" s="36" t="s">
        <v>10671</v>
      </c>
      <c r="K131" s="36" t="s">
        <v>10672</v>
      </c>
      <c r="L131" s="36" t="s">
        <v>10673</v>
      </c>
      <c r="M131" s="36" t="s">
        <v>10674</v>
      </c>
      <c r="N131" s="36" t="s">
        <v>10675</v>
      </c>
      <c r="O131" s="36" t="s">
        <v>10676</v>
      </c>
      <c r="P131" s="36" t="s">
        <v>10677</v>
      </c>
      <c r="Q131" s="36" t="s">
        <v>10678</v>
      </c>
      <c r="R131" s="36" t="s">
        <v>9040</v>
      </c>
      <c r="S131" s="36" t="s">
        <v>10679</v>
      </c>
      <c r="T131" s="36">
        <v>3</v>
      </c>
      <c r="U131" s="36">
        <v>3</v>
      </c>
      <c r="V131" s="36">
        <v>2</v>
      </c>
      <c r="W131" s="36">
        <v>2</v>
      </c>
      <c r="X131" s="36">
        <v>1</v>
      </c>
      <c r="Y131" s="36">
        <v>1</v>
      </c>
      <c r="Z131" s="36" t="s">
        <v>2993</v>
      </c>
      <c r="AA131" s="36" t="s">
        <v>3146</v>
      </c>
      <c r="AB131" s="36" t="s">
        <v>3001</v>
      </c>
      <c r="AC131" s="36" t="s">
        <v>3002</v>
      </c>
      <c r="AD131" s="36" t="s">
        <v>6962</v>
      </c>
    </row>
    <row r="132" spans="1:30" ht="72">
      <c r="A132" s="36" t="s">
        <v>3154</v>
      </c>
      <c r="B132" s="36" t="s">
        <v>69</v>
      </c>
      <c r="C132" s="36" t="s">
        <v>1195</v>
      </c>
      <c r="D132" s="36" t="s">
        <v>188</v>
      </c>
      <c r="E132" s="36" t="s">
        <v>3155</v>
      </c>
      <c r="F132" s="36" t="s">
        <v>10680</v>
      </c>
      <c r="G132" s="36" t="s">
        <v>10681</v>
      </c>
      <c r="H132" s="36" t="s">
        <v>10682</v>
      </c>
      <c r="I132" s="36" t="s">
        <v>10683</v>
      </c>
      <c r="J132" s="36" t="s">
        <v>10684</v>
      </c>
      <c r="K132" s="36" t="s">
        <v>10685</v>
      </c>
      <c r="L132" s="36" t="s">
        <v>10686</v>
      </c>
      <c r="M132" s="36" t="s">
        <v>10687</v>
      </c>
      <c r="N132" s="36" t="s">
        <v>10688</v>
      </c>
      <c r="O132" s="36" t="s">
        <v>10689</v>
      </c>
      <c r="P132" s="36" t="s">
        <v>10690</v>
      </c>
      <c r="Q132" s="36" t="s">
        <v>10691</v>
      </c>
      <c r="R132" s="36" t="s">
        <v>9040</v>
      </c>
      <c r="S132" s="36" t="s">
        <v>10692</v>
      </c>
      <c r="T132" s="36">
        <v>3</v>
      </c>
      <c r="U132" s="36">
        <v>3</v>
      </c>
      <c r="V132" s="36">
        <v>2</v>
      </c>
      <c r="W132" s="36">
        <v>2</v>
      </c>
      <c r="X132" s="36">
        <v>1</v>
      </c>
      <c r="Y132" s="36">
        <v>1</v>
      </c>
      <c r="Z132" s="36" t="s">
        <v>2993</v>
      </c>
      <c r="AA132" s="36" t="s">
        <v>3156</v>
      </c>
      <c r="AB132" s="36" t="s">
        <v>3001</v>
      </c>
      <c r="AC132" s="36" t="s">
        <v>3002</v>
      </c>
      <c r="AD132" s="36" t="s">
        <v>6969</v>
      </c>
    </row>
    <row r="133" spans="1:30" ht="72">
      <c r="A133" s="36" t="s">
        <v>3164</v>
      </c>
      <c r="B133" s="36" t="s">
        <v>69</v>
      </c>
      <c r="C133" s="36" t="s">
        <v>1195</v>
      </c>
      <c r="D133" s="36" t="s">
        <v>188</v>
      </c>
      <c r="E133" s="36" t="s">
        <v>3165</v>
      </c>
      <c r="F133" s="36" t="s">
        <v>10693</v>
      </c>
      <c r="G133" s="36" t="s">
        <v>10694</v>
      </c>
      <c r="H133" s="36" t="s">
        <v>10695</v>
      </c>
      <c r="I133" s="36" t="s">
        <v>10696</v>
      </c>
      <c r="J133" s="36" t="s">
        <v>10697</v>
      </c>
      <c r="K133" s="36" t="s">
        <v>10698</v>
      </c>
      <c r="L133" s="36" t="s">
        <v>10699</v>
      </c>
      <c r="M133" s="36" t="s">
        <v>10700</v>
      </c>
      <c r="N133" s="36" t="s">
        <v>10701</v>
      </c>
      <c r="O133" s="36" t="s">
        <v>10702</v>
      </c>
      <c r="P133" s="36" t="s">
        <v>10703</v>
      </c>
      <c r="Q133" s="36" t="s">
        <v>10704</v>
      </c>
      <c r="R133" s="36" t="s">
        <v>9040</v>
      </c>
      <c r="S133" s="36" t="s">
        <v>10705</v>
      </c>
      <c r="T133" s="36">
        <v>3</v>
      </c>
      <c r="U133" s="36">
        <v>3</v>
      </c>
      <c r="V133" s="36">
        <v>2</v>
      </c>
      <c r="W133" s="36">
        <v>2</v>
      </c>
      <c r="X133" s="36">
        <v>1</v>
      </c>
      <c r="Y133" s="36">
        <v>1</v>
      </c>
      <c r="Z133" s="36" t="s">
        <v>2993</v>
      </c>
      <c r="AA133" s="36" t="s">
        <v>3166</v>
      </c>
      <c r="AB133" s="36" t="s">
        <v>3001</v>
      </c>
      <c r="AC133" s="36" t="s">
        <v>3002</v>
      </c>
      <c r="AD133" s="36" t="s">
        <v>6976</v>
      </c>
    </row>
    <row r="134" spans="1:30" ht="72">
      <c r="A134" s="36" t="s">
        <v>3174</v>
      </c>
      <c r="B134" s="36" t="s">
        <v>69</v>
      </c>
      <c r="C134" s="36" t="s">
        <v>1203</v>
      </c>
      <c r="D134" s="36" t="s">
        <v>188</v>
      </c>
      <c r="E134" s="36" t="s">
        <v>3175</v>
      </c>
      <c r="F134" s="36" t="s">
        <v>10706</v>
      </c>
      <c r="G134" s="36" t="s">
        <v>10707</v>
      </c>
      <c r="H134" s="36" t="s">
        <v>10708</v>
      </c>
      <c r="I134" s="36" t="s">
        <v>10709</v>
      </c>
      <c r="J134" s="36" t="s">
        <v>10710</v>
      </c>
      <c r="K134" s="36" t="s">
        <v>10711</v>
      </c>
      <c r="L134" s="36" t="s">
        <v>10712</v>
      </c>
      <c r="M134" s="36" t="s">
        <v>10713</v>
      </c>
      <c r="N134" s="36" t="s">
        <v>10714</v>
      </c>
      <c r="O134" s="36" t="s">
        <v>10715</v>
      </c>
      <c r="P134" s="36" t="s">
        <v>10716</v>
      </c>
      <c r="Q134" s="36" t="s">
        <v>10717</v>
      </c>
      <c r="R134" s="36" t="s">
        <v>9040</v>
      </c>
      <c r="S134" s="36" t="s">
        <v>10718</v>
      </c>
      <c r="T134" s="36">
        <v>3</v>
      </c>
      <c r="U134" s="36">
        <v>3</v>
      </c>
      <c r="V134" s="36">
        <v>2</v>
      </c>
      <c r="W134" s="36">
        <v>2</v>
      </c>
      <c r="X134" s="36">
        <v>1</v>
      </c>
      <c r="Y134" s="36">
        <v>1</v>
      </c>
      <c r="Z134" s="36" t="s">
        <v>2993</v>
      </c>
      <c r="AA134" s="36" t="s">
        <v>3176</v>
      </c>
      <c r="AB134" s="36" t="s">
        <v>3001</v>
      </c>
      <c r="AC134" s="36" t="s">
        <v>3002</v>
      </c>
      <c r="AD134" s="36" t="s">
        <v>6984</v>
      </c>
    </row>
    <row r="135" spans="1:30" ht="72">
      <c r="A135" s="36" t="s">
        <v>3184</v>
      </c>
      <c r="B135" s="36" t="s">
        <v>69</v>
      </c>
      <c r="C135" s="36" t="s">
        <v>1203</v>
      </c>
      <c r="D135" s="36" t="s">
        <v>188</v>
      </c>
      <c r="E135" s="36" t="s">
        <v>3185</v>
      </c>
      <c r="F135" s="36" t="s">
        <v>10719</v>
      </c>
      <c r="G135" s="36" t="s">
        <v>10720</v>
      </c>
      <c r="H135" s="36" t="s">
        <v>10721</v>
      </c>
      <c r="I135" s="36" t="s">
        <v>10722</v>
      </c>
      <c r="J135" s="36" t="s">
        <v>10723</v>
      </c>
      <c r="K135" s="36" t="s">
        <v>10724</v>
      </c>
      <c r="L135" s="36" t="s">
        <v>10725</v>
      </c>
      <c r="M135" s="36" t="s">
        <v>10726</v>
      </c>
      <c r="N135" s="36" t="s">
        <v>10727</v>
      </c>
      <c r="O135" s="36" t="s">
        <v>10728</v>
      </c>
      <c r="P135" s="36" t="s">
        <v>10729</v>
      </c>
      <c r="Q135" s="36" t="s">
        <v>10730</v>
      </c>
      <c r="R135" s="36" t="s">
        <v>9040</v>
      </c>
      <c r="S135" s="36" t="s">
        <v>10731</v>
      </c>
      <c r="T135" s="36">
        <v>3</v>
      </c>
      <c r="U135" s="36">
        <v>3</v>
      </c>
      <c r="V135" s="36">
        <v>2</v>
      </c>
      <c r="W135" s="36">
        <v>2</v>
      </c>
      <c r="X135" s="36">
        <v>1</v>
      </c>
      <c r="Y135" s="36">
        <v>1</v>
      </c>
      <c r="Z135" s="36" t="s">
        <v>2993</v>
      </c>
      <c r="AA135" s="36" t="s">
        <v>3186</v>
      </c>
      <c r="AB135" s="36" t="s">
        <v>3001</v>
      </c>
      <c r="AC135" s="36" t="s">
        <v>3002</v>
      </c>
      <c r="AD135" s="36" t="s">
        <v>6991</v>
      </c>
    </row>
    <row r="136" spans="1:30" ht="84">
      <c r="A136" s="36" t="s">
        <v>3196</v>
      </c>
      <c r="B136" s="36" t="s">
        <v>72</v>
      </c>
      <c r="C136" s="36" t="s">
        <v>1211</v>
      </c>
      <c r="D136" s="36" t="s">
        <v>189</v>
      </c>
      <c r="E136" s="36" t="s">
        <v>3197</v>
      </c>
      <c r="F136" s="36" t="s">
        <v>10732</v>
      </c>
      <c r="G136" s="36" t="s">
        <v>10733</v>
      </c>
      <c r="H136" s="36" t="s">
        <v>10734</v>
      </c>
      <c r="I136" s="36" t="s">
        <v>10735</v>
      </c>
      <c r="J136" s="36" t="s">
        <v>10736</v>
      </c>
      <c r="K136" s="36" t="s">
        <v>10737</v>
      </c>
      <c r="L136" s="36" t="s">
        <v>10738</v>
      </c>
      <c r="M136" s="36" t="s">
        <v>10739</v>
      </c>
      <c r="N136" s="36" t="s">
        <v>10740</v>
      </c>
      <c r="O136" s="36" t="s">
        <v>10741</v>
      </c>
      <c r="P136" s="36" t="s">
        <v>10742</v>
      </c>
      <c r="Q136" s="36" t="s">
        <v>10743</v>
      </c>
      <c r="R136" s="36" t="s">
        <v>9040</v>
      </c>
      <c r="S136" s="36" t="s">
        <v>10744</v>
      </c>
      <c r="T136" s="36">
        <v>4</v>
      </c>
      <c r="U136" s="36">
        <v>3</v>
      </c>
      <c r="V136" s="36">
        <v>3</v>
      </c>
      <c r="W136" s="36">
        <v>2</v>
      </c>
      <c r="X136" s="36">
        <v>1</v>
      </c>
      <c r="Y136" s="36">
        <v>1</v>
      </c>
      <c r="Z136" s="36" t="s">
        <v>3199</v>
      </c>
      <c r="AA136" s="36" t="s">
        <v>3200</v>
      </c>
      <c r="AB136" s="36" t="s">
        <v>3207</v>
      </c>
      <c r="AC136" s="36" t="s">
        <v>3208</v>
      </c>
      <c r="AD136" s="36" t="s">
        <v>6999</v>
      </c>
    </row>
    <row r="137" spans="1:30" ht="84">
      <c r="A137" s="36" t="s">
        <v>3210</v>
      </c>
      <c r="B137" s="36" t="s">
        <v>72</v>
      </c>
      <c r="C137" s="36" t="s">
        <v>1211</v>
      </c>
      <c r="D137" s="36" t="s">
        <v>189</v>
      </c>
      <c r="E137" s="36" t="s">
        <v>3211</v>
      </c>
      <c r="F137" s="36" t="s">
        <v>10745</v>
      </c>
      <c r="G137" s="36" t="s">
        <v>10746</v>
      </c>
      <c r="H137" s="36" t="s">
        <v>10747</v>
      </c>
      <c r="I137" s="36" t="s">
        <v>10748</v>
      </c>
      <c r="J137" s="36" t="s">
        <v>10749</v>
      </c>
      <c r="K137" s="36" t="s">
        <v>10750</v>
      </c>
      <c r="L137" s="36" t="s">
        <v>10751</v>
      </c>
      <c r="M137" s="36" t="s">
        <v>10752</v>
      </c>
      <c r="N137" s="36" t="s">
        <v>10753</v>
      </c>
      <c r="O137" s="36" t="s">
        <v>10754</v>
      </c>
      <c r="P137" s="36" t="s">
        <v>10755</v>
      </c>
      <c r="Q137" s="36" t="s">
        <v>10756</v>
      </c>
      <c r="R137" s="36" t="s">
        <v>9040</v>
      </c>
      <c r="S137" s="36" t="s">
        <v>10757</v>
      </c>
      <c r="T137" s="36">
        <v>4</v>
      </c>
      <c r="U137" s="36">
        <v>3</v>
      </c>
      <c r="V137" s="36">
        <v>3</v>
      </c>
      <c r="W137" s="36">
        <v>2</v>
      </c>
      <c r="X137" s="36">
        <v>1</v>
      </c>
      <c r="Y137" s="36">
        <v>1</v>
      </c>
      <c r="Z137" s="36" t="s">
        <v>3199</v>
      </c>
      <c r="AA137" s="36" t="s">
        <v>3212</v>
      </c>
      <c r="AB137" s="36" t="s">
        <v>3207</v>
      </c>
      <c r="AC137" s="36" t="s">
        <v>3208</v>
      </c>
      <c r="AD137" s="36" t="s">
        <v>7006</v>
      </c>
    </row>
    <row r="138" spans="1:30" ht="72">
      <c r="A138" s="36" t="s">
        <v>3220</v>
      </c>
      <c r="B138" s="36" t="s">
        <v>72</v>
      </c>
      <c r="C138" s="36" t="s">
        <v>1211</v>
      </c>
      <c r="D138" s="36" t="s">
        <v>189</v>
      </c>
      <c r="E138" s="36" t="s">
        <v>3221</v>
      </c>
      <c r="F138" s="36" t="s">
        <v>10758</v>
      </c>
      <c r="G138" s="36" t="s">
        <v>10759</v>
      </c>
      <c r="H138" s="36" t="s">
        <v>10760</v>
      </c>
      <c r="I138" s="36" t="s">
        <v>10761</v>
      </c>
      <c r="J138" s="36" t="s">
        <v>10762</v>
      </c>
      <c r="K138" s="36" t="s">
        <v>10763</v>
      </c>
      <c r="L138" s="36" t="s">
        <v>10764</v>
      </c>
      <c r="M138" s="36" t="s">
        <v>10765</v>
      </c>
      <c r="N138" s="36" t="s">
        <v>10766</v>
      </c>
      <c r="O138" s="36" t="s">
        <v>10767</v>
      </c>
      <c r="P138" s="36" t="s">
        <v>10768</v>
      </c>
      <c r="Q138" s="36" t="s">
        <v>10769</v>
      </c>
      <c r="R138" s="36" t="s">
        <v>9040</v>
      </c>
      <c r="S138" s="36" t="s">
        <v>10770</v>
      </c>
      <c r="T138" s="36">
        <v>4</v>
      </c>
      <c r="U138" s="36">
        <v>3</v>
      </c>
      <c r="V138" s="36">
        <v>3</v>
      </c>
      <c r="W138" s="36">
        <v>2</v>
      </c>
      <c r="X138" s="36">
        <v>1</v>
      </c>
      <c r="Y138" s="36">
        <v>1</v>
      </c>
      <c r="Z138" s="36" t="s">
        <v>3199</v>
      </c>
      <c r="AA138" s="36" t="s">
        <v>3222</v>
      </c>
      <c r="AB138" s="36" t="s">
        <v>3207</v>
      </c>
      <c r="AC138" s="36" t="s">
        <v>3208</v>
      </c>
      <c r="AD138" s="36" t="s">
        <v>7013</v>
      </c>
    </row>
    <row r="139" spans="1:30" ht="84">
      <c r="A139" s="36" t="s">
        <v>3230</v>
      </c>
      <c r="B139" s="36" t="s">
        <v>72</v>
      </c>
      <c r="C139" s="36" t="s">
        <v>1211</v>
      </c>
      <c r="D139" s="36" t="s">
        <v>189</v>
      </c>
      <c r="E139" s="36" t="s">
        <v>3231</v>
      </c>
      <c r="F139" s="36" t="s">
        <v>10771</v>
      </c>
      <c r="G139" s="36" t="s">
        <v>10772</v>
      </c>
      <c r="H139" s="36" t="s">
        <v>10773</v>
      </c>
      <c r="I139" s="36" t="s">
        <v>10774</v>
      </c>
      <c r="J139" s="36" t="s">
        <v>10775</v>
      </c>
      <c r="K139" s="36" t="s">
        <v>10776</v>
      </c>
      <c r="L139" s="36" t="s">
        <v>10777</v>
      </c>
      <c r="M139" s="36" t="s">
        <v>10778</v>
      </c>
      <c r="N139" s="36" t="s">
        <v>10779</v>
      </c>
      <c r="O139" s="36" t="s">
        <v>10780</v>
      </c>
      <c r="P139" s="36" t="s">
        <v>10781</v>
      </c>
      <c r="Q139" s="36" t="s">
        <v>10782</v>
      </c>
      <c r="R139" s="36" t="s">
        <v>9040</v>
      </c>
      <c r="S139" s="36" t="s">
        <v>10783</v>
      </c>
      <c r="T139" s="36">
        <v>4</v>
      </c>
      <c r="U139" s="36">
        <v>3</v>
      </c>
      <c r="V139" s="36">
        <v>3</v>
      </c>
      <c r="W139" s="36">
        <v>2</v>
      </c>
      <c r="X139" s="36">
        <v>1</v>
      </c>
      <c r="Y139" s="36">
        <v>1</v>
      </c>
      <c r="Z139" s="36" t="s">
        <v>3199</v>
      </c>
      <c r="AA139" s="36" t="s">
        <v>3232</v>
      </c>
      <c r="AB139" s="36" t="s">
        <v>3207</v>
      </c>
      <c r="AC139" s="36" t="s">
        <v>3208</v>
      </c>
      <c r="AD139" s="36" t="s">
        <v>7020</v>
      </c>
    </row>
    <row r="140" spans="1:30" ht="72">
      <c r="A140" s="36" t="s">
        <v>3240</v>
      </c>
      <c r="B140" s="36" t="s">
        <v>72</v>
      </c>
      <c r="C140" s="36" t="s">
        <v>1211</v>
      </c>
      <c r="D140" s="36" t="s">
        <v>189</v>
      </c>
      <c r="E140" s="36" t="s">
        <v>3241</v>
      </c>
      <c r="F140" s="36" t="s">
        <v>10784</v>
      </c>
      <c r="G140" s="36" t="s">
        <v>10785</v>
      </c>
      <c r="H140" s="36" t="s">
        <v>10786</v>
      </c>
      <c r="I140" s="36" t="s">
        <v>10787</v>
      </c>
      <c r="J140" s="36" t="s">
        <v>10788</v>
      </c>
      <c r="K140" s="36" t="s">
        <v>10789</v>
      </c>
      <c r="L140" s="36" t="s">
        <v>10790</v>
      </c>
      <c r="M140" s="36" t="s">
        <v>10791</v>
      </c>
      <c r="N140" s="36" t="s">
        <v>10792</v>
      </c>
      <c r="O140" s="36" t="s">
        <v>10793</v>
      </c>
      <c r="P140" s="36" t="s">
        <v>10794</v>
      </c>
      <c r="Q140" s="36" t="s">
        <v>10795</v>
      </c>
      <c r="R140" s="36" t="s">
        <v>9040</v>
      </c>
      <c r="S140" s="36" t="s">
        <v>10796</v>
      </c>
      <c r="T140" s="36">
        <v>4</v>
      </c>
      <c r="U140" s="36">
        <v>3</v>
      </c>
      <c r="V140" s="36">
        <v>3</v>
      </c>
      <c r="W140" s="36">
        <v>2</v>
      </c>
      <c r="X140" s="36">
        <v>1</v>
      </c>
      <c r="Y140" s="36">
        <v>1</v>
      </c>
      <c r="Z140" s="36" t="s">
        <v>3199</v>
      </c>
      <c r="AA140" s="36" t="s">
        <v>3242</v>
      </c>
      <c r="AB140" s="36" t="s">
        <v>3207</v>
      </c>
      <c r="AC140" s="36" t="s">
        <v>3208</v>
      </c>
      <c r="AD140" s="36" t="s">
        <v>7027</v>
      </c>
    </row>
    <row r="141" spans="1:30" ht="72">
      <c r="A141" s="36" t="s">
        <v>3250</v>
      </c>
      <c r="B141" s="36" t="s">
        <v>72</v>
      </c>
      <c r="C141" s="36" t="s">
        <v>1211</v>
      </c>
      <c r="D141" s="36" t="s">
        <v>189</v>
      </c>
      <c r="E141" s="36" t="s">
        <v>3251</v>
      </c>
      <c r="F141" s="36" t="s">
        <v>10797</v>
      </c>
      <c r="G141" s="36" t="s">
        <v>10798</v>
      </c>
      <c r="H141" s="36" t="s">
        <v>10799</v>
      </c>
      <c r="I141" s="36" t="s">
        <v>10800</v>
      </c>
      <c r="J141" s="36" t="s">
        <v>10801</v>
      </c>
      <c r="K141" s="36" t="s">
        <v>10802</v>
      </c>
      <c r="L141" s="36" t="s">
        <v>10803</v>
      </c>
      <c r="M141" s="36" t="s">
        <v>10804</v>
      </c>
      <c r="N141" s="36" t="s">
        <v>10805</v>
      </c>
      <c r="O141" s="36" t="s">
        <v>10806</v>
      </c>
      <c r="P141" s="36" t="s">
        <v>10807</v>
      </c>
      <c r="Q141" s="36" t="s">
        <v>10808</v>
      </c>
      <c r="R141" s="36" t="s">
        <v>9040</v>
      </c>
      <c r="S141" s="36" t="s">
        <v>10809</v>
      </c>
      <c r="T141" s="36">
        <v>4</v>
      </c>
      <c r="U141" s="36">
        <v>3</v>
      </c>
      <c r="V141" s="36">
        <v>3</v>
      </c>
      <c r="W141" s="36">
        <v>2</v>
      </c>
      <c r="X141" s="36">
        <v>1</v>
      </c>
      <c r="Y141" s="36">
        <v>1</v>
      </c>
      <c r="Z141" s="36" t="s">
        <v>3199</v>
      </c>
      <c r="AA141" s="36" t="s">
        <v>3252</v>
      </c>
      <c r="AB141" s="36" t="s">
        <v>3207</v>
      </c>
      <c r="AC141" s="36" t="s">
        <v>3208</v>
      </c>
      <c r="AD141" s="36" t="s">
        <v>7034</v>
      </c>
    </row>
    <row r="142" spans="1:30" ht="84">
      <c r="A142" s="36" t="s">
        <v>3260</v>
      </c>
      <c r="B142" s="36" t="s">
        <v>72</v>
      </c>
      <c r="C142" s="36" t="s">
        <v>1226</v>
      </c>
      <c r="D142" s="36" t="s">
        <v>189</v>
      </c>
      <c r="E142" s="36" t="s">
        <v>3261</v>
      </c>
      <c r="F142" s="36" t="s">
        <v>10810</v>
      </c>
      <c r="G142" s="36" t="s">
        <v>10811</v>
      </c>
      <c r="H142" s="36" t="s">
        <v>10812</v>
      </c>
      <c r="I142" s="36" t="s">
        <v>10813</v>
      </c>
      <c r="J142" s="36" t="s">
        <v>10814</v>
      </c>
      <c r="K142" s="36" t="s">
        <v>10815</v>
      </c>
      <c r="L142" s="36" t="s">
        <v>10816</v>
      </c>
      <c r="M142" s="36" t="s">
        <v>10817</v>
      </c>
      <c r="N142" s="36" t="s">
        <v>10818</v>
      </c>
      <c r="O142" s="36" t="s">
        <v>10819</v>
      </c>
      <c r="P142" s="36" t="s">
        <v>10820</v>
      </c>
      <c r="Q142" s="36" t="s">
        <v>10821</v>
      </c>
      <c r="R142" s="36" t="s">
        <v>9040</v>
      </c>
      <c r="S142" s="36" t="s">
        <v>10822</v>
      </c>
      <c r="T142" s="36">
        <v>4</v>
      </c>
      <c r="U142" s="36">
        <v>3</v>
      </c>
      <c r="V142" s="36">
        <v>3</v>
      </c>
      <c r="W142" s="36">
        <v>2</v>
      </c>
      <c r="X142" s="36">
        <v>1</v>
      </c>
      <c r="Y142" s="36">
        <v>1</v>
      </c>
      <c r="Z142" s="36" t="s">
        <v>3199</v>
      </c>
      <c r="AA142" s="36" t="s">
        <v>3262</v>
      </c>
      <c r="AB142" s="36" t="s">
        <v>3207</v>
      </c>
      <c r="AC142" s="36" t="s">
        <v>3208</v>
      </c>
      <c r="AD142" s="36" t="s">
        <v>7042</v>
      </c>
    </row>
    <row r="143" spans="1:30" ht="84">
      <c r="A143" s="36" t="s">
        <v>3270</v>
      </c>
      <c r="B143" s="36" t="s">
        <v>72</v>
      </c>
      <c r="C143" s="36" t="s">
        <v>1226</v>
      </c>
      <c r="D143" s="36" t="s">
        <v>189</v>
      </c>
      <c r="E143" s="36" t="s">
        <v>3271</v>
      </c>
      <c r="F143" s="36" t="s">
        <v>10823</v>
      </c>
      <c r="G143" s="36" t="s">
        <v>10824</v>
      </c>
      <c r="H143" s="36" t="s">
        <v>10825</v>
      </c>
      <c r="I143" s="36" t="s">
        <v>10826</v>
      </c>
      <c r="J143" s="36" t="s">
        <v>10827</v>
      </c>
      <c r="K143" s="36" t="s">
        <v>10828</v>
      </c>
      <c r="L143" s="36" t="s">
        <v>10829</v>
      </c>
      <c r="M143" s="36" t="s">
        <v>10830</v>
      </c>
      <c r="N143" s="36" t="s">
        <v>10831</v>
      </c>
      <c r="O143" s="36" t="s">
        <v>10832</v>
      </c>
      <c r="P143" s="36" t="s">
        <v>10833</v>
      </c>
      <c r="Q143" s="36" t="s">
        <v>10834</v>
      </c>
      <c r="R143" s="36" t="s">
        <v>9040</v>
      </c>
      <c r="S143" s="36" t="s">
        <v>10835</v>
      </c>
      <c r="T143" s="36">
        <v>4</v>
      </c>
      <c r="U143" s="36">
        <v>3</v>
      </c>
      <c r="V143" s="36">
        <v>3</v>
      </c>
      <c r="W143" s="36">
        <v>2</v>
      </c>
      <c r="X143" s="36">
        <v>1</v>
      </c>
      <c r="Y143" s="36">
        <v>1</v>
      </c>
      <c r="Z143" s="36" t="s">
        <v>3199</v>
      </c>
      <c r="AA143" s="36" t="s">
        <v>3272</v>
      </c>
      <c r="AB143" s="36" t="s">
        <v>3207</v>
      </c>
      <c r="AC143" s="36" t="s">
        <v>3208</v>
      </c>
      <c r="AD143" s="36" t="s">
        <v>7049</v>
      </c>
    </row>
    <row r="144" spans="1:30" ht="72">
      <c r="A144" s="36" t="s">
        <v>3280</v>
      </c>
      <c r="B144" s="36" t="s">
        <v>72</v>
      </c>
      <c r="C144" s="36" t="s">
        <v>1226</v>
      </c>
      <c r="D144" s="36" t="s">
        <v>189</v>
      </c>
      <c r="E144" s="36" t="s">
        <v>3281</v>
      </c>
      <c r="F144" s="36" t="s">
        <v>10836</v>
      </c>
      <c r="G144" s="36" t="s">
        <v>10837</v>
      </c>
      <c r="H144" s="36" t="s">
        <v>10838</v>
      </c>
      <c r="I144" s="36" t="s">
        <v>10839</v>
      </c>
      <c r="J144" s="36" t="s">
        <v>10840</v>
      </c>
      <c r="K144" s="36" t="s">
        <v>10841</v>
      </c>
      <c r="L144" s="36" t="s">
        <v>10842</v>
      </c>
      <c r="M144" s="36" t="s">
        <v>10843</v>
      </c>
      <c r="N144" s="36" t="s">
        <v>10844</v>
      </c>
      <c r="O144" s="36" t="s">
        <v>10845</v>
      </c>
      <c r="P144" s="36" t="s">
        <v>10846</v>
      </c>
      <c r="Q144" s="36" t="s">
        <v>10847</v>
      </c>
      <c r="R144" s="36" t="s">
        <v>9040</v>
      </c>
      <c r="S144" s="36" t="s">
        <v>10848</v>
      </c>
      <c r="T144" s="36">
        <v>4</v>
      </c>
      <c r="U144" s="36">
        <v>3</v>
      </c>
      <c r="V144" s="36">
        <v>3</v>
      </c>
      <c r="W144" s="36">
        <v>2</v>
      </c>
      <c r="X144" s="36">
        <v>1</v>
      </c>
      <c r="Y144" s="36">
        <v>1</v>
      </c>
      <c r="Z144" s="36" t="s">
        <v>3199</v>
      </c>
      <c r="AA144" s="36" t="s">
        <v>3282</v>
      </c>
      <c r="AB144" s="36" t="s">
        <v>3207</v>
      </c>
      <c r="AC144" s="36" t="s">
        <v>3208</v>
      </c>
      <c r="AD144" s="36" t="s">
        <v>7056</v>
      </c>
    </row>
    <row r="145" spans="1:30" ht="84">
      <c r="A145" s="36" t="s">
        <v>3290</v>
      </c>
      <c r="B145" s="36" t="s">
        <v>72</v>
      </c>
      <c r="C145" s="36" t="s">
        <v>1226</v>
      </c>
      <c r="D145" s="36" t="s">
        <v>189</v>
      </c>
      <c r="E145" s="36" t="s">
        <v>3291</v>
      </c>
      <c r="F145" s="36" t="s">
        <v>10849</v>
      </c>
      <c r="G145" s="36" t="s">
        <v>10850</v>
      </c>
      <c r="H145" s="36" t="s">
        <v>10851</v>
      </c>
      <c r="I145" s="36" t="s">
        <v>10852</v>
      </c>
      <c r="J145" s="36" t="s">
        <v>10853</v>
      </c>
      <c r="K145" s="36" t="s">
        <v>10854</v>
      </c>
      <c r="L145" s="36" t="s">
        <v>10855</v>
      </c>
      <c r="M145" s="36" t="s">
        <v>10856</v>
      </c>
      <c r="N145" s="36" t="s">
        <v>10857</v>
      </c>
      <c r="O145" s="36" t="s">
        <v>10858</v>
      </c>
      <c r="P145" s="36" t="s">
        <v>10859</v>
      </c>
      <c r="Q145" s="36" t="s">
        <v>10860</v>
      </c>
      <c r="R145" s="36" t="s">
        <v>9040</v>
      </c>
      <c r="S145" s="36" t="s">
        <v>10861</v>
      </c>
      <c r="T145" s="36">
        <v>4</v>
      </c>
      <c r="U145" s="36">
        <v>3</v>
      </c>
      <c r="V145" s="36">
        <v>3</v>
      </c>
      <c r="W145" s="36">
        <v>2</v>
      </c>
      <c r="X145" s="36">
        <v>1</v>
      </c>
      <c r="Y145" s="36">
        <v>1</v>
      </c>
      <c r="Z145" s="36" t="s">
        <v>3199</v>
      </c>
      <c r="AA145" s="36" t="s">
        <v>3292</v>
      </c>
      <c r="AB145" s="36" t="s">
        <v>3207</v>
      </c>
      <c r="AC145" s="36" t="s">
        <v>3208</v>
      </c>
      <c r="AD145" s="36" t="s">
        <v>7063</v>
      </c>
    </row>
    <row r="146" spans="1:30" ht="72">
      <c r="A146" s="36" t="s">
        <v>3300</v>
      </c>
      <c r="B146" s="36" t="s">
        <v>72</v>
      </c>
      <c r="C146" s="36" t="s">
        <v>1226</v>
      </c>
      <c r="D146" s="36" t="s">
        <v>189</v>
      </c>
      <c r="E146" s="36" t="s">
        <v>3301</v>
      </c>
      <c r="F146" s="36" t="s">
        <v>10862</v>
      </c>
      <c r="G146" s="36" t="s">
        <v>10863</v>
      </c>
      <c r="H146" s="36" t="s">
        <v>10864</v>
      </c>
      <c r="I146" s="36" t="s">
        <v>10865</v>
      </c>
      <c r="J146" s="36" t="s">
        <v>10866</v>
      </c>
      <c r="K146" s="36" t="s">
        <v>10867</v>
      </c>
      <c r="L146" s="36" t="s">
        <v>10868</v>
      </c>
      <c r="M146" s="36" t="s">
        <v>10869</v>
      </c>
      <c r="N146" s="36" t="s">
        <v>10870</v>
      </c>
      <c r="O146" s="36" t="s">
        <v>10871</v>
      </c>
      <c r="P146" s="36" t="s">
        <v>10872</v>
      </c>
      <c r="Q146" s="36" t="s">
        <v>10873</v>
      </c>
      <c r="R146" s="36" t="s">
        <v>9040</v>
      </c>
      <c r="S146" s="36" t="s">
        <v>10874</v>
      </c>
      <c r="T146" s="36">
        <v>4</v>
      </c>
      <c r="U146" s="36">
        <v>3</v>
      </c>
      <c r="V146" s="36">
        <v>3</v>
      </c>
      <c r="W146" s="36">
        <v>2</v>
      </c>
      <c r="X146" s="36">
        <v>1</v>
      </c>
      <c r="Y146" s="36">
        <v>1</v>
      </c>
      <c r="Z146" s="36" t="s">
        <v>3199</v>
      </c>
      <c r="AA146" s="36" t="s">
        <v>3302</v>
      </c>
      <c r="AB146" s="36" t="s">
        <v>3207</v>
      </c>
      <c r="AC146" s="36" t="s">
        <v>3208</v>
      </c>
      <c r="AD146" s="36" t="s">
        <v>7070</v>
      </c>
    </row>
    <row r="147" spans="1:30" ht="84">
      <c r="A147" s="36" t="s">
        <v>3310</v>
      </c>
      <c r="B147" s="36" t="s">
        <v>72</v>
      </c>
      <c r="C147" s="36" t="s">
        <v>1226</v>
      </c>
      <c r="D147" s="36" t="s">
        <v>189</v>
      </c>
      <c r="E147" s="36" t="s">
        <v>3311</v>
      </c>
      <c r="F147" s="36" t="s">
        <v>10875</v>
      </c>
      <c r="G147" s="36" t="s">
        <v>10876</v>
      </c>
      <c r="H147" s="36" t="s">
        <v>10877</v>
      </c>
      <c r="I147" s="36" t="s">
        <v>10878</v>
      </c>
      <c r="J147" s="36" t="s">
        <v>10879</v>
      </c>
      <c r="K147" s="36" t="s">
        <v>10880</v>
      </c>
      <c r="L147" s="36" t="s">
        <v>10881</v>
      </c>
      <c r="M147" s="36" t="s">
        <v>10882</v>
      </c>
      <c r="N147" s="36" t="s">
        <v>10883</v>
      </c>
      <c r="O147" s="36" t="s">
        <v>10884</v>
      </c>
      <c r="P147" s="36" t="s">
        <v>10885</v>
      </c>
      <c r="Q147" s="36" t="s">
        <v>10886</v>
      </c>
      <c r="R147" s="36" t="s">
        <v>9040</v>
      </c>
      <c r="S147" s="36" t="s">
        <v>10887</v>
      </c>
      <c r="T147" s="36">
        <v>4</v>
      </c>
      <c r="U147" s="36">
        <v>3</v>
      </c>
      <c r="V147" s="36">
        <v>3</v>
      </c>
      <c r="W147" s="36">
        <v>2</v>
      </c>
      <c r="X147" s="36">
        <v>1</v>
      </c>
      <c r="Y147" s="36">
        <v>1</v>
      </c>
      <c r="Z147" s="36" t="s">
        <v>3199</v>
      </c>
      <c r="AA147" s="36" t="s">
        <v>3312</v>
      </c>
      <c r="AB147" s="36" t="s">
        <v>3207</v>
      </c>
      <c r="AC147" s="36" t="s">
        <v>3208</v>
      </c>
      <c r="AD147" s="36" t="s">
        <v>7077</v>
      </c>
    </row>
    <row r="148" spans="1:30" ht="84">
      <c r="A148" s="36" t="s">
        <v>3320</v>
      </c>
      <c r="B148" s="36" t="s">
        <v>72</v>
      </c>
      <c r="C148" s="36" t="s">
        <v>1234</v>
      </c>
      <c r="D148" s="36" t="s">
        <v>189</v>
      </c>
      <c r="E148" s="36" t="s">
        <v>3321</v>
      </c>
      <c r="F148" s="36" t="s">
        <v>10888</v>
      </c>
      <c r="G148" s="36" t="s">
        <v>10889</v>
      </c>
      <c r="H148" s="36" t="s">
        <v>10890</v>
      </c>
      <c r="I148" s="36" t="s">
        <v>10891</v>
      </c>
      <c r="J148" s="36" t="s">
        <v>10892</v>
      </c>
      <c r="K148" s="36" t="s">
        <v>10893</v>
      </c>
      <c r="L148" s="36" t="s">
        <v>10894</v>
      </c>
      <c r="M148" s="36" t="s">
        <v>10895</v>
      </c>
      <c r="N148" s="36" t="s">
        <v>10896</v>
      </c>
      <c r="O148" s="36" t="s">
        <v>10897</v>
      </c>
      <c r="P148" s="36" t="s">
        <v>10898</v>
      </c>
      <c r="Q148" s="36" t="s">
        <v>10899</v>
      </c>
      <c r="R148" s="36" t="s">
        <v>9040</v>
      </c>
      <c r="S148" s="36" t="s">
        <v>10900</v>
      </c>
      <c r="T148" s="36">
        <v>4</v>
      </c>
      <c r="U148" s="36">
        <v>3</v>
      </c>
      <c r="V148" s="36">
        <v>3</v>
      </c>
      <c r="W148" s="36">
        <v>2</v>
      </c>
      <c r="X148" s="36">
        <v>1</v>
      </c>
      <c r="Y148" s="36">
        <v>1</v>
      </c>
      <c r="Z148" s="36" t="s">
        <v>3199</v>
      </c>
      <c r="AA148" s="36" t="s">
        <v>3322</v>
      </c>
      <c r="AB148" s="36" t="s">
        <v>3207</v>
      </c>
      <c r="AC148" s="36" t="s">
        <v>3208</v>
      </c>
      <c r="AD148" s="36" t="s">
        <v>7085</v>
      </c>
    </row>
    <row r="149" spans="1:30" ht="72">
      <c r="A149" s="36" t="s">
        <v>3330</v>
      </c>
      <c r="B149" s="36" t="s">
        <v>72</v>
      </c>
      <c r="C149" s="36" t="s">
        <v>1234</v>
      </c>
      <c r="D149" s="36" t="s">
        <v>189</v>
      </c>
      <c r="E149" s="36" t="s">
        <v>3331</v>
      </c>
      <c r="F149" s="36" t="s">
        <v>10901</v>
      </c>
      <c r="G149" s="36" t="s">
        <v>10902</v>
      </c>
      <c r="H149" s="36" t="s">
        <v>10903</v>
      </c>
      <c r="I149" s="36" t="s">
        <v>10904</v>
      </c>
      <c r="J149" s="36" t="s">
        <v>10905</v>
      </c>
      <c r="K149" s="36" t="s">
        <v>10906</v>
      </c>
      <c r="L149" s="36" t="s">
        <v>10907</v>
      </c>
      <c r="M149" s="36" t="s">
        <v>10908</v>
      </c>
      <c r="N149" s="36" t="s">
        <v>10909</v>
      </c>
      <c r="O149" s="36" t="s">
        <v>10910</v>
      </c>
      <c r="P149" s="36" t="s">
        <v>10911</v>
      </c>
      <c r="Q149" s="36" t="s">
        <v>10912</v>
      </c>
      <c r="R149" s="36" t="s">
        <v>9040</v>
      </c>
      <c r="S149" s="36" t="s">
        <v>10913</v>
      </c>
      <c r="T149" s="36">
        <v>4</v>
      </c>
      <c r="U149" s="36">
        <v>3</v>
      </c>
      <c r="V149" s="36">
        <v>3</v>
      </c>
      <c r="W149" s="36">
        <v>2</v>
      </c>
      <c r="X149" s="36">
        <v>1</v>
      </c>
      <c r="Y149" s="36">
        <v>1</v>
      </c>
      <c r="Z149" s="36" t="s">
        <v>3199</v>
      </c>
      <c r="AA149" s="36" t="s">
        <v>3332</v>
      </c>
      <c r="AB149" s="36" t="s">
        <v>3207</v>
      </c>
      <c r="AC149" s="36" t="s">
        <v>3208</v>
      </c>
      <c r="AD149" s="36" t="s">
        <v>7092</v>
      </c>
    </row>
    <row r="150" spans="1:30" ht="72">
      <c r="A150" s="36" t="s">
        <v>3340</v>
      </c>
      <c r="B150" s="36" t="s">
        <v>72</v>
      </c>
      <c r="C150" s="36" t="s">
        <v>1234</v>
      </c>
      <c r="D150" s="36" t="s">
        <v>189</v>
      </c>
      <c r="E150" s="36" t="s">
        <v>3341</v>
      </c>
      <c r="F150" s="36" t="s">
        <v>10914</v>
      </c>
      <c r="G150" s="36" t="s">
        <v>10915</v>
      </c>
      <c r="H150" s="36" t="s">
        <v>10916</v>
      </c>
      <c r="I150" s="36" t="s">
        <v>10917</v>
      </c>
      <c r="J150" s="36" t="s">
        <v>10918</v>
      </c>
      <c r="K150" s="36" t="s">
        <v>10919</v>
      </c>
      <c r="L150" s="36" t="s">
        <v>10920</v>
      </c>
      <c r="M150" s="36" t="s">
        <v>10921</v>
      </c>
      <c r="N150" s="36" t="s">
        <v>10922</v>
      </c>
      <c r="O150" s="36" t="s">
        <v>10923</v>
      </c>
      <c r="P150" s="36" t="s">
        <v>10924</v>
      </c>
      <c r="Q150" s="36" t="s">
        <v>10925</v>
      </c>
      <c r="R150" s="36" t="s">
        <v>9040</v>
      </c>
      <c r="S150" s="36" t="s">
        <v>10926</v>
      </c>
      <c r="T150" s="36">
        <v>4</v>
      </c>
      <c r="U150" s="36">
        <v>3</v>
      </c>
      <c r="V150" s="36">
        <v>3</v>
      </c>
      <c r="W150" s="36">
        <v>2</v>
      </c>
      <c r="X150" s="36">
        <v>1</v>
      </c>
      <c r="Y150" s="36">
        <v>1</v>
      </c>
      <c r="Z150" s="36" t="s">
        <v>3199</v>
      </c>
      <c r="AA150" s="36" t="s">
        <v>3342</v>
      </c>
      <c r="AB150" s="36" t="s">
        <v>3207</v>
      </c>
      <c r="AC150" s="36" t="s">
        <v>3208</v>
      </c>
      <c r="AD150" s="36" t="s">
        <v>7099</v>
      </c>
    </row>
    <row r="151" spans="1:30" ht="72">
      <c r="A151" s="36" t="s">
        <v>3350</v>
      </c>
      <c r="B151" s="36" t="s">
        <v>72</v>
      </c>
      <c r="C151" s="36" t="s">
        <v>1234</v>
      </c>
      <c r="D151" s="36" t="s">
        <v>189</v>
      </c>
      <c r="E151" s="36" t="s">
        <v>3351</v>
      </c>
      <c r="F151" s="36" t="s">
        <v>10927</v>
      </c>
      <c r="G151" s="36" t="s">
        <v>10928</v>
      </c>
      <c r="H151" s="36" t="s">
        <v>10929</v>
      </c>
      <c r="I151" s="36" t="s">
        <v>10930</v>
      </c>
      <c r="J151" s="36" t="s">
        <v>10931</v>
      </c>
      <c r="K151" s="36" t="s">
        <v>10932</v>
      </c>
      <c r="L151" s="36" t="s">
        <v>10933</v>
      </c>
      <c r="M151" s="36" t="s">
        <v>10934</v>
      </c>
      <c r="N151" s="36" t="s">
        <v>10935</v>
      </c>
      <c r="O151" s="36" t="s">
        <v>10936</v>
      </c>
      <c r="P151" s="36" t="s">
        <v>10937</v>
      </c>
      <c r="Q151" s="36" t="s">
        <v>10938</v>
      </c>
      <c r="R151" s="36" t="s">
        <v>9040</v>
      </c>
      <c r="S151" s="36" t="s">
        <v>10939</v>
      </c>
      <c r="T151" s="36">
        <v>4</v>
      </c>
      <c r="U151" s="36">
        <v>3</v>
      </c>
      <c r="V151" s="36">
        <v>3</v>
      </c>
      <c r="W151" s="36">
        <v>2</v>
      </c>
      <c r="X151" s="36">
        <v>1</v>
      </c>
      <c r="Y151" s="36">
        <v>1</v>
      </c>
      <c r="Z151" s="36" t="s">
        <v>3199</v>
      </c>
      <c r="AA151" s="36" t="s">
        <v>3352</v>
      </c>
      <c r="AB151" s="36" t="s">
        <v>3207</v>
      </c>
      <c r="AC151" s="36" t="s">
        <v>3208</v>
      </c>
      <c r="AD151" s="36" t="s">
        <v>7106</v>
      </c>
    </row>
    <row r="152" spans="1:30" ht="72">
      <c r="A152" s="36" t="s">
        <v>3360</v>
      </c>
      <c r="B152" s="36" t="s">
        <v>72</v>
      </c>
      <c r="C152" s="36" t="s">
        <v>1234</v>
      </c>
      <c r="D152" s="36" t="s">
        <v>189</v>
      </c>
      <c r="E152" s="36" t="s">
        <v>3361</v>
      </c>
      <c r="F152" s="36" t="s">
        <v>10940</v>
      </c>
      <c r="G152" s="36" t="s">
        <v>10941</v>
      </c>
      <c r="H152" s="36" t="s">
        <v>10942</v>
      </c>
      <c r="I152" s="36" t="s">
        <v>10943</v>
      </c>
      <c r="J152" s="36" t="s">
        <v>10944</v>
      </c>
      <c r="K152" s="36" t="s">
        <v>10945</v>
      </c>
      <c r="L152" s="36" t="s">
        <v>10946</v>
      </c>
      <c r="M152" s="36" t="s">
        <v>10947</v>
      </c>
      <c r="N152" s="36" t="s">
        <v>10948</v>
      </c>
      <c r="O152" s="36" t="s">
        <v>10949</v>
      </c>
      <c r="P152" s="36" t="s">
        <v>10950</v>
      </c>
      <c r="Q152" s="36" t="s">
        <v>10951</v>
      </c>
      <c r="R152" s="36" t="s">
        <v>9040</v>
      </c>
      <c r="S152" s="36" t="s">
        <v>10952</v>
      </c>
      <c r="T152" s="36">
        <v>4</v>
      </c>
      <c r="U152" s="36">
        <v>3</v>
      </c>
      <c r="V152" s="36">
        <v>3</v>
      </c>
      <c r="W152" s="36">
        <v>2</v>
      </c>
      <c r="X152" s="36">
        <v>1</v>
      </c>
      <c r="Y152" s="36">
        <v>1</v>
      </c>
      <c r="Z152" s="36" t="s">
        <v>3199</v>
      </c>
      <c r="AA152" s="36" t="s">
        <v>3362</v>
      </c>
      <c r="AB152" s="36" t="s">
        <v>3207</v>
      </c>
      <c r="AC152" s="36" t="s">
        <v>3208</v>
      </c>
      <c r="AD152" s="36" t="s">
        <v>7113</v>
      </c>
    </row>
    <row r="153" spans="1:30" ht="84">
      <c r="A153" s="36" t="s">
        <v>3370</v>
      </c>
      <c r="B153" s="36" t="s">
        <v>72</v>
      </c>
      <c r="C153" s="36" t="s">
        <v>1234</v>
      </c>
      <c r="D153" s="36" t="s">
        <v>189</v>
      </c>
      <c r="E153" s="36" t="s">
        <v>3371</v>
      </c>
      <c r="F153" s="36" t="s">
        <v>10953</v>
      </c>
      <c r="G153" s="36" t="s">
        <v>10954</v>
      </c>
      <c r="H153" s="36" t="s">
        <v>10955</v>
      </c>
      <c r="I153" s="36" t="s">
        <v>10956</v>
      </c>
      <c r="J153" s="36" t="s">
        <v>10957</v>
      </c>
      <c r="K153" s="36" t="s">
        <v>10958</v>
      </c>
      <c r="L153" s="36" t="s">
        <v>10959</v>
      </c>
      <c r="M153" s="36" t="s">
        <v>10960</v>
      </c>
      <c r="N153" s="36" t="s">
        <v>10961</v>
      </c>
      <c r="O153" s="36" t="s">
        <v>10962</v>
      </c>
      <c r="P153" s="36" t="s">
        <v>10963</v>
      </c>
      <c r="Q153" s="36" t="s">
        <v>10964</v>
      </c>
      <c r="R153" s="36" t="s">
        <v>9040</v>
      </c>
      <c r="S153" s="36" t="s">
        <v>10965</v>
      </c>
      <c r="T153" s="36">
        <v>4</v>
      </c>
      <c r="U153" s="36">
        <v>3</v>
      </c>
      <c r="V153" s="36">
        <v>3</v>
      </c>
      <c r="W153" s="36">
        <v>2</v>
      </c>
      <c r="X153" s="36">
        <v>1</v>
      </c>
      <c r="Y153" s="36">
        <v>1</v>
      </c>
      <c r="Z153" s="36" t="s">
        <v>3199</v>
      </c>
      <c r="AA153" s="36" t="s">
        <v>3372</v>
      </c>
      <c r="AB153" s="36" t="s">
        <v>3207</v>
      </c>
      <c r="AC153" s="36" t="s">
        <v>3208</v>
      </c>
      <c r="AD153" s="36" t="s">
        <v>7120</v>
      </c>
    </row>
    <row r="154" spans="1:30" ht="84">
      <c r="A154" s="36" t="s">
        <v>3380</v>
      </c>
      <c r="B154" s="36" t="s">
        <v>72</v>
      </c>
      <c r="C154" s="36" t="s">
        <v>1242</v>
      </c>
      <c r="D154" s="36" t="s">
        <v>189</v>
      </c>
      <c r="E154" s="36" t="s">
        <v>3381</v>
      </c>
      <c r="F154" s="36" t="s">
        <v>10966</v>
      </c>
      <c r="G154" s="36" t="s">
        <v>10967</v>
      </c>
      <c r="H154" s="36" t="s">
        <v>10968</v>
      </c>
      <c r="I154" s="36" t="s">
        <v>10969</v>
      </c>
      <c r="J154" s="36" t="s">
        <v>10970</v>
      </c>
      <c r="K154" s="36" t="s">
        <v>10971</v>
      </c>
      <c r="L154" s="36" t="s">
        <v>10972</v>
      </c>
      <c r="M154" s="36" t="s">
        <v>10973</v>
      </c>
      <c r="N154" s="36" t="s">
        <v>10974</v>
      </c>
      <c r="O154" s="36" t="s">
        <v>10975</v>
      </c>
      <c r="P154" s="36" t="s">
        <v>10976</v>
      </c>
      <c r="Q154" s="36" t="s">
        <v>10977</v>
      </c>
      <c r="R154" s="36" t="s">
        <v>9040</v>
      </c>
      <c r="S154" s="36" t="s">
        <v>10978</v>
      </c>
      <c r="T154" s="36">
        <v>4</v>
      </c>
      <c r="U154" s="36">
        <v>3</v>
      </c>
      <c r="V154" s="36">
        <v>3</v>
      </c>
      <c r="W154" s="36">
        <v>2</v>
      </c>
      <c r="X154" s="36">
        <v>1</v>
      </c>
      <c r="Y154" s="36">
        <v>1</v>
      </c>
      <c r="Z154" s="36" t="s">
        <v>3199</v>
      </c>
      <c r="AA154" s="36" t="s">
        <v>3382</v>
      </c>
      <c r="AB154" s="36" t="s">
        <v>3207</v>
      </c>
      <c r="AC154" s="36" t="s">
        <v>3208</v>
      </c>
      <c r="AD154" s="36" t="s">
        <v>7128</v>
      </c>
    </row>
    <row r="155" spans="1:30" ht="72">
      <c r="A155" s="36" t="s">
        <v>3390</v>
      </c>
      <c r="B155" s="36" t="s">
        <v>72</v>
      </c>
      <c r="C155" s="36" t="s">
        <v>1242</v>
      </c>
      <c r="D155" s="36" t="s">
        <v>189</v>
      </c>
      <c r="E155" s="36" t="s">
        <v>3391</v>
      </c>
      <c r="F155" s="36" t="s">
        <v>10979</v>
      </c>
      <c r="G155" s="36" t="s">
        <v>10980</v>
      </c>
      <c r="H155" s="36" t="s">
        <v>10981</v>
      </c>
      <c r="I155" s="36" t="s">
        <v>10982</v>
      </c>
      <c r="J155" s="36" t="s">
        <v>10983</v>
      </c>
      <c r="K155" s="36" t="s">
        <v>10984</v>
      </c>
      <c r="L155" s="36" t="s">
        <v>10985</v>
      </c>
      <c r="M155" s="36" t="s">
        <v>10986</v>
      </c>
      <c r="N155" s="36" t="s">
        <v>10987</v>
      </c>
      <c r="O155" s="36" t="s">
        <v>10988</v>
      </c>
      <c r="P155" s="36" t="s">
        <v>10989</v>
      </c>
      <c r="Q155" s="36" t="s">
        <v>10990</v>
      </c>
      <c r="R155" s="36" t="s">
        <v>9040</v>
      </c>
      <c r="S155" s="36" t="s">
        <v>10991</v>
      </c>
      <c r="T155" s="36">
        <v>4</v>
      </c>
      <c r="U155" s="36">
        <v>3</v>
      </c>
      <c r="V155" s="36">
        <v>3</v>
      </c>
      <c r="W155" s="36">
        <v>2</v>
      </c>
      <c r="X155" s="36">
        <v>1</v>
      </c>
      <c r="Y155" s="36">
        <v>1</v>
      </c>
      <c r="Z155" s="36" t="s">
        <v>3199</v>
      </c>
      <c r="AA155" s="36" t="s">
        <v>3392</v>
      </c>
      <c r="AB155" s="36" t="s">
        <v>3207</v>
      </c>
      <c r="AC155" s="36" t="s">
        <v>3208</v>
      </c>
      <c r="AD155" s="36" t="s">
        <v>7135</v>
      </c>
    </row>
    <row r="156" spans="1:30" ht="84">
      <c r="A156" s="36" t="s">
        <v>3400</v>
      </c>
      <c r="B156" s="36" t="s">
        <v>72</v>
      </c>
      <c r="C156" s="36" t="s">
        <v>1242</v>
      </c>
      <c r="D156" s="36" t="s">
        <v>189</v>
      </c>
      <c r="E156" s="36" t="s">
        <v>3401</v>
      </c>
      <c r="F156" s="36" t="s">
        <v>10992</v>
      </c>
      <c r="G156" s="36" t="s">
        <v>10993</v>
      </c>
      <c r="H156" s="36" t="s">
        <v>10994</v>
      </c>
      <c r="I156" s="36" t="s">
        <v>10995</v>
      </c>
      <c r="J156" s="36" t="s">
        <v>10996</v>
      </c>
      <c r="K156" s="36" t="s">
        <v>10997</v>
      </c>
      <c r="L156" s="36" t="s">
        <v>10998</v>
      </c>
      <c r="M156" s="36" t="s">
        <v>10999</v>
      </c>
      <c r="N156" s="36" t="s">
        <v>11000</v>
      </c>
      <c r="O156" s="36" t="s">
        <v>11001</v>
      </c>
      <c r="P156" s="36" t="s">
        <v>11002</v>
      </c>
      <c r="Q156" s="36" t="s">
        <v>11003</v>
      </c>
      <c r="R156" s="36" t="s">
        <v>9040</v>
      </c>
      <c r="S156" s="36" t="s">
        <v>11004</v>
      </c>
      <c r="T156" s="36">
        <v>4</v>
      </c>
      <c r="U156" s="36">
        <v>3</v>
      </c>
      <c r="V156" s="36">
        <v>3</v>
      </c>
      <c r="W156" s="36">
        <v>2</v>
      </c>
      <c r="X156" s="36">
        <v>1</v>
      </c>
      <c r="Y156" s="36">
        <v>1</v>
      </c>
      <c r="Z156" s="36" t="s">
        <v>3199</v>
      </c>
      <c r="AA156" s="36" t="s">
        <v>3402</v>
      </c>
      <c r="AB156" s="36" t="s">
        <v>3207</v>
      </c>
      <c r="AC156" s="36" t="s">
        <v>3208</v>
      </c>
      <c r="AD156" s="36" t="s">
        <v>7142</v>
      </c>
    </row>
    <row r="157" spans="1:30" ht="72">
      <c r="A157" s="36" t="s">
        <v>3410</v>
      </c>
      <c r="B157" s="36" t="s">
        <v>72</v>
      </c>
      <c r="C157" s="36" t="s">
        <v>1242</v>
      </c>
      <c r="D157" s="36" t="s">
        <v>189</v>
      </c>
      <c r="E157" s="36" t="s">
        <v>3411</v>
      </c>
      <c r="F157" s="36" t="s">
        <v>11005</v>
      </c>
      <c r="G157" s="36" t="s">
        <v>11006</v>
      </c>
      <c r="H157" s="36" t="s">
        <v>11007</v>
      </c>
      <c r="I157" s="36" t="s">
        <v>11008</v>
      </c>
      <c r="J157" s="36" t="s">
        <v>11009</v>
      </c>
      <c r="K157" s="36" t="s">
        <v>11010</v>
      </c>
      <c r="L157" s="36" t="s">
        <v>11011</v>
      </c>
      <c r="M157" s="36" t="s">
        <v>11012</v>
      </c>
      <c r="N157" s="36" t="s">
        <v>11013</v>
      </c>
      <c r="O157" s="36" t="s">
        <v>11014</v>
      </c>
      <c r="P157" s="36" t="s">
        <v>11015</v>
      </c>
      <c r="Q157" s="36" t="s">
        <v>11016</v>
      </c>
      <c r="R157" s="36" t="s">
        <v>9040</v>
      </c>
      <c r="S157" s="36" t="s">
        <v>11017</v>
      </c>
      <c r="T157" s="36">
        <v>4</v>
      </c>
      <c r="U157" s="36">
        <v>3</v>
      </c>
      <c r="V157" s="36">
        <v>3</v>
      </c>
      <c r="W157" s="36">
        <v>2</v>
      </c>
      <c r="X157" s="36">
        <v>1</v>
      </c>
      <c r="Y157" s="36">
        <v>1</v>
      </c>
      <c r="Z157" s="36" t="s">
        <v>3199</v>
      </c>
      <c r="AA157" s="36" t="s">
        <v>3412</v>
      </c>
      <c r="AB157" s="36" t="s">
        <v>3207</v>
      </c>
      <c r="AC157" s="36" t="s">
        <v>3208</v>
      </c>
      <c r="AD157" s="36" t="s">
        <v>7149</v>
      </c>
    </row>
    <row r="158" spans="1:30" ht="72">
      <c r="A158" s="36" t="s">
        <v>3420</v>
      </c>
      <c r="B158" s="36" t="s">
        <v>72</v>
      </c>
      <c r="C158" s="36" t="s">
        <v>1242</v>
      </c>
      <c r="D158" s="36" t="s">
        <v>189</v>
      </c>
      <c r="E158" s="36" t="s">
        <v>3421</v>
      </c>
      <c r="F158" s="36" t="s">
        <v>11018</v>
      </c>
      <c r="G158" s="36" t="s">
        <v>11019</v>
      </c>
      <c r="H158" s="36" t="s">
        <v>11020</v>
      </c>
      <c r="I158" s="36" t="s">
        <v>11021</v>
      </c>
      <c r="J158" s="36" t="s">
        <v>11022</v>
      </c>
      <c r="K158" s="36" t="s">
        <v>11023</v>
      </c>
      <c r="L158" s="36" t="s">
        <v>11024</v>
      </c>
      <c r="M158" s="36" t="s">
        <v>11025</v>
      </c>
      <c r="N158" s="36" t="s">
        <v>11026</v>
      </c>
      <c r="O158" s="36" t="s">
        <v>11027</v>
      </c>
      <c r="P158" s="36" t="s">
        <v>11028</v>
      </c>
      <c r="Q158" s="36" t="s">
        <v>11029</v>
      </c>
      <c r="R158" s="36" t="s">
        <v>9040</v>
      </c>
      <c r="S158" s="36" t="s">
        <v>11030</v>
      </c>
      <c r="T158" s="36">
        <v>4</v>
      </c>
      <c r="U158" s="36">
        <v>3</v>
      </c>
      <c r="V158" s="36">
        <v>3</v>
      </c>
      <c r="W158" s="36">
        <v>2</v>
      </c>
      <c r="X158" s="36">
        <v>1</v>
      </c>
      <c r="Y158" s="36">
        <v>1</v>
      </c>
      <c r="Z158" s="36" t="s">
        <v>3199</v>
      </c>
      <c r="AA158" s="36" t="s">
        <v>3422</v>
      </c>
      <c r="AB158" s="36" t="s">
        <v>3207</v>
      </c>
      <c r="AC158" s="36" t="s">
        <v>3208</v>
      </c>
      <c r="AD158" s="36" t="s">
        <v>7156</v>
      </c>
    </row>
    <row r="159" spans="1:30" ht="72">
      <c r="A159" s="36" t="s">
        <v>3430</v>
      </c>
      <c r="B159" s="36" t="s">
        <v>72</v>
      </c>
      <c r="C159" s="36" t="s">
        <v>1250</v>
      </c>
      <c r="D159" s="36" t="s">
        <v>189</v>
      </c>
      <c r="E159" s="36" t="s">
        <v>3431</v>
      </c>
      <c r="F159" s="36" t="s">
        <v>11031</v>
      </c>
      <c r="G159" s="36" t="s">
        <v>11032</v>
      </c>
      <c r="H159" s="36" t="s">
        <v>11033</v>
      </c>
      <c r="I159" s="36" t="s">
        <v>11034</v>
      </c>
      <c r="J159" s="36" t="s">
        <v>11035</v>
      </c>
      <c r="K159" s="36" t="s">
        <v>11036</v>
      </c>
      <c r="L159" s="36" t="s">
        <v>11037</v>
      </c>
      <c r="M159" s="36" t="s">
        <v>11038</v>
      </c>
      <c r="N159" s="36" t="s">
        <v>11039</v>
      </c>
      <c r="O159" s="36" t="s">
        <v>11040</v>
      </c>
      <c r="P159" s="36" t="s">
        <v>11041</v>
      </c>
      <c r="Q159" s="36" t="s">
        <v>11042</v>
      </c>
      <c r="R159" s="36" t="s">
        <v>9040</v>
      </c>
      <c r="S159" s="36" t="s">
        <v>11043</v>
      </c>
      <c r="T159" s="36">
        <v>4</v>
      </c>
      <c r="U159" s="36">
        <v>3</v>
      </c>
      <c r="V159" s="36">
        <v>3</v>
      </c>
      <c r="W159" s="36">
        <v>2</v>
      </c>
      <c r="X159" s="36">
        <v>1</v>
      </c>
      <c r="Y159" s="36">
        <v>1</v>
      </c>
      <c r="Z159" s="36" t="s">
        <v>3199</v>
      </c>
      <c r="AA159" s="36" t="s">
        <v>3432</v>
      </c>
      <c r="AB159" s="36" t="s">
        <v>3207</v>
      </c>
      <c r="AC159" s="36" t="s">
        <v>3208</v>
      </c>
      <c r="AD159" s="36" t="s">
        <v>7164</v>
      </c>
    </row>
    <row r="160" spans="1:30" ht="72">
      <c r="A160" s="36" t="s">
        <v>3440</v>
      </c>
      <c r="B160" s="36" t="s">
        <v>72</v>
      </c>
      <c r="C160" s="36" t="s">
        <v>1250</v>
      </c>
      <c r="D160" s="36" t="s">
        <v>189</v>
      </c>
      <c r="E160" s="36" t="s">
        <v>3441</v>
      </c>
      <c r="F160" s="36" t="s">
        <v>11044</v>
      </c>
      <c r="G160" s="36" t="s">
        <v>11045</v>
      </c>
      <c r="H160" s="36" t="s">
        <v>11046</v>
      </c>
      <c r="I160" s="36" t="s">
        <v>11047</v>
      </c>
      <c r="J160" s="36" t="s">
        <v>11048</v>
      </c>
      <c r="K160" s="36" t="s">
        <v>11049</v>
      </c>
      <c r="L160" s="36" t="s">
        <v>11050</v>
      </c>
      <c r="M160" s="36" t="s">
        <v>11051</v>
      </c>
      <c r="N160" s="36" t="s">
        <v>11052</v>
      </c>
      <c r="O160" s="36" t="s">
        <v>11053</v>
      </c>
      <c r="P160" s="36" t="s">
        <v>11054</v>
      </c>
      <c r="Q160" s="36" t="s">
        <v>11055</v>
      </c>
      <c r="R160" s="36" t="s">
        <v>9040</v>
      </c>
      <c r="S160" s="36" t="s">
        <v>11056</v>
      </c>
      <c r="T160" s="36">
        <v>4</v>
      </c>
      <c r="U160" s="36">
        <v>3</v>
      </c>
      <c r="V160" s="36">
        <v>3</v>
      </c>
      <c r="W160" s="36">
        <v>2</v>
      </c>
      <c r="X160" s="36">
        <v>1</v>
      </c>
      <c r="Y160" s="36">
        <v>1</v>
      </c>
      <c r="Z160" s="36" t="s">
        <v>3199</v>
      </c>
      <c r="AA160" s="36" t="s">
        <v>3442</v>
      </c>
      <c r="AB160" s="36" t="s">
        <v>3207</v>
      </c>
      <c r="AC160" s="36" t="s">
        <v>3208</v>
      </c>
      <c r="AD160" s="36" t="s">
        <v>7171</v>
      </c>
    </row>
    <row r="161" spans="1:30" ht="72">
      <c r="A161" s="36" t="s">
        <v>3450</v>
      </c>
      <c r="B161" s="36" t="s">
        <v>72</v>
      </c>
      <c r="C161" s="36" t="s">
        <v>1250</v>
      </c>
      <c r="D161" s="36" t="s">
        <v>189</v>
      </c>
      <c r="E161" s="36" t="s">
        <v>3451</v>
      </c>
      <c r="F161" s="36" t="s">
        <v>11057</v>
      </c>
      <c r="G161" s="36" t="s">
        <v>11058</v>
      </c>
      <c r="H161" s="36" t="s">
        <v>11059</v>
      </c>
      <c r="I161" s="36" t="s">
        <v>11060</v>
      </c>
      <c r="J161" s="36" t="s">
        <v>11061</v>
      </c>
      <c r="K161" s="36" t="s">
        <v>11062</v>
      </c>
      <c r="L161" s="36" t="s">
        <v>11063</v>
      </c>
      <c r="M161" s="36" t="s">
        <v>11064</v>
      </c>
      <c r="N161" s="36" t="s">
        <v>11065</v>
      </c>
      <c r="O161" s="36" t="s">
        <v>11066</v>
      </c>
      <c r="P161" s="36" t="s">
        <v>11067</v>
      </c>
      <c r="Q161" s="36" t="s">
        <v>11068</v>
      </c>
      <c r="R161" s="36" t="s">
        <v>9040</v>
      </c>
      <c r="S161" s="36" t="s">
        <v>11069</v>
      </c>
      <c r="T161" s="36">
        <v>4</v>
      </c>
      <c r="U161" s="36">
        <v>3</v>
      </c>
      <c r="V161" s="36">
        <v>3</v>
      </c>
      <c r="W161" s="36">
        <v>2</v>
      </c>
      <c r="X161" s="36">
        <v>1</v>
      </c>
      <c r="Y161" s="36">
        <v>1</v>
      </c>
      <c r="Z161" s="36" t="s">
        <v>3199</v>
      </c>
      <c r="AA161" s="36" t="s">
        <v>3452</v>
      </c>
      <c r="AB161" s="36" t="s">
        <v>3207</v>
      </c>
      <c r="AC161" s="36" t="s">
        <v>3208</v>
      </c>
      <c r="AD161" s="36" t="s">
        <v>7178</v>
      </c>
    </row>
    <row r="162" spans="1:30" ht="72">
      <c r="A162" s="36" t="s">
        <v>3460</v>
      </c>
      <c r="B162" s="36" t="s">
        <v>72</v>
      </c>
      <c r="C162" s="36" t="s">
        <v>1250</v>
      </c>
      <c r="D162" s="36" t="s">
        <v>189</v>
      </c>
      <c r="E162" s="36" t="s">
        <v>3461</v>
      </c>
      <c r="F162" s="36" t="s">
        <v>11070</v>
      </c>
      <c r="G162" s="36" t="s">
        <v>11071</v>
      </c>
      <c r="H162" s="36" t="s">
        <v>11072</v>
      </c>
      <c r="I162" s="36" t="s">
        <v>11073</v>
      </c>
      <c r="J162" s="36" t="s">
        <v>11074</v>
      </c>
      <c r="K162" s="36" t="s">
        <v>11075</v>
      </c>
      <c r="L162" s="36" t="s">
        <v>11076</v>
      </c>
      <c r="M162" s="36" t="s">
        <v>11077</v>
      </c>
      <c r="N162" s="36" t="s">
        <v>11078</v>
      </c>
      <c r="O162" s="36" t="s">
        <v>11079</v>
      </c>
      <c r="P162" s="36" t="s">
        <v>11080</v>
      </c>
      <c r="Q162" s="36" t="s">
        <v>11081</v>
      </c>
      <c r="R162" s="36" t="s">
        <v>9040</v>
      </c>
      <c r="S162" s="36" t="s">
        <v>11082</v>
      </c>
      <c r="T162" s="36">
        <v>4</v>
      </c>
      <c r="U162" s="36">
        <v>3</v>
      </c>
      <c r="V162" s="36">
        <v>3</v>
      </c>
      <c r="W162" s="36">
        <v>2</v>
      </c>
      <c r="X162" s="36">
        <v>1</v>
      </c>
      <c r="Y162" s="36">
        <v>1</v>
      </c>
      <c r="Z162" s="36" t="s">
        <v>3199</v>
      </c>
      <c r="AA162" s="36" t="s">
        <v>3462</v>
      </c>
      <c r="AB162" s="36" t="s">
        <v>3207</v>
      </c>
      <c r="AC162" s="36" t="s">
        <v>3208</v>
      </c>
      <c r="AD162" s="36" t="s">
        <v>7185</v>
      </c>
    </row>
    <row r="163" spans="1:30" ht="84">
      <c r="A163" s="36" t="s">
        <v>3470</v>
      </c>
      <c r="B163" s="36" t="s">
        <v>72</v>
      </c>
      <c r="C163" s="36" t="s">
        <v>1250</v>
      </c>
      <c r="D163" s="36" t="s">
        <v>189</v>
      </c>
      <c r="E163" s="36" t="s">
        <v>3471</v>
      </c>
      <c r="F163" s="36" t="s">
        <v>11083</v>
      </c>
      <c r="G163" s="36" t="s">
        <v>11084</v>
      </c>
      <c r="H163" s="36" t="s">
        <v>11085</v>
      </c>
      <c r="I163" s="36" t="s">
        <v>11086</v>
      </c>
      <c r="J163" s="36" t="s">
        <v>11087</v>
      </c>
      <c r="K163" s="36" t="s">
        <v>11088</v>
      </c>
      <c r="L163" s="36" t="s">
        <v>11089</v>
      </c>
      <c r="M163" s="36" t="s">
        <v>11090</v>
      </c>
      <c r="N163" s="36" t="s">
        <v>11091</v>
      </c>
      <c r="O163" s="36" t="s">
        <v>11092</v>
      </c>
      <c r="P163" s="36" t="s">
        <v>11093</v>
      </c>
      <c r="Q163" s="36" t="s">
        <v>11094</v>
      </c>
      <c r="R163" s="36" t="s">
        <v>9040</v>
      </c>
      <c r="S163" s="36" t="s">
        <v>11095</v>
      </c>
      <c r="T163" s="36">
        <v>4</v>
      </c>
      <c r="U163" s="36">
        <v>3</v>
      </c>
      <c r="V163" s="36">
        <v>3</v>
      </c>
      <c r="W163" s="36">
        <v>2</v>
      </c>
      <c r="X163" s="36">
        <v>1</v>
      </c>
      <c r="Y163" s="36">
        <v>1</v>
      </c>
      <c r="Z163" s="36" t="s">
        <v>3199</v>
      </c>
      <c r="AA163" s="36" t="s">
        <v>3472</v>
      </c>
      <c r="AB163" s="36" t="s">
        <v>3207</v>
      </c>
      <c r="AC163" s="36" t="s">
        <v>3208</v>
      </c>
      <c r="AD163" s="36" t="s">
        <v>7192</v>
      </c>
    </row>
    <row r="164" spans="1:30" ht="72">
      <c r="A164" s="36" t="s">
        <v>3482</v>
      </c>
      <c r="B164" s="36" t="s">
        <v>75</v>
      </c>
      <c r="C164" s="36" t="s">
        <v>1258</v>
      </c>
      <c r="D164" s="36" t="s">
        <v>190</v>
      </c>
      <c r="E164" s="36" t="s">
        <v>3483</v>
      </c>
      <c r="F164" s="36" t="s">
        <v>11096</v>
      </c>
      <c r="G164" s="36" t="s">
        <v>11097</v>
      </c>
      <c r="H164" s="36" t="s">
        <v>11098</v>
      </c>
      <c r="I164" s="36" t="s">
        <v>11099</v>
      </c>
      <c r="J164" s="36" t="s">
        <v>11100</v>
      </c>
      <c r="K164" s="36" t="s">
        <v>11101</v>
      </c>
      <c r="L164" s="36" t="s">
        <v>11102</v>
      </c>
      <c r="M164" s="36" t="s">
        <v>11103</v>
      </c>
      <c r="N164" s="36" t="s">
        <v>11104</v>
      </c>
      <c r="O164" s="36" t="s">
        <v>11105</v>
      </c>
      <c r="P164" s="36" t="s">
        <v>11106</v>
      </c>
      <c r="Q164" s="36" t="s">
        <v>11107</v>
      </c>
      <c r="R164" s="36" t="s">
        <v>9040</v>
      </c>
      <c r="S164" s="36" t="s">
        <v>11108</v>
      </c>
      <c r="T164" s="36">
        <v>3</v>
      </c>
      <c r="U164" s="36">
        <v>3</v>
      </c>
      <c r="V164" s="36">
        <v>2</v>
      </c>
      <c r="W164" s="36">
        <v>2</v>
      </c>
      <c r="X164" s="36">
        <v>1</v>
      </c>
      <c r="Y164" s="36">
        <v>1</v>
      </c>
      <c r="Z164" s="36" t="s">
        <v>3485</v>
      </c>
      <c r="AA164" s="36" t="s">
        <v>3486</v>
      </c>
      <c r="AB164" s="36" t="s">
        <v>3493</v>
      </c>
      <c r="AC164" s="36" t="s">
        <v>3494</v>
      </c>
      <c r="AD164" s="36" t="s">
        <v>7200</v>
      </c>
    </row>
    <row r="165" spans="1:30" ht="72">
      <c r="A165" s="36" t="s">
        <v>3496</v>
      </c>
      <c r="B165" s="36" t="s">
        <v>75</v>
      </c>
      <c r="C165" s="36" t="s">
        <v>1258</v>
      </c>
      <c r="D165" s="36" t="s">
        <v>190</v>
      </c>
      <c r="E165" s="36" t="s">
        <v>3497</v>
      </c>
      <c r="F165" s="36" t="s">
        <v>11109</v>
      </c>
      <c r="G165" s="36" t="s">
        <v>11110</v>
      </c>
      <c r="H165" s="36" t="s">
        <v>11111</v>
      </c>
      <c r="I165" s="36" t="s">
        <v>11112</v>
      </c>
      <c r="J165" s="36" t="s">
        <v>11113</v>
      </c>
      <c r="K165" s="36" t="s">
        <v>11114</v>
      </c>
      <c r="L165" s="36" t="s">
        <v>11115</v>
      </c>
      <c r="M165" s="36" t="s">
        <v>11116</v>
      </c>
      <c r="N165" s="36" t="s">
        <v>11117</v>
      </c>
      <c r="O165" s="36" t="s">
        <v>11118</v>
      </c>
      <c r="P165" s="36" t="s">
        <v>11119</v>
      </c>
      <c r="Q165" s="36" t="s">
        <v>11120</v>
      </c>
      <c r="R165" s="36" t="s">
        <v>9040</v>
      </c>
      <c r="S165" s="36" t="s">
        <v>11121</v>
      </c>
      <c r="T165" s="36">
        <v>3</v>
      </c>
      <c r="U165" s="36">
        <v>3</v>
      </c>
      <c r="V165" s="36">
        <v>2</v>
      </c>
      <c r="W165" s="36">
        <v>2</v>
      </c>
      <c r="X165" s="36">
        <v>1</v>
      </c>
      <c r="Y165" s="36">
        <v>1</v>
      </c>
      <c r="Z165" s="36" t="s">
        <v>3485</v>
      </c>
      <c r="AA165" s="36" t="s">
        <v>3498</v>
      </c>
      <c r="AB165" s="36" t="s">
        <v>3493</v>
      </c>
      <c r="AC165" s="36" t="s">
        <v>3494</v>
      </c>
      <c r="AD165" s="36" t="s">
        <v>7207</v>
      </c>
    </row>
    <row r="166" spans="1:30" ht="72">
      <c r="A166" s="36" t="s">
        <v>3506</v>
      </c>
      <c r="B166" s="36" t="s">
        <v>75</v>
      </c>
      <c r="C166" s="36" t="s">
        <v>1258</v>
      </c>
      <c r="D166" s="36" t="s">
        <v>190</v>
      </c>
      <c r="E166" s="36" t="s">
        <v>3507</v>
      </c>
      <c r="F166" s="36" t="s">
        <v>11122</v>
      </c>
      <c r="G166" s="36" t="s">
        <v>11123</v>
      </c>
      <c r="H166" s="36" t="s">
        <v>11124</v>
      </c>
      <c r="I166" s="36" t="s">
        <v>11125</v>
      </c>
      <c r="J166" s="36" t="s">
        <v>11126</v>
      </c>
      <c r="K166" s="36" t="s">
        <v>11127</v>
      </c>
      <c r="L166" s="36" t="s">
        <v>11128</v>
      </c>
      <c r="M166" s="36" t="s">
        <v>11129</v>
      </c>
      <c r="N166" s="36" t="s">
        <v>11130</v>
      </c>
      <c r="O166" s="36" t="s">
        <v>11131</v>
      </c>
      <c r="P166" s="36" t="s">
        <v>11132</v>
      </c>
      <c r="Q166" s="36" t="s">
        <v>11133</v>
      </c>
      <c r="R166" s="36" t="s">
        <v>9040</v>
      </c>
      <c r="S166" s="36" t="s">
        <v>11134</v>
      </c>
      <c r="T166" s="36">
        <v>3</v>
      </c>
      <c r="U166" s="36">
        <v>3</v>
      </c>
      <c r="V166" s="36">
        <v>2</v>
      </c>
      <c r="W166" s="36">
        <v>2</v>
      </c>
      <c r="X166" s="36">
        <v>1</v>
      </c>
      <c r="Y166" s="36">
        <v>1</v>
      </c>
      <c r="Z166" s="36" t="s">
        <v>3485</v>
      </c>
      <c r="AA166" s="36" t="s">
        <v>3508</v>
      </c>
      <c r="AB166" s="36" t="s">
        <v>3493</v>
      </c>
      <c r="AC166" s="36" t="s">
        <v>3494</v>
      </c>
      <c r="AD166" s="36" t="s">
        <v>7214</v>
      </c>
    </row>
    <row r="167" spans="1:30" ht="72">
      <c r="A167" s="36" t="s">
        <v>3516</v>
      </c>
      <c r="B167" s="36" t="s">
        <v>75</v>
      </c>
      <c r="C167" s="36" t="s">
        <v>1258</v>
      </c>
      <c r="D167" s="36" t="s">
        <v>190</v>
      </c>
      <c r="E167" s="36" t="s">
        <v>3517</v>
      </c>
      <c r="F167" s="36" t="s">
        <v>11135</v>
      </c>
      <c r="G167" s="36" t="s">
        <v>11136</v>
      </c>
      <c r="H167" s="36" t="s">
        <v>11137</v>
      </c>
      <c r="I167" s="36" t="s">
        <v>11138</v>
      </c>
      <c r="J167" s="36" t="s">
        <v>11139</v>
      </c>
      <c r="K167" s="36" t="s">
        <v>11140</v>
      </c>
      <c r="L167" s="36" t="s">
        <v>11141</v>
      </c>
      <c r="M167" s="36" t="s">
        <v>11142</v>
      </c>
      <c r="N167" s="36" t="s">
        <v>11143</v>
      </c>
      <c r="O167" s="36" t="s">
        <v>11144</v>
      </c>
      <c r="P167" s="36" t="s">
        <v>11145</v>
      </c>
      <c r="Q167" s="36" t="s">
        <v>11146</v>
      </c>
      <c r="R167" s="36" t="s">
        <v>9040</v>
      </c>
      <c r="S167" s="36" t="s">
        <v>11147</v>
      </c>
      <c r="T167" s="36">
        <v>3</v>
      </c>
      <c r="U167" s="36">
        <v>3</v>
      </c>
      <c r="V167" s="36">
        <v>2</v>
      </c>
      <c r="W167" s="36">
        <v>2</v>
      </c>
      <c r="X167" s="36">
        <v>1</v>
      </c>
      <c r="Y167" s="36">
        <v>1</v>
      </c>
      <c r="Z167" s="36" t="s">
        <v>3485</v>
      </c>
      <c r="AA167" s="36" t="s">
        <v>3518</v>
      </c>
      <c r="AB167" s="36" t="s">
        <v>3493</v>
      </c>
      <c r="AC167" s="36" t="s">
        <v>3494</v>
      </c>
      <c r="AD167" s="36" t="s">
        <v>7221</v>
      </c>
    </row>
    <row r="168" spans="1:30" ht="72">
      <c r="A168" s="36" t="s">
        <v>3526</v>
      </c>
      <c r="B168" s="36" t="s">
        <v>75</v>
      </c>
      <c r="C168" s="36" t="s">
        <v>1258</v>
      </c>
      <c r="D168" s="36" t="s">
        <v>190</v>
      </c>
      <c r="E168" s="36" t="s">
        <v>3527</v>
      </c>
      <c r="F168" s="36" t="s">
        <v>11148</v>
      </c>
      <c r="G168" s="36" t="s">
        <v>11149</v>
      </c>
      <c r="H168" s="36" t="s">
        <v>11150</v>
      </c>
      <c r="I168" s="36" t="s">
        <v>11151</v>
      </c>
      <c r="J168" s="36" t="s">
        <v>11152</v>
      </c>
      <c r="K168" s="36" t="s">
        <v>11153</v>
      </c>
      <c r="L168" s="36" t="s">
        <v>11154</v>
      </c>
      <c r="M168" s="36" t="s">
        <v>11155</v>
      </c>
      <c r="N168" s="36" t="s">
        <v>11156</v>
      </c>
      <c r="O168" s="36" t="s">
        <v>11157</v>
      </c>
      <c r="P168" s="36" t="s">
        <v>11158</v>
      </c>
      <c r="Q168" s="36" t="s">
        <v>11159</v>
      </c>
      <c r="R168" s="36" t="s">
        <v>9040</v>
      </c>
      <c r="S168" s="36" t="s">
        <v>11160</v>
      </c>
      <c r="T168" s="36">
        <v>3</v>
      </c>
      <c r="U168" s="36">
        <v>3</v>
      </c>
      <c r="V168" s="36">
        <v>2</v>
      </c>
      <c r="W168" s="36">
        <v>2</v>
      </c>
      <c r="X168" s="36">
        <v>1</v>
      </c>
      <c r="Y168" s="36">
        <v>1</v>
      </c>
      <c r="Z168" s="36" t="s">
        <v>3485</v>
      </c>
      <c r="AA168" s="36" t="s">
        <v>3528</v>
      </c>
      <c r="AB168" s="36" t="s">
        <v>3493</v>
      </c>
      <c r="AC168" s="36" t="s">
        <v>3494</v>
      </c>
      <c r="AD168" s="36" t="s">
        <v>7228</v>
      </c>
    </row>
    <row r="169" spans="1:30" ht="72">
      <c r="A169" s="36" t="s">
        <v>3536</v>
      </c>
      <c r="B169" s="36" t="s">
        <v>75</v>
      </c>
      <c r="C169" s="36" t="s">
        <v>1258</v>
      </c>
      <c r="D169" s="36" t="s">
        <v>190</v>
      </c>
      <c r="E169" s="36" t="s">
        <v>3537</v>
      </c>
      <c r="F169" s="36" t="s">
        <v>11161</v>
      </c>
      <c r="G169" s="36" t="s">
        <v>11162</v>
      </c>
      <c r="H169" s="36" t="s">
        <v>11163</v>
      </c>
      <c r="I169" s="36" t="s">
        <v>11164</v>
      </c>
      <c r="J169" s="36" t="s">
        <v>11165</v>
      </c>
      <c r="K169" s="36" t="s">
        <v>11166</v>
      </c>
      <c r="L169" s="36" t="s">
        <v>11167</v>
      </c>
      <c r="M169" s="36" t="s">
        <v>11168</v>
      </c>
      <c r="N169" s="36" t="s">
        <v>11169</v>
      </c>
      <c r="O169" s="36" t="s">
        <v>11170</v>
      </c>
      <c r="P169" s="36" t="s">
        <v>11171</v>
      </c>
      <c r="Q169" s="36" t="s">
        <v>11172</v>
      </c>
      <c r="R169" s="36" t="s">
        <v>9040</v>
      </c>
      <c r="S169" s="36" t="s">
        <v>11173</v>
      </c>
      <c r="T169" s="36">
        <v>3</v>
      </c>
      <c r="U169" s="36">
        <v>3</v>
      </c>
      <c r="V169" s="36">
        <v>2</v>
      </c>
      <c r="W169" s="36">
        <v>2</v>
      </c>
      <c r="X169" s="36">
        <v>1</v>
      </c>
      <c r="Y169" s="36">
        <v>1</v>
      </c>
      <c r="Z169" s="36" t="s">
        <v>3485</v>
      </c>
      <c r="AA169" s="36" t="s">
        <v>3538</v>
      </c>
      <c r="AB169" s="36" t="s">
        <v>3493</v>
      </c>
      <c r="AC169" s="36" t="s">
        <v>3494</v>
      </c>
      <c r="AD169" s="36" t="s">
        <v>7235</v>
      </c>
    </row>
    <row r="170" spans="1:30" ht="72">
      <c r="A170" s="36" t="s">
        <v>3546</v>
      </c>
      <c r="B170" s="36" t="s">
        <v>75</v>
      </c>
      <c r="C170" s="36" t="s">
        <v>1272</v>
      </c>
      <c r="D170" s="36" t="s">
        <v>190</v>
      </c>
      <c r="E170" s="36" t="s">
        <v>3547</v>
      </c>
      <c r="F170" s="36" t="s">
        <v>11174</v>
      </c>
      <c r="G170" s="36" t="s">
        <v>11175</v>
      </c>
      <c r="H170" s="36" t="s">
        <v>11176</v>
      </c>
      <c r="I170" s="36" t="s">
        <v>11177</v>
      </c>
      <c r="J170" s="36" t="s">
        <v>11178</v>
      </c>
      <c r="K170" s="36" t="s">
        <v>11179</v>
      </c>
      <c r="L170" s="36" t="s">
        <v>11180</v>
      </c>
      <c r="M170" s="36" t="s">
        <v>11181</v>
      </c>
      <c r="N170" s="36" t="s">
        <v>11182</v>
      </c>
      <c r="O170" s="36" t="s">
        <v>11183</v>
      </c>
      <c r="P170" s="36" t="s">
        <v>11184</v>
      </c>
      <c r="Q170" s="36" t="s">
        <v>11185</v>
      </c>
      <c r="R170" s="36" t="s">
        <v>9040</v>
      </c>
      <c r="S170" s="36" t="s">
        <v>11186</v>
      </c>
      <c r="T170" s="36">
        <v>3</v>
      </c>
      <c r="U170" s="36">
        <v>3</v>
      </c>
      <c r="V170" s="36">
        <v>2</v>
      </c>
      <c r="W170" s="36">
        <v>2</v>
      </c>
      <c r="X170" s="36">
        <v>1</v>
      </c>
      <c r="Y170" s="36">
        <v>1</v>
      </c>
      <c r="Z170" s="36" t="s">
        <v>3485</v>
      </c>
      <c r="AA170" s="36" t="s">
        <v>3548</v>
      </c>
      <c r="AB170" s="36" t="s">
        <v>3493</v>
      </c>
      <c r="AC170" s="36" t="s">
        <v>3494</v>
      </c>
      <c r="AD170" s="36" t="s">
        <v>7243</v>
      </c>
    </row>
    <row r="171" spans="1:30" ht="72">
      <c r="A171" s="36" t="s">
        <v>3556</v>
      </c>
      <c r="B171" s="36" t="s">
        <v>75</v>
      </c>
      <c r="C171" s="36" t="s">
        <v>1272</v>
      </c>
      <c r="D171" s="36" t="s">
        <v>190</v>
      </c>
      <c r="E171" s="36" t="s">
        <v>3557</v>
      </c>
      <c r="F171" s="36" t="s">
        <v>11187</v>
      </c>
      <c r="G171" s="36" t="s">
        <v>11188</v>
      </c>
      <c r="H171" s="36" t="s">
        <v>11189</v>
      </c>
      <c r="I171" s="36" t="s">
        <v>11190</v>
      </c>
      <c r="J171" s="36" t="s">
        <v>11191</v>
      </c>
      <c r="K171" s="36" t="s">
        <v>11192</v>
      </c>
      <c r="L171" s="36" t="s">
        <v>11193</v>
      </c>
      <c r="M171" s="36" t="s">
        <v>11194</v>
      </c>
      <c r="N171" s="36" t="s">
        <v>11195</v>
      </c>
      <c r="O171" s="36" t="s">
        <v>11196</v>
      </c>
      <c r="P171" s="36" t="s">
        <v>11197</v>
      </c>
      <c r="Q171" s="36" t="s">
        <v>11198</v>
      </c>
      <c r="R171" s="36" t="s">
        <v>9040</v>
      </c>
      <c r="S171" s="36" t="s">
        <v>11199</v>
      </c>
      <c r="T171" s="36">
        <v>3</v>
      </c>
      <c r="U171" s="36">
        <v>3</v>
      </c>
      <c r="V171" s="36">
        <v>2</v>
      </c>
      <c r="W171" s="36">
        <v>2</v>
      </c>
      <c r="X171" s="36">
        <v>1</v>
      </c>
      <c r="Y171" s="36">
        <v>1</v>
      </c>
      <c r="Z171" s="36" t="s">
        <v>3485</v>
      </c>
      <c r="AA171" s="36" t="s">
        <v>3558</v>
      </c>
      <c r="AB171" s="36" t="s">
        <v>3493</v>
      </c>
      <c r="AC171" s="36" t="s">
        <v>3494</v>
      </c>
      <c r="AD171" s="36" t="s">
        <v>7250</v>
      </c>
    </row>
    <row r="172" spans="1:30" ht="72">
      <c r="A172" s="36" t="s">
        <v>3566</v>
      </c>
      <c r="B172" s="36" t="s">
        <v>75</v>
      </c>
      <c r="C172" s="36" t="s">
        <v>1272</v>
      </c>
      <c r="D172" s="36" t="s">
        <v>190</v>
      </c>
      <c r="E172" s="36" t="s">
        <v>3567</v>
      </c>
      <c r="F172" s="36" t="s">
        <v>11200</v>
      </c>
      <c r="G172" s="36" t="s">
        <v>11201</v>
      </c>
      <c r="H172" s="36" t="s">
        <v>11202</v>
      </c>
      <c r="I172" s="36" t="s">
        <v>11203</v>
      </c>
      <c r="J172" s="36" t="s">
        <v>11204</v>
      </c>
      <c r="K172" s="36" t="s">
        <v>11205</v>
      </c>
      <c r="L172" s="36" t="s">
        <v>11206</v>
      </c>
      <c r="M172" s="36" t="s">
        <v>11207</v>
      </c>
      <c r="N172" s="36" t="s">
        <v>11208</v>
      </c>
      <c r="O172" s="36" t="s">
        <v>11209</v>
      </c>
      <c r="P172" s="36" t="s">
        <v>11210</v>
      </c>
      <c r="Q172" s="36" t="s">
        <v>11211</v>
      </c>
      <c r="R172" s="36" t="s">
        <v>9040</v>
      </c>
      <c r="S172" s="36" t="s">
        <v>11212</v>
      </c>
      <c r="T172" s="36">
        <v>3</v>
      </c>
      <c r="U172" s="36">
        <v>3</v>
      </c>
      <c r="V172" s="36">
        <v>2</v>
      </c>
      <c r="W172" s="36">
        <v>2</v>
      </c>
      <c r="X172" s="36">
        <v>1</v>
      </c>
      <c r="Y172" s="36">
        <v>1</v>
      </c>
      <c r="Z172" s="36" t="s">
        <v>3485</v>
      </c>
      <c r="AA172" s="36" t="s">
        <v>3568</v>
      </c>
      <c r="AB172" s="36" t="s">
        <v>3493</v>
      </c>
      <c r="AC172" s="36" t="s">
        <v>3494</v>
      </c>
      <c r="AD172" s="36" t="s">
        <v>7257</v>
      </c>
    </row>
    <row r="173" spans="1:30" ht="72">
      <c r="A173" s="36" t="s">
        <v>3576</v>
      </c>
      <c r="B173" s="36" t="s">
        <v>75</v>
      </c>
      <c r="C173" s="36" t="s">
        <v>1272</v>
      </c>
      <c r="D173" s="36" t="s">
        <v>190</v>
      </c>
      <c r="E173" s="36" t="s">
        <v>3577</v>
      </c>
      <c r="F173" s="36" t="s">
        <v>11213</v>
      </c>
      <c r="G173" s="36" t="s">
        <v>11214</v>
      </c>
      <c r="H173" s="36" t="s">
        <v>11215</v>
      </c>
      <c r="I173" s="36" t="s">
        <v>11216</v>
      </c>
      <c r="J173" s="36" t="s">
        <v>11217</v>
      </c>
      <c r="K173" s="36" t="s">
        <v>11218</v>
      </c>
      <c r="L173" s="36" t="s">
        <v>11219</v>
      </c>
      <c r="M173" s="36" t="s">
        <v>11220</v>
      </c>
      <c r="N173" s="36" t="s">
        <v>11221</v>
      </c>
      <c r="O173" s="36" t="s">
        <v>11222</v>
      </c>
      <c r="P173" s="36" t="s">
        <v>11223</v>
      </c>
      <c r="Q173" s="36" t="s">
        <v>11224</v>
      </c>
      <c r="R173" s="36" t="s">
        <v>9040</v>
      </c>
      <c r="S173" s="36" t="s">
        <v>11225</v>
      </c>
      <c r="T173" s="36">
        <v>3</v>
      </c>
      <c r="U173" s="36">
        <v>3</v>
      </c>
      <c r="V173" s="36">
        <v>2</v>
      </c>
      <c r="W173" s="36">
        <v>2</v>
      </c>
      <c r="X173" s="36">
        <v>1</v>
      </c>
      <c r="Y173" s="36">
        <v>1</v>
      </c>
      <c r="Z173" s="36" t="s">
        <v>3485</v>
      </c>
      <c r="AA173" s="36" t="s">
        <v>3578</v>
      </c>
      <c r="AB173" s="36" t="s">
        <v>3493</v>
      </c>
      <c r="AC173" s="36" t="s">
        <v>3494</v>
      </c>
      <c r="AD173" s="36" t="s">
        <v>7264</v>
      </c>
    </row>
    <row r="174" spans="1:30" ht="72">
      <c r="A174" s="36" t="s">
        <v>3586</v>
      </c>
      <c r="B174" s="36" t="s">
        <v>75</v>
      </c>
      <c r="C174" s="36" t="s">
        <v>1272</v>
      </c>
      <c r="D174" s="36" t="s">
        <v>190</v>
      </c>
      <c r="E174" s="36" t="s">
        <v>3587</v>
      </c>
      <c r="F174" s="36" t="s">
        <v>11226</v>
      </c>
      <c r="G174" s="36" t="s">
        <v>11227</v>
      </c>
      <c r="H174" s="36" t="s">
        <v>11228</v>
      </c>
      <c r="I174" s="36" t="s">
        <v>11229</v>
      </c>
      <c r="J174" s="36" t="s">
        <v>11230</v>
      </c>
      <c r="K174" s="36" t="s">
        <v>11231</v>
      </c>
      <c r="L174" s="36" t="s">
        <v>11232</v>
      </c>
      <c r="M174" s="36" t="s">
        <v>11233</v>
      </c>
      <c r="N174" s="36" t="s">
        <v>11234</v>
      </c>
      <c r="O174" s="36" t="s">
        <v>11235</v>
      </c>
      <c r="P174" s="36" t="s">
        <v>11236</v>
      </c>
      <c r="Q174" s="36" t="s">
        <v>11237</v>
      </c>
      <c r="R174" s="36" t="s">
        <v>9040</v>
      </c>
      <c r="S174" s="36" t="s">
        <v>11238</v>
      </c>
      <c r="T174" s="36">
        <v>3</v>
      </c>
      <c r="U174" s="36">
        <v>3</v>
      </c>
      <c r="V174" s="36">
        <v>2</v>
      </c>
      <c r="W174" s="36">
        <v>2</v>
      </c>
      <c r="X174" s="36">
        <v>1</v>
      </c>
      <c r="Y174" s="36">
        <v>1</v>
      </c>
      <c r="Z174" s="36" t="s">
        <v>3485</v>
      </c>
      <c r="AA174" s="36" t="s">
        <v>3588</v>
      </c>
      <c r="AB174" s="36" t="s">
        <v>3493</v>
      </c>
      <c r="AC174" s="36" t="s">
        <v>3494</v>
      </c>
      <c r="AD174" s="36" t="s">
        <v>7271</v>
      </c>
    </row>
    <row r="175" spans="1:30" ht="72">
      <c r="A175" s="36" t="s">
        <v>3596</v>
      </c>
      <c r="B175" s="36" t="s">
        <v>75</v>
      </c>
      <c r="C175" s="36" t="s">
        <v>1272</v>
      </c>
      <c r="D175" s="36" t="s">
        <v>190</v>
      </c>
      <c r="E175" s="36" t="s">
        <v>3597</v>
      </c>
      <c r="F175" s="36" t="s">
        <v>11239</v>
      </c>
      <c r="G175" s="36" t="s">
        <v>11240</v>
      </c>
      <c r="H175" s="36" t="s">
        <v>11241</v>
      </c>
      <c r="I175" s="36" t="s">
        <v>11242</v>
      </c>
      <c r="J175" s="36" t="s">
        <v>11243</v>
      </c>
      <c r="K175" s="36" t="s">
        <v>11244</v>
      </c>
      <c r="L175" s="36" t="s">
        <v>11245</v>
      </c>
      <c r="M175" s="36" t="s">
        <v>11246</v>
      </c>
      <c r="N175" s="36" t="s">
        <v>11247</v>
      </c>
      <c r="O175" s="36" t="s">
        <v>11248</v>
      </c>
      <c r="P175" s="36" t="s">
        <v>11249</v>
      </c>
      <c r="Q175" s="36" t="s">
        <v>11250</v>
      </c>
      <c r="R175" s="36" t="s">
        <v>9040</v>
      </c>
      <c r="S175" s="36" t="s">
        <v>11251</v>
      </c>
      <c r="T175" s="36">
        <v>3</v>
      </c>
      <c r="U175" s="36">
        <v>3</v>
      </c>
      <c r="V175" s="36">
        <v>2</v>
      </c>
      <c r="W175" s="36">
        <v>2</v>
      </c>
      <c r="X175" s="36">
        <v>1</v>
      </c>
      <c r="Y175" s="36">
        <v>1</v>
      </c>
      <c r="Z175" s="36" t="s">
        <v>3485</v>
      </c>
      <c r="AA175" s="36" t="s">
        <v>3598</v>
      </c>
      <c r="AB175" s="36" t="s">
        <v>3493</v>
      </c>
      <c r="AC175" s="36" t="s">
        <v>3494</v>
      </c>
      <c r="AD175" s="36" t="s">
        <v>7278</v>
      </c>
    </row>
    <row r="176" spans="1:30" ht="60">
      <c r="A176" s="36" t="s">
        <v>3606</v>
      </c>
      <c r="B176" s="36" t="s">
        <v>75</v>
      </c>
      <c r="C176" s="36" t="s">
        <v>1280</v>
      </c>
      <c r="D176" s="36" t="s">
        <v>190</v>
      </c>
      <c r="E176" s="36" t="s">
        <v>3607</v>
      </c>
      <c r="F176" s="36" t="s">
        <v>11252</v>
      </c>
      <c r="G176" s="36" t="s">
        <v>11253</v>
      </c>
      <c r="H176" s="36" t="s">
        <v>11254</v>
      </c>
      <c r="I176" s="36" t="s">
        <v>11255</v>
      </c>
      <c r="J176" s="36" t="s">
        <v>11256</v>
      </c>
      <c r="K176" s="36" t="s">
        <v>11257</v>
      </c>
      <c r="L176" s="36" t="s">
        <v>11258</v>
      </c>
      <c r="M176" s="36" t="s">
        <v>11259</v>
      </c>
      <c r="N176" s="36" t="s">
        <v>11260</v>
      </c>
      <c r="O176" s="36" t="s">
        <v>11261</v>
      </c>
      <c r="P176" s="36" t="s">
        <v>11262</v>
      </c>
      <c r="Q176" s="36" t="s">
        <v>11263</v>
      </c>
      <c r="R176" s="36" t="s">
        <v>9040</v>
      </c>
      <c r="S176" s="36" t="s">
        <v>11264</v>
      </c>
      <c r="T176" s="36">
        <v>3</v>
      </c>
      <c r="U176" s="36">
        <v>3</v>
      </c>
      <c r="V176" s="36">
        <v>2</v>
      </c>
      <c r="W176" s="36">
        <v>2</v>
      </c>
      <c r="X176" s="36">
        <v>1</v>
      </c>
      <c r="Y176" s="36">
        <v>1</v>
      </c>
      <c r="Z176" s="36" t="s">
        <v>3485</v>
      </c>
      <c r="AA176" s="36" t="s">
        <v>3608</v>
      </c>
      <c r="AB176" s="36" t="s">
        <v>3493</v>
      </c>
      <c r="AC176" s="36" t="s">
        <v>3494</v>
      </c>
      <c r="AD176" s="36" t="s">
        <v>7286</v>
      </c>
    </row>
    <row r="177" spans="1:30" ht="72">
      <c r="A177" s="36" t="s">
        <v>3616</v>
      </c>
      <c r="B177" s="36" t="s">
        <v>75</v>
      </c>
      <c r="C177" s="36" t="s">
        <v>1280</v>
      </c>
      <c r="D177" s="36" t="s">
        <v>190</v>
      </c>
      <c r="E177" s="36" t="s">
        <v>3617</v>
      </c>
      <c r="F177" s="36" t="s">
        <v>11265</v>
      </c>
      <c r="G177" s="36" t="s">
        <v>11266</v>
      </c>
      <c r="H177" s="36" t="s">
        <v>11267</v>
      </c>
      <c r="I177" s="36" t="s">
        <v>11268</v>
      </c>
      <c r="J177" s="36" t="s">
        <v>11269</v>
      </c>
      <c r="K177" s="36" t="s">
        <v>11270</v>
      </c>
      <c r="L177" s="36" t="s">
        <v>11271</v>
      </c>
      <c r="M177" s="36" t="s">
        <v>11272</v>
      </c>
      <c r="N177" s="36" t="s">
        <v>11273</v>
      </c>
      <c r="O177" s="36" t="s">
        <v>11274</v>
      </c>
      <c r="P177" s="36" t="s">
        <v>11275</v>
      </c>
      <c r="Q177" s="36" t="s">
        <v>11276</v>
      </c>
      <c r="R177" s="36" t="s">
        <v>9040</v>
      </c>
      <c r="S177" s="36" t="s">
        <v>11277</v>
      </c>
      <c r="T177" s="36">
        <v>3</v>
      </c>
      <c r="U177" s="36">
        <v>3</v>
      </c>
      <c r="V177" s="36">
        <v>2</v>
      </c>
      <c r="W177" s="36">
        <v>2</v>
      </c>
      <c r="X177" s="36">
        <v>1</v>
      </c>
      <c r="Y177" s="36">
        <v>1</v>
      </c>
      <c r="Z177" s="36" t="s">
        <v>3485</v>
      </c>
      <c r="AA177" s="36" t="s">
        <v>3618</v>
      </c>
      <c r="AB177" s="36" t="s">
        <v>3493</v>
      </c>
      <c r="AC177" s="36" t="s">
        <v>3494</v>
      </c>
      <c r="AD177" s="36" t="s">
        <v>7293</v>
      </c>
    </row>
    <row r="178" spans="1:30" ht="72">
      <c r="A178" s="36" t="s">
        <v>3626</v>
      </c>
      <c r="B178" s="36" t="s">
        <v>75</v>
      </c>
      <c r="C178" s="36" t="s">
        <v>1280</v>
      </c>
      <c r="D178" s="36" t="s">
        <v>190</v>
      </c>
      <c r="E178" s="36" t="s">
        <v>3627</v>
      </c>
      <c r="F178" s="36" t="s">
        <v>11278</v>
      </c>
      <c r="G178" s="36" t="s">
        <v>11279</v>
      </c>
      <c r="H178" s="36" t="s">
        <v>11280</v>
      </c>
      <c r="I178" s="36" t="s">
        <v>11281</v>
      </c>
      <c r="J178" s="36" t="s">
        <v>11282</v>
      </c>
      <c r="K178" s="36" t="s">
        <v>11283</v>
      </c>
      <c r="L178" s="36" t="s">
        <v>11284</v>
      </c>
      <c r="M178" s="36" t="s">
        <v>11285</v>
      </c>
      <c r="N178" s="36" t="s">
        <v>11286</v>
      </c>
      <c r="O178" s="36" t="s">
        <v>11287</v>
      </c>
      <c r="P178" s="36" t="s">
        <v>11288</v>
      </c>
      <c r="Q178" s="36" t="s">
        <v>11289</v>
      </c>
      <c r="R178" s="36" t="s">
        <v>9040</v>
      </c>
      <c r="S178" s="36" t="s">
        <v>11290</v>
      </c>
      <c r="T178" s="36">
        <v>3</v>
      </c>
      <c r="U178" s="36">
        <v>3</v>
      </c>
      <c r="V178" s="36">
        <v>2</v>
      </c>
      <c r="W178" s="36">
        <v>2</v>
      </c>
      <c r="X178" s="36">
        <v>1</v>
      </c>
      <c r="Y178" s="36">
        <v>1</v>
      </c>
      <c r="Z178" s="36" t="s">
        <v>3485</v>
      </c>
      <c r="AA178" s="36" t="s">
        <v>3628</v>
      </c>
      <c r="AB178" s="36" t="s">
        <v>3493</v>
      </c>
      <c r="AC178" s="36" t="s">
        <v>3494</v>
      </c>
      <c r="AD178" s="36" t="s">
        <v>7300</v>
      </c>
    </row>
    <row r="179" spans="1:30" ht="72">
      <c r="A179" s="36" t="s">
        <v>3636</v>
      </c>
      <c r="B179" s="36" t="s">
        <v>75</v>
      </c>
      <c r="C179" s="36" t="s">
        <v>1280</v>
      </c>
      <c r="D179" s="36" t="s">
        <v>190</v>
      </c>
      <c r="E179" s="36" t="s">
        <v>3637</v>
      </c>
      <c r="F179" s="36" t="s">
        <v>11291</v>
      </c>
      <c r="G179" s="36" t="s">
        <v>11292</v>
      </c>
      <c r="H179" s="36" t="s">
        <v>11293</v>
      </c>
      <c r="I179" s="36" t="s">
        <v>11294</v>
      </c>
      <c r="J179" s="36" t="s">
        <v>11295</v>
      </c>
      <c r="K179" s="36" t="s">
        <v>11296</v>
      </c>
      <c r="L179" s="36" t="s">
        <v>11297</v>
      </c>
      <c r="M179" s="36" t="s">
        <v>11298</v>
      </c>
      <c r="N179" s="36" t="s">
        <v>11299</v>
      </c>
      <c r="O179" s="36" t="s">
        <v>11300</v>
      </c>
      <c r="P179" s="36" t="s">
        <v>11301</v>
      </c>
      <c r="Q179" s="36" t="s">
        <v>11302</v>
      </c>
      <c r="R179" s="36" t="s">
        <v>9040</v>
      </c>
      <c r="S179" s="36" t="s">
        <v>11303</v>
      </c>
      <c r="T179" s="36">
        <v>3</v>
      </c>
      <c r="U179" s="36">
        <v>3</v>
      </c>
      <c r="V179" s="36">
        <v>2</v>
      </c>
      <c r="W179" s="36">
        <v>2</v>
      </c>
      <c r="X179" s="36">
        <v>1</v>
      </c>
      <c r="Y179" s="36">
        <v>1</v>
      </c>
      <c r="Z179" s="36" t="s">
        <v>3485</v>
      </c>
      <c r="AA179" s="36" t="s">
        <v>3638</v>
      </c>
      <c r="AB179" s="36" t="s">
        <v>3493</v>
      </c>
      <c r="AC179" s="36" t="s">
        <v>3494</v>
      </c>
      <c r="AD179" s="36" t="s">
        <v>7307</v>
      </c>
    </row>
    <row r="180" spans="1:30" ht="72">
      <c r="A180" s="36" t="s">
        <v>3646</v>
      </c>
      <c r="B180" s="36" t="s">
        <v>75</v>
      </c>
      <c r="C180" s="36" t="s">
        <v>1280</v>
      </c>
      <c r="D180" s="36" t="s">
        <v>190</v>
      </c>
      <c r="E180" s="36" t="s">
        <v>3647</v>
      </c>
      <c r="F180" s="36" t="s">
        <v>11304</v>
      </c>
      <c r="G180" s="36" t="s">
        <v>11305</v>
      </c>
      <c r="H180" s="36" t="s">
        <v>11306</v>
      </c>
      <c r="I180" s="36" t="s">
        <v>11307</v>
      </c>
      <c r="J180" s="36" t="s">
        <v>11308</v>
      </c>
      <c r="K180" s="36" t="s">
        <v>11309</v>
      </c>
      <c r="L180" s="36" t="s">
        <v>11310</v>
      </c>
      <c r="M180" s="36" t="s">
        <v>11311</v>
      </c>
      <c r="N180" s="36" t="s">
        <v>11312</v>
      </c>
      <c r="O180" s="36" t="s">
        <v>11313</v>
      </c>
      <c r="P180" s="36" t="s">
        <v>11314</v>
      </c>
      <c r="Q180" s="36" t="s">
        <v>11315</v>
      </c>
      <c r="R180" s="36" t="s">
        <v>9040</v>
      </c>
      <c r="S180" s="36" t="s">
        <v>11316</v>
      </c>
      <c r="T180" s="36">
        <v>3</v>
      </c>
      <c r="U180" s="36">
        <v>3</v>
      </c>
      <c r="V180" s="36">
        <v>2</v>
      </c>
      <c r="W180" s="36">
        <v>2</v>
      </c>
      <c r="X180" s="36">
        <v>1</v>
      </c>
      <c r="Y180" s="36">
        <v>1</v>
      </c>
      <c r="Z180" s="36" t="s">
        <v>3485</v>
      </c>
      <c r="AA180" s="36" t="s">
        <v>3648</v>
      </c>
      <c r="AB180" s="36" t="s">
        <v>3493</v>
      </c>
      <c r="AC180" s="36" t="s">
        <v>3494</v>
      </c>
      <c r="AD180" s="36" t="s">
        <v>7314</v>
      </c>
    </row>
    <row r="181" spans="1:30" ht="60">
      <c r="A181" s="36" t="s">
        <v>3656</v>
      </c>
      <c r="B181" s="36" t="s">
        <v>75</v>
      </c>
      <c r="C181" s="36" t="s">
        <v>1280</v>
      </c>
      <c r="D181" s="36" t="s">
        <v>190</v>
      </c>
      <c r="E181" s="36" t="s">
        <v>3657</v>
      </c>
      <c r="F181" s="36" t="s">
        <v>11317</v>
      </c>
      <c r="G181" s="36" t="s">
        <v>11318</v>
      </c>
      <c r="H181" s="36" t="s">
        <v>11319</v>
      </c>
      <c r="I181" s="36" t="s">
        <v>11320</v>
      </c>
      <c r="J181" s="36" t="s">
        <v>11321</v>
      </c>
      <c r="K181" s="36" t="s">
        <v>11322</v>
      </c>
      <c r="L181" s="36" t="s">
        <v>11323</v>
      </c>
      <c r="M181" s="36" t="s">
        <v>11324</v>
      </c>
      <c r="N181" s="36" t="s">
        <v>11325</v>
      </c>
      <c r="O181" s="36" t="s">
        <v>11326</v>
      </c>
      <c r="P181" s="36" t="s">
        <v>11327</v>
      </c>
      <c r="Q181" s="36" t="s">
        <v>11328</v>
      </c>
      <c r="R181" s="36" t="s">
        <v>9040</v>
      </c>
      <c r="S181" s="36" t="s">
        <v>11329</v>
      </c>
      <c r="T181" s="36">
        <v>3</v>
      </c>
      <c r="U181" s="36">
        <v>3</v>
      </c>
      <c r="V181" s="36">
        <v>2</v>
      </c>
      <c r="W181" s="36">
        <v>2</v>
      </c>
      <c r="X181" s="36">
        <v>1</v>
      </c>
      <c r="Y181" s="36">
        <v>1</v>
      </c>
      <c r="Z181" s="36" t="s">
        <v>3485</v>
      </c>
      <c r="AA181" s="36" t="s">
        <v>3658</v>
      </c>
      <c r="AB181" s="36" t="s">
        <v>3493</v>
      </c>
      <c r="AC181" s="36" t="s">
        <v>3494</v>
      </c>
      <c r="AD181" s="36" t="s">
        <v>7321</v>
      </c>
    </row>
    <row r="182" spans="1:30" ht="72">
      <c r="A182" s="36" t="s">
        <v>3666</v>
      </c>
      <c r="B182" s="36" t="s">
        <v>75</v>
      </c>
      <c r="C182" s="36" t="s">
        <v>1288</v>
      </c>
      <c r="D182" s="36" t="s">
        <v>190</v>
      </c>
      <c r="E182" s="36" t="s">
        <v>3667</v>
      </c>
      <c r="F182" s="36" t="s">
        <v>11330</v>
      </c>
      <c r="G182" s="36" t="s">
        <v>11331</v>
      </c>
      <c r="H182" s="36" t="s">
        <v>11332</v>
      </c>
      <c r="I182" s="36" t="s">
        <v>11333</v>
      </c>
      <c r="J182" s="36" t="s">
        <v>11334</v>
      </c>
      <c r="K182" s="36" t="s">
        <v>11335</v>
      </c>
      <c r="L182" s="36" t="s">
        <v>11336</v>
      </c>
      <c r="M182" s="36" t="s">
        <v>11337</v>
      </c>
      <c r="N182" s="36" t="s">
        <v>11338</v>
      </c>
      <c r="O182" s="36" t="s">
        <v>11339</v>
      </c>
      <c r="P182" s="36" t="s">
        <v>11340</v>
      </c>
      <c r="Q182" s="36" t="s">
        <v>11341</v>
      </c>
      <c r="R182" s="36" t="s">
        <v>9040</v>
      </c>
      <c r="S182" s="36" t="s">
        <v>11342</v>
      </c>
      <c r="T182" s="36">
        <v>3</v>
      </c>
      <c r="U182" s="36">
        <v>3</v>
      </c>
      <c r="V182" s="36">
        <v>2</v>
      </c>
      <c r="W182" s="36">
        <v>2</v>
      </c>
      <c r="X182" s="36">
        <v>1</v>
      </c>
      <c r="Y182" s="36">
        <v>1</v>
      </c>
      <c r="Z182" s="36" t="s">
        <v>3485</v>
      </c>
      <c r="AA182" s="36" t="s">
        <v>3668</v>
      </c>
      <c r="AB182" s="36" t="s">
        <v>3493</v>
      </c>
      <c r="AC182" s="36" t="s">
        <v>3494</v>
      </c>
      <c r="AD182" s="36" t="s">
        <v>7329</v>
      </c>
    </row>
    <row r="183" spans="1:30" ht="72">
      <c r="A183" s="36" t="s">
        <v>3676</v>
      </c>
      <c r="B183" s="36" t="s">
        <v>75</v>
      </c>
      <c r="C183" s="36" t="s">
        <v>1288</v>
      </c>
      <c r="D183" s="36" t="s">
        <v>190</v>
      </c>
      <c r="E183" s="36" t="s">
        <v>3677</v>
      </c>
      <c r="F183" s="36" t="s">
        <v>11343</v>
      </c>
      <c r="G183" s="36" t="s">
        <v>11344</v>
      </c>
      <c r="H183" s="36" t="s">
        <v>11345</v>
      </c>
      <c r="I183" s="36" t="s">
        <v>11346</v>
      </c>
      <c r="J183" s="36" t="s">
        <v>11347</v>
      </c>
      <c r="K183" s="36" t="s">
        <v>11348</v>
      </c>
      <c r="L183" s="36" t="s">
        <v>11349</v>
      </c>
      <c r="M183" s="36" t="s">
        <v>11350</v>
      </c>
      <c r="N183" s="36" t="s">
        <v>11351</v>
      </c>
      <c r="O183" s="36" t="s">
        <v>11352</v>
      </c>
      <c r="P183" s="36" t="s">
        <v>11353</v>
      </c>
      <c r="Q183" s="36" t="s">
        <v>11354</v>
      </c>
      <c r="R183" s="36" t="s">
        <v>9040</v>
      </c>
      <c r="S183" s="36" t="s">
        <v>11355</v>
      </c>
      <c r="T183" s="36">
        <v>3</v>
      </c>
      <c r="U183" s="36">
        <v>3</v>
      </c>
      <c r="V183" s="36">
        <v>2</v>
      </c>
      <c r="W183" s="36">
        <v>2</v>
      </c>
      <c r="X183" s="36">
        <v>1</v>
      </c>
      <c r="Y183" s="36">
        <v>1</v>
      </c>
      <c r="Z183" s="36" t="s">
        <v>3485</v>
      </c>
      <c r="AA183" s="36" t="s">
        <v>3678</v>
      </c>
      <c r="AB183" s="36" t="s">
        <v>3493</v>
      </c>
      <c r="AC183" s="36" t="s">
        <v>3494</v>
      </c>
      <c r="AD183" s="36" t="s">
        <v>7336</v>
      </c>
    </row>
    <row r="184" spans="1:30" ht="72">
      <c r="A184" s="36" t="s">
        <v>3686</v>
      </c>
      <c r="B184" s="36" t="s">
        <v>75</v>
      </c>
      <c r="C184" s="36" t="s">
        <v>1288</v>
      </c>
      <c r="D184" s="36" t="s">
        <v>190</v>
      </c>
      <c r="E184" s="36" t="s">
        <v>3687</v>
      </c>
      <c r="F184" s="36" t="s">
        <v>11356</v>
      </c>
      <c r="G184" s="36" t="s">
        <v>11357</v>
      </c>
      <c r="H184" s="36" t="s">
        <v>11358</v>
      </c>
      <c r="I184" s="36" t="s">
        <v>11359</v>
      </c>
      <c r="J184" s="36" t="s">
        <v>11360</v>
      </c>
      <c r="K184" s="36" t="s">
        <v>11361</v>
      </c>
      <c r="L184" s="36" t="s">
        <v>11362</v>
      </c>
      <c r="M184" s="36" t="s">
        <v>11363</v>
      </c>
      <c r="N184" s="36" t="s">
        <v>11364</v>
      </c>
      <c r="O184" s="36" t="s">
        <v>11365</v>
      </c>
      <c r="P184" s="36" t="s">
        <v>11366</v>
      </c>
      <c r="Q184" s="36" t="s">
        <v>11367</v>
      </c>
      <c r="R184" s="36" t="s">
        <v>9040</v>
      </c>
      <c r="S184" s="36" t="s">
        <v>11368</v>
      </c>
      <c r="T184" s="36">
        <v>3</v>
      </c>
      <c r="U184" s="36">
        <v>3</v>
      </c>
      <c r="V184" s="36">
        <v>2</v>
      </c>
      <c r="W184" s="36">
        <v>2</v>
      </c>
      <c r="X184" s="36">
        <v>1</v>
      </c>
      <c r="Y184" s="36">
        <v>1</v>
      </c>
      <c r="Z184" s="36" t="s">
        <v>3485</v>
      </c>
      <c r="AA184" s="36" t="s">
        <v>3688</v>
      </c>
      <c r="AB184" s="36" t="s">
        <v>3493</v>
      </c>
      <c r="AC184" s="36" t="s">
        <v>3494</v>
      </c>
      <c r="AD184" s="36" t="s">
        <v>7343</v>
      </c>
    </row>
    <row r="185" spans="1:30" ht="60">
      <c r="A185" s="36" t="s">
        <v>3696</v>
      </c>
      <c r="B185" s="36" t="s">
        <v>75</v>
      </c>
      <c r="C185" s="36" t="s">
        <v>1288</v>
      </c>
      <c r="D185" s="36" t="s">
        <v>190</v>
      </c>
      <c r="E185" s="36" t="s">
        <v>3697</v>
      </c>
      <c r="F185" s="36" t="s">
        <v>11369</v>
      </c>
      <c r="G185" s="36" t="s">
        <v>11370</v>
      </c>
      <c r="H185" s="36" t="s">
        <v>11371</v>
      </c>
      <c r="I185" s="36" t="s">
        <v>11372</v>
      </c>
      <c r="J185" s="36" t="s">
        <v>11373</v>
      </c>
      <c r="K185" s="36" t="s">
        <v>11374</v>
      </c>
      <c r="L185" s="36" t="s">
        <v>11375</v>
      </c>
      <c r="M185" s="36" t="s">
        <v>11376</v>
      </c>
      <c r="N185" s="36" t="s">
        <v>11377</v>
      </c>
      <c r="O185" s="36" t="s">
        <v>11378</v>
      </c>
      <c r="P185" s="36" t="s">
        <v>11379</v>
      </c>
      <c r="Q185" s="36" t="s">
        <v>11380</v>
      </c>
      <c r="R185" s="36" t="s">
        <v>9040</v>
      </c>
      <c r="S185" s="36" t="s">
        <v>11381</v>
      </c>
      <c r="T185" s="36">
        <v>3</v>
      </c>
      <c r="U185" s="36">
        <v>3</v>
      </c>
      <c r="V185" s="36">
        <v>2</v>
      </c>
      <c r="W185" s="36">
        <v>2</v>
      </c>
      <c r="X185" s="36">
        <v>1</v>
      </c>
      <c r="Y185" s="36">
        <v>1</v>
      </c>
      <c r="Z185" s="36" t="s">
        <v>3485</v>
      </c>
      <c r="AA185" s="36" t="s">
        <v>3698</v>
      </c>
      <c r="AB185" s="36" t="s">
        <v>3493</v>
      </c>
      <c r="AC185" s="36" t="s">
        <v>3494</v>
      </c>
      <c r="AD185" s="36" t="s">
        <v>7350</v>
      </c>
    </row>
    <row r="186" spans="1:30" ht="72">
      <c r="A186" s="36" t="s">
        <v>3706</v>
      </c>
      <c r="B186" s="36" t="s">
        <v>75</v>
      </c>
      <c r="C186" s="36" t="s">
        <v>1288</v>
      </c>
      <c r="D186" s="36" t="s">
        <v>190</v>
      </c>
      <c r="E186" s="36" t="s">
        <v>3707</v>
      </c>
      <c r="F186" s="36" t="s">
        <v>11382</v>
      </c>
      <c r="G186" s="36" t="s">
        <v>11383</v>
      </c>
      <c r="H186" s="36" t="s">
        <v>11384</v>
      </c>
      <c r="I186" s="36" t="s">
        <v>11385</v>
      </c>
      <c r="J186" s="36" t="s">
        <v>11386</v>
      </c>
      <c r="K186" s="36" t="s">
        <v>11387</v>
      </c>
      <c r="L186" s="36" t="s">
        <v>11388</v>
      </c>
      <c r="M186" s="36" t="s">
        <v>11389</v>
      </c>
      <c r="N186" s="36" t="s">
        <v>11390</v>
      </c>
      <c r="O186" s="36" t="s">
        <v>11391</v>
      </c>
      <c r="P186" s="36" t="s">
        <v>11392</v>
      </c>
      <c r="Q186" s="36" t="s">
        <v>11393</v>
      </c>
      <c r="R186" s="36" t="s">
        <v>9040</v>
      </c>
      <c r="S186" s="36" t="s">
        <v>11394</v>
      </c>
      <c r="T186" s="36">
        <v>3</v>
      </c>
      <c r="U186" s="36">
        <v>3</v>
      </c>
      <c r="V186" s="36">
        <v>2</v>
      </c>
      <c r="W186" s="36">
        <v>2</v>
      </c>
      <c r="X186" s="36">
        <v>1</v>
      </c>
      <c r="Y186" s="36">
        <v>1</v>
      </c>
      <c r="Z186" s="36" t="s">
        <v>3485</v>
      </c>
      <c r="AA186" s="36" t="s">
        <v>3708</v>
      </c>
      <c r="AB186" s="36" t="s">
        <v>3493</v>
      </c>
      <c r="AC186" s="36" t="s">
        <v>3494</v>
      </c>
      <c r="AD186" s="36" t="s">
        <v>7357</v>
      </c>
    </row>
    <row r="187" spans="1:30" ht="72">
      <c r="A187" s="36" t="s">
        <v>3716</v>
      </c>
      <c r="B187" s="36" t="s">
        <v>75</v>
      </c>
      <c r="C187" s="36" t="s">
        <v>1288</v>
      </c>
      <c r="D187" s="36" t="s">
        <v>190</v>
      </c>
      <c r="E187" s="36" t="s">
        <v>3717</v>
      </c>
      <c r="F187" s="36" t="s">
        <v>11395</v>
      </c>
      <c r="G187" s="36" t="s">
        <v>11396</v>
      </c>
      <c r="H187" s="36" t="s">
        <v>11397</v>
      </c>
      <c r="I187" s="36" t="s">
        <v>11398</v>
      </c>
      <c r="J187" s="36" t="s">
        <v>11399</v>
      </c>
      <c r="K187" s="36" t="s">
        <v>11400</v>
      </c>
      <c r="L187" s="36" t="s">
        <v>11401</v>
      </c>
      <c r="M187" s="36" t="s">
        <v>11402</v>
      </c>
      <c r="N187" s="36" t="s">
        <v>11403</v>
      </c>
      <c r="O187" s="36" t="s">
        <v>11404</v>
      </c>
      <c r="P187" s="36" t="s">
        <v>11405</v>
      </c>
      <c r="Q187" s="36" t="s">
        <v>11406</v>
      </c>
      <c r="R187" s="36" t="s">
        <v>9040</v>
      </c>
      <c r="S187" s="36" t="s">
        <v>11407</v>
      </c>
      <c r="T187" s="36">
        <v>3</v>
      </c>
      <c r="U187" s="36">
        <v>3</v>
      </c>
      <c r="V187" s="36">
        <v>2</v>
      </c>
      <c r="W187" s="36">
        <v>2</v>
      </c>
      <c r="X187" s="36">
        <v>1</v>
      </c>
      <c r="Y187" s="36">
        <v>1</v>
      </c>
      <c r="Z187" s="36" t="s">
        <v>3485</v>
      </c>
      <c r="AA187" s="36" t="s">
        <v>3718</v>
      </c>
      <c r="AB187" s="36" t="s">
        <v>3493</v>
      </c>
      <c r="AC187" s="36" t="s">
        <v>3494</v>
      </c>
      <c r="AD187" s="36" t="s">
        <v>7364</v>
      </c>
    </row>
    <row r="188" spans="1:30" ht="84">
      <c r="A188" s="36" t="s">
        <v>3728</v>
      </c>
      <c r="B188" s="36" t="s">
        <v>78</v>
      </c>
      <c r="C188" s="36" t="s">
        <v>1296</v>
      </c>
      <c r="D188" s="36" t="s">
        <v>191</v>
      </c>
      <c r="E188" s="36" t="s">
        <v>3729</v>
      </c>
      <c r="F188" s="36" t="s">
        <v>11408</v>
      </c>
      <c r="G188" s="36" t="s">
        <v>11409</v>
      </c>
      <c r="H188" s="36" t="s">
        <v>11410</v>
      </c>
      <c r="I188" s="36" t="s">
        <v>11411</v>
      </c>
      <c r="J188" s="36" t="s">
        <v>11412</v>
      </c>
      <c r="K188" s="36" t="s">
        <v>11413</v>
      </c>
      <c r="L188" s="36" t="s">
        <v>11414</v>
      </c>
      <c r="M188" s="36" t="s">
        <v>11415</v>
      </c>
      <c r="N188" s="36" t="s">
        <v>11416</v>
      </c>
      <c r="O188" s="36" t="s">
        <v>11417</v>
      </c>
      <c r="P188" s="36" t="s">
        <v>11418</v>
      </c>
      <c r="Q188" s="36" t="s">
        <v>11419</v>
      </c>
      <c r="R188" s="36" t="s">
        <v>9040</v>
      </c>
      <c r="S188" s="36" t="s">
        <v>11420</v>
      </c>
      <c r="T188" s="36">
        <v>4</v>
      </c>
      <c r="U188" s="36">
        <v>3</v>
      </c>
      <c r="V188" s="36">
        <v>3</v>
      </c>
      <c r="W188" s="36">
        <v>2</v>
      </c>
      <c r="X188" s="36">
        <v>1</v>
      </c>
      <c r="Y188" s="36">
        <v>1</v>
      </c>
      <c r="Z188" s="36" t="s">
        <v>3731</v>
      </c>
      <c r="AA188" s="36" t="s">
        <v>3732</v>
      </c>
      <c r="AB188" s="36" t="s">
        <v>3739</v>
      </c>
      <c r="AC188" s="36" t="s">
        <v>3740</v>
      </c>
      <c r="AD188" s="36" t="s">
        <v>7372</v>
      </c>
    </row>
    <row r="189" spans="1:30" ht="72">
      <c r="A189" s="36" t="s">
        <v>3742</v>
      </c>
      <c r="B189" s="36" t="s">
        <v>78</v>
      </c>
      <c r="C189" s="36" t="s">
        <v>1296</v>
      </c>
      <c r="D189" s="36" t="s">
        <v>191</v>
      </c>
      <c r="E189" s="36" t="s">
        <v>3743</v>
      </c>
      <c r="F189" s="36" t="s">
        <v>11421</v>
      </c>
      <c r="G189" s="36" t="s">
        <v>11422</v>
      </c>
      <c r="H189" s="36" t="s">
        <v>11423</v>
      </c>
      <c r="I189" s="36" t="s">
        <v>11424</v>
      </c>
      <c r="J189" s="36" t="s">
        <v>11425</v>
      </c>
      <c r="K189" s="36" t="s">
        <v>11426</v>
      </c>
      <c r="L189" s="36" t="s">
        <v>11427</v>
      </c>
      <c r="M189" s="36" t="s">
        <v>11428</v>
      </c>
      <c r="N189" s="36" t="s">
        <v>11429</v>
      </c>
      <c r="O189" s="36" t="s">
        <v>11430</v>
      </c>
      <c r="P189" s="36" t="s">
        <v>11431</v>
      </c>
      <c r="Q189" s="36" t="s">
        <v>11432</v>
      </c>
      <c r="R189" s="36" t="s">
        <v>9040</v>
      </c>
      <c r="S189" s="36" t="s">
        <v>11433</v>
      </c>
      <c r="T189" s="36">
        <v>4</v>
      </c>
      <c r="U189" s="36">
        <v>3</v>
      </c>
      <c r="V189" s="36">
        <v>3</v>
      </c>
      <c r="W189" s="36">
        <v>2</v>
      </c>
      <c r="X189" s="36">
        <v>1</v>
      </c>
      <c r="Y189" s="36">
        <v>1</v>
      </c>
      <c r="Z189" s="36" t="s">
        <v>3731</v>
      </c>
      <c r="AA189" s="36" t="s">
        <v>3744</v>
      </c>
      <c r="AB189" s="36" t="s">
        <v>3739</v>
      </c>
      <c r="AC189" s="36" t="s">
        <v>3740</v>
      </c>
      <c r="AD189" s="36" t="s">
        <v>7379</v>
      </c>
    </row>
    <row r="190" spans="1:30" ht="72">
      <c r="A190" s="36" t="s">
        <v>3752</v>
      </c>
      <c r="B190" s="36" t="s">
        <v>78</v>
      </c>
      <c r="C190" s="36" t="s">
        <v>1296</v>
      </c>
      <c r="D190" s="36" t="s">
        <v>191</v>
      </c>
      <c r="E190" s="36" t="s">
        <v>3753</v>
      </c>
      <c r="F190" s="36" t="s">
        <v>11434</v>
      </c>
      <c r="G190" s="36" t="s">
        <v>11435</v>
      </c>
      <c r="H190" s="36" t="s">
        <v>11436</v>
      </c>
      <c r="I190" s="36" t="s">
        <v>11437</v>
      </c>
      <c r="J190" s="36" t="s">
        <v>11438</v>
      </c>
      <c r="K190" s="36" t="s">
        <v>11439</v>
      </c>
      <c r="L190" s="36" t="s">
        <v>11440</v>
      </c>
      <c r="M190" s="36" t="s">
        <v>11441</v>
      </c>
      <c r="N190" s="36" t="s">
        <v>11442</v>
      </c>
      <c r="O190" s="36" t="s">
        <v>11443</v>
      </c>
      <c r="P190" s="36" t="s">
        <v>11444</v>
      </c>
      <c r="Q190" s="36" t="s">
        <v>11445</v>
      </c>
      <c r="R190" s="36" t="s">
        <v>9040</v>
      </c>
      <c r="S190" s="36" t="s">
        <v>11446</v>
      </c>
      <c r="T190" s="36">
        <v>4</v>
      </c>
      <c r="U190" s="36">
        <v>3</v>
      </c>
      <c r="V190" s="36">
        <v>3</v>
      </c>
      <c r="W190" s="36">
        <v>2</v>
      </c>
      <c r="X190" s="36">
        <v>1</v>
      </c>
      <c r="Y190" s="36">
        <v>1</v>
      </c>
      <c r="Z190" s="36" t="s">
        <v>3731</v>
      </c>
      <c r="AA190" s="36" t="s">
        <v>3754</v>
      </c>
      <c r="AB190" s="36" t="s">
        <v>3739</v>
      </c>
      <c r="AC190" s="36" t="s">
        <v>3740</v>
      </c>
      <c r="AD190" s="36" t="s">
        <v>7386</v>
      </c>
    </row>
    <row r="191" spans="1:30" ht="72">
      <c r="A191" s="36" t="s">
        <v>3762</v>
      </c>
      <c r="B191" s="36" t="s">
        <v>78</v>
      </c>
      <c r="C191" s="36" t="s">
        <v>1296</v>
      </c>
      <c r="D191" s="36" t="s">
        <v>191</v>
      </c>
      <c r="E191" s="36" t="s">
        <v>3763</v>
      </c>
      <c r="F191" s="36" t="s">
        <v>11447</v>
      </c>
      <c r="G191" s="36" t="s">
        <v>11448</v>
      </c>
      <c r="H191" s="36" t="s">
        <v>11449</v>
      </c>
      <c r="I191" s="36" t="s">
        <v>11450</v>
      </c>
      <c r="J191" s="36" t="s">
        <v>11451</v>
      </c>
      <c r="K191" s="36" t="s">
        <v>11452</v>
      </c>
      <c r="L191" s="36" t="s">
        <v>11453</v>
      </c>
      <c r="M191" s="36" t="s">
        <v>11454</v>
      </c>
      <c r="N191" s="36" t="s">
        <v>11455</v>
      </c>
      <c r="O191" s="36" t="s">
        <v>11456</v>
      </c>
      <c r="P191" s="36" t="s">
        <v>11457</v>
      </c>
      <c r="Q191" s="36" t="s">
        <v>11458</v>
      </c>
      <c r="R191" s="36" t="s">
        <v>9040</v>
      </c>
      <c r="S191" s="36" t="s">
        <v>11459</v>
      </c>
      <c r="T191" s="36">
        <v>4</v>
      </c>
      <c r="U191" s="36">
        <v>3</v>
      </c>
      <c r="V191" s="36">
        <v>3</v>
      </c>
      <c r="W191" s="36">
        <v>2</v>
      </c>
      <c r="X191" s="36">
        <v>1</v>
      </c>
      <c r="Y191" s="36">
        <v>1</v>
      </c>
      <c r="Z191" s="36" t="s">
        <v>3731</v>
      </c>
      <c r="AA191" s="36" t="s">
        <v>3764</v>
      </c>
      <c r="AB191" s="36" t="s">
        <v>3739</v>
      </c>
      <c r="AC191" s="36" t="s">
        <v>3740</v>
      </c>
      <c r="AD191" s="36" t="s">
        <v>7393</v>
      </c>
    </row>
    <row r="192" spans="1:30" ht="72">
      <c r="A192" s="36" t="s">
        <v>3772</v>
      </c>
      <c r="B192" s="36" t="s">
        <v>78</v>
      </c>
      <c r="C192" s="36" t="s">
        <v>1296</v>
      </c>
      <c r="D192" s="36" t="s">
        <v>191</v>
      </c>
      <c r="E192" s="36" t="s">
        <v>3773</v>
      </c>
      <c r="F192" s="36" t="s">
        <v>11460</v>
      </c>
      <c r="G192" s="36" t="s">
        <v>11461</v>
      </c>
      <c r="H192" s="36" t="s">
        <v>11462</v>
      </c>
      <c r="I192" s="36" t="s">
        <v>11463</v>
      </c>
      <c r="J192" s="36" t="s">
        <v>11464</v>
      </c>
      <c r="K192" s="36" t="s">
        <v>11465</v>
      </c>
      <c r="L192" s="36" t="s">
        <v>11466</v>
      </c>
      <c r="M192" s="36" t="s">
        <v>11467</v>
      </c>
      <c r="N192" s="36" t="s">
        <v>11468</v>
      </c>
      <c r="O192" s="36" t="s">
        <v>11469</v>
      </c>
      <c r="P192" s="36" t="s">
        <v>11470</v>
      </c>
      <c r="Q192" s="36" t="s">
        <v>11471</v>
      </c>
      <c r="R192" s="36" t="s">
        <v>9040</v>
      </c>
      <c r="S192" s="36" t="s">
        <v>11472</v>
      </c>
      <c r="T192" s="36">
        <v>4</v>
      </c>
      <c r="U192" s="36">
        <v>3</v>
      </c>
      <c r="V192" s="36">
        <v>3</v>
      </c>
      <c r="W192" s="36">
        <v>2</v>
      </c>
      <c r="X192" s="36">
        <v>1</v>
      </c>
      <c r="Y192" s="36">
        <v>1</v>
      </c>
      <c r="Z192" s="36" t="s">
        <v>3731</v>
      </c>
      <c r="AA192" s="36" t="s">
        <v>3774</v>
      </c>
      <c r="AB192" s="36" t="s">
        <v>3739</v>
      </c>
      <c r="AC192" s="36" t="s">
        <v>3740</v>
      </c>
      <c r="AD192" s="36" t="s">
        <v>7400</v>
      </c>
    </row>
    <row r="193" spans="1:30" ht="72">
      <c r="A193" s="36" t="s">
        <v>3782</v>
      </c>
      <c r="B193" s="36" t="s">
        <v>78</v>
      </c>
      <c r="C193" s="36" t="s">
        <v>1296</v>
      </c>
      <c r="D193" s="36" t="s">
        <v>191</v>
      </c>
      <c r="E193" s="36" t="s">
        <v>3783</v>
      </c>
      <c r="F193" s="36" t="s">
        <v>11473</v>
      </c>
      <c r="G193" s="36" t="s">
        <v>11474</v>
      </c>
      <c r="H193" s="36" t="s">
        <v>11475</v>
      </c>
      <c r="I193" s="36" t="s">
        <v>11476</v>
      </c>
      <c r="J193" s="36" t="s">
        <v>11477</v>
      </c>
      <c r="K193" s="36" t="s">
        <v>11478</v>
      </c>
      <c r="L193" s="36" t="s">
        <v>11479</v>
      </c>
      <c r="M193" s="36" t="s">
        <v>11480</v>
      </c>
      <c r="N193" s="36" t="s">
        <v>11481</v>
      </c>
      <c r="O193" s="36" t="s">
        <v>11482</v>
      </c>
      <c r="P193" s="36" t="s">
        <v>11483</v>
      </c>
      <c r="Q193" s="36" t="s">
        <v>11484</v>
      </c>
      <c r="R193" s="36" t="s">
        <v>9040</v>
      </c>
      <c r="S193" s="36" t="s">
        <v>11485</v>
      </c>
      <c r="T193" s="36">
        <v>4</v>
      </c>
      <c r="U193" s="36">
        <v>3</v>
      </c>
      <c r="V193" s="36">
        <v>3</v>
      </c>
      <c r="W193" s="36">
        <v>2</v>
      </c>
      <c r="X193" s="36">
        <v>1</v>
      </c>
      <c r="Y193" s="36">
        <v>1</v>
      </c>
      <c r="Z193" s="36" t="s">
        <v>3731</v>
      </c>
      <c r="AA193" s="36" t="s">
        <v>3784</v>
      </c>
      <c r="AB193" s="36" t="s">
        <v>3739</v>
      </c>
      <c r="AC193" s="36" t="s">
        <v>3740</v>
      </c>
      <c r="AD193" s="36" t="s">
        <v>7407</v>
      </c>
    </row>
    <row r="194" spans="1:30" ht="72">
      <c r="A194" s="36" t="s">
        <v>3792</v>
      </c>
      <c r="B194" s="36" t="s">
        <v>78</v>
      </c>
      <c r="C194" s="36" t="s">
        <v>1307</v>
      </c>
      <c r="D194" s="36" t="s">
        <v>191</v>
      </c>
      <c r="E194" s="36" t="s">
        <v>3793</v>
      </c>
      <c r="F194" s="36" t="s">
        <v>11486</v>
      </c>
      <c r="G194" s="36" t="s">
        <v>11487</v>
      </c>
      <c r="H194" s="36" t="s">
        <v>11488</v>
      </c>
      <c r="I194" s="36" t="s">
        <v>11489</v>
      </c>
      <c r="J194" s="36" t="s">
        <v>11490</v>
      </c>
      <c r="K194" s="36" t="s">
        <v>11491</v>
      </c>
      <c r="L194" s="36" t="s">
        <v>11492</v>
      </c>
      <c r="M194" s="36" t="s">
        <v>11493</v>
      </c>
      <c r="N194" s="36" t="s">
        <v>11494</v>
      </c>
      <c r="O194" s="36" t="s">
        <v>11495</v>
      </c>
      <c r="P194" s="36" t="s">
        <v>11496</v>
      </c>
      <c r="Q194" s="36" t="s">
        <v>11497</v>
      </c>
      <c r="R194" s="36" t="s">
        <v>9040</v>
      </c>
      <c r="S194" s="36" t="s">
        <v>11498</v>
      </c>
      <c r="T194" s="36">
        <v>4</v>
      </c>
      <c r="U194" s="36">
        <v>3</v>
      </c>
      <c r="V194" s="36">
        <v>3</v>
      </c>
      <c r="W194" s="36">
        <v>2</v>
      </c>
      <c r="X194" s="36">
        <v>1</v>
      </c>
      <c r="Y194" s="36">
        <v>1</v>
      </c>
      <c r="Z194" s="36" t="s">
        <v>3731</v>
      </c>
      <c r="AA194" s="36" t="s">
        <v>3794</v>
      </c>
      <c r="AB194" s="36" t="s">
        <v>3739</v>
      </c>
      <c r="AC194" s="36" t="s">
        <v>3740</v>
      </c>
      <c r="AD194" s="36" t="s">
        <v>7415</v>
      </c>
    </row>
    <row r="195" spans="1:30" ht="72">
      <c r="A195" s="36" t="s">
        <v>3802</v>
      </c>
      <c r="B195" s="36" t="s">
        <v>78</v>
      </c>
      <c r="C195" s="36" t="s">
        <v>1307</v>
      </c>
      <c r="D195" s="36" t="s">
        <v>191</v>
      </c>
      <c r="E195" s="36" t="s">
        <v>3803</v>
      </c>
      <c r="F195" s="36" t="s">
        <v>11499</v>
      </c>
      <c r="G195" s="36" t="s">
        <v>11500</v>
      </c>
      <c r="H195" s="36" t="s">
        <v>11501</v>
      </c>
      <c r="I195" s="36" t="s">
        <v>11502</v>
      </c>
      <c r="J195" s="36" t="s">
        <v>11503</v>
      </c>
      <c r="K195" s="36" t="s">
        <v>11504</v>
      </c>
      <c r="L195" s="36" t="s">
        <v>11505</v>
      </c>
      <c r="M195" s="36" t="s">
        <v>11506</v>
      </c>
      <c r="N195" s="36" t="s">
        <v>11507</v>
      </c>
      <c r="O195" s="36" t="s">
        <v>11508</v>
      </c>
      <c r="P195" s="36" t="s">
        <v>11509</v>
      </c>
      <c r="Q195" s="36" t="s">
        <v>11510</v>
      </c>
      <c r="R195" s="36" t="s">
        <v>9040</v>
      </c>
      <c r="S195" s="36" t="s">
        <v>11511</v>
      </c>
      <c r="T195" s="36">
        <v>4</v>
      </c>
      <c r="U195" s="36">
        <v>3</v>
      </c>
      <c r="V195" s="36">
        <v>3</v>
      </c>
      <c r="W195" s="36">
        <v>2</v>
      </c>
      <c r="X195" s="36">
        <v>1</v>
      </c>
      <c r="Y195" s="36">
        <v>1</v>
      </c>
      <c r="Z195" s="36" t="s">
        <v>3731</v>
      </c>
      <c r="AA195" s="36" t="s">
        <v>3804</v>
      </c>
      <c r="AB195" s="36" t="s">
        <v>3739</v>
      </c>
      <c r="AC195" s="36" t="s">
        <v>3740</v>
      </c>
      <c r="AD195" s="36" t="s">
        <v>7422</v>
      </c>
    </row>
    <row r="196" spans="1:30" ht="72">
      <c r="A196" s="36" t="s">
        <v>3812</v>
      </c>
      <c r="B196" s="36" t="s">
        <v>78</v>
      </c>
      <c r="C196" s="36" t="s">
        <v>1307</v>
      </c>
      <c r="D196" s="36" t="s">
        <v>191</v>
      </c>
      <c r="E196" s="36" t="s">
        <v>3813</v>
      </c>
      <c r="F196" s="36" t="s">
        <v>11512</v>
      </c>
      <c r="G196" s="36" t="s">
        <v>11513</v>
      </c>
      <c r="H196" s="36" t="s">
        <v>11514</v>
      </c>
      <c r="I196" s="36" t="s">
        <v>11515</v>
      </c>
      <c r="J196" s="36" t="s">
        <v>11516</v>
      </c>
      <c r="K196" s="36" t="s">
        <v>11517</v>
      </c>
      <c r="L196" s="36" t="s">
        <v>11518</v>
      </c>
      <c r="M196" s="36" t="s">
        <v>11519</v>
      </c>
      <c r="N196" s="36" t="s">
        <v>11520</v>
      </c>
      <c r="O196" s="36" t="s">
        <v>11521</v>
      </c>
      <c r="P196" s="36" t="s">
        <v>11522</v>
      </c>
      <c r="Q196" s="36" t="s">
        <v>11523</v>
      </c>
      <c r="R196" s="36" t="s">
        <v>9040</v>
      </c>
      <c r="S196" s="36" t="s">
        <v>11524</v>
      </c>
      <c r="T196" s="36">
        <v>4</v>
      </c>
      <c r="U196" s="36">
        <v>3</v>
      </c>
      <c r="V196" s="36">
        <v>3</v>
      </c>
      <c r="W196" s="36">
        <v>2</v>
      </c>
      <c r="X196" s="36">
        <v>1</v>
      </c>
      <c r="Y196" s="36">
        <v>1</v>
      </c>
      <c r="Z196" s="36" t="s">
        <v>3731</v>
      </c>
      <c r="AA196" s="36" t="s">
        <v>3814</v>
      </c>
      <c r="AB196" s="36" t="s">
        <v>3739</v>
      </c>
      <c r="AC196" s="36" t="s">
        <v>3740</v>
      </c>
      <c r="AD196" s="36" t="s">
        <v>7429</v>
      </c>
    </row>
    <row r="197" spans="1:30" ht="72">
      <c r="A197" s="36" t="s">
        <v>3822</v>
      </c>
      <c r="B197" s="36" t="s">
        <v>78</v>
      </c>
      <c r="C197" s="36" t="s">
        <v>1307</v>
      </c>
      <c r="D197" s="36" t="s">
        <v>191</v>
      </c>
      <c r="E197" s="36" t="s">
        <v>3823</v>
      </c>
      <c r="F197" s="36" t="s">
        <v>11525</v>
      </c>
      <c r="G197" s="36" t="s">
        <v>11526</v>
      </c>
      <c r="H197" s="36" t="s">
        <v>11527</v>
      </c>
      <c r="I197" s="36" t="s">
        <v>11528</v>
      </c>
      <c r="J197" s="36" t="s">
        <v>11529</v>
      </c>
      <c r="K197" s="36" t="s">
        <v>11530</v>
      </c>
      <c r="L197" s="36" t="s">
        <v>11531</v>
      </c>
      <c r="M197" s="36" t="s">
        <v>11532</v>
      </c>
      <c r="N197" s="36" t="s">
        <v>11533</v>
      </c>
      <c r="O197" s="36" t="s">
        <v>11534</v>
      </c>
      <c r="P197" s="36" t="s">
        <v>11535</v>
      </c>
      <c r="Q197" s="36" t="s">
        <v>11536</v>
      </c>
      <c r="R197" s="36" t="s">
        <v>9040</v>
      </c>
      <c r="S197" s="36" t="s">
        <v>11537</v>
      </c>
      <c r="T197" s="36">
        <v>4</v>
      </c>
      <c r="U197" s="36">
        <v>3</v>
      </c>
      <c r="V197" s="36">
        <v>3</v>
      </c>
      <c r="W197" s="36">
        <v>2</v>
      </c>
      <c r="X197" s="36">
        <v>1</v>
      </c>
      <c r="Y197" s="36">
        <v>1</v>
      </c>
      <c r="Z197" s="36" t="s">
        <v>3731</v>
      </c>
      <c r="AA197" s="36" t="s">
        <v>3824</v>
      </c>
      <c r="AB197" s="36" t="s">
        <v>3739</v>
      </c>
      <c r="AC197" s="36" t="s">
        <v>3740</v>
      </c>
      <c r="AD197" s="36" t="s">
        <v>7436</v>
      </c>
    </row>
    <row r="198" spans="1:30" ht="72">
      <c r="A198" s="36" t="s">
        <v>3832</v>
      </c>
      <c r="B198" s="36" t="s">
        <v>78</v>
      </c>
      <c r="C198" s="36" t="s">
        <v>1307</v>
      </c>
      <c r="D198" s="36" t="s">
        <v>191</v>
      </c>
      <c r="E198" s="36" t="s">
        <v>3833</v>
      </c>
      <c r="F198" s="36" t="s">
        <v>11538</v>
      </c>
      <c r="G198" s="36" t="s">
        <v>11539</v>
      </c>
      <c r="H198" s="36" t="s">
        <v>11540</v>
      </c>
      <c r="I198" s="36" t="s">
        <v>11541</v>
      </c>
      <c r="J198" s="36" t="s">
        <v>11542</v>
      </c>
      <c r="K198" s="36" t="s">
        <v>11543</v>
      </c>
      <c r="L198" s="36" t="s">
        <v>11544</v>
      </c>
      <c r="M198" s="36" t="s">
        <v>11545</v>
      </c>
      <c r="N198" s="36" t="s">
        <v>11546</v>
      </c>
      <c r="O198" s="36" t="s">
        <v>11547</v>
      </c>
      <c r="P198" s="36" t="s">
        <v>11548</v>
      </c>
      <c r="Q198" s="36" t="s">
        <v>11549</v>
      </c>
      <c r="R198" s="36" t="s">
        <v>9040</v>
      </c>
      <c r="S198" s="36" t="s">
        <v>11550</v>
      </c>
      <c r="T198" s="36">
        <v>4</v>
      </c>
      <c r="U198" s="36">
        <v>3</v>
      </c>
      <c r="V198" s="36">
        <v>3</v>
      </c>
      <c r="W198" s="36">
        <v>2</v>
      </c>
      <c r="X198" s="36">
        <v>1</v>
      </c>
      <c r="Y198" s="36">
        <v>1</v>
      </c>
      <c r="Z198" s="36" t="s">
        <v>3731</v>
      </c>
      <c r="AA198" s="36" t="s">
        <v>3834</v>
      </c>
      <c r="AB198" s="36" t="s">
        <v>3739</v>
      </c>
      <c r="AC198" s="36" t="s">
        <v>3740</v>
      </c>
      <c r="AD198" s="36" t="s">
        <v>7443</v>
      </c>
    </row>
    <row r="199" spans="1:30" ht="72">
      <c r="A199" s="36" t="s">
        <v>3842</v>
      </c>
      <c r="B199" s="36" t="s">
        <v>78</v>
      </c>
      <c r="C199" s="36" t="s">
        <v>1307</v>
      </c>
      <c r="D199" s="36" t="s">
        <v>191</v>
      </c>
      <c r="E199" s="36" t="s">
        <v>3843</v>
      </c>
      <c r="F199" s="36" t="s">
        <v>11551</v>
      </c>
      <c r="G199" s="36" t="s">
        <v>11552</v>
      </c>
      <c r="H199" s="36" t="s">
        <v>11553</v>
      </c>
      <c r="I199" s="36" t="s">
        <v>11554</v>
      </c>
      <c r="J199" s="36" t="s">
        <v>11555</v>
      </c>
      <c r="K199" s="36" t="s">
        <v>11556</v>
      </c>
      <c r="L199" s="36" t="s">
        <v>11557</v>
      </c>
      <c r="M199" s="36" t="s">
        <v>11558</v>
      </c>
      <c r="N199" s="36" t="s">
        <v>11559</v>
      </c>
      <c r="O199" s="36" t="s">
        <v>11560</v>
      </c>
      <c r="P199" s="36" t="s">
        <v>11561</v>
      </c>
      <c r="Q199" s="36" t="s">
        <v>11562</v>
      </c>
      <c r="R199" s="36" t="s">
        <v>9040</v>
      </c>
      <c r="S199" s="36" t="s">
        <v>11563</v>
      </c>
      <c r="T199" s="36">
        <v>4</v>
      </c>
      <c r="U199" s="36">
        <v>3</v>
      </c>
      <c r="V199" s="36">
        <v>3</v>
      </c>
      <c r="W199" s="36">
        <v>2</v>
      </c>
      <c r="X199" s="36">
        <v>1</v>
      </c>
      <c r="Y199" s="36">
        <v>1</v>
      </c>
      <c r="Z199" s="36" t="s">
        <v>3731</v>
      </c>
      <c r="AA199" s="36" t="s">
        <v>3844</v>
      </c>
      <c r="AB199" s="36" t="s">
        <v>3739</v>
      </c>
      <c r="AC199" s="36" t="s">
        <v>3740</v>
      </c>
      <c r="AD199" s="36" t="s">
        <v>7450</v>
      </c>
    </row>
    <row r="200" spans="1:30" ht="72">
      <c r="A200" s="36" t="s">
        <v>3852</v>
      </c>
      <c r="B200" s="36" t="s">
        <v>78</v>
      </c>
      <c r="C200" s="36" t="s">
        <v>1315</v>
      </c>
      <c r="D200" s="36" t="s">
        <v>191</v>
      </c>
      <c r="E200" s="36" t="s">
        <v>3853</v>
      </c>
      <c r="F200" s="36" t="s">
        <v>11564</v>
      </c>
      <c r="G200" s="36" t="s">
        <v>11565</v>
      </c>
      <c r="H200" s="36" t="s">
        <v>11566</v>
      </c>
      <c r="I200" s="36" t="s">
        <v>11567</v>
      </c>
      <c r="J200" s="36" t="s">
        <v>11568</v>
      </c>
      <c r="K200" s="36" t="s">
        <v>11569</v>
      </c>
      <c r="L200" s="36" t="s">
        <v>11570</v>
      </c>
      <c r="M200" s="36" t="s">
        <v>11571</v>
      </c>
      <c r="N200" s="36" t="s">
        <v>11572</v>
      </c>
      <c r="O200" s="36" t="s">
        <v>11573</v>
      </c>
      <c r="P200" s="36" t="s">
        <v>11574</v>
      </c>
      <c r="Q200" s="36" t="s">
        <v>11575</v>
      </c>
      <c r="R200" s="36" t="s">
        <v>9040</v>
      </c>
      <c r="S200" s="36" t="s">
        <v>11576</v>
      </c>
      <c r="T200" s="36">
        <v>4</v>
      </c>
      <c r="U200" s="36">
        <v>3</v>
      </c>
      <c r="V200" s="36">
        <v>3</v>
      </c>
      <c r="W200" s="36">
        <v>2</v>
      </c>
      <c r="X200" s="36">
        <v>1</v>
      </c>
      <c r="Y200" s="36">
        <v>1</v>
      </c>
      <c r="Z200" s="36" t="s">
        <v>3731</v>
      </c>
      <c r="AA200" s="36" t="s">
        <v>3854</v>
      </c>
      <c r="AB200" s="36" t="s">
        <v>3739</v>
      </c>
      <c r="AC200" s="36" t="s">
        <v>3740</v>
      </c>
      <c r="AD200" s="36" t="s">
        <v>7458</v>
      </c>
    </row>
    <row r="201" spans="1:30" ht="72">
      <c r="A201" s="36" t="s">
        <v>3862</v>
      </c>
      <c r="B201" s="36" t="s">
        <v>78</v>
      </c>
      <c r="C201" s="36" t="s">
        <v>1315</v>
      </c>
      <c r="D201" s="36" t="s">
        <v>191</v>
      </c>
      <c r="E201" s="36" t="s">
        <v>3863</v>
      </c>
      <c r="F201" s="36" t="s">
        <v>11577</v>
      </c>
      <c r="G201" s="36" t="s">
        <v>11578</v>
      </c>
      <c r="H201" s="36" t="s">
        <v>11579</v>
      </c>
      <c r="I201" s="36" t="s">
        <v>11580</v>
      </c>
      <c r="J201" s="36" t="s">
        <v>11581</v>
      </c>
      <c r="K201" s="36" t="s">
        <v>11582</v>
      </c>
      <c r="L201" s="36" t="s">
        <v>11583</v>
      </c>
      <c r="M201" s="36" t="s">
        <v>11584</v>
      </c>
      <c r="N201" s="36" t="s">
        <v>11585</v>
      </c>
      <c r="O201" s="36" t="s">
        <v>11586</v>
      </c>
      <c r="P201" s="36" t="s">
        <v>11587</v>
      </c>
      <c r="Q201" s="36" t="s">
        <v>11588</v>
      </c>
      <c r="R201" s="36" t="s">
        <v>9040</v>
      </c>
      <c r="S201" s="36" t="s">
        <v>11589</v>
      </c>
      <c r="T201" s="36">
        <v>4</v>
      </c>
      <c r="U201" s="36">
        <v>3</v>
      </c>
      <c r="V201" s="36">
        <v>3</v>
      </c>
      <c r="W201" s="36">
        <v>2</v>
      </c>
      <c r="X201" s="36">
        <v>1</v>
      </c>
      <c r="Y201" s="36">
        <v>1</v>
      </c>
      <c r="Z201" s="36" t="s">
        <v>3731</v>
      </c>
      <c r="AA201" s="36" t="s">
        <v>3864</v>
      </c>
      <c r="AB201" s="36" t="s">
        <v>3739</v>
      </c>
      <c r="AC201" s="36" t="s">
        <v>3740</v>
      </c>
      <c r="AD201" s="36" t="s">
        <v>7465</v>
      </c>
    </row>
    <row r="202" spans="1:30" ht="84">
      <c r="A202" s="36" t="s">
        <v>3872</v>
      </c>
      <c r="B202" s="36" t="s">
        <v>78</v>
      </c>
      <c r="C202" s="36" t="s">
        <v>1315</v>
      </c>
      <c r="D202" s="36" t="s">
        <v>191</v>
      </c>
      <c r="E202" s="36" t="s">
        <v>3873</v>
      </c>
      <c r="F202" s="36" t="s">
        <v>11590</v>
      </c>
      <c r="G202" s="36" t="s">
        <v>11591</v>
      </c>
      <c r="H202" s="36" t="s">
        <v>11592</v>
      </c>
      <c r="I202" s="36" t="s">
        <v>11593</v>
      </c>
      <c r="J202" s="36" t="s">
        <v>11594</v>
      </c>
      <c r="K202" s="36" t="s">
        <v>11595</v>
      </c>
      <c r="L202" s="36" t="s">
        <v>11596</v>
      </c>
      <c r="M202" s="36" t="s">
        <v>11597</v>
      </c>
      <c r="N202" s="36" t="s">
        <v>11598</v>
      </c>
      <c r="O202" s="36" t="s">
        <v>11599</v>
      </c>
      <c r="P202" s="36" t="s">
        <v>11600</v>
      </c>
      <c r="Q202" s="36" t="s">
        <v>11601</v>
      </c>
      <c r="R202" s="36" t="s">
        <v>9040</v>
      </c>
      <c r="S202" s="36" t="s">
        <v>11602</v>
      </c>
      <c r="T202" s="36">
        <v>4</v>
      </c>
      <c r="U202" s="36">
        <v>3</v>
      </c>
      <c r="V202" s="36">
        <v>3</v>
      </c>
      <c r="W202" s="36">
        <v>2</v>
      </c>
      <c r="X202" s="36">
        <v>1</v>
      </c>
      <c r="Y202" s="36">
        <v>1</v>
      </c>
      <c r="Z202" s="36" t="s">
        <v>3731</v>
      </c>
      <c r="AA202" s="36" t="s">
        <v>3874</v>
      </c>
      <c r="AB202" s="36" t="s">
        <v>3739</v>
      </c>
      <c r="AC202" s="36" t="s">
        <v>3740</v>
      </c>
      <c r="AD202" s="36" t="s">
        <v>7472</v>
      </c>
    </row>
    <row r="203" spans="1:30" ht="84">
      <c r="A203" s="36" t="s">
        <v>3882</v>
      </c>
      <c r="B203" s="36" t="s">
        <v>78</v>
      </c>
      <c r="C203" s="36" t="s">
        <v>1315</v>
      </c>
      <c r="D203" s="36" t="s">
        <v>191</v>
      </c>
      <c r="E203" s="36" t="s">
        <v>3883</v>
      </c>
      <c r="F203" s="36" t="s">
        <v>11603</v>
      </c>
      <c r="G203" s="36" t="s">
        <v>11604</v>
      </c>
      <c r="H203" s="36" t="s">
        <v>11605</v>
      </c>
      <c r="I203" s="36" t="s">
        <v>11606</v>
      </c>
      <c r="J203" s="36" t="s">
        <v>11607</v>
      </c>
      <c r="K203" s="36" t="s">
        <v>11608</v>
      </c>
      <c r="L203" s="36" t="s">
        <v>11609</v>
      </c>
      <c r="M203" s="36" t="s">
        <v>11610</v>
      </c>
      <c r="N203" s="36" t="s">
        <v>11611</v>
      </c>
      <c r="O203" s="36" t="s">
        <v>11612</v>
      </c>
      <c r="P203" s="36" t="s">
        <v>11613</v>
      </c>
      <c r="Q203" s="36" t="s">
        <v>11614</v>
      </c>
      <c r="R203" s="36" t="s">
        <v>9040</v>
      </c>
      <c r="S203" s="36" t="s">
        <v>11615</v>
      </c>
      <c r="T203" s="36">
        <v>4</v>
      </c>
      <c r="U203" s="36">
        <v>3</v>
      </c>
      <c r="V203" s="36">
        <v>3</v>
      </c>
      <c r="W203" s="36">
        <v>2</v>
      </c>
      <c r="X203" s="36">
        <v>1</v>
      </c>
      <c r="Y203" s="36">
        <v>1</v>
      </c>
      <c r="Z203" s="36" t="s">
        <v>3731</v>
      </c>
      <c r="AA203" s="36" t="s">
        <v>3884</v>
      </c>
      <c r="AB203" s="36" t="s">
        <v>3739</v>
      </c>
      <c r="AC203" s="36" t="s">
        <v>3740</v>
      </c>
      <c r="AD203" s="36" t="s">
        <v>7479</v>
      </c>
    </row>
    <row r="204" spans="1:30" ht="72">
      <c r="A204" s="36" t="s">
        <v>3892</v>
      </c>
      <c r="B204" s="36" t="s">
        <v>78</v>
      </c>
      <c r="C204" s="36" t="s">
        <v>1315</v>
      </c>
      <c r="D204" s="36" t="s">
        <v>191</v>
      </c>
      <c r="E204" s="36" t="s">
        <v>3893</v>
      </c>
      <c r="F204" s="36" t="s">
        <v>11616</v>
      </c>
      <c r="G204" s="36" t="s">
        <v>11617</v>
      </c>
      <c r="H204" s="36" t="s">
        <v>11618</v>
      </c>
      <c r="I204" s="36" t="s">
        <v>11619</v>
      </c>
      <c r="J204" s="36" t="s">
        <v>11620</v>
      </c>
      <c r="K204" s="36" t="s">
        <v>11621</v>
      </c>
      <c r="L204" s="36" t="s">
        <v>11622</v>
      </c>
      <c r="M204" s="36" t="s">
        <v>11623</v>
      </c>
      <c r="N204" s="36" t="s">
        <v>11624</v>
      </c>
      <c r="O204" s="36" t="s">
        <v>11625</v>
      </c>
      <c r="P204" s="36" t="s">
        <v>11626</v>
      </c>
      <c r="Q204" s="36" t="s">
        <v>11627</v>
      </c>
      <c r="R204" s="36" t="s">
        <v>9040</v>
      </c>
      <c r="S204" s="36" t="s">
        <v>11628</v>
      </c>
      <c r="T204" s="36">
        <v>4</v>
      </c>
      <c r="U204" s="36">
        <v>3</v>
      </c>
      <c r="V204" s="36">
        <v>3</v>
      </c>
      <c r="W204" s="36">
        <v>2</v>
      </c>
      <c r="X204" s="36">
        <v>1</v>
      </c>
      <c r="Y204" s="36">
        <v>1</v>
      </c>
      <c r="Z204" s="36" t="s">
        <v>3731</v>
      </c>
      <c r="AA204" s="36" t="s">
        <v>3894</v>
      </c>
      <c r="AB204" s="36" t="s">
        <v>3739</v>
      </c>
      <c r="AC204" s="36" t="s">
        <v>3740</v>
      </c>
      <c r="AD204" s="36" t="s">
        <v>7486</v>
      </c>
    </row>
    <row r="205" spans="1:30" ht="72">
      <c r="A205" s="36" t="s">
        <v>3902</v>
      </c>
      <c r="B205" s="36" t="s">
        <v>78</v>
      </c>
      <c r="C205" s="36" t="s">
        <v>1315</v>
      </c>
      <c r="D205" s="36" t="s">
        <v>191</v>
      </c>
      <c r="E205" s="36" t="s">
        <v>3903</v>
      </c>
      <c r="F205" s="36" t="s">
        <v>11629</v>
      </c>
      <c r="G205" s="36" t="s">
        <v>11630</v>
      </c>
      <c r="H205" s="36" t="s">
        <v>11631</v>
      </c>
      <c r="I205" s="36" t="s">
        <v>11632</v>
      </c>
      <c r="J205" s="36" t="s">
        <v>11633</v>
      </c>
      <c r="K205" s="36" t="s">
        <v>11634</v>
      </c>
      <c r="L205" s="36" t="s">
        <v>11635</v>
      </c>
      <c r="M205" s="36" t="s">
        <v>11636</v>
      </c>
      <c r="N205" s="36" t="s">
        <v>11637</v>
      </c>
      <c r="O205" s="36" t="s">
        <v>11638</v>
      </c>
      <c r="P205" s="36" t="s">
        <v>11639</v>
      </c>
      <c r="Q205" s="36" t="s">
        <v>11640</v>
      </c>
      <c r="R205" s="36" t="s">
        <v>9040</v>
      </c>
      <c r="S205" s="36" t="s">
        <v>11641</v>
      </c>
      <c r="T205" s="36">
        <v>4</v>
      </c>
      <c r="U205" s="36">
        <v>3</v>
      </c>
      <c r="V205" s="36">
        <v>3</v>
      </c>
      <c r="W205" s="36">
        <v>2</v>
      </c>
      <c r="X205" s="36">
        <v>1</v>
      </c>
      <c r="Y205" s="36">
        <v>1</v>
      </c>
      <c r="Z205" s="36" t="s">
        <v>3731</v>
      </c>
      <c r="AA205" s="36" t="s">
        <v>3904</v>
      </c>
      <c r="AB205" s="36" t="s">
        <v>3739</v>
      </c>
      <c r="AC205" s="36" t="s">
        <v>3740</v>
      </c>
      <c r="AD205" s="36" t="s">
        <v>7493</v>
      </c>
    </row>
    <row r="206" spans="1:30" ht="72">
      <c r="A206" s="36" t="s">
        <v>3912</v>
      </c>
      <c r="B206" s="36" t="s">
        <v>78</v>
      </c>
      <c r="C206" s="36" t="s">
        <v>1315</v>
      </c>
      <c r="D206" s="36" t="s">
        <v>191</v>
      </c>
      <c r="E206" s="36" t="s">
        <v>3913</v>
      </c>
      <c r="F206" s="36" t="s">
        <v>11642</v>
      </c>
      <c r="G206" s="36" t="s">
        <v>11643</v>
      </c>
      <c r="H206" s="36" t="s">
        <v>11644</v>
      </c>
      <c r="I206" s="36" t="s">
        <v>11645</v>
      </c>
      <c r="J206" s="36" t="s">
        <v>11646</v>
      </c>
      <c r="K206" s="36" t="s">
        <v>11647</v>
      </c>
      <c r="L206" s="36" t="s">
        <v>11648</v>
      </c>
      <c r="M206" s="36" t="s">
        <v>11649</v>
      </c>
      <c r="N206" s="36" t="s">
        <v>11650</v>
      </c>
      <c r="O206" s="36" t="s">
        <v>11651</v>
      </c>
      <c r="P206" s="36" t="s">
        <v>11652</v>
      </c>
      <c r="Q206" s="36" t="s">
        <v>11653</v>
      </c>
      <c r="R206" s="36" t="s">
        <v>9040</v>
      </c>
      <c r="S206" s="36" t="s">
        <v>11654</v>
      </c>
      <c r="T206" s="36">
        <v>4</v>
      </c>
      <c r="U206" s="36">
        <v>3</v>
      </c>
      <c r="V206" s="36">
        <v>3</v>
      </c>
      <c r="W206" s="36">
        <v>2</v>
      </c>
      <c r="X206" s="36">
        <v>1</v>
      </c>
      <c r="Y206" s="36">
        <v>1</v>
      </c>
      <c r="Z206" s="36" t="s">
        <v>3731</v>
      </c>
      <c r="AA206" s="36" t="s">
        <v>3914</v>
      </c>
      <c r="AB206" s="36" t="s">
        <v>3739</v>
      </c>
      <c r="AC206" s="36" t="s">
        <v>3740</v>
      </c>
      <c r="AD206" s="36" t="s">
        <v>7500</v>
      </c>
    </row>
    <row r="207" spans="1:30" ht="72">
      <c r="A207" s="36" t="s">
        <v>3922</v>
      </c>
      <c r="B207" s="36" t="s">
        <v>78</v>
      </c>
      <c r="C207" s="36" t="s">
        <v>1323</v>
      </c>
      <c r="D207" s="36" t="s">
        <v>191</v>
      </c>
      <c r="E207" s="36" t="s">
        <v>3923</v>
      </c>
      <c r="F207" s="36" t="s">
        <v>11655</v>
      </c>
      <c r="G207" s="36" t="s">
        <v>11656</v>
      </c>
      <c r="H207" s="36" t="s">
        <v>11657</v>
      </c>
      <c r="I207" s="36" t="s">
        <v>11658</v>
      </c>
      <c r="J207" s="36" t="s">
        <v>11659</v>
      </c>
      <c r="K207" s="36" t="s">
        <v>11660</v>
      </c>
      <c r="L207" s="36" t="s">
        <v>11661</v>
      </c>
      <c r="M207" s="36" t="s">
        <v>11662</v>
      </c>
      <c r="N207" s="36" t="s">
        <v>11663</v>
      </c>
      <c r="O207" s="36" t="s">
        <v>11664</v>
      </c>
      <c r="P207" s="36" t="s">
        <v>11665</v>
      </c>
      <c r="Q207" s="36" t="s">
        <v>11666</v>
      </c>
      <c r="R207" s="36" t="s">
        <v>9040</v>
      </c>
      <c r="S207" s="36" t="s">
        <v>11667</v>
      </c>
      <c r="T207" s="36">
        <v>4</v>
      </c>
      <c r="U207" s="36">
        <v>3</v>
      </c>
      <c r="V207" s="36">
        <v>3</v>
      </c>
      <c r="W207" s="36">
        <v>2</v>
      </c>
      <c r="X207" s="36">
        <v>1</v>
      </c>
      <c r="Y207" s="36">
        <v>1</v>
      </c>
      <c r="Z207" s="36" t="s">
        <v>3731</v>
      </c>
      <c r="AA207" s="36" t="s">
        <v>3924</v>
      </c>
      <c r="AB207" s="36" t="s">
        <v>3739</v>
      </c>
      <c r="AC207" s="36" t="s">
        <v>3740</v>
      </c>
      <c r="AD207" s="36" t="s">
        <v>7508</v>
      </c>
    </row>
    <row r="208" spans="1:30" ht="84">
      <c r="A208" s="36" t="s">
        <v>3932</v>
      </c>
      <c r="B208" s="36" t="s">
        <v>78</v>
      </c>
      <c r="C208" s="36" t="s">
        <v>1323</v>
      </c>
      <c r="D208" s="36" t="s">
        <v>191</v>
      </c>
      <c r="E208" s="36" t="s">
        <v>3933</v>
      </c>
      <c r="F208" s="36" t="s">
        <v>11668</v>
      </c>
      <c r="G208" s="36" t="s">
        <v>11669</v>
      </c>
      <c r="H208" s="36" t="s">
        <v>11670</v>
      </c>
      <c r="I208" s="36" t="s">
        <v>11671</v>
      </c>
      <c r="J208" s="36" t="s">
        <v>11672</v>
      </c>
      <c r="K208" s="36" t="s">
        <v>11673</v>
      </c>
      <c r="L208" s="36" t="s">
        <v>11674</v>
      </c>
      <c r="M208" s="36" t="s">
        <v>11675</v>
      </c>
      <c r="N208" s="36" t="s">
        <v>11676</v>
      </c>
      <c r="O208" s="36" t="s">
        <v>11677</v>
      </c>
      <c r="P208" s="36" t="s">
        <v>11678</v>
      </c>
      <c r="Q208" s="36" t="s">
        <v>11679</v>
      </c>
      <c r="R208" s="36" t="s">
        <v>9040</v>
      </c>
      <c r="S208" s="36" t="s">
        <v>11680</v>
      </c>
      <c r="T208" s="36">
        <v>4</v>
      </c>
      <c r="U208" s="36">
        <v>3</v>
      </c>
      <c r="V208" s="36">
        <v>3</v>
      </c>
      <c r="W208" s="36">
        <v>2</v>
      </c>
      <c r="X208" s="36">
        <v>1</v>
      </c>
      <c r="Y208" s="36">
        <v>1</v>
      </c>
      <c r="Z208" s="36" t="s">
        <v>3731</v>
      </c>
      <c r="AA208" s="36" t="s">
        <v>3934</v>
      </c>
      <c r="AB208" s="36" t="s">
        <v>3739</v>
      </c>
      <c r="AC208" s="36" t="s">
        <v>3740</v>
      </c>
      <c r="AD208" s="36" t="s">
        <v>7515</v>
      </c>
    </row>
    <row r="209" spans="1:30" ht="72">
      <c r="A209" s="36" t="s">
        <v>3942</v>
      </c>
      <c r="B209" s="36" t="s">
        <v>78</v>
      </c>
      <c r="C209" s="36" t="s">
        <v>1323</v>
      </c>
      <c r="D209" s="36" t="s">
        <v>191</v>
      </c>
      <c r="E209" s="36" t="s">
        <v>3943</v>
      </c>
      <c r="F209" s="36" t="s">
        <v>11681</v>
      </c>
      <c r="G209" s="36" t="s">
        <v>11682</v>
      </c>
      <c r="H209" s="36" t="s">
        <v>11683</v>
      </c>
      <c r="I209" s="36" t="s">
        <v>11684</v>
      </c>
      <c r="J209" s="36" t="s">
        <v>11685</v>
      </c>
      <c r="K209" s="36" t="s">
        <v>11686</v>
      </c>
      <c r="L209" s="36" t="s">
        <v>11687</v>
      </c>
      <c r="M209" s="36" t="s">
        <v>11688</v>
      </c>
      <c r="N209" s="36" t="s">
        <v>11689</v>
      </c>
      <c r="O209" s="36" t="s">
        <v>11690</v>
      </c>
      <c r="P209" s="36" t="s">
        <v>11691</v>
      </c>
      <c r="Q209" s="36" t="s">
        <v>11692</v>
      </c>
      <c r="R209" s="36" t="s">
        <v>9040</v>
      </c>
      <c r="S209" s="36" t="s">
        <v>11693</v>
      </c>
      <c r="T209" s="36">
        <v>4</v>
      </c>
      <c r="U209" s="36">
        <v>3</v>
      </c>
      <c r="V209" s="36">
        <v>3</v>
      </c>
      <c r="W209" s="36">
        <v>2</v>
      </c>
      <c r="X209" s="36">
        <v>1</v>
      </c>
      <c r="Y209" s="36">
        <v>1</v>
      </c>
      <c r="Z209" s="36" t="s">
        <v>3731</v>
      </c>
      <c r="AA209" s="36" t="s">
        <v>3944</v>
      </c>
      <c r="AB209" s="36" t="s">
        <v>3739</v>
      </c>
      <c r="AC209" s="36" t="s">
        <v>3740</v>
      </c>
      <c r="AD209" s="36" t="s">
        <v>7522</v>
      </c>
    </row>
    <row r="210" spans="1:30" ht="72">
      <c r="A210" s="36" t="s">
        <v>3952</v>
      </c>
      <c r="B210" s="36" t="s">
        <v>78</v>
      </c>
      <c r="C210" s="36" t="s">
        <v>1323</v>
      </c>
      <c r="D210" s="36" t="s">
        <v>191</v>
      </c>
      <c r="E210" s="36" t="s">
        <v>3953</v>
      </c>
      <c r="F210" s="36" t="s">
        <v>11694</v>
      </c>
      <c r="G210" s="36" t="s">
        <v>11695</v>
      </c>
      <c r="H210" s="36" t="s">
        <v>11696</v>
      </c>
      <c r="I210" s="36" t="s">
        <v>11697</v>
      </c>
      <c r="J210" s="36" t="s">
        <v>11698</v>
      </c>
      <c r="K210" s="36" t="s">
        <v>11699</v>
      </c>
      <c r="L210" s="36" t="s">
        <v>11700</v>
      </c>
      <c r="M210" s="36" t="s">
        <v>11701</v>
      </c>
      <c r="N210" s="36" t="s">
        <v>11702</v>
      </c>
      <c r="O210" s="36" t="s">
        <v>11703</v>
      </c>
      <c r="P210" s="36" t="s">
        <v>11704</v>
      </c>
      <c r="Q210" s="36" t="s">
        <v>11705</v>
      </c>
      <c r="R210" s="36" t="s">
        <v>9040</v>
      </c>
      <c r="S210" s="36" t="s">
        <v>11706</v>
      </c>
      <c r="T210" s="36">
        <v>4</v>
      </c>
      <c r="U210" s="36">
        <v>3</v>
      </c>
      <c r="V210" s="36">
        <v>3</v>
      </c>
      <c r="W210" s="36">
        <v>2</v>
      </c>
      <c r="X210" s="36">
        <v>1</v>
      </c>
      <c r="Y210" s="36">
        <v>1</v>
      </c>
      <c r="Z210" s="36" t="s">
        <v>3731</v>
      </c>
      <c r="AA210" s="36" t="s">
        <v>3954</v>
      </c>
      <c r="AB210" s="36" t="s">
        <v>3739</v>
      </c>
      <c r="AC210" s="36" t="s">
        <v>3740</v>
      </c>
      <c r="AD210" s="36" t="s">
        <v>7529</v>
      </c>
    </row>
    <row r="211" spans="1:30" ht="72">
      <c r="A211" s="36" t="s">
        <v>3962</v>
      </c>
      <c r="B211" s="36" t="s">
        <v>78</v>
      </c>
      <c r="C211" s="36" t="s">
        <v>1323</v>
      </c>
      <c r="D211" s="36" t="s">
        <v>191</v>
      </c>
      <c r="E211" s="36" t="s">
        <v>3963</v>
      </c>
      <c r="F211" s="36" t="s">
        <v>11707</v>
      </c>
      <c r="G211" s="36" t="s">
        <v>11708</v>
      </c>
      <c r="H211" s="36" t="s">
        <v>11709</v>
      </c>
      <c r="I211" s="36" t="s">
        <v>11710</v>
      </c>
      <c r="J211" s="36" t="s">
        <v>11711</v>
      </c>
      <c r="K211" s="36" t="s">
        <v>11712</v>
      </c>
      <c r="L211" s="36" t="s">
        <v>11713</v>
      </c>
      <c r="M211" s="36" t="s">
        <v>11714</v>
      </c>
      <c r="N211" s="36" t="s">
        <v>11715</v>
      </c>
      <c r="O211" s="36" t="s">
        <v>11716</v>
      </c>
      <c r="P211" s="36" t="s">
        <v>11717</v>
      </c>
      <c r="Q211" s="36" t="s">
        <v>11718</v>
      </c>
      <c r="R211" s="36" t="s">
        <v>9040</v>
      </c>
      <c r="S211" s="36" t="s">
        <v>11719</v>
      </c>
      <c r="T211" s="36">
        <v>4</v>
      </c>
      <c r="U211" s="36">
        <v>3</v>
      </c>
      <c r="V211" s="36">
        <v>3</v>
      </c>
      <c r="W211" s="36">
        <v>2</v>
      </c>
      <c r="X211" s="36">
        <v>1</v>
      </c>
      <c r="Y211" s="36">
        <v>1</v>
      </c>
      <c r="Z211" s="36" t="s">
        <v>3731</v>
      </c>
      <c r="AA211" s="36" t="s">
        <v>3964</v>
      </c>
      <c r="AB211" s="36" t="s">
        <v>3739</v>
      </c>
      <c r="AC211" s="36" t="s">
        <v>3740</v>
      </c>
      <c r="AD211" s="36" t="s">
        <v>7536</v>
      </c>
    </row>
    <row r="212" spans="1:30" ht="72">
      <c r="A212" s="36" t="s">
        <v>3972</v>
      </c>
      <c r="B212" s="36" t="s">
        <v>78</v>
      </c>
      <c r="C212" s="36" t="s">
        <v>1323</v>
      </c>
      <c r="D212" s="36" t="s">
        <v>191</v>
      </c>
      <c r="E212" s="36" t="s">
        <v>3973</v>
      </c>
      <c r="F212" s="36" t="s">
        <v>11720</v>
      </c>
      <c r="G212" s="36" t="s">
        <v>11721</v>
      </c>
      <c r="H212" s="36" t="s">
        <v>11722</v>
      </c>
      <c r="I212" s="36" t="s">
        <v>11723</v>
      </c>
      <c r="J212" s="36" t="s">
        <v>11724</v>
      </c>
      <c r="K212" s="36" t="s">
        <v>11725</v>
      </c>
      <c r="L212" s="36" t="s">
        <v>11726</v>
      </c>
      <c r="M212" s="36" t="s">
        <v>11727</v>
      </c>
      <c r="N212" s="36" t="s">
        <v>11728</v>
      </c>
      <c r="O212" s="36" t="s">
        <v>11729</v>
      </c>
      <c r="P212" s="36" t="s">
        <v>11730</v>
      </c>
      <c r="Q212" s="36" t="s">
        <v>11731</v>
      </c>
      <c r="R212" s="36" t="s">
        <v>9040</v>
      </c>
      <c r="S212" s="36" t="s">
        <v>11732</v>
      </c>
      <c r="T212" s="36">
        <v>4</v>
      </c>
      <c r="U212" s="36">
        <v>3</v>
      </c>
      <c r="V212" s="36">
        <v>3</v>
      </c>
      <c r="W212" s="36">
        <v>2</v>
      </c>
      <c r="X212" s="36">
        <v>1</v>
      </c>
      <c r="Y212" s="36">
        <v>1</v>
      </c>
      <c r="Z212" s="36" t="s">
        <v>3731</v>
      </c>
      <c r="AA212" s="36" t="s">
        <v>3974</v>
      </c>
      <c r="AB212" s="36" t="s">
        <v>3739</v>
      </c>
      <c r="AC212" s="36" t="s">
        <v>3740</v>
      </c>
      <c r="AD212" s="36" t="s">
        <v>7543</v>
      </c>
    </row>
    <row r="213" spans="1:30" ht="72">
      <c r="A213" s="36" t="s">
        <v>3984</v>
      </c>
      <c r="B213" s="36" t="s">
        <v>81</v>
      </c>
      <c r="C213" s="36" t="s">
        <v>1331</v>
      </c>
      <c r="D213" s="36" t="s">
        <v>192</v>
      </c>
      <c r="E213" s="36" t="s">
        <v>3985</v>
      </c>
      <c r="F213" s="36" t="s">
        <v>11733</v>
      </c>
      <c r="G213" s="36" t="s">
        <v>11734</v>
      </c>
      <c r="H213" s="36" t="s">
        <v>11735</v>
      </c>
      <c r="I213" s="36" t="s">
        <v>11736</v>
      </c>
      <c r="J213" s="36" t="s">
        <v>11737</v>
      </c>
      <c r="K213" s="36" t="s">
        <v>11738</v>
      </c>
      <c r="L213" s="36" t="s">
        <v>11739</v>
      </c>
      <c r="M213" s="36" t="s">
        <v>11740</v>
      </c>
      <c r="N213" s="36" t="s">
        <v>11741</v>
      </c>
      <c r="O213" s="36" t="s">
        <v>11742</v>
      </c>
      <c r="P213" s="36" t="s">
        <v>11743</v>
      </c>
      <c r="Q213" s="36" t="s">
        <v>11744</v>
      </c>
      <c r="R213" s="36" t="s">
        <v>9040</v>
      </c>
      <c r="S213" s="36" t="s">
        <v>11745</v>
      </c>
      <c r="T213" s="36">
        <v>4</v>
      </c>
      <c r="U213" s="36">
        <v>3</v>
      </c>
      <c r="V213" s="36">
        <v>3</v>
      </c>
      <c r="W213" s="36">
        <v>2</v>
      </c>
      <c r="X213" s="36">
        <v>1</v>
      </c>
      <c r="Y213" s="36">
        <v>1</v>
      </c>
      <c r="Z213" s="36" t="s">
        <v>3987</v>
      </c>
      <c r="AA213" s="36" t="s">
        <v>3988</v>
      </c>
      <c r="AB213" s="36" t="s">
        <v>3995</v>
      </c>
      <c r="AC213" s="36" t="s">
        <v>3996</v>
      </c>
      <c r="AD213" s="36" t="s">
        <v>7551</v>
      </c>
    </row>
    <row r="214" spans="1:30" ht="84">
      <c r="A214" s="36" t="s">
        <v>3998</v>
      </c>
      <c r="B214" s="36" t="s">
        <v>81</v>
      </c>
      <c r="C214" s="36" t="s">
        <v>1331</v>
      </c>
      <c r="D214" s="36" t="s">
        <v>192</v>
      </c>
      <c r="E214" s="36" t="s">
        <v>3999</v>
      </c>
      <c r="F214" s="36" t="s">
        <v>11746</v>
      </c>
      <c r="G214" s="36" t="s">
        <v>11747</v>
      </c>
      <c r="H214" s="36" t="s">
        <v>11748</v>
      </c>
      <c r="I214" s="36" t="s">
        <v>11749</v>
      </c>
      <c r="J214" s="36" t="s">
        <v>11750</v>
      </c>
      <c r="K214" s="36" t="s">
        <v>11751</v>
      </c>
      <c r="L214" s="36" t="s">
        <v>11752</v>
      </c>
      <c r="M214" s="36" t="s">
        <v>11753</v>
      </c>
      <c r="N214" s="36" t="s">
        <v>11754</v>
      </c>
      <c r="O214" s="36" t="s">
        <v>11755</v>
      </c>
      <c r="P214" s="36" t="s">
        <v>11756</v>
      </c>
      <c r="Q214" s="36" t="s">
        <v>11757</v>
      </c>
      <c r="R214" s="36" t="s">
        <v>9040</v>
      </c>
      <c r="S214" s="36" t="s">
        <v>11758</v>
      </c>
      <c r="T214" s="36">
        <v>4</v>
      </c>
      <c r="U214" s="36">
        <v>3</v>
      </c>
      <c r="V214" s="36">
        <v>3</v>
      </c>
      <c r="W214" s="36">
        <v>2</v>
      </c>
      <c r="X214" s="36">
        <v>1</v>
      </c>
      <c r="Y214" s="36">
        <v>1</v>
      </c>
      <c r="Z214" s="36" t="s">
        <v>3987</v>
      </c>
      <c r="AA214" s="36" t="s">
        <v>4000</v>
      </c>
      <c r="AB214" s="36" t="s">
        <v>3995</v>
      </c>
      <c r="AC214" s="36" t="s">
        <v>3996</v>
      </c>
      <c r="AD214" s="36" t="s">
        <v>7558</v>
      </c>
    </row>
    <row r="215" spans="1:30" ht="72">
      <c r="A215" s="36" t="s">
        <v>4008</v>
      </c>
      <c r="B215" s="36" t="s">
        <v>81</v>
      </c>
      <c r="C215" s="36" t="s">
        <v>1331</v>
      </c>
      <c r="D215" s="36" t="s">
        <v>192</v>
      </c>
      <c r="E215" s="36" t="s">
        <v>4009</v>
      </c>
      <c r="F215" s="36" t="s">
        <v>11759</v>
      </c>
      <c r="G215" s="36" t="s">
        <v>11760</v>
      </c>
      <c r="H215" s="36" t="s">
        <v>11761</v>
      </c>
      <c r="I215" s="36" t="s">
        <v>11762</v>
      </c>
      <c r="J215" s="36" t="s">
        <v>11763</v>
      </c>
      <c r="K215" s="36" t="s">
        <v>11764</v>
      </c>
      <c r="L215" s="36" t="s">
        <v>11765</v>
      </c>
      <c r="M215" s="36" t="s">
        <v>11766</v>
      </c>
      <c r="N215" s="36" t="s">
        <v>11767</v>
      </c>
      <c r="O215" s="36" t="s">
        <v>11768</v>
      </c>
      <c r="P215" s="36" t="s">
        <v>11769</v>
      </c>
      <c r="Q215" s="36" t="s">
        <v>11770</v>
      </c>
      <c r="R215" s="36" t="s">
        <v>9040</v>
      </c>
      <c r="S215" s="36" t="s">
        <v>11771</v>
      </c>
      <c r="T215" s="36">
        <v>4</v>
      </c>
      <c r="U215" s="36">
        <v>3</v>
      </c>
      <c r="V215" s="36">
        <v>3</v>
      </c>
      <c r="W215" s="36">
        <v>2</v>
      </c>
      <c r="X215" s="36">
        <v>1</v>
      </c>
      <c r="Y215" s="36">
        <v>1</v>
      </c>
      <c r="Z215" s="36" t="s">
        <v>3987</v>
      </c>
      <c r="AA215" s="36" t="s">
        <v>4010</v>
      </c>
      <c r="AB215" s="36" t="s">
        <v>3995</v>
      </c>
      <c r="AC215" s="36" t="s">
        <v>3996</v>
      </c>
      <c r="AD215" s="36" t="s">
        <v>7565</v>
      </c>
    </row>
    <row r="216" spans="1:30" ht="72">
      <c r="A216" s="36" t="s">
        <v>4018</v>
      </c>
      <c r="B216" s="36" t="s">
        <v>81</v>
      </c>
      <c r="C216" s="36" t="s">
        <v>1331</v>
      </c>
      <c r="D216" s="36" t="s">
        <v>192</v>
      </c>
      <c r="E216" s="36" t="s">
        <v>4019</v>
      </c>
      <c r="F216" s="36" t="s">
        <v>11772</v>
      </c>
      <c r="G216" s="36" t="s">
        <v>11773</v>
      </c>
      <c r="H216" s="36" t="s">
        <v>11774</v>
      </c>
      <c r="I216" s="36" t="s">
        <v>11775</v>
      </c>
      <c r="J216" s="36" t="s">
        <v>11776</v>
      </c>
      <c r="K216" s="36" t="s">
        <v>11777</v>
      </c>
      <c r="L216" s="36" t="s">
        <v>11778</v>
      </c>
      <c r="M216" s="36" t="s">
        <v>11779</v>
      </c>
      <c r="N216" s="36" t="s">
        <v>11780</v>
      </c>
      <c r="O216" s="36" t="s">
        <v>11781</v>
      </c>
      <c r="P216" s="36" t="s">
        <v>11782</v>
      </c>
      <c r="Q216" s="36" t="s">
        <v>11783</v>
      </c>
      <c r="R216" s="36" t="s">
        <v>9040</v>
      </c>
      <c r="S216" s="36" t="s">
        <v>11784</v>
      </c>
      <c r="T216" s="36">
        <v>4</v>
      </c>
      <c r="U216" s="36">
        <v>3</v>
      </c>
      <c r="V216" s="36">
        <v>3</v>
      </c>
      <c r="W216" s="36">
        <v>2</v>
      </c>
      <c r="X216" s="36">
        <v>1</v>
      </c>
      <c r="Y216" s="36">
        <v>1</v>
      </c>
      <c r="Z216" s="36" t="s">
        <v>3987</v>
      </c>
      <c r="AA216" s="36" t="s">
        <v>4020</v>
      </c>
      <c r="AB216" s="36" t="s">
        <v>3995</v>
      </c>
      <c r="AC216" s="36" t="s">
        <v>3996</v>
      </c>
      <c r="AD216" s="36" t="s">
        <v>7572</v>
      </c>
    </row>
    <row r="217" spans="1:30" ht="72">
      <c r="A217" s="36" t="s">
        <v>4028</v>
      </c>
      <c r="B217" s="36" t="s">
        <v>81</v>
      </c>
      <c r="C217" s="36" t="s">
        <v>1331</v>
      </c>
      <c r="D217" s="36" t="s">
        <v>192</v>
      </c>
      <c r="E217" s="36" t="s">
        <v>4029</v>
      </c>
      <c r="F217" s="36" t="s">
        <v>11785</v>
      </c>
      <c r="G217" s="36" t="s">
        <v>11786</v>
      </c>
      <c r="H217" s="36" t="s">
        <v>11787</v>
      </c>
      <c r="I217" s="36" t="s">
        <v>11788</v>
      </c>
      <c r="J217" s="36" t="s">
        <v>11789</v>
      </c>
      <c r="K217" s="36" t="s">
        <v>11790</v>
      </c>
      <c r="L217" s="36" t="s">
        <v>11791</v>
      </c>
      <c r="M217" s="36" t="s">
        <v>11792</v>
      </c>
      <c r="N217" s="36" t="s">
        <v>11793</v>
      </c>
      <c r="O217" s="36" t="s">
        <v>11794</v>
      </c>
      <c r="P217" s="36" t="s">
        <v>11795</v>
      </c>
      <c r="Q217" s="36" t="s">
        <v>11796</v>
      </c>
      <c r="R217" s="36" t="s">
        <v>9040</v>
      </c>
      <c r="S217" s="36" t="s">
        <v>11797</v>
      </c>
      <c r="T217" s="36">
        <v>4</v>
      </c>
      <c r="U217" s="36">
        <v>3</v>
      </c>
      <c r="V217" s="36">
        <v>3</v>
      </c>
      <c r="W217" s="36">
        <v>2</v>
      </c>
      <c r="X217" s="36">
        <v>1</v>
      </c>
      <c r="Y217" s="36">
        <v>1</v>
      </c>
      <c r="Z217" s="36" t="s">
        <v>3987</v>
      </c>
      <c r="AA217" s="36" t="s">
        <v>4030</v>
      </c>
      <c r="AB217" s="36" t="s">
        <v>3995</v>
      </c>
      <c r="AC217" s="36" t="s">
        <v>3996</v>
      </c>
      <c r="AD217" s="36" t="s">
        <v>7579</v>
      </c>
    </row>
    <row r="218" spans="1:30" ht="72">
      <c r="A218" s="36" t="s">
        <v>4038</v>
      </c>
      <c r="B218" s="36" t="s">
        <v>81</v>
      </c>
      <c r="C218" s="36" t="s">
        <v>1331</v>
      </c>
      <c r="D218" s="36" t="s">
        <v>192</v>
      </c>
      <c r="E218" s="36" t="s">
        <v>4039</v>
      </c>
      <c r="F218" s="36" t="s">
        <v>11798</v>
      </c>
      <c r="G218" s="36" t="s">
        <v>11799</v>
      </c>
      <c r="H218" s="36" t="s">
        <v>11800</v>
      </c>
      <c r="I218" s="36" t="s">
        <v>11801</v>
      </c>
      <c r="J218" s="36" t="s">
        <v>11802</v>
      </c>
      <c r="K218" s="36" t="s">
        <v>11803</v>
      </c>
      <c r="L218" s="36" t="s">
        <v>11804</v>
      </c>
      <c r="M218" s="36" t="s">
        <v>11805</v>
      </c>
      <c r="N218" s="36" t="s">
        <v>11806</v>
      </c>
      <c r="O218" s="36" t="s">
        <v>11807</v>
      </c>
      <c r="P218" s="36" t="s">
        <v>11808</v>
      </c>
      <c r="Q218" s="36" t="s">
        <v>11809</v>
      </c>
      <c r="R218" s="36" t="s">
        <v>9040</v>
      </c>
      <c r="S218" s="36" t="s">
        <v>11810</v>
      </c>
      <c r="T218" s="36">
        <v>4</v>
      </c>
      <c r="U218" s="36">
        <v>3</v>
      </c>
      <c r="V218" s="36">
        <v>3</v>
      </c>
      <c r="W218" s="36">
        <v>2</v>
      </c>
      <c r="X218" s="36">
        <v>1</v>
      </c>
      <c r="Y218" s="36">
        <v>1</v>
      </c>
      <c r="Z218" s="36" t="s">
        <v>3987</v>
      </c>
      <c r="AA218" s="36" t="s">
        <v>4040</v>
      </c>
      <c r="AB218" s="36" t="s">
        <v>3995</v>
      </c>
      <c r="AC218" s="36" t="s">
        <v>3996</v>
      </c>
      <c r="AD218" s="36" t="s">
        <v>7586</v>
      </c>
    </row>
    <row r="219" spans="1:30" ht="84">
      <c r="A219" s="36" t="s">
        <v>4048</v>
      </c>
      <c r="B219" s="36" t="s">
        <v>81</v>
      </c>
      <c r="C219" s="36" t="s">
        <v>1346</v>
      </c>
      <c r="D219" s="36" t="s">
        <v>192</v>
      </c>
      <c r="E219" s="36" t="s">
        <v>4049</v>
      </c>
      <c r="F219" s="36" t="s">
        <v>11811</v>
      </c>
      <c r="G219" s="36" t="s">
        <v>11812</v>
      </c>
      <c r="H219" s="36" t="s">
        <v>11813</v>
      </c>
      <c r="I219" s="36" t="s">
        <v>11814</v>
      </c>
      <c r="J219" s="36" t="s">
        <v>11815</v>
      </c>
      <c r="K219" s="36" t="s">
        <v>11816</v>
      </c>
      <c r="L219" s="36" t="s">
        <v>11817</v>
      </c>
      <c r="M219" s="36" t="s">
        <v>11818</v>
      </c>
      <c r="N219" s="36" t="s">
        <v>11819</v>
      </c>
      <c r="O219" s="36" t="s">
        <v>11820</v>
      </c>
      <c r="P219" s="36" t="s">
        <v>11821</v>
      </c>
      <c r="Q219" s="36" t="s">
        <v>11822</v>
      </c>
      <c r="R219" s="36" t="s">
        <v>9040</v>
      </c>
      <c r="S219" s="36" t="s">
        <v>11823</v>
      </c>
      <c r="T219" s="36">
        <v>4</v>
      </c>
      <c r="U219" s="36">
        <v>3</v>
      </c>
      <c r="V219" s="36">
        <v>3</v>
      </c>
      <c r="W219" s="36">
        <v>2</v>
      </c>
      <c r="X219" s="36">
        <v>1</v>
      </c>
      <c r="Y219" s="36">
        <v>1</v>
      </c>
      <c r="Z219" s="36" t="s">
        <v>3987</v>
      </c>
      <c r="AA219" s="36" t="s">
        <v>4050</v>
      </c>
      <c r="AB219" s="36" t="s">
        <v>3995</v>
      </c>
      <c r="AC219" s="36" t="s">
        <v>3996</v>
      </c>
      <c r="AD219" s="36" t="s">
        <v>7594</v>
      </c>
    </row>
    <row r="220" spans="1:30" ht="72">
      <c r="A220" s="36" t="s">
        <v>4058</v>
      </c>
      <c r="B220" s="36" t="s">
        <v>81</v>
      </c>
      <c r="C220" s="36" t="s">
        <v>1346</v>
      </c>
      <c r="D220" s="36" t="s">
        <v>192</v>
      </c>
      <c r="E220" s="36" t="s">
        <v>4059</v>
      </c>
      <c r="F220" s="36" t="s">
        <v>11824</v>
      </c>
      <c r="G220" s="36" t="s">
        <v>11825</v>
      </c>
      <c r="H220" s="36" t="s">
        <v>11826</v>
      </c>
      <c r="I220" s="36" t="s">
        <v>11827</v>
      </c>
      <c r="J220" s="36" t="s">
        <v>11828</v>
      </c>
      <c r="K220" s="36" t="s">
        <v>11829</v>
      </c>
      <c r="L220" s="36" t="s">
        <v>11830</v>
      </c>
      <c r="M220" s="36" t="s">
        <v>11831</v>
      </c>
      <c r="N220" s="36" t="s">
        <v>11832</v>
      </c>
      <c r="O220" s="36" t="s">
        <v>11833</v>
      </c>
      <c r="P220" s="36" t="s">
        <v>11834</v>
      </c>
      <c r="Q220" s="36" t="s">
        <v>11835</v>
      </c>
      <c r="R220" s="36" t="s">
        <v>9040</v>
      </c>
      <c r="S220" s="36" t="s">
        <v>11836</v>
      </c>
      <c r="T220" s="36">
        <v>4</v>
      </c>
      <c r="U220" s="36">
        <v>3</v>
      </c>
      <c r="V220" s="36">
        <v>3</v>
      </c>
      <c r="W220" s="36">
        <v>2</v>
      </c>
      <c r="X220" s="36">
        <v>1</v>
      </c>
      <c r="Y220" s="36">
        <v>1</v>
      </c>
      <c r="Z220" s="36" t="s">
        <v>3987</v>
      </c>
      <c r="AA220" s="36" t="s">
        <v>4060</v>
      </c>
      <c r="AB220" s="36" t="s">
        <v>3995</v>
      </c>
      <c r="AC220" s="36" t="s">
        <v>3996</v>
      </c>
      <c r="AD220" s="36" t="s">
        <v>7601</v>
      </c>
    </row>
    <row r="221" spans="1:30" ht="72">
      <c r="A221" s="36" t="s">
        <v>4068</v>
      </c>
      <c r="B221" s="36" t="s">
        <v>81</v>
      </c>
      <c r="C221" s="36" t="s">
        <v>1346</v>
      </c>
      <c r="D221" s="36" t="s">
        <v>192</v>
      </c>
      <c r="E221" s="36" t="s">
        <v>4069</v>
      </c>
      <c r="F221" s="36" t="s">
        <v>11837</v>
      </c>
      <c r="G221" s="36" t="s">
        <v>11838</v>
      </c>
      <c r="H221" s="36" t="s">
        <v>11839</v>
      </c>
      <c r="I221" s="36" t="s">
        <v>11840</v>
      </c>
      <c r="J221" s="36" t="s">
        <v>11841</v>
      </c>
      <c r="K221" s="36" t="s">
        <v>11842</v>
      </c>
      <c r="L221" s="36" t="s">
        <v>11843</v>
      </c>
      <c r="M221" s="36" t="s">
        <v>11844</v>
      </c>
      <c r="N221" s="36" t="s">
        <v>11845</v>
      </c>
      <c r="O221" s="36" t="s">
        <v>11846</v>
      </c>
      <c r="P221" s="36" t="s">
        <v>11847</v>
      </c>
      <c r="Q221" s="36" t="s">
        <v>11848</v>
      </c>
      <c r="R221" s="36" t="s">
        <v>9040</v>
      </c>
      <c r="S221" s="36" t="s">
        <v>11849</v>
      </c>
      <c r="T221" s="36">
        <v>4</v>
      </c>
      <c r="U221" s="36">
        <v>3</v>
      </c>
      <c r="V221" s="36">
        <v>3</v>
      </c>
      <c r="W221" s="36">
        <v>2</v>
      </c>
      <c r="X221" s="36">
        <v>1</v>
      </c>
      <c r="Y221" s="36">
        <v>1</v>
      </c>
      <c r="Z221" s="36" t="s">
        <v>3987</v>
      </c>
      <c r="AA221" s="36" t="s">
        <v>4070</v>
      </c>
      <c r="AB221" s="36" t="s">
        <v>3995</v>
      </c>
      <c r="AC221" s="36" t="s">
        <v>3996</v>
      </c>
      <c r="AD221" s="36" t="s">
        <v>7608</v>
      </c>
    </row>
    <row r="222" spans="1:30" ht="84">
      <c r="A222" s="36" t="s">
        <v>4078</v>
      </c>
      <c r="B222" s="36" t="s">
        <v>81</v>
      </c>
      <c r="C222" s="36" t="s">
        <v>1346</v>
      </c>
      <c r="D222" s="36" t="s">
        <v>192</v>
      </c>
      <c r="E222" s="36" t="s">
        <v>4079</v>
      </c>
      <c r="F222" s="36" t="s">
        <v>11850</v>
      </c>
      <c r="G222" s="36" t="s">
        <v>11851</v>
      </c>
      <c r="H222" s="36" t="s">
        <v>11852</v>
      </c>
      <c r="I222" s="36" t="s">
        <v>11853</v>
      </c>
      <c r="J222" s="36" t="s">
        <v>11854</v>
      </c>
      <c r="K222" s="36" t="s">
        <v>11855</v>
      </c>
      <c r="L222" s="36" t="s">
        <v>11856</v>
      </c>
      <c r="M222" s="36" t="s">
        <v>11857</v>
      </c>
      <c r="N222" s="36" t="s">
        <v>11858</v>
      </c>
      <c r="O222" s="36" t="s">
        <v>11859</v>
      </c>
      <c r="P222" s="36" t="s">
        <v>11860</v>
      </c>
      <c r="Q222" s="36" t="s">
        <v>11861</v>
      </c>
      <c r="R222" s="36" t="s">
        <v>9040</v>
      </c>
      <c r="S222" s="36" t="s">
        <v>11862</v>
      </c>
      <c r="T222" s="36">
        <v>4</v>
      </c>
      <c r="U222" s="36">
        <v>3</v>
      </c>
      <c r="V222" s="36">
        <v>3</v>
      </c>
      <c r="W222" s="36">
        <v>2</v>
      </c>
      <c r="X222" s="36">
        <v>1</v>
      </c>
      <c r="Y222" s="36">
        <v>1</v>
      </c>
      <c r="Z222" s="36" t="s">
        <v>3987</v>
      </c>
      <c r="AA222" s="36" t="s">
        <v>4080</v>
      </c>
      <c r="AB222" s="36" t="s">
        <v>3995</v>
      </c>
      <c r="AC222" s="36" t="s">
        <v>3996</v>
      </c>
      <c r="AD222" s="36" t="s">
        <v>7615</v>
      </c>
    </row>
    <row r="223" spans="1:30" ht="72">
      <c r="A223" s="36" t="s">
        <v>4088</v>
      </c>
      <c r="B223" s="36" t="s">
        <v>81</v>
      </c>
      <c r="C223" s="36" t="s">
        <v>1346</v>
      </c>
      <c r="D223" s="36" t="s">
        <v>192</v>
      </c>
      <c r="E223" s="36" t="s">
        <v>4089</v>
      </c>
      <c r="F223" s="36" t="s">
        <v>11863</v>
      </c>
      <c r="G223" s="36" t="s">
        <v>11864</v>
      </c>
      <c r="H223" s="36" t="s">
        <v>11865</v>
      </c>
      <c r="I223" s="36" t="s">
        <v>11866</v>
      </c>
      <c r="J223" s="36" t="s">
        <v>11867</v>
      </c>
      <c r="K223" s="36" t="s">
        <v>11868</v>
      </c>
      <c r="L223" s="36" t="s">
        <v>11869</v>
      </c>
      <c r="M223" s="36" t="s">
        <v>11870</v>
      </c>
      <c r="N223" s="36" t="s">
        <v>11871</v>
      </c>
      <c r="O223" s="36" t="s">
        <v>11872</v>
      </c>
      <c r="P223" s="36" t="s">
        <v>11873</v>
      </c>
      <c r="Q223" s="36" t="s">
        <v>11874</v>
      </c>
      <c r="R223" s="36" t="s">
        <v>9040</v>
      </c>
      <c r="S223" s="36" t="s">
        <v>11875</v>
      </c>
      <c r="T223" s="36">
        <v>4</v>
      </c>
      <c r="U223" s="36">
        <v>3</v>
      </c>
      <c r="V223" s="36">
        <v>3</v>
      </c>
      <c r="W223" s="36">
        <v>2</v>
      </c>
      <c r="X223" s="36">
        <v>1</v>
      </c>
      <c r="Y223" s="36">
        <v>1</v>
      </c>
      <c r="Z223" s="36" t="s">
        <v>3987</v>
      </c>
      <c r="AA223" s="36" t="s">
        <v>4090</v>
      </c>
      <c r="AB223" s="36" t="s">
        <v>3995</v>
      </c>
      <c r="AC223" s="36" t="s">
        <v>3996</v>
      </c>
      <c r="AD223" s="36" t="s">
        <v>7622</v>
      </c>
    </row>
    <row r="224" spans="1:30" ht="72">
      <c r="A224" s="36" t="s">
        <v>4098</v>
      </c>
      <c r="B224" s="36" t="s">
        <v>81</v>
      </c>
      <c r="C224" s="36" t="s">
        <v>1346</v>
      </c>
      <c r="D224" s="36" t="s">
        <v>192</v>
      </c>
      <c r="E224" s="36" t="s">
        <v>4099</v>
      </c>
      <c r="F224" s="36" t="s">
        <v>11876</v>
      </c>
      <c r="G224" s="36" t="s">
        <v>11877</v>
      </c>
      <c r="H224" s="36" t="s">
        <v>11878</v>
      </c>
      <c r="I224" s="36" t="s">
        <v>11879</v>
      </c>
      <c r="J224" s="36" t="s">
        <v>11880</v>
      </c>
      <c r="K224" s="36" t="s">
        <v>11881</v>
      </c>
      <c r="L224" s="36" t="s">
        <v>11882</v>
      </c>
      <c r="M224" s="36" t="s">
        <v>11883</v>
      </c>
      <c r="N224" s="36" t="s">
        <v>11884</v>
      </c>
      <c r="O224" s="36" t="s">
        <v>11885</v>
      </c>
      <c r="P224" s="36" t="s">
        <v>11886</v>
      </c>
      <c r="Q224" s="36" t="s">
        <v>11887</v>
      </c>
      <c r="R224" s="36" t="s">
        <v>9040</v>
      </c>
      <c r="S224" s="36" t="s">
        <v>11888</v>
      </c>
      <c r="T224" s="36">
        <v>4</v>
      </c>
      <c r="U224" s="36">
        <v>3</v>
      </c>
      <c r="V224" s="36">
        <v>3</v>
      </c>
      <c r="W224" s="36">
        <v>2</v>
      </c>
      <c r="X224" s="36">
        <v>1</v>
      </c>
      <c r="Y224" s="36">
        <v>1</v>
      </c>
      <c r="Z224" s="36" t="s">
        <v>3987</v>
      </c>
      <c r="AA224" s="36" t="s">
        <v>4100</v>
      </c>
      <c r="AB224" s="36" t="s">
        <v>3995</v>
      </c>
      <c r="AC224" s="36" t="s">
        <v>3996</v>
      </c>
      <c r="AD224" s="36" t="s">
        <v>7629</v>
      </c>
    </row>
    <row r="225" spans="1:30" ht="84">
      <c r="A225" s="36" t="s">
        <v>4108</v>
      </c>
      <c r="B225" s="36" t="s">
        <v>81</v>
      </c>
      <c r="C225" s="36" t="s">
        <v>1354</v>
      </c>
      <c r="D225" s="36" t="s">
        <v>192</v>
      </c>
      <c r="E225" s="36" t="s">
        <v>4109</v>
      </c>
      <c r="F225" s="36" t="s">
        <v>11889</v>
      </c>
      <c r="G225" s="36" t="s">
        <v>11890</v>
      </c>
      <c r="H225" s="36" t="s">
        <v>11891</v>
      </c>
      <c r="I225" s="36" t="s">
        <v>11892</v>
      </c>
      <c r="J225" s="36" t="s">
        <v>11893</v>
      </c>
      <c r="K225" s="36" t="s">
        <v>11894</v>
      </c>
      <c r="L225" s="36" t="s">
        <v>11895</v>
      </c>
      <c r="M225" s="36" t="s">
        <v>11896</v>
      </c>
      <c r="N225" s="36" t="s">
        <v>11897</v>
      </c>
      <c r="O225" s="36" t="s">
        <v>11898</v>
      </c>
      <c r="P225" s="36" t="s">
        <v>11899</v>
      </c>
      <c r="Q225" s="36" t="s">
        <v>11900</v>
      </c>
      <c r="R225" s="36" t="s">
        <v>9040</v>
      </c>
      <c r="S225" s="36" t="s">
        <v>11901</v>
      </c>
      <c r="T225" s="36">
        <v>4</v>
      </c>
      <c r="U225" s="36">
        <v>3</v>
      </c>
      <c r="V225" s="36">
        <v>3</v>
      </c>
      <c r="W225" s="36">
        <v>2</v>
      </c>
      <c r="X225" s="36">
        <v>1</v>
      </c>
      <c r="Y225" s="36">
        <v>1</v>
      </c>
      <c r="Z225" s="36" t="s">
        <v>3987</v>
      </c>
      <c r="AA225" s="36" t="s">
        <v>4110</v>
      </c>
      <c r="AB225" s="36" t="s">
        <v>3995</v>
      </c>
      <c r="AC225" s="36" t="s">
        <v>3996</v>
      </c>
      <c r="AD225" s="36" t="s">
        <v>7637</v>
      </c>
    </row>
    <row r="226" spans="1:30" ht="72">
      <c r="A226" s="36" t="s">
        <v>4118</v>
      </c>
      <c r="B226" s="36" t="s">
        <v>81</v>
      </c>
      <c r="C226" s="36" t="s">
        <v>1354</v>
      </c>
      <c r="D226" s="36" t="s">
        <v>192</v>
      </c>
      <c r="E226" s="36" t="s">
        <v>4119</v>
      </c>
      <c r="F226" s="36" t="s">
        <v>11902</v>
      </c>
      <c r="G226" s="36" t="s">
        <v>11903</v>
      </c>
      <c r="H226" s="36" t="s">
        <v>11904</v>
      </c>
      <c r="I226" s="36" t="s">
        <v>11905</v>
      </c>
      <c r="J226" s="36" t="s">
        <v>11906</v>
      </c>
      <c r="K226" s="36" t="s">
        <v>11907</v>
      </c>
      <c r="L226" s="36" t="s">
        <v>11908</v>
      </c>
      <c r="M226" s="36" t="s">
        <v>11909</v>
      </c>
      <c r="N226" s="36" t="s">
        <v>11910</v>
      </c>
      <c r="O226" s="36" t="s">
        <v>11911</v>
      </c>
      <c r="P226" s="36" t="s">
        <v>11912</v>
      </c>
      <c r="Q226" s="36" t="s">
        <v>11913</v>
      </c>
      <c r="R226" s="36" t="s">
        <v>9040</v>
      </c>
      <c r="S226" s="36" t="s">
        <v>11914</v>
      </c>
      <c r="T226" s="36">
        <v>4</v>
      </c>
      <c r="U226" s="36">
        <v>3</v>
      </c>
      <c r="V226" s="36">
        <v>3</v>
      </c>
      <c r="W226" s="36">
        <v>2</v>
      </c>
      <c r="X226" s="36">
        <v>1</v>
      </c>
      <c r="Y226" s="36">
        <v>1</v>
      </c>
      <c r="Z226" s="36" t="s">
        <v>3987</v>
      </c>
      <c r="AA226" s="36" t="s">
        <v>4120</v>
      </c>
      <c r="AB226" s="36" t="s">
        <v>3995</v>
      </c>
      <c r="AC226" s="36" t="s">
        <v>3996</v>
      </c>
      <c r="AD226" s="36" t="s">
        <v>7644</v>
      </c>
    </row>
    <row r="227" spans="1:30" ht="84">
      <c r="A227" s="36" t="s">
        <v>4128</v>
      </c>
      <c r="B227" s="36" t="s">
        <v>81</v>
      </c>
      <c r="C227" s="36" t="s">
        <v>1354</v>
      </c>
      <c r="D227" s="36" t="s">
        <v>192</v>
      </c>
      <c r="E227" s="36" t="s">
        <v>4129</v>
      </c>
      <c r="F227" s="36" t="s">
        <v>11915</v>
      </c>
      <c r="G227" s="36" t="s">
        <v>11916</v>
      </c>
      <c r="H227" s="36" t="s">
        <v>11917</v>
      </c>
      <c r="I227" s="36" t="s">
        <v>11918</v>
      </c>
      <c r="J227" s="36" t="s">
        <v>11919</v>
      </c>
      <c r="K227" s="36" t="s">
        <v>11920</v>
      </c>
      <c r="L227" s="36" t="s">
        <v>11921</v>
      </c>
      <c r="M227" s="36" t="s">
        <v>11922</v>
      </c>
      <c r="N227" s="36" t="s">
        <v>11923</v>
      </c>
      <c r="O227" s="36" t="s">
        <v>11924</v>
      </c>
      <c r="P227" s="36" t="s">
        <v>11925</v>
      </c>
      <c r="Q227" s="36" t="s">
        <v>11926</v>
      </c>
      <c r="R227" s="36" t="s">
        <v>9040</v>
      </c>
      <c r="S227" s="36" t="s">
        <v>11927</v>
      </c>
      <c r="T227" s="36">
        <v>4</v>
      </c>
      <c r="U227" s="36">
        <v>3</v>
      </c>
      <c r="V227" s="36">
        <v>3</v>
      </c>
      <c r="W227" s="36">
        <v>2</v>
      </c>
      <c r="X227" s="36">
        <v>1</v>
      </c>
      <c r="Y227" s="36">
        <v>1</v>
      </c>
      <c r="Z227" s="36" t="s">
        <v>3987</v>
      </c>
      <c r="AA227" s="36" t="s">
        <v>4130</v>
      </c>
      <c r="AB227" s="36" t="s">
        <v>3995</v>
      </c>
      <c r="AC227" s="36" t="s">
        <v>3996</v>
      </c>
      <c r="AD227" s="36" t="s">
        <v>7651</v>
      </c>
    </row>
    <row r="228" spans="1:30" ht="84">
      <c r="A228" s="36" t="s">
        <v>4138</v>
      </c>
      <c r="B228" s="36" t="s">
        <v>81</v>
      </c>
      <c r="C228" s="36" t="s">
        <v>1354</v>
      </c>
      <c r="D228" s="36" t="s">
        <v>192</v>
      </c>
      <c r="E228" s="36" t="s">
        <v>4139</v>
      </c>
      <c r="F228" s="36" t="s">
        <v>11928</v>
      </c>
      <c r="G228" s="36" t="s">
        <v>11929</v>
      </c>
      <c r="H228" s="36" t="s">
        <v>11930</v>
      </c>
      <c r="I228" s="36" t="s">
        <v>11931</v>
      </c>
      <c r="J228" s="36" t="s">
        <v>11932</v>
      </c>
      <c r="K228" s="36" t="s">
        <v>11933</v>
      </c>
      <c r="L228" s="36" t="s">
        <v>11934</v>
      </c>
      <c r="M228" s="36" t="s">
        <v>11935</v>
      </c>
      <c r="N228" s="36" t="s">
        <v>11936</v>
      </c>
      <c r="O228" s="36" t="s">
        <v>11937</v>
      </c>
      <c r="P228" s="36" t="s">
        <v>11938</v>
      </c>
      <c r="Q228" s="36" t="s">
        <v>11939</v>
      </c>
      <c r="R228" s="36" t="s">
        <v>9040</v>
      </c>
      <c r="S228" s="36" t="s">
        <v>11940</v>
      </c>
      <c r="T228" s="36">
        <v>4</v>
      </c>
      <c r="U228" s="36">
        <v>3</v>
      </c>
      <c r="V228" s="36">
        <v>3</v>
      </c>
      <c r="W228" s="36">
        <v>2</v>
      </c>
      <c r="X228" s="36">
        <v>1</v>
      </c>
      <c r="Y228" s="36">
        <v>1</v>
      </c>
      <c r="Z228" s="36" t="s">
        <v>3987</v>
      </c>
      <c r="AA228" s="36" t="s">
        <v>4140</v>
      </c>
      <c r="AB228" s="36" t="s">
        <v>3995</v>
      </c>
      <c r="AC228" s="36" t="s">
        <v>3996</v>
      </c>
      <c r="AD228" s="36" t="s">
        <v>7658</v>
      </c>
    </row>
    <row r="229" spans="1:30" ht="72">
      <c r="A229" s="36" t="s">
        <v>4148</v>
      </c>
      <c r="B229" s="36" t="s">
        <v>81</v>
      </c>
      <c r="C229" s="36" t="s">
        <v>1354</v>
      </c>
      <c r="D229" s="36" t="s">
        <v>192</v>
      </c>
      <c r="E229" s="36" t="s">
        <v>4149</v>
      </c>
      <c r="F229" s="36" t="s">
        <v>11941</v>
      </c>
      <c r="G229" s="36" t="s">
        <v>11942</v>
      </c>
      <c r="H229" s="36" t="s">
        <v>11943</v>
      </c>
      <c r="I229" s="36" t="s">
        <v>11944</v>
      </c>
      <c r="J229" s="36" t="s">
        <v>11945</v>
      </c>
      <c r="K229" s="36" t="s">
        <v>11946</v>
      </c>
      <c r="L229" s="36" t="s">
        <v>11947</v>
      </c>
      <c r="M229" s="36" t="s">
        <v>11948</v>
      </c>
      <c r="N229" s="36" t="s">
        <v>11949</v>
      </c>
      <c r="O229" s="36" t="s">
        <v>11950</v>
      </c>
      <c r="P229" s="36" t="s">
        <v>11951</v>
      </c>
      <c r="Q229" s="36" t="s">
        <v>11952</v>
      </c>
      <c r="R229" s="36" t="s">
        <v>9040</v>
      </c>
      <c r="S229" s="36" t="s">
        <v>11953</v>
      </c>
      <c r="T229" s="36">
        <v>4</v>
      </c>
      <c r="U229" s="36">
        <v>3</v>
      </c>
      <c r="V229" s="36">
        <v>3</v>
      </c>
      <c r="W229" s="36">
        <v>2</v>
      </c>
      <c r="X229" s="36">
        <v>1</v>
      </c>
      <c r="Y229" s="36">
        <v>1</v>
      </c>
      <c r="Z229" s="36" t="s">
        <v>3987</v>
      </c>
      <c r="AA229" s="36" t="s">
        <v>4150</v>
      </c>
      <c r="AB229" s="36" t="s">
        <v>3995</v>
      </c>
      <c r="AC229" s="36" t="s">
        <v>3996</v>
      </c>
      <c r="AD229" s="36" t="s">
        <v>7665</v>
      </c>
    </row>
    <row r="230" spans="1:30" ht="72">
      <c r="A230" s="36" t="s">
        <v>4158</v>
      </c>
      <c r="B230" s="36" t="s">
        <v>81</v>
      </c>
      <c r="C230" s="36" t="s">
        <v>1354</v>
      </c>
      <c r="D230" s="36" t="s">
        <v>192</v>
      </c>
      <c r="E230" s="36" t="s">
        <v>4159</v>
      </c>
      <c r="F230" s="36" t="s">
        <v>11954</v>
      </c>
      <c r="G230" s="36" t="s">
        <v>11955</v>
      </c>
      <c r="H230" s="36" t="s">
        <v>11956</v>
      </c>
      <c r="I230" s="36" t="s">
        <v>11957</v>
      </c>
      <c r="J230" s="36" t="s">
        <v>11958</v>
      </c>
      <c r="K230" s="36" t="s">
        <v>11959</v>
      </c>
      <c r="L230" s="36" t="s">
        <v>11960</v>
      </c>
      <c r="M230" s="36" t="s">
        <v>11961</v>
      </c>
      <c r="N230" s="36" t="s">
        <v>11962</v>
      </c>
      <c r="O230" s="36" t="s">
        <v>11963</v>
      </c>
      <c r="P230" s="36" t="s">
        <v>11964</v>
      </c>
      <c r="Q230" s="36" t="s">
        <v>11965</v>
      </c>
      <c r="R230" s="36" t="s">
        <v>9040</v>
      </c>
      <c r="S230" s="36" t="s">
        <v>11966</v>
      </c>
      <c r="T230" s="36">
        <v>4</v>
      </c>
      <c r="U230" s="36">
        <v>3</v>
      </c>
      <c r="V230" s="36">
        <v>3</v>
      </c>
      <c r="W230" s="36">
        <v>2</v>
      </c>
      <c r="X230" s="36">
        <v>1</v>
      </c>
      <c r="Y230" s="36">
        <v>1</v>
      </c>
      <c r="Z230" s="36" t="s">
        <v>3987</v>
      </c>
      <c r="AA230" s="36" t="s">
        <v>4160</v>
      </c>
      <c r="AB230" s="36" t="s">
        <v>3995</v>
      </c>
      <c r="AC230" s="36" t="s">
        <v>3996</v>
      </c>
      <c r="AD230" s="36" t="s">
        <v>7672</v>
      </c>
    </row>
    <row r="231" spans="1:30" ht="84">
      <c r="A231" s="36" t="s">
        <v>4168</v>
      </c>
      <c r="B231" s="36" t="s">
        <v>81</v>
      </c>
      <c r="C231" s="36" t="s">
        <v>1362</v>
      </c>
      <c r="D231" s="36" t="s">
        <v>192</v>
      </c>
      <c r="E231" s="36" t="s">
        <v>4169</v>
      </c>
      <c r="F231" s="36" t="s">
        <v>11967</v>
      </c>
      <c r="G231" s="36" t="s">
        <v>11968</v>
      </c>
      <c r="H231" s="36" t="s">
        <v>11969</v>
      </c>
      <c r="I231" s="36" t="s">
        <v>11970</v>
      </c>
      <c r="J231" s="36" t="s">
        <v>11971</v>
      </c>
      <c r="K231" s="36" t="s">
        <v>11972</v>
      </c>
      <c r="L231" s="36" t="s">
        <v>11973</v>
      </c>
      <c r="M231" s="36" t="s">
        <v>11974</v>
      </c>
      <c r="N231" s="36" t="s">
        <v>11975</v>
      </c>
      <c r="O231" s="36" t="s">
        <v>11976</v>
      </c>
      <c r="P231" s="36" t="s">
        <v>11977</v>
      </c>
      <c r="Q231" s="36" t="s">
        <v>11978</v>
      </c>
      <c r="R231" s="36" t="s">
        <v>9040</v>
      </c>
      <c r="S231" s="36" t="s">
        <v>11979</v>
      </c>
      <c r="T231" s="36">
        <v>4</v>
      </c>
      <c r="U231" s="36">
        <v>3</v>
      </c>
      <c r="V231" s="36">
        <v>3</v>
      </c>
      <c r="W231" s="36">
        <v>2</v>
      </c>
      <c r="X231" s="36">
        <v>1</v>
      </c>
      <c r="Y231" s="36">
        <v>1</v>
      </c>
      <c r="Z231" s="36" t="s">
        <v>3987</v>
      </c>
      <c r="AA231" s="36" t="s">
        <v>4170</v>
      </c>
      <c r="AB231" s="36" t="s">
        <v>3995</v>
      </c>
      <c r="AC231" s="36" t="s">
        <v>3996</v>
      </c>
      <c r="AD231" s="36" t="s">
        <v>7680</v>
      </c>
    </row>
    <row r="232" spans="1:30" ht="72">
      <c r="A232" s="36" t="s">
        <v>4178</v>
      </c>
      <c r="B232" s="36" t="s">
        <v>81</v>
      </c>
      <c r="C232" s="36" t="s">
        <v>1362</v>
      </c>
      <c r="D232" s="36" t="s">
        <v>192</v>
      </c>
      <c r="E232" s="36" t="s">
        <v>4179</v>
      </c>
      <c r="F232" s="36" t="s">
        <v>11980</v>
      </c>
      <c r="G232" s="36" t="s">
        <v>11981</v>
      </c>
      <c r="H232" s="36" t="s">
        <v>11982</v>
      </c>
      <c r="I232" s="36" t="s">
        <v>11983</v>
      </c>
      <c r="J232" s="36" t="s">
        <v>11984</v>
      </c>
      <c r="K232" s="36" t="s">
        <v>11985</v>
      </c>
      <c r="L232" s="36" t="s">
        <v>11986</v>
      </c>
      <c r="M232" s="36" t="s">
        <v>11987</v>
      </c>
      <c r="N232" s="36" t="s">
        <v>11988</v>
      </c>
      <c r="O232" s="36" t="s">
        <v>11989</v>
      </c>
      <c r="P232" s="36" t="s">
        <v>11990</v>
      </c>
      <c r="Q232" s="36" t="s">
        <v>11991</v>
      </c>
      <c r="R232" s="36" t="s">
        <v>9040</v>
      </c>
      <c r="S232" s="36" t="s">
        <v>11992</v>
      </c>
      <c r="T232" s="36">
        <v>4</v>
      </c>
      <c r="U232" s="36">
        <v>3</v>
      </c>
      <c r="V232" s="36">
        <v>3</v>
      </c>
      <c r="W232" s="36">
        <v>2</v>
      </c>
      <c r="X232" s="36">
        <v>1</v>
      </c>
      <c r="Y232" s="36">
        <v>1</v>
      </c>
      <c r="Z232" s="36" t="s">
        <v>3987</v>
      </c>
      <c r="AA232" s="36" t="s">
        <v>4180</v>
      </c>
      <c r="AB232" s="36" t="s">
        <v>3995</v>
      </c>
      <c r="AC232" s="36" t="s">
        <v>3996</v>
      </c>
      <c r="AD232" s="36" t="s">
        <v>7687</v>
      </c>
    </row>
    <row r="233" spans="1:30" ht="72">
      <c r="A233" s="36" t="s">
        <v>4188</v>
      </c>
      <c r="B233" s="36" t="s">
        <v>81</v>
      </c>
      <c r="C233" s="36" t="s">
        <v>1362</v>
      </c>
      <c r="D233" s="36" t="s">
        <v>192</v>
      </c>
      <c r="E233" s="36" t="s">
        <v>4189</v>
      </c>
      <c r="F233" s="36" t="s">
        <v>11993</v>
      </c>
      <c r="G233" s="36" t="s">
        <v>11994</v>
      </c>
      <c r="H233" s="36" t="s">
        <v>11995</v>
      </c>
      <c r="I233" s="36" t="s">
        <v>11996</v>
      </c>
      <c r="J233" s="36" t="s">
        <v>11997</v>
      </c>
      <c r="K233" s="36" t="s">
        <v>11998</v>
      </c>
      <c r="L233" s="36" t="s">
        <v>11999</v>
      </c>
      <c r="M233" s="36" t="s">
        <v>12000</v>
      </c>
      <c r="N233" s="36" t="s">
        <v>12001</v>
      </c>
      <c r="O233" s="36" t="s">
        <v>12002</v>
      </c>
      <c r="P233" s="36" t="s">
        <v>12003</v>
      </c>
      <c r="Q233" s="36" t="s">
        <v>12004</v>
      </c>
      <c r="R233" s="36" t="s">
        <v>9040</v>
      </c>
      <c r="S233" s="36" t="s">
        <v>12005</v>
      </c>
      <c r="T233" s="36">
        <v>4</v>
      </c>
      <c r="U233" s="36">
        <v>3</v>
      </c>
      <c r="V233" s="36">
        <v>3</v>
      </c>
      <c r="W233" s="36">
        <v>2</v>
      </c>
      <c r="X233" s="36">
        <v>1</v>
      </c>
      <c r="Y233" s="36">
        <v>1</v>
      </c>
      <c r="Z233" s="36" t="s">
        <v>3987</v>
      </c>
      <c r="AA233" s="36" t="s">
        <v>4190</v>
      </c>
      <c r="AB233" s="36" t="s">
        <v>3995</v>
      </c>
      <c r="AC233" s="36" t="s">
        <v>3996</v>
      </c>
      <c r="AD233" s="36" t="s">
        <v>7694</v>
      </c>
    </row>
    <row r="234" spans="1:30" ht="84">
      <c r="A234" s="36" t="s">
        <v>4198</v>
      </c>
      <c r="B234" s="36" t="s">
        <v>81</v>
      </c>
      <c r="C234" s="36" t="s">
        <v>1362</v>
      </c>
      <c r="D234" s="36" t="s">
        <v>192</v>
      </c>
      <c r="E234" s="36" t="s">
        <v>4199</v>
      </c>
      <c r="F234" s="36" t="s">
        <v>12006</v>
      </c>
      <c r="G234" s="36" t="s">
        <v>12007</v>
      </c>
      <c r="H234" s="36" t="s">
        <v>12008</v>
      </c>
      <c r="I234" s="36" t="s">
        <v>12009</v>
      </c>
      <c r="J234" s="36" t="s">
        <v>12010</v>
      </c>
      <c r="K234" s="36" t="s">
        <v>12011</v>
      </c>
      <c r="L234" s="36" t="s">
        <v>12012</v>
      </c>
      <c r="M234" s="36" t="s">
        <v>12013</v>
      </c>
      <c r="N234" s="36" t="s">
        <v>12014</v>
      </c>
      <c r="O234" s="36" t="s">
        <v>12015</v>
      </c>
      <c r="P234" s="36" t="s">
        <v>12016</v>
      </c>
      <c r="Q234" s="36" t="s">
        <v>12017</v>
      </c>
      <c r="R234" s="36" t="s">
        <v>9040</v>
      </c>
      <c r="S234" s="36" t="s">
        <v>12018</v>
      </c>
      <c r="T234" s="36">
        <v>4</v>
      </c>
      <c r="U234" s="36">
        <v>3</v>
      </c>
      <c r="V234" s="36">
        <v>3</v>
      </c>
      <c r="W234" s="36">
        <v>2</v>
      </c>
      <c r="X234" s="36">
        <v>1</v>
      </c>
      <c r="Y234" s="36">
        <v>1</v>
      </c>
      <c r="Z234" s="36" t="s">
        <v>3987</v>
      </c>
      <c r="AA234" s="36" t="s">
        <v>4200</v>
      </c>
      <c r="AB234" s="36" t="s">
        <v>3995</v>
      </c>
      <c r="AC234" s="36" t="s">
        <v>3996</v>
      </c>
      <c r="AD234" s="36" t="s">
        <v>7701</v>
      </c>
    </row>
    <row r="235" spans="1:30" ht="72">
      <c r="A235" s="36" t="s">
        <v>4208</v>
      </c>
      <c r="B235" s="36" t="s">
        <v>81</v>
      </c>
      <c r="C235" s="36" t="s">
        <v>1362</v>
      </c>
      <c r="D235" s="36" t="s">
        <v>192</v>
      </c>
      <c r="E235" s="36" t="s">
        <v>4209</v>
      </c>
      <c r="F235" s="36" t="s">
        <v>12019</v>
      </c>
      <c r="G235" s="36" t="s">
        <v>12020</v>
      </c>
      <c r="H235" s="36" t="s">
        <v>12021</v>
      </c>
      <c r="I235" s="36" t="s">
        <v>12022</v>
      </c>
      <c r="J235" s="36" t="s">
        <v>12023</v>
      </c>
      <c r="K235" s="36" t="s">
        <v>12024</v>
      </c>
      <c r="L235" s="36" t="s">
        <v>12025</v>
      </c>
      <c r="M235" s="36" t="s">
        <v>12026</v>
      </c>
      <c r="N235" s="36" t="s">
        <v>12027</v>
      </c>
      <c r="O235" s="36" t="s">
        <v>12028</v>
      </c>
      <c r="P235" s="36" t="s">
        <v>12029</v>
      </c>
      <c r="Q235" s="36" t="s">
        <v>12030</v>
      </c>
      <c r="R235" s="36" t="s">
        <v>9040</v>
      </c>
      <c r="S235" s="36" t="s">
        <v>12031</v>
      </c>
      <c r="T235" s="36">
        <v>4</v>
      </c>
      <c r="U235" s="36">
        <v>3</v>
      </c>
      <c r="V235" s="36">
        <v>3</v>
      </c>
      <c r="W235" s="36">
        <v>2</v>
      </c>
      <c r="X235" s="36">
        <v>1</v>
      </c>
      <c r="Y235" s="36">
        <v>1</v>
      </c>
      <c r="Z235" s="36" t="s">
        <v>3987</v>
      </c>
      <c r="AA235" s="36" t="s">
        <v>4210</v>
      </c>
      <c r="AB235" s="36" t="s">
        <v>3995</v>
      </c>
      <c r="AC235" s="36" t="s">
        <v>3996</v>
      </c>
      <c r="AD235" s="36" t="s">
        <v>7708</v>
      </c>
    </row>
    <row r="236" spans="1:30" ht="72">
      <c r="A236" s="36" t="s">
        <v>4218</v>
      </c>
      <c r="B236" s="36" t="s">
        <v>81</v>
      </c>
      <c r="C236" s="36" t="s">
        <v>1362</v>
      </c>
      <c r="D236" s="36" t="s">
        <v>192</v>
      </c>
      <c r="E236" s="36" t="s">
        <v>4219</v>
      </c>
      <c r="F236" s="36" t="s">
        <v>12032</v>
      </c>
      <c r="G236" s="36" t="s">
        <v>12033</v>
      </c>
      <c r="H236" s="36" t="s">
        <v>12034</v>
      </c>
      <c r="I236" s="36" t="s">
        <v>12035</v>
      </c>
      <c r="J236" s="36" t="s">
        <v>12036</v>
      </c>
      <c r="K236" s="36" t="s">
        <v>12037</v>
      </c>
      <c r="L236" s="36" t="s">
        <v>12038</v>
      </c>
      <c r="M236" s="36" t="s">
        <v>12039</v>
      </c>
      <c r="N236" s="36" t="s">
        <v>12040</v>
      </c>
      <c r="O236" s="36" t="s">
        <v>12041</v>
      </c>
      <c r="P236" s="36" t="s">
        <v>12042</v>
      </c>
      <c r="Q236" s="36" t="s">
        <v>12043</v>
      </c>
      <c r="R236" s="36" t="s">
        <v>9040</v>
      </c>
      <c r="S236" s="36" t="s">
        <v>12044</v>
      </c>
      <c r="T236" s="36">
        <v>4</v>
      </c>
      <c r="U236" s="36">
        <v>3</v>
      </c>
      <c r="V236" s="36">
        <v>3</v>
      </c>
      <c r="W236" s="36">
        <v>2</v>
      </c>
      <c r="X236" s="36">
        <v>1</v>
      </c>
      <c r="Y236" s="36">
        <v>1</v>
      </c>
      <c r="Z236" s="36" t="s">
        <v>3987</v>
      </c>
      <c r="AA236" s="36" t="s">
        <v>4220</v>
      </c>
      <c r="AB236" s="36" t="s">
        <v>3995</v>
      </c>
      <c r="AC236" s="36" t="s">
        <v>3996</v>
      </c>
      <c r="AD236" s="36" t="s">
        <v>7715</v>
      </c>
    </row>
    <row r="237" spans="1:30" ht="84">
      <c r="A237" s="36" t="s">
        <v>4228</v>
      </c>
      <c r="B237" s="36" t="s">
        <v>81</v>
      </c>
      <c r="C237" s="36" t="s">
        <v>1370</v>
      </c>
      <c r="D237" s="36" t="s">
        <v>192</v>
      </c>
      <c r="E237" s="36" t="s">
        <v>4229</v>
      </c>
      <c r="F237" s="36" t="s">
        <v>12045</v>
      </c>
      <c r="G237" s="36" t="s">
        <v>12046</v>
      </c>
      <c r="H237" s="36" t="s">
        <v>12047</v>
      </c>
      <c r="I237" s="36" t="s">
        <v>12048</v>
      </c>
      <c r="J237" s="36" t="s">
        <v>12049</v>
      </c>
      <c r="K237" s="36" t="s">
        <v>12050</v>
      </c>
      <c r="L237" s="36" t="s">
        <v>12051</v>
      </c>
      <c r="M237" s="36" t="s">
        <v>12052</v>
      </c>
      <c r="N237" s="36" t="s">
        <v>12053</v>
      </c>
      <c r="O237" s="36" t="s">
        <v>12054</v>
      </c>
      <c r="P237" s="36" t="s">
        <v>12055</v>
      </c>
      <c r="Q237" s="36" t="s">
        <v>12056</v>
      </c>
      <c r="R237" s="36" t="s">
        <v>9040</v>
      </c>
      <c r="S237" s="36" t="s">
        <v>12057</v>
      </c>
      <c r="T237" s="36">
        <v>4</v>
      </c>
      <c r="U237" s="36">
        <v>3</v>
      </c>
      <c r="V237" s="36">
        <v>3</v>
      </c>
      <c r="W237" s="36">
        <v>2</v>
      </c>
      <c r="X237" s="36">
        <v>1</v>
      </c>
      <c r="Y237" s="36">
        <v>1</v>
      </c>
      <c r="Z237" s="36" t="s">
        <v>3987</v>
      </c>
      <c r="AA237" s="36" t="s">
        <v>4230</v>
      </c>
      <c r="AB237" s="36" t="s">
        <v>3995</v>
      </c>
      <c r="AC237" s="36" t="s">
        <v>3996</v>
      </c>
      <c r="AD237" s="36" t="s">
        <v>7723</v>
      </c>
    </row>
    <row r="238" spans="1:30" ht="72">
      <c r="A238" s="36" t="s">
        <v>4238</v>
      </c>
      <c r="B238" s="36" t="s">
        <v>81</v>
      </c>
      <c r="C238" s="36" t="s">
        <v>1370</v>
      </c>
      <c r="D238" s="36" t="s">
        <v>192</v>
      </c>
      <c r="E238" s="36" t="s">
        <v>4239</v>
      </c>
      <c r="F238" s="36" t="s">
        <v>12058</v>
      </c>
      <c r="G238" s="36" t="s">
        <v>12059</v>
      </c>
      <c r="H238" s="36" t="s">
        <v>12060</v>
      </c>
      <c r="I238" s="36" t="s">
        <v>12061</v>
      </c>
      <c r="J238" s="36" t="s">
        <v>12062</v>
      </c>
      <c r="K238" s="36" t="s">
        <v>12063</v>
      </c>
      <c r="L238" s="36" t="s">
        <v>12064</v>
      </c>
      <c r="M238" s="36" t="s">
        <v>12065</v>
      </c>
      <c r="N238" s="36" t="s">
        <v>12066</v>
      </c>
      <c r="O238" s="36" t="s">
        <v>12067</v>
      </c>
      <c r="P238" s="36" t="s">
        <v>12068</v>
      </c>
      <c r="Q238" s="36" t="s">
        <v>12069</v>
      </c>
      <c r="R238" s="36" t="s">
        <v>9040</v>
      </c>
      <c r="S238" s="36" t="s">
        <v>12070</v>
      </c>
      <c r="T238" s="36">
        <v>4</v>
      </c>
      <c r="U238" s="36">
        <v>3</v>
      </c>
      <c r="V238" s="36">
        <v>3</v>
      </c>
      <c r="W238" s="36">
        <v>2</v>
      </c>
      <c r="X238" s="36">
        <v>1</v>
      </c>
      <c r="Y238" s="36">
        <v>1</v>
      </c>
      <c r="Z238" s="36" t="s">
        <v>3987</v>
      </c>
      <c r="AA238" s="36" t="s">
        <v>4240</v>
      </c>
      <c r="AB238" s="36" t="s">
        <v>3995</v>
      </c>
      <c r="AC238" s="36" t="s">
        <v>3996</v>
      </c>
      <c r="AD238" s="36" t="s">
        <v>7730</v>
      </c>
    </row>
    <row r="239" spans="1:30" ht="72">
      <c r="A239" s="36" t="s">
        <v>4248</v>
      </c>
      <c r="B239" s="36" t="s">
        <v>81</v>
      </c>
      <c r="C239" s="36" t="s">
        <v>1370</v>
      </c>
      <c r="D239" s="36" t="s">
        <v>192</v>
      </c>
      <c r="E239" s="36" t="s">
        <v>4249</v>
      </c>
      <c r="F239" s="36" t="s">
        <v>12071</v>
      </c>
      <c r="G239" s="36" t="s">
        <v>12072</v>
      </c>
      <c r="H239" s="36" t="s">
        <v>12073</v>
      </c>
      <c r="I239" s="36" t="s">
        <v>12074</v>
      </c>
      <c r="J239" s="36" t="s">
        <v>12075</v>
      </c>
      <c r="K239" s="36" t="s">
        <v>12076</v>
      </c>
      <c r="L239" s="36" t="s">
        <v>12077</v>
      </c>
      <c r="M239" s="36" t="s">
        <v>12078</v>
      </c>
      <c r="N239" s="36" t="s">
        <v>12079</v>
      </c>
      <c r="O239" s="36" t="s">
        <v>12080</v>
      </c>
      <c r="P239" s="36" t="s">
        <v>12081</v>
      </c>
      <c r="Q239" s="36" t="s">
        <v>12082</v>
      </c>
      <c r="R239" s="36" t="s">
        <v>9040</v>
      </c>
      <c r="S239" s="36" t="s">
        <v>12083</v>
      </c>
      <c r="T239" s="36">
        <v>4</v>
      </c>
      <c r="U239" s="36">
        <v>3</v>
      </c>
      <c r="V239" s="36">
        <v>3</v>
      </c>
      <c r="W239" s="36">
        <v>2</v>
      </c>
      <c r="X239" s="36">
        <v>1</v>
      </c>
      <c r="Y239" s="36">
        <v>1</v>
      </c>
      <c r="Z239" s="36" t="s">
        <v>3987</v>
      </c>
      <c r="AA239" s="36" t="s">
        <v>4250</v>
      </c>
      <c r="AB239" s="36" t="s">
        <v>3995</v>
      </c>
      <c r="AC239" s="36" t="s">
        <v>3996</v>
      </c>
      <c r="AD239" s="36" t="s">
        <v>7737</v>
      </c>
    </row>
    <row r="240" spans="1:30" ht="72">
      <c r="A240" s="36" t="s">
        <v>4258</v>
      </c>
      <c r="B240" s="36" t="s">
        <v>81</v>
      </c>
      <c r="C240" s="36" t="s">
        <v>1370</v>
      </c>
      <c r="D240" s="36" t="s">
        <v>192</v>
      </c>
      <c r="E240" s="36" t="s">
        <v>4259</v>
      </c>
      <c r="F240" s="36" t="s">
        <v>12084</v>
      </c>
      <c r="G240" s="36" t="s">
        <v>12085</v>
      </c>
      <c r="H240" s="36" t="s">
        <v>12086</v>
      </c>
      <c r="I240" s="36" t="s">
        <v>12087</v>
      </c>
      <c r="J240" s="36" t="s">
        <v>12088</v>
      </c>
      <c r="K240" s="36" t="s">
        <v>12089</v>
      </c>
      <c r="L240" s="36" t="s">
        <v>12090</v>
      </c>
      <c r="M240" s="36" t="s">
        <v>12091</v>
      </c>
      <c r="N240" s="36" t="s">
        <v>12092</v>
      </c>
      <c r="O240" s="36" t="s">
        <v>12093</v>
      </c>
      <c r="P240" s="36" t="s">
        <v>12094</v>
      </c>
      <c r="Q240" s="36" t="s">
        <v>12095</v>
      </c>
      <c r="R240" s="36" t="s">
        <v>9040</v>
      </c>
      <c r="S240" s="36" t="s">
        <v>12096</v>
      </c>
      <c r="T240" s="36">
        <v>4</v>
      </c>
      <c r="U240" s="36">
        <v>3</v>
      </c>
      <c r="V240" s="36">
        <v>3</v>
      </c>
      <c r="W240" s="36">
        <v>2</v>
      </c>
      <c r="X240" s="36">
        <v>1</v>
      </c>
      <c r="Y240" s="36">
        <v>1</v>
      </c>
      <c r="Z240" s="36" t="s">
        <v>3987</v>
      </c>
      <c r="AA240" s="36" t="s">
        <v>4260</v>
      </c>
      <c r="AB240" s="36" t="s">
        <v>3995</v>
      </c>
      <c r="AC240" s="36" t="s">
        <v>3996</v>
      </c>
      <c r="AD240" s="36" t="s">
        <v>7744</v>
      </c>
    </row>
    <row r="241" spans="1:30" ht="72">
      <c r="A241" s="36" t="s">
        <v>4270</v>
      </c>
      <c r="B241" s="36" t="s">
        <v>84</v>
      </c>
      <c r="C241" s="36" t="s">
        <v>1378</v>
      </c>
      <c r="D241" s="36" t="s">
        <v>193</v>
      </c>
      <c r="E241" s="36" t="s">
        <v>4271</v>
      </c>
      <c r="F241" s="36" t="s">
        <v>12097</v>
      </c>
      <c r="G241" s="36" t="s">
        <v>12098</v>
      </c>
      <c r="H241" s="36" t="s">
        <v>12099</v>
      </c>
      <c r="I241" s="36" t="s">
        <v>12100</v>
      </c>
      <c r="J241" s="36" t="s">
        <v>12101</v>
      </c>
      <c r="K241" s="36" t="s">
        <v>12102</v>
      </c>
      <c r="L241" s="36" t="s">
        <v>12103</v>
      </c>
      <c r="M241" s="36" t="s">
        <v>12104</v>
      </c>
      <c r="N241" s="36" t="s">
        <v>12105</v>
      </c>
      <c r="O241" s="36" t="s">
        <v>12106</v>
      </c>
      <c r="P241" s="36" t="s">
        <v>12107</v>
      </c>
      <c r="Q241" s="36" t="s">
        <v>12108</v>
      </c>
      <c r="R241" s="36" t="s">
        <v>9040</v>
      </c>
      <c r="S241" s="36" t="s">
        <v>12109</v>
      </c>
      <c r="T241" s="36">
        <v>3</v>
      </c>
      <c r="U241" s="36">
        <v>3</v>
      </c>
      <c r="V241" s="36">
        <v>2</v>
      </c>
      <c r="W241" s="36">
        <v>2</v>
      </c>
      <c r="X241" s="36">
        <v>1</v>
      </c>
      <c r="Y241" s="36">
        <v>1</v>
      </c>
      <c r="Z241" s="36" t="s">
        <v>4273</v>
      </c>
      <c r="AA241" s="36" t="s">
        <v>4274</v>
      </c>
      <c r="AB241" s="36" t="s">
        <v>4281</v>
      </c>
      <c r="AC241" s="36" t="s">
        <v>4282</v>
      </c>
      <c r="AD241" s="36" t="s">
        <v>7752</v>
      </c>
    </row>
    <row r="242" spans="1:30" ht="72">
      <c r="A242" s="36" t="s">
        <v>4284</v>
      </c>
      <c r="B242" s="36" t="s">
        <v>84</v>
      </c>
      <c r="C242" s="36" t="s">
        <v>1378</v>
      </c>
      <c r="D242" s="36" t="s">
        <v>193</v>
      </c>
      <c r="E242" s="36" t="s">
        <v>4285</v>
      </c>
      <c r="F242" s="36" t="s">
        <v>12110</v>
      </c>
      <c r="G242" s="36" t="s">
        <v>12111</v>
      </c>
      <c r="H242" s="36" t="s">
        <v>12112</v>
      </c>
      <c r="I242" s="36" t="s">
        <v>12113</v>
      </c>
      <c r="J242" s="36" t="s">
        <v>12114</v>
      </c>
      <c r="K242" s="36" t="s">
        <v>12115</v>
      </c>
      <c r="L242" s="36" t="s">
        <v>12116</v>
      </c>
      <c r="M242" s="36" t="s">
        <v>12117</v>
      </c>
      <c r="N242" s="36" t="s">
        <v>12118</v>
      </c>
      <c r="O242" s="36" t="s">
        <v>12119</v>
      </c>
      <c r="P242" s="36" t="s">
        <v>12120</v>
      </c>
      <c r="Q242" s="36" t="s">
        <v>12121</v>
      </c>
      <c r="R242" s="36" t="s">
        <v>9040</v>
      </c>
      <c r="S242" s="36" t="s">
        <v>12122</v>
      </c>
      <c r="T242" s="36">
        <v>3</v>
      </c>
      <c r="U242" s="36">
        <v>3</v>
      </c>
      <c r="V242" s="36">
        <v>2</v>
      </c>
      <c r="W242" s="36">
        <v>2</v>
      </c>
      <c r="X242" s="36">
        <v>1</v>
      </c>
      <c r="Y242" s="36">
        <v>1</v>
      </c>
      <c r="Z242" s="36" t="s">
        <v>4273</v>
      </c>
      <c r="AA242" s="36" t="s">
        <v>4286</v>
      </c>
      <c r="AB242" s="36" t="s">
        <v>4281</v>
      </c>
      <c r="AC242" s="36" t="s">
        <v>4282</v>
      </c>
      <c r="AD242" s="36" t="s">
        <v>7759</v>
      </c>
    </row>
    <row r="243" spans="1:30" ht="72">
      <c r="A243" s="36" t="s">
        <v>4294</v>
      </c>
      <c r="B243" s="36" t="s">
        <v>84</v>
      </c>
      <c r="C243" s="36" t="s">
        <v>1378</v>
      </c>
      <c r="D243" s="36" t="s">
        <v>193</v>
      </c>
      <c r="E243" s="36" t="s">
        <v>4295</v>
      </c>
      <c r="F243" s="36" t="s">
        <v>12123</v>
      </c>
      <c r="G243" s="36" t="s">
        <v>12124</v>
      </c>
      <c r="H243" s="36" t="s">
        <v>12125</v>
      </c>
      <c r="I243" s="36" t="s">
        <v>12126</v>
      </c>
      <c r="J243" s="36" t="s">
        <v>12127</v>
      </c>
      <c r="K243" s="36" t="s">
        <v>12128</v>
      </c>
      <c r="L243" s="36" t="s">
        <v>12129</v>
      </c>
      <c r="M243" s="36" t="s">
        <v>12130</v>
      </c>
      <c r="N243" s="36" t="s">
        <v>12131</v>
      </c>
      <c r="O243" s="36" t="s">
        <v>12132</v>
      </c>
      <c r="P243" s="36" t="s">
        <v>12133</v>
      </c>
      <c r="Q243" s="36" t="s">
        <v>12134</v>
      </c>
      <c r="R243" s="36" t="s">
        <v>9040</v>
      </c>
      <c r="S243" s="36" t="s">
        <v>12135</v>
      </c>
      <c r="T243" s="36">
        <v>3</v>
      </c>
      <c r="U243" s="36">
        <v>3</v>
      </c>
      <c r="V243" s="36">
        <v>2</v>
      </c>
      <c r="W243" s="36">
        <v>2</v>
      </c>
      <c r="X243" s="36">
        <v>1</v>
      </c>
      <c r="Y243" s="36">
        <v>1</v>
      </c>
      <c r="Z243" s="36" t="s">
        <v>4273</v>
      </c>
      <c r="AA243" s="36" t="s">
        <v>4296</v>
      </c>
      <c r="AB243" s="36" t="s">
        <v>4281</v>
      </c>
      <c r="AC243" s="36" t="s">
        <v>4282</v>
      </c>
      <c r="AD243" s="36" t="s">
        <v>7766</v>
      </c>
    </row>
    <row r="244" spans="1:30" ht="72">
      <c r="A244" s="36" t="s">
        <v>4304</v>
      </c>
      <c r="B244" s="36" t="s">
        <v>84</v>
      </c>
      <c r="C244" s="36" t="s">
        <v>1378</v>
      </c>
      <c r="D244" s="36" t="s">
        <v>193</v>
      </c>
      <c r="E244" s="36" t="s">
        <v>4305</v>
      </c>
      <c r="F244" s="36" t="s">
        <v>12136</v>
      </c>
      <c r="G244" s="36" t="s">
        <v>12137</v>
      </c>
      <c r="H244" s="36" t="s">
        <v>12138</v>
      </c>
      <c r="I244" s="36" t="s">
        <v>12139</v>
      </c>
      <c r="J244" s="36" t="s">
        <v>12140</v>
      </c>
      <c r="K244" s="36" t="s">
        <v>12141</v>
      </c>
      <c r="L244" s="36" t="s">
        <v>12142</v>
      </c>
      <c r="M244" s="36" t="s">
        <v>12143</v>
      </c>
      <c r="N244" s="36" t="s">
        <v>12144</v>
      </c>
      <c r="O244" s="36" t="s">
        <v>12145</v>
      </c>
      <c r="P244" s="36" t="s">
        <v>12146</v>
      </c>
      <c r="Q244" s="36" t="s">
        <v>12147</v>
      </c>
      <c r="R244" s="36" t="s">
        <v>9040</v>
      </c>
      <c r="S244" s="36" t="s">
        <v>12148</v>
      </c>
      <c r="T244" s="36">
        <v>3</v>
      </c>
      <c r="U244" s="36">
        <v>3</v>
      </c>
      <c r="V244" s="36">
        <v>2</v>
      </c>
      <c r="W244" s="36">
        <v>2</v>
      </c>
      <c r="X244" s="36">
        <v>1</v>
      </c>
      <c r="Y244" s="36">
        <v>1</v>
      </c>
      <c r="Z244" s="36" t="s">
        <v>4273</v>
      </c>
      <c r="AA244" s="36" t="s">
        <v>4306</v>
      </c>
      <c r="AB244" s="36" t="s">
        <v>4281</v>
      </c>
      <c r="AC244" s="36" t="s">
        <v>4282</v>
      </c>
      <c r="AD244" s="36" t="s">
        <v>7773</v>
      </c>
    </row>
    <row r="245" spans="1:30" ht="72">
      <c r="A245" s="36" t="s">
        <v>4314</v>
      </c>
      <c r="B245" s="36" t="s">
        <v>84</v>
      </c>
      <c r="C245" s="36" t="s">
        <v>1378</v>
      </c>
      <c r="D245" s="36" t="s">
        <v>193</v>
      </c>
      <c r="E245" s="36" t="s">
        <v>4315</v>
      </c>
      <c r="F245" s="36" t="s">
        <v>12149</v>
      </c>
      <c r="G245" s="36" t="s">
        <v>12150</v>
      </c>
      <c r="H245" s="36" t="s">
        <v>12151</v>
      </c>
      <c r="I245" s="36" t="s">
        <v>12152</v>
      </c>
      <c r="J245" s="36" t="s">
        <v>12153</v>
      </c>
      <c r="K245" s="36" t="s">
        <v>12154</v>
      </c>
      <c r="L245" s="36" t="s">
        <v>12155</v>
      </c>
      <c r="M245" s="36" t="s">
        <v>12156</v>
      </c>
      <c r="N245" s="36" t="s">
        <v>12157</v>
      </c>
      <c r="O245" s="36" t="s">
        <v>12158</v>
      </c>
      <c r="P245" s="36" t="s">
        <v>12159</v>
      </c>
      <c r="Q245" s="36" t="s">
        <v>12160</v>
      </c>
      <c r="R245" s="36" t="s">
        <v>9040</v>
      </c>
      <c r="S245" s="36" t="s">
        <v>12161</v>
      </c>
      <c r="T245" s="36">
        <v>3</v>
      </c>
      <c r="U245" s="36">
        <v>3</v>
      </c>
      <c r="V245" s="36">
        <v>2</v>
      </c>
      <c r="W245" s="36">
        <v>2</v>
      </c>
      <c r="X245" s="36">
        <v>1</v>
      </c>
      <c r="Y245" s="36">
        <v>1</v>
      </c>
      <c r="Z245" s="36" t="s">
        <v>4273</v>
      </c>
      <c r="AA245" s="36" t="s">
        <v>4316</v>
      </c>
      <c r="AB245" s="36" t="s">
        <v>4281</v>
      </c>
      <c r="AC245" s="36" t="s">
        <v>4282</v>
      </c>
      <c r="AD245" s="36" t="s">
        <v>7780</v>
      </c>
    </row>
    <row r="246" spans="1:30" ht="60">
      <c r="A246" s="36" t="s">
        <v>4324</v>
      </c>
      <c r="B246" s="36" t="s">
        <v>84</v>
      </c>
      <c r="C246" s="36" t="s">
        <v>1391</v>
      </c>
      <c r="D246" s="36" t="s">
        <v>193</v>
      </c>
      <c r="E246" s="36" t="s">
        <v>4325</v>
      </c>
      <c r="F246" s="36" t="s">
        <v>12162</v>
      </c>
      <c r="G246" s="36" t="s">
        <v>12163</v>
      </c>
      <c r="H246" s="36" t="s">
        <v>12164</v>
      </c>
      <c r="I246" s="36" t="s">
        <v>12165</v>
      </c>
      <c r="J246" s="36" t="s">
        <v>12166</v>
      </c>
      <c r="K246" s="36" t="s">
        <v>12167</v>
      </c>
      <c r="L246" s="36" t="s">
        <v>12168</v>
      </c>
      <c r="M246" s="36" t="s">
        <v>12169</v>
      </c>
      <c r="N246" s="36" t="s">
        <v>12170</v>
      </c>
      <c r="O246" s="36" t="s">
        <v>12171</v>
      </c>
      <c r="P246" s="36" t="s">
        <v>12172</v>
      </c>
      <c r="Q246" s="36" t="s">
        <v>12173</v>
      </c>
      <c r="R246" s="36" t="s">
        <v>9040</v>
      </c>
      <c r="S246" s="36" t="s">
        <v>12174</v>
      </c>
      <c r="T246" s="36">
        <v>3</v>
      </c>
      <c r="U246" s="36">
        <v>3</v>
      </c>
      <c r="V246" s="36">
        <v>2</v>
      </c>
      <c r="W246" s="36">
        <v>2</v>
      </c>
      <c r="X246" s="36">
        <v>1</v>
      </c>
      <c r="Y246" s="36">
        <v>1</v>
      </c>
      <c r="Z246" s="36" t="s">
        <v>4273</v>
      </c>
      <c r="AA246" s="36" t="s">
        <v>4326</v>
      </c>
      <c r="AB246" s="36" t="s">
        <v>4281</v>
      </c>
      <c r="AC246" s="36" t="s">
        <v>4282</v>
      </c>
      <c r="AD246" s="36" t="s">
        <v>7788</v>
      </c>
    </row>
    <row r="247" spans="1:30" ht="72">
      <c r="A247" s="36" t="s">
        <v>4334</v>
      </c>
      <c r="B247" s="36" t="s">
        <v>84</v>
      </c>
      <c r="C247" s="36" t="s">
        <v>1391</v>
      </c>
      <c r="D247" s="36" t="s">
        <v>193</v>
      </c>
      <c r="E247" s="36" t="s">
        <v>4335</v>
      </c>
      <c r="F247" s="36" t="s">
        <v>12175</v>
      </c>
      <c r="G247" s="36" t="s">
        <v>12176</v>
      </c>
      <c r="H247" s="36" t="s">
        <v>12177</v>
      </c>
      <c r="I247" s="36" t="s">
        <v>12178</v>
      </c>
      <c r="J247" s="36" t="s">
        <v>12179</v>
      </c>
      <c r="K247" s="36" t="s">
        <v>12180</v>
      </c>
      <c r="L247" s="36" t="s">
        <v>12181</v>
      </c>
      <c r="M247" s="36" t="s">
        <v>12182</v>
      </c>
      <c r="N247" s="36" t="s">
        <v>12183</v>
      </c>
      <c r="O247" s="36" t="s">
        <v>12184</v>
      </c>
      <c r="P247" s="36" t="s">
        <v>12185</v>
      </c>
      <c r="Q247" s="36" t="s">
        <v>12186</v>
      </c>
      <c r="R247" s="36" t="s">
        <v>9040</v>
      </c>
      <c r="S247" s="36" t="s">
        <v>12187</v>
      </c>
      <c r="T247" s="36">
        <v>3</v>
      </c>
      <c r="U247" s="36">
        <v>3</v>
      </c>
      <c r="V247" s="36">
        <v>2</v>
      </c>
      <c r="W247" s="36">
        <v>2</v>
      </c>
      <c r="X247" s="36">
        <v>1</v>
      </c>
      <c r="Y247" s="36">
        <v>1</v>
      </c>
      <c r="Z247" s="36" t="s">
        <v>4273</v>
      </c>
      <c r="AA247" s="36" t="s">
        <v>4336</v>
      </c>
      <c r="AB247" s="36" t="s">
        <v>4281</v>
      </c>
      <c r="AC247" s="36" t="s">
        <v>4282</v>
      </c>
      <c r="AD247" s="36" t="s">
        <v>7795</v>
      </c>
    </row>
    <row r="248" spans="1:30" ht="72">
      <c r="A248" s="36" t="s">
        <v>4344</v>
      </c>
      <c r="B248" s="36" t="s">
        <v>84</v>
      </c>
      <c r="C248" s="36" t="s">
        <v>1391</v>
      </c>
      <c r="D248" s="36" t="s">
        <v>193</v>
      </c>
      <c r="E248" s="36" t="s">
        <v>4345</v>
      </c>
      <c r="F248" s="36" t="s">
        <v>12188</v>
      </c>
      <c r="G248" s="36" t="s">
        <v>12189</v>
      </c>
      <c r="H248" s="36" t="s">
        <v>12190</v>
      </c>
      <c r="I248" s="36" t="s">
        <v>12191</v>
      </c>
      <c r="J248" s="36" t="s">
        <v>12192</v>
      </c>
      <c r="K248" s="36" t="s">
        <v>12193</v>
      </c>
      <c r="L248" s="36" t="s">
        <v>12194</v>
      </c>
      <c r="M248" s="36" t="s">
        <v>12195</v>
      </c>
      <c r="N248" s="36" t="s">
        <v>12196</v>
      </c>
      <c r="O248" s="36" t="s">
        <v>12197</v>
      </c>
      <c r="P248" s="36" t="s">
        <v>12198</v>
      </c>
      <c r="Q248" s="36" t="s">
        <v>12199</v>
      </c>
      <c r="R248" s="36" t="s">
        <v>9040</v>
      </c>
      <c r="S248" s="36" t="s">
        <v>12200</v>
      </c>
      <c r="T248" s="36">
        <v>3</v>
      </c>
      <c r="U248" s="36">
        <v>3</v>
      </c>
      <c r="V248" s="36">
        <v>2</v>
      </c>
      <c r="W248" s="36">
        <v>2</v>
      </c>
      <c r="X248" s="36">
        <v>1</v>
      </c>
      <c r="Y248" s="36">
        <v>1</v>
      </c>
      <c r="Z248" s="36" t="s">
        <v>4273</v>
      </c>
      <c r="AA248" s="36" t="s">
        <v>4346</v>
      </c>
      <c r="AB248" s="36" t="s">
        <v>4281</v>
      </c>
      <c r="AC248" s="36" t="s">
        <v>4282</v>
      </c>
      <c r="AD248" s="36" t="s">
        <v>7802</v>
      </c>
    </row>
    <row r="249" spans="1:30" ht="72">
      <c r="A249" s="36" t="s">
        <v>4354</v>
      </c>
      <c r="B249" s="36" t="s">
        <v>84</v>
      </c>
      <c r="C249" s="36" t="s">
        <v>1391</v>
      </c>
      <c r="D249" s="36" t="s">
        <v>193</v>
      </c>
      <c r="E249" s="36" t="s">
        <v>4355</v>
      </c>
      <c r="F249" s="36" t="s">
        <v>12201</v>
      </c>
      <c r="G249" s="36" t="s">
        <v>12202</v>
      </c>
      <c r="H249" s="36" t="s">
        <v>12203</v>
      </c>
      <c r="I249" s="36" t="s">
        <v>12204</v>
      </c>
      <c r="J249" s="36" t="s">
        <v>12205</v>
      </c>
      <c r="K249" s="36" t="s">
        <v>12206</v>
      </c>
      <c r="L249" s="36" t="s">
        <v>12207</v>
      </c>
      <c r="M249" s="36" t="s">
        <v>12208</v>
      </c>
      <c r="N249" s="36" t="s">
        <v>12209</v>
      </c>
      <c r="O249" s="36" t="s">
        <v>12210</v>
      </c>
      <c r="P249" s="36" t="s">
        <v>12211</v>
      </c>
      <c r="Q249" s="36" t="s">
        <v>12212</v>
      </c>
      <c r="R249" s="36" t="s">
        <v>9040</v>
      </c>
      <c r="S249" s="36" t="s">
        <v>12213</v>
      </c>
      <c r="T249" s="36">
        <v>3</v>
      </c>
      <c r="U249" s="36">
        <v>3</v>
      </c>
      <c r="V249" s="36">
        <v>2</v>
      </c>
      <c r="W249" s="36">
        <v>2</v>
      </c>
      <c r="X249" s="36">
        <v>1</v>
      </c>
      <c r="Y249" s="36">
        <v>1</v>
      </c>
      <c r="Z249" s="36" t="s">
        <v>4273</v>
      </c>
      <c r="AA249" s="36" t="s">
        <v>4356</v>
      </c>
      <c r="AB249" s="36" t="s">
        <v>4281</v>
      </c>
      <c r="AC249" s="36" t="s">
        <v>4282</v>
      </c>
      <c r="AD249" s="36" t="s">
        <v>7809</v>
      </c>
    </row>
    <row r="250" spans="1:30" ht="72">
      <c r="A250" s="36" t="s">
        <v>4364</v>
      </c>
      <c r="B250" s="36" t="s">
        <v>84</v>
      </c>
      <c r="C250" s="36" t="s">
        <v>1391</v>
      </c>
      <c r="D250" s="36" t="s">
        <v>193</v>
      </c>
      <c r="E250" s="36" t="s">
        <v>4365</v>
      </c>
      <c r="F250" s="36" t="s">
        <v>12214</v>
      </c>
      <c r="G250" s="36" t="s">
        <v>12215</v>
      </c>
      <c r="H250" s="36" t="s">
        <v>12216</v>
      </c>
      <c r="I250" s="36" t="s">
        <v>12217</v>
      </c>
      <c r="J250" s="36" t="s">
        <v>12218</v>
      </c>
      <c r="K250" s="36" t="s">
        <v>12219</v>
      </c>
      <c r="L250" s="36" t="s">
        <v>12220</v>
      </c>
      <c r="M250" s="36" t="s">
        <v>12221</v>
      </c>
      <c r="N250" s="36" t="s">
        <v>12222</v>
      </c>
      <c r="O250" s="36" t="s">
        <v>12223</v>
      </c>
      <c r="P250" s="36" t="s">
        <v>12224</v>
      </c>
      <c r="Q250" s="36" t="s">
        <v>12225</v>
      </c>
      <c r="R250" s="36" t="s">
        <v>9040</v>
      </c>
      <c r="S250" s="36" t="s">
        <v>12226</v>
      </c>
      <c r="T250" s="36">
        <v>3</v>
      </c>
      <c r="U250" s="36">
        <v>3</v>
      </c>
      <c r="V250" s="36">
        <v>2</v>
      </c>
      <c r="W250" s="36">
        <v>2</v>
      </c>
      <c r="X250" s="36">
        <v>1</v>
      </c>
      <c r="Y250" s="36">
        <v>1</v>
      </c>
      <c r="Z250" s="36" t="s">
        <v>4273</v>
      </c>
      <c r="AA250" s="36" t="s">
        <v>4366</v>
      </c>
      <c r="AB250" s="36" t="s">
        <v>4281</v>
      </c>
      <c r="AC250" s="36" t="s">
        <v>4282</v>
      </c>
      <c r="AD250" s="36" t="s">
        <v>7816</v>
      </c>
    </row>
    <row r="251" spans="1:30" ht="72">
      <c r="A251" s="36" t="s">
        <v>4374</v>
      </c>
      <c r="B251" s="36" t="s">
        <v>84</v>
      </c>
      <c r="C251" s="36" t="s">
        <v>1399</v>
      </c>
      <c r="D251" s="36" t="s">
        <v>193</v>
      </c>
      <c r="E251" s="36" t="s">
        <v>4375</v>
      </c>
      <c r="F251" s="36" t="s">
        <v>12227</v>
      </c>
      <c r="G251" s="36" t="s">
        <v>12228</v>
      </c>
      <c r="H251" s="36" t="s">
        <v>12229</v>
      </c>
      <c r="I251" s="36" t="s">
        <v>12230</v>
      </c>
      <c r="J251" s="36" t="s">
        <v>12231</v>
      </c>
      <c r="K251" s="36" t="s">
        <v>12232</v>
      </c>
      <c r="L251" s="36" t="s">
        <v>12233</v>
      </c>
      <c r="M251" s="36" t="s">
        <v>12234</v>
      </c>
      <c r="N251" s="36" t="s">
        <v>12235</v>
      </c>
      <c r="O251" s="36" t="s">
        <v>12236</v>
      </c>
      <c r="P251" s="36" t="s">
        <v>12237</v>
      </c>
      <c r="Q251" s="36" t="s">
        <v>12238</v>
      </c>
      <c r="R251" s="36" t="s">
        <v>9040</v>
      </c>
      <c r="S251" s="36" t="s">
        <v>12239</v>
      </c>
      <c r="T251" s="36">
        <v>3</v>
      </c>
      <c r="U251" s="36">
        <v>3</v>
      </c>
      <c r="V251" s="36">
        <v>2</v>
      </c>
      <c r="W251" s="36">
        <v>2</v>
      </c>
      <c r="X251" s="36">
        <v>1</v>
      </c>
      <c r="Y251" s="36">
        <v>1</v>
      </c>
      <c r="Z251" s="36" t="s">
        <v>4273</v>
      </c>
      <c r="AA251" s="36" t="s">
        <v>4376</v>
      </c>
      <c r="AB251" s="36" t="s">
        <v>4281</v>
      </c>
      <c r="AC251" s="36" t="s">
        <v>4282</v>
      </c>
      <c r="AD251" s="36" t="s">
        <v>7824</v>
      </c>
    </row>
    <row r="252" spans="1:30" ht="72">
      <c r="A252" s="36" t="s">
        <v>4384</v>
      </c>
      <c r="B252" s="36" t="s">
        <v>84</v>
      </c>
      <c r="C252" s="36" t="s">
        <v>1399</v>
      </c>
      <c r="D252" s="36" t="s">
        <v>193</v>
      </c>
      <c r="E252" s="36" t="s">
        <v>4385</v>
      </c>
      <c r="F252" s="36" t="s">
        <v>12240</v>
      </c>
      <c r="G252" s="36" t="s">
        <v>12241</v>
      </c>
      <c r="H252" s="36" t="s">
        <v>12242</v>
      </c>
      <c r="I252" s="36" t="s">
        <v>12243</v>
      </c>
      <c r="J252" s="36" t="s">
        <v>12244</v>
      </c>
      <c r="K252" s="36" t="s">
        <v>12245</v>
      </c>
      <c r="L252" s="36" t="s">
        <v>12246</v>
      </c>
      <c r="M252" s="36" t="s">
        <v>12247</v>
      </c>
      <c r="N252" s="36" t="s">
        <v>12248</v>
      </c>
      <c r="O252" s="36" t="s">
        <v>12249</v>
      </c>
      <c r="P252" s="36" t="s">
        <v>12250</v>
      </c>
      <c r="Q252" s="36" t="s">
        <v>12251</v>
      </c>
      <c r="R252" s="36" t="s">
        <v>9040</v>
      </c>
      <c r="S252" s="36" t="s">
        <v>12252</v>
      </c>
      <c r="T252" s="36">
        <v>3</v>
      </c>
      <c r="U252" s="36">
        <v>3</v>
      </c>
      <c r="V252" s="36">
        <v>2</v>
      </c>
      <c r="W252" s="36">
        <v>2</v>
      </c>
      <c r="X252" s="36">
        <v>1</v>
      </c>
      <c r="Y252" s="36">
        <v>1</v>
      </c>
      <c r="Z252" s="36" t="s">
        <v>4273</v>
      </c>
      <c r="AA252" s="36" t="s">
        <v>4386</v>
      </c>
      <c r="AB252" s="36" t="s">
        <v>4281</v>
      </c>
      <c r="AC252" s="36" t="s">
        <v>4282</v>
      </c>
      <c r="AD252" s="36" t="s">
        <v>7831</v>
      </c>
    </row>
    <row r="253" spans="1:30" ht="60">
      <c r="A253" s="36" t="s">
        <v>4394</v>
      </c>
      <c r="B253" s="36" t="s">
        <v>84</v>
      </c>
      <c r="C253" s="36" t="s">
        <v>1399</v>
      </c>
      <c r="D253" s="36" t="s">
        <v>193</v>
      </c>
      <c r="E253" s="36" t="s">
        <v>4395</v>
      </c>
      <c r="F253" s="36" t="s">
        <v>12253</v>
      </c>
      <c r="G253" s="36" t="s">
        <v>12254</v>
      </c>
      <c r="H253" s="36" t="s">
        <v>12255</v>
      </c>
      <c r="I253" s="36" t="s">
        <v>12256</v>
      </c>
      <c r="J253" s="36" t="s">
        <v>12257</v>
      </c>
      <c r="K253" s="36" t="s">
        <v>12258</v>
      </c>
      <c r="L253" s="36" t="s">
        <v>12259</v>
      </c>
      <c r="M253" s="36" t="s">
        <v>12260</v>
      </c>
      <c r="N253" s="36" t="s">
        <v>12261</v>
      </c>
      <c r="O253" s="36" t="s">
        <v>12262</v>
      </c>
      <c r="P253" s="36" t="s">
        <v>12263</v>
      </c>
      <c r="Q253" s="36" t="s">
        <v>12264</v>
      </c>
      <c r="R253" s="36" t="s">
        <v>9040</v>
      </c>
      <c r="S253" s="36" t="s">
        <v>12265</v>
      </c>
      <c r="T253" s="36">
        <v>3</v>
      </c>
      <c r="U253" s="36">
        <v>3</v>
      </c>
      <c r="V253" s="36">
        <v>2</v>
      </c>
      <c r="W253" s="36">
        <v>2</v>
      </c>
      <c r="X253" s="36">
        <v>1</v>
      </c>
      <c r="Y253" s="36">
        <v>1</v>
      </c>
      <c r="Z253" s="36" t="s">
        <v>4273</v>
      </c>
      <c r="AA253" s="36" t="s">
        <v>4396</v>
      </c>
      <c r="AB253" s="36" t="s">
        <v>4281</v>
      </c>
      <c r="AC253" s="36" t="s">
        <v>4282</v>
      </c>
      <c r="AD253" s="36" t="s">
        <v>7838</v>
      </c>
    </row>
    <row r="254" spans="1:30" ht="72">
      <c r="A254" s="36" t="s">
        <v>4404</v>
      </c>
      <c r="B254" s="36" t="s">
        <v>84</v>
      </c>
      <c r="C254" s="36" t="s">
        <v>1399</v>
      </c>
      <c r="D254" s="36" t="s">
        <v>193</v>
      </c>
      <c r="E254" s="36" t="s">
        <v>4405</v>
      </c>
      <c r="F254" s="36" t="s">
        <v>12266</v>
      </c>
      <c r="G254" s="36" t="s">
        <v>12267</v>
      </c>
      <c r="H254" s="36" t="s">
        <v>12268</v>
      </c>
      <c r="I254" s="36" t="s">
        <v>12269</v>
      </c>
      <c r="J254" s="36" t="s">
        <v>12270</v>
      </c>
      <c r="K254" s="36" t="s">
        <v>12271</v>
      </c>
      <c r="L254" s="36" t="s">
        <v>12272</v>
      </c>
      <c r="M254" s="36" t="s">
        <v>12273</v>
      </c>
      <c r="N254" s="36" t="s">
        <v>12274</v>
      </c>
      <c r="O254" s="36" t="s">
        <v>12275</v>
      </c>
      <c r="P254" s="36" t="s">
        <v>12276</v>
      </c>
      <c r="Q254" s="36" t="s">
        <v>12277</v>
      </c>
      <c r="R254" s="36" t="s">
        <v>9040</v>
      </c>
      <c r="S254" s="36" t="s">
        <v>12278</v>
      </c>
      <c r="T254" s="36">
        <v>3</v>
      </c>
      <c r="U254" s="36">
        <v>3</v>
      </c>
      <c r="V254" s="36">
        <v>2</v>
      </c>
      <c r="W254" s="36">
        <v>2</v>
      </c>
      <c r="X254" s="36">
        <v>1</v>
      </c>
      <c r="Y254" s="36">
        <v>1</v>
      </c>
      <c r="Z254" s="36" t="s">
        <v>4273</v>
      </c>
      <c r="AA254" s="36" t="s">
        <v>4406</v>
      </c>
      <c r="AB254" s="36" t="s">
        <v>4281</v>
      </c>
      <c r="AC254" s="36" t="s">
        <v>4282</v>
      </c>
      <c r="AD254" s="36" t="s">
        <v>7845</v>
      </c>
    </row>
    <row r="255" spans="1:30" ht="72">
      <c r="A255" s="36" t="s">
        <v>4414</v>
      </c>
      <c r="B255" s="36" t="s">
        <v>84</v>
      </c>
      <c r="C255" s="36" t="s">
        <v>1399</v>
      </c>
      <c r="D255" s="36" t="s">
        <v>193</v>
      </c>
      <c r="E255" s="36" t="s">
        <v>4415</v>
      </c>
      <c r="F255" s="36" t="s">
        <v>12279</v>
      </c>
      <c r="G255" s="36" t="s">
        <v>12280</v>
      </c>
      <c r="H255" s="36" t="s">
        <v>12281</v>
      </c>
      <c r="I255" s="36" t="s">
        <v>12282</v>
      </c>
      <c r="J255" s="36" t="s">
        <v>12283</v>
      </c>
      <c r="K255" s="36" t="s">
        <v>12284</v>
      </c>
      <c r="L255" s="36" t="s">
        <v>12285</v>
      </c>
      <c r="M255" s="36" t="s">
        <v>12286</v>
      </c>
      <c r="N255" s="36" t="s">
        <v>12287</v>
      </c>
      <c r="O255" s="36" t="s">
        <v>12288</v>
      </c>
      <c r="P255" s="36" t="s">
        <v>12289</v>
      </c>
      <c r="Q255" s="36" t="s">
        <v>12290</v>
      </c>
      <c r="R255" s="36" t="s">
        <v>9040</v>
      </c>
      <c r="S255" s="36" t="s">
        <v>12291</v>
      </c>
      <c r="T255" s="36">
        <v>3</v>
      </c>
      <c r="U255" s="36">
        <v>3</v>
      </c>
      <c r="V255" s="36">
        <v>2</v>
      </c>
      <c r="W255" s="36">
        <v>2</v>
      </c>
      <c r="X255" s="36">
        <v>1</v>
      </c>
      <c r="Y255" s="36">
        <v>1</v>
      </c>
      <c r="Z255" s="36" t="s">
        <v>4273</v>
      </c>
      <c r="AA255" s="36" t="s">
        <v>4416</v>
      </c>
      <c r="AB255" s="36" t="s">
        <v>4281</v>
      </c>
      <c r="AC255" s="36" t="s">
        <v>4282</v>
      </c>
      <c r="AD255" s="36" t="s">
        <v>7852</v>
      </c>
    </row>
    <row r="256" spans="1:30" ht="72">
      <c r="A256" s="36" t="s">
        <v>4424</v>
      </c>
      <c r="B256" s="36" t="s">
        <v>84</v>
      </c>
      <c r="C256" s="36" t="s">
        <v>1399</v>
      </c>
      <c r="D256" s="36" t="s">
        <v>193</v>
      </c>
      <c r="E256" s="36" t="s">
        <v>4425</v>
      </c>
      <c r="F256" s="36" t="s">
        <v>12292</v>
      </c>
      <c r="G256" s="36" t="s">
        <v>12293</v>
      </c>
      <c r="H256" s="36" t="s">
        <v>12294</v>
      </c>
      <c r="I256" s="36" t="s">
        <v>12295</v>
      </c>
      <c r="J256" s="36" t="s">
        <v>12296</v>
      </c>
      <c r="K256" s="36" t="s">
        <v>12297</v>
      </c>
      <c r="L256" s="36" t="s">
        <v>12298</v>
      </c>
      <c r="M256" s="36" t="s">
        <v>12299</v>
      </c>
      <c r="N256" s="36" t="s">
        <v>12300</v>
      </c>
      <c r="O256" s="36" t="s">
        <v>12301</v>
      </c>
      <c r="P256" s="36" t="s">
        <v>12302</v>
      </c>
      <c r="Q256" s="36" t="s">
        <v>12303</v>
      </c>
      <c r="R256" s="36" t="s">
        <v>9040</v>
      </c>
      <c r="S256" s="36" t="s">
        <v>12304</v>
      </c>
      <c r="T256" s="36">
        <v>3</v>
      </c>
      <c r="U256" s="36">
        <v>3</v>
      </c>
      <c r="V256" s="36">
        <v>2</v>
      </c>
      <c r="W256" s="36">
        <v>2</v>
      </c>
      <c r="X256" s="36">
        <v>1</v>
      </c>
      <c r="Y256" s="36">
        <v>1</v>
      </c>
      <c r="Z256" s="36" t="s">
        <v>4273</v>
      </c>
      <c r="AA256" s="36" t="s">
        <v>4426</v>
      </c>
      <c r="AB256" s="36" t="s">
        <v>4281</v>
      </c>
      <c r="AC256" s="36" t="s">
        <v>4282</v>
      </c>
      <c r="AD256" s="36" t="s">
        <v>7859</v>
      </c>
    </row>
    <row r="257" spans="1:30" ht="72">
      <c r="A257" s="36" t="s">
        <v>4434</v>
      </c>
      <c r="B257" s="36" t="s">
        <v>84</v>
      </c>
      <c r="C257" s="36" t="s">
        <v>1407</v>
      </c>
      <c r="D257" s="36" t="s">
        <v>193</v>
      </c>
      <c r="E257" s="36" t="s">
        <v>4435</v>
      </c>
      <c r="F257" s="36" t="s">
        <v>12305</v>
      </c>
      <c r="G257" s="36" t="s">
        <v>12306</v>
      </c>
      <c r="H257" s="36" t="s">
        <v>12307</v>
      </c>
      <c r="I257" s="36" t="s">
        <v>12308</v>
      </c>
      <c r="J257" s="36" t="s">
        <v>12309</v>
      </c>
      <c r="K257" s="36" t="s">
        <v>12310</v>
      </c>
      <c r="L257" s="36" t="s">
        <v>12311</v>
      </c>
      <c r="M257" s="36" t="s">
        <v>12312</v>
      </c>
      <c r="N257" s="36" t="s">
        <v>12313</v>
      </c>
      <c r="O257" s="36" t="s">
        <v>12314</v>
      </c>
      <c r="P257" s="36" t="s">
        <v>12315</v>
      </c>
      <c r="Q257" s="36" t="s">
        <v>12316</v>
      </c>
      <c r="R257" s="36" t="s">
        <v>9040</v>
      </c>
      <c r="S257" s="36" t="s">
        <v>12317</v>
      </c>
      <c r="T257" s="36">
        <v>3</v>
      </c>
      <c r="U257" s="36">
        <v>3</v>
      </c>
      <c r="V257" s="36">
        <v>2</v>
      </c>
      <c r="W257" s="36">
        <v>2</v>
      </c>
      <c r="X257" s="36">
        <v>1</v>
      </c>
      <c r="Y257" s="36">
        <v>1</v>
      </c>
      <c r="Z257" s="36" t="s">
        <v>4273</v>
      </c>
      <c r="AA257" s="36" t="s">
        <v>4436</v>
      </c>
      <c r="AB257" s="36" t="s">
        <v>4281</v>
      </c>
      <c r="AC257" s="36" t="s">
        <v>4282</v>
      </c>
      <c r="AD257" s="36" t="s">
        <v>7867</v>
      </c>
    </row>
    <row r="258" spans="1:30" ht="72">
      <c r="A258" s="36" t="s">
        <v>4444</v>
      </c>
      <c r="B258" s="36" t="s">
        <v>84</v>
      </c>
      <c r="C258" s="36" t="s">
        <v>1407</v>
      </c>
      <c r="D258" s="36" t="s">
        <v>193</v>
      </c>
      <c r="E258" s="36" t="s">
        <v>4445</v>
      </c>
      <c r="F258" s="36" t="s">
        <v>12318</v>
      </c>
      <c r="G258" s="36" t="s">
        <v>12319</v>
      </c>
      <c r="H258" s="36" t="s">
        <v>12320</v>
      </c>
      <c r="I258" s="36" t="s">
        <v>12321</v>
      </c>
      <c r="J258" s="36" t="s">
        <v>12322</v>
      </c>
      <c r="K258" s="36" t="s">
        <v>12323</v>
      </c>
      <c r="L258" s="36" t="s">
        <v>12324</v>
      </c>
      <c r="M258" s="36" t="s">
        <v>12325</v>
      </c>
      <c r="N258" s="36" t="s">
        <v>12326</v>
      </c>
      <c r="O258" s="36" t="s">
        <v>12327</v>
      </c>
      <c r="P258" s="36" t="s">
        <v>12328</v>
      </c>
      <c r="Q258" s="36" t="s">
        <v>12329</v>
      </c>
      <c r="R258" s="36" t="s">
        <v>9040</v>
      </c>
      <c r="S258" s="36" t="s">
        <v>12330</v>
      </c>
      <c r="T258" s="36">
        <v>3</v>
      </c>
      <c r="U258" s="36">
        <v>3</v>
      </c>
      <c r="V258" s="36">
        <v>2</v>
      </c>
      <c r="W258" s="36">
        <v>2</v>
      </c>
      <c r="X258" s="36">
        <v>1</v>
      </c>
      <c r="Y258" s="36">
        <v>1</v>
      </c>
      <c r="Z258" s="36" t="s">
        <v>4273</v>
      </c>
      <c r="AA258" s="36" t="s">
        <v>4446</v>
      </c>
      <c r="AB258" s="36" t="s">
        <v>4281</v>
      </c>
      <c r="AC258" s="36" t="s">
        <v>4282</v>
      </c>
      <c r="AD258" s="36" t="s">
        <v>7874</v>
      </c>
    </row>
    <row r="259" spans="1:30" ht="72">
      <c r="A259" s="36" t="s">
        <v>4454</v>
      </c>
      <c r="B259" s="36" t="s">
        <v>84</v>
      </c>
      <c r="C259" s="36" t="s">
        <v>1407</v>
      </c>
      <c r="D259" s="36" t="s">
        <v>193</v>
      </c>
      <c r="E259" s="36" t="s">
        <v>4455</v>
      </c>
      <c r="F259" s="36" t="s">
        <v>12331</v>
      </c>
      <c r="G259" s="36" t="s">
        <v>12332</v>
      </c>
      <c r="H259" s="36" t="s">
        <v>12333</v>
      </c>
      <c r="I259" s="36" t="s">
        <v>12334</v>
      </c>
      <c r="J259" s="36" t="s">
        <v>12335</v>
      </c>
      <c r="K259" s="36" t="s">
        <v>12336</v>
      </c>
      <c r="L259" s="36" t="s">
        <v>12337</v>
      </c>
      <c r="M259" s="36" t="s">
        <v>12338</v>
      </c>
      <c r="N259" s="36" t="s">
        <v>12339</v>
      </c>
      <c r="O259" s="36" t="s">
        <v>12340</v>
      </c>
      <c r="P259" s="36" t="s">
        <v>12341</v>
      </c>
      <c r="Q259" s="36" t="s">
        <v>12342</v>
      </c>
      <c r="R259" s="36" t="s">
        <v>9040</v>
      </c>
      <c r="S259" s="36" t="s">
        <v>12343</v>
      </c>
      <c r="T259" s="36">
        <v>3</v>
      </c>
      <c r="U259" s="36">
        <v>3</v>
      </c>
      <c r="V259" s="36">
        <v>2</v>
      </c>
      <c r="W259" s="36">
        <v>2</v>
      </c>
      <c r="X259" s="36">
        <v>1</v>
      </c>
      <c r="Y259" s="36">
        <v>1</v>
      </c>
      <c r="Z259" s="36" t="s">
        <v>4273</v>
      </c>
      <c r="AA259" s="36" t="s">
        <v>4456</v>
      </c>
      <c r="AB259" s="36" t="s">
        <v>4281</v>
      </c>
      <c r="AC259" s="36" t="s">
        <v>4282</v>
      </c>
      <c r="AD259" s="36" t="s">
        <v>7881</v>
      </c>
    </row>
    <row r="260" spans="1:30" ht="72">
      <c r="A260" s="36" t="s">
        <v>4464</v>
      </c>
      <c r="B260" s="36" t="s">
        <v>84</v>
      </c>
      <c r="C260" s="36" t="s">
        <v>1407</v>
      </c>
      <c r="D260" s="36" t="s">
        <v>193</v>
      </c>
      <c r="E260" s="36" t="s">
        <v>4465</v>
      </c>
      <c r="F260" s="36" t="s">
        <v>12344</v>
      </c>
      <c r="G260" s="36" t="s">
        <v>12345</v>
      </c>
      <c r="H260" s="36" t="s">
        <v>12346</v>
      </c>
      <c r="I260" s="36" t="s">
        <v>12347</v>
      </c>
      <c r="J260" s="36" t="s">
        <v>12348</v>
      </c>
      <c r="K260" s="36" t="s">
        <v>12349</v>
      </c>
      <c r="L260" s="36" t="s">
        <v>12350</v>
      </c>
      <c r="M260" s="36" t="s">
        <v>12351</v>
      </c>
      <c r="N260" s="36" t="s">
        <v>12352</v>
      </c>
      <c r="O260" s="36" t="s">
        <v>12353</v>
      </c>
      <c r="P260" s="36" t="s">
        <v>12354</v>
      </c>
      <c r="Q260" s="36" t="s">
        <v>12355</v>
      </c>
      <c r="R260" s="36" t="s">
        <v>9040</v>
      </c>
      <c r="S260" s="36" t="s">
        <v>12356</v>
      </c>
      <c r="T260" s="36">
        <v>3</v>
      </c>
      <c r="U260" s="36">
        <v>3</v>
      </c>
      <c r="V260" s="36">
        <v>2</v>
      </c>
      <c r="W260" s="36">
        <v>2</v>
      </c>
      <c r="X260" s="36">
        <v>1</v>
      </c>
      <c r="Y260" s="36">
        <v>1</v>
      </c>
      <c r="Z260" s="36" t="s">
        <v>4273</v>
      </c>
      <c r="AA260" s="36" t="s">
        <v>4466</v>
      </c>
      <c r="AB260" s="36" t="s">
        <v>4281</v>
      </c>
      <c r="AC260" s="36" t="s">
        <v>4282</v>
      </c>
      <c r="AD260" s="36" t="s">
        <v>7888</v>
      </c>
    </row>
    <row r="261" spans="1:30" ht="72">
      <c r="A261" s="36" t="s">
        <v>4474</v>
      </c>
      <c r="B261" s="36" t="s">
        <v>84</v>
      </c>
      <c r="C261" s="36" t="s">
        <v>1407</v>
      </c>
      <c r="D261" s="36" t="s">
        <v>193</v>
      </c>
      <c r="E261" s="36" t="s">
        <v>4475</v>
      </c>
      <c r="F261" s="36" t="s">
        <v>12357</v>
      </c>
      <c r="G261" s="36" t="s">
        <v>12358</v>
      </c>
      <c r="H261" s="36" t="s">
        <v>12359</v>
      </c>
      <c r="I261" s="36" t="s">
        <v>12360</v>
      </c>
      <c r="J261" s="36" t="s">
        <v>12361</v>
      </c>
      <c r="K261" s="36" t="s">
        <v>12362</v>
      </c>
      <c r="L261" s="36" t="s">
        <v>12363</v>
      </c>
      <c r="M261" s="36" t="s">
        <v>12364</v>
      </c>
      <c r="N261" s="36" t="s">
        <v>12365</v>
      </c>
      <c r="O261" s="36" t="s">
        <v>12366</v>
      </c>
      <c r="P261" s="36" t="s">
        <v>12367</v>
      </c>
      <c r="Q261" s="36" t="s">
        <v>12368</v>
      </c>
      <c r="R261" s="36" t="s">
        <v>9040</v>
      </c>
      <c r="S261" s="36" t="s">
        <v>12369</v>
      </c>
      <c r="T261" s="36">
        <v>3</v>
      </c>
      <c r="U261" s="36">
        <v>3</v>
      </c>
      <c r="V261" s="36">
        <v>2</v>
      </c>
      <c r="W261" s="36">
        <v>2</v>
      </c>
      <c r="X261" s="36">
        <v>1</v>
      </c>
      <c r="Y261" s="36">
        <v>1</v>
      </c>
      <c r="Z261" s="36" t="s">
        <v>4273</v>
      </c>
      <c r="AA261" s="36" t="s">
        <v>4476</v>
      </c>
      <c r="AB261" s="36" t="s">
        <v>4281</v>
      </c>
      <c r="AC261" s="36" t="s">
        <v>4282</v>
      </c>
      <c r="AD261" s="36" t="s">
        <v>7895</v>
      </c>
    </row>
    <row r="262" spans="1:30" ht="72">
      <c r="A262" s="36" t="s">
        <v>4486</v>
      </c>
      <c r="B262" s="36" t="s">
        <v>87</v>
      </c>
      <c r="C262" s="36" t="s">
        <v>1415</v>
      </c>
      <c r="D262" s="36" t="s">
        <v>194</v>
      </c>
      <c r="E262" s="36" t="s">
        <v>4487</v>
      </c>
      <c r="F262" s="36" t="s">
        <v>12370</v>
      </c>
      <c r="G262" s="36" t="s">
        <v>12371</v>
      </c>
      <c r="H262" s="36" t="s">
        <v>12372</v>
      </c>
      <c r="I262" s="36" t="s">
        <v>12373</v>
      </c>
      <c r="J262" s="36" t="s">
        <v>12374</v>
      </c>
      <c r="K262" s="36" t="s">
        <v>12375</v>
      </c>
      <c r="L262" s="36" t="s">
        <v>12376</v>
      </c>
      <c r="M262" s="36" t="s">
        <v>12377</v>
      </c>
      <c r="N262" s="36" t="s">
        <v>12378</v>
      </c>
      <c r="O262" s="36" t="s">
        <v>12379</v>
      </c>
      <c r="P262" s="36" t="s">
        <v>12380</v>
      </c>
      <c r="Q262" s="36" t="s">
        <v>12381</v>
      </c>
      <c r="R262" s="36" t="s">
        <v>9040</v>
      </c>
      <c r="S262" s="36" t="s">
        <v>12382</v>
      </c>
      <c r="T262" s="36">
        <v>3</v>
      </c>
      <c r="U262" s="36">
        <v>3</v>
      </c>
      <c r="V262" s="36">
        <v>2</v>
      </c>
      <c r="W262" s="36">
        <v>2</v>
      </c>
      <c r="X262" s="36">
        <v>1</v>
      </c>
      <c r="Y262" s="36">
        <v>1</v>
      </c>
      <c r="Z262" s="36" t="s">
        <v>4489</v>
      </c>
      <c r="AA262" s="36" t="s">
        <v>4490</v>
      </c>
      <c r="AB262" s="36" t="s">
        <v>4497</v>
      </c>
      <c r="AC262" s="36" t="s">
        <v>4498</v>
      </c>
      <c r="AD262" s="36" t="s">
        <v>7903</v>
      </c>
    </row>
    <row r="263" spans="1:30" ht="72">
      <c r="A263" s="36" t="s">
        <v>4500</v>
      </c>
      <c r="B263" s="36" t="s">
        <v>87</v>
      </c>
      <c r="C263" s="36" t="s">
        <v>1415</v>
      </c>
      <c r="D263" s="36" t="s">
        <v>194</v>
      </c>
      <c r="E263" s="36" t="s">
        <v>4501</v>
      </c>
      <c r="F263" s="36" t="s">
        <v>12383</v>
      </c>
      <c r="G263" s="36" t="s">
        <v>12384</v>
      </c>
      <c r="H263" s="36" t="s">
        <v>12385</v>
      </c>
      <c r="I263" s="36" t="s">
        <v>12386</v>
      </c>
      <c r="J263" s="36" t="s">
        <v>12387</v>
      </c>
      <c r="K263" s="36" t="s">
        <v>12388</v>
      </c>
      <c r="L263" s="36" t="s">
        <v>12389</v>
      </c>
      <c r="M263" s="36" t="s">
        <v>12390</v>
      </c>
      <c r="N263" s="36" t="s">
        <v>12391</v>
      </c>
      <c r="O263" s="36" t="s">
        <v>12392</v>
      </c>
      <c r="P263" s="36" t="s">
        <v>12393</v>
      </c>
      <c r="Q263" s="36" t="s">
        <v>12394</v>
      </c>
      <c r="R263" s="36" t="s">
        <v>9040</v>
      </c>
      <c r="S263" s="36" t="s">
        <v>12395</v>
      </c>
      <c r="T263" s="36">
        <v>3</v>
      </c>
      <c r="U263" s="36">
        <v>3</v>
      </c>
      <c r="V263" s="36">
        <v>2</v>
      </c>
      <c r="W263" s="36">
        <v>2</v>
      </c>
      <c r="X263" s="36">
        <v>1</v>
      </c>
      <c r="Y263" s="36">
        <v>1</v>
      </c>
      <c r="Z263" s="36" t="s">
        <v>4489</v>
      </c>
      <c r="AA263" s="36" t="s">
        <v>4502</v>
      </c>
      <c r="AB263" s="36" t="s">
        <v>4497</v>
      </c>
      <c r="AC263" s="36" t="s">
        <v>4498</v>
      </c>
      <c r="AD263" s="36" t="s">
        <v>7910</v>
      </c>
    </row>
    <row r="264" spans="1:30" ht="72">
      <c r="A264" s="36" t="s">
        <v>4510</v>
      </c>
      <c r="B264" s="36" t="s">
        <v>87</v>
      </c>
      <c r="C264" s="36" t="s">
        <v>1415</v>
      </c>
      <c r="D264" s="36" t="s">
        <v>194</v>
      </c>
      <c r="E264" s="36" t="s">
        <v>4511</v>
      </c>
      <c r="F264" s="36" t="s">
        <v>12396</v>
      </c>
      <c r="G264" s="36" t="s">
        <v>12397</v>
      </c>
      <c r="H264" s="36" t="s">
        <v>12398</v>
      </c>
      <c r="I264" s="36" t="s">
        <v>12399</v>
      </c>
      <c r="J264" s="36" t="s">
        <v>12400</v>
      </c>
      <c r="K264" s="36" t="s">
        <v>12401</v>
      </c>
      <c r="L264" s="36" t="s">
        <v>12402</v>
      </c>
      <c r="M264" s="36" t="s">
        <v>12403</v>
      </c>
      <c r="N264" s="36" t="s">
        <v>12404</v>
      </c>
      <c r="O264" s="36" t="s">
        <v>12405</v>
      </c>
      <c r="P264" s="36" t="s">
        <v>12406</v>
      </c>
      <c r="Q264" s="36" t="s">
        <v>12407</v>
      </c>
      <c r="R264" s="36" t="s">
        <v>9040</v>
      </c>
      <c r="S264" s="36" t="s">
        <v>12408</v>
      </c>
      <c r="T264" s="36">
        <v>3</v>
      </c>
      <c r="U264" s="36">
        <v>3</v>
      </c>
      <c r="V264" s="36">
        <v>2</v>
      </c>
      <c r="W264" s="36">
        <v>2</v>
      </c>
      <c r="X264" s="36">
        <v>1</v>
      </c>
      <c r="Y264" s="36">
        <v>1</v>
      </c>
      <c r="Z264" s="36" t="s">
        <v>4489</v>
      </c>
      <c r="AA264" s="36" t="s">
        <v>4512</v>
      </c>
      <c r="AB264" s="36" t="s">
        <v>4497</v>
      </c>
      <c r="AC264" s="36" t="s">
        <v>4498</v>
      </c>
      <c r="AD264" s="36" t="s">
        <v>7917</v>
      </c>
    </row>
    <row r="265" spans="1:30" ht="72">
      <c r="A265" s="36" t="s">
        <v>4520</v>
      </c>
      <c r="B265" s="36" t="s">
        <v>87</v>
      </c>
      <c r="C265" s="36" t="s">
        <v>1415</v>
      </c>
      <c r="D265" s="36" t="s">
        <v>194</v>
      </c>
      <c r="E265" s="36" t="s">
        <v>4521</v>
      </c>
      <c r="F265" s="36" t="s">
        <v>12409</v>
      </c>
      <c r="G265" s="36" t="s">
        <v>12410</v>
      </c>
      <c r="H265" s="36" t="s">
        <v>12411</v>
      </c>
      <c r="I265" s="36" t="s">
        <v>12412</v>
      </c>
      <c r="J265" s="36" t="s">
        <v>12413</v>
      </c>
      <c r="K265" s="36" t="s">
        <v>12414</v>
      </c>
      <c r="L265" s="36" t="s">
        <v>12415</v>
      </c>
      <c r="M265" s="36" t="s">
        <v>12416</v>
      </c>
      <c r="N265" s="36" t="s">
        <v>12417</v>
      </c>
      <c r="O265" s="36" t="s">
        <v>12418</v>
      </c>
      <c r="P265" s="36" t="s">
        <v>12419</v>
      </c>
      <c r="Q265" s="36" t="s">
        <v>12420</v>
      </c>
      <c r="R265" s="36" t="s">
        <v>9040</v>
      </c>
      <c r="S265" s="36" t="s">
        <v>12421</v>
      </c>
      <c r="T265" s="36">
        <v>3</v>
      </c>
      <c r="U265" s="36">
        <v>3</v>
      </c>
      <c r="V265" s="36">
        <v>2</v>
      </c>
      <c r="W265" s="36">
        <v>2</v>
      </c>
      <c r="X265" s="36">
        <v>1</v>
      </c>
      <c r="Y265" s="36">
        <v>1</v>
      </c>
      <c r="Z265" s="36" t="s">
        <v>4489</v>
      </c>
      <c r="AA265" s="36" t="s">
        <v>4522</v>
      </c>
      <c r="AB265" s="36" t="s">
        <v>4497</v>
      </c>
      <c r="AC265" s="36" t="s">
        <v>4498</v>
      </c>
      <c r="AD265" s="36" t="s">
        <v>7924</v>
      </c>
    </row>
    <row r="266" spans="1:30" ht="60">
      <c r="A266" s="36" t="s">
        <v>4530</v>
      </c>
      <c r="B266" s="36" t="s">
        <v>87</v>
      </c>
      <c r="C266" s="36" t="s">
        <v>1415</v>
      </c>
      <c r="D266" s="36" t="s">
        <v>194</v>
      </c>
      <c r="E266" s="36" t="s">
        <v>4531</v>
      </c>
      <c r="F266" s="36" t="s">
        <v>12422</v>
      </c>
      <c r="G266" s="36" t="s">
        <v>12423</v>
      </c>
      <c r="H266" s="36" t="s">
        <v>12424</v>
      </c>
      <c r="I266" s="36" t="s">
        <v>12425</v>
      </c>
      <c r="J266" s="36" t="s">
        <v>12426</v>
      </c>
      <c r="K266" s="36" t="s">
        <v>12427</v>
      </c>
      <c r="L266" s="36" t="s">
        <v>12428</v>
      </c>
      <c r="M266" s="36" t="s">
        <v>12429</v>
      </c>
      <c r="N266" s="36" t="s">
        <v>12430</v>
      </c>
      <c r="O266" s="36" t="s">
        <v>12431</v>
      </c>
      <c r="P266" s="36" t="s">
        <v>12432</v>
      </c>
      <c r="Q266" s="36" t="s">
        <v>12433</v>
      </c>
      <c r="R266" s="36" t="s">
        <v>9040</v>
      </c>
      <c r="S266" s="36" t="s">
        <v>12434</v>
      </c>
      <c r="T266" s="36">
        <v>3</v>
      </c>
      <c r="U266" s="36">
        <v>3</v>
      </c>
      <c r="V266" s="36">
        <v>2</v>
      </c>
      <c r="W266" s="36">
        <v>2</v>
      </c>
      <c r="X266" s="36">
        <v>1</v>
      </c>
      <c r="Y266" s="36">
        <v>1</v>
      </c>
      <c r="Z266" s="36" t="s">
        <v>4489</v>
      </c>
      <c r="AA266" s="36" t="s">
        <v>4532</v>
      </c>
      <c r="AB266" s="36" t="s">
        <v>4497</v>
      </c>
      <c r="AC266" s="36" t="s">
        <v>4498</v>
      </c>
      <c r="AD266" s="36" t="s">
        <v>7931</v>
      </c>
    </row>
    <row r="267" spans="1:30" ht="72">
      <c r="A267" s="36" t="s">
        <v>4540</v>
      </c>
      <c r="B267" s="36" t="s">
        <v>87</v>
      </c>
      <c r="C267" s="36" t="s">
        <v>1425</v>
      </c>
      <c r="D267" s="36" t="s">
        <v>194</v>
      </c>
      <c r="E267" s="36" t="s">
        <v>4541</v>
      </c>
      <c r="F267" s="36" t="s">
        <v>12435</v>
      </c>
      <c r="G267" s="36" t="s">
        <v>12436</v>
      </c>
      <c r="H267" s="36" t="s">
        <v>12437</v>
      </c>
      <c r="I267" s="36" t="s">
        <v>12438</v>
      </c>
      <c r="J267" s="36" t="s">
        <v>12439</v>
      </c>
      <c r="K267" s="36" t="s">
        <v>12440</v>
      </c>
      <c r="L267" s="36" t="s">
        <v>12441</v>
      </c>
      <c r="M267" s="36" t="s">
        <v>12442</v>
      </c>
      <c r="N267" s="36" t="s">
        <v>12443</v>
      </c>
      <c r="O267" s="36" t="s">
        <v>12444</v>
      </c>
      <c r="P267" s="36" t="s">
        <v>12445</v>
      </c>
      <c r="Q267" s="36" t="s">
        <v>12446</v>
      </c>
      <c r="R267" s="36" t="s">
        <v>9040</v>
      </c>
      <c r="S267" s="36" t="s">
        <v>12447</v>
      </c>
      <c r="T267" s="36">
        <v>3</v>
      </c>
      <c r="U267" s="36">
        <v>3</v>
      </c>
      <c r="V267" s="36">
        <v>2</v>
      </c>
      <c r="W267" s="36">
        <v>2</v>
      </c>
      <c r="X267" s="36">
        <v>1</v>
      </c>
      <c r="Y267" s="36">
        <v>1</v>
      </c>
      <c r="Z267" s="36" t="s">
        <v>4489</v>
      </c>
      <c r="AA267" s="36" t="s">
        <v>4542</v>
      </c>
      <c r="AB267" s="36" t="s">
        <v>4497</v>
      </c>
      <c r="AC267" s="36" t="s">
        <v>4498</v>
      </c>
      <c r="AD267" s="36" t="s">
        <v>7939</v>
      </c>
    </row>
    <row r="268" spans="1:30" ht="60">
      <c r="A268" s="36" t="s">
        <v>4550</v>
      </c>
      <c r="B268" s="36" t="s">
        <v>87</v>
      </c>
      <c r="C268" s="36" t="s">
        <v>1425</v>
      </c>
      <c r="D268" s="36" t="s">
        <v>194</v>
      </c>
      <c r="E268" s="36" t="s">
        <v>4551</v>
      </c>
      <c r="F268" s="36" t="s">
        <v>12448</v>
      </c>
      <c r="G268" s="36" t="s">
        <v>12449</v>
      </c>
      <c r="H268" s="36" t="s">
        <v>12450</v>
      </c>
      <c r="I268" s="36" t="s">
        <v>12451</v>
      </c>
      <c r="J268" s="36" t="s">
        <v>12452</v>
      </c>
      <c r="K268" s="36" t="s">
        <v>12453</v>
      </c>
      <c r="L268" s="36" t="s">
        <v>12454</v>
      </c>
      <c r="M268" s="36" t="s">
        <v>12455</v>
      </c>
      <c r="N268" s="36" t="s">
        <v>12456</v>
      </c>
      <c r="O268" s="36" t="s">
        <v>12457</v>
      </c>
      <c r="P268" s="36" t="s">
        <v>12458</v>
      </c>
      <c r="Q268" s="36" t="s">
        <v>12459</v>
      </c>
      <c r="R268" s="36" t="s">
        <v>9040</v>
      </c>
      <c r="S268" s="36" t="s">
        <v>12460</v>
      </c>
      <c r="T268" s="36">
        <v>3</v>
      </c>
      <c r="U268" s="36">
        <v>3</v>
      </c>
      <c r="V268" s="36">
        <v>2</v>
      </c>
      <c r="W268" s="36">
        <v>2</v>
      </c>
      <c r="X268" s="36">
        <v>1</v>
      </c>
      <c r="Y268" s="36">
        <v>1</v>
      </c>
      <c r="Z268" s="36" t="s">
        <v>4489</v>
      </c>
      <c r="AA268" s="36" t="s">
        <v>4552</v>
      </c>
      <c r="AB268" s="36" t="s">
        <v>4497</v>
      </c>
      <c r="AC268" s="36" t="s">
        <v>4498</v>
      </c>
      <c r="AD268" s="36" t="s">
        <v>7946</v>
      </c>
    </row>
    <row r="269" spans="1:30" ht="60">
      <c r="A269" s="36" t="s">
        <v>4560</v>
      </c>
      <c r="B269" s="36" t="s">
        <v>87</v>
      </c>
      <c r="C269" s="36" t="s">
        <v>1425</v>
      </c>
      <c r="D269" s="36" t="s">
        <v>194</v>
      </c>
      <c r="E269" s="36" t="s">
        <v>4561</v>
      </c>
      <c r="F269" s="36" t="s">
        <v>12461</v>
      </c>
      <c r="G269" s="36" t="s">
        <v>12462</v>
      </c>
      <c r="H269" s="36" t="s">
        <v>12463</v>
      </c>
      <c r="I269" s="36" t="s">
        <v>12464</v>
      </c>
      <c r="J269" s="36" t="s">
        <v>12465</v>
      </c>
      <c r="K269" s="36" t="s">
        <v>12466</v>
      </c>
      <c r="L269" s="36" t="s">
        <v>12467</v>
      </c>
      <c r="M269" s="36" t="s">
        <v>12468</v>
      </c>
      <c r="N269" s="36" t="s">
        <v>12469</v>
      </c>
      <c r="O269" s="36" t="s">
        <v>12470</v>
      </c>
      <c r="P269" s="36" t="s">
        <v>12471</v>
      </c>
      <c r="Q269" s="36" t="s">
        <v>12472</v>
      </c>
      <c r="R269" s="36" t="s">
        <v>9040</v>
      </c>
      <c r="S269" s="36" t="s">
        <v>12473</v>
      </c>
      <c r="T269" s="36">
        <v>3</v>
      </c>
      <c r="U269" s="36">
        <v>3</v>
      </c>
      <c r="V269" s="36">
        <v>2</v>
      </c>
      <c r="W269" s="36">
        <v>2</v>
      </c>
      <c r="X269" s="36">
        <v>1</v>
      </c>
      <c r="Y269" s="36">
        <v>1</v>
      </c>
      <c r="Z269" s="36" t="s">
        <v>4489</v>
      </c>
      <c r="AA269" s="36" t="s">
        <v>4562</v>
      </c>
      <c r="AB269" s="36" t="s">
        <v>4497</v>
      </c>
      <c r="AC269" s="36" t="s">
        <v>4498</v>
      </c>
      <c r="AD269" s="36" t="s">
        <v>7953</v>
      </c>
    </row>
    <row r="270" spans="1:30" ht="60">
      <c r="A270" s="36" t="s">
        <v>4570</v>
      </c>
      <c r="B270" s="36" t="s">
        <v>87</v>
      </c>
      <c r="C270" s="36" t="s">
        <v>1425</v>
      </c>
      <c r="D270" s="36" t="s">
        <v>194</v>
      </c>
      <c r="E270" s="36" t="s">
        <v>4571</v>
      </c>
      <c r="F270" s="36" t="s">
        <v>12474</v>
      </c>
      <c r="G270" s="36" t="s">
        <v>12475</v>
      </c>
      <c r="H270" s="36" t="s">
        <v>12476</v>
      </c>
      <c r="I270" s="36" t="s">
        <v>12477</v>
      </c>
      <c r="J270" s="36" t="s">
        <v>12478</v>
      </c>
      <c r="K270" s="36" t="s">
        <v>12479</v>
      </c>
      <c r="L270" s="36" t="s">
        <v>12480</v>
      </c>
      <c r="M270" s="36" t="s">
        <v>12481</v>
      </c>
      <c r="N270" s="36" t="s">
        <v>12482</v>
      </c>
      <c r="O270" s="36" t="s">
        <v>12483</v>
      </c>
      <c r="P270" s="36" t="s">
        <v>12484</v>
      </c>
      <c r="Q270" s="36" t="s">
        <v>12485</v>
      </c>
      <c r="R270" s="36" t="s">
        <v>9040</v>
      </c>
      <c r="S270" s="36" t="s">
        <v>12486</v>
      </c>
      <c r="T270" s="36">
        <v>3</v>
      </c>
      <c r="U270" s="36">
        <v>3</v>
      </c>
      <c r="V270" s="36">
        <v>2</v>
      </c>
      <c r="W270" s="36">
        <v>2</v>
      </c>
      <c r="X270" s="36">
        <v>1</v>
      </c>
      <c r="Y270" s="36">
        <v>1</v>
      </c>
      <c r="Z270" s="36" t="s">
        <v>4489</v>
      </c>
      <c r="AA270" s="36" t="s">
        <v>4572</v>
      </c>
      <c r="AB270" s="36" t="s">
        <v>4497</v>
      </c>
      <c r="AC270" s="36" t="s">
        <v>4498</v>
      </c>
      <c r="AD270" s="36" t="s">
        <v>7960</v>
      </c>
    </row>
    <row r="271" spans="1:30" ht="72">
      <c r="A271" s="36" t="s">
        <v>4580</v>
      </c>
      <c r="B271" s="36" t="s">
        <v>87</v>
      </c>
      <c r="C271" s="36" t="s">
        <v>1425</v>
      </c>
      <c r="D271" s="36" t="s">
        <v>194</v>
      </c>
      <c r="E271" s="36" t="s">
        <v>4581</v>
      </c>
      <c r="F271" s="36" t="s">
        <v>12487</v>
      </c>
      <c r="G271" s="36" t="s">
        <v>12488</v>
      </c>
      <c r="H271" s="36" t="s">
        <v>12489</v>
      </c>
      <c r="I271" s="36" t="s">
        <v>12490</v>
      </c>
      <c r="J271" s="36" t="s">
        <v>12491</v>
      </c>
      <c r="K271" s="36" t="s">
        <v>12492</v>
      </c>
      <c r="L271" s="36" t="s">
        <v>12493</v>
      </c>
      <c r="M271" s="36" t="s">
        <v>12494</v>
      </c>
      <c r="N271" s="36" t="s">
        <v>12495</v>
      </c>
      <c r="O271" s="36" t="s">
        <v>12496</v>
      </c>
      <c r="P271" s="36" t="s">
        <v>12497</v>
      </c>
      <c r="Q271" s="36" t="s">
        <v>12498</v>
      </c>
      <c r="R271" s="36" t="s">
        <v>9040</v>
      </c>
      <c r="S271" s="36" t="s">
        <v>12499</v>
      </c>
      <c r="T271" s="36">
        <v>3</v>
      </c>
      <c r="U271" s="36">
        <v>3</v>
      </c>
      <c r="V271" s="36">
        <v>2</v>
      </c>
      <c r="W271" s="36">
        <v>2</v>
      </c>
      <c r="X271" s="36">
        <v>1</v>
      </c>
      <c r="Y271" s="36">
        <v>1</v>
      </c>
      <c r="Z271" s="36" t="s">
        <v>4489</v>
      </c>
      <c r="AA271" s="36" t="s">
        <v>4582</v>
      </c>
      <c r="AB271" s="36" t="s">
        <v>4497</v>
      </c>
      <c r="AC271" s="36" t="s">
        <v>4498</v>
      </c>
      <c r="AD271" s="36" t="s">
        <v>7967</v>
      </c>
    </row>
    <row r="272" spans="1:30" ht="72">
      <c r="A272" s="36" t="s">
        <v>4590</v>
      </c>
      <c r="B272" s="36" t="s">
        <v>87</v>
      </c>
      <c r="C272" s="36" t="s">
        <v>1425</v>
      </c>
      <c r="D272" s="36" t="s">
        <v>194</v>
      </c>
      <c r="E272" s="36" t="s">
        <v>4591</v>
      </c>
      <c r="F272" s="36" t="s">
        <v>12500</v>
      </c>
      <c r="G272" s="36" t="s">
        <v>12501</v>
      </c>
      <c r="H272" s="36" t="s">
        <v>12502</v>
      </c>
      <c r="I272" s="36" t="s">
        <v>12503</v>
      </c>
      <c r="J272" s="36" t="s">
        <v>12504</v>
      </c>
      <c r="K272" s="36" t="s">
        <v>12505</v>
      </c>
      <c r="L272" s="36" t="s">
        <v>12506</v>
      </c>
      <c r="M272" s="36" t="s">
        <v>12507</v>
      </c>
      <c r="N272" s="36" t="s">
        <v>12508</v>
      </c>
      <c r="O272" s="36" t="s">
        <v>12509</v>
      </c>
      <c r="P272" s="36" t="s">
        <v>12510</v>
      </c>
      <c r="Q272" s="36" t="s">
        <v>12511</v>
      </c>
      <c r="R272" s="36" t="s">
        <v>9040</v>
      </c>
      <c r="S272" s="36" t="s">
        <v>12512</v>
      </c>
      <c r="T272" s="36">
        <v>3</v>
      </c>
      <c r="U272" s="36">
        <v>3</v>
      </c>
      <c r="V272" s="36">
        <v>2</v>
      </c>
      <c r="W272" s="36">
        <v>2</v>
      </c>
      <c r="X272" s="36">
        <v>1</v>
      </c>
      <c r="Y272" s="36">
        <v>1</v>
      </c>
      <c r="Z272" s="36" t="s">
        <v>4489</v>
      </c>
      <c r="AA272" s="36" t="s">
        <v>4592</v>
      </c>
      <c r="AB272" s="36" t="s">
        <v>4497</v>
      </c>
      <c r="AC272" s="36" t="s">
        <v>4498</v>
      </c>
      <c r="AD272" s="36" t="s">
        <v>7974</v>
      </c>
    </row>
    <row r="273" spans="1:30" ht="72">
      <c r="A273" s="36" t="s">
        <v>4600</v>
      </c>
      <c r="B273" s="36" t="s">
        <v>87</v>
      </c>
      <c r="C273" s="36" t="s">
        <v>1433</v>
      </c>
      <c r="D273" s="36" t="s">
        <v>194</v>
      </c>
      <c r="E273" s="36" t="s">
        <v>4601</v>
      </c>
      <c r="F273" s="36" t="s">
        <v>12513</v>
      </c>
      <c r="G273" s="36" t="s">
        <v>12514</v>
      </c>
      <c r="H273" s="36" t="s">
        <v>12515</v>
      </c>
      <c r="I273" s="36" t="s">
        <v>12516</v>
      </c>
      <c r="J273" s="36" t="s">
        <v>12517</v>
      </c>
      <c r="K273" s="36" t="s">
        <v>12518</v>
      </c>
      <c r="L273" s="36" t="s">
        <v>12519</v>
      </c>
      <c r="M273" s="36" t="s">
        <v>12520</v>
      </c>
      <c r="N273" s="36" t="s">
        <v>12521</v>
      </c>
      <c r="O273" s="36" t="s">
        <v>12522</v>
      </c>
      <c r="P273" s="36" t="s">
        <v>12523</v>
      </c>
      <c r="Q273" s="36" t="s">
        <v>12524</v>
      </c>
      <c r="R273" s="36" t="s">
        <v>9040</v>
      </c>
      <c r="S273" s="36" t="s">
        <v>12525</v>
      </c>
      <c r="T273" s="36">
        <v>3</v>
      </c>
      <c r="U273" s="36">
        <v>3</v>
      </c>
      <c r="V273" s="36">
        <v>2</v>
      </c>
      <c r="W273" s="36">
        <v>2</v>
      </c>
      <c r="X273" s="36">
        <v>1</v>
      </c>
      <c r="Y273" s="36">
        <v>1</v>
      </c>
      <c r="Z273" s="36" t="s">
        <v>4489</v>
      </c>
      <c r="AA273" s="36" t="s">
        <v>4602</v>
      </c>
      <c r="AB273" s="36" t="s">
        <v>4497</v>
      </c>
      <c r="AC273" s="36" t="s">
        <v>4498</v>
      </c>
      <c r="AD273" s="36" t="s">
        <v>7982</v>
      </c>
    </row>
    <row r="274" spans="1:30" ht="72">
      <c r="A274" s="36" t="s">
        <v>4610</v>
      </c>
      <c r="B274" s="36" t="s">
        <v>87</v>
      </c>
      <c r="C274" s="36" t="s">
        <v>1433</v>
      </c>
      <c r="D274" s="36" t="s">
        <v>194</v>
      </c>
      <c r="E274" s="36" t="s">
        <v>4611</v>
      </c>
      <c r="F274" s="36" t="s">
        <v>12526</v>
      </c>
      <c r="G274" s="36" t="s">
        <v>12527</v>
      </c>
      <c r="H274" s="36" t="s">
        <v>12528</v>
      </c>
      <c r="I274" s="36" t="s">
        <v>12529</v>
      </c>
      <c r="J274" s="36" t="s">
        <v>12530</v>
      </c>
      <c r="K274" s="36" t="s">
        <v>12531</v>
      </c>
      <c r="L274" s="36" t="s">
        <v>12532</v>
      </c>
      <c r="M274" s="36" t="s">
        <v>12533</v>
      </c>
      <c r="N274" s="36" t="s">
        <v>12534</v>
      </c>
      <c r="O274" s="36" t="s">
        <v>12535</v>
      </c>
      <c r="P274" s="36" t="s">
        <v>12536</v>
      </c>
      <c r="Q274" s="36" t="s">
        <v>12537</v>
      </c>
      <c r="R274" s="36" t="s">
        <v>9040</v>
      </c>
      <c r="S274" s="36" t="s">
        <v>12538</v>
      </c>
      <c r="T274" s="36">
        <v>3</v>
      </c>
      <c r="U274" s="36">
        <v>3</v>
      </c>
      <c r="V274" s="36">
        <v>2</v>
      </c>
      <c r="W274" s="36">
        <v>2</v>
      </c>
      <c r="X274" s="36">
        <v>1</v>
      </c>
      <c r="Y274" s="36">
        <v>1</v>
      </c>
      <c r="Z274" s="36" t="s">
        <v>4489</v>
      </c>
      <c r="AA274" s="36" t="s">
        <v>4612</v>
      </c>
      <c r="AB274" s="36" t="s">
        <v>4497</v>
      </c>
      <c r="AC274" s="36" t="s">
        <v>4498</v>
      </c>
      <c r="AD274" s="36" t="s">
        <v>7989</v>
      </c>
    </row>
    <row r="275" spans="1:30" ht="72">
      <c r="A275" s="36" t="s">
        <v>4620</v>
      </c>
      <c r="B275" s="36" t="s">
        <v>87</v>
      </c>
      <c r="C275" s="36" t="s">
        <v>1433</v>
      </c>
      <c r="D275" s="36" t="s">
        <v>194</v>
      </c>
      <c r="E275" s="36" t="s">
        <v>4621</v>
      </c>
      <c r="F275" s="36" t="s">
        <v>12539</v>
      </c>
      <c r="G275" s="36" t="s">
        <v>12540</v>
      </c>
      <c r="H275" s="36" t="s">
        <v>12541</v>
      </c>
      <c r="I275" s="36" t="s">
        <v>12542</v>
      </c>
      <c r="J275" s="36" t="s">
        <v>12543</v>
      </c>
      <c r="K275" s="36" t="s">
        <v>12544</v>
      </c>
      <c r="L275" s="36" t="s">
        <v>12545</v>
      </c>
      <c r="M275" s="36" t="s">
        <v>12546</v>
      </c>
      <c r="N275" s="36" t="s">
        <v>12547</v>
      </c>
      <c r="O275" s="36" t="s">
        <v>12548</v>
      </c>
      <c r="P275" s="36" t="s">
        <v>12549</v>
      </c>
      <c r="Q275" s="36" t="s">
        <v>12550</v>
      </c>
      <c r="R275" s="36" t="s">
        <v>9040</v>
      </c>
      <c r="S275" s="36" t="s">
        <v>12551</v>
      </c>
      <c r="T275" s="36">
        <v>3</v>
      </c>
      <c r="U275" s="36">
        <v>3</v>
      </c>
      <c r="V275" s="36">
        <v>2</v>
      </c>
      <c r="W275" s="36">
        <v>2</v>
      </c>
      <c r="X275" s="36">
        <v>1</v>
      </c>
      <c r="Y275" s="36">
        <v>1</v>
      </c>
      <c r="Z275" s="36" t="s">
        <v>4489</v>
      </c>
      <c r="AA275" s="36" t="s">
        <v>4622</v>
      </c>
      <c r="AB275" s="36" t="s">
        <v>4497</v>
      </c>
      <c r="AC275" s="36" t="s">
        <v>4498</v>
      </c>
      <c r="AD275" s="36" t="s">
        <v>7996</v>
      </c>
    </row>
    <row r="276" spans="1:30" ht="72">
      <c r="A276" s="36" t="s">
        <v>4630</v>
      </c>
      <c r="B276" s="36" t="s">
        <v>87</v>
      </c>
      <c r="C276" s="36" t="s">
        <v>1433</v>
      </c>
      <c r="D276" s="36" t="s">
        <v>194</v>
      </c>
      <c r="E276" s="36" t="s">
        <v>4631</v>
      </c>
      <c r="F276" s="36" t="s">
        <v>12552</v>
      </c>
      <c r="G276" s="36" t="s">
        <v>12553</v>
      </c>
      <c r="H276" s="36" t="s">
        <v>12554</v>
      </c>
      <c r="I276" s="36" t="s">
        <v>12555</v>
      </c>
      <c r="J276" s="36" t="s">
        <v>12556</v>
      </c>
      <c r="K276" s="36" t="s">
        <v>12557</v>
      </c>
      <c r="L276" s="36" t="s">
        <v>12558</v>
      </c>
      <c r="M276" s="36" t="s">
        <v>12559</v>
      </c>
      <c r="N276" s="36" t="s">
        <v>12560</v>
      </c>
      <c r="O276" s="36" t="s">
        <v>12561</v>
      </c>
      <c r="P276" s="36" t="s">
        <v>12562</v>
      </c>
      <c r="Q276" s="36" t="s">
        <v>12563</v>
      </c>
      <c r="R276" s="36" t="s">
        <v>9040</v>
      </c>
      <c r="S276" s="36" t="s">
        <v>12564</v>
      </c>
      <c r="T276" s="36">
        <v>3</v>
      </c>
      <c r="U276" s="36">
        <v>3</v>
      </c>
      <c r="V276" s="36">
        <v>2</v>
      </c>
      <c r="W276" s="36">
        <v>2</v>
      </c>
      <c r="X276" s="36">
        <v>1</v>
      </c>
      <c r="Y276" s="36">
        <v>1</v>
      </c>
      <c r="Z276" s="36" t="s">
        <v>4489</v>
      </c>
      <c r="AA276" s="36" t="s">
        <v>4632</v>
      </c>
      <c r="AB276" s="36" t="s">
        <v>4497</v>
      </c>
      <c r="AC276" s="36" t="s">
        <v>4498</v>
      </c>
      <c r="AD276" s="36" t="s">
        <v>8003</v>
      </c>
    </row>
    <row r="277" spans="1:30" ht="72">
      <c r="A277" s="36" t="s">
        <v>4640</v>
      </c>
      <c r="B277" s="36" t="s">
        <v>87</v>
      </c>
      <c r="C277" s="36" t="s">
        <v>1433</v>
      </c>
      <c r="D277" s="36" t="s">
        <v>194</v>
      </c>
      <c r="E277" s="36" t="s">
        <v>4641</v>
      </c>
      <c r="F277" s="36" t="s">
        <v>12565</v>
      </c>
      <c r="G277" s="36" t="s">
        <v>12566</v>
      </c>
      <c r="H277" s="36" t="s">
        <v>12567</v>
      </c>
      <c r="I277" s="36" t="s">
        <v>12568</v>
      </c>
      <c r="J277" s="36" t="s">
        <v>12569</v>
      </c>
      <c r="K277" s="36" t="s">
        <v>12570</v>
      </c>
      <c r="L277" s="36" t="s">
        <v>12571</v>
      </c>
      <c r="M277" s="36" t="s">
        <v>12572</v>
      </c>
      <c r="N277" s="36" t="s">
        <v>12573</v>
      </c>
      <c r="O277" s="36" t="s">
        <v>12574</v>
      </c>
      <c r="P277" s="36" t="s">
        <v>12575</v>
      </c>
      <c r="Q277" s="36" t="s">
        <v>12576</v>
      </c>
      <c r="R277" s="36" t="s">
        <v>9040</v>
      </c>
      <c r="S277" s="36" t="s">
        <v>12577</v>
      </c>
      <c r="T277" s="36">
        <v>3</v>
      </c>
      <c r="U277" s="36">
        <v>3</v>
      </c>
      <c r="V277" s="36">
        <v>2</v>
      </c>
      <c r="W277" s="36">
        <v>2</v>
      </c>
      <c r="X277" s="36">
        <v>1</v>
      </c>
      <c r="Y277" s="36">
        <v>1</v>
      </c>
      <c r="Z277" s="36" t="s">
        <v>4489</v>
      </c>
      <c r="AA277" s="36" t="s">
        <v>4642</v>
      </c>
      <c r="AB277" s="36" t="s">
        <v>4497</v>
      </c>
      <c r="AC277" s="36" t="s">
        <v>4498</v>
      </c>
      <c r="AD277" s="36" t="s">
        <v>8010</v>
      </c>
    </row>
    <row r="278" spans="1:30" ht="72">
      <c r="A278" s="36" t="s">
        <v>4650</v>
      </c>
      <c r="B278" s="36" t="s">
        <v>87</v>
      </c>
      <c r="C278" s="36" t="s">
        <v>1433</v>
      </c>
      <c r="D278" s="36" t="s">
        <v>194</v>
      </c>
      <c r="E278" s="36" t="s">
        <v>4651</v>
      </c>
      <c r="F278" s="36" t="s">
        <v>12578</v>
      </c>
      <c r="G278" s="36" t="s">
        <v>12579</v>
      </c>
      <c r="H278" s="36" t="s">
        <v>12580</v>
      </c>
      <c r="I278" s="36" t="s">
        <v>12581</v>
      </c>
      <c r="J278" s="36" t="s">
        <v>12582</v>
      </c>
      <c r="K278" s="36" t="s">
        <v>12583</v>
      </c>
      <c r="L278" s="36" t="s">
        <v>12584</v>
      </c>
      <c r="M278" s="36" t="s">
        <v>12585</v>
      </c>
      <c r="N278" s="36" t="s">
        <v>12586</v>
      </c>
      <c r="O278" s="36" t="s">
        <v>12587</v>
      </c>
      <c r="P278" s="36" t="s">
        <v>12588</v>
      </c>
      <c r="Q278" s="36" t="s">
        <v>12589</v>
      </c>
      <c r="R278" s="36" t="s">
        <v>9040</v>
      </c>
      <c r="S278" s="36" t="s">
        <v>12590</v>
      </c>
      <c r="T278" s="36">
        <v>3</v>
      </c>
      <c r="U278" s="36">
        <v>3</v>
      </c>
      <c r="V278" s="36">
        <v>2</v>
      </c>
      <c r="W278" s="36">
        <v>2</v>
      </c>
      <c r="X278" s="36">
        <v>1</v>
      </c>
      <c r="Y278" s="36">
        <v>1</v>
      </c>
      <c r="Z278" s="36" t="s">
        <v>4489</v>
      </c>
      <c r="AA278" s="36" t="s">
        <v>4652</v>
      </c>
      <c r="AB278" s="36" t="s">
        <v>4497</v>
      </c>
      <c r="AC278" s="36" t="s">
        <v>4498</v>
      </c>
      <c r="AD278" s="36" t="s">
        <v>8017</v>
      </c>
    </row>
    <row r="279" spans="1:30" ht="72">
      <c r="A279" s="36" t="s">
        <v>4662</v>
      </c>
      <c r="B279" s="36" t="s">
        <v>90</v>
      </c>
      <c r="C279" s="36" t="s">
        <v>1441</v>
      </c>
      <c r="D279" s="36" t="s">
        <v>1446</v>
      </c>
      <c r="E279" s="36" t="s">
        <v>4663</v>
      </c>
      <c r="F279" s="36" t="s">
        <v>12591</v>
      </c>
      <c r="G279" s="36" t="s">
        <v>12592</v>
      </c>
      <c r="H279" s="36" t="s">
        <v>12593</v>
      </c>
      <c r="I279" s="36" t="s">
        <v>12594</v>
      </c>
      <c r="J279" s="36" t="s">
        <v>12595</v>
      </c>
      <c r="K279" s="36" t="s">
        <v>12596</v>
      </c>
      <c r="L279" s="36" t="s">
        <v>12597</v>
      </c>
      <c r="M279" s="36" t="s">
        <v>12598</v>
      </c>
      <c r="N279" s="36" t="s">
        <v>12599</v>
      </c>
      <c r="O279" s="36" t="s">
        <v>12600</v>
      </c>
      <c r="P279" s="36" t="s">
        <v>12601</v>
      </c>
      <c r="Q279" s="36" t="s">
        <v>12602</v>
      </c>
      <c r="R279" s="36" t="s">
        <v>9040</v>
      </c>
      <c r="S279" s="36" t="s">
        <v>12603</v>
      </c>
      <c r="T279" s="36">
        <v>4</v>
      </c>
      <c r="U279" s="36">
        <v>3</v>
      </c>
      <c r="V279" s="36">
        <v>3</v>
      </c>
      <c r="W279" s="36">
        <v>2</v>
      </c>
      <c r="X279" s="36">
        <v>1</v>
      </c>
      <c r="Y279" s="36">
        <v>1</v>
      </c>
      <c r="Z279" s="36" t="s">
        <v>4665</v>
      </c>
      <c r="AA279" s="36" t="s">
        <v>4666</v>
      </c>
      <c r="AB279" s="36" t="s">
        <v>4673</v>
      </c>
      <c r="AC279" s="36" t="s">
        <v>4674</v>
      </c>
      <c r="AD279" s="36" t="s">
        <v>8025</v>
      </c>
    </row>
    <row r="280" spans="1:30" ht="72">
      <c r="A280" s="36" t="s">
        <v>4676</v>
      </c>
      <c r="B280" s="36" t="s">
        <v>90</v>
      </c>
      <c r="C280" s="36" t="s">
        <v>1441</v>
      </c>
      <c r="D280" s="36" t="s">
        <v>1446</v>
      </c>
      <c r="E280" s="36" t="s">
        <v>4677</v>
      </c>
      <c r="F280" s="36" t="s">
        <v>12604</v>
      </c>
      <c r="G280" s="36" t="s">
        <v>12605</v>
      </c>
      <c r="H280" s="36" t="s">
        <v>12606</v>
      </c>
      <c r="I280" s="36" t="s">
        <v>12607</v>
      </c>
      <c r="J280" s="36" t="s">
        <v>12608</v>
      </c>
      <c r="K280" s="36" t="s">
        <v>12609</v>
      </c>
      <c r="L280" s="36" t="s">
        <v>12610</v>
      </c>
      <c r="M280" s="36" t="s">
        <v>12611</v>
      </c>
      <c r="N280" s="36" t="s">
        <v>12612</v>
      </c>
      <c r="O280" s="36" t="s">
        <v>12613</v>
      </c>
      <c r="P280" s="36" t="s">
        <v>12614</v>
      </c>
      <c r="Q280" s="36" t="s">
        <v>12615</v>
      </c>
      <c r="R280" s="36" t="s">
        <v>9040</v>
      </c>
      <c r="S280" s="36" t="s">
        <v>12616</v>
      </c>
      <c r="T280" s="36">
        <v>4</v>
      </c>
      <c r="U280" s="36">
        <v>3</v>
      </c>
      <c r="V280" s="36">
        <v>3</v>
      </c>
      <c r="W280" s="36">
        <v>2</v>
      </c>
      <c r="X280" s="36">
        <v>1</v>
      </c>
      <c r="Y280" s="36">
        <v>1</v>
      </c>
      <c r="Z280" s="36" t="s">
        <v>4665</v>
      </c>
      <c r="AA280" s="36" t="s">
        <v>4678</v>
      </c>
      <c r="AB280" s="36" t="s">
        <v>4673</v>
      </c>
      <c r="AC280" s="36" t="s">
        <v>4674</v>
      </c>
      <c r="AD280" s="36" t="s">
        <v>8032</v>
      </c>
    </row>
    <row r="281" spans="1:30" ht="72">
      <c r="A281" s="36" t="s">
        <v>4686</v>
      </c>
      <c r="B281" s="36" t="s">
        <v>90</v>
      </c>
      <c r="C281" s="36" t="s">
        <v>1441</v>
      </c>
      <c r="D281" s="36" t="s">
        <v>1446</v>
      </c>
      <c r="E281" s="36" t="s">
        <v>4687</v>
      </c>
      <c r="F281" s="36" t="s">
        <v>12617</v>
      </c>
      <c r="G281" s="36" t="s">
        <v>12618</v>
      </c>
      <c r="H281" s="36" t="s">
        <v>12619</v>
      </c>
      <c r="I281" s="36" t="s">
        <v>12620</v>
      </c>
      <c r="J281" s="36" t="s">
        <v>12621</v>
      </c>
      <c r="K281" s="36" t="s">
        <v>12622</v>
      </c>
      <c r="L281" s="36" t="s">
        <v>12623</v>
      </c>
      <c r="M281" s="36" t="s">
        <v>12624</v>
      </c>
      <c r="N281" s="36" t="s">
        <v>12625</v>
      </c>
      <c r="O281" s="36" t="s">
        <v>12626</v>
      </c>
      <c r="P281" s="36" t="s">
        <v>12627</v>
      </c>
      <c r="Q281" s="36" t="s">
        <v>12628</v>
      </c>
      <c r="R281" s="36" t="s">
        <v>9040</v>
      </c>
      <c r="S281" s="36" t="s">
        <v>12629</v>
      </c>
      <c r="T281" s="36">
        <v>4</v>
      </c>
      <c r="U281" s="36">
        <v>3</v>
      </c>
      <c r="V281" s="36">
        <v>3</v>
      </c>
      <c r="W281" s="36">
        <v>2</v>
      </c>
      <c r="X281" s="36">
        <v>1</v>
      </c>
      <c r="Y281" s="36">
        <v>1</v>
      </c>
      <c r="Z281" s="36" t="s">
        <v>4665</v>
      </c>
      <c r="AA281" s="36" t="s">
        <v>4688</v>
      </c>
      <c r="AB281" s="36" t="s">
        <v>4673</v>
      </c>
      <c r="AC281" s="36" t="s">
        <v>4674</v>
      </c>
      <c r="AD281" s="36" t="s">
        <v>8039</v>
      </c>
    </row>
    <row r="282" spans="1:30" ht="72">
      <c r="A282" s="36" t="s">
        <v>4696</v>
      </c>
      <c r="B282" s="36" t="s">
        <v>90</v>
      </c>
      <c r="C282" s="36" t="s">
        <v>1441</v>
      </c>
      <c r="D282" s="36" t="s">
        <v>1446</v>
      </c>
      <c r="E282" s="36" t="s">
        <v>4697</v>
      </c>
      <c r="F282" s="36" t="s">
        <v>12630</v>
      </c>
      <c r="G282" s="36" t="s">
        <v>12631</v>
      </c>
      <c r="H282" s="36" t="s">
        <v>12632</v>
      </c>
      <c r="I282" s="36" t="s">
        <v>12633</v>
      </c>
      <c r="J282" s="36" t="s">
        <v>12634</v>
      </c>
      <c r="K282" s="36" t="s">
        <v>12635</v>
      </c>
      <c r="L282" s="36" t="s">
        <v>12636</v>
      </c>
      <c r="M282" s="36" t="s">
        <v>12637</v>
      </c>
      <c r="N282" s="36" t="s">
        <v>12638</v>
      </c>
      <c r="O282" s="36" t="s">
        <v>12639</v>
      </c>
      <c r="P282" s="36" t="s">
        <v>12640</v>
      </c>
      <c r="Q282" s="36" t="s">
        <v>12641</v>
      </c>
      <c r="R282" s="36" t="s">
        <v>9040</v>
      </c>
      <c r="S282" s="36" t="s">
        <v>12642</v>
      </c>
      <c r="T282" s="36">
        <v>4</v>
      </c>
      <c r="U282" s="36">
        <v>3</v>
      </c>
      <c r="V282" s="36">
        <v>3</v>
      </c>
      <c r="W282" s="36">
        <v>2</v>
      </c>
      <c r="X282" s="36">
        <v>1</v>
      </c>
      <c r="Y282" s="36">
        <v>1</v>
      </c>
      <c r="Z282" s="36" t="s">
        <v>4665</v>
      </c>
      <c r="AA282" s="36" t="s">
        <v>4698</v>
      </c>
      <c r="AB282" s="36" t="s">
        <v>4673</v>
      </c>
      <c r="AC282" s="36" t="s">
        <v>4674</v>
      </c>
      <c r="AD282" s="36" t="s">
        <v>8046</v>
      </c>
    </row>
    <row r="283" spans="1:30" ht="72">
      <c r="A283" s="36" t="s">
        <v>4706</v>
      </c>
      <c r="B283" s="36" t="s">
        <v>90</v>
      </c>
      <c r="C283" s="36" t="s">
        <v>1441</v>
      </c>
      <c r="D283" s="36" t="s">
        <v>1446</v>
      </c>
      <c r="E283" s="36" t="s">
        <v>4707</v>
      </c>
      <c r="F283" s="36" t="s">
        <v>12643</v>
      </c>
      <c r="G283" s="36" t="s">
        <v>12644</v>
      </c>
      <c r="H283" s="36" t="s">
        <v>12645</v>
      </c>
      <c r="I283" s="36" t="s">
        <v>12646</v>
      </c>
      <c r="J283" s="36" t="s">
        <v>12647</v>
      </c>
      <c r="K283" s="36" t="s">
        <v>12648</v>
      </c>
      <c r="L283" s="36" t="s">
        <v>12649</v>
      </c>
      <c r="M283" s="36" t="s">
        <v>12650</v>
      </c>
      <c r="N283" s="36" t="s">
        <v>12651</v>
      </c>
      <c r="O283" s="36" t="s">
        <v>12652</v>
      </c>
      <c r="P283" s="36" t="s">
        <v>12653</v>
      </c>
      <c r="Q283" s="36" t="s">
        <v>12654</v>
      </c>
      <c r="R283" s="36" t="s">
        <v>9040</v>
      </c>
      <c r="S283" s="36" t="s">
        <v>12655</v>
      </c>
      <c r="T283" s="36">
        <v>4</v>
      </c>
      <c r="U283" s="36">
        <v>3</v>
      </c>
      <c r="V283" s="36">
        <v>3</v>
      </c>
      <c r="W283" s="36">
        <v>2</v>
      </c>
      <c r="X283" s="36">
        <v>1</v>
      </c>
      <c r="Y283" s="36">
        <v>1</v>
      </c>
      <c r="Z283" s="36" t="s">
        <v>4665</v>
      </c>
      <c r="AA283" s="36" t="s">
        <v>4708</v>
      </c>
      <c r="AB283" s="36" t="s">
        <v>4673</v>
      </c>
      <c r="AC283" s="36" t="s">
        <v>4674</v>
      </c>
      <c r="AD283" s="36" t="s">
        <v>8053</v>
      </c>
    </row>
    <row r="284" spans="1:30" ht="72">
      <c r="A284" s="36" t="s">
        <v>4716</v>
      </c>
      <c r="B284" s="36" t="s">
        <v>90</v>
      </c>
      <c r="C284" s="36" t="s">
        <v>1441</v>
      </c>
      <c r="D284" s="36" t="s">
        <v>1446</v>
      </c>
      <c r="E284" s="36" t="s">
        <v>4717</v>
      </c>
      <c r="F284" s="36" t="s">
        <v>12656</v>
      </c>
      <c r="G284" s="36" t="s">
        <v>12657</v>
      </c>
      <c r="H284" s="36" t="s">
        <v>12658</v>
      </c>
      <c r="I284" s="36" t="s">
        <v>12659</v>
      </c>
      <c r="J284" s="36" t="s">
        <v>12660</v>
      </c>
      <c r="K284" s="36" t="s">
        <v>12661</v>
      </c>
      <c r="L284" s="36" t="s">
        <v>12662</v>
      </c>
      <c r="M284" s="36" t="s">
        <v>12663</v>
      </c>
      <c r="N284" s="36" t="s">
        <v>12664</v>
      </c>
      <c r="O284" s="36" t="s">
        <v>12665</v>
      </c>
      <c r="P284" s="36" t="s">
        <v>12666</v>
      </c>
      <c r="Q284" s="36" t="s">
        <v>12667</v>
      </c>
      <c r="R284" s="36" t="s">
        <v>9040</v>
      </c>
      <c r="S284" s="36" t="s">
        <v>12668</v>
      </c>
      <c r="T284" s="36">
        <v>4</v>
      </c>
      <c r="U284" s="36">
        <v>3</v>
      </c>
      <c r="V284" s="36">
        <v>3</v>
      </c>
      <c r="W284" s="36">
        <v>2</v>
      </c>
      <c r="X284" s="36">
        <v>1</v>
      </c>
      <c r="Y284" s="36">
        <v>1</v>
      </c>
      <c r="Z284" s="36" t="s">
        <v>4665</v>
      </c>
      <c r="AA284" s="36" t="s">
        <v>4718</v>
      </c>
      <c r="AB284" s="36" t="s">
        <v>4673</v>
      </c>
      <c r="AC284" s="36" t="s">
        <v>4674</v>
      </c>
      <c r="AD284" s="36" t="s">
        <v>8060</v>
      </c>
    </row>
    <row r="285" spans="1:30" ht="72">
      <c r="A285" s="36" t="s">
        <v>4726</v>
      </c>
      <c r="B285" s="36" t="s">
        <v>90</v>
      </c>
      <c r="C285" s="36" t="s">
        <v>1457</v>
      </c>
      <c r="D285" s="36" t="s">
        <v>1446</v>
      </c>
      <c r="E285" s="36" t="s">
        <v>4727</v>
      </c>
      <c r="F285" s="36" t="s">
        <v>12669</v>
      </c>
      <c r="G285" s="36" t="s">
        <v>12670</v>
      </c>
      <c r="H285" s="36" t="s">
        <v>12671</v>
      </c>
      <c r="I285" s="36" t="s">
        <v>12672</v>
      </c>
      <c r="J285" s="36" t="s">
        <v>12673</v>
      </c>
      <c r="K285" s="36" t="s">
        <v>12674</v>
      </c>
      <c r="L285" s="36" t="s">
        <v>12675</v>
      </c>
      <c r="M285" s="36" t="s">
        <v>12676</v>
      </c>
      <c r="N285" s="36" t="s">
        <v>12677</v>
      </c>
      <c r="O285" s="36" t="s">
        <v>12678</v>
      </c>
      <c r="P285" s="36" t="s">
        <v>12679</v>
      </c>
      <c r="Q285" s="36" t="s">
        <v>12680</v>
      </c>
      <c r="R285" s="36" t="s">
        <v>9040</v>
      </c>
      <c r="S285" s="36" t="s">
        <v>12681</v>
      </c>
      <c r="T285" s="36">
        <v>4</v>
      </c>
      <c r="U285" s="36">
        <v>3</v>
      </c>
      <c r="V285" s="36">
        <v>3</v>
      </c>
      <c r="W285" s="36">
        <v>2</v>
      </c>
      <c r="X285" s="36">
        <v>1</v>
      </c>
      <c r="Y285" s="36">
        <v>1</v>
      </c>
      <c r="Z285" s="36" t="s">
        <v>4665</v>
      </c>
      <c r="AA285" s="36" t="s">
        <v>4728</v>
      </c>
      <c r="AB285" s="36" t="s">
        <v>4673</v>
      </c>
      <c r="AC285" s="36" t="s">
        <v>4674</v>
      </c>
      <c r="AD285" s="36" t="s">
        <v>8068</v>
      </c>
    </row>
    <row r="286" spans="1:30" ht="72">
      <c r="A286" s="36" t="s">
        <v>4736</v>
      </c>
      <c r="B286" s="36" t="s">
        <v>90</v>
      </c>
      <c r="C286" s="36" t="s">
        <v>1457</v>
      </c>
      <c r="D286" s="36" t="s">
        <v>1446</v>
      </c>
      <c r="E286" s="36" t="s">
        <v>4737</v>
      </c>
      <c r="F286" s="36" t="s">
        <v>12682</v>
      </c>
      <c r="G286" s="36" t="s">
        <v>12683</v>
      </c>
      <c r="H286" s="36" t="s">
        <v>12684</v>
      </c>
      <c r="I286" s="36" t="s">
        <v>12685</v>
      </c>
      <c r="J286" s="36" t="s">
        <v>12686</v>
      </c>
      <c r="K286" s="36" t="s">
        <v>12687</v>
      </c>
      <c r="L286" s="36" t="s">
        <v>12688</v>
      </c>
      <c r="M286" s="36" t="s">
        <v>12689</v>
      </c>
      <c r="N286" s="36" t="s">
        <v>12690</v>
      </c>
      <c r="O286" s="36" t="s">
        <v>12691</v>
      </c>
      <c r="P286" s="36" t="s">
        <v>12692</v>
      </c>
      <c r="Q286" s="36" t="s">
        <v>12693</v>
      </c>
      <c r="R286" s="36" t="s">
        <v>9040</v>
      </c>
      <c r="S286" s="36" t="s">
        <v>12694</v>
      </c>
      <c r="T286" s="36">
        <v>4</v>
      </c>
      <c r="U286" s="36">
        <v>3</v>
      </c>
      <c r="V286" s="36">
        <v>3</v>
      </c>
      <c r="W286" s="36">
        <v>2</v>
      </c>
      <c r="X286" s="36">
        <v>1</v>
      </c>
      <c r="Y286" s="36">
        <v>1</v>
      </c>
      <c r="Z286" s="36" t="s">
        <v>4665</v>
      </c>
      <c r="AA286" s="36" t="s">
        <v>4738</v>
      </c>
      <c r="AB286" s="36" t="s">
        <v>4673</v>
      </c>
      <c r="AC286" s="36" t="s">
        <v>4674</v>
      </c>
      <c r="AD286" s="36" t="s">
        <v>8075</v>
      </c>
    </row>
    <row r="287" spans="1:30" ht="72">
      <c r="A287" s="36" t="s">
        <v>4746</v>
      </c>
      <c r="B287" s="36" t="s">
        <v>90</v>
      </c>
      <c r="C287" s="36" t="s">
        <v>1457</v>
      </c>
      <c r="D287" s="36" t="s">
        <v>1446</v>
      </c>
      <c r="E287" s="36" t="s">
        <v>4747</v>
      </c>
      <c r="F287" s="36" t="s">
        <v>12695</v>
      </c>
      <c r="G287" s="36" t="s">
        <v>12696</v>
      </c>
      <c r="H287" s="36" t="s">
        <v>12697</v>
      </c>
      <c r="I287" s="36" t="s">
        <v>12698</v>
      </c>
      <c r="J287" s="36" t="s">
        <v>12699</v>
      </c>
      <c r="K287" s="36" t="s">
        <v>12700</v>
      </c>
      <c r="L287" s="36" t="s">
        <v>12701</v>
      </c>
      <c r="M287" s="36" t="s">
        <v>12702</v>
      </c>
      <c r="N287" s="36" t="s">
        <v>12703</v>
      </c>
      <c r="O287" s="36" t="s">
        <v>12704</v>
      </c>
      <c r="P287" s="36" t="s">
        <v>12705</v>
      </c>
      <c r="Q287" s="36" t="s">
        <v>12706</v>
      </c>
      <c r="R287" s="36" t="s">
        <v>9040</v>
      </c>
      <c r="S287" s="36" t="s">
        <v>12707</v>
      </c>
      <c r="T287" s="36">
        <v>4</v>
      </c>
      <c r="U287" s="36">
        <v>3</v>
      </c>
      <c r="V287" s="36">
        <v>3</v>
      </c>
      <c r="W287" s="36">
        <v>2</v>
      </c>
      <c r="X287" s="36">
        <v>1</v>
      </c>
      <c r="Y287" s="36">
        <v>1</v>
      </c>
      <c r="Z287" s="36" t="s">
        <v>4665</v>
      </c>
      <c r="AA287" s="36" t="s">
        <v>4748</v>
      </c>
      <c r="AB287" s="36" t="s">
        <v>4673</v>
      </c>
      <c r="AC287" s="36" t="s">
        <v>4674</v>
      </c>
      <c r="AD287" s="36" t="s">
        <v>8082</v>
      </c>
    </row>
    <row r="288" spans="1:30" ht="72">
      <c r="A288" s="36" t="s">
        <v>4756</v>
      </c>
      <c r="B288" s="36" t="s">
        <v>90</v>
      </c>
      <c r="C288" s="36" t="s">
        <v>1457</v>
      </c>
      <c r="D288" s="36" t="s">
        <v>1446</v>
      </c>
      <c r="E288" s="36" t="s">
        <v>4757</v>
      </c>
      <c r="F288" s="36" t="s">
        <v>12708</v>
      </c>
      <c r="G288" s="36" t="s">
        <v>12709</v>
      </c>
      <c r="H288" s="36" t="s">
        <v>12710</v>
      </c>
      <c r="I288" s="36" t="s">
        <v>12711</v>
      </c>
      <c r="J288" s="36" t="s">
        <v>12712</v>
      </c>
      <c r="K288" s="36" t="s">
        <v>12713</v>
      </c>
      <c r="L288" s="36" t="s">
        <v>12714</v>
      </c>
      <c r="M288" s="36" t="s">
        <v>12715</v>
      </c>
      <c r="N288" s="36" t="s">
        <v>12716</v>
      </c>
      <c r="O288" s="36" t="s">
        <v>12717</v>
      </c>
      <c r="P288" s="36" t="s">
        <v>12718</v>
      </c>
      <c r="Q288" s="36" t="s">
        <v>12719</v>
      </c>
      <c r="R288" s="36" t="s">
        <v>9040</v>
      </c>
      <c r="S288" s="36" t="s">
        <v>12720</v>
      </c>
      <c r="T288" s="36">
        <v>4</v>
      </c>
      <c r="U288" s="36">
        <v>3</v>
      </c>
      <c r="V288" s="36">
        <v>3</v>
      </c>
      <c r="W288" s="36">
        <v>2</v>
      </c>
      <c r="X288" s="36">
        <v>1</v>
      </c>
      <c r="Y288" s="36">
        <v>1</v>
      </c>
      <c r="Z288" s="36" t="s">
        <v>4665</v>
      </c>
      <c r="AA288" s="36" t="s">
        <v>4758</v>
      </c>
      <c r="AB288" s="36" t="s">
        <v>4673</v>
      </c>
      <c r="AC288" s="36" t="s">
        <v>4674</v>
      </c>
      <c r="AD288" s="36" t="s">
        <v>8089</v>
      </c>
    </row>
    <row r="289" spans="1:30" ht="72">
      <c r="A289" s="36" t="s">
        <v>4766</v>
      </c>
      <c r="B289" s="36" t="s">
        <v>90</v>
      </c>
      <c r="C289" s="36" t="s">
        <v>1457</v>
      </c>
      <c r="D289" s="36" t="s">
        <v>1446</v>
      </c>
      <c r="E289" s="36" t="s">
        <v>4767</v>
      </c>
      <c r="F289" s="36" t="s">
        <v>12721</v>
      </c>
      <c r="G289" s="36" t="s">
        <v>12722</v>
      </c>
      <c r="H289" s="36" t="s">
        <v>12723</v>
      </c>
      <c r="I289" s="36" t="s">
        <v>12724</v>
      </c>
      <c r="J289" s="36" t="s">
        <v>12725</v>
      </c>
      <c r="K289" s="36" t="s">
        <v>12726</v>
      </c>
      <c r="L289" s="36" t="s">
        <v>12727</v>
      </c>
      <c r="M289" s="36" t="s">
        <v>12728</v>
      </c>
      <c r="N289" s="36" t="s">
        <v>12729</v>
      </c>
      <c r="O289" s="36" t="s">
        <v>12730</v>
      </c>
      <c r="P289" s="36" t="s">
        <v>12731</v>
      </c>
      <c r="Q289" s="36" t="s">
        <v>12732</v>
      </c>
      <c r="R289" s="36" t="s">
        <v>9040</v>
      </c>
      <c r="S289" s="36" t="s">
        <v>12733</v>
      </c>
      <c r="T289" s="36">
        <v>4</v>
      </c>
      <c r="U289" s="36">
        <v>3</v>
      </c>
      <c r="V289" s="36">
        <v>3</v>
      </c>
      <c r="W289" s="36">
        <v>2</v>
      </c>
      <c r="X289" s="36">
        <v>1</v>
      </c>
      <c r="Y289" s="36">
        <v>1</v>
      </c>
      <c r="Z289" s="36" t="s">
        <v>4665</v>
      </c>
      <c r="AA289" s="36" t="s">
        <v>4768</v>
      </c>
      <c r="AB289" s="36" t="s">
        <v>4673</v>
      </c>
      <c r="AC289" s="36" t="s">
        <v>4674</v>
      </c>
      <c r="AD289" s="36" t="s">
        <v>8096</v>
      </c>
    </row>
    <row r="290" spans="1:30" ht="72">
      <c r="A290" s="36" t="s">
        <v>4776</v>
      </c>
      <c r="B290" s="36" t="s">
        <v>90</v>
      </c>
      <c r="C290" s="36" t="s">
        <v>1457</v>
      </c>
      <c r="D290" s="36" t="s">
        <v>1446</v>
      </c>
      <c r="E290" s="36" t="s">
        <v>4777</v>
      </c>
      <c r="F290" s="36" t="s">
        <v>12734</v>
      </c>
      <c r="G290" s="36" t="s">
        <v>12735</v>
      </c>
      <c r="H290" s="36" t="s">
        <v>12736</v>
      </c>
      <c r="I290" s="36" t="s">
        <v>12737</v>
      </c>
      <c r="J290" s="36" t="s">
        <v>12738</v>
      </c>
      <c r="K290" s="36" t="s">
        <v>12739</v>
      </c>
      <c r="L290" s="36" t="s">
        <v>12740</v>
      </c>
      <c r="M290" s="36" t="s">
        <v>12741</v>
      </c>
      <c r="N290" s="36" t="s">
        <v>12742</v>
      </c>
      <c r="O290" s="36" t="s">
        <v>12743</v>
      </c>
      <c r="P290" s="36" t="s">
        <v>12744</v>
      </c>
      <c r="Q290" s="36" t="s">
        <v>12745</v>
      </c>
      <c r="R290" s="36" t="s">
        <v>9040</v>
      </c>
      <c r="S290" s="36" t="s">
        <v>12746</v>
      </c>
      <c r="T290" s="36">
        <v>4</v>
      </c>
      <c r="U290" s="36">
        <v>3</v>
      </c>
      <c r="V290" s="36">
        <v>3</v>
      </c>
      <c r="W290" s="36">
        <v>2</v>
      </c>
      <c r="X290" s="36">
        <v>1</v>
      </c>
      <c r="Y290" s="36">
        <v>1</v>
      </c>
      <c r="Z290" s="36" t="s">
        <v>4665</v>
      </c>
      <c r="AA290" s="36" t="s">
        <v>4778</v>
      </c>
      <c r="AB290" s="36" t="s">
        <v>4673</v>
      </c>
      <c r="AC290" s="36" t="s">
        <v>4674</v>
      </c>
      <c r="AD290" s="36" t="s">
        <v>8103</v>
      </c>
    </row>
    <row r="291" spans="1:30" ht="72">
      <c r="A291" s="36" t="s">
        <v>4786</v>
      </c>
      <c r="B291" s="36" t="s">
        <v>90</v>
      </c>
      <c r="C291" s="36" t="s">
        <v>1465</v>
      </c>
      <c r="D291" s="36" t="s">
        <v>1446</v>
      </c>
      <c r="E291" s="36" t="s">
        <v>4787</v>
      </c>
      <c r="F291" s="36" t="s">
        <v>12747</v>
      </c>
      <c r="G291" s="36" t="s">
        <v>12748</v>
      </c>
      <c r="H291" s="36" t="s">
        <v>12749</v>
      </c>
      <c r="I291" s="36" t="s">
        <v>12750</v>
      </c>
      <c r="J291" s="36" t="s">
        <v>12751</v>
      </c>
      <c r="K291" s="36" t="s">
        <v>12752</v>
      </c>
      <c r="L291" s="36" t="s">
        <v>12753</v>
      </c>
      <c r="M291" s="36" t="s">
        <v>12754</v>
      </c>
      <c r="N291" s="36" t="s">
        <v>12755</v>
      </c>
      <c r="O291" s="36" t="s">
        <v>12756</v>
      </c>
      <c r="P291" s="36" t="s">
        <v>12757</v>
      </c>
      <c r="Q291" s="36" t="s">
        <v>12758</v>
      </c>
      <c r="R291" s="36" t="s">
        <v>9040</v>
      </c>
      <c r="S291" s="36" t="s">
        <v>12759</v>
      </c>
      <c r="T291" s="36">
        <v>4</v>
      </c>
      <c r="U291" s="36">
        <v>3</v>
      </c>
      <c r="V291" s="36">
        <v>3</v>
      </c>
      <c r="W291" s="36">
        <v>2</v>
      </c>
      <c r="X291" s="36">
        <v>1</v>
      </c>
      <c r="Y291" s="36">
        <v>1</v>
      </c>
      <c r="Z291" s="36" t="s">
        <v>4665</v>
      </c>
      <c r="AA291" s="36" t="s">
        <v>4788</v>
      </c>
      <c r="AB291" s="36" t="s">
        <v>4673</v>
      </c>
      <c r="AC291" s="36" t="s">
        <v>4674</v>
      </c>
      <c r="AD291" s="36" t="s">
        <v>8111</v>
      </c>
    </row>
    <row r="292" spans="1:30" ht="72">
      <c r="A292" s="36" t="s">
        <v>4796</v>
      </c>
      <c r="B292" s="36" t="s">
        <v>90</v>
      </c>
      <c r="C292" s="36" t="s">
        <v>1465</v>
      </c>
      <c r="D292" s="36" t="s">
        <v>1446</v>
      </c>
      <c r="E292" s="36" t="s">
        <v>4797</v>
      </c>
      <c r="F292" s="36" t="s">
        <v>12760</v>
      </c>
      <c r="G292" s="36" t="s">
        <v>12761</v>
      </c>
      <c r="H292" s="36" t="s">
        <v>12762</v>
      </c>
      <c r="I292" s="36" t="s">
        <v>12763</v>
      </c>
      <c r="J292" s="36" t="s">
        <v>12764</v>
      </c>
      <c r="K292" s="36" t="s">
        <v>12765</v>
      </c>
      <c r="L292" s="36" t="s">
        <v>12766</v>
      </c>
      <c r="M292" s="36" t="s">
        <v>12767</v>
      </c>
      <c r="N292" s="36" t="s">
        <v>12768</v>
      </c>
      <c r="O292" s="36" t="s">
        <v>12769</v>
      </c>
      <c r="P292" s="36" t="s">
        <v>12770</v>
      </c>
      <c r="Q292" s="36" t="s">
        <v>12771</v>
      </c>
      <c r="R292" s="36" t="s">
        <v>9040</v>
      </c>
      <c r="S292" s="36" t="s">
        <v>12772</v>
      </c>
      <c r="T292" s="36">
        <v>4</v>
      </c>
      <c r="U292" s="36">
        <v>3</v>
      </c>
      <c r="V292" s="36">
        <v>3</v>
      </c>
      <c r="W292" s="36">
        <v>2</v>
      </c>
      <c r="X292" s="36">
        <v>1</v>
      </c>
      <c r="Y292" s="36">
        <v>1</v>
      </c>
      <c r="Z292" s="36" t="s">
        <v>4665</v>
      </c>
      <c r="AA292" s="36" t="s">
        <v>4798</v>
      </c>
      <c r="AB292" s="36" t="s">
        <v>4673</v>
      </c>
      <c r="AC292" s="36" t="s">
        <v>4674</v>
      </c>
      <c r="AD292" s="36" t="s">
        <v>8118</v>
      </c>
    </row>
    <row r="293" spans="1:30" ht="72">
      <c r="A293" s="36" t="s">
        <v>4806</v>
      </c>
      <c r="B293" s="36" t="s">
        <v>90</v>
      </c>
      <c r="C293" s="36" t="s">
        <v>1465</v>
      </c>
      <c r="D293" s="36" t="s">
        <v>1446</v>
      </c>
      <c r="E293" s="36" t="s">
        <v>4807</v>
      </c>
      <c r="F293" s="36" t="s">
        <v>12773</v>
      </c>
      <c r="G293" s="36" t="s">
        <v>12774</v>
      </c>
      <c r="H293" s="36" t="s">
        <v>12775</v>
      </c>
      <c r="I293" s="36" t="s">
        <v>12776</v>
      </c>
      <c r="J293" s="36" t="s">
        <v>12777</v>
      </c>
      <c r="K293" s="36" t="s">
        <v>12778</v>
      </c>
      <c r="L293" s="36" t="s">
        <v>12779</v>
      </c>
      <c r="M293" s="36" t="s">
        <v>12780</v>
      </c>
      <c r="N293" s="36" t="s">
        <v>12781</v>
      </c>
      <c r="O293" s="36" t="s">
        <v>12782</v>
      </c>
      <c r="P293" s="36" t="s">
        <v>12783</v>
      </c>
      <c r="Q293" s="36" t="s">
        <v>12784</v>
      </c>
      <c r="R293" s="36" t="s">
        <v>9040</v>
      </c>
      <c r="S293" s="36" t="s">
        <v>12785</v>
      </c>
      <c r="T293" s="36">
        <v>4</v>
      </c>
      <c r="U293" s="36">
        <v>3</v>
      </c>
      <c r="V293" s="36">
        <v>3</v>
      </c>
      <c r="W293" s="36">
        <v>2</v>
      </c>
      <c r="X293" s="36">
        <v>1</v>
      </c>
      <c r="Y293" s="36">
        <v>1</v>
      </c>
      <c r="Z293" s="36" t="s">
        <v>4665</v>
      </c>
      <c r="AA293" s="36" t="s">
        <v>4808</v>
      </c>
      <c r="AB293" s="36" t="s">
        <v>4673</v>
      </c>
      <c r="AC293" s="36" t="s">
        <v>4674</v>
      </c>
      <c r="AD293" s="36" t="s">
        <v>8125</v>
      </c>
    </row>
    <row r="294" spans="1:30" ht="72">
      <c r="A294" s="36" t="s">
        <v>4816</v>
      </c>
      <c r="B294" s="36" t="s">
        <v>90</v>
      </c>
      <c r="C294" s="36" t="s">
        <v>1465</v>
      </c>
      <c r="D294" s="36" t="s">
        <v>1446</v>
      </c>
      <c r="E294" s="36" t="s">
        <v>4817</v>
      </c>
      <c r="F294" s="36" t="s">
        <v>12786</v>
      </c>
      <c r="G294" s="36" t="s">
        <v>12787</v>
      </c>
      <c r="H294" s="36" t="s">
        <v>12788</v>
      </c>
      <c r="I294" s="36" t="s">
        <v>12789</v>
      </c>
      <c r="J294" s="36" t="s">
        <v>12790</v>
      </c>
      <c r="K294" s="36" t="s">
        <v>12791</v>
      </c>
      <c r="L294" s="36" t="s">
        <v>12792</v>
      </c>
      <c r="M294" s="36" t="s">
        <v>12793</v>
      </c>
      <c r="N294" s="36" t="s">
        <v>12794</v>
      </c>
      <c r="O294" s="36" t="s">
        <v>12795</v>
      </c>
      <c r="P294" s="36" t="s">
        <v>12796</v>
      </c>
      <c r="Q294" s="36" t="s">
        <v>12797</v>
      </c>
      <c r="R294" s="36" t="s">
        <v>9040</v>
      </c>
      <c r="S294" s="36" t="s">
        <v>12798</v>
      </c>
      <c r="T294" s="36">
        <v>4</v>
      </c>
      <c r="U294" s="36">
        <v>3</v>
      </c>
      <c r="V294" s="36">
        <v>3</v>
      </c>
      <c r="W294" s="36">
        <v>2</v>
      </c>
      <c r="X294" s="36">
        <v>1</v>
      </c>
      <c r="Y294" s="36">
        <v>1</v>
      </c>
      <c r="Z294" s="36" t="s">
        <v>4665</v>
      </c>
      <c r="AA294" s="36" t="s">
        <v>4818</v>
      </c>
      <c r="AB294" s="36" t="s">
        <v>4673</v>
      </c>
      <c r="AC294" s="36" t="s">
        <v>4674</v>
      </c>
      <c r="AD294" s="36" t="s">
        <v>8132</v>
      </c>
    </row>
    <row r="295" spans="1:30" ht="72">
      <c r="A295" s="36" t="s">
        <v>4826</v>
      </c>
      <c r="B295" s="36" t="s">
        <v>90</v>
      </c>
      <c r="C295" s="36" t="s">
        <v>1465</v>
      </c>
      <c r="D295" s="36" t="s">
        <v>1446</v>
      </c>
      <c r="E295" s="36" t="s">
        <v>4827</v>
      </c>
      <c r="F295" s="36" t="s">
        <v>12799</v>
      </c>
      <c r="G295" s="36" t="s">
        <v>12800</v>
      </c>
      <c r="H295" s="36" t="s">
        <v>12801</v>
      </c>
      <c r="I295" s="36" t="s">
        <v>12802</v>
      </c>
      <c r="J295" s="36" t="s">
        <v>12803</v>
      </c>
      <c r="K295" s="36" t="s">
        <v>12804</v>
      </c>
      <c r="L295" s="36" t="s">
        <v>12805</v>
      </c>
      <c r="M295" s="36" t="s">
        <v>12806</v>
      </c>
      <c r="N295" s="36" t="s">
        <v>12807</v>
      </c>
      <c r="O295" s="36" t="s">
        <v>12808</v>
      </c>
      <c r="P295" s="36" t="s">
        <v>12809</v>
      </c>
      <c r="Q295" s="36" t="s">
        <v>12810</v>
      </c>
      <c r="R295" s="36" t="s">
        <v>9040</v>
      </c>
      <c r="S295" s="36" t="s">
        <v>12811</v>
      </c>
      <c r="T295" s="36">
        <v>4</v>
      </c>
      <c r="U295" s="36">
        <v>3</v>
      </c>
      <c r="V295" s="36">
        <v>3</v>
      </c>
      <c r="W295" s="36">
        <v>2</v>
      </c>
      <c r="X295" s="36">
        <v>1</v>
      </c>
      <c r="Y295" s="36">
        <v>1</v>
      </c>
      <c r="Z295" s="36" t="s">
        <v>4665</v>
      </c>
      <c r="AA295" s="36" t="s">
        <v>4828</v>
      </c>
      <c r="AB295" s="36" t="s">
        <v>4673</v>
      </c>
      <c r="AC295" s="36" t="s">
        <v>4674</v>
      </c>
      <c r="AD295" s="36" t="s">
        <v>8139</v>
      </c>
    </row>
    <row r="296" spans="1:30" ht="72">
      <c r="A296" s="36" t="s">
        <v>4836</v>
      </c>
      <c r="B296" s="36" t="s">
        <v>90</v>
      </c>
      <c r="C296" s="36" t="s">
        <v>1465</v>
      </c>
      <c r="D296" s="36" t="s">
        <v>1446</v>
      </c>
      <c r="E296" s="36" t="s">
        <v>4837</v>
      </c>
      <c r="F296" s="36" t="s">
        <v>12812</v>
      </c>
      <c r="G296" s="36" t="s">
        <v>12813</v>
      </c>
      <c r="H296" s="36" t="s">
        <v>12814</v>
      </c>
      <c r="I296" s="36" t="s">
        <v>12815</v>
      </c>
      <c r="J296" s="36" t="s">
        <v>12816</v>
      </c>
      <c r="K296" s="36" t="s">
        <v>12817</v>
      </c>
      <c r="L296" s="36" t="s">
        <v>12818</v>
      </c>
      <c r="M296" s="36" t="s">
        <v>12819</v>
      </c>
      <c r="N296" s="36" t="s">
        <v>12820</v>
      </c>
      <c r="O296" s="36" t="s">
        <v>12821</v>
      </c>
      <c r="P296" s="36" t="s">
        <v>12822</v>
      </c>
      <c r="Q296" s="36" t="s">
        <v>12823</v>
      </c>
      <c r="R296" s="36" t="s">
        <v>9040</v>
      </c>
      <c r="S296" s="36" t="s">
        <v>12824</v>
      </c>
      <c r="T296" s="36">
        <v>4</v>
      </c>
      <c r="U296" s="36">
        <v>3</v>
      </c>
      <c r="V296" s="36">
        <v>3</v>
      </c>
      <c r="W296" s="36">
        <v>2</v>
      </c>
      <c r="X296" s="36">
        <v>1</v>
      </c>
      <c r="Y296" s="36">
        <v>1</v>
      </c>
      <c r="Z296" s="36" t="s">
        <v>4665</v>
      </c>
      <c r="AA296" s="36" t="s">
        <v>4838</v>
      </c>
      <c r="AB296" s="36" t="s">
        <v>4673</v>
      </c>
      <c r="AC296" s="36" t="s">
        <v>4674</v>
      </c>
      <c r="AD296" s="36" t="s">
        <v>8146</v>
      </c>
    </row>
    <row r="297" spans="1:30" ht="72">
      <c r="A297" s="36" t="s">
        <v>4846</v>
      </c>
      <c r="B297" s="36" t="s">
        <v>90</v>
      </c>
      <c r="C297" s="36" t="s">
        <v>1473</v>
      </c>
      <c r="D297" s="36" t="s">
        <v>1446</v>
      </c>
      <c r="E297" s="36" t="s">
        <v>4847</v>
      </c>
      <c r="F297" s="36" t="s">
        <v>12825</v>
      </c>
      <c r="G297" s="36" t="s">
        <v>12826</v>
      </c>
      <c r="H297" s="36" t="s">
        <v>12827</v>
      </c>
      <c r="I297" s="36" t="s">
        <v>12828</v>
      </c>
      <c r="J297" s="36" t="s">
        <v>12829</v>
      </c>
      <c r="K297" s="36" t="s">
        <v>12830</v>
      </c>
      <c r="L297" s="36" t="s">
        <v>12831</v>
      </c>
      <c r="M297" s="36" t="s">
        <v>12832</v>
      </c>
      <c r="N297" s="36" t="s">
        <v>12833</v>
      </c>
      <c r="O297" s="36" t="s">
        <v>12834</v>
      </c>
      <c r="P297" s="36" t="s">
        <v>12835</v>
      </c>
      <c r="Q297" s="36" t="s">
        <v>12836</v>
      </c>
      <c r="R297" s="36" t="s">
        <v>9040</v>
      </c>
      <c r="S297" s="36" t="s">
        <v>12837</v>
      </c>
      <c r="T297" s="36">
        <v>4</v>
      </c>
      <c r="U297" s="36">
        <v>3</v>
      </c>
      <c r="V297" s="36">
        <v>3</v>
      </c>
      <c r="W297" s="36">
        <v>2</v>
      </c>
      <c r="X297" s="36">
        <v>1</v>
      </c>
      <c r="Y297" s="36">
        <v>1</v>
      </c>
      <c r="Z297" s="36" t="s">
        <v>4665</v>
      </c>
      <c r="AA297" s="36" t="s">
        <v>4848</v>
      </c>
      <c r="AB297" s="36" t="s">
        <v>4673</v>
      </c>
      <c r="AC297" s="36" t="s">
        <v>4674</v>
      </c>
      <c r="AD297" s="36" t="s">
        <v>8154</v>
      </c>
    </row>
    <row r="298" spans="1:30" ht="72">
      <c r="A298" s="36" t="s">
        <v>4856</v>
      </c>
      <c r="B298" s="36" t="s">
        <v>90</v>
      </c>
      <c r="C298" s="36" t="s">
        <v>1473</v>
      </c>
      <c r="D298" s="36" t="s">
        <v>1446</v>
      </c>
      <c r="E298" s="36" t="s">
        <v>4857</v>
      </c>
      <c r="F298" s="36" t="s">
        <v>12838</v>
      </c>
      <c r="G298" s="36" t="s">
        <v>12839</v>
      </c>
      <c r="H298" s="36" t="s">
        <v>12840</v>
      </c>
      <c r="I298" s="36" t="s">
        <v>12841</v>
      </c>
      <c r="J298" s="36" t="s">
        <v>12842</v>
      </c>
      <c r="K298" s="36" t="s">
        <v>12843</v>
      </c>
      <c r="L298" s="36" t="s">
        <v>12844</v>
      </c>
      <c r="M298" s="36" t="s">
        <v>12845</v>
      </c>
      <c r="N298" s="36" t="s">
        <v>12846</v>
      </c>
      <c r="O298" s="36" t="s">
        <v>12847</v>
      </c>
      <c r="P298" s="36" t="s">
        <v>12848</v>
      </c>
      <c r="Q298" s="36" t="s">
        <v>12849</v>
      </c>
      <c r="R298" s="36" t="s">
        <v>9040</v>
      </c>
      <c r="S298" s="36" t="s">
        <v>12850</v>
      </c>
      <c r="T298" s="36">
        <v>4</v>
      </c>
      <c r="U298" s="36">
        <v>3</v>
      </c>
      <c r="V298" s="36">
        <v>3</v>
      </c>
      <c r="W298" s="36">
        <v>2</v>
      </c>
      <c r="X298" s="36">
        <v>1</v>
      </c>
      <c r="Y298" s="36">
        <v>1</v>
      </c>
      <c r="Z298" s="36" t="s">
        <v>4665</v>
      </c>
      <c r="AA298" s="36" t="s">
        <v>4858</v>
      </c>
      <c r="AB298" s="36" t="s">
        <v>4673</v>
      </c>
      <c r="AC298" s="36" t="s">
        <v>4674</v>
      </c>
      <c r="AD298" s="36" t="s">
        <v>8161</v>
      </c>
    </row>
    <row r="299" spans="1:30" ht="72">
      <c r="A299" s="36" t="s">
        <v>4866</v>
      </c>
      <c r="B299" s="36" t="s">
        <v>90</v>
      </c>
      <c r="C299" s="36" t="s">
        <v>1473</v>
      </c>
      <c r="D299" s="36" t="s">
        <v>1446</v>
      </c>
      <c r="E299" s="36" t="s">
        <v>4867</v>
      </c>
      <c r="F299" s="36" t="s">
        <v>12851</v>
      </c>
      <c r="G299" s="36" t="s">
        <v>12852</v>
      </c>
      <c r="H299" s="36" t="s">
        <v>12853</v>
      </c>
      <c r="I299" s="36" t="s">
        <v>12854</v>
      </c>
      <c r="J299" s="36" t="s">
        <v>12855</v>
      </c>
      <c r="K299" s="36" t="s">
        <v>12856</v>
      </c>
      <c r="L299" s="36" t="s">
        <v>12857</v>
      </c>
      <c r="M299" s="36" t="s">
        <v>12858</v>
      </c>
      <c r="N299" s="36" t="s">
        <v>12859</v>
      </c>
      <c r="O299" s="36" t="s">
        <v>12860</v>
      </c>
      <c r="P299" s="36" t="s">
        <v>12861</v>
      </c>
      <c r="Q299" s="36" t="s">
        <v>12862</v>
      </c>
      <c r="R299" s="36" t="s">
        <v>9040</v>
      </c>
      <c r="S299" s="36" t="s">
        <v>12863</v>
      </c>
      <c r="T299" s="36">
        <v>4</v>
      </c>
      <c r="U299" s="36">
        <v>3</v>
      </c>
      <c r="V299" s="36">
        <v>3</v>
      </c>
      <c r="W299" s="36">
        <v>2</v>
      </c>
      <c r="X299" s="36">
        <v>1</v>
      </c>
      <c r="Y299" s="36">
        <v>1</v>
      </c>
      <c r="Z299" s="36" t="s">
        <v>4665</v>
      </c>
      <c r="AA299" s="36" t="s">
        <v>4868</v>
      </c>
      <c r="AB299" s="36" t="s">
        <v>4673</v>
      </c>
      <c r="AC299" s="36" t="s">
        <v>4674</v>
      </c>
      <c r="AD299" s="36" t="s">
        <v>8168</v>
      </c>
    </row>
    <row r="300" spans="1:30" ht="72">
      <c r="A300" s="36" t="s">
        <v>4876</v>
      </c>
      <c r="B300" s="36" t="s">
        <v>90</v>
      </c>
      <c r="C300" s="36" t="s">
        <v>1473</v>
      </c>
      <c r="D300" s="36" t="s">
        <v>1446</v>
      </c>
      <c r="E300" s="36" t="s">
        <v>4877</v>
      </c>
      <c r="F300" s="36" t="s">
        <v>12864</v>
      </c>
      <c r="G300" s="36" t="s">
        <v>12865</v>
      </c>
      <c r="H300" s="36" t="s">
        <v>12866</v>
      </c>
      <c r="I300" s="36" t="s">
        <v>12867</v>
      </c>
      <c r="J300" s="36" t="s">
        <v>12868</v>
      </c>
      <c r="K300" s="36" t="s">
        <v>12869</v>
      </c>
      <c r="L300" s="36" t="s">
        <v>12870</v>
      </c>
      <c r="M300" s="36" t="s">
        <v>12871</v>
      </c>
      <c r="N300" s="36" t="s">
        <v>12872</v>
      </c>
      <c r="O300" s="36" t="s">
        <v>12873</v>
      </c>
      <c r="P300" s="36" t="s">
        <v>12874</v>
      </c>
      <c r="Q300" s="36" t="s">
        <v>12875</v>
      </c>
      <c r="R300" s="36" t="s">
        <v>9040</v>
      </c>
      <c r="S300" s="36" t="s">
        <v>12876</v>
      </c>
      <c r="T300" s="36">
        <v>4</v>
      </c>
      <c r="U300" s="36">
        <v>3</v>
      </c>
      <c r="V300" s="36">
        <v>3</v>
      </c>
      <c r="W300" s="36">
        <v>2</v>
      </c>
      <c r="X300" s="36">
        <v>1</v>
      </c>
      <c r="Y300" s="36">
        <v>1</v>
      </c>
      <c r="Z300" s="36" t="s">
        <v>4665</v>
      </c>
      <c r="AA300" s="36" t="s">
        <v>4878</v>
      </c>
      <c r="AB300" s="36" t="s">
        <v>4673</v>
      </c>
      <c r="AC300" s="36" t="s">
        <v>4674</v>
      </c>
      <c r="AD300" s="36" t="s">
        <v>8175</v>
      </c>
    </row>
    <row r="301" spans="1:30" ht="72">
      <c r="A301" s="36" t="s">
        <v>4886</v>
      </c>
      <c r="B301" s="36" t="s">
        <v>90</v>
      </c>
      <c r="C301" s="36" t="s">
        <v>1473</v>
      </c>
      <c r="D301" s="36" t="s">
        <v>1446</v>
      </c>
      <c r="E301" s="36" t="s">
        <v>4887</v>
      </c>
      <c r="F301" s="36" t="s">
        <v>12877</v>
      </c>
      <c r="G301" s="36" t="s">
        <v>12878</v>
      </c>
      <c r="H301" s="36" t="s">
        <v>12879</v>
      </c>
      <c r="I301" s="36" t="s">
        <v>12880</v>
      </c>
      <c r="J301" s="36" t="s">
        <v>12881</v>
      </c>
      <c r="K301" s="36" t="s">
        <v>12882</v>
      </c>
      <c r="L301" s="36" t="s">
        <v>12883</v>
      </c>
      <c r="M301" s="36" t="s">
        <v>12884</v>
      </c>
      <c r="N301" s="36" t="s">
        <v>12885</v>
      </c>
      <c r="O301" s="36" t="s">
        <v>12886</v>
      </c>
      <c r="P301" s="36" t="s">
        <v>12887</v>
      </c>
      <c r="Q301" s="36" t="s">
        <v>12888</v>
      </c>
      <c r="R301" s="36" t="s">
        <v>9040</v>
      </c>
      <c r="S301" s="36" t="s">
        <v>12889</v>
      </c>
      <c r="T301" s="36">
        <v>4</v>
      </c>
      <c r="U301" s="36">
        <v>3</v>
      </c>
      <c r="V301" s="36">
        <v>3</v>
      </c>
      <c r="W301" s="36">
        <v>2</v>
      </c>
      <c r="X301" s="36">
        <v>1</v>
      </c>
      <c r="Y301" s="36">
        <v>1</v>
      </c>
      <c r="Z301" s="36" t="s">
        <v>4665</v>
      </c>
      <c r="AA301" s="36" t="s">
        <v>4888</v>
      </c>
      <c r="AB301" s="36" t="s">
        <v>4673</v>
      </c>
      <c r="AC301" s="36" t="s">
        <v>4674</v>
      </c>
      <c r="AD301" s="36" t="s">
        <v>8182</v>
      </c>
    </row>
    <row r="302" spans="1:30" ht="72">
      <c r="A302" s="36" t="s">
        <v>4896</v>
      </c>
      <c r="B302" s="36" t="s">
        <v>90</v>
      </c>
      <c r="C302" s="36" t="s">
        <v>1473</v>
      </c>
      <c r="D302" s="36" t="s">
        <v>1446</v>
      </c>
      <c r="E302" s="36" t="s">
        <v>4897</v>
      </c>
      <c r="F302" s="36" t="s">
        <v>12890</v>
      </c>
      <c r="G302" s="36" t="s">
        <v>12891</v>
      </c>
      <c r="H302" s="36" t="s">
        <v>12892</v>
      </c>
      <c r="I302" s="36" t="s">
        <v>12893</v>
      </c>
      <c r="J302" s="36" t="s">
        <v>12894</v>
      </c>
      <c r="K302" s="36" t="s">
        <v>12895</v>
      </c>
      <c r="L302" s="36" t="s">
        <v>12896</v>
      </c>
      <c r="M302" s="36" t="s">
        <v>12897</v>
      </c>
      <c r="N302" s="36" t="s">
        <v>12898</v>
      </c>
      <c r="O302" s="36" t="s">
        <v>12899</v>
      </c>
      <c r="P302" s="36" t="s">
        <v>12900</v>
      </c>
      <c r="Q302" s="36" t="s">
        <v>12901</v>
      </c>
      <c r="R302" s="36" t="s">
        <v>9040</v>
      </c>
      <c r="S302" s="36" t="s">
        <v>12902</v>
      </c>
      <c r="T302" s="36">
        <v>4</v>
      </c>
      <c r="U302" s="36">
        <v>3</v>
      </c>
      <c r="V302" s="36">
        <v>3</v>
      </c>
      <c r="W302" s="36">
        <v>2</v>
      </c>
      <c r="X302" s="36">
        <v>1</v>
      </c>
      <c r="Y302" s="36">
        <v>1</v>
      </c>
      <c r="Z302" s="36" t="s">
        <v>4665</v>
      </c>
      <c r="AA302" s="36" t="s">
        <v>4898</v>
      </c>
      <c r="AB302" s="36" t="s">
        <v>4673</v>
      </c>
      <c r="AC302" s="36" t="s">
        <v>4674</v>
      </c>
      <c r="AD302" s="36" t="s">
        <v>8189</v>
      </c>
    </row>
    <row r="303" spans="1:30" ht="72">
      <c r="A303" s="36" t="s">
        <v>4906</v>
      </c>
      <c r="B303" s="36" t="s">
        <v>90</v>
      </c>
      <c r="C303" s="36" t="s">
        <v>1481</v>
      </c>
      <c r="D303" s="36" t="s">
        <v>1446</v>
      </c>
      <c r="E303" s="36" t="s">
        <v>4907</v>
      </c>
      <c r="F303" s="36" t="s">
        <v>12903</v>
      </c>
      <c r="G303" s="36" t="s">
        <v>12904</v>
      </c>
      <c r="H303" s="36" t="s">
        <v>12905</v>
      </c>
      <c r="I303" s="36" t="s">
        <v>12906</v>
      </c>
      <c r="J303" s="36" t="s">
        <v>12907</v>
      </c>
      <c r="K303" s="36" t="s">
        <v>12908</v>
      </c>
      <c r="L303" s="36" t="s">
        <v>12909</v>
      </c>
      <c r="M303" s="36" t="s">
        <v>12910</v>
      </c>
      <c r="N303" s="36" t="s">
        <v>12911</v>
      </c>
      <c r="O303" s="36" t="s">
        <v>12912</v>
      </c>
      <c r="P303" s="36" t="s">
        <v>12913</v>
      </c>
      <c r="Q303" s="36" t="s">
        <v>12914</v>
      </c>
      <c r="R303" s="36" t="s">
        <v>9040</v>
      </c>
      <c r="S303" s="36" t="s">
        <v>12915</v>
      </c>
      <c r="T303" s="36">
        <v>4</v>
      </c>
      <c r="U303" s="36">
        <v>3</v>
      </c>
      <c r="V303" s="36">
        <v>3</v>
      </c>
      <c r="W303" s="36">
        <v>2</v>
      </c>
      <c r="X303" s="36">
        <v>1</v>
      </c>
      <c r="Y303" s="36">
        <v>1</v>
      </c>
      <c r="Z303" s="36" t="s">
        <v>4665</v>
      </c>
      <c r="AA303" s="36" t="s">
        <v>4908</v>
      </c>
      <c r="AB303" s="36" t="s">
        <v>4673</v>
      </c>
      <c r="AC303" s="36" t="s">
        <v>4674</v>
      </c>
      <c r="AD303" s="36" t="s">
        <v>8197</v>
      </c>
    </row>
    <row r="304" spans="1:30" ht="72">
      <c r="A304" s="36" t="s">
        <v>4916</v>
      </c>
      <c r="B304" s="36" t="s">
        <v>90</v>
      </c>
      <c r="C304" s="36" t="s">
        <v>1481</v>
      </c>
      <c r="D304" s="36" t="s">
        <v>1446</v>
      </c>
      <c r="E304" s="36" t="s">
        <v>4917</v>
      </c>
      <c r="F304" s="36" t="s">
        <v>12916</v>
      </c>
      <c r="G304" s="36" t="s">
        <v>12917</v>
      </c>
      <c r="H304" s="36" t="s">
        <v>12918</v>
      </c>
      <c r="I304" s="36" t="s">
        <v>12919</v>
      </c>
      <c r="J304" s="36" t="s">
        <v>12920</v>
      </c>
      <c r="K304" s="36" t="s">
        <v>12921</v>
      </c>
      <c r="L304" s="36" t="s">
        <v>12922</v>
      </c>
      <c r="M304" s="36" t="s">
        <v>12923</v>
      </c>
      <c r="N304" s="36" t="s">
        <v>12924</v>
      </c>
      <c r="O304" s="36" t="s">
        <v>12925</v>
      </c>
      <c r="P304" s="36" t="s">
        <v>12926</v>
      </c>
      <c r="Q304" s="36" t="s">
        <v>12927</v>
      </c>
      <c r="R304" s="36" t="s">
        <v>9040</v>
      </c>
      <c r="S304" s="36" t="s">
        <v>12928</v>
      </c>
      <c r="T304" s="36">
        <v>4</v>
      </c>
      <c r="U304" s="36">
        <v>3</v>
      </c>
      <c r="V304" s="36">
        <v>3</v>
      </c>
      <c r="W304" s="36">
        <v>2</v>
      </c>
      <c r="X304" s="36">
        <v>1</v>
      </c>
      <c r="Y304" s="36">
        <v>1</v>
      </c>
      <c r="Z304" s="36" t="s">
        <v>4665</v>
      </c>
      <c r="AA304" s="36" t="s">
        <v>4918</v>
      </c>
      <c r="AB304" s="36" t="s">
        <v>4673</v>
      </c>
      <c r="AC304" s="36" t="s">
        <v>4674</v>
      </c>
      <c r="AD304" s="36" t="s">
        <v>8204</v>
      </c>
    </row>
    <row r="305" spans="1:30" ht="72">
      <c r="A305" s="36" t="s">
        <v>4926</v>
      </c>
      <c r="B305" s="36" t="s">
        <v>90</v>
      </c>
      <c r="C305" s="36" t="s">
        <v>1481</v>
      </c>
      <c r="D305" s="36" t="s">
        <v>1446</v>
      </c>
      <c r="E305" s="36" t="s">
        <v>4927</v>
      </c>
      <c r="F305" s="36" t="s">
        <v>12929</v>
      </c>
      <c r="G305" s="36" t="s">
        <v>12930</v>
      </c>
      <c r="H305" s="36" t="s">
        <v>12931</v>
      </c>
      <c r="I305" s="36" t="s">
        <v>12932</v>
      </c>
      <c r="J305" s="36" t="s">
        <v>12933</v>
      </c>
      <c r="K305" s="36" t="s">
        <v>12934</v>
      </c>
      <c r="L305" s="36" t="s">
        <v>12935</v>
      </c>
      <c r="M305" s="36" t="s">
        <v>12936</v>
      </c>
      <c r="N305" s="36" t="s">
        <v>12937</v>
      </c>
      <c r="O305" s="36" t="s">
        <v>12938</v>
      </c>
      <c r="P305" s="36" t="s">
        <v>12939</v>
      </c>
      <c r="Q305" s="36" t="s">
        <v>12940</v>
      </c>
      <c r="R305" s="36" t="s">
        <v>9040</v>
      </c>
      <c r="S305" s="36" t="s">
        <v>12941</v>
      </c>
      <c r="T305" s="36">
        <v>4</v>
      </c>
      <c r="U305" s="36">
        <v>3</v>
      </c>
      <c r="V305" s="36">
        <v>3</v>
      </c>
      <c r="W305" s="36">
        <v>2</v>
      </c>
      <c r="X305" s="36">
        <v>1</v>
      </c>
      <c r="Y305" s="36">
        <v>1</v>
      </c>
      <c r="Z305" s="36" t="s">
        <v>4665</v>
      </c>
      <c r="AA305" s="36" t="s">
        <v>4928</v>
      </c>
      <c r="AB305" s="36" t="s">
        <v>4673</v>
      </c>
      <c r="AC305" s="36" t="s">
        <v>4674</v>
      </c>
      <c r="AD305" s="36" t="s">
        <v>8211</v>
      </c>
    </row>
    <row r="306" spans="1:30" ht="72">
      <c r="A306" s="36" t="s">
        <v>4936</v>
      </c>
      <c r="B306" s="36" t="s">
        <v>90</v>
      </c>
      <c r="C306" s="36" t="s">
        <v>1481</v>
      </c>
      <c r="D306" s="36" t="s">
        <v>1446</v>
      </c>
      <c r="E306" s="36" t="s">
        <v>4937</v>
      </c>
      <c r="F306" s="36" t="s">
        <v>12942</v>
      </c>
      <c r="G306" s="36" t="s">
        <v>12943</v>
      </c>
      <c r="H306" s="36" t="s">
        <v>12944</v>
      </c>
      <c r="I306" s="36" t="s">
        <v>12945</v>
      </c>
      <c r="J306" s="36" t="s">
        <v>12946</v>
      </c>
      <c r="K306" s="36" t="s">
        <v>12947</v>
      </c>
      <c r="L306" s="36" t="s">
        <v>12948</v>
      </c>
      <c r="M306" s="36" t="s">
        <v>12949</v>
      </c>
      <c r="N306" s="36" t="s">
        <v>12950</v>
      </c>
      <c r="O306" s="36" t="s">
        <v>12951</v>
      </c>
      <c r="P306" s="36" t="s">
        <v>12952</v>
      </c>
      <c r="Q306" s="36" t="s">
        <v>12953</v>
      </c>
      <c r="R306" s="36" t="s">
        <v>9040</v>
      </c>
      <c r="S306" s="36" t="s">
        <v>12954</v>
      </c>
      <c r="T306" s="36">
        <v>4</v>
      </c>
      <c r="U306" s="36">
        <v>3</v>
      </c>
      <c r="V306" s="36">
        <v>3</v>
      </c>
      <c r="W306" s="36">
        <v>2</v>
      </c>
      <c r="X306" s="36">
        <v>1</v>
      </c>
      <c r="Y306" s="36">
        <v>1</v>
      </c>
      <c r="Z306" s="36" t="s">
        <v>4665</v>
      </c>
      <c r="AA306" s="36" t="s">
        <v>4938</v>
      </c>
      <c r="AB306" s="36" t="s">
        <v>4673</v>
      </c>
      <c r="AC306" s="36" t="s">
        <v>4674</v>
      </c>
      <c r="AD306" s="36" t="s">
        <v>8218</v>
      </c>
    </row>
    <row r="307" spans="1:30" ht="72">
      <c r="A307" s="36" t="s">
        <v>4946</v>
      </c>
      <c r="B307" s="36" t="s">
        <v>90</v>
      </c>
      <c r="C307" s="36" t="s">
        <v>1481</v>
      </c>
      <c r="D307" s="36" t="s">
        <v>1446</v>
      </c>
      <c r="E307" s="36" t="s">
        <v>4947</v>
      </c>
      <c r="F307" s="36" t="s">
        <v>12955</v>
      </c>
      <c r="G307" s="36" t="s">
        <v>12956</v>
      </c>
      <c r="H307" s="36" t="s">
        <v>12957</v>
      </c>
      <c r="I307" s="36" t="s">
        <v>12958</v>
      </c>
      <c r="J307" s="36" t="s">
        <v>12959</v>
      </c>
      <c r="K307" s="36" t="s">
        <v>12960</v>
      </c>
      <c r="L307" s="36" t="s">
        <v>12961</v>
      </c>
      <c r="M307" s="36" t="s">
        <v>12962</v>
      </c>
      <c r="N307" s="36" t="s">
        <v>12963</v>
      </c>
      <c r="O307" s="36" t="s">
        <v>12964</v>
      </c>
      <c r="P307" s="36" t="s">
        <v>12965</v>
      </c>
      <c r="Q307" s="36" t="s">
        <v>12966</v>
      </c>
      <c r="R307" s="36" t="s">
        <v>9040</v>
      </c>
      <c r="S307" s="36" t="s">
        <v>12967</v>
      </c>
      <c r="T307" s="36">
        <v>4</v>
      </c>
      <c r="U307" s="36">
        <v>3</v>
      </c>
      <c r="V307" s="36">
        <v>3</v>
      </c>
      <c r="W307" s="36">
        <v>2</v>
      </c>
      <c r="X307" s="36">
        <v>1</v>
      </c>
      <c r="Y307" s="36">
        <v>1</v>
      </c>
      <c r="Z307" s="36" t="s">
        <v>4665</v>
      </c>
      <c r="AA307" s="36" t="s">
        <v>4948</v>
      </c>
      <c r="AB307" s="36" t="s">
        <v>4673</v>
      </c>
      <c r="AC307" s="36" t="s">
        <v>4674</v>
      </c>
      <c r="AD307" s="36" t="s">
        <v>8225</v>
      </c>
    </row>
    <row r="308" spans="1:30" ht="72">
      <c r="A308" s="36" t="s">
        <v>4958</v>
      </c>
      <c r="B308" s="36" t="s">
        <v>91</v>
      </c>
      <c r="C308" s="36" t="s">
        <v>1489</v>
      </c>
      <c r="D308" s="36" t="s">
        <v>1494</v>
      </c>
      <c r="E308" s="36" t="s">
        <v>4959</v>
      </c>
      <c r="F308" s="36" t="s">
        <v>12968</v>
      </c>
      <c r="G308" s="36" t="s">
        <v>12969</v>
      </c>
      <c r="H308" s="36" t="s">
        <v>12970</v>
      </c>
      <c r="I308" s="36" t="s">
        <v>12971</v>
      </c>
      <c r="J308" s="36" t="s">
        <v>12972</v>
      </c>
      <c r="K308" s="36" t="s">
        <v>12973</v>
      </c>
      <c r="L308" s="36" t="s">
        <v>12974</v>
      </c>
      <c r="M308" s="36" t="s">
        <v>12975</v>
      </c>
      <c r="N308" s="36" t="s">
        <v>12976</v>
      </c>
      <c r="O308" s="36" t="s">
        <v>12977</v>
      </c>
      <c r="P308" s="36" t="s">
        <v>12978</v>
      </c>
      <c r="Q308" s="36" t="s">
        <v>12979</v>
      </c>
      <c r="R308" s="36" t="s">
        <v>9040</v>
      </c>
      <c r="S308" s="36" t="s">
        <v>12980</v>
      </c>
      <c r="T308" s="36">
        <v>4</v>
      </c>
      <c r="U308" s="36">
        <v>3</v>
      </c>
      <c r="V308" s="36">
        <v>3</v>
      </c>
      <c r="W308" s="36">
        <v>2</v>
      </c>
      <c r="X308" s="36">
        <v>1</v>
      </c>
      <c r="Y308" s="36">
        <v>1</v>
      </c>
      <c r="Z308" s="36" t="s">
        <v>4961</v>
      </c>
      <c r="AA308" s="36" t="s">
        <v>4962</v>
      </c>
      <c r="AB308" s="36" t="s">
        <v>4969</v>
      </c>
      <c r="AC308" s="36" t="s">
        <v>4970</v>
      </c>
      <c r="AD308" s="36" t="s">
        <v>8233</v>
      </c>
    </row>
    <row r="309" spans="1:30" ht="84">
      <c r="A309" s="36" t="s">
        <v>4972</v>
      </c>
      <c r="B309" s="36" t="s">
        <v>91</v>
      </c>
      <c r="C309" s="36" t="s">
        <v>1489</v>
      </c>
      <c r="D309" s="36" t="s">
        <v>1494</v>
      </c>
      <c r="E309" s="36" t="s">
        <v>4973</v>
      </c>
      <c r="F309" s="36" t="s">
        <v>12981</v>
      </c>
      <c r="G309" s="36" t="s">
        <v>12982</v>
      </c>
      <c r="H309" s="36" t="s">
        <v>12983</v>
      </c>
      <c r="I309" s="36" t="s">
        <v>12984</v>
      </c>
      <c r="J309" s="36" t="s">
        <v>12985</v>
      </c>
      <c r="K309" s="36" t="s">
        <v>12986</v>
      </c>
      <c r="L309" s="36" t="s">
        <v>12987</v>
      </c>
      <c r="M309" s="36" t="s">
        <v>12988</v>
      </c>
      <c r="N309" s="36" t="s">
        <v>12989</v>
      </c>
      <c r="O309" s="36" t="s">
        <v>12990</v>
      </c>
      <c r="P309" s="36" t="s">
        <v>12991</v>
      </c>
      <c r="Q309" s="36" t="s">
        <v>12992</v>
      </c>
      <c r="R309" s="36" t="s">
        <v>9040</v>
      </c>
      <c r="S309" s="36" t="s">
        <v>12993</v>
      </c>
      <c r="T309" s="36">
        <v>4</v>
      </c>
      <c r="U309" s="36">
        <v>3</v>
      </c>
      <c r="V309" s="36">
        <v>3</v>
      </c>
      <c r="W309" s="36">
        <v>2</v>
      </c>
      <c r="X309" s="36">
        <v>1</v>
      </c>
      <c r="Y309" s="36">
        <v>1</v>
      </c>
      <c r="Z309" s="36" t="s">
        <v>4961</v>
      </c>
      <c r="AA309" s="36" t="s">
        <v>4974</v>
      </c>
      <c r="AB309" s="36" t="s">
        <v>4969</v>
      </c>
      <c r="AC309" s="36" t="s">
        <v>4970</v>
      </c>
      <c r="AD309" s="36" t="s">
        <v>8240</v>
      </c>
    </row>
    <row r="310" spans="1:30" ht="72">
      <c r="A310" s="36" t="s">
        <v>4982</v>
      </c>
      <c r="B310" s="36" t="s">
        <v>91</v>
      </c>
      <c r="C310" s="36" t="s">
        <v>1489</v>
      </c>
      <c r="D310" s="36" t="s">
        <v>1494</v>
      </c>
      <c r="E310" s="36" t="s">
        <v>4983</v>
      </c>
      <c r="F310" s="36" t="s">
        <v>12994</v>
      </c>
      <c r="G310" s="36" t="s">
        <v>12995</v>
      </c>
      <c r="H310" s="36" t="s">
        <v>12996</v>
      </c>
      <c r="I310" s="36" t="s">
        <v>12997</v>
      </c>
      <c r="J310" s="36" t="s">
        <v>12998</v>
      </c>
      <c r="K310" s="36" t="s">
        <v>12999</v>
      </c>
      <c r="L310" s="36" t="s">
        <v>13000</v>
      </c>
      <c r="M310" s="36" t="s">
        <v>13001</v>
      </c>
      <c r="N310" s="36" t="s">
        <v>13002</v>
      </c>
      <c r="O310" s="36" t="s">
        <v>13003</v>
      </c>
      <c r="P310" s="36" t="s">
        <v>13004</v>
      </c>
      <c r="Q310" s="36" t="s">
        <v>13005</v>
      </c>
      <c r="R310" s="36" t="s">
        <v>9040</v>
      </c>
      <c r="S310" s="36" t="s">
        <v>13006</v>
      </c>
      <c r="T310" s="36">
        <v>4</v>
      </c>
      <c r="U310" s="36">
        <v>3</v>
      </c>
      <c r="V310" s="36">
        <v>3</v>
      </c>
      <c r="W310" s="36">
        <v>2</v>
      </c>
      <c r="X310" s="36">
        <v>1</v>
      </c>
      <c r="Y310" s="36">
        <v>1</v>
      </c>
      <c r="Z310" s="36" t="s">
        <v>4961</v>
      </c>
      <c r="AA310" s="36" t="s">
        <v>4984</v>
      </c>
      <c r="AB310" s="36" t="s">
        <v>4969</v>
      </c>
      <c r="AC310" s="36" t="s">
        <v>4970</v>
      </c>
      <c r="AD310" s="36" t="s">
        <v>8247</v>
      </c>
    </row>
    <row r="311" spans="1:30" ht="72">
      <c r="A311" s="36" t="s">
        <v>4992</v>
      </c>
      <c r="B311" s="36" t="s">
        <v>91</v>
      </c>
      <c r="C311" s="36" t="s">
        <v>1489</v>
      </c>
      <c r="D311" s="36" t="s">
        <v>1494</v>
      </c>
      <c r="E311" s="36" t="s">
        <v>4993</v>
      </c>
      <c r="F311" s="36" t="s">
        <v>13007</v>
      </c>
      <c r="G311" s="36" t="s">
        <v>13008</v>
      </c>
      <c r="H311" s="36" t="s">
        <v>13009</v>
      </c>
      <c r="I311" s="36" t="s">
        <v>13010</v>
      </c>
      <c r="J311" s="36" t="s">
        <v>13011</v>
      </c>
      <c r="K311" s="36" t="s">
        <v>13012</v>
      </c>
      <c r="L311" s="36" t="s">
        <v>13013</v>
      </c>
      <c r="M311" s="36" t="s">
        <v>13014</v>
      </c>
      <c r="N311" s="36" t="s">
        <v>13015</v>
      </c>
      <c r="O311" s="36" t="s">
        <v>13016</v>
      </c>
      <c r="P311" s="36" t="s">
        <v>13017</v>
      </c>
      <c r="Q311" s="36" t="s">
        <v>13018</v>
      </c>
      <c r="R311" s="36" t="s">
        <v>9040</v>
      </c>
      <c r="S311" s="36" t="s">
        <v>13019</v>
      </c>
      <c r="T311" s="36">
        <v>4</v>
      </c>
      <c r="U311" s="36">
        <v>3</v>
      </c>
      <c r="V311" s="36">
        <v>3</v>
      </c>
      <c r="W311" s="36">
        <v>2</v>
      </c>
      <c r="X311" s="36">
        <v>1</v>
      </c>
      <c r="Y311" s="36">
        <v>1</v>
      </c>
      <c r="Z311" s="36" t="s">
        <v>4961</v>
      </c>
      <c r="AA311" s="36" t="s">
        <v>4994</v>
      </c>
      <c r="AB311" s="36" t="s">
        <v>4969</v>
      </c>
      <c r="AC311" s="36" t="s">
        <v>4970</v>
      </c>
      <c r="AD311" s="36" t="s">
        <v>8254</v>
      </c>
    </row>
    <row r="312" spans="1:30" ht="72">
      <c r="A312" s="36" t="s">
        <v>5002</v>
      </c>
      <c r="B312" s="36" t="s">
        <v>91</v>
      </c>
      <c r="C312" s="36" t="s">
        <v>1489</v>
      </c>
      <c r="D312" s="36" t="s">
        <v>1494</v>
      </c>
      <c r="E312" s="36" t="s">
        <v>5003</v>
      </c>
      <c r="F312" s="36" t="s">
        <v>13020</v>
      </c>
      <c r="G312" s="36" t="s">
        <v>13021</v>
      </c>
      <c r="H312" s="36" t="s">
        <v>13022</v>
      </c>
      <c r="I312" s="36" t="s">
        <v>13023</v>
      </c>
      <c r="J312" s="36" t="s">
        <v>13024</v>
      </c>
      <c r="K312" s="36" t="s">
        <v>13025</v>
      </c>
      <c r="L312" s="36" t="s">
        <v>13026</v>
      </c>
      <c r="M312" s="36" t="s">
        <v>13027</v>
      </c>
      <c r="N312" s="36" t="s">
        <v>13028</v>
      </c>
      <c r="O312" s="36" t="s">
        <v>13029</v>
      </c>
      <c r="P312" s="36" t="s">
        <v>13030</v>
      </c>
      <c r="Q312" s="36" t="s">
        <v>13031</v>
      </c>
      <c r="R312" s="36" t="s">
        <v>9040</v>
      </c>
      <c r="S312" s="36" t="s">
        <v>13032</v>
      </c>
      <c r="T312" s="36">
        <v>4</v>
      </c>
      <c r="U312" s="36">
        <v>3</v>
      </c>
      <c r="V312" s="36">
        <v>3</v>
      </c>
      <c r="W312" s="36">
        <v>2</v>
      </c>
      <c r="X312" s="36">
        <v>1</v>
      </c>
      <c r="Y312" s="36">
        <v>1</v>
      </c>
      <c r="Z312" s="36" t="s">
        <v>4961</v>
      </c>
      <c r="AA312" s="36" t="s">
        <v>5004</v>
      </c>
      <c r="AB312" s="36" t="s">
        <v>4969</v>
      </c>
      <c r="AC312" s="36" t="s">
        <v>4970</v>
      </c>
      <c r="AD312" s="36" t="s">
        <v>8261</v>
      </c>
    </row>
    <row r="313" spans="1:30" ht="72">
      <c r="A313" s="36" t="s">
        <v>5012</v>
      </c>
      <c r="B313" s="36" t="s">
        <v>91</v>
      </c>
      <c r="C313" s="36" t="s">
        <v>1503</v>
      </c>
      <c r="D313" s="36" t="s">
        <v>1494</v>
      </c>
      <c r="E313" s="36" t="s">
        <v>5013</v>
      </c>
      <c r="F313" s="36" t="s">
        <v>13033</v>
      </c>
      <c r="G313" s="36" t="s">
        <v>13034</v>
      </c>
      <c r="H313" s="36" t="s">
        <v>13035</v>
      </c>
      <c r="I313" s="36" t="s">
        <v>13036</v>
      </c>
      <c r="J313" s="36" t="s">
        <v>13037</v>
      </c>
      <c r="K313" s="36" t="s">
        <v>13038</v>
      </c>
      <c r="L313" s="36" t="s">
        <v>13039</v>
      </c>
      <c r="M313" s="36" t="s">
        <v>13040</v>
      </c>
      <c r="N313" s="36" t="s">
        <v>13041</v>
      </c>
      <c r="O313" s="36" t="s">
        <v>13042</v>
      </c>
      <c r="P313" s="36" t="s">
        <v>13043</v>
      </c>
      <c r="Q313" s="36" t="s">
        <v>13044</v>
      </c>
      <c r="R313" s="36" t="s">
        <v>9040</v>
      </c>
      <c r="S313" s="36" t="s">
        <v>13045</v>
      </c>
      <c r="T313" s="36">
        <v>4</v>
      </c>
      <c r="U313" s="36">
        <v>3</v>
      </c>
      <c r="V313" s="36">
        <v>3</v>
      </c>
      <c r="W313" s="36">
        <v>2</v>
      </c>
      <c r="X313" s="36">
        <v>1</v>
      </c>
      <c r="Y313" s="36">
        <v>1</v>
      </c>
      <c r="Z313" s="36" t="s">
        <v>4961</v>
      </c>
      <c r="AA313" s="36" t="s">
        <v>5014</v>
      </c>
      <c r="AB313" s="36" t="s">
        <v>4969</v>
      </c>
      <c r="AC313" s="36" t="s">
        <v>4970</v>
      </c>
      <c r="AD313" s="36" t="s">
        <v>8269</v>
      </c>
    </row>
    <row r="314" spans="1:30" ht="72">
      <c r="A314" s="36" t="s">
        <v>5022</v>
      </c>
      <c r="B314" s="36" t="s">
        <v>91</v>
      </c>
      <c r="C314" s="36" t="s">
        <v>1503</v>
      </c>
      <c r="D314" s="36" t="s">
        <v>1494</v>
      </c>
      <c r="E314" s="36" t="s">
        <v>5023</v>
      </c>
      <c r="F314" s="36" t="s">
        <v>13046</v>
      </c>
      <c r="G314" s="36" t="s">
        <v>13047</v>
      </c>
      <c r="H314" s="36" t="s">
        <v>13048</v>
      </c>
      <c r="I314" s="36" t="s">
        <v>13049</v>
      </c>
      <c r="J314" s="36" t="s">
        <v>13050</v>
      </c>
      <c r="K314" s="36" t="s">
        <v>13051</v>
      </c>
      <c r="L314" s="36" t="s">
        <v>13052</v>
      </c>
      <c r="M314" s="36" t="s">
        <v>13053</v>
      </c>
      <c r="N314" s="36" t="s">
        <v>13054</v>
      </c>
      <c r="O314" s="36" t="s">
        <v>13055</v>
      </c>
      <c r="P314" s="36" t="s">
        <v>13056</v>
      </c>
      <c r="Q314" s="36" t="s">
        <v>13057</v>
      </c>
      <c r="R314" s="36" t="s">
        <v>9040</v>
      </c>
      <c r="S314" s="36" t="s">
        <v>13058</v>
      </c>
      <c r="T314" s="36">
        <v>4</v>
      </c>
      <c r="U314" s="36">
        <v>3</v>
      </c>
      <c r="V314" s="36">
        <v>3</v>
      </c>
      <c r="W314" s="36">
        <v>2</v>
      </c>
      <c r="X314" s="36">
        <v>1</v>
      </c>
      <c r="Y314" s="36">
        <v>1</v>
      </c>
      <c r="Z314" s="36" t="s">
        <v>4961</v>
      </c>
      <c r="AA314" s="36" t="s">
        <v>5024</v>
      </c>
      <c r="AB314" s="36" t="s">
        <v>4969</v>
      </c>
      <c r="AC314" s="36" t="s">
        <v>4970</v>
      </c>
      <c r="AD314" s="36" t="s">
        <v>8276</v>
      </c>
    </row>
    <row r="315" spans="1:30" ht="72">
      <c r="A315" s="36" t="s">
        <v>5032</v>
      </c>
      <c r="B315" s="36" t="s">
        <v>91</v>
      </c>
      <c r="C315" s="36" t="s">
        <v>1503</v>
      </c>
      <c r="D315" s="36" t="s">
        <v>1494</v>
      </c>
      <c r="E315" s="36" t="s">
        <v>5033</v>
      </c>
      <c r="F315" s="36" t="s">
        <v>13059</v>
      </c>
      <c r="G315" s="36" t="s">
        <v>13060</v>
      </c>
      <c r="H315" s="36" t="s">
        <v>13061</v>
      </c>
      <c r="I315" s="36" t="s">
        <v>13062</v>
      </c>
      <c r="J315" s="36" t="s">
        <v>13063</v>
      </c>
      <c r="K315" s="36" t="s">
        <v>13064</v>
      </c>
      <c r="L315" s="36" t="s">
        <v>13065</v>
      </c>
      <c r="M315" s="36" t="s">
        <v>13066</v>
      </c>
      <c r="N315" s="36" t="s">
        <v>13067</v>
      </c>
      <c r="O315" s="36" t="s">
        <v>13068</v>
      </c>
      <c r="P315" s="36" t="s">
        <v>13069</v>
      </c>
      <c r="Q315" s="36" t="s">
        <v>13070</v>
      </c>
      <c r="R315" s="36" t="s">
        <v>9040</v>
      </c>
      <c r="S315" s="36" t="s">
        <v>13071</v>
      </c>
      <c r="T315" s="36">
        <v>4</v>
      </c>
      <c r="U315" s="36">
        <v>3</v>
      </c>
      <c r="V315" s="36">
        <v>3</v>
      </c>
      <c r="W315" s="36">
        <v>2</v>
      </c>
      <c r="X315" s="36">
        <v>1</v>
      </c>
      <c r="Y315" s="36">
        <v>1</v>
      </c>
      <c r="Z315" s="36" t="s">
        <v>4961</v>
      </c>
      <c r="AA315" s="36" t="s">
        <v>5034</v>
      </c>
      <c r="AB315" s="36" t="s">
        <v>4969</v>
      </c>
      <c r="AC315" s="36" t="s">
        <v>4970</v>
      </c>
      <c r="AD315" s="36" t="s">
        <v>8283</v>
      </c>
    </row>
    <row r="316" spans="1:30" ht="72">
      <c r="A316" s="36" t="s">
        <v>5042</v>
      </c>
      <c r="B316" s="36" t="s">
        <v>91</v>
      </c>
      <c r="C316" s="36" t="s">
        <v>1503</v>
      </c>
      <c r="D316" s="36" t="s">
        <v>1494</v>
      </c>
      <c r="E316" s="36" t="s">
        <v>5043</v>
      </c>
      <c r="F316" s="36" t="s">
        <v>13072</v>
      </c>
      <c r="G316" s="36" t="s">
        <v>13073</v>
      </c>
      <c r="H316" s="36" t="s">
        <v>13074</v>
      </c>
      <c r="I316" s="36" t="s">
        <v>13075</v>
      </c>
      <c r="J316" s="36" t="s">
        <v>13076</v>
      </c>
      <c r="K316" s="36" t="s">
        <v>13077</v>
      </c>
      <c r="L316" s="36" t="s">
        <v>13078</v>
      </c>
      <c r="M316" s="36" t="s">
        <v>13079</v>
      </c>
      <c r="N316" s="36" t="s">
        <v>13080</v>
      </c>
      <c r="O316" s="36" t="s">
        <v>13081</v>
      </c>
      <c r="P316" s="36" t="s">
        <v>13082</v>
      </c>
      <c r="Q316" s="36" t="s">
        <v>13083</v>
      </c>
      <c r="R316" s="36" t="s">
        <v>9040</v>
      </c>
      <c r="S316" s="36" t="s">
        <v>13084</v>
      </c>
      <c r="T316" s="36">
        <v>4</v>
      </c>
      <c r="U316" s="36">
        <v>3</v>
      </c>
      <c r="V316" s="36">
        <v>3</v>
      </c>
      <c r="W316" s="36">
        <v>2</v>
      </c>
      <c r="X316" s="36">
        <v>1</v>
      </c>
      <c r="Y316" s="36">
        <v>1</v>
      </c>
      <c r="Z316" s="36" t="s">
        <v>4961</v>
      </c>
      <c r="AA316" s="36" t="s">
        <v>5044</v>
      </c>
      <c r="AB316" s="36" t="s">
        <v>4969</v>
      </c>
      <c r="AC316" s="36" t="s">
        <v>4970</v>
      </c>
      <c r="AD316" s="36" t="s">
        <v>8290</v>
      </c>
    </row>
    <row r="317" spans="1:30" ht="72">
      <c r="A317" s="36" t="s">
        <v>5052</v>
      </c>
      <c r="B317" s="36" t="s">
        <v>91</v>
      </c>
      <c r="C317" s="36" t="s">
        <v>1511</v>
      </c>
      <c r="D317" s="36" t="s">
        <v>1494</v>
      </c>
      <c r="E317" s="36" t="s">
        <v>5053</v>
      </c>
      <c r="F317" s="36" t="s">
        <v>13085</v>
      </c>
      <c r="G317" s="36" t="s">
        <v>13086</v>
      </c>
      <c r="H317" s="36" t="s">
        <v>13087</v>
      </c>
      <c r="I317" s="36" t="s">
        <v>13088</v>
      </c>
      <c r="J317" s="36" t="s">
        <v>13089</v>
      </c>
      <c r="K317" s="36" t="s">
        <v>13090</v>
      </c>
      <c r="L317" s="36" t="s">
        <v>13091</v>
      </c>
      <c r="M317" s="36" t="s">
        <v>13092</v>
      </c>
      <c r="N317" s="36" t="s">
        <v>13093</v>
      </c>
      <c r="O317" s="36" t="s">
        <v>13094</v>
      </c>
      <c r="P317" s="36" t="s">
        <v>13095</v>
      </c>
      <c r="Q317" s="36" t="s">
        <v>13096</v>
      </c>
      <c r="R317" s="36" t="s">
        <v>9040</v>
      </c>
      <c r="S317" s="36" t="s">
        <v>13097</v>
      </c>
      <c r="T317" s="36">
        <v>4</v>
      </c>
      <c r="U317" s="36">
        <v>3</v>
      </c>
      <c r="V317" s="36">
        <v>3</v>
      </c>
      <c r="W317" s="36">
        <v>2</v>
      </c>
      <c r="X317" s="36">
        <v>1</v>
      </c>
      <c r="Y317" s="36">
        <v>1</v>
      </c>
      <c r="Z317" s="36" t="s">
        <v>4961</v>
      </c>
      <c r="AA317" s="36" t="s">
        <v>5054</v>
      </c>
      <c r="AB317" s="36" t="s">
        <v>4969</v>
      </c>
      <c r="AC317" s="36" t="s">
        <v>4970</v>
      </c>
      <c r="AD317" s="36" t="s">
        <v>8298</v>
      </c>
    </row>
    <row r="318" spans="1:30" ht="72">
      <c r="A318" s="36" t="s">
        <v>5062</v>
      </c>
      <c r="B318" s="36" t="s">
        <v>91</v>
      </c>
      <c r="C318" s="36" t="s">
        <v>1511</v>
      </c>
      <c r="D318" s="36" t="s">
        <v>1494</v>
      </c>
      <c r="E318" s="36" t="s">
        <v>5063</v>
      </c>
      <c r="F318" s="36" t="s">
        <v>13098</v>
      </c>
      <c r="G318" s="36" t="s">
        <v>13099</v>
      </c>
      <c r="H318" s="36" t="s">
        <v>13100</v>
      </c>
      <c r="I318" s="36" t="s">
        <v>13101</v>
      </c>
      <c r="J318" s="36" t="s">
        <v>13102</v>
      </c>
      <c r="K318" s="36" t="s">
        <v>13103</v>
      </c>
      <c r="L318" s="36" t="s">
        <v>13104</v>
      </c>
      <c r="M318" s="36" t="s">
        <v>13105</v>
      </c>
      <c r="N318" s="36" t="s">
        <v>13106</v>
      </c>
      <c r="O318" s="36" t="s">
        <v>13107</v>
      </c>
      <c r="P318" s="36" t="s">
        <v>13108</v>
      </c>
      <c r="Q318" s="36" t="s">
        <v>13109</v>
      </c>
      <c r="R318" s="36" t="s">
        <v>9040</v>
      </c>
      <c r="S318" s="36" t="s">
        <v>13110</v>
      </c>
      <c r="T318" s="36">
        <v>4</v>
      </c>
      <c r="U318" s="36">
        <v>3</v>
      </c>
      <c r="V318" s="36">
        <v>3</v>
      </c>
      <c r="W318" s="36">
        <v>2</v>
      </c>
      <c r="X318" s="36">
        <v>1</v>
      </c>
      <c r="Y318" s="36">
        <v>1</v>
      </c>
      <c r="Z318" s="36" t="s">
        <v>4961</v>
      </c>
      <c r="AA318" s="36" t="s">
        <v>5064</v>
      </c>
      <c r="AB318" s="36" t="s">
        <v>4969</v>
      </c>
      <c r="AC318" s="36" t="s">
        <v>4970</v>
      </c>
      <c r="AD318" s="36" t="s">
        <v>8305</v>
      </c>
    </row>
    <row r="319" spans="1:30" ht="72">
      <c r="A319" s="36" t="s">
        <v>5072</v>
      </c>
      <c r="B319" s="36" t="s">
        <v>91</v>
      </c>
      <c r="C319" s="36" t="s">
        <v>1511</v>
      </c>
      <c r="D319" s="36" t="s">
        <v>1494</v>
      </c>
      <c r="E319" s="36" t="s">
        <v>5073</v>
      </c>
      <c r="F319" s="36" t="s">
        <v>13111</v>
      </c>
      <c r="G319" s="36" t="s">
        <v>13112</v>
      </c>
      <c r="H319" s="36" t="s">
        <v>13113</v>
      </c>
      <c r="I319" s="36" t="s">
        <v>13114</v>
      </c>
      <c r="J319" s="36" t="s">
        <v>13115</v>
      </c>
      <c r="K319" s="36" t="s">
        <v>13116</v>
      </c>
      <c r="L319" s="36" t="s">
        <v>13117</v>
      </c>
      <c r="M319" s="36" t="s">
        <v>13118</v>
      </c>
      <c r="N319" s="36" t="s">
        <v>13119</v>
      </c>
      <c r="O319" s="36" t="s">
        <v>13120</v>
      </c>
      <c r="P319" s="36" t="s">
        <v>13121</v>
      </c>
      <c r="Q319" s="36" t="s">
        <v>13122</v>
      </c>
      <c r="R319" s="36" t="s">
        <v>9040</v>
      </c>
      <c r="S319" s="36" t="s">
        <v>13123</v>
      </c>
      <c r="T319" s="36">
        <v>4</v>
      </c>
      <c r="U319" s="36">
        <v>3</v>
      </c>
      <c r="V319" s="36">
        <v>3</v>
      </c>
      <c r="W319" s="36">
        <v>2</v>
      </c>
      <c r="X319" s="36">
        <v>1</v>
      </c>
      <c r="Y319" s="36">
        <v>1</v>
      </c>
      <c r="Z319" s="36" t="s">
        <v>4961</v>
      </c>
      <c r="AA319" s="36" t="s">
        <v>5074</v>
      </c>
      <c r="AB319" s="36" t="s">
        <v>4969</v>
      </c>
      <c r="AC319" s="36" t="s">
        <v>4970</v>
      </c>
      <c r="AD319" s="36" t="s">
        <v>8312</v>
      </c>
    </row>
    <row r="320" spans="1:30" ht="72">
      <c r="A320" s="36" t="s">
        <v>5082</v>
      </c>
      <c r="B320" s="36" t="s">
        <v>91</v>
      </c>
      <c r="C320" s="36" t="s">
        <v>1511</v>
      </c>
      <c r="D320" s="36" t="s">
        <v>1494</v>
      </c>
      <c r="E320" s="36" t="s">
        <v>5083</v>
      </c>
      <c r="F320" s="36" t="s">
        <v>13124</v>
      </c>
      <c r="G320" s="36" t="s">
        <v>13125</v>
      </c>
      <c r="H320" s="36" t="s">
        <v>13126</v>
      </c>
      <c r="I320" s="36" t="s">
        <v>13127</v>
      </c>
      <c r="J320" s="36" t="s">
        <v>13128</v>
      </c>
      <c r="K320" s="36" t="s">
        <v>13129</v>
      </c>
      <c r="L320" s="36" t="s">
        <v>13130</v>
      </c>
      <c r="M320" s="36" t="s">
        <v>13131</v>
      </c>
      <c r="N320" s="36" t="s">
        <v>13132</v>
      </c>
      <c r="O320" s="36" t="s">
        <v>13133</v>
      </c>
      <c r="P320" s="36" t="s">
        <v>13134</v>
      </c>
      <c r="Q320" s="36" t="s">
        <v>13135</v>
      </c>
      <c r="R320" s="36" t="s">
        <v>9040</v>
      </c>
      <c r="S320" s="36" t="s">
        <v>13136</v>
      </c>
      <c r="T320" s="36">
        <v>4</v>
      </c>
      <c r="U320" s="36">
        <v>3</v>
      </c>
      <c r="V320" s="36">
        <v>3</v>
      </c>
      <c r="W320" s="36">
        <v>2</v>
      </c>
      <c r="X320" s="36">
        <v>1</v>
      </c>
      <c r="Y320" s="36">
        <v>1</v>
      </c>
      <c r="Z320" s="36" t="s">
        <v>4961</v>
      </c>
      <c r="AA320" s="36" t="s">
        <v>5084</v>
      </c>
      <c r="AB320" s="36" t="s">
        <v>4969</v>
      </c>
      <c r="AC320" s="36" t="s">
        <v>4970</v>
      </c>
      <c r="AD320" s="36" t="s">
        <v>8319</v>
      </c>
    </row>
    <row r="321" spans="1:30" ht="72">
      <c r="A321" s="36" t="s">
        <v>5092</v>
      </c>
      <c r="B321" s="36" t="s">
        <v>91</v>
      </c>
      <c r="C321" s="36" t="s">
        <v>1519</v>
      </c>
      <c r="D321" s="36" t="s">
        <v>1494</v>
      </c>
      <c r="E321" s="36" t="s">
        <v>5093</v>
      </c>
      <c r="F321" s="36" t="s">
        <v>13137</v>
      </c>
      <c r="G321" s="36" t="s">
        <v>13138</v>
      </c>
      <c r="H321" s="36" t="s">
        <v>13139</v>
      </c>
      <c r="I321" s="36" t="s">
        <v>13140</v>
      </c>
      <c r="J321" s="36" t="s">
        <v>13141</v>
      </c>
      <c r="K321" s="36" t="s">
        <v>13142</v>
      </c>
      <c r="L321" s="36" t="s">
        <v>13143</v>
      </c>
      <c r="M321" s="36" t="s">
        <v>13144</v>
      </c>
      <c r="N321" s="36" t="s">
        <v>13145</v>
      </c>
      <c r="O321" s="36" t="s">
        <v>13146</v>
      </c>
      <c r="P321" s="36" t="s">
        <v>13147</v>
      </c>
      <c r="Q321" s="36" t="s">
        <v>13148</v>
      </c>
      <c r="R321" s="36" t="s">
        <v>9040</v>
      </c>
      <c r="S321" s="36" t="s">
        <v>13149</v>
      </c>
      <c r="T321" s="36">
        <v>4</v>
      </c>
      <c r="U321" s="36">
        <v>3</v>
      </c>
      <c r="V321" s="36">
        <v>3</v>
      </c>
      <c r="W321" s="36">
        <v>2</v>
      </c>
      <c r="X321" s="36">
        <v>1</v>
      </c>
      <c r="Y321" s="36">
        <v>1</v>
      </c>
      <c r="Z321" s="36" t="s">
        <v>4961</v>
      </c>
      <c r="AA321" s="36" t="s">
        <v>5094</v>
      </c>
      <c r="AB321" s="36" t="s">
        <v>4969</v>
      </c>
      <c r="AC321" s="36" t="s">
        <v>4970</v>
      </c>
      <c r="AD321" s="36" t="s">
        <v>8327</v>
      </c>
    </row>
    <row r="322" spans="1:30" ht="72">
      <c r="A322" s="36" t="s">
        <v>5102</v>
      </c>
      <c r="B322" s="36" t="s">
        <v>91</v>
      </c>
      <c r="C322" s="36" t="s">
        <v>1519</v>
      </c>
      <c r="D322" s="36" t="s">
        <v>1494</v>
      </c>
      <c r="E322" s="36" t="s">
        <v>5103</v>
      </c>
      <c r="F322" s="36" t="s">
        <v>13150</v>
      </c>
      <c r="G322" s="36" t="s">
        <v>13151</v>
      </c>
      <c r="H322" s="36" t="s">
        <v>13152</v>
      </c>
      <c r="I322" s="36" t="s">
        <v>13153</v>
      </c>
      <c r="J322" s="36" t="s">
        <v>13154</v>
      </c>
      <c r="K322" s="36" t="s">
        <v>13155</v>
      </c>
      <c r="L322" s="36" t="s">
        <v>13156</v>
      </c>
      <c r="M322" s="36" t="s">
        <v>13157</v>
      </c>
      <c r="N322" s="36" t="s">
        <v>13158</v>
      </c>
      <c r="O322" s="36" t="s">
        <v>13159</v>
      </c>
      <c r="P322" s="36" t="s">
        <v>13160</v>
      </c>
      <c r="Q322" s="36" t="s">
        <v>13161</v>
      </c>
      <c r="R322" s="36" t="s">
        <v>9040</v>
      </c>
      <c r="S322" s="36" t="s">
        <v>13162</v>
      </c>
      <c r="T322" s="36">
        <v>4</v>
      </c>
      <c r="U322" s="36">
        <v>3</v>
      </c>
      <c r="V322" s="36">
        <v>3</v>
      </c>
      <c r="W322" s="36">
        <v>2</v>
      </c>
      <c r="X322" s="36">
        <v>1</v>
      </c>
      <c r="Y322" s="36">
        <v>1</v>
      </c>
      <c r="Z322" s="36" t="s">
        <v>4961</v>
      </c>
      <c r="AA322" s="36" t="s">
        <v>5104</v>
      </c>
      <c r="AB322" s="36" t="s">
        <v>4969</v>
      </c>
      <c r="AC322" s="36" t="s">
        <v>4970</v>
      </c>
      <c r="AD322" s="36" t="s">
        <v>8334</v>
      </c>
    </row>
    <row r="323" spans="1:30" ht="72">
      <c r="A323" s="36" t="s">
        <v>5112</v>
      </c>
      <c r="B323" s="36" t="s">
        <v>91</v>
      </c>
      <c r="C323" s="36" t="s">
        <v>1519</v>
      </c>
      <c r="D323" s="36" t="s">
        <v>1494</v>
      </c>
      <c r="E323" s="36" t="s">
        <v>5113</v>
      </c>
      <c r="F323" s="36" t="s">
        <v>13163</v>
      </c>
      <c r="G323" s="36" t="s">
        <v>13164</v>
      </c>
      <c r="H323" s="36" t="s">
        <v>13165</v>
      </c>
      <c r="I323" s="36" t="s">
        <v>13166</v>
      </c>
      <c r="J323" s="36" t="s">
        <v>13167</v>
      </c>
      <c r="K323" s="36" t="s">
        <v>13168</v>
      </c>
      <c r="L323" s="36" t="s">
        <v>13169</v>
      </c>
      <c r="M323" s="36" t="s">
        <v>13170</v>
      </c>
      <c r="N323" s="36" t="s">
        <v>13171</v>
      </c>
      <c r="O323" s="36" t="s">
        <v>13172</v>
      </c>
      <c r="P323" s="36" t="s">
        <v>13173</v>
      </c>
      <c r="Q323" s="36" t="s">
        <v>13174</v>
      </c>
      <c r="R323" s="36" t="s">
        <v>9040</v>
      </c>
      <c r="S323" s="36" t="s">
        <v>13175</v>
      </c>
      <c r="T323" s="36">
        <v>4</v>
      </c>
      <c r="U323" s="36">
        <v>3</v>
      </c>
      <c r="V323" s="36">
        <v>3</v>
      </c>
      <c r="W323" s="36">
        <v>2</v>
      </c>
      <c r="X323" s="36">
        <v>1</v>
      </c>
      <c r="Y323" s="36">
        <v>1</v>
      </c>
      <c r="Z323" s="36" t="s">
        <v>4961</v>
      </c>
      <c r="AA323" s="36" t="s">
        <v>5114</v>
      </c>
      <c r="AB323" s="36" t="s">
        <v>4969</v>
      </c>
      <c r="AC323" s="36" t="s">
        <v>4970</v>
      </c>
      <c r="AD323" s="36" t="s">
        <v>8341</v>
      </c>
    </row>
    <row r="324" spans="1:30" ht="72">
      <c r="A324" s="36" t="s">
        <v>5122</v>
      </c>
      <c r="B324" s="36" t="s">
        <v>91</v>
      </c>
      <c r="C324" s="36" t="s">
        <v>1519</v>
      </c>
      <c r="D324" s="36" t="s">
        <v>1494</v>
      </c>
      <c r="E324" s="36" t="s">
        <v>5123</v>
      </c>
      <c r="F324" s="36" t="s">
        <v>13176</v>
      </c>
      <c r="G324" s="36" t="s">
        <v>13177</v>
      </c>
      <c r="H324" s="36" t="s">
        <v>13178</v>
      </c>
      <c r="I324" s="36" t="s">
        <v>13179</v>
      </c>
      <c r="J324" s="36" t="s">
        <v>13180</v>
      </c>
      <c r="K324" s="36" t="s">
        <v>13181</v>
      </c>
      <c r="L324" s="36" t="s">
        <v>13182</v>
      </c>
      <c r="M324" s="36" t="s">
        <v>13183</v>
      </c>
      <c r="N324" s="36" t="s">
        <v>13184</v>
      </c>
      <c r="O324" s="36" t="s">
        <v>13185</v>
      </c>
      <c r="P324" s="36" t="s">
        <v>13186</v>
      </c>
      <c r="Q324" s="36" t="s">
        <v>13187</v>
      </c>
      <c r="R324" s="36" t="s">
        <v>9040</v>
      </c>
      <c r="S324" s="36" t="s">
        <v>13188</v>
      </c>
      <c r="T324" s="36">
        <v>4</v>
      </c>
      <c r="U324" s="36">
        <v>3</v>
      </c>
      <c r="V324" s="36">
        <v>3</v>
      </c>
      <c r="W324" s="36">
        <v>2</v>
      </c>
      <c r="X324" s="36">
        <v>1</v>
      </c>
      <c r="Y324" s="36">
        <v>1</v>
      </c>
      <c r="Z324" s="36" t="s">
        <v>4961</v>
      </c>
      <c r="AA324" s="36" t="s">
        <v>5124</v>
      </c>
      <c r="AB324" s="36" t="s">
        <v>4969</v>
      </c>
      <c r="AC324" s="36" t="s">
        <v>4970</v>
      </c>
      <c r="AD324" s="36" t="s">
        <v>8348</v>
      </c>
    </row>
    <row r="325" spans="1:30" ht="72">
      <c r="A325" s="36" t="s">
        <v>5132</v>
      </c>
      <c r="B325" s="36" t="s">
        <v>91</v>
      </c>
      <c r="C325" s="36" t="s">
        <v>1527</v>
      </c>
      <c r="D325" s="36" t="s">
        <v>1494</v>
      </c>
      <c r="E325" s="36" t="s">
        <v>5133</v>
      </c>
      <c r="F325" s="36" t="s">
        <v>13189</v>
      </c>
      <c r="G325" s="36" t="s">
        <v>13190</v>
      </c>
      <c r="H325" s="36" t="s">
        <v>13191</v>
      </c>
      <c r="I325" s="36" t="s">
        <v>13192</v>
      </c>
      <c r="J325" s="36" t="s">
        <v>13193</v>
      </c>
      <c r="K325" s="36" t="s">
        <v>13194</v>
      </c>
      <c r="L325" s="36" t="s">
        <v>13195</v>
      </c>
      <c r="M325" s="36" t="s">
        <v>13196</v>
      </c>
      <c r="N325" s="36" t="s">
        <v>13197</v>
      </c>
      <c r="O325" s="36" t="s">
        <v>13198</v>
      </c>
      <c r="P325" s="36" t="s">
        <v>13199</v>
      </c>
      <c r="Q325" s="36" t="s">
        <v>13200</v>
      </c>
      <c r="R325" s="36" t="s">
        <v>9040</v>
      </c>
      <c r="S325" s="36" t="s">
        <v>13201</v>
      </c>
      <c r="T325" s="36">
        <v>4</v>
      </c>
      <c r="U325" s="36">
        <v>3</v>
      </c>
      <c r="V325" s="36">
        <v>3</v>
      </c>
      <c r="W325" s="36">
        <v>2</v>
      </c>
      <c r="X325" s="36">
        <v>1</v>
      </c>
      <c r="Y325" s="36">
        <v>1</v>
      </c>
      <c r="Z325" s="36" t="s">
        <v>4961</v>
      </c>
      <c r="AA325" s="36" t="s">
        <v>5134</v>
      </c>
      <c r="AB325" s="36" t="s">
        <v>4969</v>
      </c>
      <c r="AC325" s="36" t="s">
        <v>4970</v>
      </c>
      <c r="AD325" s="36" t="s">
        <v>8356</v>
      </c>
    </row>
    <row r="326" spans="1:30" ht="72">
      <c r="A326" s="36" t="s">
        <v>5142</v>
      </c>
      <c r="B326" s="36" t="s">
        <v>91</v>
      </c>
      <c r="C326" s="36" t="s">
        <v>1527</v>
      </c>
      <c r="D326" s="36" t="s">
        <v>1494</v>
      </c>
      <c r="E326" s="36" t="s">
        <v>5143</v>
      </c>
      <c r="F326" s="36" t="s">
        <v>13202</v>
      </c>
      <c r="G326" s="36" t="s">
        <v>13203</v>
      </c>
      <c r="H326" s="36" t="s">
        <v>13204</v>
      </c>
      <c r="I326" s="36" t="s">
        <v>13205</v>
      </c>
      <c r="J326" s="36" t="s">
        <v>13206</v>
      </c>
      <c r="K326" s="36" t="s">
        <v>13207</v>
      </c>
      <c r="L326" s="36" t="s">
        <v>13208</v>
      </c>
      <c r="M326" s="36" t="s">
        <v>13209</v>
      </c>
      <c r="N326" s="36" t="s">
        <v>13210</v>
      </c>
      <c r="O326" s="36" t="s">
        <v>13211</v>
      </c>
      <c r="P326" s="36" t="s">
        <v>13212</v>
      </c>
      <c r="Q326" s="36" t="s">
        <v>13213</v>
      </c>
      <c r="R326" s="36" t="s">
        <v>9040</v>
      </c>
      <c r="S326" s="36" t="s">
        <v>13214</v>
      </c>
      <c r="T326" s="36">
        <v>4</v>
      </c>
      <c r="U326" s="36">
        <v>3</v>
      </c>
      <c r="V326" s="36">
        <v>3</v>
      </c>
      <c r="W326" s="36">
        <v>2</v>
      </c>
      <c r="X326" s="36">
        <v>1</v>
      </c>
      <c r="Y326" s="36">
        <v>1</v>
      </c>
      <c r="Z326" s="36" t="s">
        <v>4961</v>
      </c>
      <c r="AA326" s="36" t="s">
        <v>5144</v>
      </c>
      <c r="AB326" s="36" t="s">
        <v>4969</v>
      </c>
      <c r="AC326" s="36" t="s">
        <v>4970</v>
      </c>
      <c r="AD326" s="36" t="s">
        <v>8363</v>
      </c>
    </row>
    <row r="327" spans="1:30" ht="84">
      <c r="A327" s="36" t="s">
        <v>5152</v>
      </c>
      <c r="B327" s="36" t="s">
        <v>91</v>
      </c>
      <c r="C327" s="36" t="s">
        <v>1527</v>
      </c>
      <c r="D327" s="36" t="s">
        <v>1494</v>
      </c>
      <c r="E327" s="36" t="s">
        <v>5153</v>
      </c>
      <c r="F327" s="36" t="s">
        <v>13215</v>
      </c>
      <c r="G327" s="36" t="s">
        <v>13216</v>
      </c>
      <c r="H327" s="36" t="s">
        <v>13217</v>
      </c>
      <c r="I327" s="36" t="s">
        <v>13218</v>
      </c>
      <c r="J327" s="36" t="s">
        <v>13219</v>
      </c>
      <c r="K327" s="36" t="s">
        <v>13220</v>
      </c>
      <c r="L327" s="36" t="s">
        <v>13221</v>
      </c>
      <c r="M327" s="36" t="s">
        <v>13222</v>
      </c>
      <c r="N327" s="36" t="s">
        <v>13223</v>
      </c>
      <c r="O327" s="36" t="s">
        <v>13224</v>
      </c>
      <c r="P327" s="36" t="s">
        <v>13225</v>
      </c>
      <c r="Q327" s="36" t="s">
        <v>13226</v>
      </c>
      <c r="R327" s="36" t="s">
        <v>9040</v>
      </c>
      <c r="S327" s="36" t="s">
        <v>13227</v>
      </c>
      <c r="T327" s="36">
        <v>4</v>
      </c>
      <c r="U327" s="36">
        <v>3</v>
      </c>
      <c r="V327" s="36">
        <v>3</v>
      </c>
      <c r="W327" s="36">
        <v>2</v>
      </c>
      <c r="X327" s="36">
        <v>1</v>
      </c>
      <c r="Y327" s="36">
        <v>1</v>
      </c>
      <c r="Z327" s="36" t="s">
        <v>4961</v>
      </c>
      <c r="AA327" s="36" t="s">
        <v>5154</v>
      </c>
      <c r="AB327" s="36" t="s">
        <v>4969</v>
      </c>
      <c r="AC327" s="36" t="s">
        <v>4970</v>
      </c>
      <c r="AD327" s="36" t="s">
        <v>8370</v>
      </c>
    </row>
    <row r="328" spans="1:30" ht="72">
      <c r="A328" s="36" t="s">
        <v>5162</v>
      </c>
      <c r="B328" s="36" t="s">
        <v>91</v>
      </c>
      <c r="C328" s="36" t="s">
        <v>1527</v>
      </c>
      <c r="D328" s="36" t="s">
        <v>1494</v>
      </c>
      <c r="E328" s="36" t="s">
        <v>5163</v>
      </c>
      <c r="F328" s="36" t="s">
        <v>13228</v>
      </c>
      <c r="G328" s="36" t="s">
        <v>13229</v>
      </c>
      <c r="H328" s="36" t="s">
        <v>13230</v>
      </c>
      <c r="I328" s="36" t="s">
        <v>13231</v>
      </c>
      <c r="J328" s="36" t="s">
        <v>13232</v>
      </c>
      <c r="K328" s="36" t="s">
        <v>13233</v>
      </c>
      <c r="L328" s="36" t="s">
        <v>13234</v>
      </c>
      <c r="M328" s="36" t="s">
        <v>13235</v>
      </c>
      <c r="N328" s="36" t="s">
        <v>13236</v>
      </c>
      <c r="O328" s="36" t="s">
        <v>13237</v>
      </c>
      <c r="P328" s="36" t="s">
        <v>13238</v>
      </c>
      <c r="Q328" s="36" t="s">
        <v>13239</v>
      </c>
      <c r="R328" s="36" t="s">
        <v>9040</v>
      </c>
      <c r="S328" s="36" t="s">
        <v>13240</v>
      </c>
      <c r="T328" s="36">
        <v>4</v>
      </c>
      <c r="U328" s="36">
        <v>3</v>
      </c>
      <c r="V328" s="36">
        <v>3</v>
      </c>
      <c r="W328" s="36">
        <v>2</v>
      </c>
      <c r="X328" s="36">
        <v>1</v>
      </c>
      <c r="Y328" s="36">
        <v>1</v>
      </c>
      <c r="Z328" s="36" t="s">
        <v>4961</v>
      </c>
      <c r="AA328" s="36" t="s">
        <v>5164</v>
      </c>
      <c r="AB328" s="36" t="s">
        <v>4969</v>
      </c>
      <c r="AC328" s="36" t="s">
        <v>4970</v>
      </c>
      <c r="AD328" s="36" t="s">
        <v>8377</v>
      </c>
    </row>
    <row r="329" spans="1:30" ht="72">
      <c r="A329" s="36" t="s">
        <v>5172</v>
      </c>
      <c r="B329" s="36" t="s">
        <v>91</v>
      </c>
      <c r="C329" s="36" t="s">
        <v>1527</v>
      </c>
      <c r="D329" s="36" t="s">
        <v>1494</v>
      </c>
      <c r="E329" s="36" t="s">
        <v>5173</v>
      </c>
      <c r="F329" s="36" t="s">
        <v>13241</v>
      </c>
      <c r="G329" s="36" t="s">
        <v>13242</v>
      </c>
      <c r="H329" s="36" t="s">
        <v>13243</v>
      </c>
      <c r="I329" s="36" t="s">
        <v>13244</v>
      </c>
      <c r="J329" s="36" t="s">
        <v>13245</v>
      </c>
      <c r="K329" s="36" t="s">
        <v>13246</v>
      </c>
      <c r="L329" s="36" t="s">
        <v>13247</v>
      </c>
      <c r="M329" s="36" t="s">
        <v>13248</v>
      </c>
      <c r="N329" s="36" t="s">
        <v>13249</v>
      </c>
      <c r="O329" s="36" t="s">
        <v>13250</v>
      </c>
      <c r="P329" s="36" t="s">
        <v>13251</v>
      </c>
      <c r="Q329" s="36" t="s">
        <v>13252</v>
      </c>
      <c r="R329" s="36" t="s">
        <v>9040</v>
      </c>
      <c r="S329" s="36" t="s">
        <v>13253</v>
      </c>
      <c r="T329" s="36">
        <v>4</v>
      </c>
      <c r="U329" s="36">
        <v>3</v>
      </c>
      <c r="V329" s="36">
        <v>3</v>
      </c>
      <c r="W329" s="36">
        <v>2</v>
      </c>
      <c r="X329" s="36">
        <v>1</v>
      </c>
      <c r="Y329" s="36">
        <v>1</v>
      </c>
      <c r="Z329" s="36" t="s">
        <v>4961</v>
      </c>
      <c r="AA329" s="36" t="s">
        <v>5174</v>
      </c>
      <c r="AB329" s="36" t="s">
        <v>4969</v>
      </c>
      <c r="AC329" s="36" t="s">
        <v>4970</v>
      </c>
      <c r="AD329" s="36" t="s">
        <v>8384</v>
      </c>
    </row>
    <row r="330" spans="1:30" ht="72">
      <c r="A330" s="36" t="s">
        <v>5182</v>
      </c>
      <c r="B330" s="36" t="s">
        <v>91</v>
      </c>
      <c r="C330" s="36" t="s">
        <v>1527</v>
      </c>
      <c r="D330" s="36" t="s">
        <v>1494</v>
      </c>
      <c r="E330" s="36" t="s">
        <v>5183</v>
      </c>
      <c r="F330" s="36" t="s">
        <v>13254</v>
      </c>
      <c r="G330" s="36" t="s">
        <v>13255</v>
      </c>
      <c r="H330" s="36" t="s">
        <v>13256</v>
      </c>
      <c r="I330" s="36" t="s">
        <v>13257</v>
      </c>
      <c r="J330" s="36" t="s">
        <v>13258</v>
      </c>
      <c r="K330" s="36" t="s">
        <v>13259</v>
      </c>
      <c r="L330" s="36" t="s">
        <v>13260</v>
      </c>
      <c r="M330" s="36" t="s">
        <v>13261</v>
      </c>
      <c r="N330" s="36" t="s">
        <v>13262</v>
      </c>
      <c r="O330" s="36" t="s">
        <v>13263</v>
      </c>
      <c r="P330" s="36" t="s">
        <v>13264</v>
      </c>
      <c r="Q330" s="36" t="s">
        <v>13265</v>
      </c>
      <c r="R330" s="36" t="s">
        <v>9040</v>
      </c>
      <c r="S330" s="36" t="s">
        <v>13266</v>
      </c>
      <c r="T330" s="36">
        <v>4</v>
      </c>
      <c r="U330" s="36">
        <v>3</v>
      </c>
      <c r="V330" s="36">
        <v>3</v>
      </c>
      <c r="W330" s="36">
        <v>2</v>
      </c>
      <c r="X330" s="36">
        <v>1</v>
      </c>
      <c r="Y330" s="36">
        <v>1</v>
      </c>
      <c r="Z330" s="36" t="s">
        <v>4961</v>
      </c>
      <c r="AA330" s="36" t="s">
        <v>5184</v>
      </c>
      <c r="AB330" s="36" t="s">
        <v>4969</v>
      </c>
      <c r="AC330" s="36" t="s">
        <v>4970</v>
      </c>
      <c r="AD330" s="36" t="s">
        <v>8391</v>
      </c>
    </row>
    <row r="331" spans="1:30" ht="72">
      <c r="A331" s="36" t="s">
        <v>5194</v>
      </c>
      <c r="B331" s="36" t="s">
        <v>92</v>
      </c>
      <c r="C331" s="36" t="s">
        <v>1535</v>
      </c>
      <c r="D331" s="36" t="s">
        <v>1540</v>
      </c>
      <c r="E331" s="36" t="s">
        <v>5195</v>
      </c>
      <c r="F331" s="36" t="s">
        <v>13267</v>
      </c>
      <c r="G331" s="36" t="s">
        <v>13268</v>
      </c>
      <c r="H331" s="36" t="s">
        <v>13269</v>
      </c>
      <c r="I331" s="36" t="s">
        <v>13270</v>
      </c>
      <c r="J331" s="36" t="s">
        <v>13271</v>
      </c>
      <c r="K331" s="36" t="s">
        <v>13272</v>
      </c>
      <c r="L331" s="36" t="s">
        <v>13273</v>
      </c>
      <c r="M331" s="36" t="s">
        <v>13274</v>
      </c>
      <c r="N331" s="36" t="s">
        <v>13275</v>
      </c>
      <c r="O331" s="36" t="s">
        <v>13276</v>
      </c>
      <c r="P331" s="36" t="s">
        <v>13277</v>
      </c>
      <c r="Q331" s="36" t="s">
        <v>13278</v>
      </c>
      <c r="R331" s="36" t="s">
        <v>9040</v>
      </c>
      <c r="S331" s="36" t="s">
        <v>13279</v>
      </c>
      <c r="T331" s="36">
        <v>4</v>
      </c>
      <c r="U331" s="36">
        <v>3</v>
      </c>
      <c r="V331" s="36">
        <v>3</v>
      </c>
      <c r="W331" s="36">
        <v>2</v>
      </c>
      <c r="X331" s="36">
        <v>1</v>
      </c>
      <c r="Y331" s="36">
        <v>1</v>
      </c>
      <c r="Z331" s="36" t="s">
        <v>5197</v>
      </c>
      <c r="AA331" s="36" t="s">
        <v>5198</v>
      </c>
      <c r="AB331" s="36" t="s">
        <v>5205</v>
      </c>
      <c r="AC331" s="36" t="s">
        <v>5206</v>
      </c>
      <c r="AD331" s="36" t="s">
        <v>8399</v>
      </c>
    </row>
    <row r="332" spans="1:30" ht="72">
      <c r="A332" s="36" t="s">
        <v>5208</v>
      </c>
      <c r="B332" s="36" t="s">
        <v>92</v>
      </c>
      <c r="C332" s="36" t="s">
        <v>1535</v>
      </c>
      <c r="D332" s="36" t="s">
        <v>1540</v>
      </c>
      <c r="E332" s="36" t="s">
        <v>5209</v>
      </c>
      <c r="F332" s="36" t="s">
        <v>13280</v>
      </c>
      <c r="G332" s="36" t="s">
        <v>13281</v>
      </c>
      <c r="H332" s="36" t="s">
        <v>13282</v>
      </c>
      <c r="I332" s="36" t="s">
        <v>13283</v>
      </c>
      <c r="J332" s="36" t="s">
        <v>13284</v>
      </c>
      <c r="K332" s="36" t="s">
        <v>13285</v>
      </c>
      <c r="L332" s="36" t="s">
        <v>13286</v>
      </c>
      <c r="M332" s="36" t="s">
        <v>13287</v>
      </c>
      <c r="N332" s="36" t="s">
        <v>13288</v>
      </c>
      <c r="O332" s="36" t="s">
        <v>13289</v>
      </c>
      <c r="P332" s="36" t="s">
        <v>13290</v>
      </c>
      <c r="Q332" s="36" t="s">
        <v>13291</v>
      </c>
      <c r="R332" s="36" t="s">
        <v>9040</v>
      </c>
      <c r="S332" s="36" t="s">
        <v>13292</v>
      </c>
      <c r="T332" s="36">
        <v>4</v>
      </c>
      <c r="U332" s="36">
        <v>3</v>
      </c>
      <c r="V332" s="36">
        <v>3</v>
      </c>
      <c r="W332" s="36">
        <v>2</v>
      </c>
      <c r="X332" s="36">
        <v>1</v>
      </c>
      <c r="Y332" s="36">
        <v>1</v>
      </c>
      <c r="Z332" s="36" t="s">
        <v>5197</v>
      </c>
      <c r="AA332" s="36" t="s">
        <v>5210</v>
      </c>
      <c r="AB332" s="36" t="s">
        <v>5205</v>
      </c>
      <c r="AC332" s="36" t="s">
        <v>5206</v>
      </c>
      <c r="AD332" s="36" t="s">
        <v>8406</v>
      </c>
    </row>
    <row r="333" spans="1:30" ht="72">
      <c r="A333" s="36" t="s">
        <v>5218</v>
      </c>
      <c r="B333" s="36" t="s">
        <v>92</v>
      </c>
      <c r="C333" s="36" t="s">
        <v>1535</v>
      </c>
      <c r="D333" s="36" t="s">
        <v>1540</v>
      </c>
      <c r="E333" s="36" t="s">
        <v>5219</v>
      </c>
      <c r="F333" s="36" t="s">
        <v>13293</v>
      </c>
      <c r="G333" s="36" t="s">
        <v>13294</v>
      </c>
      <c r="H333" s="36" t="s">
        <v>13295</v>
      </c>
      <c r="I333" s="36" t="s">
        <v>13296</v>
      </c>
      <c r="J333" s="36" t="s">
        <v>13297</v>
      </c>
      <c r="K333" s="36" t="s">
        <v>13298</v>
      </c>
      <c r="L333" s="36" t="s">
        <v>13299</v>
      </c>
      <c r="M333" s="36" t="s">
        <v>13300</v>
      </c>
      <c r="N333" s="36" t="s">
        <v>13301</v>
      </c>
      <c r="O333" s="36" t="s">
        <v>13302</v>
      </c>
      <c r="P333" s="36" t="s">
        <v>13303</v>
      </c>
      <c r="Q333" s="36" t="s">
        <v>13304</v>
      </c>
      <c r="R333" s="36" t="s">
        <v>9040</v>
      </c>
      <c r="S333" s="36" t="s">
        <v>13305</v>
      </c>
      <c r="T333" s="36">
        <v>4</v>
      </c>
      <c r="U333" s="36">
        <v>3</v>
      </c>
      <c r="V333" s="36">
        <v>3</v>
      </c>
      <c r="W333" s="36">
        <v>2</v>
      </c>
      <c r="X333" s="36">
        <v>1</v>
      </c>
      <c r="Y333" s="36">
        <v>1</v>
      </c>
      <c r="Z333" s="36" t="s">
        <v>5197</v>
      </c>
      <c r="AA333" s="36" t="s">
        <v>5220</v>
      </c>
      <c r="AB333" s="36" t="s">
        <v>5205</v>
      </c>
      <c r="AC333" s="36" t="s">
        <v>5206</v>
      </c>
      <c r="AD333" s="36" t="s">
        <v>8413</v>
      </c>
    </row>
    <row r="334" spans="1:30" ht="72">
      <c r="A334" s="36" t="s">
        <v>5228</v>
      </c>
      <c r="B334" s="36" t="s">
        <v>92</v>
      </c>
      <c r="C334" s="36" t="s">
        <v>1535</v>
      </c>
      <c r="D334" s="36" t="s">
        <v>1540</v>
      </c>
      <c r="E334" s="36" t="s">
        <v>5229</v>
      </c>
      <c r="F334" s="36" t="s">
        <v>13306</v>
      </c>
      <c r="G334" s="36" t="s">
        <v>13307</v>
      </c>
      <c r="H334" s="36" t="s">
        <v>13308</v>
      </c>
      <c r="I334" s="36" t="s">
        <v>13309</v>
      </c>
      <c r="J334" s="36" t="s">
        <v>13310</v>
      </c>
      <c r="K334" s="36" t="s">
        <v>13311</v>
      </c>
      <c r="L334" s="36" t="s">
        <v>13312</v>
      </c>
      <c r="M334" s="36" t="s">
        <v>13313</v>
      </c>
      <c r="N334" s="36" t="s">
        <v>13314</v>
      </c>
      <c r="O334" s="36" t="s">
        <v>13315</v>
      </c>
      <c r="P334" s="36" t="s">
        <v>13316</v>
      </c>
      <c r="Q334" s="36" t="s">
        <v>13317</v>
      </c>
      <c r="R334" s="36" t="s">
        <v>9040</v>
      </c>
      <c r="S334" s="36" t="s">
        <v>13318</v>
      </c>
      <c r="T334" s="36">
        <v>4</v>
      </c>
      <c r="U334" s="36">
        <v>3</v>
      </c>
      <c r="V334" s="36">
        <v>3</v>
      </c>
      <c r="W334" s="36">
        <v>2</v>
      </c>
      <c r="X334" s="36">
        <v>1</v>
      </c>
      <c r="Y334" s="36">
        <v>1</v>
      </c>
      <c r="Z334" s="36" t="s">
        <v>5197</v>
      </c>
      <c r="AA334" s="36" t="s">
        <v>5230</v>
      </c>
      <c r="AB334" s="36" t="s">
        <v>5205</v>
      </c>
      <c r="AC334" s="36" t="s">
        <v>5206</v>
      </c>
      <c r="AD334" s="36" t="s">
        <v>8420</v>
      </c>
    </row>
    <row r="335" spans="1:30" ht="72">
      <c r="A335" s="36" t="s">
        <v>5238</v>
      </c>
      <c r="B335" s="36" t="s">
        <v>92</v>
      </c>
      <c r="C335" s="36" t="s">
        <v>1535</v>
      </c>
      <c r="D335" s="36" t="s">
        <v>1540</v>
      </c>
      <c r="E335" s="36" t="s">
        <v>5239</v>
      </c>
      <c r="F335" s="36" t="s">
        <v>13319</v>
      </c>
      <c r="G335" s="36" t="s">
        <v>13320</v>
      </c>
      <c r="H335" s="36" t="s">
        <v>13321</v>
      </c>
      <c r="I335" s="36" t="s">
        <v>13322</v>
      </c>
      <c r="J335" s="36" t="s">
        <v>13323</v>
      </c>
      <c r="K335" s="36" t="s">
        <v>13324</v>
      </c>
      <c r="L335" s="36" t="s">
        <v>13325</v>
      </c>
      <c r="M335" s="36" t="s">
        <v>13326</v>
      </c>
      <c r="N335" s="36" t="s">
        <v>13327</v>
      </c>
      <c r="O335" s="36" t="s">
        <v>13328</v>
      </c>
      <c r="P335" s="36" t="s">
        <v>13329</v>
      </c>
      <c r="Q335" s="36" t="s">
        <v>13330</v>
      </c>
      <c r="R335" s="36" t="s">
        <v>9040</v>
      </c>
      <c r="S335" s="36" t="s">
        <v>13331</v>
      </c>
      <c r="T335" s="36">
        <v>4</v>
      </c>
      <c r="U335" s="36">
        <v>3</v>
      </c>
      <c r="V335" s="36">
        <v>3</v>
      </c>
      <c r="W335" s="36">
        <v>2</v>
      </c>
      <c r="X335" s="36">
        <v>1</v>
      </c>
      <c r="Y335" s="36">
        <v>1</v>
      </c>
      <c r="Z335" s="36" t="s">
        <v>5197</v>
      </c>
      <c r="AA335" s="36" t="s">
        <v>5240</v>
      </c>
      <c r="AB335" s="36" t="s">
        <v>5205</v>
      </c>
      <c r="AC335" s="36" t="s">
        <v>5206</v>
      </c>
      <c r="AD335" s="36" t="s">
        <v>8427</v>
      </c>
    </row>
    <row r="336" spans="1:30" ht="72">
      <c r="A336" s="36" t="s">
        <v>5248</v>
      </c>
      <c r="B336" s="36" t="s">
        <v>92</v>
      </c>
      <c r="C336" s="36" t="s">
        <v>1535</v>
      </c>
      <c r="D336" s="36" t="s">
        <v>1540</v>
      </c>
      <c r="E336" s="36" t="s">
        <v>5249</v>
      </c>
      <c r="F336" s="36" t="s">
        <v>13332</v>
      </c>
      <c r="G336" s="36" t="s">
        <v>13333</v>
      </c>
      <c r="H336" s="36" t="s">
        <v>13334</v>
      </c>
      <c r="I336" s="36" t="s">
        <v>13335</v>
      </c>
      <c r="J336" s="36" t="s">
        <v>13336</v>
      </c>
      <c r="K336" s="36" t="s">
        <v>13337</v>
      </c>
      <c r="L336" s="36" t="s">
        <v>13338</v>
      </c>
      <c r="M336" s="36" t="s">
        <v>13339</v>
      </c>
      <c r="N336" s="36" t="s">
        <v>13340</v>
      </c>
      <c r="O336" s="36" t="s">
        <v>13341</v>
      </c>
      <c r="P336" s="36" t="s">
        <v>13342</v>
      </c>
      <c r="Q336" s="36" t="s">
        <v>13343</v>
      </c>
      <c r="R336" s="36" t="s">
        <v>9040</v>
      </c>
      <c r="S336" s="36" t="s">
        <v>13344</v>
      </c>
      <c r="T336" s="36">
        <v>4</v>
      </c>
      <c r="U336" s="36">
        <v>3</v>
      </c>
      <c r="V336" s="36">
        <v>3</v>
      </c>
      <c r="W336" s="36">
        <v>2</v>
      </c>
      <c r="X336" s="36">
        <v>1</v>
      </c>
      <c r="Y336" s="36">
        <v>1</v>
      </c>
      <c r="Z336" s="36" t="s">
        <v>5197</v>
      </c>
      <c r="AA336" s="36" t="s">
        <v>5250</v>
      </c>
      <c r="AB336" s="36" t="s">
        <v>5205</v>
      </c>
      <c r="AC336" s="36" t="s">
        <v>5206</v>
      </c>
      <c r="AD336" s="36" t="s">
        <v>8434</v>
      </c>
    </row>
    <row r="337" spans="1:30" ht="72">
      <c r="A337" s="36" t="s">
        <v>5258</v>
      </c>
      <c r="B337" s="36" t="s">
        <v>92</v>
      </c>
      <c r="C337" s="36" t="s">
        <v>1549</v>
      </c>
      <c r="D337" s="36" t="s">
        <v>1540</v>
      </c>
      <c r="E337" s="36" t="s">
        <v>5259</v>
      </c>
      <c r="F337" s="36" t="s">
        <v>13345</v>
      </c>
      <c r="G337" s="36" t="s">
        <v>13346</v>
      </c>
      <c r="H337" s="36" t="s">
        <v>13347</v>
      </c>
      <c r="I337" s="36" t="s">
        <v>13348</v>
      </c>
      <c r="J337" s="36" t="s">
        <v>13349</v>
      </c>
      <c r="K337" s="36" t="s">
        <v>13350</v>
      </c>
      <c r="L337" s="36" t="s">
        <v>13351</v>
      </c>
      <c r="M337" s="36" t="s">
        <v>13352</v>
      </c>
      <c r="N337" s="36" t="s">
        <v>13353</v>
      </c>
      <c r="O337" s="36" t="s">
        <v>13354</v>
      </c>
      <c r="P337" s="36" t="s">
        <v>13355</v>
      </c>
      <c r="Q337" s="36" t="s">
        <v>13356</v>
      </c>
      <c r="R337" s="36" t="s">
        <v>9040</v>
      </c>
      <c r="S337" s="36" t="s">
        <v>13357</v>
      </c>
      <c r="T337" s="36">
        <v>4</v>
      </c>
      <c r="U337" s="36">
        <v>3</v>
      </c>
      <c r="V337" s="36">
        <v>3</v>
      </c>
      <c r="W337" s="36">
        <v>2</v>
      </c>
      <c r="X337" s="36">
        <v>1</v>
      </c>
      <c r="Y337" s="36">
        <v>1</v>
      </c>
      <c r="Z337" s="36" t="s">
        <v>5197</v>
      </c>
      <c r="AA337" s="36" t="s">
        <v>5260</v>
      </c>
      <c r="AB337" s="36" t="s">
        <v>5205</v>
      </c>
      <c r="AC337" s="36" t="s">
        <v>5206</v>
      </c>
      <c r="AD337" s="36" t="s">
        <v>8442</v>
      </c>
    </row>
    <row r="338" spans="1:30" ht="72">
      <c r="A338" s="36" t="s">
        <v>5268</v>
      </c>
      <c r="B338" s="36" t="s">
        <v>92</v>
      </c>
      <c r="C338" s="36" t="s">
        <v>1549</v>
      </c>
      <c r="D338" s="36" t="s">
        <v>1540</v>
      </c>
      <c r="E338" s="36" t="s">
        <v>5269</v>
      </c>
      <c r="F338" s="36" t="s">
        <v>13358</v>
      </c>
      <c r="G338" s="36" t="s">
        <v>13359</v>
      </c>
      <c r="H338" s="36" t="s">
        <v>13360</v>
      </c>
      <c r="I338" s="36" t="s">
        <v>13361</v>
      </c>
      <c r="J338" s="36" t="s">
        <v>13362</v>
      </c>
      <c r="K338" s="36" t="s">
        <v>13363</v>
      </c>
      <c r="L338" s="36" t="s">
        <v>13364</v>
      </c>
      <c r="M338" s="36" t="s">
        <v>13365</v>
      </c>
      <c r="N338" s="36" t="s">
        <v>13366</v>
      </c>
      <c r="O338" s="36" t="s">
        <v>13367</v>
      </c>
      <c r="P338" s="36" t="s">
        <v>13368</v>
      </c>
      <c r="Q338" s="36" t="s">
        <v>13369</v>
      </c>
      <c r="R338" s="36" t="s">
        <v>9040</v>
      </c>
      <c r="S338" s="36" t="s">
        <v>13370</v>
      </c>
      <c r="T338" s="36">
        <v>4</v>
      </c>
      <c r="U338" s="36">
        <v>3</v>
      </c>
      <c r="V338" s="36">
        <v>3</v>
      </c>
      <c r="W338" s="36">
        <v>2</v>
      </c>
      <c r="X338" s="36">
        <v>1</v>
      </c>
      <c r="Y338" s="36">
        <v>1</v>
      </c>
      <c r="Z338" s="36" t="s">
        <v>5197</v>
      </c>
      <c r="AA338" s="36" t="s">
        <v>5270</v>
      </c>
      <c r="AB338" s="36" t="s">
        <v>5205</v>
      </c>
      <c r="AC338" s="36" t="s">
        <v>5206</v>
      </c>
      <c r="AD338" s="36" t="s">
        <v>8449</v>
      </c>
    </row>
    <row r="339" spans="1:30" ht="72">
      <c r="A339" s="36" t="s">
        <v>5278</v>
      </c>
      <c r="B339" s="36" t="s">
        <v>92</v>
      </c>
      <c r="C339" s="36" t="s">
        <v>1549</v>
      </c>
      <c r="D339" s="36" t="s">
        <v>1540</v>
      </c>
      <c r="E339" s="36" t="s">
        <v>5279</v>
      </c>
      <c r="F339" s="36" t="s">
        <v>13371</v>
      </c>
      <c r="G339" s="36" t="s">
        <v>13372</v>
      </c>
      <c r="H339" s="36" t="s">
        <v>13373</v>
      </c>
      <c r="I339" s="36" t="s">
        <v>13374</v>
      </c>
      <c r="J339" s="36" t="s">
        <v>13375</v>
      </c>
      <c r="K339" s="36" t="s">
        <v>13376</v>
      </c>
      <c r="L339" s="36" t="s">
        <v>13377</v>
      </c>
      <c r="M339" s="36" t="s">
        <v>13378</v>
      </c>
      <c r="N339" s="36" t="s">
        <v>13379</v>
      </c>
      <c r="O339" s="36" t="s">
        <v>13380</v>
      </c>
      <c r="P339" s="36" t="s">
        <v>13381</v>
      </c>
      <c r="Q339" s="36" t="s">
        <v>13382</v>
      </c>
      <c r="R339" s="36" t="s">
        <v>9040</v>
      </c>
      <c r="S339" s="36" t="s">
        <v>13383</v>
      </c>
      <c r="T339" s="36">
        <v>4</v>
      </c>
      <c r="U339" s="36">
        <v>3</v>
      </c>
      <c r="V339" s="36">
        <v>3</v>
      </c>
      <c r="W339" s="36">
        <v>2</v>
      </c>
      <c r="X339" s="36">
        <v>1</v>
      </c>
      <c r="Y339" s="36">
        <v>1</v>
      </c>
      <c r="Z339" s="36" t="s">
        <v>5197</v>
      </c>
      <c r="AA339" s="36" t="s">
        <v>5280</v>
      </c>
      <c r="AB339" s="36" t="s">
        <v>5205</v>
      </c>
      <c r="AC339" s="36" t="s">
        <v>5206</v>
      </c>
      <c r="AD339" s="36" t="s">
        <v>8456</v>
      </c>
    </row>
    <row r="340" spans="1:30" ht="72">
      <c r="A340" s="36" t="s">
        <v>5288</v>
      </c>
      <c r="B340" s="36" t="s">
        <v>92</v>
      </c>
      <c r="C340" s="36" t="s">
        <v>1549</v>
      </c>
      <c r="D340" s="36" t="s">
        <v>1540</v>
      </c>
      <c r="E340" s="36" t="s">
        <v>5289</v>
      </c>
      <c r="F340" s="36" t="s">
        <v>13384</v>
      </c>
      <c r="G340" s="36" t="s">
        <v>13385</v>
      </c>
      <c r="H340" s="36" t="s">
        <v>13386</v>
      </c>
      <c r="I340" s="36" t="s">
        <v>13387</v>
      </c>
      <c r="J340" s="36" t="s">
        <v>13388</v>
      </c>
      <c r="K340" s="36" t="s">
        <v>13389</v>
      </c>
      <c r="L340" s="36" t="s">
        <v>13390</v>
      </c>
      <c r="M340" s="36" t="s">
        <v>13391</v>
      </c>
      <c r="N340" s="36" t="s">
        <v>13392</v>
      </c>
      <c r="O340" s="36" t="s">
        <v>13393</v>
      </c>
      <c r="P340" s="36" t="s">
        <v>13394</v>
      </c>
      <c r="Q340" s="36" t="s">
        <v>13395</v>
      </c>
      <c r="R340" s="36" t="s">
        <v>9040</v>
      </c>
      <c r="S340" s="36" t="s">
        <v>13396</v>
      </c>
      <c r="T340" s="36">
        <v>4</v>
      </c>
      <c r="U340" s="36">
        <v>3</v>
      </c>
      <c r="V340" s="36">
        <v>3</v>
      </c>
      <c r="W340" s="36">
        <v>2</v>
      </c>
      <c r="X340" s="36">
        <v>1</v>
      </c>
      <c r="Y340" s="36">
        <v>1</v>
      </c>
      <c r="Z340" s="36" t="s">
        <v>5197</v>
      </c>
      <c r="AA340" s="36" t="s">
        <v>5290</v>
      </c>
      <c r="AB340" s="36" t="s">
        <v>5205</v>
      </c>
      <c r="AC340" s="36" t="s">
        <v>5206</v>
      </c>
      <c r="AD340" s="36" t="s">
        <v>8463</v>
      </c>
    </row>
    <row r="341" spans="1:30" ht="72">
      <c r="A341" s="36" t="s">
        <v>5298</v>
      </c>
      <c r="B341" s="36" t="s">
        <v>92</v>
      </c>
      <c r="C341" s="36" t="s">
        <v>1549</v>
      </c>
      <c r="D341" s="36" t="s">
        <v>1540</v>
      </c>
      <c r="E341" s="36" t="s">
        <v>5299</v>
      </c>
      <c r="F341" s="36" t="s">
        <v>13397</v>
      </c>
      <c r="G341" s="36" t="s">
        <v>13398</v>
      </c>
      <c r="H341" s="36" t="s">
        <v>13399</v>
      </c>
      <c r="I341" s="36" t="s">
        <v>13400</v>
      </c>
      <c r="J341" s="36" t="s">
        <v>13401</v>
      </c>
      <c r="K341" s="36" t="s">
        <v>13402</v>
      </c>
      <c r="L341" s="36" t="s">
        <v>13403</v>
      </c>
      <c r="M341" s="36" t="s">
        <v>13404</v>
      </c>
      <c r="N341" s="36" t="s">
        <v>13405</v>
      </c>
      <c r="O341" s="36" t="s">
        <v>13406</v>
      </c>
      <c r="P341" s="36" t="s">
        <v>13407</v>
      </c>
      <c r="Q341" s="36" t="s">
        <v>13408</v>
      </c>
      <c r="R341" s="36" t="s">
        <v>9040</v>
      </c>
      <c r="S341" s="36" t="s">
        <v>13409</v>
      </c>
      <c r="T341" s="36">
        <v>4</v>
      </c>
      <c r="U341" s="36">
        <v>3</v>
      </c>
      <c r="V341" s="36">
        <v>3</v>
      </c>
      <c r="W341" s="36">
        <v>2</v>
      </c>
      <c r="X341" s="36">
        <v>1</v>
      </c>
      <c r="Y341" s="36">
        <v>1</v>
      </c>
      <c r="Z341" s="36" t="s">
        <v>5197</v>
      </c>
      <c r="AA341" s="36" t="s">
        <v>5300</v>
      </c>
      <c r="AB341" s="36" t="s">
        <v>5205</v>
      </c>
      <c r="AC341" s="36" t="s">
        <v>5206</v>
      </c>
      <c r="AD341" s="36" t="s">
        <v>8470</v>
      </c>
    </row>
    <row r="342" spans="1:30" ht="72">
      <c r="A342" s="36" t="s">
        <v>5308</v>
      </c>
      <c r="B342" s="36" t="s">
        <v>92</v>
      </c>
      <c r="C342" s="36" t="s">
        <v>1549</v>
      </c>
      <c r="D342" s="36" t="s">
        <v>1540</v>
      </c>
      <c r="E342" s="36" t="s">
        <v>5309</v>
      </c>
      <c r="F342" s="36" t="s">
        <v>13410</v>
      </c>
      <c r="G342" s="36" t="s">
        <v>13411</v>
      </c>
      <c r="H342" s="36" t="s">
        <v>13412</v>
      </c>
      <c r="I342" s="36" t="s">
        <v>13413</v>
      </c>
      <c r="J342" s="36" t="s">
        <v>13414</v>
      </c>
      <c r="K342" s="36" t="s">
        <v>13415</v>
      </c>
      <c r="L342" s="36" t="s">
        <v>13416</v>
      </c>
      <c r="M342" s="36" t="s">
        <v>13417</v>
      </c>
      <c r="N342" s="36" t="s">
        <v>13418</v>
      </c>
      <c r="O342" s="36" t="s">
        <v>13419</v>
      </c>
      <c r="P342" s="36" t="s">
        <v>13420</v>
      </c>
      <c r="Q342" s="36" t="s">
        <v>13421</v>
      </c>
      <c r="R342" s="36" t="s">
        <v>9040</v>
      </c>
      <c r="S342" s="36" t="s">
        <v>13422</v>
      </c>
      <c r="T342" s="36">
        <v>4</v>
      </c>
      <c r="U342" s="36">
        <v>3</v>
      </c>
      <c r="V342" s="36">
        <v>3</v>
      </c>
      <c r="W342" s="36">
        <v>2</v>
      </c>
      <c r="X342" s="36">
        <v>1</v>
      </c>
      <c r="Y342" s="36">
        <v>1</v>
      </c>
      <c r="Z342" s="36" t="s">
        <v>5197</v>
      </c>
      <c r="AA342" s="36" t="s">
        <v>5310</v>
      </c>
      <c r="AB342" s="36" t="s">
        <v>5205</v>
      </c>
      <c r="AC342" s="36" t="s">
        <v>5206</v>
      </c>
      <c r="AD342" s="36" t="s">
        <v>8477</v>
      </c>
    </row>
    <row r="343" spans="1:30" ht="72">
      <c r="A343" s="36" t="s">
        <v>5318</v>
      </c>
      <c r="B343" s="36" t="s">
        <v>92</v>
      </c>
      <c r="C343" s="36" t="s">
        <v>1557</v>
      </c>
      <c r="D343" s="36" t="s">
        <v>1540</v>
      </c>
      <c r="E343" s="36" t="s">
        <v>5319</v>
      </c>
      <c r="F343" s="36" t="s">
        <v>13423</v>
      </c>
      <c r="G343" s="36" t="s">
        <v>13424</v>
      </c>
      <c r="H343" s="36" t="s">
        <v>13425</v>
      </c>
      <c r="I343" s="36" t="s">
        <v>13426</v>
      </c>
      <c r="J343" s="36" t="s">
        <v>13427</v>
      </c>
      <c r="K343" s="36" t="s">
        <v>13428</v>
      </c>
      <c r="L343" s="36" t="s">
        <v>13429</v>
      </c>
      <c r="M343" s="36" t="s">
        <v>13430</v>
      </c>
      <c r="N343" s="36" t="s">
        <v>13431</v>
      </c>
      <c r="O343" s="36" t="s">
        <v>13432</v>
      </c>
      <c r="P343" s="36" t="s">
        <v>13433</v>
      </c>
      <c r="Q343" s="36" t="s">
        <v>13434</v>
      </c>
      <c r="R343" s="36" t="s">
        <v>9040</v>
      </c>
      <c r="S343" s="36" t="s">
        <v>13435</v>
      </c>
      <c r="T343" s="36">
        <v>4</v>
      </c>
      <c r="U343" s="36">
        <v>3</v>
      </c>
      <c r="V343" s="36">
        <v>3</v>
      </c>
      <c r="W343" s="36">
        <v>2</v>
      </c>
      <c r="X343" s="36">
        <v>1</v>
      </c>
      <c r="Y343" s="36">
        <v>1</v>
      </c>
      <c r="Z343" s="36" t="s">
        <v>5197</v>
      </c>
      <c r="AA343" s="36" t="s">
        <v>5320</v>
      </c>
      <c r="AB343" s="36" t="s">
        <v>5205</v>
      </c>
      <c r="AC343" s="36" t="s">
        <v>5206</v>
      </c>
      <c r="AD343" s="36" t="s">
        <v>8485</v>
      </c>
    </row>
    <row r="344" spans="1:30" ht="72">
      <c r="A344" s="36" t="s">
        <v>5328</v>
      </c>
      <c r="B344" s="36" t="s">
        <v>92</v>
      </c>
      <c r="C344" s="36" t="s">
        <v>1557</v>
      </c>
      <c r="D344" s="36" t="s">
        <v>1540</v>
      </c>
      <c r="E344" s="36" t="s">
        <v>5329</v>
      </c>
      <c r="F344" s="36" t="s">
        <v>13436</v>
      </c>
      <c r="G344" s="36" t="s">
        <v>13437</v>
      </c>
      <c r="H344" s="36" t="s">
        <v>13438</v>
      </c>
      <c r="I344" s="36" t="s">
        <v>13439</v>
      </c>
      <c r="J344" s="36" t="s">
        <v>13440</v>
      </c>
      <c r="K344" s="36" t="s">
        <v>13441</v>
      </c>
      <c r="L344" s="36" t="s">
        <v>13442</v>
      </c>
      <c r="M344" s="36" t="s">
        <v>13443</v>
      </c>
      <c r="N344" s="36" t="s">
        <v>13444</v>
      </c>
      <c r="O344" s="36" t="s">
        <v>13445</v>
      </c>
      <c r="P344" s="36" t="s">
        <v>13446</v>
      </c>
      <c r="Q344" s="36" t="s">
        <v>13447</v>
      </c>
      <c r="R344" s="36" t="s">
        <v>9040</v>
      </c>
      <c r="S344" s="36" t="s">
        <v>13448</v>
      </c>
      <c r="T344" s="36">
        <v>4</v>
      </c>
      <c r="U344" s="36">
        <v>3</v>
      </c>
      <c r="V344" s="36">
        <v>3</v>
      </c>
      <c r="W344" s="36">
        <v>2</v>
      </c>
      <c r="X344" s="36">
        <v>1</v>
      </c>
      <c r="Y344" s="36">
        <v>1</v>
      </c>
      <c r="Z344" s="36" t="s">
        <v>5197</v>
      </c>
      <c r="AA344" s="36" t="s">
        <v>5330</v>
      </c>
      <c r="AB344" s="36" t="s">
        <v>5205</v>
      </c>
      <c r="AC344" s="36" t="s">
        <v>5206</v>
      </c>
      <c r="AD344" s="36" t="s">
        <v>8492</v>
      </c>
    </row>
    <row r="345" spans="1:30" ht="72">
      <c r="A345" s="36" t="s">
        <v>5338</v>
      </c>
      <c r="B345" s="36" t="s">
        <v>92</v>
      </c>
      <c r="C345" s="36" t="s">
        <v>1557</v>
      </c>
      <c r="D345" s="36" t="s">
        <v>1540</v>
      </c>
      <c r="E345" s="36" t="s">
        <v>5339</v>
      </c>
      <c r="F345" s="36" t="s">
        <v>13449</v>
      </c>
      <c r="G345" s="36" t="s">
        <v>13450</v>
      </c>
      <c r="H345" s="36" t="s">
        <v>13451</v>
      </c>
      <c r="I345" s="36" t="s">
        <v>13452</v>
      </c>
      <c r="J345" s="36" t="s">
        <v>13453</v>
      </c>
      <c r="K345" s="36" t="s">
        <v>13454</v>
      </c>
      <c r="L345" s="36" t="s">
        <v>13455</v>
      </c>
      <c r="M345" s="36" t="s">
        <v>13456</v>
      </c>
      <c r="N345" s="36" t="s">
        <v>13457</v>
      </c>
      <c r="O345" s="36" t="s">
        <v>13458</v>
      </c>
      <c r="P345" s="36" t="s">
        <v>13459</v>
      </c>
      <c r="Q345" s="36" t="s">
        <v>13460</v>
      </c>
      <c r="R345" s="36" t="s">
        <v>9040</v>
      </c>
      <c r="S345" s="36" t="s">
        <v>13461</v>
      </c>
      <c r="T345" s="36">
        <v>4</v>
      </c>
      <c r="U345" s="36">
        <v>3</v>
      </c>
      <c r="V345" s="36">
        <v>3</v>
      </c>
      <c r="W345" s="36">
        <v>2</v>
      </c>
      <c r="X345" s="36">
        <v>1</v>
      </c>
      <c r="Y345" s="36">
        <v>1</v>
      </c>
      <c r="Z345" s="36" t="s">
        <v>5197</v>
      </c>
      <c r="AA345" s="36" t="s">
        <v>5340</v>
      </c>
      <c r="AB345" s="36" t="s">
        <v>5205</v>
      </c>
      <c r="AC345" s="36" t="s">
        <v>5206</v>
      </c>
      <c r="AD345" s="36" t="s">
        <v>8499</v>
      </c>
    </row>
    <row r="346" spans="1:30" ht="72">
      <c r="A346" s="36" t="s">
        <v>5348</v>
      </c>
      <c r="B346" s="36" t="s">
        <v>92</v>
      </c>
      <c r="C346" s="36" t="s">
        <v>1557</v>
      </c>
      <c r="D346" s="36" t="s">
        <v>1540</v>
      </c>
      <c r="E346" s="36" t="s">
        <v>5349</v>
      </c>
      <c r="F346" s="36" t="s">
        <v>13462</v>
      </c>
      <c r="G346" s="36" t="s">
        <v>13463</v>
      </c>
      <c r="H346" s="36" t="s">
        <v>13464</v>
      </c>
      <c r="I346" s="36" t="s">
        <v>13465</v>
      </c>
      <c r="J346" s="36" t="s">
        <v>13466</v>
      </c>
      <c r="K346" s="36" t="s">
        <v>13467</v>
      </c>
      <c r="L346" s="36" t="s">
        <v>13468</v>
      </c>
      <c r="M346" s="36" t="s">
        <v>13469</v>
      </c>
      <c r="N346" s="36" t="s">
        <v>13470</v>
      </c>
      <c r="O346" s="36" t="s">
        <v>13471</v>
      </c>
      <c r="P346" s="36" t="s">
        <v>13472</v>
      </c>
      <c r="Q346" s="36" t="s">
        <v>13473</v>
      </c>
      <c r="R346" s="36" t="s">
        <v>9040</v>
      </c>
      <c r="S346" s="36" t="s">
        <v>13474</v>
      </c>
      <c r="T346" s="36">
        <v>4</v>
      </c>
      <c r="U346" s="36">
        <v>3</v>
      </c>
      <c r="V346" s="36">
        <v>3</v>
      </c>
      <c r="W346" s="36">
        <v>2</v>
      </c>
      <c r="X346" s="36">
        <v>1</v>
      </c>
      <c r="Y346" s="36">
        <v>1</v>
      </c>
      <c r="Z346" s="36" t="s">
        <v>5197</v>
      </c>
      <c r="AA346" s="36" t="s">
        <v>5350</v>
      </c>
      <c r="AB346" s="36" t="s">
        <v>5205</v>
      </c>
      <c r="AC346" s="36" t="s">
        <v>5206</v>
      </c>
      <c r="AD346" s="36" t="s">
        <v>8506</v>
      </c>
    </row>
    <row r="347" spans="1:30" ht="72">
      <c r="A347" s="36" t="s">
        <v>5358</v>
      </c>
      <c r="B347" s="36" t="s">
        <v>92</v>
      </c>
      <c r="C347" s="36" t="s">
        <v>1557</v>
      </c>
      <c r="D347" s="36" t="s">
        <v>1540</v>
      </c>
      <c r="E347" s="36" t="s">
        <v>5359</v>
      </c>
      <c r="F347" s="36" t="s">
        <v>13475</v>
      </c>
      <c r="G347" s="36" t="s">
        <v>13476</v>
      </c>
      <c r="H347" s="36" t="s">
        <v>13477</v>
      </c>
      <c r="I347" s="36" t="s">
        <v>13478</v>
      </c>
      <c r="J347" s="36" t="s">
        <v>13479</v>
      </c>
      <c r="K347" s="36" t="s">
        <v>13480</v>
      </c>
      <c r="L347" s="36" t="s">
        <v>13481</v>
      </c>
      <c r="M347" s="36" t="s">
        <v>13482</v>
      </c>
      <c r="N347" s="36" t="s">
        <v>13483</v>
      </c>
      <c r="O347" s="36" t="s">
        <v>13484</v>
      </c>
      <c r="P347" s="36" t="s">
        <v>13485</v>
      </c>
      <c r="Q347" s="36" t="s">
        <v>13486</v>
      </c>
      <c r="R347" s="36" t="s">
        <v>9040</v>
      </c>
      <c r="S347" s="36" t="s">
        <v>13487</v>
      </c>
      <c r="T347" s="36">
        <v>4</v>
      </c>
      <c r="U347" s="36">
        <v>3</v>
      </c>
      <c r="V347" s="36">
        <v>3</v>
      </c>
      <c r="W347" s="36">
        <v>2</v>
      </c>
      <c r="X347" s="36">
        <v>1</v>
      </c>
      <c r="Y347" s="36">
        <v>1</v>
      </c>
      <c r="Z347" s="36" t="s">
        <v>5197</v>
      </c>
      <c r="AA347" s="36" t="s">
        <v>5360</v>
      </c>
      <c r="AB347" s="36" t="s">
        <v>5205</v>
      </c>
      <c r="AC347" s="36" t="s">
        <v>5206</v>
      </c>
      <c r="AD347" s="36" t="s">
        <v>8513</v>
      </c>
    </row>
    <row r="348" spans="1:30" ht="72">
      <c r="A348" s="36" t="s">
        <v>5368</v>
      </c>
      <c r="B348" s="36" t="s">
        <v>92</v>
      </c>
      <c r="C348" s="36" t="s">
        <v>1557</v>
      </c>
      <c r="D348" s="36" t="s">
        <v>1540</v>
      </c>
      <c r="E348" s="36" t="s">
        <v>5369</v>
      </c>
      <c r="F348" s="36" t="s">
        <v>13488</v>
      </c>
      <c r="G348" s="36" t="s">
        <v>13489</v>
      </c>
      <c r="H348" s="36" t="s">
        <v>13490</v>
      </c>
      <c r="I348" s="36" t="s">
        <v>13491</v>
      </c>
      <c r="J348" s="36" t="s">
        <v>13492</v>
      </c>
      <c r="K348" s="36" t="s">
        <v>13493</v>
      </c>
      <c r="L348" s="36" t="s">
        <v>13494</v>
      </c>
      <c r="M348" s="36" t="s">
        <v>13495</v>
      </c>
      <c r="N348" s="36" t="s">
        <v>13496</v>
      </c>
      <c r="O348" s="36" t="s">
        <v>13497</v>
      </c>
      <c r="P348" s="36" t="s">
        <v>13498</v>
      </c>
      <c r="Q348" s="36" t="s">
        <v>13499</v>
      </c>
      <c r="R348" s="36" t="s">
        <v>9040</v>
      </c>
      <c r="S348" s="36" t="s">
        <v>13500</v>
      </c>
      <c r="T348" s="36">
        <v>4</v>
      </c>
      <c r="U348" s="36">
        <v>3</v>
      </c>
      <c r="V348" s="36">
        <v>3</v>
      </c>
      <c r="W348" s="36">
        <v>2</v>
      </c>
      <c r="X348" s="36">
        <v>1</v>
      </c>
      <c r="Y348" s="36">
        <v>1</v>
      </c>
      <c r="Z348" s="36" t="s">
        <v>5197</v>
      </c>
      <c r="AA348" s="36" t="s">
        <v>5370</v>
      </c>
      <c r="AB348" s="36" t="s">
        <v>5205</v>
      </c>
      <c r="AC348" s="36" t="s">
        <v>5206</v>
      </c>
      <c r="AD348" s="36" t="s">
        <v>8520</v>
      </c>
    </row>
    <row r="349" spans="1:30" ht="72">
      <c r="A349" s="36" t="s">
        <v>5378</v>
      </c>
      <c r="B349" s="36" t="s">
        <v>92</v>
      </c>
      <c r="C349" s="36" t="s">
        <v>1565</v>
      </c>
      <c r="D349" s="36" t="s">
        <v>1540</v>
      </c>
      <c r="E349" s="36" t="s">
        <v>5379</v>
      </c>
      <c r="F349" s="36" t="s">
        <v>13501</v>
      </c>
      <c r="G349" s="36" t="s">
        <v>13502</v>
      </c>
      <c r="H349" s="36" t="s">
        <v>13503</v>
      </c>
      <c r="I349" s="36" t="s">
        <v>13504</v>
      </c>
      <c r="J349" s="36" t="s">
        <v>13505</v>
      </c>
      <c r="K349" s="36" t="s">
        <v>13506</v>
      </c>
      <c r="L349" s="36" t="s">
        <v>13507</v>
      </c>
      <c r="M349" s="36" t="s">
        <v>13508</v>
      </c>
      <c r="N349" s="36" t="s">
        <v>13509</v>
      </c>
      <c r="O349" s="36" t="s">
        <v>13510</v>
      </c>
      <c r="P349" s="36" t="s">
        <v>13511</v>
      </c>
      <c r="Q349" s="36" t="s">
        <v>13512</v>
      </c>
      <c r="R349" s="36" t="s">
        <v>9040</v>
      </c>
      <c r="S349" s="36" t="s">
        <v>13513</v>
      </c>
      <c r="T349" s="36">
        <v>4</v>
      </c>
      <c r="U349" s="36">
        <v>3</v>
      </c>
      <c r="V349" s="36">
        <v>3</v>
      </c>
      <c r="W349" s="36">
        <v>2</v>
      </c>
      <c r="X349" s="36">
        <v>1</v>
      </c>
      <c r="Y349" s="36">
        <v>1</v>
      </c>
      <c r="Z349" s="36" t="s">
        <v>5197</v>
      </c>
      <c r="AA349" s="36" t="s">
        <v>5380</v>
      </c>
      <c r="AB349" s="36" t="s">
        <v>5205</v>
      </c>
      <c r="AC349" s="36" t="s">
        <v>5206</v>
      </c>
      <c r="AD349" s="36" t="s">
        <v>8528</v>
      </c>
    </row>
    <row r="350" spans="1:30" ht="72">
      <c r="A350" s="36" t="s">
        <v>5388</v>
      </c>
      <c r="B350" s="36" t="s">
        <v>92</v>
      </c>
      <c r="C350" s="36" t="s">
        <v>1565</v>
      </c>
      <c r="D350" s="36" t="s">
        <v>1540</v>
      </c>
      <c r="E350" s="36" t="s">
        <v>5389</v>
      </c>
      <c r="F350" s="36" t="s">
        <v>13514</v>
      </c>
      <c r="G350" s="36" t="s">
        <v>13515</v>
      </c>
      <c r="H350" s="36" t="s">
        <v>13516</v>
      </c>
      <c r="I350" s="36" t="s">
        <v>13517</v>
      </c>
      <c r="J350" s="36" t="s">
        <v>13518</v>
      </c>
      <c r="K350" s="36" t="s">
        <v>13519</v>
      </c>
      <c r="L350" s="36" t="s">
        <v>13520</v>
      </c>
      <c r="M350" s="36" t="s">
        <v>13521</v>
      </c>
      <c r="N350" s="36" t="s">
        <v>13522</v>
      </c>
      <c r="O350" s="36" t="s">
        <v>13523</v>
      </c>
      <c r="P350" s="36" t="s">
        <v>13524</v>
      </c>
      <c r="Q350" s="36" t="s">
        <v>13525</v>
      </c>
      <c r="R350" s="36" t="s">
        <v>9040</v>
      </c>
      <c r="S350" s="36" t="s">
        <v>13526</v>
      </c>
      <c r="T350" s="36">
        <v>4</v>
      </c>
      <c r="U350" s="36">
        <v>3</v>
      </c>
      <c r="V350" s="36">
        <v>3</v>
      </c>
      <c r="W350" s="36">
        <v>2</v>
      </c>
      <c r="X350" s="36">
        <v>1</v>
      </c>
      <c r="Y350" s="36">
        <v>1</v>
      </c>
      <c r="Z350" s="36" t="s">
        <v>5197</v>
      </c>
      <c r="AA350" s="36" t="s">
        <v>5390</v>
      </c>
      <c r="AB350" s="36" t="s">
        <v>5205</v>
      </c>
      <c r="AC350" s="36" t="s">
        <v>5206</v>
      </c>
      <c r="AD350" s="36" t="s">
        <v>8535</v>
      </c>
    </row>
    <row r="351" spans="1:30" ht="72">
      <c r="A351" s="36" t="s">
        <v>5398</v>
      </c>
      <c r="B351" s="36" t="s">
        <v>92</v>
      </c>
      <c r="C351" s="36" t="s">
        <v>1565</v>
      </c>
      <c r="D351" s="36" t="s">
        <v>1540</v>
      </c>
      <c r="E351" s="36" t="s">
        <v>5399</v>
      </c>
      <c r="F351" s="36" t="s">
        <v>13527</v>
      </c>
      <c r="G351" s="36" t="s">
        <v>13528</v>
      </c>
      <c r="H351" s="36" t="s">
        <v>13529</v>
      </c>
      <c r="I351" s="36" t="s">
        <v>13530</v>
      </c>
      <c r="J351" s="36" t="s">
        <v>13531</v>
      </c>
      <c r="K351" s="36" t="s">
        <v>13532</v>
      </c>
      <c r="L351" s="36" t="s">
        <v>13533</v>
      </c>
      <c r="M351" s="36" t="s">
        <v>13534</v>
      </c>
      <c r="N351" s="36" t="s">
        <v>13535</v>
      </c>
      <c r="O351" s="36" t="s">
        <v>13536</v>
      </c>
      <c r="P351" s="36" t="s">
        <v>13537</v>
      </c>
      <c r="Q351" s="36" t="s">
        <v>13538</v>
      </c>
      <c r="R351" s="36" t="s">
        <v>9040</v>
      </c>
      <c r="S351" s="36" t="s">
        <v>13539</v>
      </c>
      <c r="T351" s="36">
        <v>4</v>
      </c>
      <c r="U351" s="36">
        <v>3</v>
      </c>
      <c r="V351" s="36">
        <v>3</v>
      </c>
      <c r="W351" s="36">
        <v>2</v>
      </c>
      <c r="X351" s="36">
        <v>1</v>
      </c>
      <c r="Y351" s="36">
        <v>1</v>
      </c>
      <c r="Z351" s="36" t="s">
        <v>5197</v>
      </c>
      <c r="AA351" s="36" t="s">
        <v>5400</v>
      </c>
      <c r="AB351" s="36" t="s">
        <v>5205</v>
      </c>
      <c r="AC351" s="36" t="s">
        <v>5206</v>
      </c>
      <c r="AD351" s="36" t="s">
        <v>8542</v>
      </c>
    </row>
    <row r="352" spans="1:30" ht="72">
      <c r="A352" s="36" t="s">
        <v>5408</v>
      </c>
      <c r="B352" s="36" t="s">
        <v>92</v>
      </c>
      <c r="C352" s="36" t="s">
        <v>1565</v>
      </c>
      <c r="D352" s="36" t="s">
        <v>1540</v>
      </c>
      <c r="E352" s="36" t="s">
        <v>5409</v>
      </c>
      <c r="F352" s="36" t="s">
        <v>13540</v>
      </c>
      <c r="G352" s="36" t="s">
        <v>13541</v>
      </c>
      <c r="H352" s="36" t="s">
        <v>13542</v>
      </c>
      <c r="I352" s="36" t="s">
        <v>13543</v>
      </c>
      <c r="J352" s="36" t="s">
        <v>13544</v>
      </c>
      <c r="K352" s="36" t="s">
        <v>13545</v>
      </c>
      <c r="L352" s="36" t="s">
        <v>13546</v>
      </c>
      <c r="M352" s="36" t="s">
        <v>13547</v>
      </c>
      <c r="N352" s="36" t="s">
        <v>13548</v>
      </c>
      <c r="O352" s="36" t="s">
        <v>13549</v>
      </c>
      <c r="P352" s="36" t="s">
        <v>13550</v>
      </c>
      <c r="Q352" s="36" t="s">
        <v>13551</v>
      </c>
      <c r="R352" s="36" t="s">
        <v>9040</v>
      </c>
      <c r="S352" s="36" t="s">
        <v>13552</v>
      </c>
      <c r="T352" s="36">
        <v>4</v>
      </c>
      <c r="U352" s="36">
        <v>3</v>
      </c>
      <c r="V352" s="36">
        <v>3</v>
      </c>
      <c r="W352" s="36">
        <v>2</v>
      </c>
      <c r="X352" s="36">
        <v>1</v>
      </c>
      <c r="Y352" s="36">
        <v>1</v>
      </c>
      <c r="Z352" s="36" t="s">
        <v>5197</v>
      </c>
      <c r="AA352" s="36" t="s">
        <v>5410</v>
      </c>
      <c r="AB352" s="36" t="s">
        <v>5205</v>
      </c>
      <c r="AC352" s="36" t="s">
        <v>5206</v>
      </c>
      <c r="AD352" s="36" t="s">
        <v>8549</v>
      </c>
    </row>
    <row r="353" spans="1:30" ht="72">
      <c r="A353" s="36" t="s">
        <v>5418</v>
      </c>
      <c r="B353" s="36" t="s">
        <v>92</v>
      </c>
      <c r="C353" s="36" t="s">
        <v>1573</v>
      </c>
      <c r="D353" s="36" t="s">
        <v>1540</v>
      </c>
      <c r="E353" s="36" t="s">
        <v>5419</v>
      </c>
      <c r="F353" s="36" t="s">
        <v>13553</v>
      </c>
      <c r="G353" s="36" t="s">
        <v>13554</v>
      </c>
      <c r="H353" s="36" t="s">
        <v>13555</v>
      </c>
      <c r="I353" s="36" t="s">
        <v>13556</v>
      </c>
      <c r="J353" s="36" t="s">
        <v>13557</v>
      </c>
      <c r="K353" s="36" t="s">
        <v>13558</v>
      </c>
      <c r="L353" s="36" t="s">
        <v>13559</v>
      </c>
      <c r="M353" s="36" t="s">
        <v>13560</v>
      </c>
      <c r="N353" s="36" t="s">
        <v>13561</v>
      </c>
      <c r="O353" s="36" t="s">
        <v>13562</v>
      </c>
      <c r="P353" s="36" t="s">
        <v>13563</v>
      </c>
      <c r="Q353" s="36" t="s">
        <v>13564</v>
      </c>
      <c r="R353" s="36" t="s">
        <v>9040</v>
      </c>
      <c r="S353" s="36" t="s">
        <v>13565</v>
      </c>
      <c r="T353" s="36">
        <v>4</v>
      </c>
      <c r="U353" s="36">
        <v>3</v>
      </c>
      <c r="V353" s="36">
        <v>3</v>
      </c>
      <c r="W353" s="36">
        <v>2</v>
      </c>
      <c r="X353" s="36">
        <v>1</v>
      </c>
      <c r="Y353" s="36">
        <v>1</v>
      </c>
      <c r="Z353" s="36" t="s">
        <v>5197</v>
      </c>
      <c r="AA353" s="36" t="s">
        <v>5420</v>
      </c>
      <c r="AB353" s="36" t="s">
        <v>5205</v>
      </c>
      <c r="AC353" s="36" t="s">
        <v>5206</v>
      </c>
      <c r="AD353" s="36" t="s">
        <v>8557</v>
      </c>
    </row>
    <row r="354" spans="1:30" ht="72">
      <c r="A354" s="36" t="s">
        <v>5428</v>
      </c>
      <c r="B354" s="36" t="s">
        <v>92</v>
      </c>
      <c r="C354" s="36" t="s">
        <v>1573</v>
      </c>
      <c r="D354" s="36" t="s">
        <v>1540</v>
      </c>
      <c r="E354" s="36" t="s">
        <v>5429</v>
      </c>
      <c r="F354" s="36" t="s">
        <v>13566</v>
      </c>
      <c r="G354" s="36" t="s">
        <v>13567</v>
      </c>
      <c r="H354" s="36" t="s">
        <v>13568</v>
      </c>
      <c r="I354" s="36" t="s">
        <v>13569</v>
      </c>
      <c r="J354" s="36" t="s">
        <v>13570</v>
      </c>
      <c r="K354" s="36" t="s">
        <v>13571</v>
      </c>
      <c r="L354" s="36" t="s">
        <v>13572</v>
      </c>
      <c r="M354" s="36" t="s">
        <v>13573</v>
      </c>
      <c r="N354" s="36" t="s">
        <v>13574</v>
      </c>
      <c r="O354" s="36" t="s">
        <v>13575</v>
      </c>
      <c r="P354" s="36" t="s">
        <v>13576</v>
      </c>
      <c r="Q354" s="36" t="s">
        <v>13577</v>
      </c>
      <c r="R354" s="36" t="s">
        <v>9040</v>
      </c>
      <c r="S354" s="36" t="s">
        <v>13578</v>
      </c>
      <c r="T354" s="36">
        <v>4</v>
      </c>
      <c r="U354" s="36">
        <v>3</v>
      </c>
      <c r="V354" s="36">
        <v>3</v>
      </c>
      <c r="W354" s="36">
        <v>2</v>
      </c>
      <c r="X354" s="36">
        <v>1</v>
      </c>
      <c r="Y354" s="36">
        <v>1</v>
      </c>
      <c r="Z354" s="36" t="s">
        <v>5197</v>
      </c>
      <c r="AA354" s="36" t="s">
        <v>5430</v>
      </c>
      <c r="AB354" s="36" t="s">
        <v>5205</v>
      </c>
      <c r="AC354" s="36" t="s">
        <v>5206</v>
      </c>
      <c r="AD354" s="36" t="s">
        <v>8564</v>
      </c>
    </row>
    <row r="355" spans="1:30" ht="72">
      <c r="A355" s="36" t="s">
        <v>5438</v>
      </c>
      <c r="B355" s="36" t="s">
        <v>92</v>
      </c>
      <c r="C355" s="36" t="s">
        <v>1573</v>
      </c>
      <c r="D355" s="36" t="s">
        <v>1540</v>
      </c>
      <c r="E355" s="36" t="s">
        <v>5439</v>
      </c>
      <c r="F355" s="36" t="s">
        <v>13579</v>
      </c>
      <c r="G355" s="36" t="s">
        <v>13580</v>
      </c>
      <c r="H355" s="36" t="s">
        <v>13581</v>
      </c>
      <c r="I355" s="36" t="s">
        <v>13582</v>
      </c>
      <c r="J355" s="36" t="s">
        <v>13583</v>
      </c>
      <c r="K355" s="36" t="s">
        <v>13584</v>
      </c>
      <c r="L355" s="36" t="s">
        <v>13585</v>
      </c>
      <c r="M355" s="36" t="s">
        <v>13586</v>
      </c>
      <c r="N355" s="36" t="s">
        <v>13587</v>
      </c>
      <c r="O355" s="36" t="s">
        <v>13588</v>
      </c>
      <c r="P355" s="36" t="s">
        <v>13589</v>
      </c>
      <c r="Q355" s="36" t="s">
        <v>13590</v>
      </c>
      <c r="R355" s="36" t="s">
        <v>9040</v>
      </c>
      <c r="S355" s="36" t="s">
        <v>13591</v>
      </c>
      <c r="T355" s="36">
        <v>4</v>
      </c>
      <c r="U355" s="36">
        <v>3</v>
      </c>
      <c r="V355" s="36">
        <v>3</v>
      </c>
      <c r="W355" s="36">
        <v>2</v>
      </c>
      <c r="X355" s="36">
        <v>1</v>
      </c>
      <c r="Y355" s="36">
        <v>1</v>
      </c>
      <c r="Z355" s="36" t="s">
        <v>5197</v>
      </c>
      <c r="AA355" s="36" t="s">
        <v>5440</v>
      </c>
      <c r="AB355" s="36" t="s">
        <v>5205</v>
      </c>
      <c r="AC355" s="36" t="s">
        <v>5206</v>
      </c>
      <c r="AD355" s="36" t="s">
        <v>8571</v>
      </c>
    </row>
    <row r="356" spans="1:30" ht="72">
      <c r="A356" s="36" t="s">
        <v>5448</v>
      </c>
      <c r="B356" s="36" t="s">
        <v>92</v>
      </c>
      <c r="C356" s="36" t="s">
        <v>1573</v>
      </c>
      <c r="D356" s="36" t="s">
        <v>1540</v>
      </c>
      <c r="E356" s="36" t="s">
        <v>5449</v>
      </c>
      <c r="F356" s="36" t="s">
        <v>13592</v>
      </c>
      <c r="G356" s="36" t="s">
        <v>13593</v>
      </c>
      <c r="H356" s="36" t="s">
        <v>13594</v>
      </c>
      <c r="I356" s="36" t="s">
        <v>13595</v>
      </c>
      <c r="J356" s="36" t="s">
        <v>13596</v>
      </c>
      <c r="K356" s="36" t="s">
        <v>13597</v>
      </c>
      <c r="L356" s="36" t="s">
        <v>13598</v>
      </c>
      <c r="M356" s="36" t="s">
        <v>13599</v>
      </c>
      <c r="N356" s="36" t="s">
        <v>13600</v>
      </c>
      <c r="O356" s="36" t="s">
        <v>13601</v>
      </c>
      <c r="P356" s="36" t="s">
        <v>13602</v>
      </c>
      <c r="Q356" s="36" t="s">
        <v>13603</v>
      </c>
      <c r="R356" s="36" t="s">
        <v>9040</v>
      </c>
      <c r="S356" s="36" t="s">
        <v>13604</v>
      </c>
      <c r="T356" s="36">
        <v>4</v>
      </c>
      <c r="U356" s="36">
        <v>3</v>
      </c>
      <c r="V356" s="36">
        <v>3</v>
      </c>
      <c r="W356" s="36">
        <v>2</v>
      </c>
      <c r="X356" s="36">
        <v>1</v>
      </c>
      <c r="Y356" s="36">
        <v>1</v>
      </c>
      <c r="Z356" s="36" t="s">
        <v>5197</v>
      </c>
      <c r="AA356" s="36" t="s">
        <v>5450</v>
      </c>
      <c r="AB356" s="36" t="s">
        <v>5205</v>
      </c>
      <c r="AC356" s="36" t="s">
        <v>5206</v>
      </c>
      <c r="AD356" s="36" t="s">
        <v>8578</v>
      </c>
    </row>
    <row r="357" spans="1:30" ht="72">
      <c r="A357" s="36" t="s">
        <v>5458</v>
      </c>
      <c r="B357" s="36" t="s">
        <v>92</v>
      </c>
      <c r="C357" s="36" t="s">
        <v>1573</v>
      </c>
      <c r="D357" s="36" t="s">
        <v>1540</v>
      </c>
      <c r="E357" s="36" t="s">
        <v>5459</v>
      </c>
      <c r="F357" s="36" t="s">
        <v>13605</v>
      </c>
      <c r="G357" s="36" t="s">
        <v>13606</v>
      </c>
      <c r="H357" s="36" t="s">
        <v>13607</v>
      </c>
      <c r="I357" s="36" t="s">
        <v>13608</v>
      </c>
      <c r="J357" s="36" t="s">
        <v>13609</v>
      </c>
      <c r="K357" s="36" t="s">
        <v>13610</v>
      </c>
      <c r="L357" s="36" t="s">
        <v>13611</v>
      </c>
      <c r="M357" s="36" t="s">
        <v>13612</v>
      </c>
      <c r="N357" s="36" t="s">
        <v>13613</v>
      </c>
      <c r="O357" s="36" t="s">
        <v>13614</v>
      </c>
      <c r="P357" s="36" t="s">
        <v>13615</v>
      </c>
      <c r="Q357" s="36" t="s">
        <v>13616</v>
      </c>
      <c r="R357" s="36" t="s">
        <v>9040</v>
      </c>
      <c r="S357" s="36" t="s">
        <v>13617</v>
      </c>
      <c r="T357" s="36">
        <v>4</v>
      </c>
      <c r="U357" s="36">
        <v>3</v>
      </c>
      <c r="V357" s="36">
        <v>3</v>
      </c>
      <c r="W357" s="36">
        <v>2</v>
      </c>
      <c r="X357" s="36">
        <v>1</v>
      </c>
      <c r="Y357" s="36">
        <v>1</v>
      </c>
      <c r="Z357" s="36" t="s">
        <v>5197</v>
      </c>
      <c r="AA357" s="36" t="s">
        <v>5460</v>
      </c>
      <c r="AB357" s="36" t="s">
        <v>5205</v>
      </c>
      <c r="AC357" s="36" t="s">
        <v>5206</v>
      </c>
      <c r="AD357" s="36" t="s">
        <v>8585</v>
      </c>
    </row>
    <row r="358" spans="1:30" ht="72">
      <c r="A358" s="36" t="s">
        <v>5470</v>
      </c>
      <c r="B358" s="36" t="s">
        <v>93</v>
      </c>
      <c r="C358" s="36" t="s">
        <v>1581</v>
      </c>
      <c r="D358" s="36" t="s">
        <v>1586</v>
      </c>
      <c r="E358" s="36" t="s">
        <v>5471</v>
      </c>
      <c r="F358" s="36" t="s">
        <v>13618</v>
      </c>
      <c r="G358" s="36" t="s">
        <v>13619</v>
      </c>
      <c r="H358" s="36" t="s">
        <v>13620</v>
      </c>
      <c r="I358" s="36" t="s">
        <v>13621</v>
      </c>
      <c r="J358" s="36" t="s">
        <v>13622</v>
      </c>
      <c r="K358" s="36" t="s">
        <v>13623</v>
      </c>
      <c r="L358" s="36" t="s">
        <v>13624</v>
      </c>
      <c r="M358" s="36" t="s">
        <v>13625</v>
      </c>
      <c r="N358" s="36" t="s">
        <v>13626</v>
      </c>
      <c r="O358" s="36" t="s">
        <v>13627</v>
      </c>
      <c r="P358" s="36" t="s">
        <v>13628</v>
      </c>
      <c r="Q358" s="36" t="s">
        <v>13629</v>
      </c>
      <c r="R358" s="36" t="s">
        <v>9040</v>
      </c>
      <c r="S358" s="36" t="s">
        <v>13630</v>
      </c>
      <c r="T358" s="36">
        <v>4</v>
      </c>
      <c r="U358" s="36">
        <v>3</v>
      </c>
      <c r="V358" s="36">
        <v>3</v>
      </c>
      <c r="W358" s="36">
        <v>2</v>
      </c>
      <c r="X358" s="36">
        <v>1</v>
      </c>
      <c r="Y358" s="36">
        <v>1</v>
      </c>
      <c r="Z358" s="36" t="s">
        <v>5473</v>
      </c>
      <c r="AA358" s="36" t="s">
        <v>5474</v>
      </c>
      <c r="AB358" s="36" t="s">
        <v>5481</v>
      </c>
      <c r="AC358" s="36" t="s">
        <v>5482</v>
      </c>
      <c r="AD358" s="36" t="s">
        <v>8593</v>
      </c>
    </row>
    <row r="359" spans="1:30" ht="72">
      <c r="A359" s="36" t="s">
        <v>5484</v>
      </c>
      <c r="B359" s="36" t="s">
        <v>93</v>
      </c>
      <c r="C359" s="36" t="s">
        <v>1581</v>
      </c>
      <c r="D359" s="36" t="s">
        <v>1586</v>
      </c>
      <c r="E359" s="36" t="s">
        <v>5485</v>
      </c>
      <c r="F359" s="36" t="s">
        <v>13631</v>
      </c>
      <c r="G359" s="36" t="s">
        <v>13632</v>
      </c>
      <c r="H359" s="36" t="s">
        <v>13633</v>
      </c>
      <c r="I359" s="36" t="s">
        <v>13634</v>
      </c>
      <c r="J359" s="36" t="s">
        <v>13635</v>
      </c>
      <c r="K359" s="36" t="s">
        <v>13636</v>
      </c>
      <c r="L359" s="36" t="s">
        <v>13637</v>
      </c>
      <c r="M359" s="36" t="s">
        <v>13638</v>
      </c>
      <c r="N359" s="36" t="s">
        <v>13639</v>
      </c>
      <c r="O359" s="36" t="s">
        <v>13640</v>
      </c>
      <c r="P359" s="36" t="s">
        <v>13641</v>
      </c>
      <c r="Q359" s="36" t="s">
        <v>13642</v>
      </c>
      <c r="R359" s="36" t="s">
        <v>9040</v>
      </c>
      <c r="S359" s="36" t="s">
        <v>13643</v>
      </c>
      <c r="T359" s="36">
        <v>4</v>
      </c>
      <c r="U359" s="36">
        <v>3</v>
      </c>
      <c r="V359" s="36">
        <v>3</v>
      </c>
      <c r="W359" s="36">
        <v>2</v>
      </c>
      <c r="X359" s="36">
        <v>1</v>
      </c>
      <c r="Y359" s="36">
        <v>1</v>
      </c>
      <c r="Z359" s="36" t="s">
        <v>5473</v>
      </c>
      <c r="AA359" s="36" t="s">
        <v>5486</v>
      </c>
      <c r="AB359" s="36" t="s">
        <v>5481</v>
      </c>
      <c r="AC359" s="36" t="s">
        <v>5482</v>
      </c>
      <c r="AD359" s="36" t="s">
        <v>8600</v>
      </c>
    </row>
    <row r="360" spans="1:30" ht="72">
      <c r="A360" s="36" t="s">
        <v>5494</v>
      </c>
      <c r="B360" s="36" t="s">
        <v>93</v>
      </c>
      <c r="C360" s="36" t="s">
        <v>1581</v>
      </c>
      <c r="D360" s="36" t="s">
        <v>1586</v>
      </c>
      <c r="E360" s="36" t="s">
        <v>5495</v>
      </c>
      <c r="F360" s="36" t="s">
        <v>13644</v>
      </c>
      <c r="G360" s="36" t="s">
        <v>13645</v>
      </c>
      <c r="H360" s="36" t="s">
        <v>13646</v>
      </c>
      <c r="I360" s="36" t="s">
        <v>13647</v>
      </c>
      <c r="J360" s="36" t="s">
        <v>13648</v>
      </c>
      <c r="K360" s="36" t="s">
        <v>13649</v>
      </c>
      <c r="L360" s="36" t="s">
        <v>13650</v>
      </c>
      <c r="M360" s="36" t="s">
        <v>13651</v>
      </c>
      <c r="N360" s="36" t="s">
        <v>13652</v>
      </c>
      <c r="O360" s="36" t="s">
        <v>13653</v>
      </c>
      <c r="P360" s="36" t="s">
        <v>13654</v>
      </c>
      <c r="Q360" s="36" t="s">
        <v>13655</v>
      </c>
      <c r="R360" s="36" t="s">
        <v>9040</v>
      </c>
      <c r="S360" s="36" t="s">
        <v>13656</v>
      </c>
      <c r="T360" s="36">
        <v>4</v>
      </c>
      <c r="U360" s="36">
        <v>3</v>
      </c>
      <c r="V360" s="36">
        <v>3</v>
      </c>
      <c r="W360" s="36">
        <v>2</v>
      </c>
      <c r="X360" s="36">
        <v>1</v>
      </c>
      <c r="Y360" s="36">
        <v>1</v>
      </c>
      <c r="Z360" s="36" t="s">
        <v>5473</v>
      </c>
      <c r="AA360" s="36" t="s">
        <v>5496</v>
      </c>
      <c r="AB360" s="36" t="s">
        <v>5481</v>
      </c>
      <c r="AC360" s="36" t="s">
        <v>5482</v>
      </c>
      <c r="AD360" s="36" t="s">
        <v>8607</v>
      </c>
    </row>
    <row r="361" spans="1:30" ht="72">
      <c r="A361" s="36" t="s">
        <v>5504</v>
      </c>
      <c r="B361" s="36" t="s">
        <v>93</v>
      </c>
      <c r="C361" s="36" t="s">
        <v>1581</v>
      </c>
      <c r="D361" s="36" t="s">
        <v>1586</v>
      </c>
      <c r="E361" s="36" t="s">
        <v>5505</v>
      </c>
      <c r="F361" s="36" t="s">
        <v>13657</v>
      </c>
      <c r="G361" s="36" t="s">
        <v>13658</v>
      </c>
      <c r="H361" s="36" t="s">
        <v>13659</v>
      </c>
      <c r="I361" s="36" t="s">
        <v>13660</v>
      </c>
      <c r="J361" s="36" t="s">
        <v>13661</v>
      </c>
      <c r="K361" s="36" t="s">
        <v>13662</v>
      </c>
      <c r="L361" s="36" t="s">
        <v>13663</v>
      </c>
      <c r="M361" s="36" t="s">
        <v>13664</v>
      </c>
      <c r="N361" s="36" t="s">
        <v>13665</v>
      </c>
      <c r="O361" s="36" t="s">
        <v>13666</v>
      </c>
      <c r="P361" s="36" t="s">
        <v>13667</v>
      </c>
      <c r="Q361" s="36" t="s">
        <v>13668</v>
      </c>
      <c r="R361" s="36" t="s">
        <v>9040</v>
      </c>
      <c r="S361" s="36" t="s">
        <v>13669</v>
      </c>
      <c r="T361" s="36">
        <v>4</v>
      </c>
      <c r="U361" s="36">
        <v>3</v>
      </c>
      <c r="V361" s="36">
        <v>3</v>
      </c>
      <c r="W361" s="36">
        <v>2</v>
      </c>
      <c r="X361" s="36">
        <v>1</v>
      </c>
      <c r="Y361" s="36">
        <v>1</v>
      </c>
      <c r="Z361" s="36" t="s">
        <v>5473</v>
      </c>
      <c r="AA361" s="36" t="s">
        <v>5506</v>
      </c>
      <c r="AB361" s="36" t="s">
        <v>5481</v>
      </c>
      <c r="AC361" s="36" t="s">
        <v>5482</v>
      </c>
      <c r="AD361" s="36" t="s">
        <v>8614</v>
      </c>
    </row>
    <row r="362" spans="1:30" ht="72">
      <c r="A362" s="36" t="s">
        <v>5514</v>
      </c>
      <c r="B362" s="36" t="s">
        <v>93</v>
      </c>
      <c r="C362" s="36" t="s">
        <v>1581</v>
      </c>
      <c r="D362" s="36" t="s">
        <v>1586</v>
      </c>
      <c r="E362" s="36" t="s">
        <v>5515</v>
      </c>
      <c r="F362" s="36" t="s">
        <v>13670</v>
      </c>
      <c r="G362" s="36" t="s">
        <v>13671</v>
      </c>
      <c r="H362" s="36" t="s">
        <v>13672</v>
      </c>
      <c r="I362" s="36" t="s">
        <v>13673</v>
      </c>
      <c r="J362" s="36" t="s">
        <v>13674</v>
      </c>
      <c r="K362" s="36" t="s">
        <v>13675</v>
      </c>
      <c r="L362" s="36" t="s">
        <v>13676</v>
      </c>
      <c r="M362" s="36" t="s">
        <v>13677</v>
      </c>
      <c r="N362" s="36" t="s">
        <v>13678</v>
      </c>
      <c r="O362" s="36" t="s">
        <v>13679</v>
      </c>
      <c r="P362" s="36" t="s">
        <v>13680</v>
      </c>
      <c r="Q362" s="36" t="s">
        <v>13681</v>
      </c>
      <c r="R362" s="36" t="s">
        <v>9040</v>
      </c>
      <c r="S362" s="36" t="s">
        <v>13682</v>
      </c>
      <c r="T362" s="36">
        <v>4</v>
      </c>
      <c r="U362" s="36">
        <v>3</v>
      </c>
      <c r="V362" s="36">
        <v>3</v>
      </c>
      <c r="W362" s="36">
        <v>2</v>
      </c>
      <c r="X362" s="36">
        <v>1</v>
      </c>
      <c r="Y362" s="36">
        <v>1</v>
      </c>
      <c r="Z362" s="36" t="s">
        <v>5473</v>
      </c>
      <c r="AA362" s="36" t="s">
        <v>5516</v>
      </c>
      <c r="AB362" s="36" t="s">
        <v>5481</v>
      </c>
      <c r="AC362" s="36" t="s">
        <v>5482</v>
      </c>
      <c r="AD362" s="36" t="s">
        <v>8621</v>
      </c>
    </row>
    <row r="363" spans="1:30" ht="72">
      <c r="A363" s="36" t="s">
        <v>5524</v>
      </c>
      <c r="B363" s="36" t="s">
        <v>93</v>
      </c>
      <c r="C363" s="36" t="s">
        <v>1581</v>
      </c>
      <c r="D363" s="36" t="s">
        <v>1586</v>
      </c>
      <c r="E363" s="36" t="s">
        <v>5525</v>
      </c>
      <c r="F363" s="36" t="s">
        <v>13683</v>
      </c>
      <c r="G363" s="36" t="s">
        <v>13684</v>
      </c>
      <c r="H363" s="36" t="s">
        <v>13685</v>
      </c>
      <c r="I363" s="36" t="s">
        <v>13686</v>
      </c>
      <c r="J363" s="36" t="s">
        <v>13687</v>
      </c>
      <c r="K363" s="36" t="s">
        <v>13688</v>
      </c>
      <c r="L363" s="36" t="s">
        <v>13689</v>
      </c>
      <c r="M363" s="36" t="s">
        <v>13690</v>
      </c>
      <c r="N363" s="36" t="s">
        <v>13691</v>
      </c>
      <c r="O363" s="36" t="s">
        <v>13692</v>
      </c>
      <c r="P363" s="36" t="s">
        <v>13693</v>
      </c>
      <c r="Q363" s="36" t="s">
        <v>13694</v>
      </c>
      <c r="R363" s="36" t="s">
        <v>9040</v>
      </c>
      <c r="S363" s="36" t="s">
        <v>13695</v>
      </c>
      <c r="T363" s="36">
        <v>4</v>
      </c>
      <c r="U363" s="36">
        <v>3</v>
      </c>
      <c r="V363" s="36">
        <v>3</v>
      </c>
      <c r="W363" s="36">
        <v>2</v>
      </c>
      <c r="X363" s="36">
        <v>1</v>
      </c>
      <c r="Y363" s="36">
        <v>1</v>
      </c>
      <c r="Z363" s="36" t="s">
        <v>5473</v>
      </c>
      <c r="AA363" s="36" t="s">
        <v>5526</v>
      </c>
      <c r="AB363" s="36" t="s">
        <v>5481</v>
      </c>
      <c r="AC363" s="36" t="s">
        <v>5482</v>
      </c>
      <c r="AD363" s="36" t="s">
        <v>8628</v>
      </c>
    </row>
    <row r="364" spans="1:30" ht="72">
      <c r="A364" s="36" t="s">
        <v>5534</v>
      </c>
      <c r="B364" s="36" t="s">
        <v>93</v>
      </c>
      <c r="C364" s="36" t="s">
        <v>1596</v>
      </c>
      <c r="D364" s="36" t="s">
        <v>1586</v>
      </c>
      <c r="E364" s="36" t="s">
        <v>5535</v>
      </c>
      <c r="F364" s="36" t="s">
        <v>13696</v>
      </c>
      <c r="G364" s="36" t="s">
        <v>13697</v>
      </c>
      <c r="H364" s="36" t="s">
        <v>13698</v>
      </c>
      <c r="I364" s="36" t="s">
        <v>13699</v>
      </c>
      <c r="J364" s="36" t="s">
        <v>13700</v>
      </c>
      <c r="K364" s="36" t="s">
        <v>13701</v>
      </c>
      <c r="L364" s="36" t="s">
        <v>13702</v>
      </c>
      <c r="M364" s="36" t="s">
        <v>13703</v>
      </c>
      <c r="N364" s="36" t="s">
        <v>13704</v>
      </c>
      <c r="O364" s="36" t="s">
        <v>13705</v>
      </c>
      <c r="P364" s="36" t="s">
        <v>13706</v>
      </c>
      <c r="Q364" s="36" t="s">
        <v>13707</v>
      </c>
      <c r="R364" s="36" t="s">
        <v>9040</v>
      </c>
      <c r="S364" s="36" t="s">
        <v>13708</v>
      </c>
      <c r="T364" s="36">
        <v>4</v>
      </c>
      <c r="U364" s="36">
        <v>3</v>
      </c>
      <c r="V364" s="36">
        <v>3</v>
      </c>
      <c r="W364" s="36">
        <v>2</v>
      </c>
      <c r="X364" s="36">
        <v>1</v>
      </c>
      <c r="Y364" s="36">
        <v>1</v>
      </c>
      <c r="Z364" s="36" t="s">
        <v>5473</v>
      </c>
      <c r="AA364" s="36" t="s">
        <v>5536</v>
      </c>
      <c r="AB364" s="36" t="s">
        <v>5481</v>
      </c>
      <c r="AC364" s="36" t="s">
        <v>5482</v>
      </c>
      <c r="AD364" s="36" t="s">
        <v>8636</v>
      </c>
    </row>
    <row r="365" spans="1:30" ht="72">
      <c r="A365" s="36" t="s">
        <v>5544</v>
      </c>
      <c r="B365" s="36" t="s">
        <v>93</v>
      </c>
      <c r="C365" s="36" t="s">
        <v>1596</v>
      </c>
      <c r="D365" s="36" t="s">
        <v>1586</v>
      </c>
      <c r="E365" s="36" t="s">
        <v>5545</v>
      </c>
      <c r="F365" s="36" t="s">
        <v>13709</v>
      </c>
      <c r="G365" s="36" t="s">
        <v>13710</v>
      </c>
      <c r="H365" s="36" t="s">
        <v>13711</v>
      </c>
      <c r="I365" s="36" t="s">
        <v>13712</v>
      </c>
      <c r="J365" s="36" t="s">
        <v>13713</v>
      </c>
      <c r="K365" s="36" t="s">
        <v>13714</v>
      </c>
      <c r="L365" s="36" t="s">
        <v>13715</v>
      </c>
      <c r="M365" s="36" t="s">
        <v>13716</v>
      </c>
      <c r="N365" s="36" t="s">
        <v>13717</v>
      </c>
      <c r="O365" s="36" t="s">
        <v>13718</v>
      </c>
      <c r="P365" s="36" t="s">
        <v>13719</v>
      </c>
      <c r="Q365" s="36" t="s">
        <v>13720</v>
      </c>
      <c r="R365" s="36" t="s">
        <v>9040</v>
      </c>
      <c r="S365" s="36" t="s">
        <v>13721</v>
      </c>
      <c r="T365" s="36">
        <v>4</v>
      </c>
      <c r="U365" s="36">
        <v>3</v>
      </c>
      <c r="V365" s="36">
        <v>3</v>
      </c>
      <c r="W365" s="36">
        <v>2</v>
      </c>
      <c r="X365" s="36">
        <v>1</v>
      </c>
      <c r="Y365" s="36">
        <v>1</v>
      </c>
      <c r="Z365" s="36" t="s">
        <v>5473</v>
      </c>
      <c r="AA365" s="36" t="s">
        <v>5546</v>
      </c>
      <c r="AB365" s="36" t="s">
        <v>5481</v>
      </c>
      <c r="AC365" s="36" t="s">
        <v>5482</v>
      </c>
      <c r="AD365" s="36" t="s">
        <v>8643</v>
      </c>
    </row>
    <row r="366" spans="1:30" ht="72">
      <c r="A366" s="36" t="s">
        <v>5554</v>
      </c>
      <c r="B366" s="36" t="s">
        <v>93</v>
      </c>
      <c r="C366" s="36" t="s">
        <v>1596</v>
      </c>
      <c r="D366" s="36" t="s">
        <v>1586</v>
      </c>
      <c r="E366" s="36" t="s">
        <v>5555</v>
      </c>
      <c r="F366" s="36" t="s">
        <v>13722</v>
      </c>
      <c r="G366" s="36" t="s">
        <v>13723</v>
      </c>
      <c r="H366" s="36" t="s">
        <v>13724</v>
      </c>
      <c r="I366" s="36" t="s">
        <v>13725</v>
      </c>
      <c r="J366" s="36" t="s">
        <v>13726</v>
      </c>
      <c r="K366" s="36" t="s">
        <v>13727</v>
      </c>
      <c r="L366" s="36" t="s">
        <v>13728</v>
      </c>
      <c r="M366" s="36" t="s">
        <v>13729</v>
      </c>
      <c r="N366" s="36" t="s">
        <v>13730</v>
      </c>
      <c r="O366" s="36" t="s">
        <v>13731</v>
      </c>
      <c r="P366" s="36" t="s">
        <v>13732</v>
      </c>
      <c r="Q366" s="36" t="s">
        <v>13733</v>
      </c>
      <c r="R366" s="36" t="s">
        <v>9040</v>
      </c>
      <c r="S366" s="36" t="s">
        <v>13734</v>
      </c>
      <c r="T366" s="36">
        <v>4</v>
      </c>
      <c r="U366" s="36">
        <v>3</v>
      </c>
      <c r="V366" s="36">
        <v>3</v>
      </c>
      <c r="W366" s="36">
        <v>2</v>
      </c>
      <c r="X366" s="36">
        <v>1</v>
      </c>
      <c r="Y366" s="36">
        <v>1</v>
      </c>
      <c r="Z366" s="36" t="s">
        <v>5473</v>
      </c>
      <c r="AA366" s="36" t="s">
        <v>5556</v>
      </c>
      <c r="AB366" s="36" t="s">
        <v>5481</v>
      </c>
      <c r="AC366" s="36" t="s">
        <v>5482</v>
      </c>
      <c r="AD366" s="36" t="s">
        <v>8650</v>
      </c>
    </row>
    <row r="367" spans="1:30" ht="60">
      <c r="A367" s="36" t="s">
        <v>5564</v>
      </c>
      <c r="B367" s="36" t="s">
        <v>93</v>
      </c>
      <c r="C367" s="36" t="s">
        <v>1596</v>
      </c>
      <c r="D367" s="36" t="s">
        <v>1586</v>
      </c>
      <c r="E367" s="36" t="s">
        <v>5565</v>
      </c>
      <c r="F367" s="36" t="s">
        <v>13735</v>
      </c>
      <c r="G367" s="36" t="s">
        <v>13736</v>
      </c>
      <c r="H367" s="36" t="s">
        <v>13737</v>
      </c>
      <c r="I367" s="36" t="s">
        <v>13738</v>
      </c>
      <c r="J367" s="36" t="s">
        <v>13739</v>
      </c>
      <c r="K367" s="36" t="s">
        <v>13740</v>
      </c>
      <c r="L367" s="36" t="s">
        <v>13741</v>
      </c>
      <c r="M367" s="36" t="s">
        <v>13742</v>
      </c>
      <c r="N367" s="36" t="s">
        <v>13743</v>
      </c>
      <c r="O367" s="36" t="s">
        <v>13744</v>
      </c>
      <c r="P367" s="36" t="s">
        <v>13745</v>
      </c>
      <c r="Q367" s="36" t="s">
        <v>13746</v>
      </c>
      <c r="R367" s="36" t="s">
        <v>9040</v>
      </c>
      <c r="S367" s="36" t="s">
        <v>13747</v>
      </c>
      <c r="T367" s="36">
        <v>4</v>
      </c>
      <c r="U367" s="36">
        <v>3</v>
      </c>
      <c r="V367" s="36">
        <v>3</v>
      </c>
      <c r="W367" s="36">
        <v>2</v>
      </c>
      <c r="X367" s="36">
        <v>1</v>
      </c>
      <c r="Y367" s="36">
        <v>1</v>
      </c>
      <c r="Z367" s="36" t="s">
        <v>5473</v>
      </c>
      <c r="AA367" s="36" t="s">
        <v>5566</v>
      </c>
      <c r="AB367" s="36" t="s">
        <v>5481</v>
      </c>
      <c r="AC367" s="36" t="s">
        <v>5482</v>
      </c>
      <c r="AD367" s="36" t="s">
        <v>8657</v>
      </c>
    </row>
    <row r="368" spans="1:30" ht="72">
      <c r="A368" s="36" t="s">
        <v>5574</v>
      </c>
      <c r="B368" s="36" t="s">
        <v>93</v>
      </c>
      <c r="C368" s="36" t="s">
        <v>1596</v>
      </c>
      <c r="D368" s="36" t="s">
        <v>1586</v>
      </c>
      <c r="E368" s="36" t="s">
        <v>5575</v>
      </c>
      <c r="F368" s="36" t="s">
        <v>13748</v>
      </c>
      <c r="G368" s="36" t="s">
        <v>13749</v>
      </c>
      <c r="H368" s="36" t="s">
        <v>13750</v>
      </c>
      <c r="I368" s="36" t="s">
        <v>13751</v>
      </c>
      <c r="J368" s="36" t="s">
        <v>13752</v>
      </c>
      <c r="K368" s="36" t="s">
        <v>13753</v>
      </c>
      <c r="L368" s="36" t="s">
        <v>13754</v>
      </c>
      <c r="M368" s="36" t="s">
        <v>13755</v>
      </c>
      <c r="N368" s="36" t="s">
        <v>13756</v>
      </c>
      <c r="O368" s="36" t="s">
        <v>13757</v>
      </c>
      <c r="P368" s="36" t="s">
        <v>13758</v>
      </c>
      <c r="Q368" s="36" t="s">
        <v>13759</v>
      </c>
      <c r="R368" s="36" t="s">
        <v>9040</v>
      </c>
      <c r="S368" s="36" t="s">
        <v>13760</v>
      </c>
      <c r="T368" s="36">
        <v>4</v>
      </c>
      <c r="U368" s="36">
        <v>3</v>
      </c>
      <c r="V368" s="36">
        <v>3</v>
      </c>
      <c r="W368" s="36">
        <v>2</v>
      </c>
      <c r="X368" s="36">
        <v>1</v>
      </c>
      <c r="Y368" s="36">
        <v>1</v>
      </c>
      <c r="Z368" s="36" t="s">
        <v>5473</v>
      </c>
      <c r="AA368" s="36" t="s">
        <v>5576</v>
      </c>
      <c r="AB368" s="36" t="s">
        <v>5481</v>
      </c>
      <c r="AC368" s="36" t="s">
        <v>5482</v>
      </c>
      <c r="AD368" s="36" t="s">
        <v>8664</v>
      </c>
    </row>
    <row r="369" spans="1:30" ht="72">
      <c r="A369" s="36" t="s">
        <v>5584</v>
      </c>
      <c r="B369" s="36" t="s">
        <v>93</v>
      </c>
      <c r="C369" s="36" t="s">
        <v>1596</v>
      </c>
      <c r="D369" s="36" t="s">
        <v>1586</v>
      </c>
      <c r="E369" s="36" t="s">
        <v>5585</v>
      </c>
      <c r="F369" s="36" t="s">
        <v>13761</v>
      </c>
      <c r="G369" s="36" t="s">
        <v>13762</v>
      </c>
      <c r="H369" s="36" t="s">
        <v>13763</v>
      </c>
      <c r="I369" s="36" t="s">
        <v>13764</v>
      </c>
      <c r="J369" s="36" t="s">
        <v>13765</v>
      </c>
      <c r="K369" s="36" t="s">
        <v>13766</v>
      </c>
      <c r="L369" s="36" t="s">
        <v>13767</v>
      </c>
      <c r="M369" s="36" t="s">
        <v>13768</v>
      </c>
      <c r="N369" s="36" t="s">
        <v>13769</v>
      </c>
      <c r="O369" s="36" t="s">
        <v>13770</v>
      </c>
      <c r="P369" s="36" t="s">
        <v>13771</v>
      </c>
      <c r="Q369" s="36" t="s">
        <v>13772</v>
      </c>
      <c r="R369" s="36" t="s">
        <v>9040</v>
      </c>
      <c r="S369" s="36" t="s">
        <v>13773</v>
      </c>
      <c r="T369" s="36">
        <v>4</v>
      </c>
      <c r="U369" s="36">
        <v>3</v>
      </c>
      <c r="V369" s="36">
        <v>3</v>
      </c>
      <c r="W369" s="36">
        <v>2</v>
      </c>
      <c r="X369" s="36">
        <v>1</v>
      </c>
      <c r="Y369" s="36">
        <v>1</v>
      </c>
      <c r="Z369" s="36" t="s">
        <v>5473</v>
      </c>
      <c r="AA369" s="36" t="s">
        <v>5586</v>
      </c>
      <c r="AB369" s="36" t="s">
        <v>5481</v>
      </c>
      <c r="AC369" s="36" t="s">
        <v>5482</v>
      </c>
      <c r="AD369" s="36" t="s">
        <v>8671</v>
      </c>
    </row>
    <row r="370" spans="1:30" ht="72">
      <c r="A370" s="36" t="s">
        <v>5594</v>
      </c>
      <c r="B370" s="36" t="s">
        <v>93</v>
      </c>
      <c r="C370" s="36" t="s">
        <v>1604</v>
      </c>
      <c r="D370" s="36" t="s">
        <v>1586</v>
      </c>
      <c r="E370" s="36" t="s">
        <v>5595</v>
      </c>
      <c r="F370" s="36" t="s">
        <v>13774</v>
      </c>
      <c r="G370" s="36" t="s">
        <v>13775</v>
      </c>
      <c r="H370" s="36" t="s">
        <v>13776</v>
      </c>
      <c r="I370" s="36" t="s">
        <v>13777</v>
      </c>
      <c r="J370" s="36" t="s">
        <v>13778</v>
      </c>
      <c r="K370" s="36" t="s">
        <v>13779</v>
      </c>
      <c r="L370" s="36" t="s">
        <v>13780</v>
      </c>
      <c r="M370" s="36" t="s">
        <v>13781</v>
      </c>
      <c r="N370" s="36" t="s">
        <v>13782</v>
      </c>
      <c r="O370" s="36" t="s">
        <v>13783</v>
      </c>
      <c r="P370" s="36" t="s">
        <v>13784</v>
      </c>
      <c r="Q370" s="36" t="s">
        <v>13785</v>
      </c>
      <c r="R370" s="36" t="s">
        <v>9040</v>
      </c>
      <c r="S370" s="36" t="s">
        <v>13786</v>
      </c>
      <c r="T370" s="36">
        <v>4</v>
      </c>
      <c r="U370" s="36">
        <v>3</v>
      </c>
      <c r="V370" s="36">
        <v>3</v>
      </c>
      <c r="W370" s="36">
        <v>2</v>
      </c>
      <c r="X370" s="36">
        <v>1</v>
      </c>
      <c r="Y370" s="36">
        <v>1</v>
      </c>
      <c r="Z370" s="36" t="s">
        <v>5473</v>
      </c>
      <c r="AA370" s="36" t="s">
        <v>5596</v>
      </c>
      <c r="AB370" s="36" t="s">
        <v>5481</v>
      </c>
      <c r="AC370" s="36" t="s">
        <v>5482</v>
      </c>
      <c r="AD370" s="36" t="s">
        <v>8679</v>
      </c>
    </row>
    <row r="371" spans="1:30" ht="72">
      <c r="A371" s="36" t="s">
        <v>5604</v>
      </c>
      <c r="B371" s="36" t="s">
        <v>93</v>
      </c>
      <c r="C371" s="36" t="s">
        <v>1604</v>
      </c>
      <c r="D371" s="36" t="s">
        <v>1586</v>
      </c>
      <c r="E371" s="36" t="s">
        <v>5605</v>
      </c>
      <c r="F371" s="36" t="s">
        <v>13787</v>
      </c>
      <c r="G371" s="36" t="s">
        <v>13788</v>
      </c>
      <c r="H371" s="36" t="s">
        <v>13789</v>
      </c>
      <c r="I371" s="36" t="s">
        <v>13790</v>
      </c>
      <c r="J371" s="36" t="s">
        <v>13791</v>
      </c>
      <c r="K371" s="36" t="s">
        <v>13792</v>
      </c>
      <c r="L371" s="36" t="s">
        <v>13793</v>
      </c>
      <c r="M371" s="36" t="s">
        <v>13794</v>
      </c>
      <c r="N371" s="36" t="s">
        <v>13795</v>
      </c>
      <c r="O371" s="36" t="s">
        <v>13796</v>
      </c>
      <c r="P371" s="36" t="s">
        <v>13797</v>
      </c>
      <c r="Q371" s="36" t="s">
        <v>13798</v>
      </c>
      <c r="R371" s="36" t="s">
        <v>9040</v>
      </c>
      <c r="S371" s="36" t="s">
        <v>13799</v>
      </c>
      <c r="T371" s="36">
        <v>4</v>
      </c>
      <c r="U371" s="36">
        <v>3</v>
      </c>
      <c r="V371" s="36">
        <v>3</v>
      </c>
      <c r="W371" s="36">
        <v>2</v>
      </c>
      <c r="X371" s="36">
        <v>1</v>
      </c>
      <c r="Y371" s="36">
        <v>1</v>
      </c>
      <c r="Z371" s="36" t="s">
        <v>5473</v>
      </c>
      <c r="AA371" s="36" t="s">
        <v>5606</v>
      </c>
      <c r="AB371" s="36" t="s">
        <v>5481</v>
      </c>
      <c r="AC371" s="36" t="s">
        <v>5482</v>
      </c>
      <c r="AD371" s="36" t="s">
        <v>8686</v>
      </c>
    </row>
    <row r="372" spans="1:30" ht="72">
      <c r="A372" s="36" t="s">
        <v>5614</v>
      </c>
      <c r="B372" s="36" t="s">
        <v>93</v>
      </c>
      <c r="C372" s="36" t="s">
        <v>1604</v>
      </c>
      <c r="D372" s="36" t="s">
        <v>1586</v>
      </c>
      <c r="E372" s="36" t="s">
        <v>5615</v>
      </c>
      <c r="F372" s="36" t="s">
        <v>13800</v>
      </c>
      <c r="G372" s="36" t="s">
        <v>13801</v>
      </c>
      <c r="H372" s="36" t="s">
        <v>13802</v>
      </c>
      <c r="I372" s="36" t="s">
        <v>13803</v>
      </c>
      <c r="J372" s="36" t="s">
        <v>13804</v>
      </c>
      <c r="K372" s="36" t="s">
        <v>13805</v>
      </c>
      <c r="L372" s="36" t="s">
        <v>13806</v>
      </c>
      <c r="M372" s="36" t="s">
        <v>13807</v>
      </c>
      <c r="N372" s="36" t="s">
        <v>13808</v>
      </c>
      <c r="O372" s="36" t="s">
        <v>13809</v>
      </c>
      <c r="P372" s="36" t="s">
        <v>13810</v>
      </c>
      <c r="Q372" s="36" t="s">
        <v>13811</v>
      </c>
      <c r="R372" s="36" t="s">
        <v>9040</v>
      </c>
      <c r="S372" s="36" t="s">
        <v>13812</v>
      </c>
      <c r="T372" s="36">
        <v>4</v>
      </c>
      <c r="U372" s="36">
        <v>3</v>
      </c>
      <c r="V372" s="36">
        <v>3</v>
      </c>
      <c r="W372" s="36">
        <v>2</v>
      </c>
      <c r="X372" s="36">
        <v>1</v>
      </c>
      <c r="Y372" s="36">
        <v>1</v>
      </c>
      <c r="Z372" s="36" t="s">
        <v>5473</v>
      </c>
      <c r="AA372" s="36" t="s">
        <v>5616</v>
      </c>
      <c r="AB372" s="36" t="s">
        <v>5481</v>
      </c>
      <c r="AC372" s="36" t="s">
        <v>5482</v>
      </c>
      <c r="AD372" s="36" t="s">
        <v>8693</v>
      </c>
    </row>
    <row r="373" spans="1:30" ht="72">
      <c r="A373" s="36" t="s">
        <v>5624</v>
      </c>
      <c r="B373" s="36" t="s">
        <v>93</v>
      </c>
      <c r="C373" s="36" t="s">
        <v>1604</v>
      </c>
      <c r="D373" s="36" t="s">
        <v>1586</v>
      </c>
      <c r="E373" s="36" t="s">
        <v>5625</v>
      </c>
      <c r="F373" s="36" t="s">
        <v>13813</v>
      </c>
      <c r="G373" s="36" t="s">
        <v>13814</v>
      </c>
      <c r="H373" s="36" t="s">
        <v>13815</v>
      </c>
      <c r="I373" s="36" t="s">
        <v>13816</v>
      </c>
      <c r="J373" s="36" t="s">
        <v>13817</v>
      </c>
      <c r="K373" s="36" t="s">
        <v>13818</v>
      </c>
      <c r="L373" s="36" t="s">
        <v>13819</v>
      </c>
      <c r="M373" s="36" t="s">
        <v>13820</v>
      </c>
      <c r="N373" s="36" t="s">
        <v>13821</v>
      </c>
      <c r="O373" s="36" t="s">
        <v>13822</v>
      </c>
      <c r="P373" s="36" t="s">
        <v>13823</v>
      </c>
      <c r="Q373" s="36" t="s">
        <v>13824</v>
      </c>
      <c r="R373" s="36" t="s">
        <v>9040</v>
      </c>
      <c r="S373" s="36" t="s">
        <v>13825</v>
      </c>
      <c r="T373" s="36">
        <v>4</v>
      </c>
      <c r="U373" s="36">
        <v>3</v>
      </c>
      <c r="V373" s="36">
        <v>3</v>
      </c>
      <c r="W373" s="36">
        <v>2</v>
      </c>
      <c r="X373" s="36">
        <v>1</v>
      </c>
      <c r="Y373" s="36">
        <v>1</v>
      </c>
      <c r="Z373" s="36" t="s">
        <v>5473</v>
      </c>
      <c r="AA373" s="36" t="s">
        <v>5626</v>
      </c>
      <c r="AB373" s="36" t="s">
        <v>5481</v>
      </c>
      <c r="AC373" s="36" t="s">
        <v>5482</v>
      </c>
      <c r="AD373" s="36" t="s">
        <v>8700</v>
      </c>
    </row>
    <row r="374" spans="1:30" ht="72">
      <c r="A374" s="36" t="s">
        <v>5634</v>
      </c>
      <c r="B374" s="36" t="s">
        <v>93</v>
      </c>
      <c r="C374" s="36" t="s">
        <v>1604</v>
      </c>
      <c r="D374" s="36" t="s">
        <v>1586</v>
      </c>
      <c r="E374" s="36" t="s">
        <v>5635</v>
      </c>
      <c r="F374" s="36" t="s">
        <v>13826</v>
      </c>
      <c r="G374" s="36" t="s">
        <v>13827</v>
      </c>
      <c r="H374" s="36" t="s">
        <v>13828</v>
      </c>
      <c r="I374" s="36" t="s">
        <v>13829</v>
      </c>
      <c r="J374" s="36" t="s">
        <v>13830</v>
      </c>
      <c r="K374" s="36" t="s">
        <v>13831</v>
      </c>
      <c r="L374" s="36" t="s">
        <v>13832</v>
      </c>
      <c r="M374" s="36" t="s">
        <v>13833</v>
      </c>
      <c r="N374" s="36" t="s">
        <v>13834</v>
      </c>
      <c r="O374" s="36" t="s">
        <v>13835</v>
      </c>
      <c r="P374" s="36" t="s">
        <v>13836</v>
      </c>
      <c r="Q374" s="36" t="s">
        <v>13837</v>
      </c>
      <c r="R374" s="36" t="s">
        <v>9040</v>
      </c>
      <c r="S374" s="36" t="s">
        <v>13838</v>
      </c>
      <c r="T374" s="36">
        <v>4</v>
      </c>
      <c r="U374" s="36">
        <v>3</v>
      </c>
      <c r="V374" s="36">
        <v>3</v>
      </c>
      <c r="W374" s="36">
        <v>2</v>
      </c>
      <c r="X374" s="36">
        <v>1</v>
      </c>
      <c r="Y374" s="36">
        <v>1</v>
      </c>
      <c r="Z374" s="36" t="s">
        <v>5473</v>
      </c>
      <c r="AA374" s="36" t="s">
        <v>5636</v>
      </c>
      <c r="AB374" s="36" t="s">
        <v>5481</v>
      </c>
      <c r="AC374" s="36" t="s">
        <v>5482</v>
      </c>
      <c r="AD374" s="36" t="s">
        <v>8707</v>
      </c>
    </row>
    <row r="375" spans="1:30" ht="72">
      <c r="A375" s="36" t="s">
        <v>5644</v>
      </c>
      <c r="B375" s="36" t="s">
        <v>93</v>
      </c>
      <c r="C375" s="36" t="s">
        <v>1604</v>
      </c>
      <c r="D375" s="36" t="s">
        <v>1586</v>
      </c>
      <c r="E375" s="36" t="s">
        <v>5645</v>
      </c>
      <c r="F375" s="36" t="s">
        <v>13839</v>
      </c>
      <c r="G375" s="36" t="s">
        <v>13840</v>
      </c>
      <c r="H375" s="36" t="s">
        <v>13841</v>
      </c>
      <c r="I375" s="36" t="s">
        <v>13842</v>
      </c>
      <c r="J375" s="36" t="s">
        <v>13843</v>
      </c>
      <c r="K375" s="36" t="s">
        <v>13844</v>
      </c>
      <c r="L375" s="36" t="s">
        <v>13845</v>
      </c>
      <c r="M375" s="36" t="s">
        <v>13846</v>
      </c>
      <c r="N375" s="36" t="s">
        <v>13847</v>
      </c>
      <c r="O375" s="36" t="s">
        <v>13848</v>
      </c>
      <c r="P375" s="36" t="s">
        <v>13849</v>
      </c>
      <c r="Q375" s="36" t="s">
        <v>13850</v>
      </c>
      <c r="R375" s="36" t="s">
        <v>9040</v>
      </c>
      <c r="S375" s="36" t="s">
        <v>13851</v>
      </c>
      <c r="T375" s="36">
        <v>4</v>
      </c>
      <c r="U375" s="36">
        <v>3</v>
      </c>
      <c r="V375" s="36">
        <v>3</v>
      </c>
      <c r="W375" s="36">
        <v>2</v>
      </c>
      <c r="X375" s="36">
        <v>1</v>
      </c>
      <c r="Y375" s="36">
        <v>1</v>
      </c>
      <c r="Z375" s="36" t="s">
        <v>5473</v>
      </c>
      <c r="AA375" s="36" t="s">
        <v>5646</v>
      </c>
      <c r="AB375" s="36" t="s">
        <v>5481</v>
      </c>
      <c r="AC375" s="36" t="s">
        <v>5482</v>
      </c>
      <c r="AD375" s="36" t="s">
        <v>8714</v>
      </c>
    </row>
    <row r="376" spans="1:30" ht="60">
      <c r="A376" s="36" t="s">
        <v>5654</v>
      </c>
      <c r="B376" s="36" t="s">
        <v>93</v>
      </c>
      <c r="C376" s="36" t="s">
        <v>1604</v>
      </c>
      <c r="D376" s="36" t="s">
        <v>1586</v>
      </c>
      <c r="E376" s="36" t="s">
        <v>5655</v>
      </c>
      <c r="F376" s="36" t="s">
        <v>13852</v>
      </c>
      <c r="G376" s="36" t="s">
        <v>13853</v>
      </c>
      <c r="H376" s="36" t="s">
        <v>13854</v>
      </c>
      <c r="I376" s="36" t="s">
        <v>13855</v>
      </c>
      <c r="J376" s="36" t="s">
        <v>13856</v>
      </c>
      <c r="K376" s="36" t="s">
        <v>13857</v>
      </c>
      <c r="L376" s="36" t="s">
        <v>13858</v>
      </c>
      <c r="M376" s="36" t="s">
        <v>13859</v>
      </c>
      <c r="N376" s="36" t="s">
        <v>13860</v>
      </c>
      <c r="O376" s="36" t="s">
        <v>13861</v>
      </c>
      <c r="P376" s="36" t="s">
        <v>13862</v>
      </c>
      <c r="Q376" s="36" t="s">
        <v>13863</v>
      </c>
      <c r="R376" s="36" t="s">
        <v>9040</v>
      </c>
      <c r="S376" s="36" t="s">
        <v>13864</v>
      </c>
      <c r="T376" s="36">
        <v>4</v>
      </c>
      <c r="U376" s="36">
        <v>3</v>
      </c>
      <c r="V376" s="36">
        <v>3</v>
      </c>
      <c r="W376" s="36">
        <v>2</v>
      </c>
      <c r="X376" s="36">
        <v>1</v>
      </c>
      <c r="Y376" s="36">
        <v>1</v>
      </c>
      <c r="Z376" s="36" t="s">
        <v>5473</v>
      </c>
      <c r="AA376" s="36" t="s">
        <v>5656</v>
      </c>
      <c r="AB376" s="36" t="s">
        <v>5481</v>
      </c>
      <c r="AC376" s="36" t="s">
        <v>5482</v>
      </c>
      <c r="AD376" s="36" t="s">
        <v>8721</v>
      </c>
    </row>
    <row r="377" spans="1:30" ht="72">
      <c r="A377" s="36" t="s">
        <v>5664</v>
      </c>
      <c r="B377" s="36" t="s">
        <v>93</v>
      </c>
      <c r="C377" s="36" t="s">
        <v>1604</v>
      </c>
      <c r="D377" s="36" t="s">
        <v>1586</v>
      </c>
      <c r="E377" s="36" t="s">
        <v>5665</v>
      </c>
      <c r="F377" s="36" t="s">
        <v>13865</v>
      </c>
      <c r="G377" s="36" t="s">
        <v>13866</v>
      </c>
      <c r="H377" s="36" t="s">
        <v>13867</v>
      </c>
      <c r="I377" s="36" t="s">
        <v>13868</v>
      </c>
      <c r="J377" s="36" t="s">
        <v>13869</v>
      </c>
      <c r="K377" s="36" t="s">
        <v>13870</v>
      </c>
      <c r="L377" s="36" t="s">
        <v>13871</v>
      </c>
      <c r="M377" s="36" t="s">
        <v>13872</v>
      </c>
      <c r="N377" s="36" t="s">
        <v>13873</v>
      </c>
      <c r="O377" s="36" t="s">
        <v>13874</v>
      </c>
      <c r="P377" s="36" t="s">
        <v>13875</v>
      </c>
      <c r="Q377" s="36" t="s">
        <v>13876</v>
      </c>
      <c r="R377" s="36" t="s">
        <v>9040</v>
      </c>
      <c r="S377" s="36" t="s">
        <v>13877</v>
      </c>
      <c r="T377" s="36">
        <v>4</v>
      </c>
      <c r="U377" s="36">
        <v>3</v>
      </c>
      <c r="V377" s="36">
        <v>3</v>
      </c>
      <c r="W377" s="36">
        <v>2</v>
      </c>
      <c r="X377" s="36">
        <v>1</v>
      </c>
      <c r="Y377" s="36">
        <v>1</v>
      </c>
      <c r="Z377" s="36" t="s">
        <v>5473</v>
      </c>
      <c r="AA377" s="36" t="s">
        <v>5666</v>
      </c>
      <c r="AB377" s="36" t="s">
        <v>5481</v>
      </c>
      <c r="AC377" s="36" t="s">
        <v>5482</v>
      </c>
      <c r="AD377" s="36" t="s">
        <v>8728</v>
      </c>
    </row>
    <row r="378" spans="1:30" ht="72">
      <c r="A378" s="36" t="s">
        <v>5674</v>
      </c>
      <c r="B378" s="36" t="s">
        <v>93</v>
      </c>
      <c r="C378" s="36" t="s">
        <v>1612</v>
      </c>
      <c r="D378" s="36" t="s">
        <v>1586</v>
      </c>
      <c r="E378" s="36" t="s">
        <v>5675</v>
      </c>
      <c r="F378" s="36" t="s">
        <v>13878</v>
      </c>
      <c r="G378" s="36" t="s">
        <v>13879</v>
      </c>
      <c r="H378" s="36" t="s">
        <v>13880</v>
      </c>
      <c r="I378" s="36" t="s">
        <v>13881</v>
      </c>
      <c r="J378" s="36" t="s">
        <v>13882</v>
      </c>
      <c r="K378" s="36" t="s">
        <v>13883</v>
      </c>
      <c r="L378" s="36" t="s">
        <v>13884</v>
      </c>
      <c r="M378" s="36" t="s">
        <v>13885</v>
      </c>
      <c r="N378" s="36" t="s">
        <v>13886</v>
      </c>
      <c r="O378" s="36" t="s">
        <v>13887</v>
      </c>
      <c r="P378" s="36" t="s">
        <v>13888</v>
      </c>
      <c r="Q378" s="36" t="s">
        <v>13889</v>
      </c>
      <c r="R378" s="36" t="s">
        <v>9040</v>
      </c>
      <c r="S378" s="36" t="s">
        <v>13890</v>
      </c>
      <c r="T378" s="36">
        <v>4</v>
      </c>
      <c r="U378" s="36">
        <v>3</v>
      </c>
      <c r="V378" s="36">
        <v>3</v>
      </c>
      <c r="W378" s="36">
        <v>2</v>
      </c>
      <c r="X378" s="36">
        <v>1</v>
      </c>
      <c r="Y378" s="36">
        <v>1</v>
      </c>
      <c r="Z378" s="36" t="s">
        <v>5473</v>
      </c>
      <c r="AA378" s="36" t="s">
        <v>5676</v>
      </c>
      <c r="AB378" s="36" t="s">
        <v>5481</v>
      </c>
      <c r="AC378" s="36" t="s">
        <v>5482</v>
      </c>
      <c r="AD378" s="36" t="s">
        <v>8736</v>
      </c>
    </row>
    <row r="379" spans="1:30" ht="60">
      <c r="A379" s="36" t="s">
        <v>5684</v>
      </c>
      <c r="B379" s="36" t="s">
        <v>93</v>
      </c>
      <c r="C379" s="36" t="s">
        <v>1612</v>
      </c>
      <c r="D379" s="36" t="s">
        <v>1586</v>
      </c>
      <c r="E379" s="36" t="s">
        <v>5685</v>
      </c>
      <c r="F379" s="36" t="s">
        <v>13891</v>
      </c>
      <c r="G379" s="36" t="s">
        <v>13892</v>
      </c>
      <c r="H379" s="36" t="s">
        <v>13893</v>
      </c>
      <c r="I379" s="36" t="s">
        <v>13894</v>
      </c>
      <c r="J379" s="36" t="s">
        <v>13895</v>
      </c>
      <c r="K379" s="36" t="s">
        <v>13896</v>
      </c>
      <c r="L379" s="36" t="s">
        <v>13897</v>
      </c>
      <c r="M379" s="36" t="s">
        <v>13898</v>
      </c>
      <c r="N379" s="36" t="s">
        <v>13899</v>
      </c>
      <c r="O379" s="36" t="s">
        <v>13900</v>
      </c>
      <c r="P379" s="36" t="s">
        <v>13901</v>
      </c>
      <c r="Q379" s="36" t="s">
        <v>13902</v>
      </c>
      <c r="R379" s="36" t="s">
        <v>9040</v>
      </c>
      <c r="S379" s="36" t="s">
        <v>13903</v>
      </c>
      <c r="T379" s="36">
        <v>4</v>
      </c>
      <c r="U379" s="36">
        <v>3</v>
      </c>
      <c r="V379" s="36">
        <v>3</v>
      </c>
      <c r="W379" s="36">
        <v>2</v>
      </c>
      <c r="X379" s="36">
        <v>1</v>
      </c>
      <c r="Y379" s="36">
        <v>1</v>
      </c>
      <c r="Z379" s="36" t="s">
        <v>5473</v>
      </c>
      <c r="AA379" s="36" t="s">
        <v>5686</v>
      </c>
      <c r="AB379" s="36" t="s">
        <v>5481</v>
      </c>
      <c r="AC379" s="36" t="s">
        <v>5482</v>
      </c>
      <c r="AD379" s="36" t="s">
        <v>8743</v>
      </c>
    </row>
    <row r="380" spans="1:30" ht="72">
      <c r="A380" s="36" t="s">
        <v>5694</v>
      </c>
      <c r="B380" s="36" t="s">
        <v>93</v>
      </c>
      <c r="C380" s="36" t="s">
        <v>1612</v>
      </c>
      <c r="D380" s="36" t="s">
        <v>1586</v>
      </c>
      <c r="E380" s="36" t="s">
        <v>5695</v>
      </c>
      <c r="F380" s="36" t="s">
        <v>13904</v>
      </c>
      <c r="G380" s="36" t="s">
        <v>13905</v>
      </c>
      <c r="H380" s="36" t="s">
        <v>13906</v>
      </c>
      <c r="I380" s="36" t="s">
        <v>13907</v>
      </c>
      <c r="J380" s="36" t="s">
        <v>13908</v>
      </c>
      <c r="K380" s="36" t="s">
        <v>13909</v>
      </c>
      <c r="L380" s="36" t="s">
        <v>13910</v>
      </c>
      <c r="M380" s="36" t="s">
        <v>13911</v>
      </c>
      <c r="N380" s="36" t="s">
        <v>13912</v>
      </c>
      <c r="O380" s="36" t="s">
        <v>13913</v>
      </c>
      <c r="P380" s="36" t="s">
        <v>13914</v>
      </c>
      <c r="Q380" s="36" t="s">
        <v>13915</v>
      </c>
      <c r="R380" s="36" t="s">
        <v>9040</v>
      </c>
      <c r="S380" s="36" t="s">
        <v>13916</v>
      </c>
      <c r="T380" s="36">
        <v>4</v>
      </c>
      <c r="U380" s="36">
        <v>3</v>
      </c>
      <c r="V380" s="36">
        <v>3</v>
      </c>
      <c r="W380" s="36">
        <v>2</v>
      </c>
      <c r="X380" s="36">
        <v>1</v>
      </c>
      <c r="Y380" s="36">
        <v>1</v>
      </c>
      <c r="Z380" s="36" t="s">
        <v>5473</v>
      </c>
      <c r="AA380" s="36" t="s">
        <v>5696</v>
      </c>
      <c r="AB380" s="36" t="s">
        <v>5481</v>
      </c>
      <c r="AC380" s="36" t="s">
        <v>5482</v>
      </c>
      <c r="AD380" s="36" t="s">
        <v>8750</v>
      </c>
    </row>
    <row r="381" spans="1:30" ht="72">
      <c r="A381" s="36" t="s">
        <v>5704</v>
      </c>
      <c r="B381" s="36" t="s">
        <v>93</v>
      </c>
      <c r="C381" s="36" t="s">
        <v>1612</v>
      </c>
      <c r="D381" s="36" t="s">
        <v>1586</v>
      </c>
      <c r="E381" s="36" t="s">
        <v>5705</v>
      </c>
      <c r="F381" s="36" t="s">
        <v>13917</v>
      </c>
      <c r="G381" s="36" t="s">
        <v>13918</v>
      </c>
      <c r="H381" s="36" t="s">
        <v>13919</v>
      </c>
      <c r="I381" s="36" t="s">
        <v>13920</v>
      </c>
      <c r="J381" s="36" t="s">
        <v>13921</v>
      </c>
      <c r="K381" s="36" t="s">
        <v>13922</v>
      </c>
      <c r="L381" s="36" t="s">
        <v>13923</v>
      </c>
      <c r="M381" s="36" t="s">
        <v>13924</v>
      </c>
      <c r="N381" s="36" t="s">
        <v>13925</v>
      </c>
      <c r="O381" s="36" t="s">
        <v>13926</v>
      </c>
      <c r="P381" s="36" t="s">
        <v>13927</v>
      </c>
      <c r="Q381" s="36" t="s">
        <v>13928</v>
      </c>
      <c r="R381" s="36" t="s">
        <v>9040</v>
      </c>
      <c r="S381" s="36" t="s">
        <v>13929</v>
      </c>
      <c r="T381" s="36">
        <v>4</v>
      </c>
      <c r="U381" s="36">
        <v>3</v>
      </c>
      <c r="V381" s="36">
        <v>3</v>
      </c>
      <c r="W381" s="36">
        <v>2</v>
      </c>
      <c r="X381" s="36">
        <v>1</v>
      </c>
      <c r="Y381" s="36">
        <v>1</v>
      </c>
      <c r="Z381" s="36" t="s">
        <v>5473</v>
      </c>
      <c r="AA381" s="36" t="s">
        <v>5706</v>
      </c>
      <c r="AB381" s="36" t="s">
        <v>5481</v>
      </c>
      <c r="AC381" s="36" t="s">
        <v>5482</v>
      </c>
      <c r="AD381" s="36" t="s">
        <v>8757</v>
      </c>
    </row>
    <row r="382" spans="1:30" ht="72">
      <c r="A382" s="36" t="s">
        <v>5714</v>
      </c>
      <c r="B382" s="36" t="s">
        <v>93</v>
      </c>
      <c r="C382" s="36" t="s">
        <v>1612</v>
      </c>
      <c r="D382" s="36" t="s">
        <v>1586</v>
      </c>
      <c r="E382" s="36" t="s">
        <v>5715</v>
      </c>
      <c r="F382" s="36" t="s">
        <v>13930</v>
      </c>
      <c r="G382" s="36" t="s">
        <v>13931</v>
      </c>
      <c r="H382" s="36" t="s">
        <v>13932</v>
      </c>
      <c r="I382" s="36" t="s">
        <v>13933</v>
      </c>
      <c r="J382" s="36" t="s">
        <v>13934</v>
      </c>
      <c r="K382" s="36" t="s">
        <v>13935</v>
      </c>
      <c r="L382" s="36" t="s">
        <v>13936</v>
      </c>
      <c r="M382" s="36" t="s">
        <v>13937</v>
      </c>
      <c r="N382" s="36" t="s">
        <v>13938</v>
      </c>
      <c r="O382" s="36" t="s">
        <v>13939</v>
      </c>
      <c r="P382" s="36" t="s">
        <v>13940</v>
      </c>
      <c r="Q382" s="36" t="s">
        <v>13941</v>
      </c>
      <c r="R382" s="36" t="s">
        <v>9040</v>
      </c>
      <c r="S382" s="36" t="s">
        <v>13942</v>
      </c>
      <c r="T382" s="36">
        <v>4</v>
      </c>
      <c r="U382" s="36">
        <v>3</v>
      </c>
      <c r="V382" s="36">
        <v>3</v>
      </c>
      <c r="W382" s="36">
        <v>2</v>
      </c>
      <c r="X382" s="36">
        <v>1</v>
      </c>
      <c r="Y382" s="36">
        <v>1</v>
      </c>
      <c r="Z382" s="36" t="s">
        <v>5473</v>
      </c>
      <c r="AA382" s="36" t="s">
        <v>5716</v>
      </c>
      <c r="AB382" s="36" t="s">
        <v>5481</v>
      </c>
      <c r="AC382" s="36" t="s">
        <v>5482</v>
      </c>
      <c r="AD382" s="36" t="s">
        <v>8764</v>
      </c>
    </row>
    <row r="383" spans="1:30" ht="60">
      <c r="A383" s="36" t="s">
        <v>5724</v>
      </c>
      <c r="B383" s="36" t="s">
        <v>93</v>
      </c>
      <c r="C383" s="36" t="s">
        <v>1612</v>
      </c>
      <c r="D383" s="36" t="s">
        <v>1586</v>
      </c>
      <c r="E383" s="36" t="s">
        <v>5725</v>
      </c>
      <c r="F383" s="36" t="s">
        <v>13943</v>
      </c>
      <c r="G383" s="36" t="s">
        <v>13944</v>
      </c>
      <c r="H383" s="36" t="s">
        <v>13945</v>
      </c>
      <c r="I383" s="36" t="s">
        <v>13946</v>
      </c>
      <c r="J383" s="36" t="s">
        <v>13947</v>
      </c>
      <c r="K383" s="36" t="s">
        <v>13948</v>
      </c>
      <c r="L383" s="36" t="s">
        <v>13949</v>
      </c>
      <c r="M383" s="36" t="s">
        <v>13950</v>
      </c>
      <c r="N383" s="36" t="s">
        <v>13951</v>
      </c>
      <c r="O383" s="36" t="s">
        <v>13952</v>
      </c>
      <c r="P383" s="36" t="s">
        <v>13953</v>
      </c>
      <c r="Q383" s="36" t="s">
        <v>13954</v>
      </c>
      <c r="R383" s="36" t="s">
        <v>9040</v>
      </c>
      <c r="S383" s="36" t="s">
        <v>13955</v>
      </c>
      <c r="T383" s="36">
        <v>4</v>
      </c>
      <c r="U383" s="36">
        <v>3</v>
      </c>
      <c r="V383" s="36">
        <v>3</v>
      </c>
      <c r="W383" s="36">
        <v>2</v>
      </c>
      <c r="X383" s="36">
        <v>1</v>
      </c>
      <c r="Y383" s="36">
        <v>1</v>
      </c>
      <c r="Z383" s="36" t="s">
        <v>5473</v>
      </c>
      <c r="AA383" s="36" t="s">
        <v>5726</v>
      </c>
      <c r="AB383" s="36" t="s">
        <v>5481</v>
      </c>
      <c r="AC383" s="36" t="s">
        <v>5482</v>
      </c>
      <c r="AD383" s="36" t="s">
        <v>8771</v>
      </c>
    </row>
    <row r="384" spans="1:30" ht="72">
      <c r="A384" s="36" t="s">
        <v>5734</v>
      </c>
      <c r="B384" s="36" t="s">
        <v>93</v>
      </c>
      <c r="C384" s="36" t="s">
        <v>1620</v>
      </c>
      <c r="D384" s="36" t="s">
        <v>1586</v>
      </c>
      <c r="E384" s="36" t="s">
        <v>5735</v>
      </c>
      <c r="F384" s="36" t="s">
        <v>13956</v>
      </c>
      <c r="G384" s="36" t="s">
        <v>13957</v>
      </c>
      <c r="H384" s="36" t="s">
        <v>13958</v>
      </c>
      <c r="I384" s="36" t="s">
        <v>13959</v>
      </c>
      <c r="J384" s="36" t="s">
        <v>13960</v>
      </c>
      <c r="K384" s="36" t="s">
        <v>13961</v>
      </c>
      <c r="L384" s="36" t="s">
        <v>13962</v>
      </c>
      <c r="M384" s="36" t="s">
        <v>13963</v>
      </c>
      <c r="N384" s="36" t="s">
        <v>13964</v>
      </c>
      <c r="O384" s="36" t="s">
        <v>13965</v>
      </c>
      <c r="P384" s="36" t="s">
        <v>13966</v>
      </c>
      <c r="Q384" s="36" t="s">
        <v>13967</v>
      </c>
      <c r="R384" s="36" t="s">
        <v>9040</v>
      </c>
      <c r="S384" s="36" t="s">
        <v>13968</v>
      </c>
      <c r="T384" s="36">
        <v>4</v>
      </c>
      <c r="U384" s="36">
        <v>3</v>
      </c>
      <c r="V384" s="36">
        <v>3</v>
      </c>
      <c r="W384" s="36">
        <v>2</v>
      </c>
      <c r="X384" s="36">
        <v>1</v>
      </c>
      <c r="Y384" s="36">
        <v>1</v>
      </c>
      <c r="Z384" s="36" t="s">
        <v>5473</v>
      </c>
      <c r="AA384" s="36" t="s">
        <v>5736</v>
      </c>
      <c r="AB384" s="36" t="s">
        <v>5481</v>
      </c>
      <c r="AC384" s="36" t="s">
        <v>5482</v>
      </c>
      <c r="AD384" s="36" t="s">
        <v>8779</v>
      </c>
    </row>
    <row r="385" spans="1:30" ht="72">
      <c r="A385" s="36" t="s">
        <v>5744</v>
      </c>
      <c r="B385" s="36" t="s">
        <v>93</v>
      </c>
      <c r="C385" s="36" t="s">
        <v>1620</v>
      </c>
      <c r="D385" s="36" t="s">
        <v>1586</v>
      </c>
      <c r="E385" s="36" t="s">
        <v>5745</v>
      </c>
      <c r="F385" s="36" t="s">
        <v>13969</v>
      </c>
      <c r="G385" s="36" t="s">
        <v>13970</v>
      </c>
      <c r="H385" s="36" t="s">
        <v>13971</v>
      </c>
      <c r="I385" s="36" t="s">
        <v>13972</v>
      </c>
      <c r="J385" s="36" t="s">
        <v>13973</v>
      </c>
      <c r="K385" s="36" t="s">
        <v>13974</v>
      </c>
      <c r="L385" s="36" t="s">
        <v>13975</v>
      </c>
      <c r="M385" s="36" t="s">
        <v>13976</v>
      </c>
      <c r="N385" s="36" t="s">
        <v>13977</v>
      </c>
      <c r="O385" s="36" t="s">
        <v>13978</v>
      </c>
      <c r="P385" s="36" t="s">
        <v>13979</v>
      </c>
      <c r="Q385" s="36" t="s">
        <v>13980</v>
      </c>
      <c r="R385" s="36" t="s">
        <v>9040</v>
      </c>
      <c r="S385" s="36" t="s">
        <v>13981</v>
      </c>
      <c r="T385" s="36">
        <v>4</v>
      </c>
      <c r="U385" s="36">
        <v>3</v>
      </c>
      <c r="V385" s="36">
        <v>3</v>
      </c>
      <c r="W385" s="36">
        <v>2</v>
      </c>
      <c r="X385" s="36">
        <v>1</v>
      </c>
      <c r="Y385" s="36">
        <v>1</v>
      </c>
      <c r="Z385" s="36" t="s">
        <v>5473</v>
      </c>
      <c r="AA385" s="36" t="s">
        <v>5746</v>
      </c>
      <c r="AB385" s="36" t="s">
        <v>5481</v>
      </c>
      <c r="AC385" s="36" t="s">
        <v>5482</v>
      </c>
      <c r="AD385" s="36" t="s">
        <v>8786</v>
      </c>
    </row>
    <row r="386" spans="1:30" ht="72">
      <c r="A386" s="36" t="s">
        <v>5754</v>
      </c>
      <c r="B386" s="36" t="s">
        <v>93</v>
      </c>
      <c r="C386" s="36" t="s">
        <v>1620</v>
      </c>
      <c r="D386" s="36" t="s">
        <v>1586</v>
      </c>
      <c r="E386" s="36" t="s">
        <v>4229</v>
      </c>
      <c r="F386" s="36" t="s">
        <v>13982</v>
      </c>
      <c r="G386" s="36" t="s">
        <v>12046</v>
      </c>
      <c r="H386" s="36" t="s">
        <v>13983</v>
      </c>
      <c r="I386" s="36" t="s">
        <v>13984</v>
      </c>
      <c r="J386" s="36" t="s">
        <v>12049</v>
      </c>
      <c r="K386" s="36" t="s">
        <v>12050</v>
      </c>
      <c r="L386" s="36" t="s">
        <v>12051</v>
      </c>
      <c r="M386" s="36" t="s">
        <v>12052</v>
      </c>
      <c r="N386" s="36" t="s">
        <v>12053</v>
      </c>
      <c r="O386" s="36" t="s">
        <v>12054</v>
      </c>
      <c r="P386" s="36" t="s">
        <v>12055</v>
      </c>
      <c r="Q386" s="36" t="s">
        <v>12056</v>
      </c>
      <c r="R386" s="36" t="s">
        <v>9040</v>
      </c>
      <c r="S386" s="36" t="s">
        <v>12057</v>
      </c>
      <c r="T386" s="36">
        <v>4</v>
      </c>
      <c r="U386" s="36">
        <v>3</v>
      </c>
      <c r="V386" s="36">
        <v>3</v>
      </c>
      <c r="W386" s="36">
        <v>2</v>
      </c>
      <c r="X386" s="36">
        <v>1</v>
      </c>
      <c r="Y386" s="36">
        <v>1</v>
      </c>
      <c r="Z386" s="36" t="s">
        <v>5473</v>
      </c>
      <c r="AA386" s="36" t="s">
        <v>4230</v>
      </c>
      <c r="AB386" s="36" t="s">
        <v>5481</v>
      </c>
      <c r="AC386" s="36" t="s">
        <v>5482</v>
      </c>
      <c r="AD386" s="36" t="s">
        <v>8787</v>
      </c>
    </row>
    <row r="387" spans="1:30" ht="72">
      <c r="A387" s="36" t="s">
        <v>5756</v>
      </c>
      <c r="B387" s="36" t="s">
        <v>93</v>
      </c>
      <c r="C387" s="36" t="s">
        <v>1620</v>
      </c>
      <c r="D387" s="36" t="s">
        <v>1586</v>
      </c>
      <c r="E387" s="36" t="s">
        <v>5757</v>
      </c>
      <c r="F387" s="36" t="s">
        <v>13985</v>
      </c>
      <c r="G387" s="36" t="s">
        <v>13986</v>
      </c>
      <c r="H387" s="36" t="s">
        <v>13987</v>
      </c>
      <c r="I387" s="36" t="s">
        <v>13988</v>
      </c>
      <c r="J387" s="36" t="s">
        <v>13989</v>
      </c>
      <c r="K387" s="36" t="s">
        <v>13990</v>
      </c>
      <c r="L387" s="36" t="s">
        <v>13991</v>
      </c>
      <c r="M387" s="36" t="s">
        <v>13992</v>
      </c>
      <c r="N387" s="36" t="s">
        <v>13993</v>
      </c>
      <c r="O387" s="36" t="s">
        <v>13994</v>
      </c>
      <c r="P387" s="36" t="s">
        <v>13995</v>
      </c>
      <c r="Q387" s="36" t="s">
        <v>13996</v>
      </c>
      <c r="R387" s="36" t="s">
        <v>9040</v>
      </c>
      <c r="S387" s="36" t="s">
        <v>13997</v>
      </c>
      <c r="T387" s="36">
        <v>4</v>
      </c>
      <c r="U387" s="36">
        <v>3</v>
      </c>
      <c r="V387" s="36">
        <v>3</v>
      </c>
      <c r="W387" s="36">
        <v>2</v>
      </c>
      <c r="X387" s="36">
        <v>1</v>
      </c>
      <c r="Y387" s="36">
        <v>1</v>
      </c>
      <c r="Z387" s="36" t="s">
        <v>5473</v>
      </c>
      <c r="AA387" s="36" t="s">
        <v>5758</v>
      </c>
      <c r="AB387" s="36" t="s">
        <v>5481</v>
      </c>
      <c r="AC387" s="36" t="s">
        <v>5482</v>
      </c>
      <c r="AD387" s="36" t="s">
        <v>8794</v>
      </c>
    </row>
    <row r="388" spans="1:30" ht="72">
      <c r="A388" s="36" t="s">
        <v>5766</v>
      </c>
      <c r="B388" s="36" t="s">
        <v>93</v>
      </c>
      <c r="C388" s="36" t="s">
        <v>1620</v>
      </c>
      <c r="D388" s="36" t="s">
        <v>1586</v>
      </c>
      <c r="E388" s="36" t="s">
        <v>5767</v>
      </c>
      <c r="F388" s="36" t="s">
        <v>13998</v>
      </c>
      <c r="G388" s="36" t="s">
        <v>13999</v>
      </c>
      <c r="H388" s="36" t="s">
        <v>14000</v>
      </c>
      <c r="I388" s="36" t="s">
        <v>14001</v>
      </c>
      <c r="J388" s="36" t="s">
        <v>14002</v>
      </c>
      <c r="K388" s="36" t="s">
        <v>14003</v>
      </c>
      <c r="L388" s="36" t="s">
        <v>14004</v>
      </c>
      <c r="M388" s="36" t="s">
        <v>14005</v>
      </c>
      <c r="N388" s="36" t="s">
        <v>14006</v>
      </c>
      <c r="O388" s="36" t="s">
        <v>14007</v>
      </c>
      <c r="P388" s="36" t="s">
        <v>14008</v>
      </c>
      <c r="Q388" s="36" t="s">
        <v>14009</v>
      </c>
      <c r="R388" s="36" t="s">
        <v>9040</v>
      </c>
      <c r="S388" s="36" t="s">
        <v>14010</v>
      </c>
      <c r="T388" s="36">
        <v>4</v>
      </c>
      <c r="U388" s="36">
        <v>3</v>
      </c>
      <c r="V388" s="36">
        <v>3</v>
      </c>
      <c r="W388" s="36">
        <v>2</v>
      </c>
      <c r="X388" s="36">
        <v>1</v>
      </c>
      <c r="Y388" s="36">
        <v>1</v>
      </c>
      <c r="Z388" s="36" t="s">
        <v>5473</v>
      </c>
      <c r="AA388" s="36" t="s">
        <v>5768</v>
      </c>
      <c r="AB388" s="36" t="s">
        <v>5481</v>
      </c>
      <c r="AC388" s="36" t="s">
        <v>5482</v>
      </c>
      <c r="AD388" s="36" t="s">
        <v>8801</v>
      </c>
    </row>
    <row r="389" spans="1:30" ht="72">
      <c r="A389" s="36" t="s">
        <v>5776</v>
      </c>
      <c r="B389" s="36" t="s">
        <v>93</v>
      </c>
      <c r="C389" s="36" t="s">
        <v>1628</v>
      </c>
      <c r="D389" s="36" t="s">
        <v>1586</v>
      </c>
      <c r="E389" s="36" t="s">
        <v>5777</v>
      </c>
      <c r="F389" s="36" t="s">
        <v>14011</v>
      </c>
      <c r="G389" s="36" t="s">
        <v>14012</v>
      </c>
      <c r="H389" s="36" t="s">
        <v>14013</v>
      </c>
      <c r="I389" s="36" t="s">
        <v>14014</v>
      </c>
      <c r="J389" s="36" t="s">
        <v>14015</v>
      </c>
      <c r="K389" s="36" t="s">
        <v>14016</v>
      </c>
      <c r="L389" s="36" t="s">
        <v>14017</v>
      </c>
      <c r="M389" s="36" t="s">
        <v>14018</v>
      </c>
      <c r="N389" s="36" t="s">
        <v>14019</v>
      </c>
      <c r="O389" s="36" t="s">
        <v>14020</v>
      </c>
      <c r="P389" s="36" t="s">
        <v>14021</v>
      </c>
      <c r="Q389" s="36" t="s">
        <v>14022</v>
      </c>
      <c r="R389" s="36" t="s">
        <v>9040</v>
      </c>
      <c r="S389" s="36" t="s">
        <v>14023</v>
      </c>
      <c r="T389" s="36">
        <v>4</v>
      </c>
      <c r="U389" s="36">
        <v>3</v>
      </c>
      <c r="V389" s="36">
        <v>3</v>
      </c>
      <c r="W389" s="36">
        <v>2</v>
      </c>
      <c r="X389" s="36">
        <v>1</v>
      </c>
      <c r="Y389" s="36">
        <v>1</v>
      </c>
      <c r="Z389" s="36" t="s">
        <v>5473</v>
      </c>
      <c r="AA389" s="36" t="s">
        <v>5778</v>
      </c>
      <c r="AB389" s="36" t="s">
        <v>5481</v>
      </c>
      <c r="AC389" s="36" t="s">
        <v>5482</v>
      </c>
      <c r="AD389" s="36" t="s">
        <v>8809</v>
      </c>
    </row>
    <row r="390" spans="1:30" ht="72">
      <c r="A390" s="36" t="s">
        <v>5786</v>
      </c>
      <c r="B390" s="36" t="s">
        <v>93</v>
      </c>
      <c r="C390" s="36" t="s">
        <v>1628</v>
      </c>
      <c r="D390" s="36" t="s">
        <v>1586</v>
      </c>
      <c r="E390" s="36" t="s">
        <v>5787</v>
      </c>
      <c r="F390" s="36" t="s">
        <v>14024</v>
      </c>
      <c r="G390" s="36" t="s">
        <v>14025</v>
      </c>
      <c r="H390" s="36" t="s">
        <v>14026</v>
      </c>
      <c r="I390" s="36" t="s">
        <v>14027</v>
      </c>
      <c r="J390" s="36" t="s">
        <v>14028</v>
      </c>
      <c r="K390" s="36" t="s">
        <v>14029</v>
      </c>
      <c r="L390" s="36" t="s">
        <v>14030</v>
      </c>
      <c r="M390" s="36" t="s">
        <v>14031</v>
      </c>
      <c r="N390" s="36" t="s">
        <v>14032</v>
      </c>
      <c r="O390" s="36" t="s">
        <v>14033</v>
      </c>
      <c r="P390" s="36" t="s">
        <v>14034</v>
      </c>
      <c r="Q390" s="36" t="s">
        <v>14035</v>
      </c>
      <c r="R390" s="36" t="s">
        <v>9040</v>
      </c>
      <c r="S390" s="36" t="s">
        <v>14036</v>
      </c>
      <c r="T390" s="36">
        <v>4</v>
      </c>
      <c r="U390" s="36">
        <v>3</v>
      </c>
      <c r="V390" s="36">
        <v>3</v>
      </c>
      <c r="W390" s="36">
        <v>2</v>
      </c>
      <c r="X390" s="36">
        <v>1</v>
      </c>
      <c r="Y390" s="36">
        <v>1</v>
      </c>
      <c r="Z390" s="36" t="s">
        <v>5473</v>
      </c>
      <c r="AA390" s="36" t="s">
        <v>5788</v>
      </c>
      <c r="AB390" s="36" t="s">
        <v>5481</v>
      </c>
      <c r="AC390" s="36" t="s">
        <v>5482</v>
      </c>
      <c r="AD390" s="36" t="s">
        <v>8816</v>
      </c>
    </row>
    <row r="391" spans="1:30" ht="72">
      <c r="A391" s="36" t="s">
        <v>5796</v>
      </c>
      <c r="B391" s="36" t="s">
        <v>93</v>
      </c>
      <c r="C391" s="36" t="s">
        <v>1628</v>
      </c>
      <c r="D391" s="36" t="s">
        <v>1586</v>
      </c>
      <c r="E391" s="36" t="s">
        <v>5797</v>
      </c>
      <c r="F391" s="36" t="s">
        <v>14037</v>
      </c>
      <c r="G391" s="36" t="s">
        <v>14038</v>
      </c>
      <c r="H391" s="36" t="s">
        <v>14039</v>
      </c>
      <c r="I391" s="36" t="s">
        <v>14040</v>
      </c>
      <c r="J391" s="36" t="s">
        <v>14041</v>
      </c>
      <c r="K391" s="36" t="s">
        <v>14042</v>
      </c>
      <c r="L391" s="36" t="s">
        <v>14043</v>
      </c>
      <c r="M391" s="36" t="s">
        <v>14044</v>
      </c>
      <c r="N391" s="36" t="s">
        <v>14045</v>
      </c>
      <c r="O391" s="36" t="s">
        <v>14046</v>
      </c>
      <c r="P391" s="36" t="s">
        <v>14047</v>
      </c>
      <c r="Q391" s="36" t="s">
        <v>14048</v>
      </c>
      <c r="R391" s="36" t="s">
        <v>9040</v>
      </c>
      <c r="S391" s="36" t="s">
        <v>14049</v>
      </c>
      <c r="T391" s="36">
        <v>4</v>
      </c>
      <c r="U391" s="36">
        <v>3</v>
      </c>
      <c r="V391" s="36">
        <v>3</v>
      </c>
      <c r="W391" s="36">
        <v>2</v>
      </c>
      <c r="X391" s="36">
        <v>1</v>
      </c>
      <c r="Y391" s="36">
        <v>1</v>
      </c>
      <c r="Z391" s="36" t="s">
        <v>5473</v>
      </c>
      <c r="AA391" s="36" t="s">
        <v>5798</v>
      </c>
      <c r="AB391" s="36" t="s">
        <v>5481</v>
      </c>
      <c r="AC391" s="36" t="s">
        <v>5482</v>
      </c>
      <c r="AD391" s="36" t="s">
        <v>8823</v>
      </c>
    </row>
    <row r="392" spans="1:30" ht="72">
      <c r="A392" s="36" t="s">
        <v>5808</v>
      </c>
      <c r="B392" s="36" t="s">
        <v>94</v>
      </c>
      <c r="C392" s="36" t="s">
        <v>1636</v>
      </c>
      <c r="D392" s="36" t="s">
        <v>1639</v>
      </c>
      <c r="E392" s="36" t="s">
        <v>5809</v>
      </c>
      <c r="F392" s="36" t="s">
        <v>14050</v>
      </c>
      <c r="G392" s="36" t="s">
        <v>14051</v>
      </c>
      <c r="H392" s="36" t="s">
        <v>14052</v>
      </c>
      <c r="I392" s="36" t="s">
        <v>14053</v>
      </c>
      <c r="J392" s="36" t="s">
        <v>14054</v>
      </c>
      <c r="K392" s="36" t="s">
        <v>14055</v>
      </c>
      <c r="L392" s="36" t="s">
        <v>14056</v>
      </c>
      <c r="M392" s="36" t="s">
        <v>14057</v>
      </c>
      <c r="N392" s="36" t="s">
        <v>14058</v>
      </c>
      <c r="O392" s="36" t="s">
        <v>14059</v>
      </c>
      <c r="P392" s="36" t="s">
        <v>14060</v>
      </c>
      <c r="Q392" s="36" t="s">
        <v>14061</v>
      </c>
      <c r="R392" s="36" t="s">
        <v>9040</v>
      </c>
      <c r="S392" s="36" t="s">
        <v>14062</v>
      </c>
      <c r="T392" s="36">
        <v>3</v>
      </c>
      <c r="U392" s="36">
        <v>3</v>
      </c>
      <c r="V392" s="36">
        <v>2</v>
      </c>
      <c r="W392" s="36">
        <v>2</v>
      </c>
      <c r="X392" s="36">
        <v>1</v>
      </c>
      <c r="Y392" s="36">
        <v>1</v>
      </c>
      <c r="Z392" s="36" t="s">
        <v>5811</v>
      </c>
      <c r="AA392" s="36" t="s">
        <v>5812</v>
      </c>
      <c r="AB392" s="36" t="s">
        <v>5819</v>
      </c>
      <c r="AC392" s="36" t="s">
        <v>5820</v>
      </c>
      <c r="AD392" s="36" t="s">
        <v>8831</v>
      </c>
    </row>
    <row r="393" spans="1:30" ht="72">
      <c r="A393" s="36" t="s">
        <v>5822</v>
      </c>
      <c r="B393" s="36" t="s">
        <v>94</v>
      </c>
      <c r="C393" s="36" t="s">
        <v>1636</v>
      </c>
      <c r="D393" s="36" t="s">
        <v>1639</v>
      </c>
      <c r="E393" s="36" t="s">
        <v>5823</v>
      </c>
      <c r="F393" s="36" t="s">
        <v>14063</v>
      </c>
      <c r="G393" s="36" t="s">
        <v>14064</v>
      </c>
      <c r="H393" s="36" t="s">
        <v>14065</v>
      </c>
      <c r="I393" s="36" t="s">
        <v>14066</v>
      </c>
      <c r="J393" s="36" t="s">
        <v>14067</v>
      </c>
      <c r="K393" s="36" t="s">
        <v>14068</v>
      </c>
      <c r="L393" s="36" t="s">
        <v>14069</v>
      </c>
      <c r="M393" s="36" t="s">
        <v>14070</v>
      </c>
      <c r="N393" s="36" t="s">
        <v>14071</v>
      </c>
      <c r="O393" s="36" t="s">
        <v>14072</v>
      </c>
      <c r="P393" s="36" t="s">
        <v>14073</v>
      </c>
      <c r="Q393" s="36" t="s">
        <v>14074</v>
      </c>
      <c r="R393" s="36" t="s">
        <v>9040</v>
      </c>
      <c r="S393" s="36" t="s">
        <v>14075</v>
      </c>
      <c r="T393" s="36">
        <v>3</v>
      </c>
      <c r="U393" s="36">
        <v>3</v>
      </c>
      <c r="V393" s="36">
        <v>2</v>
      </c>
      <c r="W393" s="36">
        <v>2</v>
      </c>
      <c r="X393" s="36">
        <v>1</v>
      </c>
      <c r="Y393" s="36">
        <v>1</v>
      </c>
      <c r="Z393" s="36" t="s">
        <v>5811</v>
      </c>
      <c r="AA393" s="36" t="s">
        <v>5824</v>
      </c>
      <c r="AB393" s="36" t="s">
        <v>5819</v>
      </c>
      <c r="AC393" s="36" t="s">
        <v>5820</v>
      </c>
      <c r="AD393" s="36" t="s">
        <v>8838</v>
      </c>
    </row>
    <row r="394" spans="1:30" ht="72">
      <c r="A394" s="36" t="s">
        <v>5832</v>
      </c>
      <c r="B394" s="36" t="s">
        <v>94</v>
      </c>
      <c r="C394" s="36" t="s">
        <v>1636</v>
      </c>
      <c r="D394" s="36" t="s">
        <v>1639</v>
      </c>
      <c r="E394" s="36" t="s">
        <v>5833</v>
      </c>
      <c r="F394" s="36" t="s">
        <v>14076</v>
      </c>
      <c r="G394" s="36" t="s">
        <v>14077</v>
      </c>
      <c r="H394" s="36" t="s">
        <v>14078</v>
      </c>
      <c r="I394" s="36" t="s">
        <v>14079</v>
      </c>
      <c r="J394" s="36" t="s">
        <v>14080</v>
      </c>
      <c r="K394" s="36" t="s">
        <v>14081</v>
      </c>
      <c r="L394" s="36" t="s">
        <v>14082</v>
      </c>
      <c r="M394" s="36" t="s">
        <v>14083</v>
      </c>
      <c r="N394" s="36" t="s">
        <v>14084</v>
      </c>
      <c r="O394" s="36" t="s">
        <v>14085</v>
      </c>
      <c r="P394" s="36" t="s">
        <v>14086</v>
      </c>
      <c r="Q394" s="36" t="s">
        <v>14087</v>
      </c>
      <c r="R394" s="36" t="s">
        <v>9040</v>
      </c>
      <c r="S394" s="36" t="s">
        <v>14088</v>
      </c>
      <c r="T394" s="36">
        <v>3</v>
      </c>
      <c r="U394" s="36">
        <v>3</v>
      </c>
      <c r="V394" s="36">
        <v>2</v>
      </c>
      <c r="W394" s="36">
        <v>2</v>
      </c>
      <c r="X394" s="36">
        <v>1</v>
      </c>
      <c r="Y394" s="36">
        <v>1</v>
      </c>
      <c r="Z394" s="36" t="s">
        <v>5811</v>
      </c>
      <c r="AA394" s="36" t="s">
        <v>5834</v>
      </c>
      <c r="AB394" s="36" t="s">
        <v>5819</v>
      </c>
      <c r="AC394" s="36" t="s">
        <v>5820</v>
      </c>
      <c r="AD394" s="36" t="s">
        <v>8845</v>
      </c>
    </row>
    <row r="395" spans="1:30" ht="72">
      <c r="A395" s="36" t="s">
        <v>5842</v>
      </c>
      <c r="B395" s="36" t="s">
        <v>94</v>
      </c>
      <c r="C395" s="36" t="s">
        <v>1636</v>
      </c>
      <c r="D395" s="36" t="s">
        <v>1639</v>
      </c>
      <c r="E395" s="36" t="s">
        <v>5843</v>
      </c>
      <c r="F395" s="36" t="s">
        <v>14089</v>
      </c>
      <c r="G395" s="36" t="s">
        <v>14090</v>
      </c>
      <c r="H395" s="36" t="s">
        <v>14091</v>
      </c>
      <c r="I395" s="36" t="s">
        <v>14092</v>
      </c>
      <c r="J395" s="36" t="s">
        <v>14093</v>
      </c>
      <c r="K395" s="36" t="s">
        <v>14094</v>
      </c>
      <c r="L395" s="36" t="s">
        <v>14095</v>
      </c>
      <c r="M395" s="36" t="s">
        <v>14096</v>
      </c>
      <c r="N395" s="36" t="s">
        <v>14097</v>
      </c>
      <c r="O395" s="36" t="s">
        <v>14098</v>
      </c>
      <c r="P395" s="36" t="s">
        <v>14099</v>
      </c>
      <c r="Q395" s="36" t="s">
        <v>14100</v>
      </c>
      <c r="R395" s="36" t="s">
        <v>9040</v>
      </c>
      <c r="S395" s="36" t="s">
        <v>14101</v>
      </c>
      <c r="T395" s="36">
        <v>3</v>
      </c>
      <c r="U395" s="36">
        <v>3</v>
      </c>
      <c r="V395" s="36">
        <v>2</v>
      </c>
      <c r="W395" s="36">
        <v>2</v>
      </c>
      <c r="X395" s="36">
        <v>1</v>
      </c>
      <c r="Y395" s="36">
        <v>1</v>
      </c>
      <c r="Z395" s="36" t="s">
        <v>5811</v>
      </c>
      <c r="AA395" s="36" t="s">
        <v>5844</v>
      </c>
      <c r="AB395" s="36" t="s">
        <v>5819</v>
      </c>
      <c r="AC395" s="36" t="s">
        <v>5820</v>
      </c>
      <c r="AD395" s="36" t="s">
        <v>8852</v>
      </c>
    </row>
    <row r="396" spans="1:30" ht="72">
      <c r="A396" s="36" t="s">
        <v>5852</v>
      </c>
      <c r="B396" s="36" t="s">
        <v>94</v>
      </c>
      <c r="C396" s="36" t="s">
        <v>1636</v>
      </c>
      <c r="D396" s="36" t="s">
        <v>1639</v>
      </c>
      <c r="E396" s="36" t="s">
        <v>5853</v>
      </c>
      <c r="F396" s="36" t="s">
        <v>14102</v>
      </c>
      <c r="G396" s="36" t="s">
        <v>14103</v>
      </c>
      <c r="H396" s="36" t="s">
        <v>14104</v>
      </c>
      <c r="I396" s="36" t="s">
        <v>14105</v>
      </c>
      <c r="J396" s="36" t="s">
        <v>14106</v>
      </c>
      <c r="K396" s="36" t="s">
        <v>14107</v>
      </c>
      <c r="L396" s="36" t="s">
        <v>14108</v>
      </c>
      <c r="M396" s="36" t="s">
        <v>14109</v>
      </c>
      <c r="N396" s="36" t="s">
        <v>14110</v>
      </c>
      <c r="O396" s="36" t="s">
        <v>14111</v>
      </c>
      <c r="P396" s="36" t="s">
        <v>14112</v>
      </c>
      <c r="Q396" s="36" t="s">
        <v>14113</v>
      </c>
      <c r="R396" s="36" t="s">
        <v>9040</v>
      </c>
      <c r="S396" s="36" t="s">
        <v>14114</v>
      </c>
      <c r="T396" s="36">
        <v>3</v>
      </c>
      <c r="U396" s="36">
        <v>3</v>
      </c>
      <c r="V396" s="36">
        <v>2</v>
      </c>
      <c r="W396" s="36">
        <v>2</v>
      </c>
      <c r="X396" s="36">
        <v>1</v>
      </c>
      <c r="Y396" s="36">
        <v>1</v>
      </c>
      <c r="Z396" s="36" t="s">
        <v>5811</v>
      </c>
      <c r="AA396" s="36" t="s">
        <v>5854</v>
      </c>
      <c r="AB396" s="36" t="s">
        <v>5819</v>
      </c>
      <c r="AC396" s="36" t="s">
        <v>5820</v>
      </c>
      <c r="AD396" s="36" t="s">
        <v>8859</v>
      </c>
    </row>
    <row r="397" spans="1:30" ht="72">
      <c r="A397" s="36" t="s">
        <v>5862</v>
      </c>
      <c r="B397" s="36" t="s">
        <v>94</v>
      </c>
      <c r="C397" s="36" t="s">
        <v>1647</v>
      </c>
      <c r="D397" s="36" t="s">
        <v>1639</v>
      </c>
      <c r="E397" s="36" t="s">
        <v>5863</v>
      </c>
      <c r="F397" s="36" t="s">
        <v>14115</v>
      </c>
      <c r="G397" s="36" t="s">
        <v>14116</v>
      </c>
      <c r="H397" s="36" t="s">
        <v>14117</v>
      </c>
      <c r="I397" s="36" t="s">
        <v>14118</v>
      </c>
      <c r="J397" s="36" t="s">
        <v>14119</v>
      </c>
      <c r="K397" s="36" t="s">
        <v>14120</v>
      </c>
      <c r="L397" s="36" t="s">
        <v>14121</v>
      </c>
      <c r="M397" s="36" t="s">
        <v>14122</v>
      </c>
      <c r="N397" s="36" t="s">
        <v>14123</v>
      </c>
      <c r="O397" s="36" t="s">
        <v>14124</v>
      </c>
      <c r="P397" s="36" t="s">
        <v>14125</v>
      </c>
      <c r="Q397" s="36" t="s">
        <v>14126</v>
      </c>
      <c r="R397" s="36" t="s">
        <v>9040</v>
      </c>
      <c r="S397" s="36" t="s">
        <v>14127</v>
      </c>
      <c r="T397" s="36">
        <v>3</v>
      </c>
      <c r="U397" s="36">
        <v>3</v>
      </c>
      <c r="V397" s="36">
        <v>2</v>
      </c>
      <c r="W397" s="36">
        <v>2</v>
      </c>
      <c r="X397" s="36">
        <v>1</v>
      </c>
      <c r="Y397" s="36">
        <v>1</v>
      </c>
      <c r="Z397" s="36" t="s">
        <v>5811</v>
      </c>
      <c r="AA397" s="36" t="s">
        <v>5864</v>
      </c>
      <c r="AB397" s="36" t="s">
        <v>5819</v>
      </c>
      <c r="AC397" s="36" t="s">
        <v>5820</v>
      </c>
      <c r="AD397" s="36" t="s">
        <v>8867</v>
      </c>
    </row>
    <row r="398" spans="1:30" ht="72">
      <c r="A398" s="36" t="s">
        <v>5872</v>
      </c>
      <c r="B398" s="36" t="s">
        <v>94</v>
      </c>
      <c r="C398" s="36" t="s">
        <v>1647</v>
      </c>
      <c r="D398" s="36" t="s">
        <v>1639</v>
      </c>
      <c r="E398" s="36" t="s">
        <v>5873</v>
      </c>
      <c r="F398" s="36" t="s">
        <v>14128</v>
      </c>
      <c r="G398" s="36" t="s">
        <v>14129</v>
      </c>
      <c r="H398" s="36" t="s">
        <v>14130</v>
      </c>
      <c r="I398" s="36" t="s">
        <v>14131</v>
      </c>
      <c r="J398" s="36" t="s">
        <v>14132</v>
      </c>
      <c r="K398" s="36" t="s">
        <v>14133</v>
      </c>
      <c r="L398" s="36" t="s">
        <v>14134</v>
      </c>
      <c r="M398" s="36" t="s">
        <v>14135</v>
      </c>
      <c r="N398" s="36" t="s">
        <v>14136</v>
      </c>
      <c r="O398" s="36" t="s">
        <v>14137</v>
      </c>
      <c r="P398" s="36" t="s">
        <v>14138</v>
      </c>
      <c r="Q398" s="36" t="s">
        <v>14139</v>
      </c>
      <c r="R398" s="36" t="s">
        <v>9040</v>
      </c>
      <c r="S398" s="36" t="s">
        <v>14140</v>
      </c>
      <c r="T398" s="36">
        <v>3</v>
      </c>
      <c r="U398" s="36">
        <v>3</v>
      </c>
      <c r="V398" s="36">
        <v>2</v>
      </c>
      <c r="W398" s="36">
        <v>2</v>
      </c>
      <c r="X398" s="36">
        <v>1</v>
      </c>
      <c r="Y398" s="36">
        <v>1</v>
      </c>
      <c r="Z398" s="36" t="s">
        <v>5811</v>
      </c>
      <c r="AA398" s="36" t="s">
        <v>5874</v>
      </c>
      <c r="AB398" s="36" t="s">
        <v>5819</v>
      </c>
      <c r="AC398" s="36" t="s">
        <v>5820</v>
      </c>
      <c r="AD398" s="36" t="s">
        <v>8874</v>
      </c>
    </row>
    <row r="399" spans="1:30" ht="72">
      <c r="A399" s="36" t="s">
        <v>5882</v>
      </c>
      <c r="B399" s="36" t="s">
        <v>94</v>
      </c>
      <c r="C399" s="36" t="s">
        <v>1647</v>
      </c>
      <c r="D399" s="36" t="s">
        <v>1639</v>
      </c>
      <c r="E399" s="36" t="s">
        <v>5883</v>
      </c>
      <c r="F399" s="36" t="s">
        <v>14141</v>
      </c>
      <c r="G399" s="36" t="s">
        <v>14142</v>
      </c>
      <c r="H399" s="36" t="s">
        <v>14143</v>
      </c>
      <c r="I399" s="36" t="s">
        <v>14144</v>
      </c>
      <c r="J399" s="36" t="s">
        <v>14145</v>
      </c>
      <c r="K399" s="36" t="s">
        <v>14146</v>
      </c>
      <c r="L399" s="36" t="s">
        <v>14147</v>
      </c>
      <c r="M399" s="36" t="s">
        <v>14148</v>
      </c>
      <c r="N399" s="36" t="s">
        <v>14149</v>
      </c>
      <c r="O399" s="36" t="s">
        <v>14150</v>
      </c>
      <c r="P399" s="36" t="s">
        <v>14151</v>
      </c>
      <c r="Q399" s="36" t="s">
        <v>14152</v>
      </c>
      <c r="R399" s="36" t="s">
        <v>9040</v>
      </c>
      <c r="S399" s="36" t="s">
        <v>14153</v>
      </c>
      <c r="T399" s="36">
        <v>3</v>
      </c>
      <c r="U399" s="36">
        <v>3</v>
      </c>
      <c r="V399" s="36">
        <v>2</v>
      </c>
      <c r="W399" s="36">
        <v>2</v>
      </c>
      <c r="X399" s="36">
        <v>1</v>
      </c>
      <c r="Y399" s="36">
        <v>1</v>
      </c>
      <c r="Z399" s="36" t="s">
        <v>5811</v>
      </c>
      <c r="AA399" s="36" t="s">
        <v>5884</v>
      </c>
      <c r="AB399" s="36" t="s">
        <v>5819</v>
      </c>
      <c r="AC399" s="36" t="s">
        <v>5820</v>
      </c>
      <c r="AD399" s="36" t="s">
        <v>8881</v>
      </c>
    </row>
    <row r="400" spans="1:30" ht="72">
      <c r="A400" s="36" t="s">
        <v>5892</v>
      </c>
      <c r="B400" s="36" t="s">
        <v>94</v>
      </c>
      <c r="C400" s="36" t="s">
        <v>1647</v>
      </c>
      <c r="D400" s="36" t="s">
        <v>1639</v>
      </c>
      <c r="E400" s="36" t="s">
        <v>5893</v>
      </c>
      <c r="F400" s="36" t="s">
        <v>14154</v>
      </c>
      <c r="G400" s="36" t="s">
        <v>14155</v>
      </c>
      <c r="H400" s="36" t="s">
        <v>14156</v>
      </c>
      <c r="I400" s="36" t="s">
        <v>14157</v>
      </c>
      <c r="J400" s="36" t="s">
        <v>14158</v>
      </c>
      <c r="K400" s="36" t="s">
        <v>14159</v>
      </c>
      <c r="L400" s="36" t="s">
        <v>14160</v>
      </c>
      <c r="M400" s="36" t="s">
        <v>14161</v>
      </c>
      <c r="N400" s="36" t="s">
        <v>14162</v>
      </c>
      <c r="O400" s="36" t="s">
        <v>14163</v>
      </c>
      <c r="P400" s="36" t="s">
        <v>14164</v>
      </c>
      <c r="Q400" s="36" t="s">
        <v>14165</v>
      </c>
      <c r="R400" s="36" t="s">
        <v>9040</v>
      </c>
      <c r="S400" s="36" t="s">
        <v>14166</v>
      </c>
      <c r="T400" s="36">
        <v>3</v>
      </c>
      <c r="U400" s="36">
        <v>3</v>
      </c>
      <c r="V400" s="36">
        <v>2</v>
      </c>
      <c r="W400" s="36">
        <v>2</v>
      </c>
      <c r="X400" s="36">
        <v>1</v>
      </c>
      <c r="Y400" s="36">
        <v>1</v>
      </c>
      <c r="Z400" s="36" t="s">
        <v>5811</v>
      </c>
      <c r="AA400" s="36" t="s">
        <v>5894</v>
      </c>
      <c r="AB400" s="36" t="s">
        <v>5819</v>
      </c>
      <c r="AC400" s="36" t="s">
        <v>5820</v>
      </c>
      <c r="AD400" s="36" t="s">
        <v>8888</v>
      </c>
    </row>
    <row r="401" spans="1:30" ht="72">
      <c r="A401" s="36" t="s">
        <v>5902</v>
      </c>
      <c r="B401" s="36" t="s">
        <v>94</v>
      </c>
      <c r="C401" s="36" t="s">
        <v>1647</v>
      </c>
      <c r="D401" s="36" t="s">
        <v>1639</v>
      </c>
      <c r="E401" s="36" t="s">
        <v>5903</v>
      </c>
      <c r="F401" s="36" t="s">
        <v>14167</v>
      </c>
      <c r="G401" s="36" t="s">
        <v>14168</v>
      </c>
      <c r="H401" s="36" t="s">
        <v>14169</v>
      </c>
      <c r="I401" s="36" t="s">
        <v>14170</v>
      </c>
      <c r="J401" s="36" t="s">
        <v>14171</v>
      </c>
      <c r="K401" s="36" t="s">
        <v>14172</v>
      </c>
      <c r="L401" s="36" t="s">
        <v>14173</v>
      </c>
      <c r="M401" s="36" t="s">
        <v>14174</v>
      </c>
      <c r="N401" s="36" t="s">
        <v>14175</v>
      </c>
      <c r="O401" s="36" t="s">
        <v>14176</v>
      </c>
      <c r="P401" s="36" t="s">
        <v>14177</v>
      </c>
      <c r="Q401" s="36" t="s">
        <v>14178</v>
      </c>
      <c r="R401" s="36" t="s">
        <v>9040</v>
      </c>
      <c r="S401" s="36" t="s">
        <v>14179</v>
      </c>
      <c r="T401" s="36">
        <v>3</v>
      </c>
      <c r="U401" s="36">
        <v>3</v>
      </c>
      <c r="V401" s="36">
        <v>2</v>
      </c>
      <c r="W401" s="36">
        <v>2</v>
      </c>
      <c r="X401" s="36">
        <v>1</v>
      </c>
      <c r="Y401" s="36">
        <v>1</v>
      </c>
      <c r="Z401" s="36" t="s">
        <v>5811</v>
      </c>
      <c r="AA401" s="36" t="s">
        <v>5904</v>
      </c>
      <c r="AB401" s="36" t="s">
        <v>5819</v>
      </c>
      <c r="AC401" s="36" t="s">
        <v>5820</v>
      </c>
      <c r="AD401" s="36" t="s">
        <v>8895</v>
      </c>
    </row>
    <row r="402" spans="1:30" ht="72">
      <c r="A402" s="36" t="s">
        <v>5912</v>
      </c>
      <c r="B402" s="36" t="s">
        <v>94</v>
      </c>
      <c r="C402" s="36" t="s">
        <v>1655</v>
      </c>
      <c r="D402" s="36" t="s">
        <v>1639</v>
      </c>
      <c r="E402" s="36" t="s">
        <v>5913</v>
      </c>
      <c r="F402" s="36" t="s">
        <v>14180</v>
      </c>
      <c r="G402" s="36" t="s">
        <v>14181</v>
      </c>
      <c r="H402" s="36" t="s">
        <v>14182</v>
      </c>
      <c r="I402" s="36" t="s">
        <v>14183</v>
      </c>
      <c r="J402" s="36" t="s">
        <v>14184</v>
      </c>
      <c r="K402" s="36" t="s">
        <v>14185</v>
      </c>
      <c r="L402" s="36" t="s">
        <v>14186</v>
      </c>
      <c r="M402" s="36" t="s">
        <v>14187</v>
      </c>
      <c r="N402" s="36" t="s">
        <v>14188</v>
      </c>
      <c r="O402" s="36" t="s">
        <v>14189</v>
      </c>
      <c r="P402" s="36" t="s">
        <v>14190</v>
      </c>
      <c r="Q402" s="36" t="s">
        <v>14191</v>
      </c>
      <c r="R402" s="36" t="s">
        <v>9040</v>
      </c>
      <c r="S402" s="36" t="s">
        <v>14192</v>
      </c>
      <c r="T402" s="36">
        <v>3</v>
      </c>
      <c r="U402" s="36">
        <v>3</v>
      </c>
      <c r="V402" s="36">
        <v>2</v>
      </c>
      <c r="W402" s="36">
        <v>2</v>
      </c>
      <c r="X402" s="36">
        <v>1</v>
      </c>
      <c r="Y402" s="36">
        <v>1</v>
      </c>
      <c r="Z402" s="36" t="s">
        <v>5811</v>
      </c>
      <c r="AA402" s="36" t="s">
        <v>5914</v>
      </c>
      <c r="AB402" s="36" t="s">
        <v>5819</v>
      </c>
      <c r="AC402" s="36" t="s">
        <v>5820</v>
      </c>
      <c r="AD402" s="36" t="s">
        <v>8903</v>
      </c>
    </row>
    <row r="403" spans="1:30" ht="72">
      <c r="A403" s="36" t="s">
        <v>5922</v>
      </c>
      <c r="B403" s="36" t="s">
        <v>94</v>
      </c>
      <c r="C403" s="36" t="s">
        <v>1655</v>
      </c>
      <c r="D403" s="36" t="s">
        <v>1639</v>
      </c>
      <c r="E403" s="36" t="s">
        <v>5923</v>
      </c>
      <c r="F403" s="36" t="s">
        <v>14193</v>
      </c>
      <c r="G403" s="36" t="s">
        <v>14194</v>
      </c>
      <c r="H403" s="36" t="s">
        <v>14195</v>
      </c>
      <c r="I403" s="36" t="s">
        <v>14196</v>
      </c>
      <c r="J403" s="36" t="s">
        <v>14197</v>
      </c>
      <c r="K403" s="36" t="s">
        <v>14198</v>
      </c>
      <c r="L403" s="36" t="s">
        <v>14199</v>
      </c>
      <c r="M403" s="36" t="s">
        <v>14200</v>
      </c>
      <c r="N403" s="36" t="s">
        <v>14201</v>
      </c>
      <c r="O403" s="36" t="s">
        <v>14202</v>
      </c>
      <c r="P403" s="36" t="s">
        <v>14203</v>
      </c>
      <c r="Q403" s="36" t="s">
        <v>14204</v>
      </c>
      <c r="R403" s="36" t="s">
        <v>9040</v>
      </c>
      <c r="S403" s="36" t="s">
        <v>14205</v>
      </c>
      <c r="T403" s="36">
        <v>3</v>
      </c>
      <c r="U403" s="36">
        <v>3</v>
      </c>
      <c r="V403" s="36">
        <v>2</v>
      </c>
      <c r="W403" s="36">
        <v>2</v>
      </c>
      <c r="X403" s="36">
        <v>1</v>
      </c>
      <c r="Y403" s="36">
        <v>1</v>
      </c>
      <c r="Z403" s="36" t="s">
        <v>5811</v>
      </c>
      <c r="AA403" s="36" t="s">
        <v>5924</v>
      </c>
      <c r="AB403" s="36" t="s">
        <v>5819</v>
      </c>
      <c r="AC403" s="36" t="s">
        <v>5820</v>
      </c>
      <c r="AD403" s="36" t="s">
        <v>8910</v>
      </c>
    </row>
    <row r="404" spans="1:30" ht="72">
      <c r="A404" s="36" t="s">
        <v>5932</v>
      </c>
      <c r="B404" s="36" t="s">
        <v>94</v>
      </c>
      <c r="C404" s="36" t="s">
        <v>1655</v>
      </c>
      <c r="D404" s="36" t="s">
        <v>1639</v>
      </c>
      <c r="E404" s="36" t="s">
        <v>5933</v>
      </c>
      <c r="F404" s="36" t="s">
        <v>14206</v>
      </c>
      <c r="G404" s="36" t="s">
        <v>14207</v>
      </c>
      <c r="H404" s="36" t="s">
        <v>14208</v>
      </c>
      <c r="I404" s="36" t="s">
        <v>14209</v>
      </c>
      <c r="J404" s="36" t="s">
        <v>14210</v>
      </c>
      <c r="K404" s="36" t="s">
        <v>14211</v>
      </c>
      <c r="L404" s="36" t="s">
        <v>14212</v>
      </c>
      <c r="M404" s="36" t="s">
        <v>14213</v>
      </c>
      <c r="N404" s="36" t="s">
        <v>14214</v>
      </c>
      <c r="O404" s="36" t="s">
        <v>14215</v>
      </c>
      <c r="P404" s="36" t="s">
        <v>14216</v>
      </c>
      <c r="Q404" s="36" t="s">
        <v>14217</v>
      </c>
      <c r="R404" s="36" t="s">
        <v>9040</v>
      </c>
      <c r="S404" s="36" t="s">
        <v>14218</v>
      </c>
      <c r="T404" s="36">
        <v>3</v>
      </c>
      <c r="U404" s="36">
        <v>3</v>
      </c>
      <c r="V404" s="36">
        <v>2</v>
      </c>
      <c r="W404" s="36">
        <v>2</v>
      </c>
      <c r="X404" s="36">
        <v>1</v>
      </c>
      <c r="Y404" s="36">
        <v>1</v>
      </c>
      <c r="Z404" s="36" t="s">
        <v>5811</v>
      </c>
      <c r="AA404" s="36" t="s">
        <v>5934</v>
      </c>
      <c r="AB404" s="36" t="s">
        <v>5819</v>
      </c>
      <c r="AC404" s="36" t="s">
        <v>5820</v>
      </c>
      <c r="AD404" s="36" t="s">
        <v>8917</v>
      </c>
    </row>
    <row r="405" spans="1:30" ht="72">
      <c r="A405" s="36" t="s">
        <v>5942</v>
      </c>
      <c r="B405" s="36" t="s">
        <v>94</v>
      </c>
      <c r="C405" s="36" t="s">
        <v>1655</v>
      </c>
      <c r="D405" s="36" t="s">
        <v>1639</v>
      </c>
      <c r="E405" s="36" t="s">
        <v>5943</v>
      </c>
      <c r="F405" s="36" t="s">
        <v>14219</v>
      </c>
      <c r="G405" s="36" t="s">
        <v>14220</v>
      </c>
      <c r="H405" s="36" t="s">
        <v>14221</v>
      </c>
      <c r="I405" s="36" t="s">
        <v>14222</v>
      </c>
      <c r="J405" s="36" t="s">
        <v>14223</v>
      </c>
      <c r="K405" s="36" t="s">
        <v>14224</v>
      </c>
      <c r="L405" s="36" t="s">
        <v>14225</v>
      </c>
      <c r="M405" s="36" t="s">
        <v>14226</v>
      </c>
      <c r="N405" s="36" t="s">
        <v>14227</v>
      </c>
      <c r="O405" s="36" t="s">
        <v>14228</v>
      </c>
      <c r="P405" s="36" t="s">
        <v>14229</v>
      </c>
      <c r="Q405" s="36" t="s">
        <v>14230</v>
      </c>
      <c r="R405" s="36" t="s">
        <v>9040</v>
      </c>
      <c r="S405" s="36" t="s">
        <v>14231</v>
      </c>
      <c r="T405" s="36">
        <v>3</v>
      </c>
      <c r="U405" s="36">
        <v>3</v>
      </c>
      <c r="V405" s="36">
        <v>2</v>
      </c>
      <c r="W405" s="36">
        <v>2</v>
      </c>
      <c r="X405" s="36">
        <v>1</v>
      </c>
      <c r="Y405" s="36">
        <v>1</v>
      </c>
      <c r="Z405" s="36" t="s">
        <v>5811</v>
      </c>
      <c r="AA405" s="36" t="s">
        <v>5944</v>
      </c>
      <c r="AB405" s="36" t="s">
        <v>5819</v>
      </c>
      <c r="AC405" s="36" t="s">
        <v>5820</v>
      </c>
      <c r="AD405" s="36" t="s">
        <v>8924</v>
      </c>
    </row>
    <row r="406" spans="1:30" ht="72">
      <c r="A406" s="36" t="s">
        <v>5952</v>
      </c>
      <c r="B406" s="36" t="s">
        <v>94</v>
      </c>
      <c r="C406" s="36" t="s">
        <v>1655</v>
      </c>
      <c r="D406" s="36" t="s">
        <v>1639</v>
      </c>
      <c r="E406" s="36" t="s">
        <v>5953</v>
      </c>
      <c r="F406" s="36" t="s">
        <v>14232</v>
      </c>
      <c r="G406" s="36" t="s">
        <v>14233</v>
      </c>
      <c r="H406" s="36" t="s">
        <v>14234</v>
      </c>
      <c r="I406" s="36" t="s">
        <v>14235</v>
      </c>
      <c r="J406" s="36" t="s">
        <v>14236</v>
      </c>
      <c r="K406" s="36" t="s">
        <v>14237</v>
      </c>
      <c r="L406" s="36" t="s">
        <v>14238</v>
      </c>
      <c r="M406" s="36" t="s">
        <v>14239</v>
      </c>
      <c r="N406" s="36" t="s">
        <v>14240</v>
      </c>
      <c r="O406" s="36" t="s">
        <v>14241</v>
      </c>
      <c r="P406" s="36" t="s">
        <v>14242</v>
      </c>
      <c r="Q406" s="36" t="s">
        <v>14243</v>
      </c>
      <c r="R406" s="36" t="s">
        <v>9040</v>
      </c>
      <c r="S406" s="36" t="s">
        <v>14244</v>
      </c>
      <c r="T406" s="36">
        <v>3</v>
      </c>
      <c r="U406" s="36">
        <v>3</v>
      </c>
      <c r="V406" s="36">
        <v>2</v>
      </c>
      <c r="W406" s="36">
        <v>2</v>
      </c>
      <c r="X406" s="36">
        <v>1</v>
      </c>
      <c r="Y406" s="36">
        <v>1</v>
      </c>
      <c r="Z406" s="36" t="s">
        <v>5811</v>
      </c>
      <c r="AA406" s="36" t="s">
        <v>5954</v>
      </c>
      <c r="AB406" s="36" t="s">
        <v>5819</v>
      </c>
      <c r="AC406" s="36" t="s">
        <v>5820</v>
      </c>
      <c r="AD406" s="36" t="s">
        <v>8931</v>
      </c>
    </row>
    <row r="407" spans="1:30" ht="72">
      <c r="A407" s="36" t="s">
        <v>5962</v>
      </c>
      <c r="B407" s="36" t="s">
        <v>94</v>
      </c>
      <c r="C407" s="36" t="s">
        <v>1663</v>
      </c>
      <c r="D407" s="36" t="s">
        <v>1639</v>
      </c>
      <c r="E407" s="36" t="s">
        <v>5963</v>
      </c>
      <c r="F407" s="36" t="s">
        <v>14245</v>
      </c>
      <c r="G407" s="36" t="s">
        <v>14246</v>
      </c>
      <c r="H407" s="36" t="s">
        <v>14247</v>
      </c>
      <c r="I407" s="36" t="s">
        <v>14248</v>
      </c>
      <c r="J407" s="36" t="s">
        <v>14249</v>
      </c>
      <c r="K407" s="36" t="s">
        <v>14250</v>
      </c>
      <c r="L407" s="36" t="s">
        <v>14251</v>
      </c>
      <c r="M407" s="36" t="s">
        <v>14252</v>
      </c>
      <c r="N407" s="36" t="s">
        <v>14253</v>
      </c>
      <c r="O407" s="36" t="s">
        <v>14254</v>
      </c>
      <c r="P407" s="36" t="s">
        <v>14255</v>
      </c>
      <c r="Q407" s="36" t="s">
        <v>14256</v>
      </c>
      <c r="R407" s="36" t="s">
        <v>9040</v>
      </c>
      <c r="S407" s="36" t="s">
        <v>14257</v>
      </c>
      <c r="T407" s="36">
        <v>3</v>
      </c>
      <c r="U407" s="36">
        <v>3</v>
      </c>
      <c r="V407" s="36">
        <v>2</v>
      </c>
      <c r="W407" s="36">
        <v>2</v>
      </c>
      <c r="X407" s="36">
        <v>1</v>
      </c>
      <c r="Y407" s="36">
        <v>1</v>
      </c>
      <c r="Z407" s="36" t="s">
        <v>5811</v>
      </c>
      <c r="AA407" s="36" t="s">
        <v>5964</v>
      </c>
      <c r="AB407" s="36" t="s">
        <v>5819</v>
      </c>
      <c r="AC407" s="36" t="s">
        <v>5820</v>
      </c>
      <c r="AD407" s="36" t="s">
        <v>8939</v>
      </c>
    </row>
    <row r="408" spans="1:30" ht="72">
      <c r="A408" s="36" t="s">
        <v>5972</v>
      </c>
      <c r="B408" s="36" t="s">
        <v>94</v>
      </c>
      <c r="C408" s="36" t="s">
        <v>1663</v>
      </c>
      <c r="D408" s="36" t="s">
        <v>1639</v>
      </c>
      <c r="E408" s="36" t="s">
        <v>5973</v>
      </c>
      <c r="F408" s="36" t="s">
        <v>14258</v>
      </c>
      <c r="G408" s="36" t="s">
        <v>14259</v>
      </c>
      <c r="H408" s="36" t="s">
        <v>14260</v>
      </c>
      <c r="I408" s="36" t="s">
        <v>14261</v>
      </c>
      <c r="J408" s="36" t="s">
        <v>14262</v>
      </c>
      <c r="K408" s="36" t="s">
        <v>14263</v>
      </c>
      <c r="L408" s="36" t="s">
        <v>14264</v>
      </c>
      <c r="M408" s="36" t="s">
        <v>14265</v>
      </c>
      <c r="N408" s="36" t="s">
        <v>14266</v>
      </c>
      <c r="O408" s="36" t="s">
        <v>14267</v>
      </c>
      <c r="P408" s="36" t="s">
        <v>14268</v>
      </c>
      <c r="Q408" s="36" t="s">
        <v>14269</v>
      </c>
      <c r="R408" s="36" t="s">
        <v>9040</v>
      </c>
      <c r="S408" s="36" t="s">
        <v>14270</v>
      </c>
      <c r="T408" s="36">
        <v>3</v>
      </c>
      <c r="U408" s="36">
        <v>3</v>
      </c>
      <c r="V408" s="36">
        <v>2</v>
      </c>
      <c r="W408" s="36">
        <v>2</v>
      </c>
      <c r="X408" s="36">
        <v>1</v>
      </c>
      <c r="Y408" s="36">
        <v>1</v>
      </c>
      <c r="Z408" s="36" t="s">
        <v>5811</v>
      </c>
      <c r="AA408" s="36" t="s">
        <v>5974</v>
      </c>
      <c r="AB408" s="36" t="s">
        <v>5819</v>
      </c>
      <c r="AC408" s="36" t="s">
        <v>5820</v>
      </c>
      <c r="AD408" s="36" t="s">
        <v>8946</v>
      </c>
    </row>
    <row r="409" spans="1:30" ht="72">
      <c r="A409" s="36" t="s">
        <v>5982</v>
      </c>
      <c r="B409" s="36" t="s">
        <v>94</v>
      </c>
      <c r="C409" s="36" t="s">
        <v>1663</v>
      </c>
      <c r="D409" s="36" t="s">
        <v>1639</v>
      </c>
      <c r="E409" s="36" t="s">
        <v>5983</v>
      </c>
      <c r="F409" s="36" t="s">
        <v>14271</v>
      </c>
      <c r="G409" s="36" t="s">
        <v>14272</v>
      </c>
      <c r="H409" s="36" t="s">
        <v>14273</v>
      </c>
      <c r="I409" s="36" t="s">
        <v>14274</v>
      </c>
      <c r="J409" s="36" t="s">
        <v>14275</v>
      </c>
      <c r="K409" s="36" t="s">
        <v>14276</v>
      </c>
      <c r="L409" s="36" t="s">
        <v>14277</v>
      </c>
      <c r="M409" s="36" t="s">
        <v>14278</v>
      </c>
      <c r="N409" s="36" t="s">
        <v>14279</v>
      </c>
      <c r="O409" s="36" t="s">
        <v>14280</v>
      </c>
      <c r="P409" s="36" t="s">
        <v>14281</v>
      </c>
      <c r="Q409" s="36" t="s">
        <v>14282</v>
      </c>
      <c r="R409" s="36" t="s">
        <v>9040</v>
      </c>
      <c r="S409" s="36" t="s">
        <v>14283</v>
      </c>
      <c r="T409" s="36">
        <v>3</v>
      </c>
      <c r="U409" s="36">
        <v>3</v>
      </c>
      <c r="V409" s="36">
        <v>2</v>
      </c>
      <c r="W409" s="36">
        <v>2</v>
      </c>
      <c r="X409" s="36">
        <v>1</v>
      </c>
      <c r="Y409" s="36">
        <v>1</v>
      </c>
      <c r="Z409" s="36" t="s">
        <v>5811</v>
      </c>
      <c r="AA409" s="36" t="s">
        <v>5984</v>
      </c>
      <c r="AB409" s="36" t="s">
        <v>5819</v>
      </c>
      <c r="AC409" s="36" t="s">
        <v>5820</v>
      </c>
      <c r="AD409" s="36" t="s">
        <v>8953</v>
      </c>
    </row>
    <row r="410" spans="1:30" ht="72">
      <c r="A410" s="36" t="s">
        <v>5992</v>
      </c>
      <c r="B410" s="36" t="s">
        <v>94</v>
      </c>
      <c r="C410" s="36" t="s">
        <v>1663</v>
      </c>
      <c r="D410" s="36" t="s">
        <v>1639</v>
      </c>
      <c r="E410" s="36" t="s">
        <v>5993</v>
      </c>
      <c r="F410" s="36" t="s">
        <v>14284</v>
      </c>
      <c r="G410" s="36" t="s">
        <v>14285</v>
      </c>
      <c r="H410" s="36" t="s">
        <v>14286</v>
      </c>
      <c r="I410" s="36" t="s">
        <v>14287</v>
      </c>
      <c r="J410" s="36" t="s">
        <v>14288</v>
      </c>
      <c r="K410" s="36" t="s">
        <v>14289</v>
      </c>
      <c r="L410" s="36" t="s">
        <v>14290</v>
      </c>
      <c r="M410" s="36" t="s">
        <v>14291</v>
      </c>
      <c r="N410" s="36" t="s">
        <v>14292</v>
      </c>
      <c r="O410" s="36" t="s">
        <v>14293</v>
      </c>
      <c r="P410" s="36" t="s">
        <v>14294</v>
      </c>
      <c r="Q410" s="36" t="s">
        <v>14295</v>
      </c>
      <c r="R410" s="36" t="s">
        <v>9040</v>
      </c>
      <c r="S410" s="36" t="s">
        <v>14296</v>
      </c>
      <c r="T410" s="36">
        <v>3</v>
      </c>
      <c r="U410" s="36">
        <v>3</v>
      </c>
      <c r="V410" s="36">
        <v>2</v>
      </c>
      <c r="W410" s="36">
        <v>2</v>
      </c>
      <c r="X410" s="36">
        <v>1</v>
      </c>
      <c r="Y410" s="36">
        <v>1</v>
      </c>
      <c r="Z410" s="36" t="s">
        <v>5811</v>
      </c>
      <c r="AA410" s="36" t="s">
        <v>5994</v>
      </c>
      <c r="AB410" s="36" t="s">
        <v>5819</v>
      </c>
      <c r="AC410" s="36" t="s">
        <v>5820</v>
      </c>
      <c r="AD410" s="36" t="s">
        <v>8960</v>
      </c>
    </row>
    <row r="411" spans="1:30" ht="72">
      <c r="A411" s="36" t="s">
        <v>6002</v>
      </c>
      <c r="B411" s="36" t="s">
        <v>94</v>
      </c>
      <c r="C411" s="36" t="s">
        <v>1663</v>
      </c>
      <c r="D411" s="36" t="s">
        <v>1639</v>
      </c>
      <c r="E411" s="36" t="s">
        <v>6003</v>
      </c>
      <c r="F411" s="36" t="s">
        <v>14297</v>
      </c>
      <c r="G411" s="36" t="s">
        <v>14298</v>
      </c>
      <c r="H411" s="36" t="s">
        <v>14299</v>
      </c>
      <c r="I411" s="36" t="s">
        <v>14300</v>
      </c>
      <c r="J411" s="36" t="s">
        <v>14301</v>
      </c>
      <c r="K411" s="36" t="s">
        <v>14302</v>
      </c>
      <c r="L411" s="36" t="s">
        <v>14303</v>
      </c>
      <c r="M411" s="36" t="s">
        <v>14304</v>
      </c>
      <c r="N411" s="36" t="s">
        <v>14305</v>
      </c>
      <c r="O411" s="36" t="s">
        <v>14306</v>
      </c>
      <c r="P411" s="36" t="s">
        <v>14307</v>
      </c>
      <c r="Q411" s="36" t="s">
        <v>14308</v>
      </c>
      <c r="R411" s="36" t="s">
        <v>9040</v>
      </c>
      <c r="S411" s="36" t="s">
        <v>14309</v>
      </c>
      <c r="T411" s="36">
        <v>3</v>
      </c>
      <c r="U411" s="36">
        <v>3</v>
      </c>
      <c r="V411" s="36">
        <v>2</v>
      </c>
      <c r="W411" s="36">
        <v>2</v>
      </c>
      <c r="X411" s="36">
        <v>1</v>
      </c>
      <c r="Y411" s="36">
        <v>1</v>
      </c>
      <c r="Z411" s="36" t="s">
        <v>5811</v>
      </c>
      <c r="AA411" s="36" t="s">
        <v>6004</v>
      </c>
      <c r="AB411" s="36" t="s">
        <v>5819</v>
      </c>
      <c r="AC411" s="36" t="s">
        <v>5820</v>
      </c>
      <c r="AD411" s="36" t="s">
        <v>8967</v>
      </c>
    </row>
  </sheetData>
  <sheetProtection sheet="1" objects="1" scenarios="1"/>
  <autoFilter ref="A4:AD411" ns2:uid="{00000000-0009-0000-0000-000028000000}"/>
  <mergeCells count="2">
    <mergeCell ref="A2:AD2"/>
    <mergeCell ref="A1:AD1"/>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2.xml><?xml version="1.0" encoding="utf-8"?>
<worksheet xmlns="http://schemas.openxmlformats.org/spreadsheetml/2006/main" xmlns:ns1="http://schemas.openxmlformats.org/markup-compatibility/2006" xmlns:ns2="http://schemas.microsoft.com/office/spreadsheetml/2014/revision" ns1:Ignorable="x14ac xr xr2 xr3" ns2:uid="{00000000-0001-0000-2900-000000000000}">
  <sheetPr>
    <tabColor rgb="FF808080"/>
  </sheetPr>
  <dimension ref="A1:J191"/>
  <sheetViews>
    <sheetView workbookViewId="0">
      <pane ySplit="4" topLeftCell="A5" activePane="bottomLeft" state="frozen"/>
      <selection pane="bottomLeft"/>
    </sheetView>
  </sheetViews>
  <sheetFormatPr defaultRowHeight="14.25"/>
  <cols>
    <col min="1" max="1" width="28" customWidth="1"/>
    <col min="2" max="2" width="24" customWidth="1"/>
    <col min="3" max="3" width="16" customWidth="1"/>
    <col min="4" max="4" width="22" customWidth="1"/>
    <col min="5" max="5" width="55" customWidth="1"/>
    <col min="6" max="6" width="30" customWidth="1"/>
    <col min="7" max="7" width="55" customWidth="1"/>
    <col min="8" max="8" width="35" customWidth="1"/>
    <col min="9" max="10" width="45" customWidth="1"/>
  </cols>
  <sheetData>
    <row r="1" spans="1:10" ht="18">
      <c r="A1" s="198" t="s">
        <v>14310</v>
      </c>
      <c r="B1" s="158"/>
      <c r="C1" s="158"/>
      <c r="D1" s="158"/>
      <c r="E1" s="158"/>
      <c r="F1" s="158"/>
      <c r="G1" s="158"/>
      <c r="H1" s="158"/>
      <c r="I1" s="158"/>
      <c r="J1" s="158"/>
    </row>
    <row r="2" spans="1:10">
      <c r="A2" s="158" t="s">
        <v>14311</v>
      </c>
      <c r="B2" s="158"/>
      <c r="C2" s="158"/>
      <c r="D2" s="158"/>
      <c r="E2" s="158"/>
      <c r="F2" s="158"/>
      <c r="G2" s="158"/>
      <c r="H2" s="158"/>
      <c r="I2" s="158"/>
      <c r="J2" s="158"/>
    </row>
    <row r="4" spans="1:10" ht="27.95" customHeight="1">
      <c r="A4" s="50" t="s">
        <v>14312</v>
      </c>
      <c r="B4" s="50" t="s">
        <v>36</v>
      </c>
      <c r="C4" s="50" t="s">
        <v>14313</v>
      </c>
      <c r="D4" s="50" t="s">
        <v>14314</v>
      </c>
      <c r="E4" s="50" t="s">
        <v>14315</v>
      </c>
      <c r="F4" s="50" t="s">
        <v>14316</v>
      </c>
      <c r="G4" s="50" t="s">
        <v>14317</v>
      </c>
      <c r="H4" s="50" t="s">
        <v>14318</v>
      </c>
      <c r="I4" s="50" t="s">
        <v>14319</v>
      </c>
      <c r="J4" s="50" t="s">
        <v>992</v>
      </c>
    </row>
    <row r="5" spans="1:10" ht="28.5">
      <c r="A5" s="48" t="s">
        <v>98</v>
      </c>
      <c r="B5" s="48" t="s">
        <v>54</v>
      </c>
      <c r="C5" s="48">
        <v>1.6</v>
      </c>
      <c r="D5" s="48">
        <f>ROUND(C5*(1+('Crisis Simulator'!$B$5-3)*0.15),2)</f>
        <v>1.6</v>
      </c>
      <c r="E5" s="48" t="s">
        <v>14320</v>
      </c>
      <c r="F5" s="48" t="s">
        <v>14321</v>
      </c>
      <c r="G5" s="48" t="s">
        <v>14322</v>
      </c>
      <c r="H5" s="48" t="s">
        <v>14323</v>
      </c>
      <c r="I5" s="48" t="str">
        <f t="shared" ref="I5:I36" si="0">A5&amp;"|"&amp;B5</f>
        <v>War / security crisis|Company Geography</v>
      </c>
      <c r="J5" s="48" t="s">
        <v>14324</v>
      </c>
    </row>
    <row r="6" spans="1:10" ht="28.5">
      <c r="A6" s="48" t="s">
        <v>98</v>
      </c>
      <c r="B6" s="48" t="s">
        <v>57</v>
      </c>
      <c r="C6" s="48">
        <v>1</v>
      </c>
      <c r="D6" s="48">
        <f>ROUND(C6*(1+('Crisis Simulator'!$B$5-3)*0.15),2)</f>
        <v>1</v>
      </c>
      <c r="E6" s="48" t="s">
        <v>14325</v>
      </c>
      <c r="F6" s="48" t="s">
        <v>14326</v>
      </c>
      <c r="G6" s="48" t="s">
        <v>14327</v>
      </c>
      <c r="H6" s="48" t="s">
        <v>14328</v>
      </c>
      <c r="I6" s="48" t="str">
        <f t="shared" si="0"/>
        <v>War / security crisis|Strategy GTM</v>
      </c>
      <c r="J6" s="48" t="s">
        <v>14324</v>
      </c>
    </row>
    <row r="7" spans="1:10" ht="28.5">
      <c r="A7" s="48" t="s">
        <v>98</v>
      </c>
      <c r="B7" s="48" t="s">
        <v>60</v>
      </c>
      <c r="C7" s="48">
        <v>1.4</v>
      </c>
      <c r="D7" s="48">
        <f>ROUND(C7*(1+('Crisis Simulator'!$B$5-3)*0.15),2)</f>
        <v>1.4</v>
      </c>
      <c r="E7" s="48" t="s">
        <v>14329</v>
      </c>
      <c r="F7" s="48" t="s">
        <v>14321</v>
      </c>
      <c r="G7" s="48" t="s">
        <v>14330</v>
      </c>
      <c r="H7" s="48" t="s">
        <v>14331</v>
      </c>
      <c r="I7" s="48" t="str">
        <f t="shared" si="0"/>
        <v>War / security crisis|Governance Crisis</v>
      </c>
      <c r="J7" s="48" t="s">
        <v>14324</v>
      </c>
    </row>
    <row r="8" spans="1:10" ht="28.5">
      <c r="A8" s="48" t="s">
        <v>98</v>
      </c>
      <c r="B8" s="48" t="s">
        <v>63</v>
      </c>
      <c r="C8" s="48">
        <v>1.8</v>
      </c>
      <c r="D8" s="48">
        <f>ROUND(C8*(1+('Crisis Simulator'!$B$5-3)*0.15),2)</f>
        <v>1.8</v>
      </c>
      <c r="E8" s="48" t="s">
        <v>14332</v>
      </c>
      <c r="F8" s="48" t="s">
        <v>14333</v>
      </c>
      <c r="G8" s="48" t="s">
        <v>14334</v>
      </c>
      <c r="H8" s="48" t="s">
        <v>14335</v>
      </c>
      <c r="I8" s="48" t="str">
        <f t="shared" si="0"/>
        <v>War / security crisis|HR Workforce</v>
      </c>
      <c r="J8" s="48" t="s">
        <v>14324</v>
      </c>
    </row>
    <row r="9" spans="1:10" ht="28.5">
      <c r="A9" s="48" t="s">
        <v>98</v>
      </c>
      <c r="B9" s="48" t="s">
        <v>66</v>
      </c>
      <c r="C9" s="48">
        <v>1.3</v>
      </c>
      <c r="D9" s="48">
        <f>ROUND(C9*(1+('Crisis Simulator'!$B$5-3)*0.15),2)</f>
        <v>1.3</v>
      </c>
      <c r="E9" s="48" t="s">
        <v>14336</v>
      </c>
      <c r="F9" s="48" t="s">
        <v>14321</v>
      </c>
      <c r="G9" s="48" t="s">
        <v>14337</v>
      </c>
      <c r="H9" s="48" t="s">
        <v>14338</v>
      </c>
      <c r="I9" s="48" t="str">
        <f t="shared" si="0"/>
        <v>War / security crisis|Finance Procurement</v>
      </c>
      <c r="J9" s="48" t="s">
        <v>14324</v>
      </c>
    </row>
    <row r="10" spans="1:10" ht="28.5">
      <c r="A10" s="48" t="s">
        <v>98</v>
      </c>
      <c r="B10" s="48" t="s">
        <v>69</v>
      </c>
      <c r="C10" s="48">
        <v>1.4</v>
      </c>
      <c r="D10" s="48">
        <f>ROUND(C10*(1+('Crisis Simulator'!$B$5-3)*0.15),2)</f>
        <v>1.4</v>
      </c>
      <c r="E10" s="48" t="s">
        <v>14339</v>
      </c>
      <c r="F10" s="48" t="s">
        <v>14321</v>
      </c>
      <c r="G10" s="48" t="s">
        <v>14340</v>
      </c>
      <c r="H10" s="48" t="s">
        <v>14341</v>
      </c>
      <c r="I10" s="48" t="str">
        <f t="shared" si="0"/>
        <v>War / security crisis|Legal Risk</v>
      </c>
      <c r="J10" s="48" t="s">
        <v>14324</v>
      </c>
    </row>
    <row r="11" spans="1:10" ht="28.5">
      <c r="A11" s="48" t="s">
        <v>98</v>
      </c>
      <c r="B11" s="48" t="s">
        <v>72</v>
      </c>
      <c r="C11" s="48">
        <v>2</v>
      </c>
      <c r="D11" s="48">
        <f>ROUND(C11*(1+('Crisis Simulator'!$B$5-3)*0.15),2)</f>
        <v>2</v>
      </c>
      <c r="E11" s="48" t="s">
        <v>14342</v>
      </c>
      <c r="F11" s="48" t="s">
        <v>14333</v>
      </c>
      <c r="G11" s="48" t="s">
        <v>14343</v>
      </c>
      <c r="H11" s="48" t="s">
        <v>14344</v>
      </c>
      <c r="I11" s="48" t="str">
        <f t="shared" si="0"/>
        <v>War / security crisis|Physical Safety</v>
      </c>
      <c r="J11" s="48" t="s">
        <v>14324</v>
      </c>
    </row>
    <row r="12" spans="1:10" ht="28.5">
      <c r="A12" s="48" t="s">
        <v>98</v>
      </c>
      <c r="B12" s="48" t="s">
        <v>75</v>
      </c>
      <c r="C12" s="48">
        <v>1.7</v>
      </c>
      <c r="D12" s="48">
        <f>ROUND(C12*(1+('Crisis Simulator'!$B$5-3)*0.15),2)</f>
        <v>1.7</v>
      </c>
      <c r="E12" s="48" t="s">
        <v>14345</v>
      </c>
      <c r="F12" s="48" t="s">
        <v>14333</v>
      </c>
      <c r="G12" s="48" t="s">
        <v>14346</v>
      </c>
      <c r="H12" s="48" t="s">
        <v>14347</v>
      </c>
      <c r="I12" s="48" t="str">
        <f t="shared" si="0"/>
        <v>War / security crisis|Delivery Ops</v>
      </c>
      <c r="J12" s="48" t="s">
        <v>14324</v>
      </c>
    </row>
    <row r="13" spans="1:10" ht="28.5">
      <c r="A13" s="48" t="s">
        <v>98</v>
      </c>
      <c r="B13" s="48" t="s">
        <v>78</v>
      </c>
      <c r="C13" s="48">
        <v>1.7</v>
      </c>
      <c r="D13" s="48">
        <f>ROUND(C13*(1+('Crisis Simulator'!$B$5-3)*0.15),2)</f>
        <v>1.7</v>
      </c>
      <c r="E13" s="48" t="s">
        <v>14348</v>
      </c>
      <c r="F13" s="48" t="s">
        <v>14333</v>
      </c>
      <c r="G13" s="48" t="s">
        <v>14349</v>
      </c>
      <c r="H13" s="48" t="s">
        <v>14350</v>
      </c>
      <c r="I13" s="48" t="str">
        <f t="shared" si="0"/>
        <v>War / security crisis|Supply Chain</v>
      </c>
      <c r="J13" s="48" t="s">
        <v>14324</v>
      </c>
    </row>
    <row r="14" spans="1:10" ht="28.5">
      <c r="A14" s="48" t="s">
        <v>98</v>
      </c>
      <c r="B14" s="48" t="s">
        <v>81</v>
      </c>
      <c r="C14" s="48">
        <v>1.4</v>
      </c>
      <c r="D14" s="48">
        <f>ROUND(C14*(1+('Crisis Simulator'!$B$5-3)*0.15),2)</f>
        <v>1.4</v>
      </c>
      <c r="E14" s="48" t="s">
        <v>14351</v>
      </c>
      <c r="F14" s="48" t="s">
        <v>14321</v>
      </c>
      <c r="G14" s="48" t="s">
        <v>14352</v>
      </c>
      <c r="H14" s="48" t="s">
        <v>14353</v>
      </c>
      <c r="I14" s="48" t="str">
        <f t="shared" si="0"/>
        <v>War / security crisis|Manufacturing MES</v>
      </c>
      <c r="J14" s="48" t="s">
        <v>14324</v>
      </c>
    </row>
    <row r="15" spans="1:10" ht="28.5">
      <c r="A15" s="48" t="s">
        <v>98</v>
      </c>
      <c r="B15" s="48" t="s">
        <v>84</v>
      </c>
      <c r="C15" s="48">
        <v>1</v>
      </c>
      <c r="D15" s="48">
        <f>ROUND(C15*(1+('Crisis Simulator'!$B$5-3)*0.15),2)</f>
        <v>1</v>
      </c>
      <c r="E15" s="48" t="s">
        <v>14354</v>
      </c>
      <c r="F15" s="48" t="s">
        <v>14326</v>
      </c>
      <c r="G15" s="48" t="s">
        <v>14355</v>
      </c>
      <c r="H15" s="48" t="s">
        <v>14356</v>
      </c>
      <c r="I15" s="48" t="str">
        <f t="shared" si="0"/>
        <v>War / security crisis|Sales CRM</v>
      </c>
      <c r="J15" s="48" t="s">
        <v>14324</v>
      </c>
    </row>
    <row r="16" spans="1:10" ht="28.5">
      <c r="A16" s="48" t="s">
        <v>98</v>
      </c>
      <c r="B16" s="48" t="s">
        <v>87</v>
      </c>
      <c r="C16" s="48">
        <v>1.2</v>
      </c>
      <c r="D16" s="48">
        <f>ROUND(C16*(1+('Crisis Simulator'!$B$5-3)*0.15),2)</f>
        <v>1.2</v>
      </c>
      <c r="E16" s="48" t="s">
        <v>14357</v>
      </c>
      <c r="F16" s="48" t="s">
        <v>14326</v>
      </c>
      <c r="G16" s="48" t="s">
        <v>14358</v>
      </c>
      <c r="H16" s="48" t="s">
        <v>14359</v>
      </c>
      <c r="I16" s="48" t="str">
        <f t="shared" si="0"/>
        <v>War / security crisis|Marketing Comms</v>
      </c>
      <c r="J16" s="48" t="s">
        <v>14324</v>
      </c>
    </row>
    <row r="17" spans="1:10" ht="28.5">
      <c r="A17" s="48" t="s">
        <v>98</v>
      </c>
      <c r="B17" s="48" t="s">
        <v>90</v>
      </c>
      <c r="C17" s="48">
        <v>1.7</v>
      </c>
      <c r="D17" s="48">
        <f>ROUND(C17*(1+('Crisis Simulator'!$B$5-3)*0.15),2)</f>
        <v>1.7</v>
      </c>
      <c r="E17" s="48" t="s">
        <v>14360</v>
      </c>
      <c r="F17" s="48" t="s">
        <v>14333</v>
      </c>
      <c r="G17" s="48" t="s">
        <v>14361</v>
      </c>
      <c r="H17" s="48" t="s">
        <v>14362</v>
      </c>
      <c r="I17" s="48" t="str">
        <f t="shared" si="0"/>
        <v>War / security crisis|IT Cloud DR</v>
      </c>
      <c r="J17" s="48" t="s">
        <v>14324</v>
      </c>
    </row>
    <row r="18" spans="1:10" ht="28.5">
      <c r="A18" s="48" t="s">
        <v>98</v>
      </c>
      <c r="B18" s="48" t="s">
        <v>91</v>
      </c>
      <c r="C18" s="48">
        <v>1</v>
      </c>
      <c r="D18" s="48">
        <f>ROUND(C18*(1+('Crisis Simulator'!$B$5-3)*0.15),2)</f>
        <v>1</v>
      </c>
      <c r="E18" s="48" t="s">
        <v>14363</v>
      </c>
      <c r="F18" s="48" t="s">
        <v>14326</v>
      </c>
      <c r="G18" s="48" t="s">
        <v>14364</v>
      </c>
      <c r="H18" s="48" t="s">
        <v>14365</v>
      </c>
      <c r="I18" s="48" t="str">
        <f t="shared" si="0"/>
        <v>War / security crisis|Business Systems</v>
      </c>
      <c r="J18" s="48" t="s">
        <v>14324</v>
      </c>
    </row>
    <row r="19" spans="1:10" ht="28.5">
      <c r="A19" s="48" t="s">
        <v>98</v>
      </c>
      <c r="B19" s="48" t="s">
        <v>92</v>
      </c>
      <c r="C19" s="48">
        <v>1</v>
      </c>
      <c r="D19" s="48">
        <f>ROUND(C19*(1+('Crisis Simulator'!$B$5-3)*0.15),2)</f>
        <v>1</v>
      </c>
      <c r="E19" s="48" t="s">
        <v>14366</v>
      </c>
      <c r="F19" s="48" t="s">
        <v>14326</v>
      </c>
      <c r="G19" s="48" t="s">
        <v>14367</v>
      </c>
      <c r="H19" s="48" t="s">
        <v>14368</v>
      </c>
      <c r="I19" s="48" t="str">
        <f t="shared" si="0"/>
        <v>War / security crisis|Data BI AI</v>
      </c>
      <c r="J19" s="48" t="s">
        <v>14324</v>
      </c>
    </row>
    <row r="20" spans="1:10" ht="28.5">
      <c r="A20" s="48" t="s">
        <v>98</v>
      </c>
      <c r="B20" s="48" t="s">
        <v>93</v>
      </c>
      <c r="C20" s="48">
        <v>1.5</v>
      </c>
      <c r="D20" s="48">
        <f>ROUND(C20*(1+('Crisis Simulator'!$B$5-3)*0.15),2)</f>
        <v>1.5</v>
      </c>
      <c r="E20" s="48" t="s">
        <v>14369</v>
      </c>
      <c r="F20" s="48" t="s">
        <v>14321</v>
      </c>
      <c r="G20" s="48" t="s">
        <v>14370</v>
      </c>
      <c r="H20" s="48" t="s">
        <v>14371</v>
      </c>
      <c r="I20" s="48" t="str">
        <f t="shared" si="0"/>
        <v>War / security crisis|Cyber Privacy</v>
      </c>
      <c r="J20" s="48" t="s">
        <v>14324</v>
      </c>
    </row>
    <row r="21" spans="1:10" ht="28.5">
      <c r="A21" s="48" t="s">
        <v>98</v>
      </c>
      <c r="B21" s="48" t="s">
        <v>94</v>
      </c>
      <c r="C21" s="48">
        <v>1</v>
      </c>
      <c r="D21" s="48">
        <f>ROUND(C21*(1+('Crisis Simulator'!$B$5-3)*0.15),2)</f>
        <v>1</v>
      </c>
      <c r="E21" s="48" t="s">
        <v>14372</v>
      </c>
      <c r="F21" s="48" t="s">
        <v>14326</v>
      </c>
      <c r="G21" s="48" t="s">
        <v>14373</v>
      </c>
      <c r="H21" s="48" t="s">
        <v>14374</v>
      </c>
      <c r="I21" s="48" t="str">
        <f t="shared" si="0"/>
        <v>War / security crisis|Quality Portfolio</v>
      </c>
      <c r="J21" s="48" t="s">
        <v>14324</v>
      </c>
    </row>
    <row r="22" spans="1:10" ht="28.5">
      <c r="A22" s="48" t="s">
        <v>101</v>
      </c>
      <c r="B22" s="48" t="s">
        <v>54</v>
      </c>
      <c r="C22" s="48">
        <v>1.3</v>
      </c>
      <c r="D22" s="48">
        <f>ROUND(C22*(1+('Crisis Simulator'!$B$5-3)*0.15),2)</f>
        <v>1.3</v>
      </c>
      <c r="E22" s="48" t="s">
        <v>14320</v>
      </c>
      <c r="F22" s="48" t="s">
        <v>14321</v>
      </c>
      <c r="G22" s="48" t="s">
        <v>14322</v>
      </c>
      <c r="H22" s="48" t="s">
        <v>14323</v>
      </c>
      <c r="I22" s="48" t="str">
        <f t="shared" si="0"/>
        <v>Physical site loss|Company Geography</v>
      </c>
      <c r="J22" s="48" t="s">
        <v>14324</v>
      </c>
    </row>
    <row r="23" spans="1:10" ht="28.5">
      <c r="A23" s="48" t="s">
        <v>101</v>
      </c>
      <c r="B23" s="48" t="s">
        <v>57</v>
      </c>
      <c r="C23" s="48">
        <v>1</v>
      </c>
      <c r="D23" s="48">
        <f>ROUND(C23*(1+('Crisis Simulator'!$B$5-3)*0.15),2)</f>
        <v>1</v>
      </c>
      <c r="E23" s="48" t="s">
        <v>14325</v>
      </c>
      <c r="F23" s="48" t="s">
        <v>14326</v>
      </c>
      <c r="G23" s="48" t="s">
        <v>14327</v>
      </c>
      <c r="H23" s="48" t="s">
        <v>14328</v>
      </c>
      <c r="I23" s="48" t="str">
        <f t="shared" si="0"/>
        <v>Physical site loss|Strategy GTM</v>
      </c>
      <c r="J23" s="48" t="s">
        <v>14324</v>
      </c>
    </row>
    <row r="24" spans="1:10" ht="28.5">
      <c r="A24" s="48" t="s">
        <v>101</v>
      </c>
      <c r="B24" s="48" t="s">
        <v>60</v>
      </c>
      <c r="C24" s="48">
        <v>1</v>
      </c>
      <c r="D24" s="48">
        <f>ROUND(C24*(1+('Crisis Simulator'!$B$5-3)*0.15),2)</f>
        <v>1</v>
      </c>
      <c r="E24" s="48" t="s">
        <v>14329</v>
      </c>
      <c r="F24" s="48" t="s">
        <v>14326</v>
      </c>
      <c r="G24" s="48" t="s">
        <v>14330</v>
      </c>
      <c r="H24" s="48" t="s">
        <v>14331</v>
      </c>
      <c r="I24" s="48" t="str">
        <f t="shared" si="0"/>
        <v>Physical site loss|Governance Crisis</v>
      </c>
      <c r="J24" s="48" t="s">
        <v>14324</v>
      </c>
    </row>
    <row r="25" spans="1:10" ht="28.5">
      <c r="A25" s="48" t="s">
        <v>101</v>
      </c>
      <c r="B25" s="48" t="s">
        <v>63</v>
      </c>
      <c r="C25" s="48">
        <v>1.3</v>
      </c>
      <c r="D25" s="48">
        <f>ROUND(C25*(1+('Crisis Simulator'!$B$5-3)*0.15),2)</f>
        <v>1.3</v>
      </c>
      <c r="E25" s="48" t="s">
        <v>14332</v>
      </c>
      <c r="F25" s="48" t="s">
        <v>14321</v>
      </c>
      <c r="G25" s="48" t="s">
        <v>14334</v>
      </c>
      <c r="H25" s="48" t="s">
        <v>14335</v>
      </c>
      <c r="I25" s="48" t="str">
        <f t="shared" si="0"/>
        <v>Physical site loss|HR Workforce</v>
      </c>
      <c r="J25" s="48" t="s">
        <v>14324</v>
      </c>
    </row>
    <row r="26" spans="1:10" ht="28.5">
      <c r="A26" s="48" t="s">
        <v>101</v>
      </c>
      <c r="B26" s="48" t="s">
        <v>66</v>
      </c>
      <c r="C26" s="48">
        <v>1</v>
      </c>
      <c r="D26" s="48">
        <f>ROUND(C26*(1+('Crisis Simulator'!$B$5-3)*0.15),2)</f>
        <v>1</v>
      </c>
      <c r="E26" s="48" t="s">
        <v>14336</v>
      </c>
      <c r="F26" s="48" t="s">
        <v>14326</v>
      </c>
      <c r="G26" s="48" t="s">
        <v>14337</v>
      </c>
      <c r="H26" s="48" t="s">
        <v>14338</v>
      </c>
      <c r="I26" s="48" t="str">
        <f t="shared" si="0"/>
        <v>Physical site loss|Finance Procurement</v>
      </c>
      <c r="J26" s="48" t="s">
        <v>14324</v>
      </c>
    </row>
    <row r="27" spans="1:10" ht="28.5">
      <c r="A27" s="48" t="s">
        <v>101</v>
      </c>
      <c r="B27" s="48" t="s">
        <v>69</v>
      </c>
      <c r="C27" s="48">
        <v>1</v>
      </c>
      <c r="D27" s="48">
        <f>ROUND(C27*(1+('Crisis Simulator'!$B$5-3)*0.15),2)</f>
        <v>1</v>
      </c>
      <c r="E27" s="48" t="s">
        <v>14339</v>
      </c>
      <c r="F27" s="48" t="s">
        <v>14326</v>
      </c>
      <c r="G27" s="48" t="s">
        <v>14340</v>
      </c>
      <c r="H27" s="48" t="s">
        <v>14341</v>
      </c>
      <c r="I27" s="48" t="str">
        <f t="shared" si="0"/>
        <v>Physical site loss|Legal Risk</v>
      </c>
      <c r="J27" s="48" t="s">
        <v>14324</v>
      </c>
    </row>
    <row r="28" spans="1:10" ht="28.5">
      <c r="A28" s="48" t="s">
        <v>101</v>
      </c>
      <c r="B28" s="48" t="s">
        <v>72</v>
      </c>
      <c r="C28" s="48">
        <v>2</v>
      </c>
      <c r="D28" s="48">
        <f>ROUND(C28*(1+('Crisis Simulator'!$B$5-3)*0.15),2)</f>
        <v>2</v>
      </c>
      <c r="E28" s="48" t="s">
        <v>14342</v>
      </c>
      <c r="F28" s="48" t="s">
        <v>14333</v>
      </c>
      <c r="G28" s="48" t="s">
        <v>14343</v>
      </c>
      <c r="H28" s="48" t="s">
        <v>14344</v>
      </c>
      <c r="I28" s="48" t="str">
        <f t="shared" si="0"/>
        <v>Physical site loss|Physical Safety</v>
      </c>
      <c r="J28" s="48" t="s">
        <v>14324</v>
      </c>
    </row>
    <row r="29" spans="1:10" ht="28.5">
      <c r="A29" s="48" t="s">
        <v>101</v>
      </c>
      <c r="B29" s="48" t="s">
        <v>75</v>
      </c>
      <c r="C29" s="48">
        <v>1.7</v>
      </c>
      <c r="D29" s="48">
        <f>ROUND(C29*(1+('Crisis Simulator'!$B$5-3)*0.15),2)</f>
        <v>1.7</v>
      </c>
      <c r="E29" s="48" t="s">
        <v>14345</v>
      </c>
      <c r="F29" s="48" t="s">
        <v>14333</v>
      </c>
      <c r="G29" s="48" t="s">
        <v>14346</v>
      </c>
      <c r="H29" s="48" t="s">
        <v>14347</v>
      </c>
      <c r="I29" s="48" t="str">
        <f t="shared" si="0"/>
        <v>Physical site loss|Delivery Ops</v>
      </c>
      <c r="J29" s="48" t="s">
        <v>14324</v>
      </c>
    </row>
    <row r="30" spans="1:10" ht="28.5">
      <c r="A30" s="48" t="s">
        <v>101</v>
      </c>
      <c r="B30" s="48" t="s">
        <v>78</v>
      </c>
      <c r="C30" s="48">
        <v>1.5</v>
      </c>
      <c r="D30" s="48">
        <f>ROUND(C30*(1+('Crisis Simulator'!$B$5-3)*0.15),2)</f>
        <v>1.5</v>
      </c>
      <c r="E30" s="48" t="s">
        <v>14348</v>
      </c>
      <c r="F30" s="48" t="s">
        <v>14321</v>
      </c>
      <c r="G30" s="48" t="s">
        <v>14349</v>
      </c>
      <c r="H30" s="48" t="s">
        <v>14350</v>
      </c>
      <c r="I30" s="48" t="str">
        <f t="shared" si="0"/>
        <v>Physical site loss|Supply Chain</v>
      </c>
      <c r="J30" s="48" t="s">
        <v>14324</v>
      </c>
    </row>
    <row r="31" spans="1:10" ht="28.5">
      <c r="A31" s="48" t="s">
        <v>101</v>
      </c>
      <c r="B31" s="48" t="s">
        <v>81</v>
      </c>
      <c r="C31" s="48">
        <v>1.9</v>
      </c>
      <c r="D31" s="48">
        <f>ROUND(C31*(1+('Crisis Simulator'!$B$5-3)*0.15),2)</f>
        <v>1.9</v>
      </c>
      <c r="E31" s="48" t="s">
        <v>14351</v>
      </c>
      <c r="F31" s="48" t="s">
        <v>14333</v>
      </c>
      <c r="G31" s="48" t="s">
        <v>14352</v>
      </c>
      <c r="H31" s="48" t="s">
        <v>14353</v>
      </c>
      <c r="I31" s="48" t="str">
        <f t="shared" si="0"/>
        <v>Physical site loss|Manufacturing MES</v>
      </c>
      <c r="J31" s="48" t="s">
        <v>14324</v>
      </c>
    </row>
    <row r="32" spans="1:10" ht="28.5">
      <c r="A32" s="48" t="s">
        <v>101</v>
      </c>
      <c r="B32" s="48" t="s">
        <v>84</v>
      </c>
      <c r="C32" s="48">
        <v>1</v>
      </c>
      <c r="D32" s="48">
        <f>ROUND(C32*(1+('Crisis Simulator'!$B$5-3)*0.15),2)</f>
        <v>1</v>
      </c>
      <c r="E32" s="48" t="s">
        <v>14354</v>
      </c>
      <c r="F32" s="48" t="s">
        <v>14326</v>
      </c>
      <c r="G32" s="48" t="s">
        <v>14355</v>
      </c>
      <c r="H32" s="48" t="s">
        <v>14356</v>
      </c>
      <c r="I32" s="48" t="str">
        <f t="shared" si="0"/>
        <v>Physical site loss|Sales CRM</v>
      </c>
      <c r="J32" s="48" t="s">
        <v>14324</v>
      </c>
    </row>
    <row r="33" spans="1:10" ht="28.5">
      <c r="A33" s="48" t="s">
        <v>101</v>
      </c>
      <c r="B33" s="48" t="s">
        <v>87</v>
      </c>
      <c r="C33" s="48">
        <v>1</v>
      </c>
      <c r="D33" s="48">
        <f>ROUND(C33*(1+('Crisis Simulator'!$B$5-3)*0.15),2)</f>
        <v>1</v>
      </c>
      <c r="E33" s="48" t="s">
        <v>14357</v>
      </c>
      <c r="F33" s="48" t="s">
        <v>14326</v>
      </c>
      <c r="G33" s="48" t="s">
        <v>14358</v>
      </c>
      <c r="H33" s="48" t="s">
        <v>14359</v>
      </c>
      <c r="I33" s="48" t="str">
        <f t="shared" si="0"/>
        <v>Physical site loss|Marketing Comms</v>
      </c>
      <c r="J33" s="48" t="s">
        <v>14324</v>
      </c>
    </row>
    <row r="34" spans="1:10" ht="28.5">
      <c r="A34" s="48" t="s">
        <v>101</v>
      </c>
      <c r="B34" s="48" t="s">
        <v>90</v>
      </c>
      <c r="C34" s="48">
        <v>1.6</v>
      </c>
      <c r="D34" s="48">
        <f>ROUND(C34*(1+('Crisis Simulator'!$B$5-3)*0.15),2)</f>
        <v>1.6</v>
      </c>
      <c r="E34" s="48" t="s">
        <v>14360</v>
      </c>
      <c r="F34" s="48" t="s">
        <v>14321</v>
      </c>
      <c r="G34" s="48" t="s">
        <v>14361</v>
      </c>
      <c r="H34" s="48" t="s">
        <v>14362</v>
      </c>
      <c r="I34" s="48" t="str">
        <f t="shared" si="0"/>
        <v>Physical site loss|IT Cloud DR</v>
      </c>
      <c r="J34" s="48" t="s">
        <v>14324</v>
      </c>
    </row>
    <row r="35" spans="1:10" ht="28.5">
      <c r="A35" s="48" t="s">
        <v>101</v>
      </c>
      <c r="B35" s="48" t="s">
        <v>91</v>
      </c>
      <c r="C35" s="48">
        <v>1.3</v>
      </c>
      <c r="D35" s="48">
        <f>ROUND(C35*(1+('Crisis Simulator'!$B$5-3)*0.15),2)</f>
        <v>1.3</v>
      </c>
      <c r="E35" s="48" t="s">
        <v>14363</v>
      </c>
      <c r="F35" s="48" t="s">
        <v>14321</v>
      </c>
      <c r="G35" s="48" t="s">
        <v>14364</v>
      </c>
      <c r="H35" s="48" t="s">
        <v>14365</v>
      </c>
      <c r="I35" s="48" t="str">
        <f t="shared" si="0"/>
        <v>Physical site loss|Business Systems</v>
      </c>
      <c r="J35" s="48" t="s">
        <v>14324</v>
      </c>
    </row>
    <row r="36" spans="1:10" ht="28.5">
      <c r="A36" s="48" t="s">
        <v>101</v>
      </c>
      <c r="B36" s="48" t="s">
        <v>92</v>
      </c>
      <c r="C36" s="48">
        <v>1</v>
      </c>
      <c r="D36" s="48">
        <f>ROUND(C36*(1+('Crisis Simulator'!$B$5-3)*0.15),2)</f>
        <v>1</v>
      </c>
      <c r="E36" s="48" t="s">
        <v>14366</v>
      </c>
      <c r="F36" s="48" t="s">
        <v>14326</v>
      </c>
      <c r="G36" s="48" t="s">
        <v>14367</v>
      </c>
      <c r="H36" s="48" t="s">
        <v>14368</v>
      </c>
      <c r="I36" s="48" t="str">
        <f t="shared" si="0"/>
        <v>Physical site loss|Data BI AI</v>
      </c>
      <c r="J36" s="48" t="s">
        <v>14324</v>
      </c>
    </row>
    <row r="37" spans="1:10" ht="28.5">
      <c r="A37" s="48" t="s">
        <v>101</v>
      </c>
      <c r="B37" s="48" t="s">
        <v>93</v>
      </c>
      <c r="C37" s="48">
        <v>1</v>
      </c>
      <c r="D37" s="48">
        <f>ROUND(C37*(1+('Crisis Simulator'!$B$5-3)*0.15),2)</f>
        <v>1</v>
      </c>
      <c r="E37" s="48" t="s">
        <v>14369</v>
      </c>
      <c r="F37" s="48" t="s">
        <v>14326</v>
      </c>
      <c r="G37" s="48" t="s">
        <v>14370</v>
      </c>
      <c r="H37" s="48" t="s">
        <v>14371</v>
      </c>
      <c r="I37" s="48" t="str">
        <f t="shared" ref="I37:I68" si="1">A37&amp;"|"&amp;B37</f>
        <v>Physical site loss|Cyber Privacy</v>
      </c>
      <c r="J37" s="48" t="s">
        <v>14324</v>
      </c>
    </row>
    <row r="38" spans="1:10" ht="28.5">
      <c r="A38" s="48" t="s">
        <v>101</v>
      </c>
      <c r="B38" s="48" t="s">
        <v>94</v>
      </c>
      <c r="C38" s="48">
        <v>1</v>
      </c>
      <c r="D38" s="48">
        <f>ROUND(C38*(1+('Crisis Simulator'!$B$5-3)*0.15),2)</f>
        <v>1</v>
      </c>
      <c r="E38" s="48" t="s">
        <v>14372</v>
      </c>
      <c r="F38" s="48" t="s">
        <v>14326</v>
      </c>
      <c r="G38" s="48" t="s">
        <v>14373</v>
      </c>
      <c r="H38" s="48" t="s">
        <v>14374</v>
      </c>
      <c r="I38" s="48" t="str">
        <f t="shared" si="1"/>
        <v>Physical site loss|Quality Portfolio</v>
      </c>
      <c r="J38" s="48" t="s">
        <v>14324</v>
      </c>
    </row>
    <row r="39" spans="1:10" ht="28.5">
      <c r="A39" s="48" t="s">
        <v>104</v>
      </c>
      <c r="B39" s="48" t="s">
        <v>54</v>
      </c>
      <c r="C39" s="48">
        <v>1</v>
      </c>
      <c r="D39" s="48">
        <f>ROUND(C39*(1+('Crisis Simulator'!$B$5-3)*0.15),2)</f>
        <v>1</v>
      </c>
      <c r="E39" s="48" t="s">
        <v>14320</v>
      </c>
      <c r="F39" s="48" t="s">
        <v>14326</v>
      </c>
      <c r="G39" s="48" t="s">
        <v>14322</v>
      </c>
      <c r="H39" s="48" t="s">
        <v>14323</v>
      </c>
      <c r="I39" s="48" t="str">
        <f t="shared" si="1"/>
        <v>Cyberattack / ransomware|Company Geography</v>
      </c>
      <c r="J39" s="48" t="s">
        <v>14324</v>
      </c>
    </row>
    <row r="40" spans="1:10" ht="28.5">
      <c r="A40" s="48" t="s">
        <v>104</v>
      </c>
      <c r="B40" s="48" t="s">
        <v>57</v>
      </c>
      <c r="C40" s="48">
        <v>1</v>
      </c>
      <c r="D40" s="48">
        <f>ROUND(C40*(1+('Crisis Simulator'!$B$5-3)*0.15),2)</f>
        <v>1</v>
      </c>
      <c r="E40" s="48" t="s">
        <v>14325</v>
      </c>
      <c r="F40" s="48" t="s">
        <v>14326</v>
      </c>
      <c r="G40" s="48" t="s">
        <v>14327</v>
      </c>
      <c r="H40" s="48" t="s">
        <v>14328</v>
      </c>
      <c r="I40" s="48" t="str">
        <f t="shared" si="1"/>
        <v>Cyberattack / ransomware|Strategy GTM</v>
      </c>
      <c r="J40" s="48" t="s">
        <v>14324</v>
      </c>
    </row>
    <row r="41" spans="1:10" ht="28.5">
      <c r="A41" s="48" t="s">
        <v>104</v>
      </c>
      <c r="B41" s="48" t="s">
        <v>60</v>
      </c>
      <c r="C41" s="48">
        <v>1.2</v>
      </c>
      <c r="D41" s="48">
        <f>ROUND(C41*(1+('Crisis Simulator'!$B$5-3)*0.15),2)</f>
        <v>1.2</v>
      </c>
      <c r="E41" s="48" t="s">
        <v>14329</v>
      </c>
      <c r="F41" s="48" t="s">
        <v>14326</v>
      </c>
      <c r="G41" s="48" t="s">
        <v>14330</v>
      </c>
      <c r="H41" s="48" t="s">
        <v>14331</v>
      </c>
      <c r="I41" s="48" t="str">
        <f t="shared" si="1"/>
        <v>Cyberattack / ransomware|Governance Crisis</v>
      </c>
      <c r="J41" s="48" t="s">
        <v>14324</v>
      </c>
    </row>
    <row r="42" spans="1:10" ht="28.5">
      <c r="A42" s="48" t="s">
        <v>104</v>
      </c>
      <c r="B42" s="48" t="s">
        <v>63</v>
      </c>
      <c r="C42" s="48">
        <v>1</v>
      </c>
      <c r="D42" s="48">
        <f>ROUND(C42*(1+('Crisis Simulator'!$B$5-3)*0.15),2)</f>
        <v>1</v>
      </c>
      <c r="E42" s="48" t="s">
        <v>14332</v>
      </c>
      <c r="F42" s="48" t="s">
        <v>14326</v>
      </c>
      <c r="G42" s="48" t="s">
        <v>14334</v>
      </c>
      <c r="H42" s="48" t="s">
        <v>14335</v>
      </c>
      <c r="I42" s="48" t="str">
        <f t="shared" si="1"/>
        <v>Cyberattack / ransomware|HR Workforce</v>
      </c>
      <c r="J42" s="48" t="s">
        <v>14324</v>
      </c>
    </row>
    <row r="43" spans="1:10" ht="28.5">
      <c r="A43" s="48" t="s">
        <v>104</v>
      </c>
      <c r="B43" s="48" t="s">
        <v>66</v>
      </c>
      <c r="C43" s="48">
        <v>1.3</v>
      </c>
      <c r="D43" s="48">
        <f>ROUND(C43*(1+('Crisis Simulator'!$B$5-3)*0.15),2)</f>
        <v>1.3</v>
      </c>
      <c r="E43" s="48" t="s">
        <v>14336</v>
      </c>
      <c r="F43" s="48" t="s">
        <v>14321</v>
      </c>
      <c r="G43" s="48" t="s">
        <v>14337</v>
      </c>
      <c r="H43" s="48" t="s">
        <v>14338</v>
      </c>
      <c r="I43" s="48" t="str">
        <f t="shared" si="1"/>
        <v>Cyberattack / ransomware|Finance Procurement</v>
      </c>
      <c r="J43" s="48" t="s">
        <v>14324</v>
      </c>
    </row>
    <row r="44" spans="1:10" ht="28.5">
      <c r="A44" s="48" t="s">
        <v>104</v>
      </c>
      <c r="B44" s="48" t="s">
        <v>69</v>
      </c>
      <c r="C44" s="48">
        <v>1.5</v>
      </c>
      <c r="D44" s="48">
        <f>ROUND(C44*(1+('Crisis Simulator'!$B$5-3)*0.15),2)</f>
        <v>1.5</v>
      </c>
      <c r="E44" s="48" t="s">
        <v>14339</v>
      </c>
      <c r="F44" s="48" t="s">
        <v>14321</v>
      </c>
      <c r="G44" s="48" t="s">
        <v>14340</v>
      </c>
      <c r="H44" s="48" t="s">
        <v>14341</v>
      </c>
      <c r="I44" s="48" t="str">
        <f t="shared" si="1"/>
        <v>Cyberattack / ransomware|Legal Risk</v>
      </c>
      <c r="J44" s="48" t="s">
        <v>14324</v>
      </c>
    </row>
    <row r="45" spans="1:10" ht="28.5">
      <c r="A45" s="48" t="s">
        <v>104</v>
      </c>
      <c r="B45" s="48" t="s">
        <v>72</v>
      </c>
      <c r="C45" s="48">
        <v>1</v>
      </c>
      <c r="D45" s="48">
        <f>ROUND(C45*(1+('Crisis Simulator'!$B$5-3)*0.15),2)</f>
        <v>1</v>
      </c>
      <c r="E45" s="48" t="s">
        <v>14342</v>
      </c>
      <c r="F45" s="48" t="s">
        <v>14326</v>
      </c>
      <c r="G45" s="48" t="s">
        <v>14343</v>
      </c>
      <c r="H45" s="48" t="s">
        <v>14344</v>
      </c>
      <c r="I45" s="48" t="str">
        <f t="shared" si="1"/>
        <v>Cyberattack / ransomware|Physical Safety</v>
      </c>
      <c r="J45" s="48" t="s">
        <v>14324</v>
      </c>
    </row>
    <row r="46" spans="1:10" ht="28.5">
      <c r="A46" s="48" t="s">
        <v>104</v>
      </c>
      <c r="B46" s="48" t="s">
        <v>75</v>
      </c>
      <c r="C46" s="48">
        <v>1</v>
      </c>
      <c r="D46" s="48">
        <f>ROUND(C46*(1+('Crisis Simulator'!$B$5-3)*0.15),2)</f>
        <v>1</v>
      </c>
      <c r="E46" s="48" t="s">
        <v>14345</v>
      </c>
      <c r="F46" s="48" t="s">
        <v>14326</v>
      </c>
      <c r="G46" s="48" t="s">
        <v>14346</v>
      </c>
      <c r="H46" s="48" t="s">
        <v>14347</v>
      </c>
      <c r="I46" s="48" t="str">
        <f t="shared" si="1"/>
        <v>Cyberattack / ransomware|Delivery Ops</v>
      </c>
      <c r="J46" s="48" t="s">
        <v>14324</v>
      </c>
    </row>
    <row r="47" spans="1:10" ht="28.5">
      <c r="A47" s="48" t="s">
        <v>104</v>
      </c>
      <c r="B47" s="48" t="s">
        <v>78</v>
      </c>
      <c r="C47" s="48">
        <v>1</v>
      </c>
      <c r="D47" s="48">
        <f>ROUND(C47*(1+('Crisis Simulator'!$B$5-3)*0.15),2)</f>
        <v>1</v>
      </c>
      <c r="E47" s="48" t="s">
        <v>14348</v>
      </c>
      <c r="F47" s="48" t="s">
        <v>14326</v>
      </c>
      <c r="G47" s="48" t="s">
        <v>14349</v>
      </c>
      <c r="H47" s="48" t="s">
        <v>14350</v>
      </c>
      <c r="I47" s="48" t="str">
        <f t="shared" si="1"/>
        <v>Cyberattack / ransomware|Supply Chain</v>
      </c>
      <c r="J47" s="48" t="s">
        <v>14324</v>
      </c>
    </row>
    <row r="48" spans="1:10" ht="28.5">
      <c r="A48" s="48" t="s">
        <v>104</v>
      </c>
      <c r="B48" s="48" t="s">
        <v>81</v>
      </c>
      <c r="C48" s="48">
        <v>1</v>
      </c>
      <c r="D48" s="48">
        <f>ROUND(C48*(1+('Crisis Simulator'!$B$5-3)*0.15),2)</f>
        <v>1</v>
      </c>
      <c r="E48" s="48" t="s">
        <v>14351</v>
      </c>
      <c r="F48" s="48" t="s">
        <v>14326</v>
      </c>
      <c r="G48" s="48" t="s">
        <v>14352</v>
      </c>
      <c r="H48" s="48" t="s">
        <v>14353</v>
      </c>
      <c r="I48" s="48" t="str">
        <f t="shared" si="1"/>
        <v>Cyberattack / ransomware|Manufacturing MES</v>
      </c>
      <c r="J48" s="48" t="s">
        <v>14324</v>
      </c>
    </row>
    <row r="49" spans="1:10" ht="28.5">
      <c r="A49" s="48" t="s">
        <v>104</v>
      </c>
      <c r="B49" s="48" t="s">
        <v>84</v>
      </c>
      <c r="C49" s="48">
        <v>1.2</v>
      </c>
      <c r="D49" s="48">
        <f>ROUND(C49*(1+('Crisis Simulator'!$B$5-3)*0.15),2)</f>
        <v>1.2</v>
      </c>
      <c r="E49" s="48" t="s">
        <v>14354</v>
      </c>
      <c r="F49" s="48" t="s">
        <v>14326</v>
      </c>
      <c r="G49" s="48" t="s">
        <v>14355</v>
      </c>
      <c r="H49" s="48" t="s">
        <v>14356</v>
      </c>
      <c r="I49" s="48" t="str">
        <f t="shared" si="1"/>
        <v>Cyberattack / ransomware|Sales CRM</v>
      </c>
      <c r="J49" s="48" t="s">
        <v>14324</v>
      </c>
    </row>
    <row r="50" spans="1:10" ht="28.5">
      <c r="A50" s="48" t="s">
        <v>104</v>
      </c>
      <c r="B50" s="48" t="s">
        <v>87</v>
      </c>
      <c r="C50" s="48">
        <v>1.4</v>
      </c>
      <c r="D50" s="48">
        <f>ROUND(C50*(1+('Crisis Simulator'!$B$5-3)*0.15),2)</f>
        <v>1.4</v>
      </c>
      <c r="E50" s="48" t="s">
        <v>14357</v>
      </c>
      <c r="F50" s="48" t="s">
        <v>14321</v>
      </c>
      <c r="G50" s="48" t="s">
        <v>14358</v>
      </c>
      <c r="H50" s="48" t="s">
        <v>14359</v>
      </c>
      <c r="I50" s="48" t="str">
        <f t="shared" si="1"/>
        <v>Cyberattack / ransomware|Marketing Comms</v>
      </c>
      <c r="J50" s="48" t="s">
        <v>14324</v>
      </c>
    </row>
    <row r="51" spans="1:10" ht="28.5">
      <c r="A51" s="48" t="s">
        <v>104</v>
      </c>
      <c r="B51" s="48" t="s">
        <v>90</v>
      </c>
      <c r="C51" s="48">
        <v>1.8</v>
      </c>
      <c r="D51" s="48">
        <f>ROUND(C51*(1+('Crisis Simulator'!$B$5-3)*0.15),2)</f>
        <v>1.8</v>
      </c>
      <c r="E51" s="48" t="s">
        <v>14360</v>
      </c>
      <c r="F51" s="48" t="s">
        <v>14333</v>
      </c>
      <c r="G51" s="48" t="s">
        <v>14361</v>
      </c>
      <c r="H51" s="48" t="s">
        <v>14362</v>
      </c>
      <c r="I51" s="48" t="str">
        <f t="shared" si="1"/>
        <v>Cyberattack / ransomware|IT Cloud DR</v>
      </c>
      <c r="J51" s="48" t="s">
        <v>14324</v>
      </c>
    </row>
    <row r="52" spans="1:10" ht="28.5">
      <c r="A52" s="48" t="s">
        <v>104</v>
      </c>
      <c r="B52" s="48" t="s">
        <v>91</v>
      </c>
      <c r="C52" s="48">
        <v>1.7</v>
      </c>
      <c r="D52" s="48">
        <f>ROUND(C52*(1+('Crisis Simulator'!$B$5-3)*0.15),2)</f>
        <v>1.7</v>
      </c>
      <c r="E52" s="48" t="s">
        <v>14363</v>
      </c>
      <c r="F52" s="48" t="s">
        <v>14333</v>
      </c>
      <c r="G52" s="48" t="s">
        <v>14364</v>
      </c>
      <c r="H52" s="48" t="s">
        <v>14365</v>
      </c>
      <c r="I52" s="48" t="str">
        <f t="shared" si="1"/>
        <v>Cyberattack / ransomware|Business Systems</v>
      </c>
      <c r="J52" s="48" t="s">
        <v>14324</v>
      </c>
    </row>
    <row r="53" spans="1:10" ht="28.5">
      <c r="A53" s="48" t="s">
        <v>104</v>
      </c>
      <c r="B53" s="48" t="s">
        <v>92</v>
      </c>
      <c r="C53" s="48">
        <v>1.6</v>
      </c>
      <c r="D53" s="48">
        <f>ROUND(C53*(1+('Crisis Simulator'!$B$5-3)*0.15),2)</f>
        <v>1.6</v>
      </c>
      <c r="E53" s="48" t="s">
        <v>14366</v>
      </c>
      <c r="F53" s="48" t="s">
        <v>14321</v>
      </c>
      <c r="G53" s="48" t="s">
        <v>14367</v>
      </c>
      <c r="H53" s="48" t="s">
        <v>14368</v>
      </c>
      <c r="I53" s="48" t="str">
        <f t="shared" si="1"/>
        <v>Cyberattack / ransomware|Data BI AI</v>
      </c>
      <c r="J53" s="48" t="s">
        <v>14324</v>
      </c>
    </row>
    <row r="54" spans="1:10" ht="28.5">
      <c r="A54" s="48" t="s">
        <v>104</v>
      </c>
      <c r="B54" s="48" t="s">
        <v>93</v>
      </c>
      <c r="C54" s="48">
        <v>2</v>
      </c>
      <c r="D54" s="48">
        <f>ROUND(C54*(1+('Crisis Simulator'!$B$5-3)*0.15),2)</f>
        <v>2</v>
      </c>
      <c r="E54" s="48" t="s">
        <v>14369</v>
      </c>
      <c r="F54" s="48" t="s">
        <v>14333</v>
      </c>
      <c r="G54" s="48" t="s">
        <v>14370</v>
      </c>
      <c r="H54" s="48" t="s">
        <v>14371</v>
      </c>
      <c r="I54" s="48" t="str">
        <f t="shared" si="1"/>
        <v>Cyberattack / ransomware|Cyber Privacy</v>
      </c>
      <c r="J54" s="48" t="s">
        <v>14324</v>
      </c>
    </row>
    <row r="55" spans="1:10" ht="28.5">
      <c r="A55" s="48" t="s">
        <v>104</v>
      </c>
      <c r="B55" s="48" t="s">
        <v>94</v>
      </c>
      <c r="C55" s="48">
        <v>1</v>
      </c>
      <c r="D55" s="48">
        <f>ROUND(C55*(1+('Crisis Simulator'!$B$5-3)*0.15),2)</f>
        <v>1</v>
      </c>
      <c r="E55" s="48" t="s">
        <v>14372</v>
      </c>
      <c r="F55" s="48" t="s">
        <v>14326</v>
      </c>
      <c r="G55" s="48" t="s">
        <v>14373</v>
      </c>
      <c r="H55" s="48" t="s">
        <v>14374</v>
      </c>
      <c r="I55" s="48" t="str">
        <f t="shared" si="1"/>
        <v>Cyberattack / ransomware|Quality Portfolio</v>
      </c>
      <c r="J55" s="48" t="s">
        <v>14324</v>
      </c>
    </row>
    <row r="56" spans="1:10" ht="28.5">
      <c r="A56" s="48" t="s">
        <v>107</v>
      </c>
      <c r="B56" s="48" t="s">
        <v>54</v>
      </c>
      <c r="C56" s="48">
        <v>1</v>
      </c>
      <c r="D56" s="48">
        <f>ROUND(C56*(1+('Crisis Simulator'!$B$5-3)*0.15),2)</f>
        <v>1</v>
      </c>
      <c r="E56" s="48" t="s">
        <v>14320</v>
      </c>
      <c r="F56" s="48" t="s">
        <v>14326</v>
      </c>
      <c r="G56" s="48" t="s">
        <v>14322</v>
      </c>
      <c r="H56" s="48" t="s">
        <v>14323</v>
      </c>
      <c r="I56" s="48" t="str">
        <f t="shared" si="1"/>
        <v>Cloud / SaaS outage|Company Geography</v>
      </c>
      <c r="J56" s="48" t="s">
        <v>14324</v>
      </c>
    </row>
    <row r="57" spans="1:10" ht="28.5">
      <c r="A57" s="48" t="s">
        <v>107</v>
      </c>
      <c r="B57" s="48" t="s">
        <v>57</v>
      </c>
      <c r="C57" s="48">
        <v>1</v>
      </c>
      <c r="D57" s="48">
        <f>ROUND(C57*(1+('Crisis Simulator'!$B$5-3)*0.15),2)</f>
        <v>1</v>
      </c>
      <c r="E57" s="48" t="s">
        <v>14325</v>
      </c>
      <c r="F57" s="48" t="s">
        <v>14326</v>
      </c>
      <c r="G57" s="48" t="s">
        <v>14327</v>
      </c>
      <c r="H57" s="48" t="s">
        <v>14328</v>
      </c>
      <c r="I57" s="48" t="str">
        <f t="shared" si="1"/>
        <v>Cloud / SaaS outage|Strategy GTM</v>
      </c>
      <c r="J57" s="48" t="s">
        <v>14324</v>
      </c>
    </row>
    <row r="58" spans="1:10" ht="28.5">
      <c r="A58" s="48" t="s">
        <v>107</v>
      </c>
      <c r="B58" s="48" t="s">
        <v>60</v>
      </c>
      <c r="C58" s="48">
        <v>1</v>
      </c>
      <c r="D58" s="48">
        <f>ROUND(C58*(1+('Crisis Simulator'!$B$5-3)*0.15),2)</f>
        <v>1</v>
      </c>
      <c r="E58" s="48" t="s">
        <v>14329</v>
      </c>
      <c r="F58" s="48" t="s">
        <v>14326</v>
      </c>
      <c r="G58" s="48" t="s">
        <v>14330</v>
      </c>
      <c r="H58" s="48" t="s">
        <v>14331</v>
      </c>
      <c r="I58" s="48" t="str">
        <f t="shared" si="1"/>
        <v>Cloud / SaaS outage|Governance Crisis</v>
      </c>
      <c r="J58" s="48" t="s">
        <v>14324</v>
      </c>
    </row>
    <row r="59" spans="1:10" ht="28.5">
      <c r="A59" s="48" t="s">
        <v>107</v>
      </c>
      <c r="B59" s="48" t="s">
        <v>63</v>
      </c>
      <c r="C59" s="48">
        <v>1</v>
      </c>
      <c r="D59" s="48">
        <f>ROUND(C59*(1+('Crisis Simulator'!$B$5-3)*0.15),2)</f>
        <v>1</v>
      </c>
      <c r="E59" s="48" t="s">
        <v>14332</v>
      </c>
      <c r="F59" s="48" t="s">
        <v>14326</v>
      </c>
      <c r="G59" s="48" t="s">
        <v>14334</v>
      </c>
      <c r="H59" s="48" t="s">
        <v>14335</v>
      </c>
      <c r="I59" s="48" t="str">
        <f t="shared" si="1"/>
        <v>Cloud / SaaS outage|HR Workforce</v>
      </c>
      <c r="J59" s="48" t="s">
        <v>14324</v>
      </c>
    </row>
    <row r="60" spans="1:10" ht="28.5">
      <c r="A60" s="48" t="s">
        <v>107</v>
      </c>
      <c r="B60" s="48" t="s">
        <v>66</v>
      </c>
      <c r="C60" s="48">
        <v>1.2</v>
      </c>
      <c r="D60" s="48">
        <f>ROUND(C60*(1+('Crisis Simulator'!$B$5-3)*0.15),2)</f>
        <v>1.2</v>
      </c>
      <c r="E60" s="48" t="s">
        <v>14336</v>
      </c>
      <c r="F60" s="48" t="s">
        <v>14326</v>
      </c>
      <c r="G60" s="48" t="s">
        <v>14337</v>
      </c>
      <c r="H60" s="48" t="s">
        <v>14338</v>
      </c>
      <c r="I60" s="48" t="str">
        <f t="shared" si="1"/>
        <v>Cloud / SaaS outage|Finance Procurement</v>
      </c>
      <c r="J60" s="48" t="s">
        <v>14324</v>
      </c>
    </row>
    <row r="61" spans="1:10" ht="28.5">
      <c r="A61" s="48" t="s">
        <v>107</v>
      </c>
      <c r="B61" s="48" t="s">
        <v>69</v>
      </c>
      <c r="C61" s="48">
        <v>1</v>
      </c>
      <c r="D61" s="48">
        <f>ROUND(C61*(1+('Crisis Simulator'!$B$5-3)*0.15),2)</f>
        <v>1</v>
      </c>
      <c r="E61" s="48" t="s">
        <v>14339</v>
      </c>
      <c r="F61" s="48" t="s">
        <v>14326</v>
      </c>
      <c r="G61" s="48" t="s">
        <v>14340</v>
      </c>
      <c r="H61" s="48" t="s">
        <v>14341</v>
      </c>
      <c r="I61" s="48" t="str">
        <f t="shared" si="1"/>
        <v>Cloud / SaaS outage|Legal Risk</v>
      </c>
      <c r="J61" s="48" t="s">
        <v>14324</v>
      </c>
    </row>
    <row r="62" spans="1:10" ht="28.5">
      <c r="A62" s="48" t="s">
        <v>107</v>
      </c>
      <c r="B62" s="48" t="s">
        <v>72</v>
      </c>
      <c r="C62" s="48">
        <v>1</v>
      </c>
      <c r="D62" s="48">
        <f>ROUND(C62*(1+('Crisis Simulator'!$B$5-3)*0.15),2)</f>
        <v>1</v>
      </c>
      <c r="E62" s="48" t="s">
        <v>14342</v>
      </c>
      <c r="F62" s="48" t="s">
        <v>14326</v>
      </c>
      <c r="G62" s="48" t="s">
        <v>14343</v>
      </c>
      <c r="H62" s="48" t="s">
        <v>14344</v>
      </c>
      <c r="I62" s="48" t="str">
        <f t="shared" si="1"/>
        <v>Cloud / SaaS outage|Physical Safety</v>
      </c>
      <c r="J62" s="48" t="s">
        <v>14324</v>
      </c>
    </row>
    <row r="63" spans="1:10" ht="28.5">
      <c r="A63" s="48" t="s">
        <v>107</v>
      </c>
      <c r="B63" s="48" t="s">
        <v>75</v>
      </c>
      <c r="C63" s="48">
        <v>1.4</v>
      </c>
      <c r="D63" s="48">
        <f>ROUND(C63*(1+('Crisis Simulator'!$B$5-3)*0.15),2)</f>
        <v>1.4</v>
      </c>
      <c r="E63" s="48" t="s">
        <v>14345</v>
      </c>
      <c r="F63" s="48" t="s">
        <v>14321</v>
      </c>
      <c r="G63" s="48" t="s">
        <v>14346</v>
      </c>
      <c r="H63" s="48" t="s">
        <v>14347</v>
      </c>
      <c r="I63" s="48" t="str">
        <f t="shared" si="1"/>
        <v>Cloud / SaaS outage|Delivery Ops</v>
      </c>
      <c r="J63" s="48" t="s">
        <v>14324</v>
      </c>
    </row>
    <row r="64" spans="1:10" ht="28.5">
      <c r="A64" s="48" t="s">
        <v>107</v>
      </c>
      <c r="B64" s="48" t="s">
        <v>78</v>
      </c>
      <c r="C64" s="48">
        <v>1</v>
      </c>
      <c r="D64" s="48">
        <f>ROUND(C64*(1+('Crisis Simulator'!$B$5-3)*0.15),2)</f>
        <v>1</v>
      </c>
      <c r="E64" s="48" t="s">
        <v>14348</v>
      </c>
      <c r="F64" s="48" t="s">
        <v>14326</v>
      </c>
      <c r="G64" s="48" t="s">
        <v>14349</v>
      </c>
      <c r="H64" s="48" t="s">
        <v>14350</v>
      </c>
      <c r="I64" s="48" t="str">
        <f t="shared" si="1"/>
        <v>Cloud / SaaS outage|Supply Chain</v>
      </c>
      <c r="J64" s="48" t="s">
        <v>14324</v>
      </c>
    </row>
    <row r="65" spans="1:10" ht="28.5">
      <c r="A65" s="48" t="s">
        <v>107</v>
      </c>
      <c r="B65" s="48" t="s">
        <v>81</v>
      </c>
      <c r="C65" s="48">
        <v>1</v>
      </c>
      <c r="D65" s="48">
        <f>ROUND(C65*(1+('Crisis Simulator'!$B$5-3)*0.15),2)</f>
        <v>1</v>
      </c>
      <c r="E65" s="48" t="s">
        <v>14351</v>
      </c>
      <c r="F65" s="48" t="s">
        <v>14326</v>
      </c>
      <c r="G65" s="48" t="s">
        <v>14352</v>
      </c>
      <c r="H65" s="48" t="s">
        <v>14353</v>
      </c>
      <c r="I65" s="48" t="str">
        <f t="shared" si="1"/>
        <v>Cloud / SaaS outage|Manufacturing MES</v>
      </c>
      <c r="J65" s="48" t="s">
        <v>14324</v>
      </c>
    </row>
    <row r="66" spans="1:10" ht="28.5">
      <c r="A66" s="48" t="s">
        <v>107</v>
      </c>
      <c r="B66" s="48" t="s">
        <v>84</v>
      </c>
      <c r="C66" s="48">
        <v>1.5</v>
      </c>
      <c r="D66" s="48">
        <f>ROUND(C66*(1+('Crisis Simulator'!$B$5-3)*0.15),2)</f>
        <v>1.5</v>
      </c>
      <c r="E66" s="48" t="s">
        <v>14354</v>
      </c>
      <c r="F66" s="48" t="s">
        <v>14321</v>
      </c>
      <c r="G66" s="48" t="s">
        <v>14355</v>
      </c>
      <c r="H66" s="48" t="s">
        <v>14356</v>
      </c>
      <c r="I66" s="48" t="str">
        <f t="shared" si="1"/>
        <v>Cloud / SaaS outage|Sales CRM</v>
      </c>
      <c r="J66" s="48" t="s">
        <v>14324</v>
      </c>
    </row>
    <row r="67" spans="1:10" ht="28.5">
      <c r="A67" s="48" t="s">
        <v>107</v>
      </c>
      <c r="B67" s="48" t="s">
        <v>87</v>
      </c>
      <c r="C67" s="48">
        <v>1.3</v>
      </c>
      <c r="D67" s="48">
        <f>ROUND(C67*(1+('Crisis Simulator'!$B$5-3)*0.15),2)</f>
        <v>1.3</v>
      </c>
      <c r="E67" s="48" t="s">
        <v>14357</v>
      </c>
      <c r="F67" s="48" t="s">
        <v>14321</v>
      </c>
      <c r="G67" s="48" t="s">
        <v>14358</v>
      </c>
      <c r="H67" s="48" t="s">
        <v>14359</v>
      </c>
      <c r="I67" s="48" t="str">
        <f t="shared" si="1"/>
        <v>Cloud / SaaS outage|Marketing Comms</v>
      </c>
      <c r="J67" s="48" t="s">
        <v>14324</v>
      </c>
    </row>
    <row r="68" spans="1:10" ht="28.5">
      <c r="A68" s="48" t="s">
        <v>107</v>
      </c>
      <c r="B68" s="48" t="s">
        <v>90</v>
      </c>
      <c r="C68" s="48">
        <v>2</v>
      </c>
      <c r="D68" s="48">
        <f>ROUND(C68*(1+('Crisis Simulator'!$B$5-3)*0.15),2)</f>
        <v>2</v>
      </c>
      <c r="E68" s="48" t="s">
        <v>14360</v>
      </c>
      <c r="F68" s="48" t="s">
        <v>14333</v>
      </c>
      <c r="G68" s="48" t="s">
        <v>14361</v>
      </c>
      <c r="H68" s="48" t="s">
        <v>14362</v>
      </c>
      <c r="I68" s="48" t="str">
        <f t="shared" si="1"/>
        <v>Cloud / SaaS outage|IT Cloud DR</v>
      </c>
      <c r="J68" s="48" t="s">
        <v>14324</v>
      </c>
    </row>
    <row r="69" spans="1:10" ht="28.5">
      <c r="A69" s="48" t="s">
        <v>107</v>
      </c>
      <c r="B69" s="48" t="s">
        <v>91</v>
      </c>
      <c r="C69" s="48">
        <v>1.8</v>
      </c>
      <c r="D69" s="48">
        <f>ROUND(C69*(1+('Crisis Simulator'!$B$5-3)*0.15),2)</f>
        <v>1.8</v>
      </c>
      <c r="E69" s="48" t="s">
        <v>14363</v>
      </c>
      <c r="F69" s="48" t="s">
        <v>14333</v>
      </c>
      <c r="G69" s="48" t="s">
        <v>14364</v>
      </c>
      <c r="H69" s="48" t="s">
        <v>14365</v>
      </c>
      <c r="I69" s="48" t="str">
        <f t="shared" ref="I69:I100" si="2">A69&amp;"|"&amp;B69</f>
        <v>Cloud / SaaS outage|Business Systems</v>
      </c>
      <c r="J69" s="48" t="s">
        <v>14324</v>
      </c>
    </row>
    <row r="70" spans="1:10" ht="28.5">
      <c r="A70" s="48" t="s">
        <v>107</v>
      </c>
      <c r="B70" s="48" t="s">
        <v>92</v>
      </c>
      <c r="C70" s="48">
        <v>1.6</v>
      </c>
      <c r="D70" s="48">
        <f>ROUND(C70*(1+('Crisis Simulator'!$B$5-3)*0.15),2)</f>
        <v>1.6</v>
      </c>
      <c r="E70" s="48" t="s">
        <v>14366</v>
      </c>
      <c r="F70" s="48" t="s">
        <v>14321</v>
      </c>
      <c r="G70" s="48" t="s">
        <v>14367</v>
      </c>
      <c r="H70" s="48" t="s">
        <v>14368</v>
      </c>
      <c r="I70" s="48" t="str">
        <f t="shared" si="2"/>
        <v>Cloud / SaaS outage|Data BI AI</v>
      </c>
      <c r="J70" s="48" t="s">
        <v>14324</v>
      </c>
    </row>
    <row r="71" spans="1:10" ht="28.5">
      <c r="A71" s="48" t="s">
        <v>107</v>
      </c>
      <c r="B71" s="48" t="s">
        <v>93</v>
      </c>
      <c r="C71" s="48">
        <v>1.3</v>
      </c>
      <c r="D71" s="48">
        <f>ROUND(C71*(1+('Crisis Simulator'!$B$5-3)*0.15),2)</f>
        <v>1.3</v>
      </c>
      <c r="E71" s="48" t="s">
        <v>14369</v>
      </c>
      <c r="F71" s="48" t="s">
        <v>14321</v>
      </c>
      <c r="G71" s="48" t="s">
        <v>14370</v>
      </c>
      <c r="H71" s="48" t="s">
        <v>14371</v>
      </c>
      <c r="I71" s="48" t="str">
        <f t="shared" si="2"/>
        <v>Cloud / SaaS outage|Cyber Privacy</v>
      </c>
      <c r="J71" s="48" t="s">
        <v>14324</v>
      </c>
    </row>
    <row r="72" spans="1:10" ht="28.5">
      <c r="A72" s="48" t="s">
        <v>107</v>
      </c>
      <c r="B72" s="48" t="s">
        <v>94</v>
      </c>
      <c r="C72" s="48">
        <v>1</v>
      </c>
      <c r="D72" s="48">
        <f>ROUND(C72*(1+('Crisis Simulator'!$B$5-3)*0.15),2)</f>
        <v>1</v>
      </c>
      <c r="E72" s="48" t="s">
        <v>14372</v>
      </c>
      <c r="F72" s="48" t="s">
        <v>14326</v>
      </c>
      <c r="G72" s="48" t="s">
        <v>14373</v>
      </c>
      <c r="H72" s="48" t="s">
        <v>14374</v>
      </c>
      <c r="I72" s="48" t="str">
        <f t="shared" si="2"/>
        <v>Cloud / SaaS outage|Quality Portfolio</v>
      </c>
      <c r="J72" s="48" t="s">
        <v>14324</v>
      </c>
    </row>
    <row r="73" spans="1:10" ht="28.5">
      <c r="A73" s="48" t="s">
        <v>110</v>
      </c>
      <c r="B73" s="48" t="s">
        <v>54</v>
      </c>
      <c r="C73" s="48">
        <v>1.3</v>
      </c>
      <c r="D73" s="48">
        <f>ROUND(C73*(1+('Crisis Simulator'!$B$5-3)*0.15),2)</f>
        <v>1.3</v>
      </c>
      <c r="E73" s="48" t="s">
        <v>14320</v>
      </c>
      <c r="F73" s="48" t="s">
        <v>14321</v>
      </c>
      <c r="G73" s="48" t="s">
        <v>14322</v>
      </c>
      <c r="H73" s="48" t="s">
        <v>14323</v>
      </c>
      <c r="I73" s="48" t="str">
        <f t="shared" si="2"/>
        <v>Supplier / logistics disruption|Company Geography</v>
      </c>
      <c r="J73" s="48" t="s">
        <v>14324</v>
      </c>
    </row>
    <row r="74" spans="1:10" ht="28.5">
      <c r="A74" s="48" t="s">
        <v>110</v>
      </c>
      <c r="B74" s="48" t="s">
        <v>57</v>
      </c>
      <c r="C74" s="48">
        <v>1.2</v>
      </c>
      <c r="D74" s="48">
        <f>ROUND(C74*(1+('Crisis Simulator'!$B$5-3)*0.15),2)</f>
        <v>1.2</v>
      </c>
      <c r="E74" s="48" t="s">
        <v>14325</v>
      </c>
      <c r="F74" s="48" t="s">
        <v>14326</v>
      </c>
      <c r="G74" s="48" t="s">
        <v>14327</v>
      </c>
      <c r="H74" s="48" t="s">
        <v>14328</v>
      </c>
      <c r="I74" s="48" t="str">
        <f t="shared" si="2"/>
        <v>Supplier / logistics disruption|Strategy GTM</v>
      </c>
      <c r="J74" s="48" t="s">
        <v>14324</v>
      </c>
    </row>
    <row r="75" spans="1:10" ht="28.5">
      <c r="A75" s="48" t="s">
        <v>110</v>
      </c>
      <c r="B75" s="48" t="s">
        <v>60</v>
      </c>
      <c r="C75" s="48">
        <v>1</v>
      </c>
      <c r="D75" s="48">
        <f>ROUND(C75*(1+('Crisis Simulator'!$B$5-3)*0.15),2)</f>
        <v>1</v>
      </c>
      <c r="E75" s="48" t="s">
        <v>14329</v>
      </c>
      <c r="F75" s="48" t="s">
        <v>14326</v>
      </c>
      <c r="G75" s="48" t="s">
        <v>14330</v>
      </c>
      <c r="H75" s="48" t="s">
        <v>14331</v>
      </c>
      <c r="I75" s="48" t="str">
        <f t="shared" si="2"/>
        <v>Supplier / logistics disruption|Governance Crisis</v>
      </c>
      <c r="J75" s="48" t="s">
        <v>14324</v>
      </c>
    </row>
    <row r="76" spans="1:10" ht="28.5">
      <c r="A76" s="48" t="s">
        <v>110</v>
      </c>
      <c r="B76" s="48" t="s">
        <v>63</v>
      </c>
      <c r="C76" s="48">
        <v>1</v>
      </c>
      <c r="D76" s="48">
        <f>ROUND(C76*(1+('Crisis Simulator'!$B$5-3)*0.15),2)</f>
        <v>1</v>
      </c>
      <c r="E76" s="48" t="s">
        <v>14332</v>
      </c>
      <c r="F76" s="48" t="s">
        <v>14326</v>
      </c>
      <c r="G76" s="48" t="s">
        <v>14334</v>
      </c>
      <c r="H76" s="48" t="s">
        <v>14335</v>
      </c>
      <c r="I76" s="48" t="str">
        <f t="shared" si="2"/>
        <v>Supplier / logistics disruption|HR Workforce</v>
      </c>
      <c r="J76" s="48" t="s">
        <v>14324</v>
      </c>
    </row>
    <row r="77" spans="1:10" ht="28.5">
      <c r="A77" s="48" t="s">
        <v>110</v>
      </c>
      <c r="B77" s="48" t="s">
        <v>66</v>
      </c>
      <c r="C77" s="48">
        <v>1.4</v>
      </c>
      <c r="D77" s="48">
        <f>ROUND(C77*(1+('Crisis Simulator'!$B$5-3)*0.15),2)</f>
        <v>1.4</v>
      </c>
      <c r="E77" s="48" t="s">
        <v>14336</v>
      </c>
      <c r="F77" s="48" t="s">
        <v>14321</v>
      </c>
      <c r="G77" s="48" t="s">
        <v>14337</v>
      </c>
      <c r="H77" s="48" t="s">
        <v>14338</v>
      </c>
      <c r="I77" s="48" t="str">
        <f t="shared" si="2"/>
        <v>Supplier / logistics disruption|Finance Procurement</v>
      </c>
      <c r="J77" s="48" t="s">
        <v>14324</v>
      </c>
    </row>
    <row r="78" spans="1:10" ht="28.5">
      <c r="A78" s="48" t="s">
        <v>110</v>
      </c>
      <c r="B78" s="48" t="s">
        <v>69</v>
      </c>
      <c r="C78" s="48">
        <v>1</v>
      </c>
      <c r="D78" s="48">
        <f>ROUND(C78*(1+('Crisis Simulator'!$B$5-3)*0.15),2)</f>
        <v>1</v>
      </c>
      <c r="E78" s="48" t="s">
        <v>14339</v>
      </c>
      <c r="F78" s="48" t="s">
        <v>14326</v>
      </c>
      <c r="G78" s="48" t="s">
        <v>14340</v>
      </c>
      <c r="H78" s="48" t="s">
        <v>14341</v>
      </c>
      <c r="I78" s="48" t="str">
        <f t="shared" si="2"/>
        <v>Supplier / logistics disruption|Legal Risk</v>
      </c>
      <c r="J78" s="48" t="s">
        <v>14324</v>
      </c>
    </row>
    <row r="79" spans="1:10" ht="28.5">
      <c r="A79" s="48" t="s">
        <v>110</v>
      </c>
      <c r="B79" s="48" t="s">
        <v>72</v>
      </c>
      <c r="C79" s="48">
        <v>1.2</v>
      </c>
      <c r="D79" s="48">
        <f>ROUND(C79*(1+('Crisis Simulator'!$B$5-3)*0.15),2)</f>
        <v>1.2</v>
      </c>
      <c r="E79" s="48" t="s">
        <v>14342</v>
      </c>
      <c r="F79" s="48" t="s">
        <v>14326</v>
      </c>
      <c r="G79" s="48" t="s">
        <v>14343</v>
      </c>
      <c r="H79" s="48" t="s">
        <v>14344</v>
      </c>
      <c r="I79" s="48" t="str">
        <f t="shared" si="2"/>
        <v>Supplier / logistics disruption|Physical Safety</v>
      </c>
      <c r="J79" s="48" t="s">
        <v>14324</v>
      </c>
    </row>
    <row r="80" spans="1:10" ht="28.5">
      <c r="A80" s="48" t="s">
        <v>110</v>
      </c>
      <c r="B80" s="48" t="s">
        <v>75</v>
      </c>
      <c r="C80" s="48">
        <v>1.7</v>
      </c>
      <c r="D80" s="48">
        <f>ROUND(C80*(1+('Crisis Simulator'!$B$5-3)*0.15),2)</f>
        <v>1.7</v>
      </c>
      <c r="E80" s="48" t="s">
        <v>14345</v>
      </c>
      <c r="F80" s="48" t="s">
        <v>14333</v>
      </c>
      <c r="G80" s="48" t="s">
        <v>14346</v>
      </c>
      <c r="H80" s="48" t="s">
        <v>14347</v>
      </c>
      <c r="I80" s="48" t="str">
        <f t="shared" si="2"/>
        <v>Supplier / logistics disruption|Delivery Ops</v>
      </c>
      <c r="J80" s="48" t="s">
        <v>14324</v>
      </c>
    </row>
    <row r="81" spans="1:10" ht="28.5">
      <c r="A81" s="48" t="s">
        <v>110</v>
      </c>
      <c r="B81" s="48" t="s">
        <v>78</v>
      </c>
      <c r="C81" s="48">
        <v>2</v>
      </c>
      <c r="D81" s="48">
        <f>ROUND(C81*(1+('Crisis Simulator'!$B$5-3)*0.15),2)</f>
        <v>2</v>
      </c>
      <c r="E81" s="48" t="s">
        <v>14348</v>
      </c>
      <c r="F81" s="48" t="s">
        <v>14333</v>
      </c>
      <c r="G81" s="48" t="s">
        <v>14349</v>
      </c>
      <c r="H81" s="48" t="s">
        <v>14350</v>
      </c>
      <c r="I81" s="48" t="str">
        <f t="shared" si="2"/>
        <v>Supplier / logistics disruption|Supply Chain</v>
      </c>
      <c r="J81" s="48" t="s">
        <v>14324</v>
      </c>
    </row>
    <row r="82" spans="1:10" ht="28.5">
      <c r="A82" s="48" t="s">
        <v>110</v>
      </c>
      <c r="B82" s="48" t="s">
        <v>81</v>
      </c>
      <c r="C82" s="48">
        <v>1.8</v>
      </c>
      <c r="D82" s="48">
        <f>ROUND(C82*(1+('Crisis Simulator'!$B$5-3)*0.15),2)</f>
        <v>1.8</v>
      </c>
      <c r="E82" s="48" t="s">
        <v>14351</v>
      </c>
      <c r="F82" s="48" t="s">
        <v>14333</v>
      </c>
      <c r="G82" s="48" t="s">
        <v>14352</v>
      </c>
      <c r="H82" s="48" t="s">
        <v>14353</v>
      </c>
      <c r="I82" s="48" t="str">
        <f t="shared" si="2"/>
        <v>Supplier / logistics disruption|Manufacturing MES</v>
      </c>
      <c r="J82" s="48" t="s">
        <v>14324</v>
      </c>
    </row>
    <row r="83" spans="1:10" ht="28.5">
      <c r="A83" s="48" t="s">
        <v>110</v>
      </c>
      <c r="B83" s="48" t="s">
        <v>84</v>
      </c>
      <c r="C83" s="48">
        <v>1</v>
      </c>
      <c r="D83" s="48">
        <f>ROUND(C83*(1+('Crisis Simulator'!$B$5-3)*0.15),2)</f>
        <v>1</v>
      </c>
      <c r="E83" s="48" t="s">
        <v>14354</v>
      </c>
      <c r="F83" s="48" t="s">
        <v>14326</v>
      </c>
      <c r="G83" s="48" t="s">
        <v>14355</v>
      </c>
      <c r="H83" s="48" t="s">
        <v>14356</v>
      </c>
      <c r="I83" s="48" t="str">
        <f t="shared" si="2"/>
        <v>Supplier / logistics disruption|Sales CRM</v>
      </c>
      <c r="J83" s="48" t="s">
        <v>14324</v>
      </c>
    </row>
    <row r="84" spans="1:10" ht="28.5">
      <c r="A84" s="48" t="s">
        <v>110</v>
      </c>
      <c r="B84" s="48" t="s">
        <v>87</v>
      </c>
      <c r="C84" s="48">
        <v>1</v>
      </c>
      <c r="D84" s="48">
        <f>ROUND(C84*(1+('Crisis Simulator'!$B$5-3)*0.15),2)</f>
        <v>1</v>
      </c>
      <c r="E84" s="48" t="s">
        <v>14357</v>
      </c>
      <c r="F84" s="48" t="s">
        <v>14326</v>
      </c>
      <c r="G84" s="48" t="s">
        <v>14358</v>
      </c>
      <c r="H84" s="48" t="s">
        <v>14359</v>
      </c>
      <c r="I84" s="48" t="str">
        <f t="shared" si="2"/>
        <v>Supplier / logistics disruption|Marketing Comms</v>
      </c>
      <c r="J84" s="48" t="s">
        <v>14324</v>
      </c>
    </row>
    <row r="85" spans="1:10" ht="28.5">
      <c r="A85" s="48" t="s">
        <v>110</v>
      </c>
      <c r="B85" s="48" t="s">
        <v>90</v>
      </c>
      <c r="C85" s="48">
        <v>1</v>
      </c>
      <c r="D85" s="48">
        <f>ROUND(C85*(1+('Crisis Simulator'!$B$5-3)*0.15),2)</f>
        <v>1</v>
      </c>
      <c r="E85" s="48" t="s">
        <v>14360</v>
      </c>
      <c r="F85" s="48" t="s">
        <v>14326</v>
      </c>
      <c r="G85" s="48" t="s">
        <v>14361</v>
      </c>
      <c r="H85" s="48" t="s">
        <v>14362</v>
      </c>
      <c r="I85" s="48" t="str">
        <f t="shared" si="2"/>
        <v>Supplier / logistics disruption|IT Cloud DR</v>
      </c>
      <c r="J85" s="48" t="s">
        <v>14324</v>
      </c>
    </row>
    <row r="86" spans="1:10" ht="28.5">
      <c r="A86" s="48" t="s">
        <v>110</v>
      </c>
      <c r="B86" s="48" t="s">
        <v>91</v>
      </c>
      <c r="C86" s="48">
        <v>1</v>
      </c>
      <c r="D86" s="48">
        <f>ROUND(C86*(1+('Crisis Simulator'!$B$5-3)*0.15),2)</f>
        <v>1</v>
      </c>
      <c r="E86" s="48" t="s">
        <v>14363</v>
      </c>
      <c r="F86" s="48" t="s">
        <v>14326</v>
      </c>
      <c r="G86" s="48" t="s">
        <v>14364</v>
      </c>
      <c r="H86" s="48" t="s">
        <v>14365</v>
      </c>
      <c r="I86" s="48" t="str">
        <f t="shared" si="2"/>
        <v>Supplier / logistics disruption|Business Systems</v>
      </c>
      <c r="J86" s="48" t="s">
        <v>14324</v>
      </c>
    </row>
    <row r="87" spans="1:10" ht="28.5">
      <c r="A87" s="48" t="s">
        <v>110</v>
      </c>
      <c r="B87" s="48" t="s">
        <v>92</v>
      </c>
      <c r="C87" s="48">
        <v>1</v>
      </c>
      <c r="D87" s="48">
        <f>ROUND(C87*(1+('Crisis Simulator'!$B$5-3)*0.15),2)</f>
        <v>1</v>
      </c>
      <c r="E87" s="48" t="s">
        <v>14366</v>
      </c>
      <c r="F87" s="48" t="s">
        <v>14326</v>
      </c>
      <c r="G87" s="48" t="s">
        <v>14367</v>
      </c>
      <c r="H87" s="48" t="s">
        <v>14368</v>
      </c>
      <c r="I87" s="48" t="str">
        <f t="shared" si="2"/>
        <v>Supplier / logistics disruption|Data BI AI</v>
      </c>
      <c r="J87" s="48" t="s">
        <v>14324</v>
      </c>
    </row>
    <row r="88" spans="1:10" ht="28.5">
      <c r="A88" s="48" t="s">
        <v>110</v>
      </c>
      <c r="B88" s="48" t="s">
        <v>93</v>
      </c>
      <c r="C88" s="48">
        <v>1</v>
      </c>
      <c r="D88" s="48">
        <f>ROUND(C88*(1+('Crisis Simulator'!$B$5-3)*0.15),2)</f>
        <v>1</v>
      </c>
      <c r="E88" s="48" t="s">
        <v>14369</v>
      </c>
      <c r="F88" s="48" t="s">
        <v>14326</v>
      </c>
      <c r="G88" s="48" t="s">
        <v>14370</v>
      </c>
      <c r="H88" s="48" t="s">
        <v>14371</v>
      </c>
      <c r="I88" s="48" t="str">
        <f t="shared" si="2"/>
        <v>Supplier / logistics disruption|Cyber Privacy</v>
      </c>
      <c r="J88" s="48" t="s">
        <v>14324</v>
      </c>
    </row>
    <row r="89" spans="1:10" ht="28.5">
      <c r="A89" s="48" t="s">
        <v>110</v>
      </c>
      <c r="B89" s="48" t="s">
        <v>94</v>
      </c>
      <c r="C89" s="48">
        <v>1</v>
      </c>
      <c r="D89" s="48">
        <f>ROUND(C89*(1+('Crisis Simulator'!$B$5-3)*0.15),2)</f>
        <v>1</v>
      </c>
      <c r="E89" s="48" t="s">
        <v>14372</v>
      </c>
      <c r="F89" s="48" t="s">
        <v>14326</v>
      </c>
      <c r="G89" s="48" t="s">
        <v>14373</v>
      </c>
      <c r="H89" s="48" t="s">
        <v>14374</v>
      </c>
      <c r="I89" s="48" t="str">
        <f t="shared" si="2"/>
        <v>Supplier / logistics disruption|Quality Portfolio</v>
      </c>
      <c r="J89" s="48" t="s">
        <v>14324</v>
      </c>
    </row>
    <row r="90" spans="1:10" ht="28.5">
      <c r="A90" s="48" t="s">
        <v>113</v>
      </c>
      <c r="B90" s="48" t="s">
        <v>54</v>
      </c>
      <c r="C90" s="48">
        <v>1</v>
      </c>
      <c r="D90" s="48">
        <f>ROUND(C90*(1+('Crisis Simulator'!$B$5-3)*0.15),2)</f>
        <v>1</v>
      </c>
      <c r="E90" s="48" t="s">
        <v>14320</v>
      </c>
      <c r="F90" s="48" t="s">
        <v>14326</v>
      </c>
      <c r="G90" s="48" t="s">
        <v>14322</v>
      </c>
      <c r="H90" s="48" t="s">
        <v>14323</v>
      </c>
      <c r="I90" s="48" t="str">
        <f t="shared" si="2"/>
        <v>Energy / utilities outage|Company Geography</v>
      </c>
      <c r="J90" s="48" t="s">
        <v>14324</v>
      </c>
    </row>
    <row r="91" spans="1:10" ht="28.5">
      <c r="A91" s="48" t="s">
        <v>113</v>
      </c>
      <c r="B91" s="48" t="s">
        <v>57</v>
      </c>
      <c r="C91" s="48">
        <v>1</v>
      </c>
      <c r="D91" s="48">
        <f>ROUND(C91*(1+('Crisis Simulator'!$B$5-3)*0.15),2)</f>
        <v>1</v>
      </c>
      <c r="E91" s="48" t="s">
        <v>14325</v>
      </c>
      <c r="F91" s="48" t="s">
        <v>14326</v>
      </c>
      <c r="G91" s="48" t="s">
        <v>14327</v>
      </c>
      <c r="H91" s="48" t="s">
        <v>14328</v>
      </c>
      <c r="I91" s="48" t="str">
        <f t="shared" si="2"/>
        <v>Energy / utilities outage|Strategy GTM</v>
      </c>
      <c r="J91" s="48" t="s">
        <v>14324</v>
      </c>
    </row>
    <row r="92" spans="1:10" ht="28.5">
      <c r="A92" s="48" t="s">
        <v>113</v>
      </c>
      <c r="B92" s="48" t="s">
        <v>60</v>
      </c>
      <c r="C92" s="48">
        <v>1</v>
      </c>
      <c r="D92" s="48">
        <f>ROUND(C92*(1+('Crisis Simulator'!$B$5-3)*0.15),2)</f>
        <v>1</v>
      </c>
      <c r="E92" s="48" t="s">
        <v>14329</v>
      </c>
      <c r="F92" s="48" t="s">
        <v>14326</v>
      </c>
      <c r="G92" s="48" t="s">
        <v>14330</v>
      </c>
      <c r="H92" s="48" t="s">
        <v>14331</v>
      </c>
      <c r="I92" s="48" t="str">
        <f t="shared" si="2"/>
        <v>Energy / utilities outage|Governance Crisis</v>
      </c>
      <c r="J92" s="48" t="s">
        <v>14324</v>
      </c>
    </row>
    <row r="93" spans="1:10" ht="28.5">
      <c r="A93" s="48" t="s">
        <v>113</v>
      </c>
      <c r="B93" s="48" t="s">
        <v>63</v>
      </c>
      <c r="C93" s="48">
        <v>1.2</v>
      </c>
      <c r="D93" s="48">
        <f>ROUND(C93*(1+('Crisis Simulator'!$B$5-3)*0.15),2)</f>
        <v>1.2</v>
      </c>
      <c r="E93" s="48" t="s">
        <v>14332</v>
      </c>
      <c r="F93" s="48" t="s">
        <v>14326</v>
      </c>
      <c r="G93" s="48" t="s">
        <v>14334</v>
      </c>
      <c r="H93" s="48" t="s">
        <v>14335</v>
      </c>
      <c r="I93" s="48" t="str">
        <f t="shared" si="2"/>
        <v>Energy / utilities outage|HR Workforce</v>
      </c>
      <c r="J93" s="48" t="s">
        <v>14324</v>
      </c>
    </row>
    <row r="94" spans="1:10" ht="28.5">
      <c r="A94" s="48" t="s">
        <v>113</v>
      </c>
      <c r="B94" s="48" t="s">
        <v>66</v>
      </c>
      <c r="C94" s="48">
        <v>1</v>
      </c>
      <c r="D94" s="48">
        <f>ROUND(C94*(1+('Crisis Simulator'!$B$5-3)*0.15),2)</f>
        <v>1</v>
      </c>
      <c r="E94" s="48" t="s">
        <v>14336</v>
      </c>
      <c r="F94" s="48" t="s">
        <v>14326</v>
      </c>
      <c r="G94" s="48" t="s">
        <v>14337</v>
      </c>
      <c r="H94" s="48" t="s">
        <v>14338</v>
      </c>
      <c r="I94" s="48" t="str">
        <f t="shared" si="2"/>
        <v>Energy / utilities outage|Finance Procurement</v>
      </c>
      <c r="J94" s="48" t="s">
        <v>14324</v>
      </c>
    </row>
    <row r="95" spans="1:10" ht="28.5">
      <c r="A95" s="48" t="s">
        <v>113</v>
      </c>
      <c r="B95" s="48" t="s">
        <v>69</v>
      </c>
      <c r="C95" s="48">
        <v>1</v>
      </c>
      <c r="D95" s="48">
        <f>ROUND(C95*(1+('Crisis Simulator'!$B$5-3)*0.15),2)</f>
        <v>1</v>
      </c>
      <c r="E95" s="48" t="s">
        <v>14339</v>
      </c>
      <c r="F95" s="48" t="s">
        <v>14326</v>
      </c>
      <c r="G95" s="48" t="s">
        <v>14340</v>
      </c>
      <c r="H95" s="48" t="s">
        <v>14341</v>
      </c>
      <c r="I95" s="48" t="str">
        <f t="shared" si="2"/>
        <v>Energy / utilities outage|Legal Risk</v>
      </c>
      <c r="J95" s="48" t="s">
        <v>14324</v>
      </c>
    </row>
    <row r="96" spans="1:10" ht="28.5">
      <c r="A96" s="48" t="s">
        <v>113</v>
      </c>
      <c r="B96" s="48" t="s">
        <v>72</v>
      </c>
      <c r="C96" s="48">
        <v>1.8</v>
      </c>
      <c r="D96" s="48">
        <f>ROUND(C96*(1+('Crisis Simulator'!$B$5-3)*0.15),2)</f>
        <v>1.8</v>
      </c>
      <c r="E96" s="48" t="s">
        <v>14342</v>
      </c>
      <c r="F96" s="48" t="s">
        <v>14333</v>
      </c>
      <c r="G96" s="48" t="s">
        <v>14343</v>
      </c>
      <c r="H96" s="48" t="s">
        <v>14344</v>
      </c>
      <c r="I96" s="48" t="str">
        <f t="shared" si="2"/>
        <v>Energy / utilities outage|Physical Safety</v>
      </c>
      <c r="J96" s="48" t="s">
        <v>14324</v>
      </c>
    </row>
    <row r="97" spans="1:10" ht="28.5">
      <c r="A97" s="48" t="s">
        <v>113</v>
      </c>
      <c r="B97" s="48" t="s">
        <v>75</v>
      </c>
      <c r="C97" s="48">
        <v>1.4</v>
      </c>
      <c r="D97" s="48">
        <f>ROUND(C97*(1+('Crisis Simulator'!$B$5-3)*0.15),2)</f>
        <v>1.4</v>
      </c>
      <c r="E97" s="48" t="s">
        <v>14345</v>
      </c>
      <c r="F97" s="48" t="s">
        <v>14321</v>
      </c>
      <c r="G97" s="48" t="s">
        <v>14346</v>
      </c>
      <c r="H97" s="48" t="s">
        <v>14347</v>
      </c>
      <c r="I97" s="48" t="str">
        <f t="shared" si="2"/>
        <v>Energy / utilities outage|Delivery Ops</v>
      </c>
      <c r="J97" s="48" t="s">
        <v>14324</v>
      </c>
    </row>
    <row r="98" spans="1:10" ht="28.5">
      <c r="A98" s="48" t="s">
        <v>113</v>
      </c>
      <c r="B98" s="48" t="s">
        <v>78</v>
      </c>
      <c r="C98" s="48">
        <v>1.3</v>
      </c>
      <c r="D98" s="48">
        <f>ROUND(C98*(1+('Crisis Simulator'!$B$5-3)*0.15),2)</f>
        <v>1.3</v>
      </c>
      <c r="E98" s="48" t="s">
        <v>14348</v>
      </c>
      <c r="F98" s="48" t="s">
        <v>14321</v>
      </c>
      <c r="G98" s="48" t="s">
        <v>14349</v>
      </c>
      <c r="H98" s="48" t="s">
        <v>14350</v>
      </c>
      <c r="I98" s="48" t="str">
        <f t="shared" si="2"/>
        <v>Energy / utilities outage|Supply Chain</v>
      </c>
      <c r="J98" s="48" t="s">
        <v>14324</v>
      </c>
    </row>
    <row r="99" spans="1:10" ht="28.5">
      <c r="A99" s="48" t="s">
        <v>113</v>
      </c>
      <c r="B99" s="48" t="s">
        <v>81</v>
      </c>
      <c r="C99" s="48">
        <v>2</v>
      </c>
      <c r="D99" s="48">
        <f>ROUND(C99*(1+('Crisis Simulator'!$B$5-3)*0.15),2)</f>
        <v>2</v>
      </c>
      <c r="E99" s="48" t="s">
        <v>14351</v>
      </c>
      <c r="F99" s="48" t="s">
        <v>14333</v>
      </c>
      <c r="G99" s="48" t="s">
        <v>14352</v>
      </c>
      <c r="H99" s="48" t="s">
        <v>14353</v>
      </c>
      <c r="I99" s="48" t="str">
        <f t="shared" si="2"/>
        <v>Energy / utilities outage|Manufacturing MES</v>
      </c>
      <c r="J99" s="48" t="s">
        <v>14324</v>
      </c>
    </row>
    <row r="100" spans="1:10" ht="28.5">
      <c r="A100" s="48" t="s">
        <v>113</v>
      </c>
      <c r="B100" s="48" t="s">
        <v>84</v>
      </c>
      <c r="C100" s="48">
        <v>1</v>
      </c>
      <c r="D100" s="48">
        <f>ROUND(C100*(1+('Crisis Simulator'!$B$5-3)*0.15),2)</f>
        <v>1</v>
      </c>
      <c r="E100" s="48" t="s">
        <v>14354</v>
      </c>
      <c r="F100" s="48" t="s">
        <v>14326</v>
      </c>
      <c r="G100" s="48" t="s">
        <v>14355</v>
      </c>
      <c r="H100" s="48" t="s">
        <v>14356</v>
      </c>
      <c r="I100" s="48" t="str">
        <f t="shared" si="2"/>
        <v>Energy / utilities outage|Sales CRM</v>
      </c>
      <c r="J100" s="48" t="s">
        <v>14324</v>
      </c>
    </row>
    <row r="101" spans="1:10" ht="28.5">
      <c r="A101" s="48" t="s">
        <v>113</v>
      </c>
      <c r="B101" s="48" t="s">
        <v>87</v>
      </c>
      <c r="C101" s="48">
        <v>1</v>
      </c>
      <c r="D101" s="48">
        <f>ROUND(C101*(1+('Crisis Simulator'!$B$5-3)*0.15),2)</f>
        <v>1</v>
      </c>
      <c r="E101" s="48" t="s">
        <v>14357</v>
      </c>
      <c r="F101" s="48" t="s">
        <v>14326</v>
      </c>
      <c r="G101" s="48" t="s">
        <v>14358</v>
      </c>
      <c r="H101" s="48" t="s">
        <v>14359</v>
      </c>
      <c r="I101" s="48" t="str">
        <f t="shared" ref="I101:I132" si="3">A101&amp;"|"&amp;B101</f>
        <v>Energy / utilities outage|Marketing Comms</v>
      </c>
      <c r="J101" s="48" t="s">
        <v>14324</v>
      </c>
    </row>
    <row r="102" spans="1:10" ht="28.5">
      <c r="A102" s="48" t="s">
        <v>113</v>
      </c>
      <c r="B102" s="48" t="s">
        <v>90</v>
      </c>
      <c r="C102" s="48">
        <v>1.5</v>
      </c>
      <c r="D102" s="48">
        <f>ROUND(C102*(1+('Crisis Simulator'!$B$5-3)*0.15),2)</f>
        <v>1.5</v>
      </c>
      <c r="E102" s="48" t="s">
        <v>14360</v>
      </c>
      <c r="F102" s="48" t="s">
        <v>14321</v>
      </c>
      <c r="G102" s="48" t="s">
        <v>14361</v>
      </c>
      <c r="H102" s="48" t="s">
        <v>14362</v>
      </c>
      <c r="I102" s="48" t="str">
        <f t="shared" si="3"/>
        <v>Energy / utilities outage|IT Cloud DR</v>
      </c>
      <c r="J102" s="48" t="s">
        <v>14324</v>
      </c>
    </row>
    <row r="103" spans="1:10" ht="28.5">
      <c r="A103" s="48" t="s">
        <v>113</v>
      </c>
      <c r="B103" s="48" t="s">
        <v>91</v>
      </c>
      <c r="C103" s="48">
        <v>1.3</v>
      </c>
      <c r="D103" s="48">
        <f>ROUND(C103*(1+('Crisis Simulator'!$B$5-3)*0.15),2)</f>
        <v>1.3</v>
      </c>
      <c r="E103" s="48" t="s">
        <v>14363</v>
      </c>
      <c r="F103" s="48" t="s">
        <v>14321</v>
      </c>
      <c r="G103" s="48" t="s">
        <v>14364</v>
      </c>
      <c r="H103" s="48" t="s">
        <v>14365</v>
      </c>
      <c r="I103" s="48" t="str">
        <f t="shared" si="3"/>
        <v>Energy / utilities outage|Business Systems</v>
      </c>
      <c r="J103" s="48" t="s">
        <v>14324</v>
      </c>
    </row>
    <row r="104" spans="1:10" ht="28.5">
      <c r="A104" s="48" t="s">
        <v>113</v>
      </c>
      <c r="B104" s="48" t="s">
        <v>92</v>
      </c>
      <c r="C104" s="48">
        <v>1</v>
      </c>
      <c r="D104" s="48">
        <f>ROUND(C104*(1+('Crisis Simulator'!$B$5-3)*0.15),2)</f>
        <v>1</v>
      </c>
      <c r="E104" s="48" t="s">
        <v>14366</v>
      </c>
      <c r="F104" s="48" t="s">
        <v>14326</v>
      </c>
      <c r="G104" s="48" t="s">
        <v>14367</v>
      </c>
      <c r="H104" s="48" t="s">
        <v>14368</v>
      </c>
      <c r="I104" s="48" t="str">
        <f t="shared" si="3"/>
        <v>Energy / utilities outage|Data BI AI</v>
      </c>
      <c r="J104" s="48" t="s">
        <v>14324</v>
      </c>
    </row>
    <row r="105" spans="1:10" ht="28.5">
      <c r="A105" s="48" t="s">
        <v>113</v>
      </c>
      <c r="B105" s="48" t="s">
        <v>93</v>
      </c>
      <c r="C105" s="48">
        <v>1</v>
      </c>
      <c r="D105" s="48">
        <f>ROUND(C105*(1+('Crisis Simulator'!$B$5-3)*0.15),2)</f>
        <v>1</v>
      </c>
      <c r="E105" s="48" t="s">
        <v>14369</v>
      </c>
      <c r="F105" s="48" t="s">
        <v>14326</v>
      </c>
      <c r="G105" s="48" t="s">
        <v>14370</v>
      </c>
      <c r="H105" s="48" t="s">
        <v>14371</v>
      </c>
      <c r="I105" s="48" t="str">
        <f t="shared" si="3"/>
        <v>Energy / utilities outage|Cyber Privacy</v>
      </c>
      <c r="J105" s="48" t="s">
        <v>14324</v>
      </c>
    </row>
    <row r="106" spans="1:10" ht="28.5">
      <c r="A106" s="48" t="s">
        <v>113</v>
      </c>
      <c r="B106" s="48" t="s">
        <v>94</v>
      </c>
      <c r="C106" s="48">
        <v>1</v>
      </c>
      <c r="D106" s="48">
        <f>ROUND(C106*(1+('Crisis Simulator'!$B$5-3)*0.15),2)</f>
        <v>1</v>
      </c>
      <c r="E106" s="48" t="s">
        <v>14372</v>
      </c>
      <c r="F106" s="48" t="s">
        <v>14326</v>
      </c>
      <c r="G106" s="48" t="s">
        <v>14373</v>
      </c>
      <c r="H106" s="48" t="s">
        <v>14374</v>
      </c>
      <c r="I106" s="48" t="str">
        <f t="shared" si="3"/>
        <v>Energy / utilities outage|Quality Portfolio</v>
      </c>
      <c r="J106" s="48" t="s">
        <v>14324</v>
      </c>
    </row>
    <row r="107" spans="1:10" ht="28.5">
      <c r="A107" s="48" t="s">
        <v>116</v>
      </c>
      <c r="B107" s="48" t="s">
        <v>54</v>
      </c>
      <c r="C107" s="48">
        <v>1</v>
      </c>
      <c r="D107" s="48">
        <f>ROUND(C107*(1+('Crisis Simulator'!$B$5-3)*0.15),2)</f>
        <v>1</v>
      </c>
      <c r="E107" s="48" t="s">
        <v>14320</v>
      </c>
      <c r="F107" s="48" t="s">
        <v>14326</v>
      </c>
      <c r="G107" s="48" t="s">
        <v>14322</v>
      </c>
      <c r="H107" s="48" t="s">
        <v>14323</v>
      </c>
      <c r="I107" s="48" t="str">
        <f t="shared" si="3"/>
        <v>Financial liquidity crisis|Company Geography</v>
      </c>
      <c r="J107" s="48" t="s">
        <v>14324</v>
      </c>
    </row>
    <row r="108" spans="1:10" ht="28.5">
      <c r="A108" s="48" t="s">
        <v>116</v>
      </c>
      <c r="B108" s="48" t="s">
        <v>57</v>
      </c>
      <c r="C108" s="48">
        <v>1.8</v>
      </c>
      <c r="D108" s="48">
        <f>ROUND(C108*(1+('Crisis Simulator'!$B$5-3)*0.15),2)</f>
        <v>1.8</v>
      </c>
      <c r="E108" s="48" t="s">
        <v>14325</v>
      </c>
      <c r="F108" s="48" t="s">
        <v>14333</v>
      </c>
      <c r="G108" s="48" t="s">
        <v>14327</v>
      </c>
      <c r="H108" s="48" t="s">
        <v>14328</v>
      </c>
      <c r="I108" s="48" t="str">
        <f t="shared" si="3"/>
        <v>Financial liquidity crisis|Strategy GTM</v>
      </c>
      <c r="J108" s="48" t="s">
        <v>14324</v>
      </c>
    </row>
    <row r="109" spans="1:10" ht="28.5">
      <c r="A109" s="48" t="s">
        <v>116</v>
      </c>
      <c r="B109" s="48" t="s">
        <v>60</v>
      </c>
      <c r="C109" s="48">
        <v>1.4</v>
      </c>
      <c r="D109" s="48">
        <f>ROUND(C109*(1+('Crisis Simulator'!$B$5-3)*0.15),2)</f>
        <v>1.4</v>
      </c>
      <c r="E109" s="48" t="s">
        <v>14329</v>
      </c>
      <c r="F109" s="48" t="s">
        <v>14321</v>
      </c>
      <c r="G109" s="48" t="s">
        <v>14330</v>
      </c>
      <c r="H109" s="48" t="s">
        <v>14331</v>
      </c>
      <c r="I109" s="48" t="str">
        <f t="shared" si="3"/>
        <v>Financial liquidity crisis|Governance Crisis</v>
      </c>
      <c r="J109" s="48" t="s">
        <v>14324</v>
      </c>
    </row>
    <row r="110" spans="1:10" ht="28.5">
      <c r="A110" s="48" t="s">
        <v>116</v>
      </c>
      <c r="B110" s="48" t="s">
        <v>63</v>
      </c>
      <c r="C110" s="48">
        <v>1.2</v>
      </c>
      <c r="D110" s="48">
        <f>ROUND(C110*(1+('Crisis Simulator'!$B$5-3)*0.15),2)</f>
        <v>1.2</v>
      </c>
      <c r="E110" s="48" t="s">
        <v>14332</v>
      </c>
      <c r="F110" s="48" t="s">
        <v>14326</v>
      </c>
      <c r="G110" s="48" t="s">
        <v>14334</v>
      </c>
      <c r="H110" s="48" t="s">
        <v>14335</v>
      </c>
      <c r="I110" s="48" t="str">
        <f t="shared" si="3"/>
        <v>Financial liquidity crisis|HR Workforce</v>
      </c>
      <c r="J110" s="48" t="s">
        <v>14324</v>
      </c>
    </row>
    <row r="111" spans="1:10" ht="28.5">
      <c r="A111" s="48" t="s">
        <v>116</v>
      </c>
      <c r="B111" s="48" t="s">
        <v>66</v>
      </c>
      <c r="C111" s="48">
        <v>2</v>
      </c>
      <c r="D111" s="48">
        <f>ROUND(C111*(1+('Crisis Simulator'!$B$5-3)*0.15),2)</f>
        <v>2</v>
      </c>
      <c r="E111" s="48" t="s">
        <v>14336</v>
      </c>
      <c r="F111" s="48" t="s">
        <v>14333</v>
      </c>
      <c r="G111" s="48" t="s">
        <v>14337</v>
      </c>
      <c r="H111" s="48" t="s">
        <v>14338</v>
      </c>
      <c r="I111" s="48" t="str">
        <f t="shared" si="3"/>
        <v>Financial liquidity crisis|Finance Procurement</v>
      </c>
      <c r="J111" s="48" t="s">
        <v>14324</v>
      </c>
    </row>
    <row r="112" spans="1:10" ht="28.5">
      <c r="A112" s="48" t="s">
        <v>116</v>
      </c>
      <c r="B112" s="48" t="s">
        <v>69</v>
      </c>
      <c r="C112" s="48">
        <v>1</v>
      </c>
      <c r="D112" s="48">
        <f>ROUND(C112*(1+('Crisis Simulator'!$B$5-3)*0.15),2)</f>
        <v>1</v>
      </c>
      <c r="E112" s="48" t="s">
        <v>14339</v>
      </c>
      <c r="F112" s="48" t="s">
        <v>14326</v>
      </c>
      <c r="G112" s="48" t="s">
        <v>14340</v>
      </c>
      <c r="H112" s="48" t="s">
        <v>14341</v>
      </c>
      <c r="I112" s="48" t="str">
        <f t="shared" si="3"/>
        <v>Financial liquidity crisis|Legal Risk</v>
      </c>
      <c r="J112" s="48" t="s">
        <v>14324</v>
      </c>
    </row>
    <row r="113" spans="1:10" ht="28.5">
      <c r="A113" s="48" t="s">
        <v>116</v>
      </c>
      <c r="B113" s="48" t="s">
        <v>72</v>
      </c>
      <c r="C113" s="48">
        <v>1</v>
      </c>
      <c r="D113" s="48">
        <f>ROUND(C113*(1+('Crisis Simulator'!$B$5-3)*0.15),2)</f>
        <v>1</v>
      </c>
      <c r="E113" s="48" t="s">
        <v>14342</v>
      </c>
      <c r="F113" s="48" t="s">
        <v>14326</v>
      </c>
      <c r="G113" s="48" t="s">
        <v>14343</v>
      </c>
      <c r="H113" s="48" t="s">
        <v>14344</v>
      </c>
      <c r="I113" s="48" t="str">
        <f t="shared" si="3"/>
        <v>Financial liquidity crisis|Physical Safety</v>
      </c>
      <c r="J113" s="48" t="s">
        <v>14324</v>
      </c>
    </row>
    <row r="114" spans="1:10" ht="28.5">
      <c r="A114" s="48" t="s">
        <v>116</v>
      </c>
      <c r="B114" s="48" t="s">
        <v>75</v>
      </c>
      <c r="C114" s="48">
        <v>1</v>
      </c>
      <c r="D114" s="48">
        <f>ROUND(C114*(1+('Crisis Simulator'!$B$5-3)*0.15),2)</f>
        <v>1</v>
      </c>
      <c r="E114" s="48" t="s">
        <v>14345</v>
      </c>
      <c r="F114" s="48" t="s">
        <v>14326</v>
      </c>
      <c r="G114" s="48" t="s">
        <v>14346</v>
      </c>
      <c r="H114" s="48" t="s">
        <v>14347</v>
      </c>
      <c r="I114" s="48" t="str">
        <f t="shared" si="3"/>
        <v>Financial liquidity crisis|Delivery Ops</v>
      </c>
      <c r="J114" s="48" t="s">
        <v>14324</v>
      </c>
    </row>
    <row r="115" spans="1:10" ht="28.5">
      <c r="A115" s="48" t="s">
        <v>116</v>
      </c>
      <c r="B115" s="48" t="s">
        <v>78</v>
      </c>
      <c r="C115" s="48">
        <v>1</v>
      </c>
      <c r="D115" s="48">
        <f>ROUND(C115*(1+('Crisis Simulator'!$B$5-3)*0.15),2)</f>
        <v>1</v>
      </c>
      <c r="E115" s="48" t="s">
        <v>14348</v>
      </c>
      <c r="F115" s="48" t="s">
        <v>14326</v>
      </c>
      <c r="G115" s="48" t="s">
        <v>14349</v>
      </c>
      <c r="H115" s="48" t="s">
        <v>14350</v>
      </c>
      <c r="I115" s="48" t="str">
        <f t="shared" si="3"/>
        <v>Financial liquidity crisis|Supply Chain</v>
      </c>
      <c r="J115" s="48" t="s">
        <v>14324</v>
      </c>
    </row>
    <row r="116" spans="1:10" ht="28.5">
      <c r="A116" s="48" t="s">
        <v>116</v>
      </c>
      <c r="B116" s="48" t="s">
        <v>81</v>
      </c>
      <c r="C116" s="48">
        <v>1</v>
      </c>
      <c r="D116" s="48">
        <f>ROUND(C116*(1+('Crisis Simulator'!$B$5-3)*0.15),2)</f>
        <v>1</v>
      </c>
      <c r="E116" s="48" t="s">
        <v>14351</v>
      </c>
      <c r="F116" s="48" t="s">
        <v>14326</v>
      </c>
      <c r="G116" s="48" t="s">
        <v>14352</v>
      </c>
      <c r="H116" s="48" t="s">
        <v>14353</v>
      </c>
      <c r="I116" s="48" t="str">
        <f t="shared" si="3"/>
        <v>Financial liquidity crisis|Manufacturing MES</v>
      </c>
      <c r="J116" s="48" t="s">
        <v>14324</v>
      </c>
    </row>
    <row r="117" spans="1:10" ht="28.5">
      <c r="A117" s="48" t="s">
        <v>116</v>
      </c>
      <c r="B117" s="48" t="s">
        <v>84</v>
      </c>
      <c r="C117" s="48">
        <v>1.6</v>
      </c>
      <c r="D117" s="48">
        <f>ROUND(C117*(1+('Crisis Simulator'!$B$5-3)*0.15),2)</f>
        <v>1.6</v>
      </c>
      <c r="E117" s="48" t="s">
        <v>14354</v>
      </c>
      <c r="F117" s="48" t="s">
        <v>14321</v>
      </c>
      <c r="G117" s="48" t="s">
        <v>14355</v>
      </c>
      <c r="H117" s="48" t="s">
        <v>14356</v>
      </c>
      <c r="I117" s="48" t="str">
        <f t="shared" si="3"/>
        <v>Financial liquidity crisis|Sales CRM</v>
      </c>
      <c r="J117" s="48" t="s">
        <v>14324</v>
      </c>
    </row>
    <row r="118" spans="1:10" ht="28.5">
      <c r="A118" s="48" t="s">
        <v>116</v>
      </c>
      <c r="B118" s="48" t="s">
        <v>87</v>
      </c>
      <c r="C118" s="48">
        <v>1</v>
      </c>
      <c r="D118" s="48">
        <f>ROUND(C118*(1+('Crisis Simulator'!$B$5-3)*0.15),2)</f>
        <v>1</v>
      </c>
      <c r="E118" s="48" t="s">
        <v>14357</v>
      </c>
      <c r="F118" s="48" t="s">
        <v>14326</v>
      </c>
      <c r="G118" s="48" t="s">
        <v>14358</v>
      </c>
      <c r="H118" s="48" t="s">
        <v>14359</v>
      </c>
      <c r="I118" s="48" t="str">
        <f t="shared" si="3"/>
        <v>Financial liquidity crisis|Marketing Comms</v>
      </c>
      <c r="J118" s="48" t="s">
        <v>14324</v>
      </c>
    </row>
    <row r="119" spans="1:10" ht="28.5">
      <c r="A119" s="48" t="s">
        <v>116</v>
      </c>
      <c r="B119" s="48" t="s">
        <v>90</v>
      </c>
      <c r="C119" s="48">
        <v>1</v>
      </c>
      <c r="D119" s="48">
        <f>ROUND(C119*(1+('Crisis Simulator'!$B$5-3)*0.15),2)</f>
        <v>1</v>
      </c>
      <c r="E119" s="48" t="s">
        <v>14360</v>
      </c>
      <c r="F119" s="48" t="s">
        <v>14326</v>
      </c>
      <c r="G119" s="48" t="s">
        <v>14361</v>
      </c>
      <c r="H119" s="48" t="s">
        <v>14362</v>
      </c>
      <c r="I119" s="48" t="str">
        <f t="shared" si="3"/>
        <v>Financial liquidity crisis|IT Cloud DR</v>
      </c>
      <c r="J119" s="48" t="s">
        <v>14324</v>
      </c>
    </row>
    <row r="120" spans="1:10" ht="28.5">
      <c r="A120" s="48" t="s">
        <v>116</v>
      </c>
      <c r="B120" s="48" t="s">
        <v>91</v>
      </c>
      <c r="C120" s="48">
        <v>1</v>
      </c>
      <c r="D120" s="48">
        <f>ROUND(C120*(1+('Crisis Simulator'!$B$5-3)*0.15),2)</f>
        <v>1</v>
      </c>
      <c r="E120" s="48" t="s">
        <v>14363</v>
      </c>
      <c r="F120" s="48" t="s">
        <v>14326</v>
      </c>
      <c r="G120" s="48" t="s">
        <v>14364</v>
      </c>
      <c r="H120" s="48" t="s">
        <v>14365</v>
      </c>
      <c r="I120" s="48" t="str">
        <f t="shared" si="3"/>
        <v>Financial liquidity crisis|Business Systems</v>
      </c>
      <c r="J120" s="48" t="s">
        <v>14324</v>
      </c>
    </row>
    <row r="121" spans="1:10" ht="28.5">
      <c r="A121" s="48" t="s">
        <v>116</v>
      </c>
      <c r="B121" s="48" t="s">
        <v>92</v>
      </c>
      <c r="C121" s="48">
        <v>1.2</v>
      </c>
      <c r="D121" s="48">
        <f>ROUND(C121*(1+('Crisis Simulator'!$B$5-3)*0.15),2)</f>
        <v>1.2</v>
      </c>
      <c r="E121" s="48" t="s">
        <v>14366</v>
      </c>
      <c r="F121" s="48" t="s">
        <v>14326</v>
      </c>
      <c r="G121" s="48" t="s">
        <v>14367</v>
      </c>
      <c r="H121" s="48" t="s">
        <v>14368</v>
      </c>
      <c r="I121" s="48" t="str">
        <f t="shared" si="3"/>
        <v>Financial liquidity crisis|Data BI AI</v>
      </c>
      <c r="J121" s="48" t="s">
        <v>14324</v>
      </c>
    </row>
    <row r="122" spans="1:10" ht="28.5">
      <c r="A122" s="48" t="s">
        <v>116</v>
      </c>
      <c r="B122" s="48" t="s">
        <v>93</v>
      </c>
      <c r="C122" s="48">
        <v>1</v>
      </c>
      <c r="D122" s="48">
        <f>ROUND(C122*(1+('Crisis Simulator'!$B$5-3)*0.15),2)</f>
        <v>1</v>
      </c>
      <c r="E122" s="48" t="s">
        <v>14369</v>
      </c>
      <c r="F122" s="48" t="s">
        <v>14326</v>
      </c>
      <c r="G122" s="48" t="s">
        <v>14370</v>
      </c>
      <c r="H122" s="48" t="s">
        <v>14371</v>
      </c>
      <c r="I122" s="48" t="str">
        <f t="shared" si="3"/>
        <v>Financial liquidity crisis|Cyber Privacy</v>
      </c>
      <c r="J122" s="48" t="s">
        <v>14324</v>
      </c>
    </row>
    <row r="123" spans="1:10" ht="28.5">
      <c r="A123" s="48" t="s">
        <v>116</v>
      </c>
      <c r="B123" s="48" t="s">
        <v>94</v>
      </c>
      <c r="C123" s="48">
        <v>1.3</v>
      </c>
      <c r="D123" s="48">
        <f>ROUND(C123*(1+('Crisis Simulator'!$B$5-3)*0.15),2)</f>
        <v>1.3</v>
      </c>
      <c r="E123" s="48" t="s">
        <v>14372</v>
      </c>
      <c r="F123" s="48" t="s">
        <v>14321</v>
      </c>
      <c r="G123" s="48" t="s">
        <v>14373</v>
      </c>
      <c r="H123" s="48" t="s">
        <v>14374</v>
      </c>
      <c r="I123" s="48" t="str">
        <f t="shared" si="3"/>
        <v>Financial liquidity crisis|Quality Portfolio</v>
      </c>
      <c r="J123" s="48" t="s">
        <v>14324</v>
      </c>
    </row>
    <row r="124" spans="1:10" ht="28.5">
      <c r="A124" s="48" t="s">
        <v>119</v>
      </c>
      <c r="B124" s="48" t="s">
        <v>54</v>
      </c>
      <c r="C124" s="48">
        <v>1</v>
      </c>
      <c r="D124" s="48">
        <f>ROUND(C124*(1+('Crisis Simulator'!$B$5-3)*0.15),2)</f>
        <v>1</v>
      </c>
      <c r="E124" s="48" t="s">
        <v>14320</v>
      </c>
      <c r="F124" s="48" t="s">
        <v>14326</v>
      </c>
      <c r="G124" s="48" t="s">
        <v>14322</v>
      </c>
      <c r="H124" s="48" t="s">
        <v>14323</v>
      </c>
      <c r="I124" s="48" t="str">
        <f t="shared" si="3"/>
        <v>Demand shock|Company Geography</v>
      </c>
      <c r="J124" s="48" t="s">
        <v>14324</v>
      </c>
    </row>
    <row r="125" spans="1:10" ht="28.5">
      <c r="A125" s="48" t="s">
        <v>119</v>
      </c>
      <c r="B125" s="48" t="s">
        <v>57</v>
      </c>
      <c r="C125" s="48">
        <v>2</v>
      </c>
      <c r="D125" s="48">
        <f>ROUND(C125*(1+('Crisis Simulator'!$B$5-3)*0.15),2)</f>
        <v>2</v>
      </c>
      <c r="E125" s="48" t="s">
        <v>14325</v>
      </c>
      <c r="F125" s="48" t="s">
        <v>14333</v>
      </c>
      <c r="G125" s="48" t="s">
        <v>14327</v>
      </c>
      <c r="H125" s="48" t="s">
        <v>14328</v>
      </c>
      <c r="I125" s="48" t="str">
        <f t="shared" si="3"/>
        <v>Demand shock|Strategy GTM</v>
      </c>
      <c r="J125" s="48" t="s">
        <v>14324</v>
      </c>
    </row>
    <row r="126" spans="1:10" ht="28.5">
      <c r="A126" s="48" t="s">
        <v>119</v>
      </c>
      <c r="B126" s="48" t="s">
        <v>60</v>
      </c>
      <c r="C126" s="48">
        <v>1</v>
      </c>
      <c r="D126" s="48">
        <f>ROUND(C126*(1+('Crisis Simulator'!$B$5-3)*0.15),2)</f>
        <v>1</v>
      </c>
      <c r="E126" s="48" t="s">
        <v>14329</v>
      </c>
      <c r="F126" s="48" t="s">
        <v>14326</v>
      </c>
      <c r="G126" s="48" t="s">
        <v>14330</v>
      </c>
      <c r="H126" s="48" t="s">
        <v>14331</v>
      </c>
      <c r="I126" s="48" t="str">
        <f t="shared" si="3"/>
        <v>Demand shock|Governance Crisis</v>
      </c>
      <c r="J126" s="48" t="s">
        <v>14324</v>
      </c>
    </row>
    <row r="127" spans="1:10" ht="28.5">
      <c r="A127" s="48" t="s">
        <v>119</v>
      </c>
      <c r="B127" s="48" t="s">
        <v>63</v>
      </c>
      <c r="C127" s="48">
        <v>1</v>
      </c>
      <c r="D127" s="48">
        <f>ROUND(C127*(1+('Crisis Simulator'!$B$5-3)*0.15),2)</f>
        <v>1</v>
      </c>
      <c r="E127" s="48" t="s">
        <v>14332</v>
      </c>
      <c r="F127" s="48" t="s">
        <v>14326</v>
      </c>
      <c r="G127" s="48" t="s">
        <v>14334</v>
      </c>
      <c r="H127" s="48" t="s">
        <v>14335</v>
      </c>
      <c r="I127" s="48" t="str">
        <f t="shared" si="3"/>
        <v>Demand shock|HR Workforce</v>
      </c>
      <c r="J127" s="48" t="s">
        <v>14324</v>
      </c>
    </row>
    <row r="128" spans="1:10" ht="28.5">
      <c r="A128" s="48" t="s">
        <v>119</v>
      </c>
      <c r="B128" s="48" t="s">
        <v>66</v>
      </c>
      <c r="C128" s="48">
        <v>1.5</v>
      </c>
      <c r="D128" s="48">
        <f>ROUND(C128*(1+('Crisis Simulator'!$B$5-3)*0.15),2)</f>
        <v>1.5</v>
      </c>
      <c r="E128" s="48" t="s">
        <v>14336</v>
      </c>
      <c r="F128" s="48" t="s">
        <v>14321</v>
      </c>
      <c r="G128" s="48" t="s">
        <v>14337</v>
      </c>
      <c r="H128" s="48" t="s">
        <v>14338</v>
      </c>
      <c r="I128" s="48" t="str">
        <f t="shared" si="3"/>
        <v>Demand shock|Finance Procurement</v>
      </c>
      <c r="J128" s="48" t="s">
        <v>14324</v>
      </c>
    </row>
    <row r="129" spans="1:10" ht="28.5">
      <c r="A129" s="48" t="s">
        <v>119</v>
      </c>
      <c r="B129" s="48" t="s">
        <v>69</v>
      </c>
      <c r="C129" s="48">
        <v>1</v>
      </c>
      <c r="D129" s="48">
        <f>ROUND(C129*(1+('Crisis Simulator'!$B$5-3)*0.15),2)</f>
        <v>1</v>
      </c>
      <c r="E129" s="48" t="s">
        <v>14339</v>
      </c>
      <c r="F129" s="48" t="s">
        <v>14326</v>
      </c>
      <c r="G129" s="48" t="s">
        <v>14340</v>
      </c>
      <c r="H129" s="48" t="s">
        <v>14341</v>
      </c>
      <c r="I129" s="48" t="str">
        <f t="shared" si="3"/>
        <v>Demand shock|Legal Risk</v>
      </c>
      <c r="J129" s="48" t="s">
        <v>14324</v>
      </c>
    </row>
    <row r="130" spans="1:10" ht="28.5">
      <c r="A130" s="48" t="s">
        <v>119</v>
      </c>
      <c r="B130" s="48" t="s">
        <v>72</v>
      </c>
      <c r="C130" s="48">
        <v>1</v>
      </c>
      <c r="D130" s="48">
        <f>ROUND(C130*(1+('Crisis Simulator'!$B$5-3)*0.15),2)</f>
        <v>1</v>
      </c>
      <c r="E130" s="48" t="s">
        <v>14342</v>
      </c>
      <c r="F130" s="48" t="s">
        <v>14326</v>
      </c>
      <c r="G130" s="48" t="s">
        <v>14343</v>
      </c>
      <c r="H130" s="48" t="s">
        <v>14344</v>
      </c>
      <c r="I130" s="48" t="str">
        <f t="shared" si="3"/>
        <v>Demand shock|Physical Safety</v>
      </c>
      <c r="J130" s="48" t="s">
        <v>14324</v>
      </c>
    </row>
    <row r="131" spans="1:10" ht="28.5">
      <c r="A131" s="48" t="s">
        <v>119</v>
      </c>
      <c r="B131" s="48" t="s">
        <v>75</v>
      </c>
      <c r="C131" s="48">
        <v>1.2</v>
      </c>
      <c r="D131" s="48">
        <f>ROUND(C131*(1+('Crisis Simulator'!$B$5-3)*0.15),2)</f>
        <v>1.2</v>
      </c>
      <c r="E131" s="48" t="s">
        <v>14345</v>
      </c>
      <c r="F131" s="48" t="s">
        <v>14326</v>
      </c>
      <c r="G131" s="48" t="s">
        <v>14346</v>
      </c>
      <c r="H131" s="48" t="s">
        <v>14347</v>
      </c>
      <c r="I131" s="48" t="str">
        <f t="shared" si="3"/>
        <v>Demand shock|Delivery Ops</v>
      </c>
      <c r="J131" s="48" t="s">
        <v>14324</v>
      </c>
    </row>
    <row r="132" spans="1:10" ht="28.5">
      <c r="A132" s="48" t="s">
        <v>119</v>
      </c>
      <c r="B132" s="48" t="s">
        <v>78</v>
      </c>
      <c r="C132" s="48">
        <v>1</v>
      </c>
      <c r="D132" s="48">
        <f>ROUND(C132*(1+('Crisis Simulator'!$B$5-3)*0.15),2)</f>
        <v>1</v>
      </c>
      <c r="E132" s="48" t="s">
        <v>14348</v>
      </c>
      <c r="F132" s="48" t="s">
        <v>14326</v>
      </c>
      <c r="G132" s="48" t="s">
        <v>14349</v>
      </c>
      <c r="H132" s="48" t="s">
        <v>14350</v>
      </c>
      <c r="I132" s="48" t="str">
        <f t="shared" si="3"/>
        <v>Demand shock|Supply Chain</v>
      </c>
      <c r="J132" s="48" t="s">
        <v>14324</v>
      </c>
    </row>
    <row r="133" spans="1:10" ht="28.5">
      <c r="A133" s="48" t="s">
        <v>119</v>
      </c>
      <c r="B133" s="48" t="s">
        <v>81</v>
      </c>
      <c r="C133" s="48">
        <v>1</v>
      </c>
      <c r="D133" s="48">
        <f>ROUND(C133*(1+('Crisis Simulator'!$B$5-3)*0.15),2)</f>
        <v>1</v>
      </c>
      <c r="E133" s="48" t="s">
        <v>14351</v>
      </c>
      <c r="F133" s="48" t="s">
        <v>14326</v>
      </c>
      <c r="G133" s="48" t="s">
        <v>14352</v>
      </c>
      <c r="H133" s="48" t="s">
        <v>14353</v>
      </c>
      <c r="I133" s="48" t="str">
        <f t="shared" ref="I133:I164" si="4">A133&amp;"|"&amp;B133</f>
        <v>Demand shock|Manufacturing MES</v>
      </c>
      <c r="J133" s="48" t="s">
        <v>14324</v>
      </c>
    </row>
    <row r="134" spans="1:10" ht="28.5">
      <c r="A134" s="48" t="s">
        <v>119</v>
      </c>
      <c r="B134" s="48" t="s">
        <v>84</v>
      </c>
      <c r="C134" s="48">
        <v>1.9</v>
      </c>
      <c r="D134" s="48">
        <f>ROUND(C134*(1+('Crisis Simulator'!$B$5-3)*0.15),2)</f>
        <v>1.9</v>
      </c>
      <c r="E134" s="48" t="s">
        <v>14354</v>
      </c>
      <c r="F134" s="48" t="s">
        <v>14333</v>
      </c>
      <c r="G134" s="48" t="s">
        <v>14355</v>
      </c>
      <c r="H134" s="48" t="s">
        <v>14356</v>
      </c>
      <c r="I134" s="48" t="str">
        <f t="shared" si="4"/>
        <v>Demand shock|Sales CRM</v>
      </c>
      <c r="J134" s="48" t="s">
        <v>14324</v>
      </c>
    </row>
    <row r="135" spans="1:10" ht="28.5">
      <c r="A135" s="48" t="s">
        <v>119</v>
      </c>
      <c r="B135" s="48" t="s">
        <v>87</v>
      </c>
      <c r="C135" s="48">
        <v>1.7</v>
      </c>
      <c r="D135" s="48">
        <f>ROUND(C135*(1+('Crisis Simulator'!$B$5-3)*0.15),2)</f>
        <v>1.7</v>
      </c>
      <c r="E135" s="48" t="s">
        <v>14357</v>
      </c>
      <c r="F135" s="48" t="s">
        <v>14333</v>
      </c>
      <c r="G135" s="48" t="s">
        <v>14358</v>
      </c>
      <c r="H135" s="48" t="s">
        <v>14359</v>
      </c>
      <c r="I135" s="48" t="str">
        <f t="shared" si="4"/>
        <v>Demand shock|Marketing Comms</v>
      </c>
      <c r="J135" s="48" t="s">
        <v>14324</v>
      </c>
    </row>
    <row r="136" spans="1:10" ht="28.5">
      <c r="A136" s="48" t="s">
        <v>119</v>
      </c>
      <c r="B136" s="48" t="s">
        <v>90</v>
      </c>
      <c r="C136" s="48">
        <v>1</v>
      </c>
      <c r="D136" s="48">
        <f>ROUND(C136*(1+('Crisis Simulator'!$B$5-3)*0.15),2)</f>
        <v>1</v>
      </c>
      <c r="E136" s="48" t="s">
        <v>14360</v>
      </c>
      <c r="F136" s="48" t="s">
        <v>14326</v>
      </c>
      <c r="G136" s="48" t="s">
        <v>14361</v>
      </c>
      <c r="H136" s="48" t="s">
        <v>14362</v>
      </c>
      <c r="I136" s="48" t="str">
        <f t="shared" si="4"/>
        <v>Demand shock|IT Cloud DR</v>
      </c>
      <c r="J136" s="48" t="s">
        <v>14324</v>
      </c>
    </row>
    <row r="137" spans="1:10" ht="28.5">
      <c r="A137" s="48" t="s">
        <v>119</v>
      </c>
      <c r="B137" s="48" t="s">
        <v>91</v>
      </c>
      <c r="C137" s="48">
        <v>1</v>
      </c>
      <c r="D137" s="48">
        <f>ROUND(C137*(1+('Crisis Simulator'!$B$5-3)*0.15),2)</f>
        <v>1</v>
      </c>
      <c r="E137" s="48" t="s">
        <v>14363</v>
      </c>
      <c r="F137" s="48" t="s">
        <v>14326</v>
      </c>
      <c r="G137" s="48" t="s">
        <v>14364</v>
      </c>
      <c r="H137" s="48" t="s">
        <v>14365</v>
      </c>
      <c r="I137" s="48" t="str">
        <f t="shared" si="4"/>
        <v>Demand shock|Business Systems</v>
      </c>
      <c r="J137" s="48" t="s">
        <v>14324</v>
      </c>
    </row>
    <row r="138" spans="1:10" ht="28.5">
      <c r="A138" s="48" t="s">
        <v>119</v>
      </c>
      <c r="B138" s="48" t="s">
        <v>92</v>
      </c>
      <c r="C138" s="48">
        <v>1.3</v>
      </c>
      <c r="D138" s="48">
        <f>ROUND(C138*(1+('Crisis Simulator'!$B$5-3)*0.15),2)</f>
        <v>1.3</v>
      </c>
      <c r="E138" s="48" t="s">
        <v>14366</v>
      </c>
      <c r="F138" s="48" t="s">
        <v>14321</v>
      </c>
      <c r="G138" s="48" t="s">
        <v>14367</v>
      </c>
      <c r="H138" s="48" t="s">
        <v>14368</v>
      </c>
      <c r="I138" s="48" t="str">
        <f t="shared" si="4"/>
        <v>Demand shock|Data BI AI</v>
      </c>
      <c r="J138" s="48" t="s">
        <v>14324</v>
      </c>
    </row>
    <row r="139" spans="1:10" ht="28.5">
      <c r="A139" s="48" t="s">
        <v>119</v>
      </c>
      <c r="B139" s="48" t="s">
        <v>93</v>
      </c>
      <c r="C139" s="48">
        <v>1</v>
      </c>
      <c r="D139" s="48">
        <f>ROUND(C139*(1+('Crisis Simulator'!$B$5-3)*0.15),2)</f>
        <v>1</v>
      </c>
      <c r="E139" s="48" t="s">
        <v>14369</v>
      </c>
      <c r="F139" s="48" t="s">
        <v>14326</v>
      </c>
      <c r="G139" s="48" t="s">
        <v>14370</v>
      </c>
      <c r="H139" s="48" t="s">
        <v>14371</v>
      </c>
      <c r="I139" s="48" t="str">
        <f t="shared" si="4"/>
        <v>Demand shock|Cyber Privacy</v>
      </c>
      <c r="J139" s="48" t="s">
        <v>14324</v>
      </c>
    </row>
    <row r="140" spans="1:10" ht="28.5">
      <c r="A140" s="48" t="s">
        <v>119</v>
      </c>
      <c r="B140" s="48" t="s">
        <v>94</v>
      </c>
      <c r="C140" s="48">
        <v>1.2</v>
      </c>
      <c r="D140" s="48">
        <f>ROUND(C140*(1+('Crisis Simulator'!$B$5-3)*0.15),2)</f>
        <v>1.2</v>
      </c>
      <c r="E140" s="48" t="s">
        <v>14372</v>
      </c>
      <c r="F140" s="48" t="s">
        <v>14326</v>
      </c>
      <c r="G140" s="48" t="s">
        <v>14373</v>
      </c>
      <c r="H140" s="48" t="s">
        <v>14374</v>
      </c>
      <c r="I140" s="48" t="str">
        <f t="shared" si="4"/>
        <v>Demand shock|Quality Portfolio</v>
      </c>
      <c r="J140" s="48" t="s">
        <v>14324</v>
      </c>
    </row>
    <row r="141" spans="1:10" ht="28.5">
      <c r="A141" s="48" t="s">
        <v>122</v>
      </c>
      <c r="B141" s="48" t="s">
        <v>54</v>
      </c>
      <c r="C141" s="48">
        <v>1</v>
      </c>
      <c r="D141" s="48">
        <f>ROUND(C141*(1+('Crisis Simulator'!$B$5-3)*0.15),2)</f>
        <v>1</v>
      </c>
      <c r="E141" s="48" t="s">
        <v>14320</v>
      </c>
      <c r="F141" s="48" t="s">
        <v>14326</v>
      </c>
      <c r="G141" s="48" t="s">
        <v>14322</v>
      </c>
      <c r="H141" s="48" t="s">
        <v>14323</v>
      </c>
      <c r="I141" s="48" t="str">
        <f t="shared" si="4"/>
        <v>Pandemic / health crisis|Company Geography</v>
      </c>
      <c r="J141" s="48" t="s">
        <v>14324</v>
      </c>
    </row>
    <row r="142" spans="1:10" ht="28.5">
      <c r="A142" s="48" t="s">
        <v>122</v>
      </c>
      <c r="B142" s="48" t="s">
        <v>57</v>
      </c>
      <c r="C142" s="48">
        <v>1</v>
      </c>
      <c r="D142" s="48">
        <f>ROUND(C142*(1+('Crisis Simulator'!$B$5-3)*0.15),2)</f>
        <v>1</v>
      </c>
      <c r="E142" s="48" t="s">
        <v>14325</v>
      </c>
      <c r="F142" s="48" t="s">
        <v>14326</v>
      </c>
      <c r="G142" s="48" t="s">
        <v>14327</v>
      </c>
      <c r="H142" s="48" t="s">
        <v>14328</v>
      </c>
      <c r="I142" s="48" t="str">
        <f t="shared" si="4"/>
        <v>Pandemic / health crisis|Strategy GTM</v>
      </c>
      <c r="J142" s="48" t="s">
        <v>14324</v>
      </c>
    </row>
    <row r="143" spans="1:10" ht="28.5">
      <c r="A143" s="48" t="s">
        <v>122</v>
      </c>
      <c r="B143" s="48" t="s">
        <v>60</v>
      </c>
      <c r="C143" s="48">
        <v>1.3</v>
      </c>
      <c r="D143" s="48">
        <f>ROUND(C143*(1+('Crisis Simulator'!$B$5-3)*0.15),2)</f>
        <v>1.3</v>
      </c>
      <c r="E143" s="48" t="s">
        <v>14329</v>
      </c>
      <c r="F143" s="48" t="s">
        <v>14321</v>
      </c>
      <c r="G143" s="48" t="s">
        <v>14330</v>
      </c>
      <c r="H143" s="48" t="s">
        <v>14331</v>
      </c>
      <c r="I143" s="48" t="str">
        <f t="shared" si="4"/>
        <v>Pandemic / health crisis|Governance Crisis</v>
      </c>
      <c r="J143" s="48" t="s">
        <v>14324</v>
      </c>
    </row>
    <row r="144" spans="1:10" ht="28.5">
      <c r="A144" s="48" t="s">
        <v>122</v>
      </c>
      <c r="B144" s="48" t="s">
        <v>63</v>
      </c>
      <c r="C144" s="48">
        <v>2</v>
      </c>
      <c r="D144" s="48">
        <f>ROUND(C144*(1+('Crisis Simulator'!$B$5-3)*0.15),2)</f>
        <v>2</v>
      </c>
      <c r="E144" s="48" t="s">
        <v>14332</v>
      </c>
      <c r="F144" s="48" t="s">
        <v>14333</v>
      </c>
      <c r="G144" s="48" t="s">
        <v>14334</v>
      </c>
      <c r="H144" s="48" t="s">
        <v>14335</v>
      </c>
      <c r="I144" s="48" t="str">
        <f t="shared" si="4"/>
        <v>Pandemic / health crisis|HR Workforce</v>
      </c>
      <c r="J144" s="48" t="s">
        <v>14324</v>
      </c>
    </row>
    <row r="145" spans="1:10" ht="28.5">
      <c r="A145" s="48" t="s">
        <v>122</v>
      </c>
      <c r="B145" s="48" t="s">
        <v>66</v>
      </c>
      <c r="C145" s="48">
        <v>1</v>
      </c>
      <c r="D145" s="48">
        <f>ROUND(C145*(1+('Crisis Simulator'!$B$5-3)*0.15),2)</f>
        <v>1</v>
      </c>
      <c r="E145" s="48" t="s">
        <v>14336</v>
      </c>
      <c r="F145" s="48" t="s">
        <v>14326</v>
      </c>
      <c r="G145" s="48" t="s">
        <v>14337</v>
      </c>
      <c r="H145" s="48" t="s">
        <v>14338</v>
      </c>
      <c r="I145" s="48" t="str">
        <f t="shared" si="4"/>
        <v>Pandemic / health crisis|Finance Procurement</v>
      </c>
      <c r="J145" s="48" t="s">
        <v>14324</v>
      </c>
    </row>
    <row r="146" spans="1:10" ht="28.5">
      <c r="A146" s="48" t="s">
        <v>122</v>
      </c>
      <c r="B146" s="48" t="s">
        <v>69</v>
      </c>
      <c r="C146" s="48">
        <v>1</v>
      </c>
      <c r="D146" s="48">
        <f>ROUND(C146*(1+('Crisis Simulator'!$B$5-3)*0.15),2)</f>
        <v>1</v>
      </c>
      <c r="E146" s="48" t="s">
        <v>14339</v>
      </c>
      <c r="F146" s="48" t="s">
        <v>14326</v>
      </c>
      <c r="G146" s="48" t="s">
        <v>14340</v>
      </c>
      <c r="H146" s="48" t="s">
        <v>14341</v>
      </c>
      <c r="I146" s="48" t="str">
        <f t="shared" si="4"/>
        <v>Pandemic / health crisis|Legal Risk</v>
      </c>
      <c r="J146" s="48" t="s">
        <v>14324</v>
      </c>
    </row>
    <row r="147" spans="1:10" ht="28.5">
      <c r="A147" s="48" t="s">
        <v>122</v>
      </c>
      <c r="B147" s="48" t="s">
        <v>72</v>
      </c>
      <c r="C147" s="48">
        <v>1.6</v>
      </c>
      <c r="D147" s="48">
        <f>ROUND(C147*(1+('Crisis Simulator'!$B$5-3)*0.15),2)</f>
        <v>1.6</v>
      </c>
      <c r="E147" s="48" t="s">
        <v>14342</v>
      </c>
      <c r="F147" s="48" t="s">
        <v>14321</v>
      </c>
      <c r="G147" s="48" t="s">
        <v>14343</v>
      </c>
      <c r="H147" s="48" t="s">
        <v>14344</v>
      </c>
      <c r="I147" s="48" t="str">
        <f t="shared" si="4"/>
        <v>Pandemic / health crisis|Physical Safety</v>
      </c>
      <c r="J147" s="48" t="s">
        <v>14324</v>
      </c>
    </row>
    <row r="148" spans="1:10" ht="28.5">
      <c r="A148" s="48" t="s">
        <v>122</v>
      </c>
      <c r="B148" s="48" t="s">
        <v>75</v>
      </c>
      <c r="C148" s="48">
        <v>1.5</v>
      </c>
      <c r="D148" s="48">
        <f>ROUND(C148*(1+('Crisis Simulator'!$B$5-3)*0.15),2)</f>
        <v>1.5</v>
      </c>
      <c r="E148" s="48" t="s">
        <v>14345</v>
      </c>
      <c r="F148" s="48" t="s">
        <v>14321</v>
      </c>
      <c r="G148" s="48" t="s">
        <v>14346</v>
      </c>
      <c r="H148" s="48" t="s">
        <v>14347</v>
      </c>
      <c r="I148" s="48" t="str">
        <f t="shared" si="4"/>
        <v>Pandemic / health crisis|Delivery Ops</v>
      </c>
      <c r="J148" s="48" t="s">
        <v>14324</v>
      </c>
    </row>
    <row r="149" spans="1:10" ht="28.5">
      <c r="A149" s="48" t="s">
        <v>122</v>
      </c>
      <c r="B149" s="48" t="s">
        <v>78</v>
      </c>
      <c r="C149" s="48">
        <v>1.4</v>
      </c>
      <c r="D149" s="48">
        <f>ROUND(C149*(1+('Crisis Simulator'!$B$5-3)*0.15),2)</f>
        <v>1.4</v>
      </c>
      <c r="E149" s="48" t="s">
        <v>14348</v>
      </c>
      <c r="F149" s="48" t="s">
        <v>14321</v>
      </c>
      <c r="G149" s="48" t="s">
        <v>14349</v>
      </c>
      <c r="H149" s="48" t="s">
        <v>14350</v>
      </c>
      <c r="I149" s="48" t="str">
        <f t="shared" si="4"/>
        <v>Pandemic / health crisis|Supply Chain</v>
      </c>
      <c r="J149" s="48" t="s">
        <v>14324</v>
      </c>
    </row>
    <row r="150" spans="1:10" ht="28.5">
      <c r="A150" s="48" t="s">
        <v>122</v>
      </c>
      <c r="B150" s="48" t="s">
        <v>81</v>
      </c>
      <c r="C150" s="48">
        <v>1</v>
      </c>
      <c r="D150" s="48">
        <f>ROUND(C150*(1+('Crisis Simulator'!$B$5-3)*0.15),2)</f>
        <v>1</v>
      </c>
      <c r="E150" s="48" t="s">
        <v>14351</v>
      </c>
      <c r="F150" s="48" t="s">
        <v>14326</v>
      </c>
      <c r="G150" s="48" t="s">
        <v>14352</v>
      </c>
      <c r="H150" s="48" t="s">
        <v>14353</v>
      </c>
      <c r="I150" s="48" t="str">
        <f t="shared" si="4"/>
        <v>Pandemic / health crisis|Manufacturing MES</v>
      </c>
      <c r="J150" s="48" t="s">
        <v>14324</v>
      </c>
    </row>
    <row r="151" spans="1:10" ht="28.5">
      <c r="A151" s="48" t="s">
        <v>122</v>
      </c>
      <c r="B151" s="48" t="s">
        <v>84</v>
      </c>
      <c r="C151" s="48">
        <v>1</v>
      </c>
      <c r="D151" s="48">
        <f>ROUND(C151*(1+('Crisis Simulator'!$B$5-3)*0.15),2)</f>
        <v>1</v>
      </c>
      <c r="E151" s="48" t="s">
        <v>14354</v>
      </c>
      <c r="F151" s="48" t="s">
        <v>14326</v>
      </c>
      <c r="G151" s="48" t="s">
        <v>14355</v>
      </c>
      <c r="H151" s="48" t="s">
        <v>14356</v>
      </c>
      <c r="I151" s="48" t="str">
        <f t="shared" si="4"/>
        <v>Pandemic / health crisis|Sales CRM</v>
      </c>
      <c r="J151" s="48" t="s">
        <v>14324</v>
      </c>
    </row>
    <row r="152" spans="1:10" ht="28.5">
      <c r="A152" s="48" t="s">
        <v>122</v>
      </c>
      <c r="B152" s="48" t="s">
        <v>87</v>
      </c>
      <c r="C152" s="48">
        <v>1.2</v>
      </c>
      <c r="D152" s="48">
        <f>ROUND(C152*(1+('Crisis Simulator'!$B$5-3)*0.15),2)</f>
        <v>1.2</v>
      </c>
      <c r="E152" s="48" t="s">
        <v>14357</v>
      </c>
      <c r="F152" s="48" t="s">
        <v>14326</v>
      </c>
      <c r="G152" s="48" t="s">
        <v>14358</v>
      </c>
      <c r="H152" s="48" t="s">
        <v>14359</v>
      </c>
      <c r="I152" s="48" t="str">
        <f t="shared" si="4"/>
        <v>Pandemic / health crisis|Marketing Comms</v>
      </c>
      <c r="J152" s="48" t="s">
        <v>14324</v>
      </c>
    </row>
    <row r="153" spans="1:10" ht="28.5">
      <c r="A153" s="48" t="s">
        <v>122</v>
      </c>
      <c r="B153" s="48" t="s">
        <v>90</v>
      </c>
      <c r="C153" s="48">
        <v>1.4</v>
      </c>
      <c r="D153" s="48">
        <f>ROUND(C153*(1+('Crisis Simulator'!$B$5-3)*0.15),2)</f>
        <v>1.4</v>
      </c>
      <c r="E153" s="48" t="s">
        <v>14360</v>
      </c>
      <c r="F153" s="48" t="s">
        <v>14321</v>
      </c>
      <c r="G153" s="48" t="s">
        <v>14361</v>
      </c>
      <c r="H153" s="48" t="s">
        <v>14362</v>
      </c>
      <c r="I153" s="48" t="str">
        <f t="shared" si="4"/>
        <v>Pandemic / health crisis|IT Cloud DR</v>
      </c>
      <c r="J153" s="48" t="s">
        <v>14324</v>
      </c>
    </row>
    <row r="154" spans="1:10" ht="28.5">
      <c r="A154" s="48" t="s">
        <v>122</v>
      </c>
      <c r="B154" s="48" t="s">
        <v>91</v>
      </c>
      <c r="C154" s="48">
        <v>1.2</v>
      </c>
      <c r="D154" s="48">
        <f>ROUND(C154*(1+('Crisis Simulator'!$B$5-3)*0.15),2)</f>
        <v>1.2</v>
      </c>
      <c r="E154" s="48" t="s">
        <v>14363</v>
      </c>
      <c r="F154" s="48" t="s">
        <v>14326</v>
      </c>
      <c r="G154" s="48" t="s">
        <v>14364</v>
      </c>
      <c r="H154" s="48" t="s">
        <v>14365</v>
      </c>
      <c r="I154" s="48" t="str">
        <f t="shared" si="4"/>
        <v>Pandemic / health crisis|Business Systems</v>
      </c>
      <c r="J154" s="48" t="s">
        <v>14324</v>
      </c>
    </row>
    <row r="155" spans="1:10" ht="28.5">
      <c r="A155" s="48" t="s">
        <v>122</v>
      </c>
      <c r="B155" s="48" t="s">
        <v>92</v>
      </c>
      <c r="C155" s="48">
        <v>1</v>
      </c>
      <c r="D155" s="48">
        <f>ROUND(C155*(1+('Crisis Simulator'!$B$5-3)*0.15),2)</f>
        <v>1</v>
      </c>
      <c r="E155" s="48" t="s">
        <v>14366</v>
      </c>
      <c r="F155" s="48" t="s">
        <v>14326</v>
      </c>
      <c r="G155" s="48" t="s">
        <v>14367</v>
      </c>
      <c r="H155" s="48" t="s">
        <v>14368</v>
      </c>
      <c r="I155" s="48" t="str">
        <f t="shared" si="4"/>
        <v>Pandemic / health crisis|Data BI AI</v>
      </c>
      <c r="J155" s="48" t="s">
        <v>14324</v>
      </c>
    </row>
    <row r="156" spans="1:10" ht="28.5">
      <c r="A156" s="48" t="s">
        <v>122</v>
      </c>
      <c r="B156" s="48" t="s">
        <v>93</v>
      </c>
      <c r="C156" s="48">
        <v>1</v>
      </c>
      <c r="D156" s="48">
        <f>ROUND(C156*(1+('Crisis Simulator'!$B$5-3)*0.15),2)</f>
        <v>1</v>
      </c>
      <c r="E156" s="48" t="s">
        <v>14369</v>
      </c>
      <c r="F156" s="48" t="s">
        <v>14326</v>
      </c>
      <c r="G156" s="48" t="s">
        <v>14370</v>
      </c>
      <c r="H156" s="48" t="s">
        <v>14371</v>
      </c>
      <c r="I156" s="48" t="str">
        <f t="shared" si="4"/>
        <v>Pandemic / health crisis|Cyber Privacy</v>
      </c>
      <c r="J156" s="48" t="s">
        <v>14324</v>
      </c>
    </row>
    <row r="157" spans="1:10" ht="28.5">
      <c r="A157" s="48" t="s">
        <v>122</v>
      </c>
      <c r="B157" s="48" t="s">
        <v>94</v>
      </c>
      <c r="C157" s="48">
        <v>1</v>
      </c>
      <c r="D157" s="48">
        <f>ROUND(C157*(1+('Crisis Simulator'!$B$5-3)*0.15),2)</f>
        <v>1</v>
      </c>
      <c r="E157" s="48" t="s">
        <v>14372</v>
      </c>
      <c r="F157" s="48" t="s">
        <v>14326</v>
      </c>
      <c r="G157" s="48" t="s">
        <v>14373</v>
      </c>
      <c r="H157" s="48" t="s">
        <v>14374</v>
      </c>
      <c r="I157" s="48" t="str">
        <f t="shared" si="4"/>
        <v>Pandemic / health crisis|Quality Portfolio</v>
      </c>
      <c r="J157" s="48" t="s">
        <v>14324</v>
      </c>
    </row>
    <row r="158" spans="1:10" ht="28.5">
      <c r="A158" s="48" t="s">
        <v>125</v>
      </c>
      <c r="B158" s="48" t="s">
        <v>54</v>
      </c>
      <c r="C158" s="48">
        <v>1</v>
      </c>
      <c r="D158" s="48">
        <f>ROUND(C158*(1+('Crisis Simulator'!$B$5-3)*0.15),2)</f>
        <v>1</v>
      </c>
      <c r="E158" s="48" t="s">
        <v>14320</v>
      </c>
      <c r="F158" s="48" t="s">
        <v>14326</v>
      </c>
      <c r="G158" s="48" t="s">
        <v>14322</v>
      </c>
      <c r="H158" s="48" t="s">
        <v>14323</v>
      </c>
      <c r="I158" s="48" t="str">
        <f t="shared" si="4"/>
        <v>Regulatory / legal shock|Company Geography</v>
      </c>
      <c r="J158" s="48" t="s">
        <v>14324</v>
      </c>
    </row>
    <row r="159" spans="1:10" ht="28.5">
      <c r="A159" s="48" t="s">
        <v>125</v>
      </c>
      <c r="B159" s="48" t="s">
        <v>57</v>
      </c>
      <c r="C159" s="48">
        <v>1.2</v>
      </c>
      <c r="D159" s="48">
        <f>ROUND(C159*(1+('Crisis Simulator'!$B$5-3)*0.15),2)</f>
        <v>1.2</v>
      </c>
      <c r="E159" s="48" t="s">
        <v>14325</v>
      </c>
      <c r="F159" s="48" t="s">
        <v>14326</v>
      </c>
      <c r="G159" s="48" t="s">
        <v>14327</v>
      </c>
      <c r="H159" s="48" t="s">
        <v>14328</v>
      </c>
      <c r="I159" s="48" t="str">
        <f t="shared" si="4"/>
        <v>Regulatory / legal shock|Strategy GTM</v>
      </c>
      <c r="J159" s="48" t="s">
        <v>14324</v>
      </c>
    </row>
    <row r="160" spans="1:10" ht="28.5">
      <c r="A160" s="48" t="s">
        <v>125</v>
      </c>
      <c r="B160" s="48" t="s">
        <v>60</v>
      </c>
      <c r="C160" s="48">
        <v>1.3</v>
      </c>
      <c r="D160" s="48">
        <f>ROUND(C160*(1+('Crisis Simulator'!$B$5-3)*0.15),2)</f>
        <v>1.3</v>
      </c>
      <c r="E160" s="48" t="s">
        <v>14329</v>
      </c>
      <c r="F160" s="48" t="s">
        <v>14321</v>
      </c>
      <c r="G160" s="48" t="s">
        <v>14330</v>
      </c>
      <c r="H160" s="48" t="s">
        <v>14331</v>
      </c>
      <c r="I160" s="48" t="str">
        <f t="shared" si="4"/>
        <v>Regulatory / legal shock|Governance Crisis</v>
      </c>
      <c r="J160" s="48" t="s">
        <v>14324</v>
      </c>
    </row>
    <row r="161" spans="1:10" ht="28.5">
      <c r="A161" s="48" t="s">
        <v>125</v>
      </c>
      <c r="B161" s="48" t="s">
        <v>63</v>
      </c>
      <c r="C161" s="48">
        <v>1</v>
      </c>
      <c r="D161" s="48">
        <f>ROUND(C161*(1+('Crisis Simulator'!$B$5-3)*0.15),2)</f>
        <v>1</v>
      </c>
      <c r="E161" s="48" t="s">
        <v>14332</v>
      </c>
      <c r="F161" s="48" t="s">
        <v>14326</v>
      </c>
      <c r="G161" s="48" t="s">
        <v>14334</v>
      </c>
      <c r="H161" s="48" t="s">
        <v>14335</v>
      </c>
      <c r="I161" s="48" t="str">
        <f t="shared" si="4"/>
        <v>Regulatory / legal shock|HR Workforce</v>
      </c>
      <c r="J161" s="48" t="s">
        <v>14324</v>
      </c>
    </row>
    <row r="162" spans="1:10" ht="28.5">
      <c r="A162" s="48" t="s">
        <v>125</v>
      </c>
      <c r="B162" s="48" t="s">
        <v>66</v>
      </c>
      <c r="C162" s="48">
        <v>1.4</v>
      </c>
      <c r="D162" s="48">
        <f>ROUND(C162*(1+('Crisis Simulator'!$B$5-3)*0.15),2)</f>
        <v>1.4</v>
      </c>
      <c r="E162" s="48" t="s">
        <v>14336</v>
      </c>
      <c r="F162" s="48" t="s">
        <v>14321</v>
      </c>
      <c r="G162" s="48" t="s">
        <v>14337</v>
      </c>
      <c r="H162" s="48" t="s">
        <v>14338</v>
      </c>
      <c r="I162" s="48" t="str">
        <f t="shared" si="4"/>
        <v>Regulatory / legal shock|Finance Procurement</v>
      </c>
      <c r="J162" s="48" t="s">
        <v>14324</v>
      </c>
    </row>
    <row r="163" spans="1:10" ht="28.5">
      <c r="A163" s="48" t="s">
        <v>125</v>
      </c>
      <c r="B163" s="48" t="s">
        <v>69</v>
      </c>
      <c r="C163" s="48">
        <v>2</v>
      </c>
      <c r="D163" s="48">
        <f>ROUND(C163*(1+('Crisis Simulator'!$B$5-3)*0.15),2)</f>
        <v>2</v>
      </c>
      <c r="E163" s="48" t="s">
        <v>14339</v>
      </c>
      <c r="F163" s="48" t="s">
        <v>14333</v>
      </c>
      <c r="G163" s="48" t="s">
        <v>14340</v>
      </c>
      <c r="H163" s="48" t="s">
        <v>14341</v>
      </c>
      <c r="I163" s="48" t="str">
        <f t="shared" si="4"/>
        <v>Regulatory / legal shock|Legal Risk</v>
      </c>
      <c r="J163" s="48" t="s">
        <v>14324</v>
      </c>
    </row>
    <row r="164" spans="1:10" ht="28.5">
      <c r="A164" s="48" t="s">
        <v>125</v>
      </c>
      <c r="B164" s="48" t="s">
        <v>72</v>
      </c>
      <c r="C164" s="48">
        <v>1</v>
      </c>
      <c r="D164" s="48">
        <f>ROUND(C164*(1+('Crisis Simulator'!$B$5-3)*0.15),2)</f>
        <v>1</v>
      </c>
      <c r="E164" s="48" t="s">
        <v>14342</v>
      </c>
      <c r="F164" s="48" t="s">
        <v>14326</v>
      </c>
      <c r="G164" s="48" t="s">
        <v>14343</v>
      </c>
      <c r="H164" s="48" t="s">
        <v>14344</v>
      </c>
      <c r="I164" s="48" t="str">
        <f t="shared" si="4"/>
        <v>Regulatory / legal shock|Physical Safety</v>
      </c>
      <c r="J164" s="48" t="s">
        <v>14324</v>
      </c>
    </row>
    <row r="165" spans="1:10" ht="28.5">
      <c r="A165" s="48" t="s">
        <v>125</v>
      </c>
      <c r="B165" s="48" t="s">
        <v>75</v>
      </c>
      <c r="C165" s="48">
        <v>1</v>
      </c>
      <c r="D165" s="48">
        <f>ROUND(C165*(1+('Crisis Simulator'!$B$5-3)*0.15),2)</f>
        <v>1</v>
      </c>
      <c r="E165" s="48" t="s">
        <v>14345</v>
      </c>
      <c r="F165" s="48" t="s">
        <v>14326</v>
      </c>
      <c r="G165" s="48" t="s">
        <v>14346</v>
      </c>
      <c r="H165" s="48" t="s">
        <v>14347</v>
      </c>
      <c r="I165" s="48" t="str">
        <f t="shared" ref="I165:I191" si="5">A165&amp;"|"&amp;B165</f>
        <v>Regulatory / legal shock|Delivery Ops</v>
      </c>
      <c r="J165" s="48" t="s">
        <v>14324</v>
      </c>
    </row>
    <row r="166" spans="1:10" ht="28.5">
      <c r="A166" s="48" t="s">
        <v>125</v>
      </c>
      <c r="B166" s="48" t="s">
        <v>78</v>
      </c>
      <c r="C166" s="48">
        <v>1</v>
      </c>
      <c r="D166" s="48">
        <f>ROUND(C166*(1+('Crisis Simulator'!$B$5-3)*0.15),2)</f>
        <v>1</v>
      </c>
      <c r="E166" s="48" t="s">
        <v>14348</v>
      </c>
      <c r="F166" s="48" t="s">
        <v>14326</v>
      </c>
      <c r="G166" s="48" t="s">
        <v>14349</v>
      </c>
      <c r="H166" s="48" t="s">
        <v>14350</v>
      </c>
      <c r="I166" s="48" t="str">
        <f t="shared" si="5"/>
        <v>Regulatory / legal shock|Supply Chain</v>
      </c>
      <c r="J166" s="48" t="s">
        <v>14324</v>
      </c>
    </row>
    <row r="167" spans="1:10" ht="28.5">
      <c r="A167" s="48" t="s">
        <v>125</v>
      </c>
      <c r="B167" s="48" t="s">
        <v>81</v>
      </c>
      <c r="C167" s="48">
        <v>1</v>
      </c>
      <c r="D167" s="48">
        <f>ROUND(C167*(1+('Crisis Simulator'!$B$5-3)*0.15),2)</f>
        <v>1</v>
      </c>
      <c r="E167" s="48" t="s">
        <v>14351</v>
      </c>
      <c r="F167" s="48" t="s">
        <v>14326</v>
      </c>
      <c r="G167" s="48" t="s">
        <v>14352</v>
      </c>
      <c r="H167" s="48" t="s">
        <v>14353</v>
      </c>
      <c r="I167" s="48" t="str">
        <f t="shared" si="5"/>
        <v>Regulatory / legal shock|Manufacturing MES</v>
      </c>
      <c r="J167" s="48" t="s">
        <v>14324</v>
      </c>
    </row>
    <row r="168" spans="1:10" ht="28.5">
      <c r="A168" s="48" t="s">
        <v>125</v>
      </c>
      <c r="B168" s="48" t="s">
        <v>84</v>
      </c>
      <c r="C168" s="48">
        <v>1</v>
      </c>
      <c r="D168" s="48">
        <f>ROUND(C168*(1+('Crisis Simulator'!$B$5-3)*0.15),2)</f>
        <v>1</v>
      </c>
      <c r="E168" s="48" t="s">
        <v>14354</v>
      </c>
      <c r="F168" s="48" t="s">
        <v>14326</v>
      </c>
      <c r="G168" s="48" t="s">
        <v>14355</v>
      </c>
      <c r="H168" s="48" t="s">
        <v>14356</v>
      </c>
      <c r="I168" s="48" t="str">
        <f t="shared" si="5"/>
        <v>Regulatory / legal shock|Sales CRM</v>
      </c>
      <c r="J168" s="48" t="s">
        <v>14324</v>
      </c>
    </row>
    <row r="169" spans="1:10" ht="28.5">
      <c r="A169" s="48" t="s">
        <v>125</v>
      </c>
      <c r="B169" s="48" t="s">
        <v>87</v>
      </c>
      <c r="C169" s="48">
        <v>1.2</v>
      </c>
      <c r="D169" s="48">
        <f>ROUND(C169*(1+('Crisis Simulator'!$B$5-3)*0.15),2)</f>
        <v>1.2</v>
      </c>
      <c r="E169" s="48" t="s">
        <v>14357</v>
      </c>
      <c r="F169" s="48" t="s">
        <v>14326</v>
      </c>
      <c r="G169" s="48" t="s">
        <v>14358</v>
      </c>
      <c r="H169" s="48" t="s">
        <v>14359</v>
      </c>
      <c r="I169" s="48" t="str">
        <f t="shared" si="5"/>
        <v>Regulatory / legal shock|Marketing Comms</v>
      </c>
      <c r="J169" s="48" t="s">
        <v>14324</v>
      </c>
    </row>
    <row r="170" spans="1:10" ht="28.5">
      <c r="A170" s="48" t="s">
        <v>125</v>
      </c>
      <c r="B170" s="48" t="s">
        <v>90</v>
      </c>
      <c r="C170" s="48">
        <v>1</v>
      </c>
      <c r="D170" s="48">
        <f>ROUND(C170*(1+('Crisis Simulator'!$B$5-3)*0.15),2)</f>
        <v>1</v>
      </c>
      <c r="E170" s="48" t="s">
        <v>14360</v>
      </c>
      <c r="F170" s="48" t="s">
        <v>14326</v>
      </c>
      <c r="G170" s="48" t="s">
        <v>14361</v>
      </c>
      <c r="H170" s="48" t="s">
        <v>14362</v>
      </c>
      <c r="I170" s="48" t="str">
        <f t="shared" si="5"/>
        <v>Regulatory / legal shock|IT Cloud DR</v>
      </c>
      <c r="J170" s="48" t="s">
        <v>14324</v>
      </c>
    </row>
    <row r="171" spans="1:10" ht="28.5">
      <c r="A171" s="48" t="s">
        <v>125</v>
      </c>
      <c r="B171" s="48" t="s">
        <v>91</v>
      </c>
      <c r="C171" s="48">
        <v>1.2</v>
      </c>
      <c r="D171" s="48">
        <f>ROUND(C171*(1+('Crisis Simulator'!$B$5-3)*0.15),2)</f>
        <v>1.2</v>
      </c>
      <c r="E171" s="48" t="s">
        <v>14363</v>
      </c>
      <c r="F171" s="48" t="s">
        <v>14326</v>
      </c>
      <c r="G171" s="48" t="s">
        <v>14364</v>
      </c>
      <c r="H171" s="48" t="s">
        <v>14365</v>
      </c>
      <c r="I171" s="48" t="str">
        <f t="shared" si="5"/>
        <v>Regulatory / legal shock|Business Systems</v>
      </c>
      <c r="J171" s="48" t="s">
        <v>14324</v>
      </c>
    </row>
    <row r="172" spans="1:10" ht="28.5">
      <c r="A172" s="48" t="s">
        <v>125</v>
      </c>
      <c r="B172" s="48" t="s">
        <v>92</v>
      </c>
      <c r="C172" s="48">
        <v>1.4</v>
      </c>
      <c r="D172" s="48">
        <f>ROUND(C172*(1+('Crisis Simulator'!$B$5-3)*0.15),2)</f>
        <v>1.4</v>
      </c>
      <c r="E172" s="48" t="s">
        <v>14366</v>
      </c>
      <c r="F172" s="48" t="s">
        <v>14321</v>
      </c>
      <c r="G172" s="48" t="s">
        <v>14367</v>
      </c>
      <c r="H172" s="48" t="s">
        <v>14368</v>
      </c>
      <c r="I172" s="48" t="str">
        <f t="shared" si="5"/>
        <v>Regulatory / legal shock|Data BI AI</v>
      </c>
      <c r="J172" s="48" t="s">
        <v>14324</v>
      </c>
    </row>
    <row r="173" spans="1:10" ht="28.5">
      <c r="A173" s="48" t="s">
        <v>125</v>
      </c>
      <c r="B173" s="48" t="s">
        <v>93</v>
      </c>
      <c r="C173" s="48">
        <v>1.6</v>
      </c>
      <c r="D173" s="48">
        <f>ROUND(C173*(1+('Crisis Simulator'!$B$5-3)*0.15),2)</f>
        <v>1.6</v>
      </c>
      <c r="E173" s="48" t="s">
        <v>14369</v>
      </c>
      <c r="F173" s="48" t="s">
        <v>14321</v>
      </c>
      <c r="G173" s="48" t="s">
        <v>14370</v>
      </c>
      <c r="H173" s="48" t="s">
        <v>14371</v>
      </c>
      <c r="I173" s="48" t="str">
        <f t="shared" si="5"/>
        <v>Regulatory / legal shock|Cyber Privacy</v>
      </c>
      <c r="J173" s="48" t="s">
        <v>14324</v>
      </c>
    </row>
    <row r="174" spans="1:10" ht="28.5">
      <c r="A174" s="48" t="s">
        <v>125</v>
      </c>
      <c r="B174" s="48" t="s">
        <v>94</v>
      </c>
      <c r="C174" s="48">
        <v>1</v>
      </c>
      <c r="D174" s="48">
        <f>ROUND(C174*(1+('Crisis Simulator'!$B$5-3)*0.15),2)</f>
        <v>1</v>
      </c>
      <c r="E174" s="48" t="s">
        <v>14372</v>
      </c>
      <c r="F174" s="48" t="s">
        <v>14326</v>
      </c>
      <c r="G174" s="48" t="s">
        <v>14373</v>
      </c>
      <c r="H174" s="48" t="s">
        <v>14374</v>
      </c>
      <c r="I174" s="48" t="str">
        <f t="shared" si="5"/>
        <v>Regulatory / legal shock|Quality Portfolio</v>
      </c>
      <c r="J174" s="48" t="s">
        <v>14324</v>
      </c>
    </row>
    <row r="175" spans="1:10" ht="28.5">
      <c r="A175" s="48" t="s">
        <v>128</v>
      </c>
      <c r="B175" s="48" t="s">
        <v>54</v>
      </c>
      <c r="C175" s="48">
        <v>1</v>
      </c>
      <c r="D175" s="48">
        <f>ROUND(C175*(1+('Crisis Simulator'!$B$5-3)*0.15),2)</f>
        <v>1</v>
      </c>
      <c r="E175" s="48" t="s">
        <v>14320</v>
      </c>
      <c r="F175" s="48" t="s">
        <v>14326</v>
      </c>
      <c r="G175" s="48" t="s">
        <v>14322</v>
      </c>
      <c r="H175" s="48" t="s">
        <v>14323</v>
      </c>
      <c r="I175" s="48" t="str">
        <f t="shared" si="5"/>
        <v>Reputation crisis|Company Geography</v>
      </c>
      <c r="J175" s="48" t="s">
        <v>14324</v>
      </c>
    </row>
    <row r="176" spans="1:10" ht="28.5">
      <c r="A176" s="48" t="s">
        <v>128</v>
      </c>
      <c r="B176" s="48" t="s">
        <v>57</v>
      </c>
      <c r="C176" s="48">
        <v>1.3</v>
      </c>
      <c r="D176" s="48">
        <f>ROUND(C176*(1+('Crisis Simulator'!$B$5-3)*0.15),2)</f>
        <v>1.3</v>
      </c>
      <c r="E176" s="48" t="s">
        <v>14325</v>
      </c>
      <c r="F176" s="48" t="s">
        <v>14321</v>
      </c>
      <c r="G176" s="48" t="s">
        <v>14327</v>
      </c>
      <c r="H176" s="48" t="s">
        <v>14328</v>
      </c>
      <c r="I176" s="48" t="str">
        <f t="shared" si="5"/>
        <v>Reputation crisis|Strategy GTM</v>
      </c>
      <c r="J176" s="48" t="s">
        <v>14324</v>
      </c>
    </row>
    <row r="177" spans="1:10" ht="28.5">
      <c r="A177" s="48" t="s">
        <v>128</v>
      </c>
      <c r="B177" s="48" t="s">
        <v>60</v>
      </c>
      <c r="C177" s="48">
        <v>1.5</v>
      </c>
      <c r="D177" s="48">
        <f>ROUND(C177*(1+('Crisis Simulator'!$B$5-3)*0.15),2)</f>
        <v>1.5</v>
      </c>
      <c r="E177" s="48" t="s">
        <v>14329</v>
      </c>
      <c r="F177" s="48" t="s">
        <v>14321</v>
      </c>
      <c r="G177" s="48" t="s">
        <v>14330</v>
      </c>
      <c r="H177" s="48" t="s">
        <v>14331</v>
      </c>
      <c r="I177" s="48" t="str">
        <f t="shared" si="5"/>
        <v>Reputation crisis|Governance Crisis</v>
      </c>
      <c r="J177" s="48" t="s">
        <v>14324</v>
      </c>
    </row>
    <row r="178" spans="1:10" ht="28.5">
      <c r="A178" s="48" t="s">
        <v>128</v>
      </c>
      <c r="B178" s="48" t="s">
        <v>63</v>
      </c>
      <c r="C178" s="48">
        <v>1.2</v>
      </c>
      <c r="D178" s="48">
        <f>ROUND(C178*(1+('Crisis Simulator'!$B$5-3)*0.15),2)</f>
        <v>1.2</v>
      </c>
      <c r="E178" s="48" t="s">
        <v>14332</v>
      </c>
      <c r="F178" s="48" t="s">
        <v>14326</v>
      </c>
      <c r="G178" s="48" t="s">
        <v>14334</v>
      </c>
      <c r="H178" s="48" t="s">
        <v>14335</v>
      </c>
      <c r="I178" s="48" t="str">
        <f t="shared" si="5"/>
        <v>Reputation crisis|HR Workforce</v>
      </c>
      <c r="J178" s="48" t="s">
        <v>14324</v>
      </c>
    </row>
    <row r="179" spans="1:10" ht="28.5">
      <c r="A179" s="48" t="s">
        <v>128</v>
      </c>
      <c r="B179" s="48" t="s">
        <v>66</v>
      </c>
      <c r="C179" s="48">
        <v>1</v>
      </c>
      <c r="D179" s="48">
        <f>ROUND(C179*(1+('Crisis Simulator'!$B$5-3)*0.15),2)</f>
        <v>1</v>
      </c>
      <c r="E179" s="48" t="s">
        <v>14336</v>
      </c>
      <c r="F179" s="48" t="s">
        <v>14326</v>
      </c>
      <c r="G179" s="48" t="s">
        <v>14337</v>
      </c>
      <c r="H179" s="48" t="s">
        <v>14338</v>
      </c>
      <c r="I179" s="48" t="str">
        <f t="shared" si="5"/>
        <v>Reputation crisis|Finance Procurement</v>
      </c>
      <c r="J179" s="48" t="s">
        <v>14324</v>
      </c>
    </row>
    <row r="180" spans="1:10" ht="28.5">
      <c r="A180" s="48" t="s">
        <v>128</v>
      </c>
      <c r="B180" s="48" t="s">
        <v>69</v>
      </c>
      <c r="C180" s="48">
        <v>1.4</v>
      </c>
      <c r="D180" s="48">
        <f>ROUND(C180*(1+('Crisis Simulator'!$B$5-3)*0.15),2)</f>
        <v>1.4</v>
      </c>
      <c r="E180" s="48" t="s">
        <v>14339</v>
      </c>
      <c r="F180" s="48" t="s">
        <v>14321</v>
      </c>
      <c r="G180" s="48" t="s">
        <v>14340</v>
      </c>
      <c r="H180" s="48" t="s">
        <v>14341</v>
      </c>
      <c r="I180" s="48" t="str">
        <f t="shared" si="5"/>
        <v>Reputation crisis|Legal Risk</v>
      </c>
      <c r="J180" s="48" t="s">
        <v>14324</v>
      </c>
    </row>
    <row r="181" spans="1:10" ht="28.5">
      <c r="A181" s="48" t="s">
        <v>128</v>
      </c>
      <c r="B181" s="48" t="s">
        <v>72</v>
      </c>
      <c r="C181" s="48">
        <v>1</v>
      </c>
      <c r="D181" s="48">
        <f>ROUND(C181*(1+('Crisis Simulator'!$B$5-3)*0.15),2)</f>
        <v>1</v>
      </c>
      <c r="E181" s="48" t="s">
        <v>14342</v>
      </c>
      <c r="F181" s="48" t="s">
        <v>14326</v>
      </c>
      <c r="G181" s="48" t="s">
        <v>14343</v>
      </c>
      <c r="H181" s="48" t="s">
        <v>14344</v>
      </c>
      <c r="I181" s="48" t="str">
        <f t="shared" si="5"/>
        <v>Reputation crisis|Physical Safety</v>
      </c>
      <c r="J181" s="48" t="s">
        <v>14324</v>
      </c>
    </row>
    <row r="182" spans="1:10" ht="28.5">
      <c r="A182" s="48" t="s">
        <v>128</v>
      </c>
      <c r="B182" s="48" t="s">
        <v>75</v>
      </c>
      <c r="C182" s="48">
        <v>1</v>
      </c>
      <c r="D182" s="48">
        <f>ROUND(C182*(1+('Crisis Simulator'!$B$5-3)*0.15),2)</f>
        <v>1</v>
      </c>
      <c r="E182" s="48" t="s">
        <v>14345</v>
      </c>
      <c r="F182" s="48" t="s">
        <v>14326</v>
      </c>
      <c r="G182" s="48" t="s">
        <v>14346</v>
      </c>
      <c r="H182" s="48" t="s">
        <v>14347</v>
      </c>
      <c r="I182" s="48" t="str">
        <f t="shared" si="5"/>
        <v>Reputation crisis|Delivery Ops</v>
      </c>
      <c r="J182" s="48" t="s">
        <v>14324</v>
      </c>
    </row>
    <row r="183" spans="1:10" ht="28.5">
      <c r="A183" s="48" t="s">
        <v>128</v>
      </c>
      <c r="B183" s="48" t="s">
        <v>78</v>
      </c>
      <c r="C183" s="48">
        <v>1</v>
      </c>
      <c r="D183" s="48">
        <f>ROUND(C183*(1+('Crisis Simulator'!$B$5-3)*0.15),2)</f>
        <v>1</v>
      </c>
      <c r="E183" s="48" t="s">
        <v>14348</v>
      </c>
      <c r="F183" s="48" t="s">
        <v>14326</v>
      </c>
      <c r="G183" s="48" t="s">
        <v>14349</v>
      </c>
      <c r="H183" s="48" t="s">
        <v>14350</v>
      </c>
      <c r="I183" s="48" t="str">
        <f t="shared" si="5"/>
        <v>Reputation crisis|Supply Chain</v>
      </c>
      <c r="J183" s="48" t="s">
        <v>14324</v>
      </c>
    </row>
    <row r="184" spans="1:10" ht="28.5">
      <c r="A184" s="48" t="s">
        <v>128</v>
      </c>
      <c r="B184" s="48" t="s">
        <v>81</v>
      </c>
      <c r="C184" s="48">
        <v>1</v>
      </c>
      <c r="D184" s="48">
        <f>ROUND(C184*(1+('Crisis Simulator'!$B$5-3)*0.15),2)</f>
        <v>1</v>
      </c>
      <c r="E184" s="48" t="s">
        <v>14351</v>
      </c>
      <c r="F184" s="48" t="s">
        <v>14326</v>
      </c>
      <c r="G184" s="48" t="s">
        <v>14352</v>
      </c>
      <c r="H184" s="48" t="s">
        <v>14353</v>
      </c>
      <c r="I184" s="48" t="str">
        <f t="shared" si="5"/>
        <v>Reputation crisis|Manufacturing MES</v>
      </c>
      <c r="J184" s="48" t="s">
        <v>14324</v>
      </c>
    </row>
    <row r="185" spans="1:10" ht="28.5">
      <c r="A185" s="48" t="s">
        <v>128</v>
      </c>
      <c r="B185" s="48" t="s">
        <v>84</v>
      </c>
      <c r="C185" s="48">
        <v>1.8</v>
      </c>
      <c r="D185" s="48">
        <f>ROUND(C185*(1+('Crisis Simulator'!$B$5-3)*0.15),2)</f>
        <v>1.8</v>
      </c>
      <c r="E185" s="48" t="s">
        <v>14354</v>
      </c>
      <c r="F185" s="48" t="s">
        <v>14333</v>
      </c>
      <c r="G185" s="48" t="s">
        <v>14355</v>
      </c>
      <c r="H185" s="48" t="s">
        <v>14356</v>
      </c>
      <c r="I185" s="48" t="str">
        <f t="shared" si="5"/>
        <v>Reputation crisis|Sales CRM</v>
      </c>
      <c r="J185" s="48" t="s">
        <v>14324</v>
      </c>
    </row>
    <row r="186" spans="1:10" ht="28.5">
      <c r="A186" s="48" t="s">
        <v>128</v>
      </c>
      <c r="B186" s="48" t="s">
        <v>87</v>
      </c>
      <c r="C186" s="48">
        <v>2</v>
      </c>
      <c r="D186" s="48">
        <f>ROUND(C186*(1+('Crisis Simulator'!$B$5-3)*0.15),2)</f>
        <v>2</v>
      </c>
      <c r="E186" s="48" t="s">
        <v>14357</v>
      </c>
      <c r="F186" s="48" t="s">
        <v>14333</v>
      </c>
      <c r="G186" s="48" t="s">
        <v>14358</v>
      </c>
      <c r="H186" s="48" t="s">
        <v>14359</v>
      </c>
      <c r="I186" s="48" t="str">
        <f t="shared" si="5"/>
        <v>Reputation crisis|Marketing Comms</v>
      </c>
      <c r="J186" s="48" t="s">
        <v>14324</v>
      </c>
    </row>
    <row r="187" spans="1:10" ht="28.5">
      <c r="A187" s="48" t="s">
        <v>128</v>
      </c>
      <c r="B187" s="48" t="s">
        <v>90</v>
      </c>
      <c r="C187" s="48">
        <v>1</v>
      </c>
      <c r="D187" s="48">
        <f>ROUND(C187*(1+('Crisis Simulator'!$B$5-3)*0.15),2)</f>
        <v>1</v>
      </c>
      <c r="E187" s="48" t="s">
        <v>14360</v>
      </c>
      <c r="F187" s="48" t="s">
        <v>14326</v>
      </c>
      <c r="G187" s="48" t="s">
        <v>14361</v>
      </c>
      <c r="H187" s="48" t="s">
        <v>14362</v>
      </c>
      <c r="I187" s="48" t="str">
        <f t="shared" si="5"/>
        <v>Reputation crisis|IT Cloud DR</v>
      </c>
      <c r="J187" s="48" t="s">
        <v>14324</v>
      </c>
    </row>
    <row r="188" spans="1:10" ht="28.5">
      <c r="A188" s="48" t="s">
        <v>128</v>
      </c>
      <c r="B188" s="48" t="s">
        <v>91</v>
      </c>
      <c r="C188" s="48">
        <v>1</v>
      </c>
      <c r="D188" s="48">
        <f>ROUND(C188*(1+('Crisis Simulator'!$B$5-3)*0.15),2)</f>
        <v>1</v>
      </c>
      <c r="E188" s="48" t="s">
        <v>14363</v>
      </c>
      <c r="F188" s="48" t="s">
        <v>14326</v>
      </c>
      <c r="G188" s="48" t="s">
        <v>14364</v>
      </c>
      <c r="H188" s="48" t="s">
        <v>14365</v>
      </c>
      <c r="I188" s="48" t="str">
        <f t="shared" si="5"/>
        <v>Reputation crisis|Business Systems</v>
      </c>
      <c r="J188" s="48" t="s">
        <v>14324</v>
      </c>
    </row>
    <row r="189" spans="1:10" ht="28.5">
      <c r="A189" s="48" t="s">
        <v>128</v>
      </c>
      <c r="B189" s="48" t="s">
        <v>92</v>
      </c>
      <c r="C189" s="48">
        <v>1</v>
      </c>
      <c r="D189" s="48">
        <f>ROUND(C189*(1+('Crisis Simulator'!$B$5-3)*0.15),2)</f>
        <v>1</v>
      </c>
      <c r="E189" s="48" t="s">
        <v>14366</v>
      </c>
      <c r="F189" s="48" t="s">
        <v>14326</v>
      </c>
      <c r="G189" s="48" t="s">
        <v>14367</v>
      </c>
      <c r="H189" s="48" t="s">
        <v>14368</v>
      </c>
      <c r="I189" s="48" t="str">
        <f t="shared" si="5"/>
        <v>Reputation crisis|Data BI AI</v>
      </c>
      <c r="J189" s="48" t="s">
        <v>14324</v>
      </c>
    </row>
    <row r="190" spans="1:10" ht="28.5">
      <c r="A190" s="48" t="s">
        <v>128</v>
      </c>
      <c r="B190" s="48" t="s">
        <v>93</v>
      </c>
      <c r="C190" s="48">
        <v>1.3</v>
      </c>
      <c r="D190" s="48">
        <f>ROUND(C190*(1+('Crisis Simulator'!$B$5-3)*0.15),2)</f>
        <v>1.3</v>
      </c>
      <c r="E190" s="48" t="s">
        <v>14369</v>
      </c>
      <c r="F190" s="48" t="s">
        <v>14321</v>
      </c>
      <c r="G190" s="48" t="s">
        <v>14370</v>
      </c>
      <c r="H190" s="48" t="s">
        <v>14371</v>
      </c>
      <c r="I190" s="48" t="str">
        <f t="shared" si="5"/>
        <v>Reputation crisis|Cyber Privacy</v>
      </c>
      <c r="J190" s="48" t="s">
        <v>14324</v>
      </c>
    </row>
    <row r="191" spans="1:10" ht="28.5">
      <c r="A191" s="48" t="s">
        <v>128</v>
      </c>
      <c r="B191" s="48" t="s">
        <v>94</v>
      </c>
      <c r="C191" s="48">
        <v>1</v>
      </c>
      <c r="D191" s="48">
        <f>ROUND(C191*(1+('Crisis Simulator'!$B$5-3)*0.15),2)</f>
        <v>1</v>
      </c>
      <c r="E191" s="48" t="s">
        <v>14372</v>
      </c>
      <c r="F191" s="48" t="s">
        <v>14326</v>
      </c>
      <c r="G191" s="48" t="s">
        <v>14373</v>
      </c>
      <c r="H191" s="48" t="s">
        <v>14374</v>
      </c>
      <c r="I191" s="48" t="str">
        <f t="shared" si="5"/>
        <v>Reputation crisis|Quality Portfolio</v>
      </c>
      <c r="J191" s="48" t="s">
        <v>14324</v>
      </c>
    </row>
  </sheetData>
  <sheetProtection sheet="1" objects="1" scenarios="1"/>
  <autoFilter ref="A4:J191" ns2:uid="{00000000-0009-0000-0000-000029000000}"/>
  <mergeCells count="2">
    <mergeCell ref="A1:J1"/>
    <mergeCell ref="A2:J2"/>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3.xml><?xml version="1.0" encoding="utf-8"?>
<worksheet xmlns="http://schemas.openxmlformats.org/spreadsheetml/2006/main" xmlns:ns1="http://schemas.openxmlformats.org/markup-compatibility/2006" xmlns:ns2="http://schemas.microsoft.com/office/spreadsheetml/2014/revision" ns1:Ignorable="x14ac xr xr2 xr3" ns2:uid="{00000000-0001-0000-2A00-000000000000}">
  <sheetPr>
    <tabColor rgb="FF808080"/>
  </sheetPr>
  <dimension ref="A1:AR18"/>
  <sheetViews>
    <sheetView workbookViewId="0">
      <pane ySplit="4" topLeftCell="A5" activePane="bottomLeft" state="frozen"/>
      <selection pane="bottomLeft"/>
    </sheetView>
  </sheetViews>
  <sheetFormatPr defaultRowHeight="14.25"/>
  <cols>
    <col min="1" max="1" width="18" customWidth="1"/>
    <col min="2" max="6" width="42" customWidth="1"/>
    <col min="7" max="8" width="18" customWidth="1"/>
    <col min="9" max="9" width="42" customWidth="1"/>
    <col min="10" max="14" width="18" customWidth="1"/>
    <col min="15" max="15" width="42" customWidth="1"/>
    <col min="16" max="26" width="18" customWidth="1"/>
    <col min="27" max="43" width="16" customWidth="1"/>
    <col min="44" max="44" width="42" customWidth="1"/>
  </cols>
  <sheetData>
    <row r="1" spans="1:44" ht="18">
      <c r="A1" s="198" t="s">
        <v>14375</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row>
    <row r="2" spans="1:44">
      <c r="A2" s="158" t="s">
        <v>14376</v>
      </c>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row>
    <row r="4" spans="1:44" ht="27.95" customHeight="1">
      <c r="A4" s="50" t="s">
        <v>718</v>
      </c>
      <c r="B4" s="50" t="s">
        <v>717</v>
      </c>
      <c r="C4" s="50" t="s">
        <v>340</v>
      </c>
      <c r="D4" s="50" t="s">
        <v>14377</v>
      </c>
      <c r="E4" s="50" t="s">
        <v>728</v>
      </c>
      <c r="F4" s="50" t="s">
        <v>730</v>
      </c>
      <c r="G4" s="50" t="s">
        <v>731</v>
      </c>
      <c r="H4" s="50" t="s">
        <v>732</v>
      </c>
      <c r="I4" s="50" t="s">
        <v>733</v>
      </c>
      <c r="J4" s="50" t="s">
        <v>14378</v>
      </c>
      <c r="K4" s="50" t="s">
        <v>14379</v>
      </c>
      <c r="L4" s="50" t="s">
        <v>14380</v>
      </c>
      <c r="M4" s="50" t="s">
        <v>14381</v>
      </c>
      <c r="N4" s="50" t="s">
        <v>327</v>
      </c>
      <c r="O4" s="50" t="s">
        <v>14315</v>
      </c>
      <c r="P4" s="50" t="s">
        <v>98</v>
      </c>
      <c r="Q4" s="50" t="s">
        <v>101</v>
      </c>
      <c r="R4" s="50" t="s">
        <v>104</v>
      </c>
      <c r="S4" s="50" t="s">
        <v>107</v>
      </c>
      <c r="T4" s="50" t="s">
        <v>110</v>
      </c>
      <c r="U4" s="50" t="s">
        <v>113</v>
      </c>
      <c r="V4" s="50" t="s">
        <v>116</v>
      </c>
      <c r="W4" s="50" t="s">
        <v>119</v>
      </c>
      <c r="X4" s="50" t="s">
        <v>122</v>
      </c>
      <c r="Y4" s="50" t="s">
        <v>125</v>
      </c>
      <c r="Z4" s="50" t="s">
        <v>128</v>
      </c>
      <c r="AA4" s="50" t="s">
        <v>54</v>
      </c>
      <c r="AB4" s="50" t="s">
        <v>57</v>
      </c>
      <c r="AC4" s="50" t="s">
        <v>60</v>
      </c>
      <c r="AD4" s="50" t="s">
        <v>63</v>
      </c>
      <c r="AE4" s="50" t="s">
        <v>66</v>
      </c>
      <c r="AF4" s="50" t="s">
        <v>69</v>
      </c>
      <c r="AG4" s="50" t="s">
        <v>72</v>
      </c>
      <c r="AH4" s="50" t="s">
        <v>75</v>
      </c>
      <c r="AI4" s="50" t="s">
        <v>78</v>
      </c>
      <c r="AJ4" s="50" t="s">
        <v>81</v>
      </c>
      <c r="AK4" s="50" t="s">
        <v>84</v>
      </c>
      <c r="AL4" s="50" t="s">
        <v>87</v>
      </c>
      <c r="AM4" s="50" t="s">
        <v>90</v>
      </c>
      <c r="AN4" s="50" t="s">
        <v>91</v>
      </c>
      <c r="AO4" s="50" t="s">
        <v>92</v>
      </c>
      <c r="AP4" s="50" t="s">
        <v>93</v>
      </c>
      <c r="AQ4" s="50" t="s">
        <v>94</v>
      </c>
      <c r="AR4" s="50" t="s">
        <v>14382</v>
      </c>
    </row>
    <row r="5" spans="1:44" ht="28.5">
      <c r="A5" s="48" t="s">
        <v>1491</v>
      </c>
      <c r="B5" s="48" t="s">
        <v>1490</v>
      </c>
      <c r="C5" s="48" t="s">
        <v>14383</v>
      </c>
      <c r="D5" s="48" t="s">
        <v>14384</v>
      </c>
      <c r="E5" s="48" t="s">
        <v>14385</v>
      </c>
      <c r="F5" s="48" t="s">
        <v>14386</v>
      </c>
      <c r="G5" s="48" t="s">
        <v>14387</v>
      </c>
      <c r="H5" s="48" t="s">
        <v>14388</v>
      </c>
      <c r="I5" s="48" t="s">
        <v>14389</v>
      </c>
      <c r="J5" s="48">
        <v>4</v>
      </c>
      <c r="K5" s="48">
        <v>5</v>
      </c>
      <c r="L5" s="48">
        <v>3</v>
      </c>
      <c r="M5" s="48">
        <v>4</v>
      </c>
      <c r="N5" s="48">
        <v>3</v>
      </c>
      <c r="O5" s="48" t="s">
        <v>14383</v>
      </c>
      <c r="P5" s="48">
        <v>1</v>
      </c>
      <c r="Q5" s="48">
        <v>1</v>
      </c>
      <c r="R5" s="48">
        <v>1.3</v>
      </c>
      <c r="S5" s="48">
        <v>1.4</v>
      </c>
      <c r="T5" s="48">
        <v>1</v>
      </c>
      <c r="U5" s="48">
        <v>1</v>
      </c>
      <c r="V5" s="48">
        <v>1.2</v>
      </c>
      <c r="W5" s="48">
        <v>1.3</v>
      </c>
      <c r="X5" s="48">
        <v>1</v>
      </c>
      <c r="Y5" s="48">
        <v>1</v>
      </c>
      <c r="Z5" s="48">
        <v>1</v>
      </c>
      <c r="AA5" s="48">
        <v>0</v>
      </c>
      <c r="AB5" s="48">
        <v>2</v>
      </c>
      <c r="AC5" s="48">
        <v>3</v>
      </c>
      <c r="AD5" s="48">
        <v>0</v>
      </c>
      <c r="AE5" s="48">
        <v>0</v>
      </c>
      <c r="AF5" s="48">
        <v>0</v>
      </c>
      <c r="AG5" s="48">
        <v>0</v>
      </c>
      <c r="AH5" s="48">
        <v>0</v>
      </c>
      <c r="AI5" s="48">
        <v>0</v>
      </c>
      <c r="AJ5" s="48">
        <v>0</v>
      </c>
      <c r="AK5" s="48">
        <v>0</v>
      </c>
      <c r="AL5" s="48">
        <v>0</v>
      </c>
      <c r="AM5" s="48">
        <v>4</v>
      </c>
      <c r="AN5" s="48">
        <v>5</v>
      </c>
      <c r="AO5" s="48">
        <v>4</v>
      </c>
      <c r="AP5" s="48">
        <v>0</v>
      </c>
      <c r="AQ5" s="48">
        <v>3</v>
      </c>
      <c r="AR5" s="48" t="s">
        <v>14390</v>
      </c>
    </row>
    <row r="6" spans="1:44" ht="42.75">
      <c r="A6" s="48" t="s">
        <v>1000</v>
      </c>
      <c r="B6" s="48" t="s">
        <v>999</v>
      </c>
      <c r="C6" s="48" t="s">
        <v>14391</v>
      </c>
      <c r="D6" s="48" t="s">
        <v>14392</v>
      </c>
      <c r="E6" s="48" t="s">
        <v>14393</v>
      </c>
      <c r="F6" s="48" t="s">
        <v>14394</v>
      </c>
      <c r="G6" s="48" t="s">
        <v>1005</v>
      </c>
      <c r="H6" s="48" t="s">
        <v>14388</v>
      </c>
      <c r="I6" s="48" t="s">
        <v>14395</v>
      </c>
      <c r="J6" s="48">
        <v>5</v>
      </c>
      <c r="K6" s="48">
        <v>2</v>
      </c>
      <c r="L6" s="48">
        <v>5</v>
      </c>
      <c r="M6" s="48">
        <v>4</v>
      </c>
      <c r="N6" s="48">
        <v>3</v>
      </c>
      <c r="O6" s="48" t="s">
        <v>14391</v>
      </c>
      <c r="P6" s="48">
        <v>1.8</v>
      </c>
      <c r="Q6" s="48">
        <v>1.8</v>
      </c>
      <c r="R6" s="48">
        <v>1</v>
      </c>
      <c r="S6" s="48">
        <v>1.4</v>
      </c>
      <c r="T6" s="48">
        <v>1.4</v>
      </c>
      <c r="U6" s="48">
        <v>1.6</v>
      </c>
      <c r="V6" s="48">
        <v>1</v>
      </c>
      <c r="W6" s="48">
        <v>1</v>
      </c>
      <c r="X6" s="48">
        <v>1.5</v>
      </c>
      <c r="Y6" s="48">
        <v>1</v>
      </c>
      <c r="Z6" s="48">
        <v>1</v>
      </c>
      <c r="AA6" s="48">
        <v>3</v>
      </c>
      <c r="AB6" s="48">
        <v>0</v>
      </c>
      <c r="AC6" s="48">
        <v>5</v>
      </c>
      <c r="AD6" s="48">
        <v>4</v>
      </c>
      <c r="AE6" s="48">
        <v>0</v>
      </c>
      <c r="AF6" s="48">
        <v>0</v>
      </c>
      <c r="AG6" s="48">
        <v>5</v>
      </c>
      <c r="AH6" s="48">
        <v>4</v>
      </c>
      <c r="AI6" s="48">
        <v>4</v>
      </c>
      <c r="AJ6" s="48">
        <v>3</v>
      </c>
      <c r="AK6" s="48">
        <v>0</v>
      </c>
      <c r="AL6" s="48">
        <v>0</v>
      </c>
      <c r="AM6" s="48">
        <v>4</v>
      </c>
      <c r="AN6" s="48">
        <v>0</v>
      </c>
      <c r="AO6" s="48">
        <v>0</v>
      </c>
      <c r="AP6" s="48">
        <v>0</v>
      </c>
      <c r="AQ6" s="48">
        <v>0</v>
      </c>
      <c r="AR6" s="48" t="s">
        <v>14396</v>
      </c>
    </row>
    <row r="7" spans="1:44" ht="42.75">
      <c r="A7" s="48" t="s">
        <v>1443</v>
      </c>
      <c r="B7" s="48" t="s">
        <v>1442</v>
      </c>
      <c r="C7" s="48" t="s">
        <v>14397</v>
      </c>
      <c r="D7" s="48" t="s">
        <v>14398</v>
      </c>
      <c r="E7" s="48" t="s">
        <v>14399</v>
      </c>
      <c r="F7" s="48" t="s">
        <v>14400</v>
      </c>
      <c r="G7" s="48" t="s">
        <v>14401</v>
      </c>
      <c r="H7" s="48" t="s">
        <v>14402</v>
      </c>
      <c r="I7" s="48" t="s">
        <v>14403</v>
      </c>
      <c r="J7" s="48">
        <v>5</v>
      </c>
      <c r="K7" s="48">
        <v>5</v>
      </c>
      <c r="L7" s="48">
        <v>5</v>
      </c>
      <c r="M7" s="48">
        <v>3</v>
      </c>
      <c r="N7" s="48">
        <v>4</v>
      </c>
      <c r="O7" s="48" t="s">
        <v>14397</v>
      </c>
      <c r="P7" s="48">
        <v>1.5</v>
      </c>
      <c r="Q7" s="48">
        <v>1.8</v>
      </c>
      <c r="R7" s="48">
        <v>1.6</v>
      </c>
      <c r="S7" s="48">
        <v>2</v>
      </c>
      <c r="T7" s="48">
        <v>1</v>
      </c>
      <c r="U7" s="48">
        <v>1.5</v>
      </c>
      <c r="V7" s="48">
        <v>1</v>
      </c>
      <c r="W7" s="48">
        <v>1</v>
      </c>
      <c r="X7" s="48">
        <v>1</v>
      </c>
      <c r="Y7" s="48">
        <v>1</v>
      </c>
      <c r="Z7" s="48">
        <v>1</v>
      </c>
      <c r="AA7" s="48">
        <v>0</v>
      </c>
      <c r="AB7" s="48">
        <v>0</v>
      </c>
      <c r="AC7" s="48">
        <v>0</v>
      </c>
      <c r="AD7" s="48">
        <v>0</v>
      </c>
      <c r="AE7" s="48">
        <v>0</v>
      </c>
      <c r="AF7" s="48">
        <v>0</v>
      </c>
      <c r="AG7" s="48">
        <v>2</v>
      </c>
      <c r="AH7" s="48">
        <v>2</v>
      </c>
      <c r="AI7" s="48">
        <v>0</v>
      </c>
      <c r="AJ7" s="48">
        <v>0</v>
      </c>
      <c r="AK7" s="48">
        <v>0</v>
      </c>
      <c r="AL7" s="48">
        <v>0</v>
      </c>
      <c r="AM7" s="48">
        <v>5</v>
      </c>
      <c r="AN7" s="48">
        <v>4</v>
      </c>
      <c r="AO7" s="48">
        <v>3</v>
      </c>
      <c r="AP7" s="48">
        <v>4</v>
      </c>
      <c r="AQ7" s="48">
        <v>0</v>
      </c>
      <c r="AR7" s="48" t="s">
        <v>14404</v>
      </c>
    </row>
    <row r="8" spans="1:44" ht="42.75">
      <c r="A8" s="48" t="s">
        <v>1583</v>
      </c>
      <c r="B8" s="48" t="s">
        <v>1582</v>
      </c>
      <c r="C8" s="48" t="s">
        <v>14405</v>
      </c>
      <c r="D8" s="48" t="s">
        <v>14406</v>
      </c>
      <c r="E8" s="48" t="s">
        <v>14407</v>
      </c>
      <c r="F8" s="48" t="s">
        <v>14408</v>
      </c>
      <c r="G8" s="48" t="s">
        <v>14409</v>
      </c>
      <c r="H8" s="48" t="s">
        <v>14402</v>
      </c>
      <c r="I8" s="48" t="s">
        <v>14410</v>
      </c>
      <c r="J8" s="48">
        <v>5</v>
      </c>
      <c r="K8" s="48">
        <v>4</v>
      </c>
      <c r="L8" s="48">
        <v>5</v>
      </c>
      <c r="M8" s="48">
        <v>4</v>
      </c>
      <c r="N8" s="48">
        <v>4</v>
      </c>
      <c r="O8" s="48" t="s">
        <v>14405</v>
      </c>
      <c r="P8" s="48">
        <v>1</v>
      </c>
      <c r="Q8" s="48">
        <v>1</v>
      </c>
      <c r="R8" s="48">
        <v>2</v>
      </c>
      <c r="S8" s="48">
        <v>1.6</v>
      </c>
      <c r="T8" s="48">
        <v>1</v>
      </c>
      <c r="U8" s="48">
        <v>1</v>
      </c>
      <c r="V8" s="48">
        <v>1</v>
      </c>
      <c r="W8" s="48">
        <v>1</v>
      </c>
      <c r="X8" s="48">
        <v>1</v>
      </c>
      <c r="Y8" s="48">
        <v>1.3</v>
      </c>
      <c r="Z8" s="48">
        <v>1.4</v>
      </c>
      <c r="AA8" s="48">
        <v>0</v>
      </c>
      <c r="AB8" s="48">
        <v>0</v>
      </c>
      <c r="AC8" s="48">
        <v>0</v>
      </c>
      <c r="AD8" s="48">
        <v>0</v>
      </c>
      <c r="AE8" s="48">
        <v>2</v>
      </c>
      <c r="AF8" s="48">
        <v>3</v>
      </c>
      <c r="AG8" s="48">
        <v>0</v>
      </c>
      <c r="AH8" s="48">
        <v>0</v>
      </c>
      <c r="AI8" s="48">
        <v>0</v>
      </c>
      <c r="AJ8" s="48">
        <v>0</v>
      </c>
      <c r="AK8" s="48">
        <v>0</v>
      </c>
      <c r="AL8" s="48">
        <v>2</v>
      </c>
      <c r="AM8" s="48">
        <v>4</v>
      </c>
      <c r="AN8" s="48">
        <v>4</v>
      </c>
      <c r="AO8" s="48">
        <v>3</v>
      </c>
      <c r="AP8" s="48">
        <v>5</v>
      </c>
      <c r="AQ8" s="48">
        <v>0</v>
      </c>
      <c r="AR8" s="48" t="s">
        <v>1709</v>
      </c>
    </row>
    <row r="9" spans="1:44" ht="42.75">
      <c r="A9" s="48" t="s">
        <v>1537</v>
      </c>
      <c r="B9" s="48" t="s">
        <v>1536</v>
      </c>
      <c r="C9" s="48" t="s">
        <v>14411</v>
      </c>
      <c r="D9" s="48" t="s">
        <v>14412</v>
      </c>
      <c r="E9" s="48" t="s">
        <v>14413</v>
      </c>
      <c r="F9" s="48" t="s">
        <v>14414</v>
      </c>
      <c r="G9" s="48" t="s">
        <v>14415</v>
      </c>
      <c r="H9" s="48" t="s">
        <v>14416</v>
      </c>
      <c r="I9" s="48" t="s">
        <v>14417</v>
      </c>
      <c r="J9" s="48">
        <v>4</v>
      </c>
      <c r="K9" s="48">
        <v>5</v>
      </c>
      <c r="L9" s="48">
        <v>3</v>
      </c>
      <c r="M9" s="48">
        <v>3</v>
      </c>
      <c r="N9" s="48">
        <v>4</v>
      </c>
      <c r="O9" s="48" t="s">
        <v>14411</v>
      </c>
      <c r="P9" s="48">
        <v>1</v>
      </c>
      <c r="Q9" s="48">
        <v>1</v>
      </c>
      <c r="R9" s="48">
        <v>1.2</v>
      </c>
      <c r="S9" s="48">
        <v>1.2</v>
      </c>
      <c r="T9" s="48">
        <v>1</v>
      </c>
      <c r="U9" s="48">
        <v>1</v>
      </c>
      <c r="V9" s="48">
        <v>1.3</v>
      </c>
      <c r="W9" s="48">
        <v>1.5</v>
      </c>
      <c r="X9" s="48">
        <v>1</v>
      </c>
      <c r="Y9" s="48">
        <v>1.4</v>
      </c>
      <c r="Z9" s="48">
        <v>1</v>
      </c>
      <c r="AA9" s="48">
        <v>0</v>
      </c>
      <c r="AB9" s="48">
        <v>3</v>
      </c>
      <c r="AC9" s="48">
        <v>0</v>
      </c>
      <c r="AD9" s="48">
        <v>0</v>
      </c>
      <c r="AE9" s="48">
        <v>3</v>
      </c>
      <c r="AF9" s="48">
        <v>0</v>
      </c>
      <c r="AG9" s="48">
        <v>0</v>
      </c>
      <c r="AH9" s="48">
        <v>0</v>
      </c>
      <c r="AI9" s="48">
        <v>0</v>
      </c>
      <c r="AJ9" s="48">
        <v>0</v>
      </c>
      <c r="AK9" s="48">
        <v>3</v>
      </c>
      <c r="AL9" s="48">
        <v>0</v>
      </c>
      <c r="AM9" s="48">
        <v>0</v>
      </c>
      <c r="AN9" s="48">
        <v>4</v>
      </c>
      <c r="AO9" s="48">
        <v>5</v>
      </c>
      <c r="AP9" s="48">
        <v>2</v>
      </c>
      <c r="AQ9" s="48">
        <v>2</v>
      </c>
      <c r="AR9" s="48" t="s">
        <v>14418</v>
      </c>
    </row>
    <row r="10" spans="1:44" ht="42.75">
      <c r="A10" s="48" t="s">
        <v>1102</v>
      </c>
      <c r="B10" s="48" t="s">
        <v>1101</v>
      </c>
      <c r="C10" s="48" t="s">
        <v>14419</v>
      </c>
      <c r="D10" s="48" t="s">
        <v>14420</v>
      </c>
      <c r="E10" s="48" t="s">
        <v>14421</v>
      </c>
      <c r="F10" s="48" t="s">
        <v>14422</v>
      </c>
      <c r="G10" s="48" t="s">
        <v>14423</v>
      </c>
      <c r="H10" s="48" t="s">
        <v>14388</v>
      </c>
      <c r="I10" s="48" t="s">
        <v>14424</v>
      </c>
      <c r="J10" s="48">
        <v>4</v>
      </c>
      <c r="K10" s="48">
        <v>2</v>
      </c>
      <c r="L10" s="48">
        <v>5</v>
      </c>
      <c r="M10" s="48">
        <v>4</v>
      </c>
      <c r="N10" s="48">
        <v>3</v>
      </c>
      <c r="O10" s="48" t="s">
        <v>14419</v>
      </c>
      <c r="P10" s="48">
        <v>1.6</v>
      </c>
      <c r="Q10" s="48">
        <v>1.2</v>
      </c>
      <c r="R10" s="48">
        <v>1</v>
      </c>
      <c r="S10" s="48">
        <v>1</v>
      </c>
      <c r="T10" s="48">
        <v>1</v>
      </c>
      <c r="U10" s="48">
        <v>1</v>
      </c>
      <c r="V10" s="48">
        <v>1.2</v>
      </c>
      <c r="W10" s="48">
        <v>1</v>
      </c>
      <c r="X10" s="48">
        <v>2</v>
      </c>
      <c r="Y10" s="48">
        <v>1</v>
      </c>
      <c r="Z10" s="48">
        <v>1</v>
      </c>
      <c r="AA10" s="48">
        <v>0</v>
      </c>
      <c r="AB10" s="48">
        <v>0</v>
      </c>
      <c r="AC10" s="48">
        <v>3</v>
      </c>
      <c r="AD10" s="48">
        <v>5</v>
      </c>
      <c r="AE10" s="48">
        <v>0</v>
      </c>
      <c r="AF10" s="48">
        <v>0</v>
      </c>
      <c r="AG10" s="48">
        <v>3</v>
      </c>
      <c r="AH10" s="48">
        <v>3</v>
      </c>
      <c r="AI10" s="48">
        <v>0</v>
      </c>
      <c r="AJ10" s="48">
        <v>0</v>
      </c>
      <c r="AK10" s="48">
        <v>0</v>
      </c>
      <c r="AL10" s="48">
        <v>0</v>
      </c>
      <c r="AM10" s="48">
        <v>0</v>
      </c>
      <c r="AN10" s="48">
        <v>2</v>
      </c>
      <c r="AO10" s="48">
        <v>0</v>
      </c>
      <c r="AP10" s="48">
        <v>0</v>
      </c>
      <c r="AQ10" s="48">
        <v>2</v>
      </c>
      <c r="AR10" s="48" t="s">
        <v>63</v>
      </c>
    </row>
    <row r="11" spans="1:44" ht="42.75">
      <c r="A11" s="48" t="s">
        <v>1260</v>
      </c>
      <c r="B11" s="48" t="s">
        <v>1259</v>
      </c>
      <c r="C11" s="48" t="s">
        <v>14425</v>
      </c>
      <c r="D11" s="48" t="s">
        <v>14426</v>
      </c>
      <c r="E11" s="48" t="s">
        <v>14427</v>
      </c>
      <c r="F11" s="48" t="s">
        <v>14428</v>
      </c>
      <c r="G11" s="48" t="s">
        <v>1642</v>
      </c>
      <c r="H11" s="48" t="s">
        <v>14416</v>
      </c>
      <c r="I11" s="48" t="s">
        <v>14429</v>
      </c>
      <c r="J11" s="48">
        <v>4</v>
      </c>
      <c r="K11" s="48">
        <v>4</v>
      </c>
      <c r="L11" s="48">
        <v>3</v>
      </c>
      <c r="M11" s="48">
        <v>5</v>
      </c>
      <c r="N11" s="48">
        <v>4</v>
      </c>
      <c r="O11" s="48" t="s">
        <v>14425</v>
      </c>
      <c r="P11" s="48">
        <v>1</v>
      </c>
      <c r="Q11" s="48">
        <v>1</v>
      </c>
      <c r="R11" s="48">
        <v>1</v>
      </c>
      <c r="S11" s="48">
        <v>1</v>
      </c>
      <c r="T11" s="48">
        <v>1.3</v>
      </c>
      <c r="U11" s="48">
        <v>1.4</v>
      </c>
      <c r="V11" s="48">
        <v>1.7</v>
      </c>
      <c r="W11" s="48">
        <v>1.4</v>
      </c>
      <c r="X11" s="48">
        <v>1</v>
      </c>
      <c r="Y11" s="48">
        <v>1</v>
      </c>
      <c r="Z11" s="48">
        <v>1</v>
      </c>
      <c r="AA11" s="48">
        <v>0</v>
      </c>
      <c r="AB11" s="48">
        <v>0</v>
      </c>
      <c r="AC11" s="48">
        <v>0</v>
      </c>
      <c r="AD11" s="48">
        <v>0</v>
      </c>
      <c r="AE11" s="48">
        <v>3</v>
      </c>
      <c r="AF11" s="48">
        <v>0</v>
      </c>
      <c r="AG11" s="48">
        <v>0</v>
      </c>
      <c r="AH11" s="48">
        <v>4</v>
      </c>
      <c r="AI11" s="48">
        <v>3</v>
      </c>
      <c r="AJ11" s="48">
        <v>4</v>
      </c>
      <c r="AK11" s="48">
        <v>0</v>
      </c>
      <c r="AL11" s="48">
        <v>0</v>
      </c>
      <c r="AM11" s="48">
        <v>0</v>
      </c>
      <c r="AN11" s="48">
        <v>4</v>
      </c>
      <c r="AO11" s="48">
        <v>3</v>
      </c>
      <c r="AP11" s="48">
        <v>0</v>
      </c>
      <c r="AQ11" s="48">
        <v>5</v>
      </c>
      <c r="AR11" s="48" t="s">
        <v>14430</v>
      </c>
    </row>
    <row r="12" spans="1:44" ht="42.75">
      <c r="A12" s="48" t="s">
        <v>1160</v>
      </c>
      <c r="B12" s="48" t="s">
        <v>1159</v>
      </c>
      <c r="C12" s="48" t="s">
        <v>14431</v>
      </c>
      <c r="D12" s="48" t="s">
        <v>14432</v>
      </c>
      <c r="E12" s="48" t="s">
        <v>14433</v>
      </c>
      <c r="F12" s="48" t="s">
        <v>14434</v>
      </c>
      <c r="G12" s="48" t="s">
        <v>14435</v>
      </c>
      <c r="H12" s="48" t="s">
        <v>14402</v>
      </c>
      <c r="I12" s="48" t="s">
        <v>14436</v>
      </c>
      <c r="J12" s="48">
        <v>5</v>
      </c>
      <c r="K12" s="48">
        <v>3</v>
      </c>
      <c r="L12" s="48">
        <v>5</v>
      </c>
      <c r="M12" s="48">
        <v>4</v>
      </c>
      <c r="N12" s="48">
        <v>4</v>
      </c>
      <c r="O12" s="48" t="s">
        <v>14431</v>
      </c>
      <c r="P12" s="48">
        <v>1.6</v>
      </c>
      <c r="Q12" s="48">
        <v>1.4</v>
      </c>
      <c r="R12" s="48">
        <v>1</v>
      </c>
      <c r="S12" s="48">
        <v>1</v>
      </c>
      <c r="T12" s="48">
        <v>2</v>
      </c>
      <c r="U12" s="48">
        <v>1.5</v>
      </c>
      <c r="V12" s="48">
        <v>1</v>
      </c>
      <c r="W12" s="48">
        <v>1</v>
      </c>
      <c r="X12" s="48">
        <v>1</v>
      </c>
      <c r="Y12" s="48">
        <v>1</v>
      </c>
      <c r="Z12" s="48">
        <v>1</v>
      </c>
      <c r="AA12" s="48">
        <v>3</v>
      </c>
      <c r="AB12" s="48">
        <v>0</v>
      </c>
      <c r="AC12" s="48">
        <v>0</v>
      </c>
      <c r="AD12" s="48">
        <v>0</v>
      </c>
      <c r="AE12" s="48">
        <v>3</v>
      </c>
      <c r="AF12" s="48">
        <v>0</v>
      </c>
      <c r="AG12" s="48">
        <v>2</v>
      </c>
      <c r="AH12" s="48">
        <v>5</v>
      </c>
      <c r="AI12" s="48">
        <v>5</v>
      </c>
      <c r="AJ12" s="48">
        <v>4</v>
      </c>
      <c r="AK12" s="48">
        <v>0</v>
      </c>
      <c r="AL12" s="48">
        <v>0</v>
      </c>
      <c r="AM12" s="48">
        <v>0</v>
      </c>
      <c r="AN12" s="48">
        <v>0</v>
      </c>
      <c r="AO12" s="48">
        <v>0</v>
      </c>
      <c r="AP12" s="48">
        <v>0</v>
      </c>
      <c r="AQ12" s="48">
        <v>0</v>
      </c>
      <c r="AR12" s="48" t="s">
        <v>14437</v>
      </c>
    </row>
    <row r="13" spans="1:44" ht="42.75">
      <c r="A13" s="48" t="s">
        <v>1333</v>
      </c>
      <c r="B13" s="48" t="s">
        <v>1332</v>
      </c>
      <c r="C13" s="48" t="s">
        <v>14438</v>
      </c>
      <c r="D13" s="48" t="s">
        <v>14439</v>
      </c>
      <c r="E13" s="48" t="s">
        <v>14440</v>
      </c>
      <c r="F13" s="48" t="s">
        <v>14441</v>
      </c>
      <c r="G13" s="48" t="s">
        <v>14442</v>
      </c>
      <c r="H13" s="48" t="s">
        <v>14416</v>
      </c>
      <c r="I13" s="48" t="s">
        <v>14443</v>
      </c>
      <c r="J13" s="48">
        <v>4</v>
      </c>
      <c r="K13" s="48">
        <v>4</v>
      </c>
      <c r="L13" s="48">
        <v>5</v>
      </c>
      <c r="M13" s="48">
        <v>4</v>
      </c>
      <c r="N13" s="48">
        <v>5</v>
      </c>
      <c r="O13" s="48" t="s">
        <v>14438</v>
      </c>
      <c r="P13" s="48">
        <v>1.3</v>
      </c>
      <c r="Q13" s="48">
        <v>1.7</v>
      </c>
      <c r="R13" s="48">
        <v>1</v>
      </c>
      <c r="S13" s="48">
        <v>1</v>
      </c>
      <c r="T13" s="48">
        <v>1.5</v>
      </c>
      <c r="U13" s="48">
        <v>1.8</v>
      </c>
      <c r="V13" s="48">
        <v>1</v>
      </c>
      <c r="W13" s="48">
        <v>1</v>
      </c>
      <c r="X13" s="48">
        <v>1</v>
      </c>
      <c r="Y13" s="48">
        <v>1</v>
      </c>
      <c r="Z13" s="48">
        <v>1</v>
      </c>
      <c r="AA13" s="48">
        <v>0</v>
      </c>
      <c r="AB13" s="48">
        <v>0</v>
      </c>
      <c r="AC13" s="48">
        <v>0</v>
      </c>
      <c r="AD13" s="48">
        <v>0</v>
      </c>
      <c r="AE13" s="48">
        <v>0</v>
      </c>
      <c r="AF13" s="48">
        <v>0</v>
      </c>
      <c r="AG13" s="48">
        <v>4</v>
      </c>
      <c r="AH13" s="48">
        <v>3</v>
      </c>
      <c r="AI13" s="48">
        <v>4</v>
      </c>
      <c r="AJ13" s="48">
        <v>5</v>
      </c>
      <c r="AK13" s="48">
        <v>0</v>
      </c>
      <c r="AL13" s="48">
        <v>0</v>
      </c>
      <c r="AM13" s="48">
        <v>3</v>
      </c>
      <c r="AN13" s="48">
        <v>3</v>
      </c>
      <c r="AO13" s="48">
        <v>0</v>
      </c>
      <c r="AP13" s="48">
        <v>0</v>
      </c>
      <c r="AQ13" s="48">
        <v>0</v>
      </c>
      <c r="AR13" s="48" t="s">
        <v>14444</v>
      </c>
    </row>
    <row r="14" spans="1:44" ht="42.75">
      <c r="A14" s="48" t="s">
        <v>1213</v>
      </c>
      <c r="B14" s="48" t="s">
        <v>1212</v>
      </c>
      <c r="C14" s="48" t="s">
        <v>14445</v>
      </c>
      <c r="D14" s="48" t="s">
        <v>14446</v>
      </c>
      <c r="E14" s="48" t="s">
        <v>14447</v>
      </c>
      <c r="F14" s="48" t="s">
        <v>14448</v>
      </c>
      <c r="G14" s="48" t="s">
        <v>1218</v>
      </c>
      <c r="H14" s="48" t="s">
        <v>14388</v>
      </c>
      <c r="I14" s="48" t="s">
        <v>14449</v>
      </c>
      <c r="J14" s="48">
        <v>5</v>
      </c>
      <c r="K14" s="48">
        <v>2</v>
      </c>
      <c r="L14" s="48">
        <v>5</v>
      </c>
      <c r="M14" s="48">
        <v>4</v>
      </c>
      <c r="N14" s="48">
        <v>3</v>
      </c>
      <c r="O14" s="48" t="s">
        <v>14445</v>
      </c>
      <c r="P14" s="48">
        <v>1.8</v>
      </c>
      <c r="Q14" s="48">
        <v>2</v>
      </c>
      <c r="R14" s="48">
        <v>1</v>
      </c>
      <c r="S14" s="48">
        <v>1</v>
      </c>
      <c r="T14" s="48">
        <v>1</v>
      </c>
      <c r="U14" s="48">
        <v>1.5</v>
      </c>
      <c r="V14" s="48">
        <v>1</v>
      </c>
      <c r="W14" s="48">
        <v>1</v>
      </c>
      <c r="X14" s="48">
        <v>1.5</v>
      </c>
      <c r="Y14" s="48">
        <v>1</v>
      </c>
      <c r="Z14" s="48">
        <v>1</v>
      </c>
      <c r="AA14" s="48">
        <v>3</v>
      </c>
      <c r="AB14" s="48">
        <v>0</v>
      </c>
      <c r="AC14" s="48">
        <v>3</v>
      </c>
      <c r="AD14" s="48">
        <v>3</v>
      </c>
      <c r="AE14" s="48">
        <v>0</v>
      </c>
      <c r="AF14" s="48">
        <v>0</v>
      </c>
      <c r="AG14" s="48">
        <v>5</v>
      </c>
      <c r="AH14" s="48">
        <v>2</v>
      </c>
      <c r="AI14" s="48">
        <v>0</v>
      </c>
      <c r="AJ14" s="48">
        <v>3</v>
      </c>
      <c r="AK14" s="48">
        <v>0</v>
      </c>
      <c r="AL14" s="48">
        <v>0</v>
      </c>
      <c r="AM14" s="48">
        <v>0</v>
      </c>
      <c r="AN14" s="48">
        <v>0</v>
      </c>
      <c r="AO14" s="48">
        <v>0</v>
      </c>
      <c r="AP14" s="48">
        <v>0</v>
      </c>
      <c r="AQ14" s="48">
        <v>0</v>
      </c>
      <c r="AR14" s="48" t="s">
        <v>72</v>
      </c>
    </row>
    <row r="15" spans="1:44" ht="42.75">
      <c r="A15" s="48" t="s">
        <v>1050</v>
      </c>
      <c r="B15" s="48" t="s">
        <v>1049</v>
      </c>
      <c r="C15" s="48" t="s">
        <v>14450</v>
      </c>
      <c r="D15" s="48" t="s">
        <v>14451</v>
      </c>
      <c r="E15" s="48" t="s">
        <v>14452</v>
      </c>
      <c r="F15" s="48" t="s">
        <v>14453</v>
      </c>
      <c r="G15" s="48" t="s">
        <v>14454</v>
      </c>
      <c r="H15" s="48" t="s">
        <v>14416</v>
      </c>
      <c r="I15" s="48" t="s">
        <v>14455</v>
      </c>
      <c r="J15" s="48">
        <v>4</v>
      </c>
      <c r="K15" s="48">
        <v>4</v>
      </c>
      <c r="L15" s="48">
        <v>4</v>
      </c>
      <c r="M15" s="48">
        <v>3</v>
      </c>
      <c r="N15" s="48">
        <v>4</v>
      </c>
      <c r="O15" s="48" t="s">
        <v>14450</v>
      </c>
      <c r="P15" s="48">
        <v>1.2</v>
      </c>
      <c r="Q15" s="48">
        <v>1</v>
      </c>
      <c r="R15" s="48">
        <v>1</v>
      </c>
      <c r="S15" s="48">
        <v>1</v>
      </c>
      <c r="T15" s="48">
        <v>1</v>
      </c>
      <c r="U15" s="48">
        <v>1</v>
      </c>
      <c r="V15" s="48">
        <v>1.5</v>
      </c>
      <c r="W15" s="48">
        <v>2</v>
      </c>
      <c r="X15" s="48">
        <v>1</v>
      </c>
      <c r="Y15" s="48">
        <v>1</v>
      </c>
      <c r="Z15" s="48">
        <v>1.4</v>
      </c>
      <c r="AA15" s="48">
        <v>2</v>
      </c>
      <c r="AB15" s="48">
        <v>5</v>
      </c>
      <c r="AC15" s="48">
        <v>0</v>
      </c>
      <c r="AD15" s="48">
        <v>0</v>
      </c>
      <c r="AE15" s="48">
        <v>2</v>
      </c>
      <c r="AF15" s="48">
        <v>0</v>
      </c>
      <c r="AG15" s="48">
        <v>0</v>
      </c>
      <c r="AH15" s="48">
        <v>0</v>
      </c>
      <c r="AI15" s="48">
        <v>0</v>
      </c>
      <c r="AJ15" s="48">
        <v>0</v>
      </c>
      <c r="AK15" s="48">
        <v>5</v>
      </c>
      <c r="AL15" s="48">
        <v>4</v>
      </c>
      <c r="AM15" s="48">
        <v>0</v>
      </c>
      <c r="AN15" s="48">
        <v>0</v>
      </c>
      <c r="AO15" s="48">
        <v>3</v>
      </c>
      <c r="AP15" s="48">
        <v>0</v>
      </c>
      <c r="AQ15" s="48">
        <v>0</v>
      </c>
      <c r="AR15" s="48" t="s">
        <v>14456</v>
      </c>
    </row>
    <row r="16" spans="1:44" ht="42.75">
      <c r="A16" s="48" t="s">
        <v>1380</v>
      </c>
      <c r="B16" s="48" t="s">
        <v>1379</v>
      </c>
      <c r="C16" s="48" t="s">
        <v>14457</v>
      </c>
      <c r="D16" s="48" t="s">
        <v>14458</v>
      </c>
      <c r="E16" s="48" t="s">
        <v>14459</v>
      </c>
      <c r="F16" s="48" t="s">
        <v>14460</v>
      </c>
      <c r="G16" s="48" t="s">
        <v>14461</v>
      </c>
      <c r="H16" s="48" t="s">
        <v>14388</v>
      </c>
      <c r="I16" s="48" t="s">
        <v>14462</v>
      </c>
      <c r="J16" s="48">
        <v>4</v>
      </c>
      <c r="K16" s="48">
        <v>4</v>
      </c>
      <c r="L16" s="48">
        <v>4</v>
      </c>
      <c r="M16" s="48">
        <v>3</v>
      </c>
      <c r="N16" s="48">
        <v>3</v>
      </c>
      <c r="O16" s="48" t="s">
        <v>14457</v>
      </c>
      <c r="P16" s="48">
        <v>1</v>
      </c>
      <c r="Q16" s="48">
        <v>1</v>
      </c>
      <c r="R16" s="48">
        <v>1</v>
      </c>
      <c r="S16" s="48">
        <v>1</v>
      </c>
      <c r="T16" s="48">
        <v>1</v>
      </c>
      <c r="U16" s="48">
        <v>1</v>
      </c>
      <c r="V16" s="48">
        <v>1.6</v>
      </c>
      <c r="W16" s="48">
        <v>1.8</v>
      </c>
      <c r="X16" s="48">
        <v>1</v>
      </c>
      <c r="Y16" s="48">
        <v>1</v>
      </c>
      <c r="Z16" s="48">
        <v>1.7</v>
      </c>
      <c r="AA16" s="48">
        <v>0</v>
      </c>
      <c r="AB16" s="48">
        <v>4</v>
      </c>
      <c r="AC16" s="48">
        <v>0</v>
      </c>
      <c r="AD16" s="48">
        <v>0</v>
      </c>
      <c r="AE16" s="48">
        <v>2</v>
      </c>
      <c r="AF16" s="48">
        <v>0</v>
      </c>
      <c r="AG16" s="48">
        <v>0</v>
      </c>
      <c r="AH16" s="48">
        <v>2</v>
      </c>
      <c r="AI16" s="48">
        <v>0</v>
      </c>
      <c r="AJ16" s="48">
        <v>0</v>
      </c>
      <c r="AK16" s="48">
        <v>5</v>
      </c>
      <c r="AL16" s="48">
        <v>4</v>
      </c>
      <c r="AM16" s="48">
        <v>0</v>
      </c>
      <c r="AN16" s="48">
        <v>0</v>
      </c>
      <c r="AO16" s="48">
        <v>3</v>
      </c>
      <c r="AP16" s="48">
        <v>0</v>
      </c>
      <c r="AQ16" s="48">
        <v>0</v>
      </c>
      <c r="AR16" s="48" t="s">
        <v>14463</v>
      </c>
    </row>
    <row r="17" spans="1:44" ht="42.75">
      <c r="A17" s="48" t="s">
        <v>1149</v>
      </c>
      <c r="B17" s="48" t="s">
        <v>1148</v>
      </c>
      <c r="C17" s="48" t="s">
        <v>14464</v>
      </c>
      <c r="D17" s="48" t="s">
        <v>14465</v>
      </c>
      <c r="E17" s="48" t="s">
        <v>14466</v>
      </c>
      <c r="F17" s="48" t="s">
        <v>14467</v>
      </c>
      <c r="G17" s="48" t="s">
        <v>1182</v>
      </c>
      <c r="H17" s="48" t="s">
        <v>14402</v>
      </c>
      <c r="I17" s="48" t="s">
        <v>14468</v>
      </c>
      <c r="J17" s="48">
        <v>4</v>
      </c>
      <c r="K17" s="48">
        <v>3</v>
      </c>
      <c r="L17" s="48">
        <v>4</v>
      </c>
      <c r="M17" s="48">
        <v>5</v>
      </c>
      <c r="N17" s="48">
        <v>3</v>
      </c>
      <c r="O17" s="48" t="s">
        <v>14464</v>
      </c>
      <c r="P17" s="48">
        <v>1</v>
      </c>
      <c r="Q17" s="48">
        <v>1</v>
      </c>
      <c r="R17" s="48">
        <v>1.5</v>
      </c>
      <c r="S17" s="48">
        <v>1</v>
      </c>
      <c r="T17" s="48">
        <v>1</v>
      </c>
      <c r="U17" s="48">
        <v>1</v>
      </c>
      <c r="V17" s="48">
        <v>1.2</v>
      </c>
      <c r="W17" s="48">
        <v>1</v>
      </c>
      <c r="X17" s="48">
        <v>1</v>
      </c>
      <c r="Y17" s="48">
        <v>2</v>
      </c>
      <c r="Z17" s="48">
        <v>1.4</v>
      </c>
      <c r="AA17" s="48">
        <v>0</v>
      </c>
      <c r="AB17" s="48">
        <v>0</v>
      </c>
      <c r="AC17" s="48">
        <v>4</v>
      </c>
      <c r="AD17" s="48">
        <v>0</v>
      </c>
      <c r="AE17" s="48">
        <v>3</v>
      </c>
      <c r="AF17" s="48">
        <v>5</v>
      </c>
      <c r="AG17" s="48">
        <v>0</v>
      </c>
      <c r="AH17" s="48">
        <v>0</v>
      </c>
      <c r="AI17" s="48">
        <v>0</v>
      </c>
      <c r="AJ17" s="48">
        <v>0</v>
      </c>
      <c r="AK17" s="48">
        <v>0</v>
      </c>
      <c r="AL17" s="48">
        <v>0</v>
      </c>
      <c r="AM17" s="48">
        <v>0</v>
      </c>
      <c r="AN17" s="48">
        <v>2</v>
      </c>
      <c r="AO17" s="48">
        <v>3</v>
      </c>
      <c r="AP17" s="48">
        <v>4</v>
      </c>
      <c r="AQ17" s="48">
        <v>0</v>
      </c>
      <c r="AR17" s="48" t="s">
        <v>14469</v>
      </c>
    </row>
    <row r="18" spans="1:44" ht="42.75">
      <c r="A18" s="48" t="s">
        <v>1034</v>
      </c>
      <c r="B18" s="48" t="s">
        <v>1033</v>
      </c>
      <c r="C18" s="48" t="s">
        <v>14470</v>
      </c>
      <c r="D18" s="48" t="s">
        <v>14471</v>
      </c>
      <c r="E18" s="48" t="s">
        <v>14472</v>
      </c>
      <c r="F18" s="48" t="s">
        <v>14473</v>
      </c>
      <c r="G18" s="48" t="s">
        <v>14474</v>
      </c>
      <c r="H18" s="48" t="s">
        <v>14475</v>
      </c>
      <c r="I18" s="48" t="s">
        <v>14476</v>
      </c>
      <c r="J18" s="48">
        <v>5</v>
      </c>
      <c r="K18" s="48">
        <v>2</v>
      </c>
      <c r="L18" s="48">
        <v>4</v>
      </c>
      <c r="M18" s="48">
        <v>5</v>
      </c>
      <c r="N18" s="48">
        <v>2</v>
      </c>
      <c r="O18" s="48" t="s">
        <v>14470</v>
      </c>
      <c r="P18" s="48">
        <v>1.5</v>
      </c>
      <c r="Q18" s="48">
        <v>1</v>
      </c>
      <c r="R18" s="48">
        <v>1</v>
      </c>
      <c r="S18" s="48">
        <v>1</v>
      </c>
      <c r="T18" s="48">
        <v>1</v>
      </c>
      <c r="U18" s="48">
        <v>1</v>
      </c>
      <c r="V18" s="48">
        <v>1.4</v>
      </c>
      <c r="W18" s="48">
        <v>1.2</v>
      </c>
      <c r="X18" s="48">
        <v>1</v>
      </c>
      <c r="Y18" s="48">
        <v>1.3</v>
      </c>
      <c r="Z18" s="48">
        <v>1.4</v>
      </c>
      <c r="AA18" s="48">
        <v>3</v>
      </c>
      <c r="AB18" s="48">
        <v>3</v>
      </c>
      <c r="AC18" s="48">
        <v>5</v>
      </c>
      <c r="AD18" s="48">
        <v>2</v>
      </c>
      <c r="AE18" s="48">
        <v>3</v>
      </c>
      <c r="AF18" s="48">
        <v>2</v>
      </c>
      <c r="AG18" s="48">
        <v>0</v>
      </c>
      <c r="AH18" s="48">
        <v>0</v>
      </c>
      <c r="AI18" s="48">
        <v>0</v>
      </c>
      <c r="AJ18" s="48">
        <v>0</v>
      </c>
      <c r="AK18" s="48">
        <v>0</v>
      </c>
      <c r="AL18" s="48">
        <v>0</v>
      </c>
      <c r="AM18" s="48">
        <v>0</v>
      </c>
      <c r="AN18" s="48">
        <v>0</v>
      </c>
      <c r="AO18" s="48">
        <v>0</v>
      </c>
      <c r="AP18" s="48">
        <v>0</v>
      </c>
      <c r="AQ18" s="48">
        <v>5</v>
      </c>
      <c r="AR18" s="48" t="s">
        <v>1793</v>
      </c>
    </row>
  </sheetData>
  <sheetProtection sheet="1" objects="1" scenarios="1"/>
  <autoFilter ref="A4:AR18" ns2:uid="{00000000-0009-0000-0000-00002A000000}"/>
  <mergeCells count="2">
    <mergeCell ref="A1:AR1"/>
    <mergeCell ref="A2:AR2"/>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4.xml><?xml version="1.0" encoding="utf-8"?>
<worksheet xmlns="http://schemas.openxmlformats.org/spreadsheetml/2006/main" xmlns:ns1="http://schemas.openxmlformats.org/markup-compatibility/2006" xmlns:ns2="http://schemas.microsoft.com/office/spreadsheetml/2014/revision" ns1:Ignorable="x14ac xr xr2 xr3" ns2:uid="{00000000-0001-0000-2B00-000000000000}">
  <sheetPr>
    <tabColor rgb="FF2E75B6"/>
  </sheetPr>
  <dimension ref="A1:S411"/>
  <sheetViews>
    <sheetView workbookViewId="0">
      <pane ySplit="4" topLeftCell="A5" activePane="bottomLeft" state="frozen"/>
      <selection pane="bottomLeft"/>
    </sheetView>
  </sheetViews>
  <sheetFormatPr defaultRowHeight="14.25"/>
  <cols>
    <col min="1" max="1" width="14" customWidth="1"/>
    <col min="2" max="2" width="20" customWidth="1"/>
    <col min="3" max="3" width="24" customWidth="1"/>
    <col min="4" max="4" width="56" customWidth="1"/>
    <col min="5" max="5" width="42" customWidth="1"/>
    <col min="6" max="6" width="46" customWidth="1"/>
    <col min="7" max="7" width="10" customWidth="1"/>
    <col min="8" max="8" width="32" customWidth="1"/>
    <col min="9" max="9" width="22" customWidth="1"/>
    <col min="10" max="11" width="12" customWidth="1"/>
    <col min="12" max="12" width="14" customWidth="1"/>
    <col min="13" max="18" width="38" customWidth="1"/>
    <col min="19" max="19" width="14" customWidth="1"/>
  </cols>
  <sheetData>
    <row r="1" spans="1:19" ht="24" customHeight="1">
      <c r="A1" s="184" t="s">
        <v>14477</v>
      </c>
      <c r="B1" s="158"/>
      <c r="C1" s="158"/>
      <c r="D1" s="158"/>
      <c r="E1" s="158"/>
      <c r="F1" s="158"/>
      <c r="G1" s="158"/>
      <c r="H1" s="158"/>
      <c r="I1" s="158"/>
      <c r="J1" s="158"/>
      <c r="K1" s="158"/>
      <c r="L1" s="158"/>
      <c r="M1" s="158"/>
      <c r="N1" s="158"/>
      <c r="O1" s="158"/>
      <c r="P1" s="158"/>
      <c r="Q1" s="158"/>
      <c r="R1" s="158"/>
    </row>
    <row r="2" spans="1:19" ht="38.1" customHeight="1">
      <c r="A2" s="183" t="s">
        <v>14478</v>
      </c>
      <c r="B2" s="158"/>
      <c r="C2" s="158"/>
      <c r="D2" s="158"/>
      <c r="E2" s="158"/>
      <c r="F2" s="158"/>
      <c r="G2" s="158"/>
      <c r="H2" s="158"/>
      <c r="I2" s="158"/>
      <c r="J2" s="158"/>
      <c r="K2" s="158"/>
      <c r="L2" s="158"/>
      <c r="M2" s="158"/>
      <c r="N2" s="158"/>
      <c r="O2" s="158"/>
      <c r="P2" s="158"/>
      <c r="Q2" s="158"/>
      <c r="R2" s="158"/>
    </row>
    <row r="4" spans="1:19" ht="30" customHeight="1">
      <c r="A4" s="50" t="s">
        <v>6037</v>
      </c>
      <c r="B4" s="50" t="s">
        <v>36</v>
      </c>
      <c r="C4" s="50" t="s">
        <v>759</v>
      </c>
      <c r="D4" s="50" t="s">
        <v>1819</v>
      </c>
      <c r="E4" s="50" t="s">
        <v>1821</v>
      </c>
      <c r="F4" s="50" t="s">
        <v>1822</v>
      </c>
      <c r="G4" s="50" t="s">
        <v>274</v>
      </c>
      <c r="H4" s="50" t="s">
        <v>1831</v>
      </c>
      <c r="I4" s="50" t="s">
        <v>1832</v>
      </c>
      <c r="J4" s="50" t="s">
        <v>8981</v>
      </c>
      <c r="K4" s="50" t="s">
        <v>8982</v>
      </c>
      <c r="L4" s="50" t="s">
        <v>8983</v>
      </c>
      <c r="M4" s="50" t="s">
        <v>1825</v>
      </c>
      <c r="N4" s="50" t="s">
        <v>1826</v>
      </c>
      <c r="O4" s="50" t="s">
        <v>1827</v>
      </c>
      <c r="P4" s="50" t="s">
        <v>1828</v>
      </c>
      <c r="Q4" s="50" t="s">
        <v>1829</v>
      </c>
      <c r="R4" s="50" t="s">
        <v>1830</v>
      </c>
      <c r="S4" s="50" t="s">
        <v>14479</v>
      </c>
    </row>
    <row r="5" spans="1:19" ht="51">
      <c r="A5" s="52" t="s">
        <v>1851</v>
      </c>
      <c r="B5" s="52" t="s">
        <v>54</v>
      </c>
      <c r="C5" s="52" t="s">
        <v>998</v>
      </c>
      <c r="D5" s="52" t="s">
        <v>1852</v>
      </c>
      <c r="E5" s="52" t="s">
        <v>1854</v>
      </c>
      <c r="F5" s="52" t="s">
        <v>1855</v>
      </c>
      <c r="G5" s="52">
        <v>3</v>
      </c>
      <c r="H5" s="52" t="s">
        <v>1862</v>
      </c>
      <c r="I5" s="52" t="s">
        <v>1863</v>
      </c>
      <c r="J5" s="52">
        <v>4</v>
      </c>
      <c r="K5" s="52">
        <v>5</v>
      </c>
      <c r="L5" s="52">
        <v>5</v>
      </c>
      <c r="M5" s="52" t="s">
        <v>1856</v>
      </c>
      <c r="N5" s="52" t="s">
        <v>1857</v>
      </c>
      <c r="O5" s="52" t="s">
        <v>1858</v>
      </c>
      <c r="P5" s="52" t="s">
        <v>1859</v>
      </c>
      <c r="Q5" s="52" t="s">
        <v>1860</v>
      </c>
      <c r="R5" s="52" t="s">
        <v>1861</v>
      </c>
      <c r="S5" s="52" t="s">
        <v>6060</v>
      </c>
    </row>
    <row r="6" spans="1:19" ht="51">
      <c r="A6" s="64" t="s">
        <v>1865</v>
      </c>
      <c r="B6" s="64" t="s">
        <v>54</v>
      </c>
      <c r="C6" s="64" t="s">
        <v>998</v>
      </c>
      <c r="D6" s="64" t="s">
        <v>1866</v>
      </c>
      <c r="E6" s="64" t="s">
        <v>1854</v>
      </c>
      <c r="F6" s="64" t="s">
        <v>1867</v>
      </c>
      <c r="G6" s="64">
        <v>5</v>
      </c>
      <c r="H6" s="64" t="s">
        <v>1862</v>
      </c>
      <c r="I6" s="64" t="s">
        <v>1863</v>
      </c>
      <c r="J6" s="64">
        <v>4</v>
      </c>
      <c r="K6" s="64">
        <v>5</v>
      </c>
      <c r="L6" s="64">
        <v>5</v>
      </c>
      <c r="M6" s="64" t="s">
        <v>1868</v>
      </c>
      <c r="N6" s="64" t="s">
        <v>1869</v>
      </c>
      <c r="O6" s="64" t="s">
        <v>1870</v>
      </c>
      <c r="P6" s="64" t="s">
        <v>1871</v>
      </c>
      <c r="Q6" s="64" t="s">
        <v>1872</v>
      </c>
      <c r="R6" s="64" t="s">
        <v>1873</v>
      </c>
      <c r="S6" s="64" t="s">
        <v>6067</v>
      </c>
    </row>
    <row r="7" spans="1:19" ht="63.75">
      <c r="A7" s="52" t="s">
        <v>1875</v>
      </c>
      <c r="B7" s="52" t="s">
        <v>54</v>
      </c>
      <c r="C7" s="52" t="s">
        <v>998</v>
      </c>
      <c r="D7" s="52" t="s">
        <v>1876</v>
      </c>
      <c r="E7" s="52" t="s">
        <v>1854</v>
      </c>
      <c r="F7" s="52" t="s">
        <v>1877</v>
      </c>
      <c r="G7" s="52">
        <v>5</v>
      </c>
      <c r="H7" s="52" t="s">
        <v>1862</v>
      </c>
      <c r="I7" s="52" t="s">
        <v>1863</v>
      </c>
      <c r="J7" s="52">
        <v>4</v>
      </c>
      <c r="K7" s="52">
        <v>5</v>
      </c>
      <c r="L7" s="52">
        <v>5</v>
      </c>
      <c r="M7" s="52" t="s">
        <v>1878</v>
      </c>
      <c r="N7" s="52" t="s">
        <v>1879</v>
      </c>
      <c r="O7" s="52" t="s">
        <v>1880</v>
      </c>
      <c r="P7" s="52" t="s">
        <v>1881</v>
      </c>
      <c r="Q7" s="52" t="s">
        <v>1882</v>
      </c>
      <c r="R7" s="52" t="s">
        <v>1883</v>
      </c>
      <c r="S7" s="52" t="s">
        <v>6074</v>
      </c>
    </row>
    <row r="8" spans="1:19" ht="63.75">
      <c r="A8" s="64" t="s">
        <v>1885</v>
      </c>
      <c r="B8" s="64" t="s">
        <v>54</v>
      </c>
      <c r="C8" s="64" t="s">
        <v>998</v>
      </c>
      <c r="D8" s="64" t="s">
        <v>1886</v>
      </c>
      <c r="E8" s="64" t="s">
        <v>1854</v>
      </c>
      <c r="F8" s="64" t="s">
        <v>1887</v>
      </c>
      <c r="G8" s="64">
        <v>4</v>
      </c>
      <c r="H8" s="64" t="s">
        <v>1862</v>
      </c>
      <c r="I8" s="64" t="s">
        <v>1863</v>
      </c>
      <c r="J8" s="64">
        <v>4</v>
      </c>
      <c r="K8" s="64">
        <v>5</v>
      </c>
      <c r="L8" s="64">
        <v>5</v>
      </c>
      <c r="M8" s="64" t="s">
        <v>1888</v>
      </c>
      <c r="N8" s="64" t="s">
        <v>1889</v>
      </c>
      <c r="O8" s="64" t="s">
        <v>1890</v>
      </c>
      <c r="P8" s="64" t="s">
        <v>1891</v>
      </c>
      <c r="Q8" s="64" t="s">
        <v>1892</v>
      </c>
      <c r="R8" s="64" t="s">
        <v>1893</v>
      </c>
      <c r="S8" s="64" t="s">
        <v>6081</v>
      </c>
    </row>
    <row r="9" spans="1:19" ht="63.75">
      <c r="A9" s="52" t="s">
        <v>1895</v>
      </c>
      <c r="B9" s="52" t="s">
        <v>54</v>
      </c>
      <c r="C9" s="52" t="s">
        <v>998</v>
      </c>
      <c r="D9" s="52" t="s">
        <v>1896</v>
      </c>
      <c r="E9" s="52" t="s">
        <v>1854</v>
      </c>
      <c r="F9" s="52" t="s">
        <v>1897</v>
      </c>
      <c r="G9" s="52">
        <v>5</v>
      </c>
      <c r="H9" s="52" t="s">
        <v>1862</v>
      </c>
      <c r="I9" s="52" t="s">
        <v>1863</v>
      </c>
      <c r="J9" s="52">
        <v>5</v>
      </c>
      <c r="K9" s="52">
        <v>5</v>
      </c>
      <c r="L9" s="52">
        <v>5</v>
      </c>
      <c r="M9" s="52" t="s">
        <v>1898</v>
      </c>
      <c r="N9" s="52" t="s">
        <v>1899</v>
      </c>
      <c r="O9" s="52" t="s">
        <v>1900</v>
      </c>
      <c r="P9" s="52" t="s">
        <v>1901</v>
      </c>
      <c r="Q9" s="52" t="s">
        <v>1902</v>
      </c>
      <c r="R9" s="52" t="s">
        <v>1903</v>
      </c>
      <c r="S9" s="52" t="s">
        <v>6088</v>
      </c>
    </row>
    <row r="10" spans="1:19" ht="51">
      <c r="A10" s="64" t="s">
        <v>1905</v>
      </c>
      <c r="B10" s="64" t="s">
        <v>54</v>
      </c>
      <c r="C10" s="64" t="s">
        <v>998</v>
      </c>
      <c r="D10" s="64" t="s">
        <v>1906</v>
      </c>
      <c r="E10" s="64" t="s">
        <v>1854</v>
      </c>
      <c r="F10" s="64" t="s">
        <v>1907</v>
      </c>
      <c r="G10" s="64">
        <v>4</v>
      </c>
      <c r="H10" s="64" t="s">
        <v>1862</v>
      </c>
      <c r="I10" s="64" t="s">
        <v>1863</v>
      </c>
      <c r="J10" s="64">
        <v>4</v>
      </c>
      <c r="K10" s="64">
        <v>5</v>
      </c>
      <c r="L10" s="64">
        <v>5</v>
      </c>
      <c r="M10" s="64" t="s">
        <v>1908</v>
      </c>
      <c r="N10" s="64" t="s">
        <v>1909</v>
      </c>
      <c r="O10" s="64" t="s">
        <v>1910</v>
      </c>
      <c r="P10" s="64" t="s">
        <v>1911</v>
      </c>
      <c r="Q10" s="64" t="s">
        <v>1912</v>
      </c>
      <c r="R10" s="64" t="s">
        <v>1913</v>
      </c>
      <c r="S10" s="64" t="s">
        <v>6095</v>
      </c>
    </row>
    <row r="11" spans="1:19" ht="63.75">
      <c r="A11" s="52" t="s">
        <v>1915</v>
      </c>
      <c r="B11" s="52" t="s">
        <v>54</v>
      </c>
      <c r="C11" s="52" t="s">
        <v>998</v>
      </c>
      <c r="D11" s="52" t="s">
        <v>1916</v>
      </c>
      <c r="E11" s="52" t="s">
        <v>1854</v>
      </c>
      <c r="F11" s="52" t="s">
        <v>1917</v>
      </c>
      <c r="G11" s="52">
        <v>5</v>
      </c>
      <c r="H11" s="52" t="s">
        <v>1862</v>
      </c>
      <c r="I11" s="52" t="s">
        <v>1863</v>
      </c>
      <c r="J11" s="52">
        <v>5</v>
      </c>
      <c r="K11" s="52">
        <v>5</v>
      </c>
      <c r="L11" s="52">
        <v>5</v>
      </c>
      <c r="M11" s="52" t="s">
        <v>1918</v>
      </c>
      <c r="N11" s="52" t="s">
        <v>1919</v>
      </c>
      <c r="O11" s="52" t="s">
        <v>1920</v>
      </c>
      <c r="P11" s="52" t="s">
        <v>1921</v>
      </c>
      <c r="Q11" s="52" t="s">
        <v>1922</v>
      </c>
      <c r="R11" s="52" t="s">
        <v>1923</v>
      </c>
      <c r="S11" s="52" t="s">
        <v>6102</v>
      </c>
    </row>
    <row r="12" spans="1:19" ht="63.75">
      <c r="A12" s="64" t="s">
        <v>1925</v>
      </c>
      <c r="B12" s="64" t="s">
        <v>54</v>
      </c>
      <c r="C12" s="64" t="s">
        <v>1016</v>
      </c>
      <c r="D12" s="64" t="s">
        <v>1926</v>
      </c>
      <c r="E12" s="64" t="s">
        <v>1854</v>
      </c>
      <c r="F12" s="64" t="s">
        <v>1927</v>
      </c>
      <c r="G12" s="64">
        <v>5</v>
      </c>
      <c r="H12" s="64" t="s">
        <v>1862</v>
      </c>
      <c r="I12" s="64" t="s">
        <v>1863</v>
      </c>
      <c r="J12" s="64">
        <v>4</v>
      </c>
      <c r="K12" s="64">
        <v>5</v>
      </c>
      <c r="L12" s="64">
        <v>5</v>
      </c>
      <c r="M12" s="64" t="s">
        <v>1928</v>
      </c>
      <c r="N12" s="64" t="s">
        <v>1929</v>
      </c>
      <c r="O12" s="64" t="s">
        <v>1930</v>
      </c>
      <c r="P12" s="64" t="s">
        <v>1931</v>
      </c>
      <c r="Q12" s="64" t="s">
        <v>1932</v>
      </c>
      <c r="R12" s="64" t="s">
        <v>1933</v>
      </c>
      <c r="S12" s="64" t="s">
        <v>6110</v>
      </c>
    </row>
    <row r="13" spans="1:19" ht="63.75">
      <c r="A13" s="52" t="s">
        <v>1935</v>
      </c>
      <c r="B13" s="52" t="s">
        <v>54</v>
      </c>
      <c r="C13" s="52" t="s">
        <v>1016</v>
      </c>
      <c r="D13" s="52" t="s">
        <v>1936</v>
      </c>
      <c r="E13" s="52" t="s">
        <v>1854</v>
      </c>
      <c r="F13" s="52" t="s">
        <v>1937</v>
      </c>
      <c r="G13" s="52">
        <v>5</v>
      </c>
      <c r="H13" s="52" t="s">
        <v>1862</v>
      </c>
      <c r="I13" s="52" t="s">
        <v>1863</v>
      </c>
      <c r="J13" s="52">
        <v>5</v>
      </c>
      <c r="K13" s="52">
        <v>5</v>
      </c>
      <c r="L13" s="52">
        <v>5</v>
      </c>
      <c r="M13" s="52" t="s">
        <v>1938</v>
      </c>
      <c r="N13" s="52" t="s">
        <v>1939</v>
      </c>
      <c r="O13" s="52" t="s">
        <v>1940</v>
      </c>
      <c r="P13" s="52" t="s">
        <v>1941</v>
      </c>
      <c r="Q13" s="52" t="s">
        <v>1942</v>
      </c>
      <c r="R13" s="52" t="s">
        <v>1943</v>
      </c>
      <c r="S13" s="52" t="s">
        <v>6117</v>
      </c>
    </row>
    <row r="14" spans="1:19" ht="63.75">
      <c r="A14" s="64" t="s">
        <v>1945</v>
      </c>
      <c r="B14" s="64" t="s">
        <v>54</v>
      </c>
      <c r="C14" s="64" t="s">
        <v>1016</v>
      </c>
      <c r="D14" s="64" t="s">
        <v>1946</v>
      </c>
      <c r="E14" s="64" t="s">
        <v>1854</v>
      </c>
      <c r="F14" s="64" t="s">
        <v>1947</v>
      </c>
      <c r="G14" s="64">
        <v>4</v>
      </c>
      <c r="H14" s="64" t="s">
        <v>1862</v>
      </c>
      <c r="I14" s="64" t="s">
        <v>1863</v>
      </c>
      <c r="J14" s="64">
        <v>4</v>
      </c>
      <c r="K14" s="64">
        <v>5</v>
      </c>
      <c r="L14" s="64">
        <v>5</v>
      </c>
      <c r="M14" s="64" t="s">
        <v>1948</v>
      </c>
      <c r="N14" s="64" t="s">
        <v>1949</v>
      </c>
      <c r="O14" s="64" t="s">
        <v>1950</v>
      </c>
      <c r="P14" s="64" t="s">
        <v>1951</v>
      </c>
      <c r="Q14" s="64" t="s">
        <v>1952</v>
      </c>
      <c r="R14" s="64" t="s">
        <v>1953</v>
      </c>
      <c r="S14" s="64" t="s">
        <v>6124</v>
      </c>
    </row>
    <row r="15" spans="1:19" ht="51">
      <c r="A15" s="52" t="s">
        <v>1955</v>
      </c>
      <c r="B15" s="52" t="s">
        <v>54</v>
      </c>
      <c r="C15" s="52" t="s">
        <v>1016</v>
      </c>
      <c r="D15" s="52" t="s">
        <v>1956</v>
      </c>
      <c r="E15" s="52" t="s">
        <v>1854</v>
      </c>
      <c r="F15" s="52" t="s">
        <v>1957</v>
      </c>
      <c r="G15" s="52">
        <v>5</v>
      </c>
      <c r="H15" s="52" t="s">
        <v>1862</v>
      </c>
      <c r="I15" s="52" t="s">
        <v>1863</v>
      </c>
      <c r="J15" s="52">
        <v>4</v>
      </c>
      <c r="K15" s="52">
        <v>5</v>
      </c>
      <c r="L15" s="52">
        <v>5</v>
      </c>
      <c r="M15" s="52" t="s">
        <v>1958</v>
      </c>
      <c r="N15" s="52" t="s">
        <v>1959</v>
      </c>
      <c r="O15" s="52" t="s">
        <v>1960</v>
      </c>
      <c r="P15" s="52" t="s">
        <v>1961</v>
      </c>
      <c r="Q15" s="52" t="s">
        <v>1962</v>
      </c>
      <c r="R15" s="52" t="s">
        <v>1963</v>
      </c>
      <c r="S15" s="52" t="s">
        <v>6131</v>
      </c>
    </row>
    <row r="16" spans="1:19" ht="63.75">
      <c r="A16" s="64" t="s">
        <v>1965</v>
      </c>
      <c r="B16" s="64" t="s">
        <v>54</v>
      </c>
      <c r="C16" s="64" t="s">
        <v>1016</v>
      </c>
      <c r="D16" s="64" t="s">
        <v>1966</v>
      </c>
      <c r="E16" s="64" t="s">
        <v>1854</v>
      </c>
      <c r="F16" s="64" t="s">
        <v>1967</v>
      </c>
      <c r="G16" s="64">
        <v>5</v>
      </c>
      <c r="H16" s="64" t="s">
        <v>1862</v>
      </c>
      <c r="I16" s="64" t="s">
        <v>1863</v>
      </c>
      <c r="J16" s="64">
        <v>4</v>
      </c>
      <c r="K16" s="64">
        <v>5</v>
      </c>
      <c r="L16" s="64">
        <v>5</v>
      </c>
      <c r="M16" s="64" t="s">
        <v>1968</v>
      </c>
      <c r="N16" s="64" t="s">
        <v>1969</v>
      </c>
      <c r="O16" s="64" t="s">
        <v>1970</v>
      </c>
      <c r="P16" s="64" t="s">
        <v>1971</v>
      </c>
      <c r="Q16" s="64" t="s">
        <v>1972</v>
      </c>
      <c r="R16" s="64" t="s">
        <v>1973</v>
      </c>
      <c r="S16" s="64" t="s">
        <v>6138</v>
      </c>
    </row>
    <row r="17" spans="1:19" ht="63.75">
      <c r="A17" s="52" t="s">
        <v>1975</v>
      </c>
      <c r="B17" s="52" t="s">
        <v>54</v>
      </c>
      <c r="C17" s="52" t="s">
        <v>1016</v>
      </c>
      <c r="D17" s="52" t="s">
        <v>1976</v>
      </c>
      <c r="E17" s="52" t="s">
        <v>1854</v>
      </c>
      <c r="F17" s="52" t="s">
        <v>1977</v>
      </c>
      <c r="G17" s="52">
        <v>4</v>
      </c>
      <c r="H17" s="52" t="s">
        <v>1862</v>
      </c>
      <c r="I17" s="52" t="s">
        <v>1863</v>
      </c>
      <c r="J17" s="52">
        <v>4</v>
      </c>
      <c r="K17" s="52">
        <v>5</v>
      </c>
      <c r="L17" s="52">
        <v>5</v>
      </c>
      <c r="M17" s="52" t="s">
        <v>1978</v>
      </c>
      <c r="N17" s="52" t="s">
        <v>1979</v>
      </c>
      <c r="O17" s="52" t="s">
        <v>1980</v>
      </c>
      <c r="P17" s="52" t="s">
        <v>1981</v>
      </c>
      <c r="Q17" s="52" t="s">
        <v>1982</v>
      </c>
      <c r="R17" s="52" t="s">
        <v>1983</v>
      </c>
      <c r="S17" s="52" t="s">
        <v>6145</v>
      </c>
    </row>
    <row r="18" spans="1:19" ht="63.75">
      <c r="A18" s="64" t="s">
        <v>1985</v>
      </c>
      <c r="B18" s="64" t="s">
        <v>54</v>
      </c>
      <c r="C18" s="64" t="s">
        <v>1016</v>
      </c>
      <c r="D18" s="64" t="s">
        <v>1986</v>
      </c>
      <c r="E18" s="64" t="s">
        <v>1854</v>
      </c>
      <c r="F18" s="64" t="s">
        <v>1987</v>
      </c>
      <c r="G18" s="64">
        <v>5</v>
      </c>
      <c r="H18" s="64" t="s">
        <v>1862</v>
      </c>
      <c r="I18" s="64" t="s">
        <v>1863</v>
      </c>
      <c r="J18" s="64">
        <v>4</v>
      </c>
      <c r="K18" s="64">
        <v>5</v>
      </c>
      <c r="L18" s="64">
        <v>5</v>
      </c>
      <c r="M18" s="64" t="s">
        <v>1988</v>
      </c>
      <c r="N18" s="64" t="s">
        <v>1989</v>
      </c>
      <c r="O18" s="64" t="s">
        <v>1990</v>
      </c>
      <c r="P18" s="64" t="s">
        <v>1991</v>
      </c>
      <c r="Q18" s="64" t="s">
        <v>1992</v>
      </c>
      <c r="R18" s="64" t="s">
        <v>1993</v>
      </c>
      <c r="S18" s="64" t="s">
        <v>6152</v>
      </c>
    </row>
    <row r="19" spans="1:19" ht="63.75">
      <c r="A19" s="52" t="s">
        <v>1995</v>
      </c>
      <c r="B19" s="52" t="s">
        <v>54</v>
      </c>
      <c r="C19" s="52" t="s">
        <v>1024</v>
      </c>
      <c r="D19" s="52" t="s">
        <v>1996</v>
      </c>
      <c r="E19" s="52" t="s">
        <v>1854</v>
      </c>
      <c r="F19" s="52" t="s">
        <v>1997</v>
      </c>
      <c r="G19" s="52">
        <v>5</v>
      </c>
      <c r="H19" s="52" t="s">
        <v>1862</v>
      </c>
      <c r="I19" s="52" t="s">
        <v>1863</v>
      </c>
      <c r="J19" s="52">
        <v>4</v>
      </c>
      <c r="K19" s="52">
        <v>5</v>
      </c>
      <c r="L19" s="52">
        <v>5</v>
      </c>
      <c r="M19" s="52" t="s">
        <v>1998</v>
      </c>
      <c r="N19" s="52" t="s">
        <v>1999</v>
      </c>
      <c r="O19" s="52" t="s">
        <v>2000</v>
      </c>
      <c r="P19" s="52" t="s">
        <v>2001</v>
      </c>
      <c r="Q19" s="52" t="s">
        <v>2002</v>
      </c>
      <c r="R19" s="52" t="s">
        <v>2003</v>
      </c>
      <c r="S19" s="52" t="s">
        <v>6160</v>
      </c>
    </row>
    <row r="20" spans="1:19" ht="51">
      <c r="A20" s="64" t="s">
        <v>2005</v>
      </c>
      <c r="B20" s="64" t="s">
        <v>54</v>
      </c>
      <c r="C20" s="64" t="s">
        <v>1024</v>
      </c>
      <c r="D20" s="64" t="s">
        <v>2006</v>
      </c>
      <c r="E20" s="64" t="s">
        <v>1854</v>
      </c>
      <c r="F20" s="64" t="s">
        <v>2007</v>
      </c>
      <c r="G20" s="64">
        <v>5</v>
      </c>
      <c r="H20" s="64" t="s">
        <v>1862</v>
      </c>
      <c r="I20" s="64" t="s">
        <v>1863</v>
      </c>
      <c r="J20" s="64">
        <v>4</v>
      </c>
      <c r="K20" s="64">
        <v>5</v>
      </c>
      <c r="L20" s="64">
        <v>5</v>
      </c>
      <c r="M20" s="64" t="s">
        <v>2008</v>
      </c>
      <c r="N20" s="64" t="s">
        <v>2009</v>
      </c>
      <c r="O20" s="64" t="s">
        <v>2010</v>
      </c>
      <c r="P20" s="64" t="s">
        <v>2011</v>
      </c>
      <c r="Q20" s="64" t="s">
        <v>2012</v>
      </c>
      <c r="R20" s="64" t="s">
        <v>2013</v>
      </c>
      <c r="S20" s="64" t="s">
        <v>6167</v>
      </c>
    </row>
    <row r="21" spans="1:19" ht="63.75">
      <c r="A21" s="52" t="s">
        <v>2015</v>
      </c>
      <c r="B21" s="52" t="s">
        <v>54</v>
      </c>
      <c r="C21" s="52" t="s">
        <v>1024</v>
      </c>
      <c r="D21" s="52" t="s">
        <v>2016</v>
      </c>
      <c r="E21" s="52" t="s">
        <v>1854</v>
      </c>
      <c r="F21" s="52" t="s">
        <v>2017</v>
      </c>
      <c r="G21" s="52">
        <v>3</v>
      </c>
      <c r="H21" s="52" t="s">
        <v>1862</v>
      </c>
      <c r="I21" s="52" t="s">
        <v>1863</v>
      </c>
      <c r="J21" s="52">
        <v>4</v>
      </c>
      <c r="K21" s="52">
        <v>5</v>
      </c>
      <c r="L21" s="52">
        <v>5</v>
      </c>
      <c r="M21" s="52" t="s">
        <v>2018</v>
      </c>
      <c r="N21" s="52" t="s">
        <v>2019</v>
      </c>
      <c r="O21" s="52" t="s">
        <v>2020</v>
      </c>
      <c r="P21" s="52" t="s">
        <v>2021</v>
      </c>
      <c r="Q21" s="52" t="s">
        <v>2022</v>
      </c>
      <c r="R21" s="52" t="s">
        <v>2023</v>
      </c>
      <c r="S21" s="52" t="s">
        <v>6174</v>
      </c>
    </row>
    <row r="22" spans="1:19" ht="63.75">
      <c r="A22" s="64" t="s">
        <v>2025</v>
      </c>
      <c r="B22" s="64" t="s">
        <v>54</v>
      </c>
      <c r="C22" s="64" t="s">
        <v>1024</v>
      </c>
      <c r="D22" s="64" t="s">
        <v>2026</v>
      </c>
      <c r="E22" s="64" t="s">
        <v>1854</v>
      </c>
      <c r="F22" s="64" t="s">
        <v>2027</v>
      </c>
      <c r="G22" s="64">
        <v>4</v>
      </c>
      <c r="H22" s="64" t="s">
        <v>1862</v>
      </c>
      <c r="I22" s="64" t="s">
        <v>1863</v>
      </c>
      <c r="J22" s="64">
        <v>5</v>
      </c>
      <c r="K22" s="64">
        <v>5</v>
      </c>
      <c r="L22" s="64">
        <v>5</v>
      </c>
      <c r="M22" s="64" t="s">
        <v>2028</v>
      </c>
      <c r="N22" s="64" t="s">
        <v>2029</v>
      </c>
      <c r="O22" s="64" t="s">
        <v>2030</v>
      </c>
      <c r="P22" s="64" t="s">
        <v>2031</v>
      </c>
      <c r="Q22" s="64" t="s">
        <v>2032</v>
      </c>
      <c r="R22" s="64" t="s">
        <v>2033</v>
      </c>
      <c r="S22" s="64" t="s">
        <v>6181</v>
      </c>
    </row>
    <row r="23" spans="1:19" ht="63.75">
      <c r="A23" s="52" t="s">
        <v>2035</v>
      </c>
      <c r="B23" s="52" t="s">
        <v>54</v>
      </c>
      <c r="C23" s="52" t="s">
        <v>1024</v>
      </c>
      <c r="D23" s="52" t="s">
        <v>2036</v>
      </c>
      <c r="E23" s="52" t="s">
        <v>1854</v>
      </c>
      <c r="F23" s="52" t="s">
        <v>2037</v>
      </c>
      <c r="G23" s="52">
        <v>4</v>
      </c>
      <c r="H23" s="52" t="s">
        <v>1862</v>
      </c>
      <c r="I23" s="52" t="s">
        <v>1863</v>
      </c>
      <c r="J23" s="52">
        <v>4</v>
      </c>
      <c r="K23" s="52">
        <v>5</v>
      </c>
      <c r="L23" s="52">
        <v>5</v>
      </c>
      <c r="M23" s="52" t="s">
        <v>2038</v>
      </c>
      <c r="N23" s="52" t="s">
        <v>2039</v>
      </c>
      <c r="O23" s="52" t="s">
        <v>2040</v>
      </c>
      <c r="P23" s="52" t="s">
        <v>2041</v>
      </c>
      <c r="Q23" s="52" t="s">
        <v>2042</v>
      </c>
      <c r="R23" s="52" t="s">
        <v>2043</v>
      </c>
      <c r="S23" s="52" t="s">
        <v>6188</v>
      </c>
    </row>
    <row r="24" spans="1:19" ht="63.75">
      <c r="A24" s="64" t="s">
        <v>2045</v>
      </c>
      <c r="B24" s="64" t="s">
        <v>54</v>
      </c>
      <c r="C24" s="64" t="s">
        <v>1024</v>
      </c>
      <c r="D24" s="64" t="s">
        <v>2046</v>
      </c>
      <c r="E24" s="64" t="s">
        <v>1854</v>
      </c>
      <c r="F24" s="64" t="s">
        <v>2047</v>
      </c>
      <c r="G24" s="64">
        <v>5</v>
      </c>
      <c r="H24" s="64" t="s">
        <v>1862</v>
      </c>
      <c r="I24" s="64" t="s">
        <v>1863</v>
      </c>
      <c r="J24" s="64">
        <v>4</v>
      </c>
      <c r="K24" s="64">
        <v>5</v>
      </c>
      <c r="L24" s="64">
        <v>5</v>
      </c>
      <c r="M24" s="64" t="s">
        <v>2048</v>
      </c>
      <c r="N24" s="64" t="s">
        <v>2049</v>
      </c>
      <c r="O24" s="64" t="s">
        <v>2050</v>
      </c>
      <c r="P24" s="64" t="s">
        <v>2051</v>
      </c>
      <c r="Q24" s="64" t="s">
        <v>2052</v>
      </c>
      <c r="R24" s="64" t="s">
        <v>2053</v>
      </c>
      <c r="S24" s="64" t="s">
        <v>6195</v>
      </c>
    </row>
    <row r="25" spans="1:19" ht="63.75">
      <c r="A25" s="52" t="s">
        <v>2057</v>
      </c>
      <c r="B25" s="52" t="s">
        <v>57</v>
      </c>
      <c r="C25" s="52" t="s">
        <v>1032</v>
      </c>
      <c r="D25" s="52" t="s">
        <v>2058</v>
      </c>
      <c r="E25" s="52" t="s">
        <v>2060</v>
      </c>
      <c r="F25" s="52" t="s">
        <v>2061</v>
      </c>
      <c r="G25" s="52">
        <v>4</v>
      </c>
      <c r="H25" s="52" t="s">
        <v>2068</v>
      </c>
      <c r="I25" s="52" t="s">
        <v>2069</v>
      </c>
      <c r="J25" s="52">
        <v>4</v>
      </c>
      <c r="K25" s="52">
        <v>5</v>
      </c>
      <c r="L25" s="52">
        <v>5</v>
      </c>
      <c r="M25" s="52" t="s">
        <v>2062</v>
      </c>
      <c r="N25" s="52" t="s">
        <v>2063</v>
      </c>
      <c r="O25" s="52" t="s">
        <v>2064</v>
      </c>
      <c r="P25" s="52" t="s">
        <v>2065</v>
      </c>
      <c r="Q25" s="52" t="s">
        <v>2066</v>
      </c>
      <c r="R25" s="52" t="s">
        <v>2067</v>
      </c>
      <c r="S25" s="52" t="s">
        <v>6203</v>
      </c>
    </row>
    <row r="26" spans="1:19" ht="63.75">
      <c r="A26" s="64" t="s">
        <v>2071</v>
      </c>
      <c r="B26" s="64" t="s">
        <v>57</v>
      </c>
      <c r="C26" s="64" t="s">
        <v>1032</v>
      </c>
      <c r="D26" s="64" t="s">
        <v>2072</v>
      </c>
      <c r="E26" s="64" t="s">
        <v>2060</v>
      </c>
      <c r="F26" s="64" t="s">
        <v>2073</v>
      </c>
      <c r="G26" s="64">
        <v>3</v>
      </c>
      <c r="H26" s="64" t="s">
        <v>2068</v>
      </c>
      <c r="I26" s="64" t="s">
        <v>2069</v>
      </c>
      <c r="J26" s="64">
        <v>4</v>
      </c>
      <c r="K26" s="64">
        <v>5</v>
      </c>
      <c r="L26" s="64">
        <v>5</v>
      </c>
      <c r="M26" s="64" t="s">
        <v>2074</v>
      </c>
      <c r="N26" s="64" t="s">
        <v>2075</v>
      </c>
      <c r="O26" s="64" t="s">
        <v>2076</v>
      </c>
      <c r="P26" s="64" t="s">
        <v>2077</v>
      </c>
      <c r="Q26" s="64" t="s">
        <v>2078</v>
      </c>
      <c r="R26" s="64" t="s">
        <v>2079</v>
      </c>
      <c r="S26" s="64" t="s">
        <v>6210</v>
      </c>
    </row>
    <row r="27" spans="1:19" ht="63.75">
      <c r="A27" s="52" t="s">
        <v>2081</v>
      </c>
      <c r="B27" s="52" t="s">
        <v>57</v>
      </c>
      <c r="C27" s="52" t="s">
        <v>1032</v>
      </c>
      <c r="D27" s="52" t="s">
        <v>2082</v>
      </c>
      <c r="E27" s="52" t="s">
        <v>2060</v>
      </c>
      <c r="F27" s="52" t="s">
        <v>2083</v>
      </c>
      <c r="G27" s="52">
        <v>5</v>
      </c>
      <c r="H27" s="52" t="s">
        <v>2068</v>
      </c>
      <c r="I27" s="52" t="s">
        <v>2069</v>
      </c>
      <c r="J27" s="52">
        <v>4</v>
      </c>
      <c r="K27" s="52">
        <v>5</v>
      </c>
      <c r="L27" s="52">
        <v>5</v>
      </c>
      <c r="M27" s="52" t="s">
        <v>2084</v>
      </c>
      <c r="N27" s="52" t="s">
        <v>2085</v>
      </c>
      <c r="O27" s="52" t="s">
        <v>2086</v>
      </c>
      <c r="P27" s="52" t="s">
        <v>2087</v>
      </c>
      <c r="Q27" s="52" t="s">
        <v>2088</v>
      </c>
      <c r="R27" s="52" t="s">
        <v>2089</v>
      </c>
      <c r="S27" s="52" t="s">
        <v>6217</v>
      </c>
    </row>
    <row r="28" spans="1:19" ht="63.75">
      <c r="A28" s="64" t="s">
        <v>2091</v>
      </c>
      <c r="B28" s="64" t="s">
        <v>57</v>
      </c>
      <c r="C28" s="64" t="s">
        <v>1032</v>
      </c>
      <c r="D28" s="64" t="s">
        <v>2092</v>
      </c>
      <c r="E28" s="64" t="s">
        <v>2060</v>
      </c>
      <c r="F28" s="64" t="s">
        <v>2093</v>
      </c>
      <c r="G28" s="64">
        <v>4</v>
      </c>
      <c r="H28" s="64" t="s">
        <v>2068</v>
      </c>
      <c r="I28" s="64" t="s">
        <v>2069</v>
      </c>
      <c r="J28" s="64">
        <v>4</v>
      </c>
      <c r="K28" s="64">
        <v>5</v>
      </c>
      <c r="L28" s="64">
        <v>5</v>
      </c>
      <c r="M28" s="64" t="s">
        <v>2094</v>
      </c>
      <c r="N28" s="64" t="s">
        <v>2095</v>
      </c>
      <c r="O28" s="64" t="s">
        <v>2096</v>
      </c>
      <c r="P28" s="64" t="s">
        <v>2097</v>
      </c>
      <c r="Q28" s="64" t="s">
        <v>2098</v>
      </c>
      <c r="R28" s="64" t="s">
        <v>2099</v>
      </c>
      <c r="S28" s="64" t="s">
        <v>6224</v>
      </c>
    </row>
    <row r="29" spans="1:19" ht="63.75">
      <c r="A29" s="52" t="s">
        <v>2101</v>
      </c>
      <c r="B29" s="52" t="s">
        <v>57</v>
      </c>
      <c r="C29" s="52" t="s">
        <v>1032</v>
      </c>
      <c r="D29" s="52" t="s">
        <v>2102</v>
      </c>
      <c r="E29" s="52" t="s">
        <v>2060</v>
      </c>
      <c r="F29" s="52" t="s">
        <v>2103</v>
      </c>
      <c r="G29" s="52">
        <v>5</v>
      </c>
      <c r="H29" s="52" t="s">
        <v>2068</v>
      </c>
      <c r="I29" s="52" t="s">
        <v>2069</v>
      </c>
      <c r="J29" s="52">
        <v>4</v>
      </c>
      <c r="K29" s="52">
        <v>5</v>
      </c>
      <c r="L29" s="52">
        <v>5</v>
      </c>
      <c r="M29" s="52" t="s">
        <v>2104</v>
      </c>
      <c r="N29" s="52" t="s">
        <v>2105</v>
      </c>
      <c r="O29" s="52" t="s">
        <v>2106</v>
      </c>
      <c r="P29" s="52" t="s">
        <v>2107</v>
      </c>
      <c r="Q29" s="52" t="s">
        <v>2108</v>
      </c>
      <c r="R29" s="52" t="s">
        <v>2109</v>
      </c>
      <c r="S29" s="52" t="s">
        <v>6231</v>
      </c>
    </row>
    <row r="30" spans="1:19" ht="63.75">
      <c r="A30" s="64" t="s">
        <v>2111</v>
      </c>
      <c r="B30" s="64" t="s">
        <v>57</v>
      </c>
      <c r="C30" s="64" t="s">
        <v>1032</v>
      </c>
      <c r="D30" s="64" t="s">
        <v>2112</v>
      </c>
      <c r="E30" s="64" t="s">
        <v>2060</v>
      </c>
      <c r="F30" s="64" t="s">
        <v>2113</v>
      </c>
      <c r="G30" s="64">
        <v>4</v>
      </c>
      <c r="H30" s="64" t="s">
        <v>2068</v>
      </c>
      <c r="I30" s="64" t="s">
        <v>2069</v>
      </c>
      <c r="J30" s="64">
        <v>4</v>
      </c>
      <c r="K30" s="64">
        <v>5</v>
      </c>
      <c r="L30" s="64">
        <v>5</v>
      </c>
      <c r="M30" s="64" t="s">
        <v>2114</v>
      </c>
      <c r="N30" s="64" t="s">
        <v>2115</v>
      </c>
      <c r="O30" s="64" t="s">
        <v>2116</v>
      </c>
      <c r="P30" s="64" t="s">
        <v>2117</v>
      </c>
      <c r="Q30" s="64" t="s">
        <v>2118</v>
      </c>
      <c r="R30" s="64" t="s">
        <v>2119</v>
      </c>
      <c r="S30" s="64" t="s">
        <v>6238</v>
      </c>
    </row>
    <row r="31" spans="1:19" ht="63.75">
      <c r="A31" s="52" t="s">
        <v>2121</v>
      </c>
      <c r="B31" s="52" t="s">
        <v>57</v>
      </c>
      <c r="C31" s="52" t="s">
        <v>1048</v>
      </c>
      <c r="D31" s="52" t="s">
        <v>2122</v>
      </c>
      <c r="E31" s="52" t="s">
        <v>2060</v>
      </c>
      <c r="F31" s="52" t="s">
        <v>2123</v>
      </c>
      <c r="G31" s="52">
        <v>4</v>
      </c>
      <c r="H31" s="52" t="s">
        <v>2068</v>
      </c>
      <c r="I31" s="52" t="s">
        <v>2069</v>
      </c>
      <c r="J31" s="52">
        <v>4</v>
      </c>
      <c r="K31" s="52">
        <v>5</v>
      </c>
      <c r="L31" s="52">
        <v>5</v>
      </c>
      <c r="M31" s="52" t="s">
        <v>2124</v>
      </c>
      <c r="N31" s="52" t="s">
        <v>2125</v>
      </c>
      <c r="O31" s="52" t="s">
        <v>2126</v>
      </c>
      <c r="P31" s="52" t="s">
        <v>2127</v>
      </c>
      <c r="Q31" s="52" t="s">
        <v>2128</v>
      </c>
      <c r="R31" s="52" t="s">
        <v>2129</v>
      </c>
      <c r="S31" s="52" t="s">
        <v>6246</v>
      </c>
    </row>
    <row r="32" spans="1:19" ht="63.75">
      <c r="A32" s="64" t="s">
        <v>2131</v>
      </c>
      <c r="B32" s="64" t="s">
        <v>57</v>
      </c>
      <c r="C32" s="64" t="s">
        <v>1048</v>
      </c>
      <c r="D32" s="64" t="s">
        <v>2132</v>
      </c>
      <c r="E32" s="64" t="s">
        <v>2060</v>
      </c>
      <c r="F32" s="64" t="s">
        <v>2133</v>
      </c>
      <c r="G32" s="64">
        <v>3</v>
      </c>
      <c r="H32" s="64" t="s">
        <v>2068</v>
      </c>
      <c r="I32" s="64" t="s">
        <v>2069</v>
      </c>
      <c r="J32" s="64">
        <v>4</v>
      </c>
      <c r="K32" s="64">
        <v>5</v>
      </c>
      <c r="L32" s="64">
        <v>5</v>
      </c>
      <c r="M32" s="64" t="s">
        <v>2134</v>
      </c>
      <c r="N32" s="64" t="s">
        <v>2135</v>
      </c>
      <c r="O32" s="64" t="s">
        <v>2136</v>
      </c>
      <c r="P32" s="64" t="s">
        <v>2137</v>
      </c>
      <c r="Q32" s="64" t="s">
        <v>2138</v>
      </c>
      <c r="R32" s="64" t="s">
        <v>2139</v>
      </c>
      <c r="S32" s="64" t="s">
        <v>6253</v>
      </c>
    </row>
    <row r="33" spans="1:19" ht="63.75">
      <c r="A33" s="52" t="s">
        <v>2141</v>
      </c>
      <c r="B33" s="52" t="s">
        <v>57</v>
      </c>
      <c r="C33" s="52" t="s">
        <v>1048</v>
      </c>
      <c r="D33" s="52" t="s">
        <v>2142</v>
      </c>
      <c r="E33" s="52" t="s">
        <v>2060</v>
      </c>
      <c r="F33" s="52" t="s">
        <v>2143</v>
      </c>
      <c r="G33" s="52">
        <v>4</v>
      </c>
      <c r="H33" s="52" t="s">
        <v>2068</v>
      </c>
      <c r="I33" s="52" t="s">
        <v>2069</v>
      </c>
      <c r="J33" s="52">
        <v>4</v>
      </c>
      <c r="K33" s="52">
        <v>5</v>
      </c>
      <c r="L33" s="52">
        <v>5</v>
      </c>
      <c r="M33" s="52" t="s">
        <v>2144</v>
      </c>
      <c r="N33" s="52" t="s">
        <v>2145</v>
      </c>
      <c r="O33" s="52" t="s">
        <v>2146</v>
      </c>
      <c r="P33" s="52" t="s">
        <v>2147</v>
      </c>
      <c r="Q33" s="52" t="s">
        <v>2148</v>
      </c>
      <c r="R33" s="52" t="s">
        <v>2149</v>
      </c>
      <c r="S33" s="52" t="s">
        <v>6260</v>
      </c>
    </row>
    <row r="34" spans="1:19" ht="63.75">
      <c r="A34" s="64" t="s">
        <v>2151</v>
      </c>
      <c r="B34" s="64" t="s">
        <v>57</v>
      </c>
      <c r="C34" s="64" t="s">
        <v>1048</v>
      </c>
      <c r="D34" s="64" t="s">
        <v>2152</v>
      </c>
      <c r="E34" s="64" t="s">
        <v>2060</v>
      </c>
      <c r="F34" s="64" t="s">
        <v>2153</v>
      </c>
      <c r="G34" s="64">
        <v>5</v>
      </c>
      <c r="H34" s="64" t="s">
        <v>2068</v>
      </c>
      <c r="I34" s="64" t="s">
        <v>2069</v>
      </c>
      <c r="J34" s="64">
        <v>4</v>
      </c>
      <c r="K34" s="64">
        <v>5</v>
      </c>
      <c r="L34" s="64">
        <v>5</v>
      </c>
      <c r="M34" s="64" t="s">
        <v>2154</v>
      </c>
      <c r="N34" s="64" t="s">
        <v>2155</v>
      </c>
      <c r="O34" s="64" t="s">
        <v>2156</v>
      </c>
      <c r="P34" s="64" t="s">
        <v>2157</v>
      </c>
      <c r="Q34" s="64" t="s">
        <v>2158</v>
      </c>
      <c r="R34" s="64" t="s">
        <v>2159</v>
      </c>
      <c r="S34" s="64" t="s">
        <v>6267</v>
      </c>
    </row>
    <row r="35" spans="1:19" ht="63.75">
      <c r="A35" s="52" t="s">
        <v>2161</v>
      </c>
      <c r="B35" s="52" t="s">
        <v>57</v>
      </c>
      <c r="C35" s="52" t="s">
        <v>1048</v>
      </c>
      <c r="D35" s="52" t="s">
        <v>2162</v>
      </c>
      <c r="E35" s="52" t="s">
        <v>2060</v>
      </c>
      <c r="F35" s="52" t="s">
        <v>2163</v>
      </c>
      <c r="G35" s="52">
        <v>3</v>
      </c>
      <c r="H35" s="52" t="s">
        <v>2068</v>
      </c>
      <c r="I35" s="52" t="s">
        <v>2069</v>
      </c>
      <c r="J35" s="52">
        <v>4</v>
      </c>
      <c r="K35" s="52">
        <v>5</v>
      </c>
      <c r="L35" s="52">
        <v>5</v>
      </c>
      <c r="M35" s="52" t="s">
        <v>2164</v>
      </c>
      <c r="N35" s="52" t="s">
        <v>2165</v>
      </c>
      <c r="O35" s="52" t="s">
        <v>2166</v>
      </c>
      <c r="P35" s="52" t="s">
        <v>2167</v>
      </c>
      <c r="Q35" s="52" t="s">
        <v>2168</v>
      </c>
      <c r="R35" s="52" t="s">
        <v>2169</v>
      </c>
      <c r="S35" s="52" t="s">
        <v>6274</v>
      </c>
    </row>
    <row r="36" spans="1:19" ht="63.75">
      <c r="A36" s="64" t="s">
        <v>2171</v>
      </c>
      <c r="B36" s="64" t="s">
        <v>57</v>
      </c>
      <c r="C36" s="64" t="s">
        <v>1048</v>
      </c>
      <c r="D36" s="64" t="s">
        <v>2172</v>
      </c>
      <c r="E36" s="64" t="s">
        <v>2060</v>
      </c>
      <c r="F36" s="64" t="s">
        <v>2173</v>
      </c>
      <c r="G36" s="64">
        <v>4</v>
      </c>
      <c r="H36" s="64" t="s">
        <v>2068</v>
      </c>
      <c r="I36" s="64" t="s">
        <v>2069</v>
      </c>
      <c r="J36" s="64">
        <v>4</v>
      </c>
      <c r="K36" s="64">
        <v>5</v>
      </c>
      <c r="L36" s="64">
        <v>5</v>
      </c>
      <c r="M36" s="64" t="s">
        <v>2174</v>
      </c>
      <c r="N36" s="64" t="s">
        <v>2175</v>
      </c>
      <c r="O36" s="64" t="s">
        <v>2176</v>
      </c>
      <c r="P36" s="64" t="s">
        <v>2177</v>
      </c>
      <c r="Q36" s="64" t="s">
        <v>2178</v>
      </c>
      <c r="R36" s="64" t="s">
        <v>2179</v>
      </c>
      <c r="S36" s="64" t="s">
        <v>6281</v>
      </c>
    </row>
    <row r="37" spans="1:19" ht="63.75">
      <c r="A37" s="52" t="s">
        <v>2181</v>
      </c>
      <c r="B37" s="52" t="s">
        <v>57</v>
      </c>
      <c r="C37" s="52" t="s">
        <v>1059</v>
      </c>
      <c r="D37" s="52" t="s">
        <v>2182</v>
      </c>
      <c r="E37" s="52" t="s">
        <v>2060</v>
      </c>
      <c r="F37" s="52" t="s">
        <v>2183</v>
      </c>
      <c r="G37" s="52">
        <v>5</v>
      </c>
      <c r="H37" s="52" t="s">
        <v>2068</v>
      </c>
      <c r="I37" s="52" t="s">
        <v>2069</v>
      </c>
      <c r="J37" s="52">
        <v>4</v>
      </c>
      <c r="K37" s="52">
        <v>5</v>
      </c>
      <c r="L37" s="52">
        <v>5</v>
      </c>
      <c r="M37" s="52" t="s">
        <v>2184</v>
      </c>
      <c r="N37" s="52" t="s">
        <v>2185</v>
      </c>
      <c r="O37" s="52" t="s">
        <v>2186</v>
      </c>
      <c r="P37" s="52" t="s">
        <v>2187</v>
      </c>
      <c r="Q37" s="52" t="s">
        <v>2188</v>
      </c>
      <c r="R37" s="52" t="s">
        <v>2189</v>
      </c>
      <c r="S37" s="52" t="s">
        <v>6289</v>
      </c>
    </row>
    <row r="38" spans="1:19" ht="63.75">
      <c r="A38" s="64" t="s">
        <v>2191</v>
      </c>
      <c r="B38" s="64" t="s">
        <v>57</v>
      </c>
      <c r="C38" s="64" t="s">
        <v>1059</v>
      </c>
      <c r="D38" s="64" t="s">
        <v>2192</v>
      </c>
      <c r="E38" s="64" t="s">
        <v>2060</v>
      </c>
      <c r="F38" s="64" t="s">
        <v>2193</v>
      </c>
      <c r="G38" s="64">
        <v>3</v>
      </c>
      <c r="H38" s="64" t="s">
        <v>2068</v>
      </c>
      <c r="I38" s="64" t="s">
        <v>2069</v>
      </c>
      <c r="J38" s="64">
        <v>4</v>
      </c>
      <c r="K38" s="64">
        <v>5</v>
      </c>
      <c r="L38" s="64">
        <v>5</v>
      </c>
      <c r="M38" s="64" t="s">
        <v>2194</v>
      </c>
      <c r="N38" s="64" t="s">
        <v>2195</v>
      </c>
      <c r="O38" s="64" t="s">
        <v>2196</v>
      </c>
      <c r="P38" s="64" t="s">
        <v>2197</v>
      </c>
      <c r="Q38" s="64" t="s">
        <v>2198</v>
      </c>
      <c r="R38" s="64" t="s">
        <v>2199</v>
      </c>
      <c r="S38" s="64" t="s">
        <v>6296</v>
      </c>
    </row>
    <row r="39" spans="1:19" ht="63.75">
      <c r="A39" s="52" t="s">
        <v>2201</v>
      </c>
      <c r="B39" s="52" t="s">
        <v>57</v>
      </c>
      <c r="C39" s="52" t="s">
        <v>1059</v>
      </c>
      <c r="D39" s="52" t="s">
        <v>2202</v>
      </c>
      <c r="E39" s="52" t="s">
        <v>2060</v>
      </c>
      <c r="F39" s="52" t="s">
        <v>2203</v>
      </c>
      <c r="G39" s="52">
        <v>5</v>
      </c>
      <c r="H39" s="52" t="s">
        <v>2068</v>
      </c>
      <c r="I39" s="52" t="s">
        <v>2069</v>
      </c>
      <c r="J39" s="52">
        <v>4</v>
      </c>
      <c r="K39" s="52">
        <v>5</v>
      </c>
      <c r="L39" s="52">
        <v>5</v>
      </c>
      <c r="M39" s="52" t="s">
        <v>2204</v>
      </c>
      <c r="N39" s="52" t="s">
        <v>2205</v>
      </c>
      <c r="O39" s="52" t="s">
        <v>2206</v>
      </c>
      <c r="P39" s="52" t="s">
        <v>2207</v>
      </c>
      <c r="Q39" s="52" t="s">
        <v>2208</v>
      </c>
      <c r="R39" s="52" t="s">
        <v>2209</v>
      </c>
      <c r="S39" s="52" t="s">
        <v>6303</v>
      </c>
    </row>
    <row r="40" spans="1:19" ht="63.75">
      <c r="A40" s="64" t="s">
        <v>2211</v>
      </c>
      <c r="B40" s="64" t="s">
        <v>57</v>
      </c>
      <c r="C40" s="64" t="s">
        <v>1059</v>
      </c>
      <c r="D40" s="64" t="s">
        <v>2212</v>
      </c>
      <c r="E40" s="64" t="s">
        <v>2060</v>
      </c>
      <c r="F40" s="64" t="s">
        <v>2213</v>
      </c>
      <c r="G40" s="64">
        <v>5</v>
      </c>
      <c r="H40" s="64" t="s">
        <v>2068</v>
      </c>
      <c r="I40" s="64" t="s">
        <v>2069</v>
      </c>
      <c r="J40" s="64">
        <v>4</v>
      </c>
      <c r="K40" s="64">
        <v>5</v>
      </c>
      <c r="L40" s="64">
        <v>5</v>
      </c>
      <c r="M40" s="64" t="s">
        <v>2214</v>
      </c>
      <c r="N40" s="64" t="s">
        <v>2215</v>
      </c>
      <c r="O40" s="64" t="s">
        <v>2216</v>
      </c>
      <c r="P40" s="64" t="s">
        <v>2217</v>
      </c>
      <c r="Q40" s="64" t="s">
        <v>2218</v>
      </c>
      <c r="R40" s="64" t="s">
        <v>2219</v>
      </c>
      <c r="S40" s="64" t="s">
        <v>6310</v>
      </c>
    </row>
    <row r="41" spans="1:19" ht="63.75">
      <c r="A41" s="52" t="s">
        <v>2221</v>
      </c>
      <c r="B41" s="52" t="s">
        <v>57</v>
      </c>
      <c r="C41" s="52" t="s">
        <v>1059</v>
      </c>
      <c r="D41" s="52" t="s">
        <v>2222</v>
      </c>
      <c r="E41" s="52" t="s">
        <v>2060</v>
      </c>
      <c r="F41" s="52" t="s">
        <v>2223</v>
      </c>
      <c r="G41" s="52">
        <v>5</v>
      </c>
      <c r="H41" s="52" t="s">
        <v>2068</v>
      </c>
      <c r="I41" s="52" t="s">
        <v>2069</v>
      </c>
      <c r="J41" s="52">
        <v>4</v>
      </c>
      <c r="K41" s="52">
        <v>5</v>
      </c>
      <c r="L41" s="52">
        <v>5</v>
      </c>
      <c r="M41" s="52" t="s">
        <v>2224</v>
      </c>
      <c r="N41" s="52" t="s">
        <v>2225</v>
      </c>
      <c r="O41" s="52" t="s">
        <v>2226</v>
      </c>
      <c r="P41" s="52" t="s">
        <v>2227</v>
      </c>
      <c r="Q41" s="52" t="s">
        <v>2228</v>
      </c>
      <c r="R41" s="52" t="s">
        <v>2229</v>
      </c>
      <c r="S41" s="52" t="s">
        <v>6317</v>
      </c>
    </row>
    <row r="42" spans="1:19" ht="63.75">
      <c r="A42" s="64" t="s">
        <v>2231</v>
      </c>
      <c r="B42" s="64" t="s">
        <v>57</v>
      </c>
      <c r="C42" s="64" t="s">
        <v>1059</v>
      </c>
      <c r="D42" s="64" t="s">
        <v>2232</v>
      </c>
      <c r="E42" s="64" t="s">
        <v>2060</v>
      </c>
      <c r="F42" s="64" t="s">
        <v>2233</v>
      </c>
      <c r="G42" s="64">
        <v>5</v>
      </c>
      <c r="H42" s="64" t="s">
        <v>2068</v>
      </c>
      <c r="I42" s="64" t="s">
        <v>2069</v>
      </c>
      <c r="J42" s="64">
        <v>4</v>
      </c>
      <c r="K42" s="64">
        <v>5</v>
      </c>
      <c r="L42" s="64">
        <v>5</v>
      </c>
      <c r="M42" s="64" t="s">
        <v>2234</v>
      </c>
      <c r="N42" s="64" t="s">
        <v>2235</v>
      </c>
      <c r="O42" s="64" t="s">
        <v>2236</v>
      </c>
      <c r="P42" s="64" t="s">
        <v>2237</v>
      </c>
      <c r="Q42" s="64" t="s">
        <v>2238</v>
      </c>
      <c r="R42" s="64" t="s">
        <v>2239</v>
      </c>
      <c r="S42" s="64" t="s">
        <v>6324</v>
      </c>
    </row>
    <row r="43" spans="1:19" ht="63.75">
      <c r="A43" s="52" t="s">
        <v>2241</v>
      </c>
      <c r="B43" s="52" t="s">
        <v>57</v>
      </c>
      <c r="C43" s="52" t="s">
        <v>1067</v>
      </c>
      <c r="D43" s="52" t="s">
        <v>2242</v>
      </c>
      <c r="E43" s="52" t="s">
        <v>2060</v>
      </c>
      <c r="F43" s="52" t="s">
        <v>2243</v>
      </c>
      <c r="G43" s="52">
        <v>5</v>
      </c>
      <c r="H43" s="52" t="s">
        <v>2068</v>
      </c>
      <c r="I43" s="52" t="s">
        <v>2069</v>
      </c>
      <c r="J43" s="52">
        <v>4</v>
      </c>
      <c r="K43" s="52">
        <v>5</v>
      </c>
      <c r="L43" s="52">
        <v>5</v>
      </c>
      <c r="M43" s="52" t="s">
        <v>2244</v>
      </c>
      <c r="N43" s="52" t="s">
        <v>2245</v>
      </c>
      <c r="O43" s="52" t="s">
        <v>2246</v>
      </c>
      <c r="P43" s="52" t="s">
        <v>2247</v>
      </c>
      <c r="Q43" s="52" t="s">
        <v>2248</v>
      </c>
      <c r="R43" s="52" t="s">
        <v>2249</v>
      </c>
      <c r="S43" s="52" t="s">
        <v>6332</v>
      </c>
    </row>
    <row r="44" spans="1:19" ht="63.75">
      <c r="A44" s="64" t="s">
        <v>2251</v>
      </c>
      <c r="B44" s="64" t="s">
        <v>57</v>
      </c>
      <c r="C44" s="64" t="s">
        <v>1067</v>
      </c>
      <c r="D44" s="64" t="s">
        <v>2252</v>
      </c>
      <c r="E44" s="64" t="s">
        <v>2060</v>
      </c>
      <c r="F44" s="64" t="s">
        <v>2253</v>
      </c>
      <c r="G44" s="64">
        <v>4</v>
      </c>
      <c r="H44" s="64" t="s">
        <v>2068</v>
      </c>
      <c r="I44" s="64" t="s">
        <v>2069</v>
      </c>
      <c r="J44" s="64">
        <v>5</v>
      </c>
      <c r="K44" s="64">
        <v>5</v>
      </c>
      <c r="L44" s="64">
        <v>5</v>
      </c>
      <c r="M44" s="64" t="s">
        <v>2254</v>
      </c>
      <c r="N44" s="64" t="s">
        <v>2255</v>
      </c>
      <c r="O44" s="64" t="s">
        <v>2256</v>
      </c>
      <c r="P44" s="64" t="s">
        <v>2257</v>
      </c>
      <c r="Q44" s="64" t="s">
        <v>2258</v>
      </c>
      <c r="R44" s="64" t="s">
        <v>2259</v>
      </c>
      <c r="S44" s="64" t="s">
        <v>6339</v>
      </c>
    </row>
    <row r="45" spans="1:19" ht="63.75">
      <c r="A45" s="52" t="s">
        <v>2261</v>
      </c>
      <c r="B45" s="52" t="s">
        <v>57</v>
      </c>
      <c r="C45" s="52" t="s">
        <v>1067</v>
      </c>
      <c r="D45" s="52" t="s">
        <v>2262</v>
      </c>
      <c r="E45" s="52" t="s">
        <v>2060</v>
      </c>
      <c r="F45" s="52" t="s">
        <v>2263</v>
      </c>
      <c r="G45" s="52">
        <v>4</v>
      </c>
      <c r="H45" s="52" t="s">
        <v>2068</v>
      </c>
      <c r="I45" s="52" t="s">
        <v>2069</v>
      </c>
      <c r="J45" s="52">
        <v>4</v>
      </c>
      <c r="K45" s="52">
        <v>5</v>
      </c>
      <c r="L45" s="52">
        <v>5</v>
      </c>
      <c r="M45" s="52" t="s">
        <v>2264</v>
      </c>
      <c r="N45" s="52" t="s">
        <v>2265</v>
      </c>
      <c r="O45" s="52" t="s">
        <v>2266</v>
      </c>
      <c r="P45" s="52" t="s">
        <v>2267</v>
      </c>
      <c r="Q45" s="52" t="s">
        <v>2268</v>
      </c>
      <c r="R45" s="52" t="s">
        <v>2269</v>
      </c>
      <c r="S45" s="52" t="s">
        <v>6346</v>
      </c>
    </row>
    <row r="46" spans="1:19" ht="63.75">
      <c r="A46" s="64" t="s">
        <v>2271</v>
      </c>
      <c r="B46" s="64" t="s">
        <v>57</v>
      </c>
      <c r="C46" s="64" t="s">
        <v>1067</v>
      </c>
      <c r="D46" s="64" t="s">
        <v>2272</v>
      </c>
      <c r="E46" s="64" t="s">
        <v>2060</v>
      </c>
      <c r="F46" s="64" t="s">
        <v>2273</v>
      </c>
      <c r="G46" s="64">
        <v>5</v>
      </c>
      <c r="H46" s="64" t="s">
        <v>2068</v>
      </c>
      <c r="I46" s="64" t="s">
        <v>2069</v>
      </c>
      <c r="J46" s="64">
        <v>4</v>
      </c>
      <c r="K46" s="64">
        <v>5</v>
      </c>
      <c r="L46" s="64">
        <v>5</v>
      </c>
      <c r="M46" s="64" t="s">
        <v>2274</v>
      </c>
      <c r="N46" s="64" t="s">
        <v>2275</v>
      </c>
      <c r="O46" s="64" t="s">
        <v>2276</v>
      </c>
      <c r="P46" s="64" t="s">
        <v>2277</v>
      </c>
      <c r="Q46" s="64" t="s">
        <v>2278</v>
      </c>
      <c r="R46" s="64" t="s">
        <v>2279</v>
      </c>
      <c r="S46" s="64" t="s">
        <v>6353</v>
      </c>
    </row>
    <row r="47" spans="1:19" ht="63.75">
      <c r="A47" s="52" t="s">
        <v>2281</v>
      </c>
      <c r="B47" s="52" t="s">
        <v>57</v>
      </c>
      <c r="C47" s="52" t="s">
        <v>1067</v>
      </c>
      <c r="D47" s="52" t="s">
        <v>2282</v>
      </c>
      <c r="E47" s="52" t="s">
        <v>2060</v>
      </c>
      <c r="F47" s="52" t="s">
        <v>2283</v>
      </c>
      <c r="G47" s="52">
        <v>4</v>
      </c>
      <c r="H47" s="52" t="s">
        <v>2068</v>
      </c>
      <c r="I47" s="52" t="s">
        <v>2069</v>
      </c>
      <c r="J47" s="52">
        <v>4</v>
      </c>
      <c r="K47" s="52">
        <v>5</v>
      </c>
      <c r="L47" s="52">
        <v>5</v>
      </c>
      <c r="M47" s="52" t="s">
        <v>2284</v>
      </c>
      <c r="N47" s="52" t="s">
        <v>2285</v>
      </c>
      <c r="O47" s="52" t="s">
        <v>2286</v>
      </c>
      <c r="P47" s="52" t="s">
        <v>2287</v>
      </c>
      <c r="Q47" s="52" t="s">
        <v>2288</v>
      </c>
      <c r="R47" s="52" t="s">
        <v>2289</v>
      </c>
      <c r="S47" s="52" t="s">
        <v>6360</v>
      </c>
    </row>
    <row r="48" spans="1:19" ht="63.75">
      <c r="A48" s="64" t="s">
        <v>2291</v>
      </c>
      <c r="B48" s="64" t="s">
        <v>57</v>
      </c>
      <c r="C48" s="64" t="s">
        <v>1067</v>
      </c>
      <c r="D48" s="64" t="s">
        <v>2292</v>
      </c>
      <c r="E48" s="64" t="s">
        <v>2060</v>
      </c>
      <c r="F48" s="64" t="s">
        <v>2293</v>
      </c>
      <c r="G48" s="64">
        <v>4</v>
      </c>
      <c r="H48" s="64" t="s">
        <v>2068</v>
      </c>
      <c r="I48" s="64" t="s">
        <v>2069</v>
      </c>
      <c r="J48" s="64">
        <v>4</v>
      </c>
      <c r="K48" s="64">
        <v>5</v>
      </c>
      <c r="L48" s="64">
        <v>5</v>
      </c>
      <c r="M48" s="64" t="s">
        <v>2294</v>
      </c>
      <c r="N48" s="64" t="s">
        <v>2295</v>
      </c>
      <c r="O48" s="64" t="s">
        <v>2296</v>
      </c>
      <c r="P48" s="64" t="s">
        <v>2297</v>
      </c>
      <c r="Q48" s="64" t="s">
        <v>2298</v>
      </c>
      <c r="R48" s="64" t="s">
        <v>2299</v>
      </c>
      <c r="S48" s="64" t="s">
        <v>6367</v>
      </c>
    </row>
    <row r="49" spans="1:19" ht="63.75">
      <c r="A49" s="52" t="s">
        <v>2303</v>
      </c>
      <c r="B49" s="52" t="s">
        <v>60</v>
      </c>
      <c r="C49" s="52" t="s">
        <v>1075</v>
      </c>
      <c r="D49" s="52" t="s">
        <v>2304</v>
      </c>
      <c r="E49" s="52" t="s">
        <v>2306</v>
      </c>
      <c r="F49" s="52" t="s">
        <v>2307</v>
      </c>
      <c r="G49" s="52">
        <v>5</v>
      </c>
      <c r="H49" s="52" t="s">
        <v>2314</v>
      </c>
      <c r="I49" s="52" t="s">
        <v>1863</v>
      </c>
      <c r="J49" s="52">
        <v>4</v>
      </c>
      <c r="K49" s="52">
        <v>5</v>
      </c>
      <c r="L49" s="52">
        <v>5</v>
      </c>
      <c r="M49" s="52" t="s">
        <v>2308</v>
      </c>
      <c r="N49" s="52" t="s">
        <v>2309</v>
      </c>
      <c r="O49" s="52" t="s">
        <v>2310</v>
      </c>
      <c r="P49" s="52" t="s">
        <v>2311</v>
      </c>
      <c r="Q49" s="52" t="s">
        <v>2312</v>
      </c>
      <c r="R49" s="52" t="s">
        <v>2313</v>
      </c>
      <c r="S49" s="52" t="s">
        <v>6375</v>
      </c>
    </row>
    <row r="50" spans="1:19" ht="51">
      <c r="A50" s="64" t="s">
        <v>2316</v>
      </c>
      <c r="B50" s="64" t="s">
        <v>60</v>
      </c>
      <c r="C50" s="64" t="s">
        <v>1075</v>
      </c>
      <c r="D50" s="64" t="s">
        <v>2317</v>
      </c>
      <c r="E50" s="64" t="s">
        <v>2306</v>
      </c>
      <c r="F50" s="64" t="s">
        <v>2318</v>
      </c>
      <c r="G50" s="64">
        <v>5</v>
      </c>
      <c r="H50" s="64" t="s">
        <v>2314</v>
      </c>
      <c r="I50" s="64" t="s">
        <v>1863</v>
      </c>
      <c r="J50" s="64">
        <v>4</v>
      </c>
      <c r="K50" s="64">
        <v>5</v>
      </c>
      <c r="L50" s="64">
        <v>5</v>
      </c>
      <c r="M50" s="64" t="s">
        <v>2319</v>
      </c>
      <c r="N50" s="64" t="s">
        <v>2320</v>
      </c>
      <c r="O50" s="64" t="s">
        <v>2321</v>
      </c>
      <c r="P50" s="64" t="s">
        <v>2322</v>
      </c>
      <c r="Q50" s="64" t="s">
        <v>2323</v>
      </c>
      <c r="R50" s="64" t="s">
        <v>2324</v>
      </c>
      <c r="S50" s="64" t="s">
        <v>6382</v>
      </c>
    </row>
    <row r="51" spans="1:19" ht="63.75">
      <c r="A51" s="52" t="s">
        <v>2326</v>
      </c>
      <c r="B51" s="52" t="s">
        <v>60</v>
      </c>
      <c r="C51" s="52" t="s">
        <v>1075</v>
      </c>
      <c r="D51" s="52" t="s">
        <v>2327</v>
      </c>
      <c r="E51" s="52" t="s">
        <v>2306</v>
      </c>
      <c r="F51" s="52" t="s">
        <v>2328</v>
      </c>
      <c r="G51" s="52">
        <v>5</v>
      </c>
      <c r="H51" s="52" t="s">
        <v>2314</v>
      </c>
      <c r="I51" s="52" t="s">
        <v>1863</v>
      </c>
      <c r="J51" s="52">
        <v>4</v>
      </c>
      <c r="K51" s="52">
        <v>5</v>
      </c>
      <c r="L51" s="52">
        <v>5</v>
      </c>
      <c r="M51" s="52" t="s">
        <v>2329</v>
      </c>
      <c r="N51" s="52" t="s">
        <v>2330</v>
      </c>
      <c r="O51" s="52" t="s">
        <v>2331</v>
      </c>
      <c r="P51" s="52" t="s">
        <v>2332</v>
      </c>
      <c r="Q51" s="52" t="s">
        <v>2333</v>
      </c>
      <c r="R51" s="52" t="s">
        <v>2334</v>
      </c>
      <c r="S51" s="52" t="s">
        <v>6389</v>
      </c>
    </row>
    <row r="52" spans="1:19" ht="63.75">
      <c r="A52" s="64" t="s">
        <v>2336</v>
      </c>
      <c r="B52" s="64" t="s">
        <v>60</v>
      </c>
      <c r="C52" s="64" t="s">
        <v>1075</v>
      </c>
      <c r="D52" s="64" t="s">
        <v>2337</v>
      </c>
      <c r="E52" s="64" t="s">
        <v>2306</v>
      </c>
      <c r="F52" s="64" t="s">
        <v>2338</v>
      </c>
      <c r="G52" s="64">
        <v>5</v>
      </c>
      <c r="H52" s="64" t="s">
        <v>2314</v>
      </c>
      <c r="I52" s="64" t="s">
        <v>1863</v>
      </c>
      <c r="J52" s="64">
        <v>4</v>
      </c>
      <c r="K52" s="64">
        <v>5</v>
      </c>
      <c r="L52" s="64">
        <v>5</v>
      </c>
      <c r="M52" s="64" t="s">
        <v>2339</v>
      </c>
      <c r="N52" s="64" t="s">
        <v>2340</v>
      </c>
      <c r="O52" s="64" t="s">
        <v>2341</v>
      </c>
      <c r="P52" s="64" t="s">
        <v>2342</v>
      </c>
      <c r="Q52" s="64" t="s">
        <v>2343</v>
      </c>
      <c r="R52" s="64" t="s">
        <v>2344</v>
      </c>
      <c r="S52" s="64" t="s">
        <v>6396</v>
      </c>
    </row>
    <row r="53" spans="1:19" ht="63.75">
      <c r="A53" s="52" t="s">
        <v>2346</v>
      </c>
      <c r="B53" s="52" t="s">
        <v>60</v>
      </c>
      <c r="C53" s="52" t="s">
        <v>1075</v>
      </c>
      <c r="D53" s="52" t="s">
        <v>2347</v>
      </c>
      <c r="E53" s="52" t="s">
        <v>2306</v>
      </c>
      <c r="F53" s="52" t="s">
        <v>2348</v>
      </c>
      <c r="G53" s="52">
        <v>5</v>
      </c>
      <c r="H53" s="52" t="s">
        <v>2314</v>
      </c>
      <c r="I53" s="52" t="s">
        <v>1863</v>
      </c>
      <c r="J53" s="52">
        <v>4</v>
      </c>
      <c r="K53" s="52">
        <v>5</v>
      </c>
      <c r="L53" s="52">
        <v>5</v>
      </c>
      <c r="M53" s="52" t="s">
        <v>2349</v>
      </c>
      <c r="N53" s="52" t="s">
        <v>2350</v>
      </c>
      <c r="O53" s="52" t="s">
        <v>2351</v>
      </c>
      <c r="P53" s="52" t="s">
        <v>2352</v>
      </c>
      <c r="Q53" s="52" t="s">
        <v>2353</v>
      </c>
      <c r="R53" s="52" t="s">
        <v>2354</v>
      </c>
      <c r="S53" s="52" t="s">
        <v>6403</v>
      </c>
    </row>
    <row r="54" spans="1:19" ht="51">
      <c r="A54" s="64" t="s">
        <v>2356</v>
      </c>
      <c r="B54" s="64" t="s">
        <v>60</v>
      </c>
      <c r="C54" s="64" t="s">
        <v>1075</v>
      </c>
      <c r="D54" s="64" t="s">
        <v>2357</v>
      </c>
      <c r="E54" s="64" t="s">
        <v>2306</v>
      </c>
      <c r="F54" s="64" t="s">
        <v>2358</v>
      </c>
      <c r="G54" s="64">
        <v>3</v>
      </c>
      <c r="H54" s="64" t="s">
        <v>2314</v>
      </c>
      <c r="I54" s="64" t="s">
        <v>1863</v>
      </c>
      <c r="J54" s="64">
        <v>4</v>
      </c>
      <c r="K54" s="64">
        <v>5</v>
      </c>
      <c r="L54" s="64">
        <v>5</v>
      </c>
      <c r="M54" s="64" t="s">
        <v>2359</v>
      </c>
      <c r="N54" s="64" t="s">
        <v>2360</v>
      </c>
      <c r="O54" s="64" t="s">
        <v>2361</v>
      </c>
      <c r="P54" s="64" t="s">
        <v>2362</v>
      </c>
      <c r="Q54" s="64" t="s">
        <v>2363</v>
      </c>
      <c r="R54" s="64" t="s">
        <v>2364</v>
      </c>
      <c r="S54" s="64" t="s">
        <v>6410</v>
      </c>
    </row>
    <row r="55" spans="1:19" ht="63.75">
      <c r="A55" s="52" t="s">
        <v>2366</v>
      </c>
      <c r="B55" s="52" t="s">
        <v>60</v>
      </c>
      <c r="C55" s="52" t="s">
        <v>1084</v>
      </c>
      <c r="D55" s="52" t="s">
        <v>2367</v>
      </c>
      <c r="E55" s="52" t="s">
        <v>2306</v>
      </c>
      <c r="F55" s="52" t="s">
        <v>2368</v>
      </c>
      <c r="G55" s="52">
        <v>5</v>
      </c>
      <c r="H55" s="52" t="s">
        <v>2314</v>
      </c>
      <c r="I55" s="52" t="s">
        <v>1863</v>
      </c>
      <c r="J55" s="52">
        <v>4</v>
      </c>
      <c r="K55" s="52">
        <v>5</v>
      </c>
      <c r="L55" s="52">
        <v>5</v>
      </c>
      <c r="M55" s="52" t="s">
        <v>2369</v>
      </c>
      <c r="N55" s="52" t="s">
        <v>2370</v>
      </c>
      <c r="O55" s="52" t="s">
        <v>2371</v>
      </c>
      <c r="P55" s="52" t="s">
        <v>2372</v>
      </c>
      <c r="Q55" s="52" t="s">
        <v>2373</v>
      </c>
      <c r="R55" s="52" t="s">
        <v>2374</v>
      </c>
      <c r="S55" s="52" t="s">
        <v>6418</v>
      </c>
    </row>
    <row r="56" spans="1:19" ht="63.75">
      <c r="A56" s="64" t="s">
        <v>2376</v>
      </c>
      <c r="B56" s="64" t="s">
        <v>60</v>
      </c>
      <c r="C56" s="64" t="s">
        <v>1084</v>
      </c>
      <c r="D56" s="64" t="s">
        <v>2377</v>
      </c>
      <c r="E56" s="64" t="s">
        <v>2306</v>
      </c>
      <c r="F56" s="64" t="s">
        <v>2378</v>
      </c>
      <c r="G56" s="64">
        <v>5</v>
      </c>
      <c r="H56" s="64" t="s">
        <v>2314</v>
      </c>
      <c r="I56" s="64" t="s">
        <v>1863</v>
      </c>
      <c r="J56" s="64">
        <v>5</v>
      </c>
      <c r="K56" s="64">
        <v>5</v>
      </c>
      <c r="L56" s="64">
        <v>5</v>
      </c>
      <c r="M56" s="64" t="s">
        <v>2379</v>
      </c>
      <c r="N56" s="64" t="s">
        <v>2380</v>
      </c>
      <c r="O56" s="64" t="s">
        <v>2381</v>
      </c>
      <c r="P56" s="64" t="s">
        <v>2382</v>
      </c>
      <c r="Q56" s="64" t="s">
        <v>2383</v>
      </c>
      <c r="R56" s="64" t="s">
        <v>2384</v>
      </c>
      <c r="S56" s="64" t="s">
        <v>6425</v>
      </c>
    </row>
    <row r="57" spans="1:19" ht="63.75">
      <c r="A57" s="52" t="s">
        <v>2386</v>
      </c>
      <c r="B57" s="52" t="s">
        <v>60</v>
      </c>
      <c r="C57" s="52" t="s">
        <v>1084</v>
      </c>
      <c r="D57" s="52" t="s">
        <v>2387</v>
      </c>
      <c r="E57" s="52" t="s">
        <v>2306</v>
      </c>
      <c r="F57" s="52" t="s">
        <v>2388</v>
      </c>
      <c r="G57" s="52">
        <v>5</v>
      </c>
      <c r="H57" s="52" t="s">
        <v>2314</v>
      </c>
      <c r="I57" s="52" t="s">
        <v>1863</v>
      </c>
      <c r="J57" s="52">
        <v>4</v>
      </c>
      <c r="K57" s="52">
        <v>5</v>
      </c>
      <c r="L57" s="52">
        <v>5</v>
      </c>
      <c r="M57" s="52" t="s">
        <v>2389</v>
      </c>
      <c r="N57" s="52" t="s">
        <v>2390</v>
      </c>
      <c r="O57" s="52" t="s">
        <v>2391</v>
      </c>
      <c r="P57" s="52" t="s">
        <v>2392</v>
      </c>
      <c r="Q57" s="52" t="s">
        <v>2393</v>
      </c>
      <c r="R57" s="52" t="s">
        <v>2394</v>
      </c>
      <c r="S57" s="52" t="s">
        <v>6432</v>
      </c>
    </row>
    <row r="58" spans="1:19" ht="63.75">
      <c r="A58" s="64" t="s">
        <v>2396</v>
      </c>
      <c r="B58" s="64" t="s">
        <v>60</v>
      </c>
      <c r="C58" s="64" t="s">
        <v>1084</v>
      </c>
      <c r="D58" s="64" t="s">
        <v>2397</v>
      </c>
      <c r="E58" s="64" t="s">
        <v>2306</v>
      </c>
      <c r="F58" s="64" t="s">
        <v>2398</v>
      </c>
      <c r="G58" s="64">
        <v>5</v>
      </c>
      <c r="H58" s="64" t="s">
        <v>2314</v>
      </c>
      <c r="I58" s="64" t="s">
        <v>1863</v>
      </c>
      <c r="J58" s="64">
        <v>4</v>
      </c>
      <c r="K58" s="64">
        <v>5</v>
      </c>
      <c r="L58" s="64">
        <v>5</v>
      </c>
      <c r="M58" s="64" t="s">
        <v>2399</v>
      </c>
      <c r="N58" s="64" t="s">
        <v>2400</v>
      </c>
      <c r="O58" s="64" t="s">
        <v>2401</v>
      </c>
      <c r="P58" s="64" t="s">
        <v>2402</v>
      </c>
      <c r="Q58" s="64" t="s">
        <v>2403</v>
      </c>
      <c r="R58" s="64" t="s">
        <v>2404</v>
      </c>
      <c r="S58" s="64" t="s">
        <v>6439</v>
      </c>
    </row>
    <row r="59" spans="1:19" ht="63.75">
      <c r="A59" s="52" t="s">
        <v>2406</v>
      </c>
      <c r="B59" s="52" t="s">
        <v>60</v>
      </c>
      <c r="C59" s="52" t="s">
        <v>1084</v>
      </c>
      <c r="D59" s="52" t="s">
        <v>2407</v>
      </c>
      <c r="E59" s="52" t="s">
        <v>2306</v>
      </c>
      <c r="F59" s="52" t="s">
        <v>2408</v>
      </c>
      <c r="G59" s="52">
        <v>5</v>
      </c>
      <c r="H59" s="52" t="s">
        <v>2314</v>
      </c>
      <c r="I59" s="52" t="s">
        <v>1863</v>
      </c>
      <c r="J59" s="52">
        <v>4</v>
      </c>
      <c r="K59" s="52">
        <v>5</v>
      </c>
      <c r="L59" s="52">
        <v>5</v>
      </c>
      <c r="M59" s="52" t="s">
        <v>2409</v>
      </c>
      <c r="N59" s="52" t="s">
        <v>2410</v>
      </c>
      <c r="O59" s="52" t="s">
        <v>2411</v>
      </c>
      <c r="P59" s="52" t="s">
        <v>2412</v>
      </c>
      <c r="Q59" s="52" t="s">
        <v>2413</v>
      </c>
      <c r="R59" s="52" t="s">
        <v>2414</v>
      </c>
      <c r="S59" s="52" t="s">
        <v>6446</v>
      </c>
    </row>
    <row r="60" spans="1:19" ht="76.5">
      <c r="A60" s="64" t="s">
        <v>2416</v>
      </c>
      <c r="B60" s="64" t="s">
        <v>60</v>
      </c>
      <c r="C60" s="64" t="s">
        <v>1084</v>
      </c>
      <c r="D60" s="64" t="s">
        <v>2417</v>
      </c>
      <c r="E60" s="64" t="s">
        <v>2306</v>
      </c>
      <c r="F60" s="64" t="s">
        <v>2418</v>
      </c>
      <c r="G60" s="64">
        <v>5</v>
      </c>
      <c r="H60" s="64" t="s">
        <v>2314</v>
      </c>
      <c r="I60" s="64" t="s">
        <v>1863</v>
      </c>
      <c r="J60" s="64">
        <v>5</v>
      </c>
      <c r="K60" s="64">
        <v>5</v>
      </c>
      <c r="L60" s="64">
        <v>5</v>
      </c>
      <c r="M60" s="64" t="s">
        <v>2419</v>
      </c>
      <c r="N60" s="64" t="s">
        <v>2420</v>
      </c>
      <c r="O60" s="64" t="s">
        <v>2421</v>
      </c>
      <c r="P60" s="64" t="s">
        <v>2422</v>
      </c>
      <c r="Q60" s="64" t="s">
        <v>2423</v>
      </c>
      <c r="R60" s="64" t="s">
        <v>2424</v>
      </c>
      <c r="S60" s="64" t="s">
        <v>6453</v>
      </c>
    </row>
    <row r="61" spans="1:19" ht="63.75">
      <c r="A61" s="52" t="s">
        <v>2426</v>
      </c>
      <c r="B61" s="52" t="s">
        <v>60</v>
      </c>
      <c r="C61" s="52" t="s">
        <v>1084</v>
      </c>
      <c r="D61" s="52" t="s">
        <v>2427</v>
      </c>
      <c r="E61" s="52" t="s">
        <v>2306</v>
      </c>
      <c r="F61" s="52" t="s">
        <v>2428</v>
      </c>
      <c r="G61" s="52">
        <v>5</v>
      </c>
      <c r="H61" s="52" t="s">
        <v>2314</v>
      </c>
      <c r="I61" s="52" t="s">
        <v>1863</v>
      </c>
      <c r="J61" s="52">
        <v>4</v>
      </c>
      <c r="K61" s="52">
        <v>5</v>
      </c>
      <c r="L61" s="52">
        <v>5</v>
      </c>
      <c r="M61" s="52" t="s">
        <v>2429</v>
      </c>
      <c r="N61" s="52" t="s">
        <v>2430</v>
      </c>
      <c r="O61" s="52" t="s">
        <v>2431</v>
      </c>
      <c r="P61" s="52" t="s">
        <v>2432</v>
      </c>
      <c r="Q61" s="52" t="s">
        <v>2433</v>
      </c>
      <c r="R61" s="52" t="s">
        <v>2434</v>
      </c>
      <c r="S61" s="52" t="s">
        <v>6460</v>
      </c>
    </row>
    <row r="62" spans="1:19" ht="63.75">
      <c r="A62" s="64" t="s">
        <v>2436</v>
      </c>
      <c r="B62" s="64" t="s">
        <v>60</v>
      </c>
      <c r="C62" s="64" t="s">
        <v>1092</v>
      </c>
      <c r="D62" s="64" t="s">
        <v>2437</v>
      </c>
      <c r="E62" s="64" t="s">
        <v>2306</v>
      </c>
      <c r="F62" s="64" t="s">
        <v>2438</v>
      </c>
      <c r="G62" s="64">
        <v>5</v>
      </c>
      <c r="H62" s="64" t="s">
        <v>2314</v>
      </c>
      <c r="I62" s="64" t="s">
        <v>1863</v>
      </c>
      <c r="J62" s="64">
        <v>4</v>
      </c>
      <c r="K62" s="64">
        <v>5</v>
      </c>
      <c r="L62" s="64">
        <v>5</v>
      </c>
      <c r="M62" s="64" t="s">
        <v>2439</v>
      </c>
      <c r="N62" s="64" t="s">
        <v>2440</v>
      </c>
      <c r="O62" s="64" t="s">
        <v>2441</v>
      </c>
      <c r="P62" s="64" t="s">
        <v>2442</v>
      </c>
      <c r="Q62" s="64" t="s">
        <v>2443</v>
      </c>
      <c r="R62" s="64" t="s">
        <v>2444</v>
      </c>
      <c r="S62" s="64" t="s">
        <v>6468</v>
      </c>
    </row>
    <row r="63" spans="1:19" ht="63.75">
      <c r="A63" s="52" t="s">
        <v>2446</v>
      </c>
      <c r="B63" s="52" t="s">
        <v>60</v>
      </c>
      <c r="C63" s="52" t="s">
        <v>1092</v>
      </c>
      <c r="D63" s="52" t="s">
        <v>2447</v>
      </c>
      <c r="E63" s="52" t="s">
        <v>2306</v>
      </c>
      <c r="F63" s="52" t="s">
        <v>2448</v>
      </c>
      <c r="G63" s="52">
        <v>5</v>
      </c>
      <c r="H63" s="52" t="s">
        <v>2314</v>
      </c>
      <c r="I63" s="52" t="s">
        <v>1863</v>
      </c>
      <c r="J63" s="52">
        <v>4</v>
      </c>
      <c r="K63" s="52">
        <v>5</v>
      </c>
      <c r="L63" s="52">
        <v>5</v>
      </c>
      <c r="M63" s="52" t="s">
        <v>2449</v>
      </c>
      <c r="N63" s="52" t="s">
        <v>2450</v>
      </c>
      <c r="O63" s="52" t="s">
        <v>2451</v>
      </c>
      <c r="P63" s="52" t="s">
        <v>2452</v>
      </c>
      <c r="Q63" s="52" t="s">
        <v>2453</v>
      </c>
      <c r="R63" s="52" t="s">
        <v>2454</v>
      </c>
      <c r="S63" s="52" t="s">
        <v>6475</v>
      </c>
    </row>
    <row r="64" spans="1:19" ht="63.75">
      <c r="A64" s="64" t="s">
        <v>2456</v>
      </c>
      <c r="B64" s="64" t="s">
        <v>60</v>
      </c>
      <c r="C64" s="64" t="s">
        <v>1092</v>
      </c>
      <c r="D64" s="64" t="s">
        <v>2457</v>
      </c>
      <c r="E64" s="64" t="s">
        <v>2306</v>
      </c>
      <c r="F64" s="64" t="s">
        <v>2458</v>
      </c>
      <c r="G64" s="64">
        <v>5</v>
      </c>
      <c r="H64" s="64" t="s">
        <v>2314</v>
      </c>
      <c r="I64" s="64" t="s">
        <v>1863</v>
      </c>
      <c r="J64" s="64">
        <v>4</v>
      </c>
      <c r="K64" s="64">
        <v>5</v>
      </c>
      <c r="L64" s="64">
        <v>5</v>
      </c>
      <c r="M64" s="64" t="s">
        <v>2459</v>
      </c>
      <c r="N64" s="64" t="s">
        <v>2460</v>
      </c>
      <c r="O64" s="64" t="s">
        <v>2461</v>
      </c>
      <c r="P64" s="64" t="s">
        <v>2462</v>
      </c>
      <c r="Q64" s="64" t="s">
        <v>2463</v>
      </c>
      <c r="R64" s="64" t="s">
        <v>2464</v>
      </c>
      <c r="S64" s="64" t="s">
        <v>6482</v>
      </c>
    </row>
    <row r="65" spans="1:19" ht="63.75">
      <c r="A65" s="52" t="s">
        <v>2466</v>
      </c>
      <c r="B65" s="52" t="s">
        <v>60</v>
      </c>
      <c r="C65" s="52" t="s">
        <v>1092</v>
      </c>
      <c r="D65" s="52" t="s">
        <v>2467</v>
      </c>
      <c r="E65" s="52" t="s">
        <v>2306</v>
      </c>
      <c r="F65" s="52" t="s">
        <v>2468</v>
      </c>
      <c r="G65" s="52">
        <v>5</v>
      </c>
      <c r="H65" s="52" t="s">
        <v>2314</v>
      </c>
      <c r="I65" s="52" t="s">
        <v>1863</v>
      </c>
      <c r="J65" s="52">
        <v>4</v>
      </c>
      <c r="K65" s="52">
        <v>5</v>
      </c>
      <c r="L65" s="52">
        <v>5</v>
      </c>
      <c r="M65" s="52" t="s">
        <v>2469</v>
      </c>
      <c r="N65" s="52" t="s">
        <v>2470</v>
      </c>
      <c r="O65" s="52" t="s">
        <v>2471</v>
      </c>
      <c r="P65" s="52" t="s">
        <v>2472</v>
      </c>
      <c r="Q65" s="52" t="s">
        <v>2473</v>
      </c>
      <c r="R65" s="52" t="s">
        <v>2474</v>
      </c>
      <c r="S65" s="52" t="s">
        <v>6489</v>
      </c>
    </row>
    <row r="66" spans="1:19" ht="51">
      <c r="A66" s="64" t="s">
        <v>2476</v>
      </c>
      <c r="B66" s="64" t="s">
        <v>60</v>
      </c>
      <c r="C66" s="64" t="s">
        <v>1092</v>
      </c>
      <c r="D66" s="64" t="s">
        <v>2477</v>
      </c>
      <c r="E66" s="64" t="s">
        <v>2306</v>
      </c>
      <c r="F66" s="64" t="s">
        <v>2478</v>
      </c>
      <c r="G66" s="64">
        <v>3</v>
      </c>
      <c r="H66" s="64" t="s">
        <v>2314</v>
      </c>
      <c r="I66" s="64" t="s">
        <v>1863</v>
      </c>
      <c r="J66" s="64">
        <v>4</v>
      </c>
      <c r="K66" s="64">
        <v>5</v>
      </c>
      <c r="L66" s="64">
        <v>5</v>
      </c>
      <c r="M66" s="64" t="s">
        <v>2479</v>
      </c>
      <c r="N66" s="64" t="s">
        <v>2480</v>
      </c>
      <c r="O66" s="64" t="s">
        <v>2481</v>
      </c>
      <c r="P66" s="64" t="s">
        <v>2482</v>
      </c>
      <c r="Q66" s="64" t="s">
        <v>2483</v>
      </c>
      <c r="R66" s="64" t="s">
        <v>2484</v>
      </c>
      <c r="S66" s="64" t="s">
        <v>6496</v>
      </c>
    </row>
    <row r="67" spans="1:19" ht="63.75">
      <c r="A67" s="52" t="s">
        <v>2486</v>
      </c>
      <c r="B67" s="52" t="s">
        <v>60</v>
      </c>
      <c r="C67" s="52" t="s">
        <v>1092</v>
      </c>
      <c r="D67" s="52" t="s">
        <v>2487</v>
      </c>
      <c r="E67" s="52" t="s">
        <v>2306</v>
      </c>
      <c r="F67" s="52" t="s">
        <v>2488</v>
      </c>
      <c r="G67" s="52">
        <v>5</v>
      </c>
      <c r="H67" s="52" t="s">
        <v>2314</v>
      </c>
      <c r="I67" s="52" t="s">
        <v>1863</v>
      </c>
      <c r="J67" s="52">
        <v>4</v>
      </c>
      <c r="K67" s="52">
        <v>5</v>
      </c>
      <c r="L67" s="52">
        <v>5</v>
      </c>
      <c r="M67" s="52" t="s">
        <v>2489</v>
      </c>
      <c r="N67" s="52" t="s">
        <v>2490</v>
      </c>
      <c r="O67" s="52" t="s">
        <v>2491</v>
      </c>
      <c r="P67" s="52" t="s">
        <v>2492</v>
      </c>
      <c r="Q67" s="52" t="s">
        <v>2493</v>
      </c>
      <c r="R67" s="52" t="s">
        <v>2494</v>
      </c>
      <c r="S67" s="52" t="s">
        <v>6503</v>
      </c>
    </row>
    <row r="68" spans="1:19" ht="63.75">
      <c r="A68" s="64" t="s">
        <v>2498</v>
      </c>
      <c r="B68" s="64" t="s">
        <v>63</v>
      </c>
      <c r="C68" s="64" t="s">
        <v>1100</v>
      </c>
      <c r="D68" s="64" t="s">
        <v>2499</v>
      </c>
      <c r="E68" s="64" t="s">
        <v>2501</v>
      </c>
      <c r="F68" s="64" t="s">
        <v>2502</v>
      </c>
      <c r="G68" s="64">
        <v>5</v>
      </c>
      <c r="H68" s="64" t="s">
        <v>2509</v>
      </c>
      <c r="I68" s="64" t="s">
        <v>2510</v>
      </c>
      <c r="J68" s="64">
        <v>4</v>
      </c>
      <c r="K68" s="64">
        <v>5</v>
      </c>
      <c r="L68" s="64">
        <v>5</v>
      </c>
      <c r="M68" s="64" t="s">
        <v>2503</v>
      </c>
      <c r="N68" s="64" t="s">
        <v>2504</v>
      </c>
      <c r="O68" s="64" t="s">
        <v>2505</v>
      </c>
      <c r="P68" s="64" t="s">
        <v>2506</v>
      </c>
      <c r="Q68" s="64" t="s">
        <v>2507</v>
      </c>
      <c r="R68" s="64" t="s">
        <v>2508</v>
      </c>
      <c r="S68" s="64" t="s">
        <v>6511</v>
      </c>
    </row>
    <row r="69" spans="1:19" ht="63.75">
      <c r="A69" s="52" t="s">
        <v>2512</v>
      </c>
      <c r="B69" s="52" t="s">
        <v>63</v>
      </c>
      <c r="C69" s="52" t="s">
        <v>1100</v>
      </c>
      <c r="D69" s="52" t="s">
        <v>2513</v>
      </c>
      <c r="E69" s="52" t="s">
        <v>2501</v>
      </c>
      <c r="F69" s="52" t="s">
        <v>2514</v>
      </c>
      <c r="G69" s="52">
        <v>5</v>
      </c>
      <c r="H69" s="52" t="s">
        <v>2509</v>
      </c>
      <c r="I69" s="52" t="s">
        <v>2510</v>
      </c>
      <c r="J69" s="52">
        <v>4</v>
      </c>
      <c r="K69" s="52">
        <v>5</v>
      </c>
      <c r="L69" s="52">
        <v>5</v>
      </c>
      <c r="M69" s="52" t="s">
        <v>2515</v>
      </c>
      <c r="N69" s="52" t="s">
        <v>2516</v>
      </c>
      <c r="O69" s="52" t="s">
        <v>2517</v>
      </c>
      <c r="P69" s="52" t="s">
        <v>2518</v>
      </c>
      <c r="Q69" s="52" t="s">
        <v>2519</v>
      </c>
      <c r="R69" s="52" t="s">
        <v>2520</v>
      </c>
      <c r="S69" s="52" t="s">
        <v>6518</v>
      </c>
    </row>
    <row r="70" spans="1:19" ht="63.75">
      <c r="A70" s="64" t="s">
        <v>2522</v>
      </c>
      <c r="B70" s="64" t="s">
        <v>63</v>
      </c>
      <c r="C70" s="64" t="s">
        <v>1100</v>
      </c>
      <c r="D70" s="64" t="s">
        <v>2523</v>
      </c>
      <c r="E70" s="64" t="s">
        <v>2501</v>
      </c>
      <c r="F70" s="64" t="s">
        <v>2524</v>
      </c>
      <c r="G70" s="64">
        <v>5</v>
      </c>
      <c r="H70" s="64" t="s">
        <v>2509</v>
      </c>
      <c r="I70" s="64" t="s">
        <v>2510</v>
      </c>
      <c r="J70" s="64">
        <v>4</v>
      </c>
      <c r="K70" s="64">
        <v>5</v>
      </c>
      <c r="L70" s="64">
        <v>5</v>
      </c>
      <c r="M70" s="64" t="s">
        <v>2525</v>
      </c>
      <c r="N70" s="64" t="s">
        <v>2526</v>
      </c>
      <c r="O70" s="64" t="s">
        <v>2527</v>
      </c>
      <c r="P70" s="64" t="s">
        <v>2528</v>
      </c>
      <c r="Q70" s="64" t="s">
        <v>2529</v>
      </c>
      <c r="R70" s="64" t="s">
        <v>2530</v>
      </c>
      <c r="S70" s="64" t="s">
        <v>6525</v>
      </c>
    </row>
    <row r="71" spans="1:19" ht="63.75">
      <c r="A71" s="52" t="s">
        <v>2532</v>
      </c>
      <c r="B71" s="52" t="s">
        <v>63</v>
      </c>
      <c r="C71" s="52" t="s">
        <v>1100</v>
      </c>
      <c r="D71" s="52" t="s">
        <v>2533</v>
      </c>
      <c r="E71" s="52" t="s">
        <v>2501</v>
      </c>
      <c r="F71" s="52" t="s">
        <v>2534</v>
      </c>
      <c r="G71" s="52">
        <v>5</v>
      </c>
      <c r="H71" s="52" t="s">
        <v>2509</v>
      </c>
      <c r="I71" s="52" t="s">
        <v>2510</v>
      </c>
      <c r="J71" s="52">
        <v>5</v>
      </c>
      <c r="K71" s="52">
        <v>5</v>
      </c>
      <c r="L71" s="52">
        <v>5</v>
      </c>
      <c r="M71" s="52" t="s">
        <v>2535</v>
      </c>
      <c r="N71" s="52" t="s">
        <v>2536</v>
      </c>
      <c r="O71" s="52" t="s">
        <v>2537</v>
      </c>
      <c r="P71" s="52" t="s">
        <v>2538</v>
      </c>
      <c r="Q71" s="52" t="s">
        <v>2539</v>
      </c>
      <c r="R71" s="52" t="s">
        <v>2540</v>
      </c>
      <c r="S71" s="52" t="s">
        <v>6532</v>
      </c>
    </row>
    <row r="72" spans="1:19" ht="63.75">
      <c r="A72" s="64" t="s">
        <v>2542</v>
      </c>
      <c r="B72" s="64" t="s">
        <v>63</v>
      </c>
      <c r="C72" s="64" t="s">
        <v>1100</v>
      </c>
      <c r="D72" s="64" t="s">
        <v>2543</v>
      </c>
      <c r="E72" s="64" t="s">
        <v>2501</v>
      </c>
      <c r="F72" s="64" t="s">
        <v>2544</v>
      </c>
      <c r="G72" s="64">
        <v>5</v>
      </c>
      <c r="H72" s="64" t="s">
        <v>2509</v>
      </c>
      <c r="I72" s="64" t="s">
        <v>2510</v>
      </c>
      <c r="J72" s="64">
        <v>4</v>
      </c>
      <c r="K72" s="64">
        <v>5</v>
      </c>
      <c r="L72" s="64">
        <v>5</v>
      </c>
      <c r="M72" s="64" t="s">
        <v>2545</v>
      </c>
      <c r="N72" s="64" t="s">
        <v>2546</v>
      </c>
      <c r="O72" s="64" t="s">
        <v>2547</v>
      </c>
      <c r="P72" s="64" t="s">
        <v>2548</v>
      </c>
      <c r="Q72" s="64" t="s">
        <v>2549</v>
      </c>
      <c r="R72" s="64" t="s">
        <v>2550</v>
      </c>
      <c r="S72" s="64" t="s">
        <v>6539</v>
      </c>
    </row>
    <row r="73" spans="1:19" ht="51">
      <c r="A73" s="52" t="s">
        <v>2552</v>
      </c>
      <c r="B73" s="52" t="s">
        <v>63</v>
      </c>
      <c r="C73" s="52" t="s">
        <v>1100</v>
      </c>
      <c r="D73" s="52" t="s">
        <v>2553</v>
      </c>
      <c r="E73" s="52" t="s">
        <v>2501</v>
      </c>
      <c r="F73" s="52" t="s">
        <v>2554</v>
      </c>
      <c r="G73" s="52">
        <v>3</v>
      </c>
      <c r="H73" s="52" t="s">
        <v>2509</v>
      </c>
      <c r="I73" s="52" t="s">
        <v>2510</v>
      </c>
      <c r="J73" s="52">
        <v>4</v>
      </c>
      <c r="K73" s="52">
        <v>5</v>
      </c>
      <c r="L73" s="52">
        <v>5</v>
      </c>
      <c r="M73" s="52" t="s">
        <v>2555</v>
      </c>
      <c r="N73" s="52" t="s">
        <v>2556</v>
      </c>
      <c r="O73" s="52" t="s">
        <v>2557</v>
      </c>
      <c r="P73" s="52" t="s">
        <v>2558</v>
      </c>
      <c r="Q73" s="52" t="s">
        <v>2559</v>
      </c>
      <c r="R73" s="52" t="s">
        <v>2560</v>
      </c>
      <c r="S73" s="52" t="s">
        <v>6546</v>
      </c>
    </row>
    <row r="74" spans="1:19" ht="63.75">
      <c r="A74" s="64" t="s">
        <v>2562</v>
      </c>
      <c r="B74" s="64" t="s">
        <v>63</v>
      </c>
      <c r="C74" s="64" t="s">
        <v>1113</v>
      </c>
      <c r="D74" s="64" t="s">
        <v>2563</v>
      </c>
      <c r="E74" s="64" t="s">
        <v>2501</v>
      </c>
      <c r="F74" s="64" t="s">
        <v>2564</v>
      </c>
      <c r="G74" s="64">
        <v>5</v>
      </c>
      <c r="H74" s="64" t="s">
        <v>2509</v>
      </c>
      <c r="I74" s="64" t="s">
        <v>2510</v>
      </c>
      <c r="J74" s="64">
        <v>4</v>
      </c>
      <c r="K74" s="64">
        <v>5</v>
      </c>
      <c r="L74" s="64">
        <v>5</v>
      </c>
      <c r="M74" s="64" t="s">
        <v>2565</v>
      </c>
      <c r="N74" s="64" t="s">
        <v>2566</v>
      </c>
      <c r="O74" s="64" t="s">
        <v>2567</v>
      </c>
      <c r="P74" s="64" t="s">
        <v>2568</v>
      </c>
      <c r="Q74" s="64" t="s">
        <v>2569</v>
      </c>
      <c r="R74" s="64" t="s">
        <v>2570</v>
      </c>
      <c r="S74" s="64" t="s">
        <v>6554</v>
      </c>
    </row>
    <row r="75" spans="1:19" ht="51">
      <c r="A75" s="52" t="s">
        <v>2572</v>
      </c>
      <c r="B75" s="52" t="s">
        <v>63</v>
      </c>
      <c r="C75" s="52" t="s">
        <v>1113</v>
      </c>
      <c r="D75" s="52" t="s">
        <v>2573</v>
      </c>
      <c r="E75" s="52" t="s">
        <v>2501</v>
      </c>
      <c r="F75" s="52" t="s">
        <v>2574</v>
      </c>
      <c r="G75" s="52">
        <v>5</v>
      </c>
      <c r="H75" s="52" t="s">
        <v>2509</v>
      </c>
      <c r="I75" s="52" t="s">
        <v>2510</v>
      </c>
      <c r="J75" s="52">
        <v>4</v>
      </c>
      <c r="K75" s="52">
        <v>5</v>
      </c>
      <c r="L75" s="52">
        <v>5</v>
      </c>
      <c r="M75" s="52" t="s">
        <v>2575</v>
      </c>
      <c r="N75" s="52" t="s">
        <v>2576</v>
      </c>
      <c r="O75" s="52" t="s">
        <v>2577</v>
      </c>
      <c r="P75" s="52" t="s">
        <v>2578</v>
      </c>
      <c r="Q75" s="52" t="s">
        <v>2579</v>
      </c>
      <c r="R75" s="52" t="s">
        <v>2580</v>
      </c>
      <c r="S75" s="52" t="s">
        <v>6561</v>
      </c>
    </row>
    <row r="76" spans="1:19" ht="63.75">
      <c r="A76" s="64" t="s">
        <v>2582</v>
      </c>
      <c r="B76" s="64" t="s">
        <v>63</v>
      </c>
      <c r="C76" s="64" t="s">
        <v>1113</v>
      </c>
      <c r="D76" s="64" t="s">
        <v>2583</v>
      </c>
      <c r="E76" s="64" t="s">
        <v>2501</v>
      </c>
      <c r="F76" s="64" t="s">
        <v>2584</v>
      </c>
      <c r="G76" s="64">
        <v>5</v>
      </c>
      <c r="H76" s="64" t="s">
        <v>2509</v>
      </c>
      <c r="I76" s="64" t="s">
        <v>2510</v>
      </c>
      <c r="J76" s="64">
        <v>4</v>
      </c>
      <c r="K76" s="64">
        <v>5</v>
      </c>
      <c r="L76" s="64">
        <v>5</v>
      </c>
      <c r="M76" s="64" t="s">
        <v>2585</v>
      </c>
      <c r="N76" s="64" t="s">
        <v>2586</v>
      </c>
      <c r="O76" s="64" t="s">
        <v>2587</v>
      </c>
      <c r="P76" s="64" t="s">
        <v>2588</v>
      </c>
      <c r="Q76" s="64" t="s">
        <v>2589</v>
      </c>
      <c r="R76" s="64" t="s">
        <v>2590</v>
      </c>
      <c r="S76" s="64" t="s">
        <v>6568</v>
      </c>
    </row>
    <row r="77" spans="1:19" ht="63.75">
      <c r="A77" s="52" t="s">
        <v>2592</v>
      </c>
      <c r="B77" s="52" t="s">
        <v>63</v>
      </c>
      <c r="C77" s="52" t="s">
        <v>1113</v>
      </c>
      <c r="D77" s="52" t="s">
        <v>2593</v>
      </c>
      <c r="E77" s="52" t="s">
        <v>2501</v>
      </c>
      <c r="F77" s="52" t="s">
        <v>2594</v>
      </c>
      <c r="G77" s="52">
        <v>5</v>
      </c>
      <c r="H77" s="52" t="s">
        <v>2509</v>
      </c>
      <c r="I77" s="52" t="s">
        <v>2510</v>
      </c>
      <c r="J77" s="52">
        <v>4</v>
      </c>
      <c r="K77" s="52">
        <v>5</v>
      </c>
      <c r="L77" s="52">
        <v>5</v>
      </c>
      <c r="M77" s="52" t="s">
        <v>2595</v>
      </c>
      <c r="N77" s="52" t="s">
        <v>2596</v>
      </c>
      <c r="O77" s="52" t="s">
        <v>2597</v>
      </c>
      <c r="P77" s="52" t="s">
        <v>2598</v>
      </c>
      <c r="Q77" s="52" t="s">
        <v>2599</v>
      </c>
      <c r="R77" s="52" t="s">
        <v>2600</v>
      </c>
      <c r="S77" s="52" t="s">
        <v>6575</v>
      </c>
    </row>
    <row r="78" spans="1:19" ht="63.75">
      <c r="A78" s="64" t="s">
        <v>2602</v>
      </c>
      <c r="B78" s="64" t="s">
        <v>63</v>
      </c>
      <c r="C78" s="64" t="s">
        <v>1113</v>
      </c>
      <c r="D78" s="64" t="s">
        <v>2603</v>
      </c>
      <c r="E78" s="64" t="s">
        <v>2501</v>
      </c>
      <c r="F78" s="64" t="s">
        <v>2604</v>
      </c>
      <c r="G78" s="64">
        <v>5</v>
      </c>
      <c r="H78" s="64" t="s">
        <v>2509</v>
      </c>
      <c r="I78" s="64" t="s">
        <v>2510</v>
      </c>
      <c r="J78" s="64">
        <v>4</v>
      </c>
      <c r="K78" s="64">
        <v>5</v>
      </c>
      <c r="L78" s="64">
        <v>5</v>
      </c>
      <c r="M78" s="64" t="s">
        <v>2605</v>
      </c>
      <c r="N78" s="64" t="s">
        <v>2606</v>
      </c>
      <c r="O78" s="64" t="s">
        <v>2607</v>
      </c>
      <c r="P78" s="64" t="s">
        <v>2608</v>
      </c>
      <c r="Q78" s="64" t="s">
        <v>2609</v>
      </c>
      <c r="R78" s="64" t="s">
        <v>2610</v>
      </c>
      <c r="S78" s="64" t="s">
        <v>6582</v>
      </c>
    </row>
    <row r="79" spans="1:19" ht="63.75">
      <c r="A79" s="52" t="s">
        <v>2612</v>
      </c>
      <c r="B79" s="52" t="s">
        <v>63</v>
      </c>
      <c r="C79" s="52" t="s">
        <v>1113</v>
      </c>
      <c r="D79" s="52" t="s">
        <v>2613</v>
      </c>
      <c r="E79" s="52" t="s">
        <v>2501</v>
      </c>
      <c r="F79" s="52" t="s">
        <v>2614</v>
      </c>
      <c r="G79" s="52">
        <v>5</v>
      </c>
      <c r="H79" s="52" t="s">
        <v>2509</v>
      </c>
      <c r="I79" s="52" t="s">
        <v>2510</v>
      </c>
      <c r="J79" s="52">
        <v>4</v>
      </c>
      <c r="K79" s="52">
        <v>5</v>
      </c>
      <c r="L79" s="52">
        <v>5</v>
      </c>
      <c r="M79" s="52" t="s">
        <v>2615</v>
      </c>
      <c r="N79" s="52" t="s">
        <v>2616</v>
      </c>
      <c r="O79" s="52" t="s">
        <v>2617</v>
      </c>
      <c r="P79" s="52" t="s">
        <v>2618</v>
      </c>
      <c r="Q79" s="52" t="s">
        <v>2619</v>
      </c>
      <c r="R79" s="52" t="s">
        <v>2620</v>
      </c>
      <c r="S79" s="52" t="s">
        <v>6589</v>
      </c>
    </row>
    <row r="80" spans="1:19" ht="63.75">
      <c r="A80" s="64" t="s">
        <v>2622</v>
      </c>
      <c r="B80" s="64" t="s">
        <v>63</v>
      </c>
      <c r="C80" s="64" t="s">
        <v>1121</v>
      </c>
      <c r="D80" s="64" t="s">
        <v>2623</v>
      </c>
      <c r="E80" s="64" t="s">
        <v>2501</v>
      </c>
      <c r="F80" s="64" t="s">
        <v>2624</v>
      </c>
      <c r="G80" s="64">
        <v>4</v>
      </c>
      <c r="H80" s="64" t="s">
        <v>2509</v>
      </c>
      <c r="I80" s="64" t="s">
        <v>2510</v>
      </c>
      <c r="J80" s="64">
        <v>4</v>
      </c>
      <c r="K80" s="64">
        <v>5</v>
      </c>
      <c r="L80" s="64">
        <v>5</v>
      </c>
      <c r="M80" s="64" t="s">
        <v>2625</v>
      </c>
      <c r="N80" s="64" t="s">
        <v>2626</v>
      </c>
      <c r="O80" s="64" t="s">
        <v>2627</v>
      </c>
      <c r="P80" s="64" t="s">
        <v>2628</v>
      </c>
      <c r="Q80" s="64" t="s">
        <v>2629</v>
      </c>
      <c r="R80" s="64" t="s">
        <v>2630</v>
      </c>
      <c r="S80" s="64" t="s">
        <v>6597</v>
      </c>
    </row>
    <row r="81" spans="1:19" ht="63.75">
      <c r="A81" s="52" t="s">
        <v>2632</v>
      </c>
      <c r="B81" s="52" t="s">
        <v>63</v>
      </c>
      <c r="C81" s="52" t="s">
        <v>1121</v>
      </c>
      <c r="D81" s="52" t="s">
        <v>2633</v>
      </c>
      <c r="E81" s="52" t="s">
        <v>2501</v>
      </c>
      <c r="F81" s="52" t="s">
        <v>2634</v>
      </c>
      <c r="G81" s="52">
        <v>4</v>
      </c>
      <c r="H81" s="52" t="s">
        <v>2509</v>
      </c>
      <c r="I81" s="52" t="s">
        <v>2510</v>
      </c>
      <c r="J81" s="52">
        <v>4</v>
      </c>
      <c r="K81" s="52">
        <v>5</v>
      </c>
      <c r="L81" s="52">
        <v>5</v>
      </c>
      <c r="M81" s="52" t="s">
        <v>2635</v>
      </c>
      <c r="N81" s="52" t="s">
        <v>2636</v>
      </c>
      <c r="O81" s="52" t="s">
        <v>2637</v>
      </c>
      <c r="P81" s="52" t="s">
        <v>2638</v>
      </c>
      <c r="Q81" s="52" t="s">
        <v>2639</v>
      </c>
      <c r="R81" s="52" t="s">
        <v>2640</v>
      </c>
      <c r="S81" s="52" t="s">
        <v>6604</v>
      </c>
    </row>
    <row r="82" spans="1:19" ht="51">
      <c r="A82" s="64" t="s">
        <v>2642</v>
      </c>
      <c r="B82" s="64" t="s">
        <v>63</v>
      </c>
      <c r="C82" s="64" t="s">
        <v>1121</v>
      </c>
      <c r="D82" s="64" t="s">
        <v>2643</v>
      </c>
      <c r="E82" s="64" t="s">
        <v>2501</v>
      </c>
      <c r="F82" s="64" t="s">
        <v>2644</v>
      </c>
      <c r="G82" s="64">
        <v>5</v>
      </c>
      <c r="H82" s="64" t="s">
        <v>2509</v>
      </c>
      <c r="I82" s="64" t="s">
        <v>2510</v>
      </c>
      <c r="J82" s="64">
        <v>5</v>
      </c>
      <c r="K82" s="64">
        <v>5</v>
      </c>
      <c r="L82" s="64">
        <v>5</v>
      </c>
      <c r="M82" s="64" t="s">
        <v>2645</v>
      </c>
      <c r="N82" s="64" t="s">
        <v>2646</v>
      </c>
      <c r="O82" s="64" t="s">
        <v>2647</v>
      </c>
      <c r="P82" s="64" t="s">
        <v>2648</v>
      </c>
      <c r="Q82" s="64" t="s">
        <v>2649</v>
      </c>
      <c r="R82" s="64" t="s">
        <v>2650</v>
      </c>
      <c r="S82" s="64" t="s">
        <v>6611</v>
      </c>
    </row>
    <row r="83" spans="1:19" ht="51">
      <c r="A83" s="52" t="s">
        <v>2652</v>
      </c>
      <c r="B83" s="52" t="s">
        <v>63</v>
      </c>
      <c r="C83" s="52" t="s">
        <v>1121</v>
      </c>
      <c r="D83" s="52" t="s">
        <v>2653</v>
      </c>
      <c r="E83" s="52" t="s">
        <v>2501</v>
      </c>
      <c r="F83" s="52" t="s">
        <v>2654</v>
      </c>
      <c r="G83" s="52">
        <v>5</v>
      </c>
      <c r="H83" s="52" t="s">
        <v>2509</v>
      </c>
      <c r="I83" s="52" t="s">
        <v>2510</v>
      </c>
      <c r="J83" s="52">
        <v>4</v>
      </c>
      <c r="K83" s="52">
        <v>5</v>
      </c>
      <c r="L83" s="52">
        <v>5</v>
      </c>
      <c r="M83" s="52" t="s">
        <v>2655</v>
      </c>
      <c r="N83" s="52" t="s">
        <v>2656</v>
      </c>
      <c r="O83" s="52" t="s">
        <v>2657</v>
      </c>
      <c r="P83" s="52" t="s">
        <v>2658</v>
      </c>
      <c r="Q83" s="52" t="s">
        <v>2659</v>
      </c>
      <c r="R83" s="52" t="s">
        <v>2660</v>
      </c>
      <c r="S83" s="52" t="s">
        <v>6618</v>
      </c>
    </row>
    <row r="84" spans="1:19" ht="63.75">
      <c r="A84" s="64" t="s">
        <v>2662</v>
      </c>
      <c r="B84" s="64" t="s">
        <v>63</v>
      </c>
      <c r="C84" s="64" t="s">
        <v>1121</v>
      </c>
      <c r="D84" s="64" t="s">
        <v>2663</v>
      </c>
      <c r="E84" s="64" t="s">
        <v>2501</v>
      </c>
      <c r="F84" s="64" t="s">
        <v>2664</v>
      </c>
      <c r="G84" s="64">
        <v>5</v>
      </c>
      <c r="H84" s="64" t="s">
        <v>2509</v>
      </c>
      <c r="I84" s="64" t="s">
        <v>2510</v>
      </c>
      <c r="J84" s="64">
        <v>4</v>
      </c>
      <c r="K84" s="64">
        <v>5</v>
      </c>
      <c r="L84" s="64">
        <v>5</v>
      </c>
      <c r="M84" s="64" t="s">
        <v>2665</v>
      </c>
      <c r="N84" s="64" t="s">
        <v>2666</v>
      </c>
      <c r="O84" s="64" t="s">
        <v>2667</v>
      </c>
      <c r="P84" s="64" t="s">
        <v>2668</v>
      </c>
      <c r="Q84" s="64" t="s">
        <v>2669</v>
      </c>
      <c r="R84" s="64" t="s">
        <v>2670</v>
      </c>
      <c r="S84" s="64" t="s">
        <v>6625</v>
      </c>
    </row>
    <row r="85" spans="1:19" ht="63.75">
      <c r="A85" s="52" t="s">
        <v>2672</v>
      </c>
      <c r="B85" s="52" t="s">
        <v>63</v>
      </c>
      <c r="C85" s="52" t="s">
        <v>1121</v>
      </c>
      <c r="D85" s="52" t="s">
        <v>2673</v>
      </c>
      <c r="E85" s="52" t="s">
        <v>2501</v>
      </c>
      <c r="F85" s="52" t="s">
        <v>2674</v>
      </c>
      <c r="G85" s="52">
        <v>3</v>
      </c>
      <c r="H85" s="52" t="s">
        <v>2509</v>
      </c>
      <c r="I85" s="52" t="s">
        <v>2510</v>
      </c>
      <c r="J85" s="52">
        <v>4</v>
      </c>
      <c r="K85" s="52">
        <v>5</v>
      </c>
      <c r="L85" s="52">
        <v>5</v>
      </c>
      <c r="M85" s="52" t="s">
        <v>2675</v>
      </c>
      <c r="N85" s="52" t="s">
        <v>2676</v>
      </c>
      <c r="O85" s="52" t="s">
        <v>2677</v>
      </c>
      <c r="P85" s="52" t="s">
        <v>2678</v>
      </c>
      <c r="Q85" s="52" t="s">
        <v>2679</v>
      </c>
      <c r="R85" s="52" t="s">
        <v>2680</v>
      </c>
      <c r="S85" s="52" t="s">
        <v>6632</v>
      </c>
    </row>
    <row r="86" spans="1:19" ht="63.75">
      <c r="A86" s="64" t="s">
        <v>2682</v>
      </c>
      <c r="B86" s="64" t="s">
        <v>63</v>
      </c>
      <c r="C86" s="64" t="s">
        <v>1121</v>
      </c>
      <c r="D86" s="64" t="s">
        <v>2683</v>
      </c>
      <c r="E86" s="64" t="s">
        <v>2501</v>
      </c>
      <c r="F86" s="64" t="s">
        <v>2684</v>
      </c>
      <c r="G86" s="64">
        <v>5</v>
      </c>
      <c r="H86" s="64" t="s">
        <v>2509</v>
      </c>
      <c r="I86" s="64" t="s">
        <v>2510</v>
      </c>
      <c r="J86" s="64">
        <v>4</v>
      </c>
      <c r="K86" s="64">
        <v>5</v>
      </c>
      <c r="L86" s="64">
        <v>5</v>
      </c>
      <c r="M86" s="64" t="s">
        <v>2685</v>
      </c>
      <c r="N86" s="64" t="s">
        <v>2686</v>
      </c>
      <c r="O86" s="64" t="s">
        <v>2687</v>
      </c>
      <c r="P86" s="64" t="s">
        <v>2688</v>
      </c>
      <c r="Q86" s="64" t="s">
        <v>2689</v>
      </c>
      <c r="R86" s="64" t="s">
        <v>2690</v>
      </c>
      <c r="S86" s="64" t="s">
        <v>6639</v>
      </c>
    </row>
    <row r="87" spans="1:19" ht="63.75">
      <c r="A87" s="52" t="s">
        <v>2692</v>
      </c>
      <c r="B87" s="52" t="s">
        <v>63</v>
      </c>
      <c r="C87" s="52" t="s">
        <v>1129</v>
      </c>
      <c r="D87" s="52" t="s">
        <v>2693</v>
      </c>
      <c r="E87" s="52" t="s">
        <v>2501</v>
      </c>
      <c r="F87" s="52" t="s">
        <v>2694</v>
      </c>
      <c r="G87" s="52">
        <v>5</v>
      </c>
      <c r="H87" s="52" t="s">
        <v>2509</v>
      </c>
      <c r="I87" s="52" t="s">
        <v>2510</v>
      </c>
      <c r="J87" s="52">
        <v>5</v>
      </c>
      <c r="K87" s="52">
        <v>5</v>
      </c>
      <c r="L87" s="52">
        <v>5</v>
      </c>
      <c r="M87" s="52" t="s">
        <v>2695</v>
      </c>
      <c r="N87" s="52" t="s">
        <v>2696</v>
      </c>
      <c r="O87" s="52" t="s">
        <v>2697</v>
      </c>
      <c r="P87" s="52" t="s">
        <v>2698</v>
      </c>
      <c r="Q87" s="52" t="s">
        <v>2699</v>
      </c>
      <c r="R87" s="52" t="s">
        <v>2700</v>
      </c>
      <c r="S87" s="52" t="s">
        <v>6647</v>
      </c>
    </row>
    <row r="88" spans="1:19" ht="51">
      <c r="A88" s="64" t="s">
        <v>2702</v>
      </c>
      <c r="B88" s="64" t="s">
        <v>63</v>
      </c>
      <c r="C88" s="64" t="s">
        <v>1129</v>
      </c>
      <c r="D88" s="64" t="s">
        <v>2703</v>
      </c>
      <c r="E88" s="64" t="s">
        <v>2501</v>
      </c>
      <c r="F88" s="64" t="s">
        <v>2704</v>
      </c>
      <c r="G88" s="64">
        <v>4</v>
      </c>
      <c r="H88" s="64" t="s">
        <v>2509</v>
      </c>
      <c r="I88" s="64" t="s">
        <v>2510</v>
      </c>
      <c r="J88" s="64">
        <v>4</v>
      </c>
      <c r="K88" s="64">
        <v>5</v>
      </c>
      <c r="L88" s="64">
        <v>5</v>
      </c>
      <c r="M88" s="64" t="s">
        <v>2705</v>
      </c>
      <c r="N88" s="64" t="s">
        <v>2706</v>
      </c>
      <c r="O88" s="64" t="s">
        <v>2707</v>
      </c>
      <c r="P88" s="64" t="s">
        <v>2708</v>
      </c>
      <c r="Q88" s="64" t="s">
        <v>2709</v>
      </c>
      <c r="R88" s="64" t="s">
        <v>2710</v>
      </c>
      <c r="S88" s="64" t="s">
        <v>6654</v>
      </c>
    </row>
    <row r="89" spans="1:19" ht="63.75">
      <c r="A89" s="52" t="s">
        <v>2712</v>
      </c>
      <c r="B89" s="52" t="s">
        <v>63</v>
      </c>
      <c r="C89" s="52" t="s">
        <v>1129</v>
      </c>
      <c r="D89" s="52" t="s">
        <v>2713</v>
      </c>
      <c r="E89" s="52" t="s">
        <v>2501</v>
      </c>
      <c r="F89" s="52" t="s">
        <v>2714</v>
      </c>
      <c r="G89" s="52">
        <v>4</v>
      </c>
      <c r="H89" s="52" t="s">
        <v>2509</v>
      </c>
      <c r="I89" s="52" t="s">
        <v>2510</v>
      </c>
      <c r="J89" s="52">
        <v>4</v>
      </c>
      <c r="K89" s="52">
        <v>5</v>
      </c>
      <c r="L89" s="52">
        <v>5</v>
      </c>
      <c r="M89" s="52" t="s">
        <v>2715</v>
      </c>
      <c r="N89" s="52" t="s">
        <v>2716</v>
      </c>
      <c r="O89" s="52" t="s">
        <v>2717</v>
      </c>
      <c r="P89" s="52" t="s">
        <v>2718</v>
      </c>
      <c r="Q89" s="52" t="s">
        <v>2719</v>
      </c>
      <c r="R89" s="52" t="s">
        <v>2720</v>
      </c>
      <c r="S89" s="52" t="s">
        <v>6661</v>
      </c>
    </row>
    <row r="90" spans="1:19" ht="51">
      <c r="A90" s="64" t="s">
        <v>2722</v>
      </c>
      <c r="B90" s="64" t="s">
        <v>63</v>
      </c>
      <c r="C90" s="64" t="s">
        <v>1129</v>
      </c>
      <c r="D90" s="64" t="s">
        <v>2723</v>
      </c>
      <c r="E90" s="64" t="s">
        <v>2501</v>
      </c>
      <c r="F90" s="64" t="s">
        <v>2724</v>
      </c>
      <c r="G90" s="64">
        <v>4</v>
      </c>
      <c r="H90" s="64" t="s">
        <v>2509</v>
      </c>
      <c r="I90" s="64" t="s">
        <v>2510</v>
      </c>
      <c r="J90" s="64">
        <v>4</v>
      </c>
      <c r="K90" s="64">
        <v>5</v>
      </c>
      <c r="L90" s="64">
        <v>5</v>
      </c>
      <c r="M90" s="64" t="s">
        <v>2725</v>
      </c>
      <c r="N90" s="64" t="s">
        <v>2726</v>
      </c>
      <c r="O90" s="64" t="s">
        <v>2727</v>
      </c>
      <c r="P90" s="64" t="s">
        <v>2728</v>
      </c>
      <c r="Q90" s="64" t="s">
        <v>2729</v>
      </c>
      <c r="R90" s="64" t="s">
        <v>2730</v>
      </c>
      <c r="S90" s="64" t="s">
        <v>6668</v>
      </c>
    </row>
    <row r="91" spans="1:19" ht="63.75">
      <c r="A91" s="52" t="s">
        <v>2732</v>
      </c>
      <c r="B91" s="52" t="s">
        <v>63</v>
      </c>
      <c r="C91" s="52" t="s">
        <v>1129</v>
      </c>
      <c r="D91" s="52" t="s">
        <v>2733</v>
      </c>
      <c r="E91" s="52" t="s">
        <v>2501</v>
      </c>
      <c r="F91" s="52" t="s">
        <v>2734</v>
      </c>
      <c r="G91" s="52">
        <v>3</v>
      </c>
      <c r="H91" s="52" t="s">
        <v>2509</v>
      </c>
      <c r="I91" s="52" t="s">
        <v>2510</v>
      </c>
      <c r="J91" s="52">
        <v>4</v>
      </c>
      <c r="K91" s="52">
        <v>5</v>
      </c>
      <c r="L91" s="52">
        <v>5</v>
      </c>
      <c r="M91" s="52" t="s">
        <v>2735</v>
      </c>
      <c r="N91" s="52" t="s">
        <v>2736</v>
      </c>
      <c r="O91" s="52" t="s">
        <v>2737</v>
      </c>
      <c r="P91" s="52" t="s">
        <v>2738</v>
      </c>
      <c r="Q91" s="52" t="s">
        <v>2739</v>
      </c>
      <c r="R91" s="52" t="s">
        <v>2740</v>
      </c>
      <c r="S91" s="52" t="s">
        <v>6675</v>
      </c>
    </row>
    <row r="92" spans="1:19" ht="63.75">
      <c r="A92" s="64" t="s">
        <v>2744</v>
      </c>
      <c r="B92" s="64" t="s">
        <v>66</v>
      </c>
      <c r="C92" s="64" t="s">
        <v>1137</v>
      </c>
      <c r="D92" s="64" t="s">
        <v>2745</v>
      </c>
      <c r="E92" s="64" t="s">
        <v>2747</v>
      </c>
      <c r="F92" s="64" t="s">
        <v>2748</v>
      </c>
      <c r="G92" s="64">
        <v>5</v>
      </c>
      <c r="H92" s="64" t="s">
        <v>2755</v>
      </c>
      <c r="I92" s="64" t="s">
        <v>2756</v>
      </c>
      <c r="J92" s="64">
        <v>4</v>
      </c>
      <c r="K92" s="64">
        <v>5</v>
      </c>
      <c r="L92" s="64">
        <v>5</v>
      </c>
      <c r="M92" s="64" t="s">
        <v>2749</v>
      </c>
      <c r="N92" s="64" t="s">
        <v>2750</v>
      </c>
      <c r="O92" s="64" t="s">
        <v>2751</v>
      </c>
      <c r="P92" s="64" t="s">
        <v>2752</v>
      </c>
      <c r="Q92" s="64" t="s">
        <v>2753</v>
      </c>
      <c r="R92" s="64" t="s">
        <v>2754</v>
      </c>
      <c r="S92" s="64" t="s">
        <v>6683</v>
      </c>
    </row>
    <row r="93" spans="1:19" ht="51">
      <c r="A93" s="52" t="s">
        <v>2758</v>
      </c>
      <c r="B93" s="52" t="s">
        <v>66</v>
      </c>
      <c r="C93" s="52" t="s">
        <v>1137</v>
      </c>
      <c r="D93" s="52" t="s">
        <v>2759</v>
      </c>
      <c r="E93" s="52" t="s">
        <v>2747</v>
      </c>
      <c r="F93" s="52" t="s">
        <v>2760</v>
      </c>
      <c r="G93" s="52">
        <v>5</v>
      </c>
      <c r="H93" s="52" t="s">
        <v>2755</v>
      </c>
      <c r="I93" s="52" t="s">
        <v>2756</v>
      </c>
      <c r="J93" s="52">
        <v>4</v>
      </c>
      <c r="K93" s="52">
        <v>5</v>
      </c>
      <c r="L93" s="52">
        <v>5</v>
      </c>
      <c r="M93" s="52" t="s">
        <v>2761</v>
      </c>
      <c r="N93" s="52" t="s">
        <v>2762</v>
      </c>
      <c r="O93" s="52" t="s">
        <v>2763</v>
      </c>
      <c r="P93" s="52" t="s">
        <v>2764</v>
      </c>
      <c r="Q93" s="52" t="s">
        <v>2765</v>
      </c>
      <c r="R93" s="52" t="s">
        <v>2766</v>
      </c>
      <c r="S93" s="52" t="s">
        <v>6690</v>
      </c>
    </row>
    <row r="94" spans="1:19" ht="63.75">
      <c r="A94" s="64" t="s">
        <v>2768</v>
      </c>
      <c r="B94" s="64" t="s">
        <v>66</v>
      </c>
      <c r="C94" s="64" t="s">
        <v>1137</v>
      </c>
      <c r="D94" s="64" t="s">
        <v>2769</v>
      </c>
      <c r="E94" s="64" t="s">
        <v>2747</v>
      </c>
      <c r="F94" s="64" t="s">
        <v>2770</v>
      </c>
      <c r="G94" s="64">
        <v>3</v>
      </c>
      <c r="H94" s="64" t="s">
        <v>2755</v>
      </c>
      <c r="I94" s="64" t="s">
        <v>2756</v>
      </c>
      <c r="J94" s="64">
        <v>4</v>
      </c>
      <c r="K94" s="64">
        <v>5</v>
      </c>
      <c r="L94" s="64">
        <v>5</v>
      </c>
      <c r="M94" s="64" t="s">
        <v>2771</v>
      </c>
      <c r="N94" s="64" t="s">
        <v>2772</v>
      </c>
      <c r="O94" s="64" t="s">
        <v>2773</v>
      </c>
      <c r="P94" s="64" t="s">
        <v>2774</v>
      </c>
      <c r="Q94" s="64" t="s">
        <v>2775</v>
      </c>
      <c r="R94" s="64" t="s">
        <v>2776</v>
      </c>
      <c r="S94" s="64" t="s">
        <v>6697</v>
      </c>
    </row>
    <row r="95" spans="1:19" ht="63.75">
      <c r="A95" s="52" t="s">
        <v>2778</v>
      </c>
      <c r="B95" s="52" t="s">
        <v>66</v>
      </c>
      <c r="C95" s="52" t="s">
        <v>1137</v>
      </c>
      <c r="D95" s="52" t="s">
        <v>2779</v>
      </c>
      <c r="E95" s="52" t="s">
        <v>2747</v>
      </c>
      <c r="F95" s="52" t="s">
        <v>2780</v>
      </c>
      <c r="G95" s="52">
        <v>5</v>
      </c>
      <c r="H95" s="52" t="s">
        <v>2755</v>
      </c>
      <c r="I95" s="52" t="s">
        <v>2756</v>
      </c>
      <c r="J95" s="52">
        <v>4</v>
      </c>
      <c r="K95" s="52">
        <v>5</v>
      </c>
      <c r="L95" s="52">
        <v>5</v>
      </c>
      <c r="M95" s="52" t="s">
        <v>2781</v>
      </c>
      <c r="N95" s="52" t="s">
        <v>2782</v>
      </c>
      <c r="O95" s="52" t="s">
        <v>2783</v>
      </c>
      <c r="P95" s="52" t="s">
        <v>2784</v>
      </c>
      <c r="Q95" s="52" t="s">
        <v>2785</v>
      </c>
      <c r="R95" s="52" t="s">
        <v>2786</v>
      </c>
      <c r="S95" s="52" t="s">
        <v>6704</v>
      </c>
    </row>
    <row r="96" spans="1:19" ht="51">
      <c r="A96" s="64" t="s">
        <v>2788</v>
      </c>
      <c r="B96" s="64" t="s">
        <v>66</v>
      </c>
      <c r="C96" s="64" t="s">
        <v>1137</v>
      </c>
      <c r="D96" s="64" t="s">
        <v>2789</v>
      </c>
      <c r="E96" s="64" t="s">
        <v>2747</v>
      </c>
      <c r="F96" s="64" t="s">
        <v>2790</v>
      </c>
      <c r="G96" s="64">
        <v>3</v>
      </c>
      <c r="H96" s="64" t="s">
        <v>2755</v>
      </c>
      <c r="I96" s="64" t="s">
        <v>2756</v>
      </c>
      <c r="J96" s="64">
        <v>4</v>
      </c>
      <c r="K96" s="64">
        <v>5</v>
      </c>
      <c r="L96" s="64">
        <v>5</v>
      </c>
      <c r="M96" s="64" t="s">
        <v>2791</v>
      </c>
      <c r="N96" s="64" t="s">
        <v>2792</v>
      </c>
      <c r="O96" s="64" t="s">
        <v>2793</v>
      </c>
      <c r="P96" s="64" t="s">
        <v>2794</v>
      </c>
      <c r="Q96" s="64" t="s">
        <v>2795</v>
      </c>
      <c r="R96" s="64" t="s">
        <v>2796</v>
      </c>
      <c r="S96" s="64" t="s">
        <v>6711</v>
      </c>
    </row>
    <row r="97" spans="1:19" ht="76.5">
      <c r="A97" s="52" t="s">
        <v>2798</v>
      </c>
      <c r="B97" s="52" t="s">
        <v>66</v>
      </c>
      <c r="C97" s="52" t="s">
        <v>1137</v>
      </c>
      <c r="D97" s="52" t="s">
        <v>2799</v>
      </c>
      <c r="E97" s="52" t="s">
        <v>2747</v>
      </c>
      <c r="F97" s="52" t="s">
        <v>2800</v>
      </c>
      <c r="G97" s="52">
        <v>5</v>
      </c>
      <c r="H97" s="52" t="s">
        <v>2755</v>
      </c>
      <c r="I97" s="52" t="s">
        <v>2756</v>
      </c>
      <c r="J97" s="52">
        <v>4</v>
      </c>
      <c r="K97" s="52">
        <v>5</v>
      </c>
      <c r="L97" s="52">
        <v>5</v>
      </c>
      <c r="M97" s="52" t="s">
        <v>2801</v>
      </c>
      <c r="N97" s="52" t="s">
        <v>2802</v>
      </c>
      <c r="O97" s="52" t="s">
        <v>2803</v>
      </c>
      <c r="P97" s="52" t="s">
        <v>2804</v>
      </c>
      <c r="Q97" s="52" t="s">
        <v>2805</v>
      </c>
      <c r="R97" s="52" t="s">
        <v>2806</v>
      </c>
      <c r="S97" s="52" t="s">
        <v>6718</v>
      </c>
    </row>
    <row r="98" spans="1:19" ht="63.75">
      <c r="A98" s="64" t="s">
        <v>2808</v>
      </c>
      <c r="B98" s="64" t="s">
        <v>66</v>
      </c>
      <c r="C98" s="64" t="s">
        <v>1147</v>
      </c>
      <c r="D98" s="64" t="s">
        <v>2809</v>
      </c>
      <c r="E98" s="64" t="s">
        <v>2747</v>
      </c>
      <c r="F98" s="64" t="s">
        <v>2810</v>
      </c>
      <c r="G98" s="64">
        <v>3</v>
      </c>
      <c r="H98" s="64" t="s">
        <v>2755</v>
      </c>
      <c r="I98" s="64" t="s">
        <v>2756</v>
      </c>
      <c r="J98" s="64">
        <v>4</v>
      </c>
      <c r="K98" s="64">
        <v>5</v>
      </c>
      <c r="L98" s="64">
        <v>5</v>
      </c>
      <c r="M98" s="64" t="s">
        <v>2811</v>
      </c>
      <c r="N98" s="64" t="s">
        <v>2812</v>
      </c>
      <c r="O98" s="64" t="s">
        <v>2813</v>
      </c>
      <c r="P98" s="64" t="s">
        <v>2814</v>
      </c>
      <c r="Q98" s="64" t="s">
        <v>2815</v>
      </c>
      <c r="R98" s="64" t="s">
        <v>2816</v>
      </c>
      <c r="S98" s="64" t="s">
        <v>6726</v>
      </c>
    </row>
    <row r="99" spans="1:19" ht="63.75">
      <c r="A99" s="52" t="s">
        <v>2818</v>
      </c>
      <c r="B99" s="52" t="s">
        <v>66</v>
      </c>
      <c r="C99" s="52" t="s">
        <v>1147</v>
      </c>
      <c r="D99" s="52" t="s">
        <v>2819</v>
      </c>
      <c r="E99" s="52" t="s">
        <v>2747</v>
      </c>
      <c r="F99" s="52" t="s">
        <v>2820</v>
      </c>
      <c r="G99" s="52">
        <v>5</v>
      </c>
      <c r="H99" s="52" t="s">
        <v>2755</v>
      </c>
      <c r="I99" s="52" t="s">
        <v>2756</v>
      </c>
      <c r="J99" s="52">
        <v>5</v>
      </c>
      <c r="K99" s="52">
        <v>5</v>
      </c>
      <c r="L99" s="52">
        <v>5</v>
      </c>
      <c r="M99" s="52" t="s">
        <v>2821</v>
      </c>
      <c r="N99" s="52" t="s">
        <v>2822</v>
      </c>
      <c r="O99" s="52" t="s">
        <v>2823</v>
      </c>
      <c r="P99" s="52" t="s">
        <v>2824</v>
      </c>
      <c r="Q99" s="52" t="s">
        <v>2825</v>
      </c>
      <c r="R99" s="52" t="s">
        <v>2826</v>
      </c>
      <c r="S99" s="52" t="s">
        <v>6733</v>
      </c>
    </row>
    <row r="100" spans="1:19" ht="63.75">
      <c r="A100" s="64" t="s">
        <v>2828</v>
      </c>
      <c r="B100" s="64" t="s">
        <v>66</v>
      </c>
      <c r="C100" s="64" t="s">
        <v>1147</v>
      </c>
      <c r="D100" s="64" t="s">
        <v>2829</v>
      </c>
      <c r="E100" s="64" t="s">
        <v>2747</v>
      </c>
      <c r="F100" s="64" t="s">
        <v>2830</v>
      </c>
      <c r="G100" s="64">
        <v>5</v>
      </c>
      <c r="H100" s="64" t="s">
        <v>2755</v>
      </c>
      <c r="I100" s="64" t="s">
        <v>2756</v>
      </c>
      <c r="J100" s="64">
        <v>4</v>
      </c>
      <c r="K100" s="64">
        <v>5</v>
      </c>
      <c r="L100" s="64">
        <v>5</v>
      </c>
      <c r="M100" s="64" t="s">
        <v>2831</v>
      </c>
      <c r="N100" s="64" t="s">
        <v>2832</v>
      </c>
      <c r="O100" s="64" t="s">
        <v>2833</v>
      </c>
      <c r="P100" s="64" t="s">
        <v>2834</v>
      </c>
      <c r="Q100" s="64" t="s">
        <v>2835</v>
      </c>
      <c r="R100" s="64" t="s">
        <v>2836</v>
      </c>
      <c r="S100" s="64" t="s">
        <v>6740</v>
      </c>
    </row>
    <row r="101" spans="1:19" ht="63.75">
      <c r="A101" s="52" t="s">
        <v>2838</v>
      </c>
      <c r="B101" s="52" t="s">
        <v>66</v>
      </c>
      <c r="C101" s="52" t="s">
        <v>1147</v>
      </c>
      <c r="D101" s="52" t="s">
        <v>2839</v>
      </c>
      <c r="E101" s="52" t="s">
        <v>2747</v>
      </c>
      <c r="F101" s="52" t="s">
        <v>2840</v>
      </c>
      <c r="G101" s="52">
        <v>5</v>
      </c>
      <c r="H101" s="52" t="s">
        <v>2755</v>
      </c>
      <c r="I101" s="52" t="s">
        <v>2756</v>
      </c>
      <c r="J101" s="52">
        <v>4</v>
      </c>
      <c r="K101" s="52">
        <v>5</v>
      </c>
      <c r="L101" s="52">
        <v>5</v>
      </c>
      <c r="M101" s="52" t="s">
        <v>2841</v>
      </c>
      <c r="N101" s="52" t="s">
        <v>2842</v>
      </c>
      <c r="O101" s="52" t="s">
        <v>2843</v>
      </c>
      <c r="P101" s="52" t="s">
        <v>2844</v>
      </c>
      <c r="Q101" s="52" t="s">
        <v>2845</v>
      </c>
      <c r="R101" s="52" t="s">
        <v>2846</v>
      </c>
      <c r="S101" s="52" t="s">
        <v>6747</v>
      </c>
    </row>
    <row r="102" spans="1:19" ht="63.75">
      <c r="A102" s="64" t="s">
        <v>2848</v>
      </c>
      <c r="B102" s="64" t="s">
        <v>66</v>
      </c>
      <c r="C102" s="64" t="s">
        <v>1147</v>
      </c>
      <c r="D102" s="64" t="s">
        <v>2849</v>
      </c>
      <c r="E102" s="64" t="s">
        <v>2747</v>
      </c>
      <c r="F102" s="64" t="s">
        <v>2850</v>
      </c>
      <c r="G102" s="64">
        <v>5</v>
      </c>
      <c r="H102" s="64" t="s">
        <v>2755</v>
      </c>
      <c r="I102" s="64" t="s">
        <v>2756</v>
      </c>
      <c r="J102" s="64">
        <v>4</v>
      </c>
      <c r="K102" s="64">
        <v>5</v>
      </c>
      <c r="L102" s="64">
        <v>5</v>
      </c>
      <c r="M102" s="64" t="s">
        <v>2851</v>
      </c>
      <c r="N102" s="64" t="s">
        <v>2852</v>
      </c>
      <c r="O102" s="64" t="s">
        <v>2853</v>
      </c>
      <c r="P102" s="64" t="s">
        <v>2854</v>
      </c>
      <c r="Q102" s="64" t="s">
        <v>2855</v>
      </c>
      <c r="R102" s="64" t="s">
        <v>2856</v>
      </c>
      <c r="S102" s="64" t="s">
        <v>6754</v>
      </c>
    </row>
    <row r="103" spans="1:19" ht="63.75">
      <c r="A103" s="52" t="s">
        <v>2858</v>
      </c>
      <c r="B103" s="52" t="s">
        <v>66</v>
      </c>
      <c r="C103" s="52" t="s">
        <v>1147</v>
      </c>
      <c r="D103" s="52" t="s">
        <v>2859</v>
      </c>
      <c r="E103" s="52" t="s">
        <v>2747</v>
      </c>
      <c r="F103" s="52" t="s">
        <v>2860</v>
      </c>
      <c r="G103" s="52">
        <v>4</v>
      </c>
      <c r="H103" s="52" t="s">
        <v>2755</v>
      </c>
      <c r="I103" s="52" t="s">
        <v>2756</v>
      </c>
      <c r="J103" s="52">
        <v>5</v>
      </c>
      <c r="K103" s="52">
        <v>5</v>
      </c>
      <c r="L103" s="52">
        <v>5</v>
      </c>
      <c r="M103" s="52" t="s">
        <v>2861</v>
      </c>
      <c r="N103" s="52" t="s">
        <v>2862</v>
      </c>
      <c r="O103" s="52" t="s">
        <v>2863</v>
      </c>
      <c r="P103" s="52" t="s">
        <v>2864</v>
      </c>
      <c r="Q103" s="52" t="s">
        <v>2865</v>
      </c>
      <c r="R103" s="52" t="s">
        <v>2866</v>
      </c>
      <c r="S103" s="52" t="s">
        <v>6761</v>
      </c>
    </row>
    <row r="104" spans="1:19" ht="63.75">
      <c r="A104" s="64" t="s">
        <v>2868</v>
      </c>
      <c r="B104" s="64" t="s">
        <v>66</v>
      </c>
      <c r="C104" s="64" t="s">
        <v>1158</v>
      </c>
      <c r="D104" s="64" t="s">
        <v>2869</v>
      </c>
      <c r="E104" s="64" t="s">
        <v>2747</v>
      </c>
      <c r="F104" s="64" t="s">
        <v>2870</v>
      </c>
      <c r="G104" s="64">
        <v>3</v>
      </c>
      <c r="H104" s="64" t="s">
        <v>2755</v>
      </c>
      <c r="I104" s="64" t="s">
        <v>2756</v>
      </c>
      <c r="J104" s="64">
        <v>4</v>
      </c>
      <c r="K104" s="64">
        <v>5</v>
      </c>
      <c r="L104" s="64">
        <v>5</v>
      </c>
      <c r="M104" s="64" t="s">
        <v>2871</v>
      </c>
      <c r="N104" s="64" t="s">
        <v>2872</v>
      </c>
      <c r="O104" s="64" t="s">
        <v>2873</v>
      </c>
      <c r="P104" s="64" t="s">
        <v>2874</v>
      </c>
      <c r="Q104" s="64" t="s">
        <v>2875</v>
      </c>
      <c r="R104" s="64" t="s">
        <v>2876</v>
      </c>
      <c r="S104" s="64" t="s">
        <v>6769</v>
      </c>
    </row>
    <row r="105" spans="1:19" ht="63.75">
      <c r="A105" s="52" t="s">
        <v>2878</v>
      </c>
      <c r="B105" s="52" t="s">
        <v>66</v>
      </c>
      <c r="C105" s="52" t="s">
        <v>1158</v>
      </c>
      <c r="D105" s="52" t="s">
        <v>2879</v>
      </c>
      <c r="E105" s="52" t="s">
        <v>2747</v>
      </c>
      <c r="F105" s="52" t="s">
        <v>2880</v>
      </c>
      <c r="G105" s="52">
        <v>5</v>
      </c>
      <c r="H105" s="52" t="s">
        <v>2755</v>
      </c>
      <c r="I105" s="52" t="s">
        <v>2756</v>
      </c>
      <c r="J105" s="52">
        <v>4</v>
      </c>
      <c r="K105" s="52">
        <v>5</v>
      </c>
      <c r="L105" s="52">
        <v>5</v>
      </c>
      <c r="M105" s="52" t="s">
        <v>2881</v>
      </c>
      <c r="N105" s="52" t="s">
        <v>2882</v>
      </c>
      <c r="O105" s="52" t="s">
        <v>2883</v>
      </c>
      <c r="P105" s="52" t="s">
        <v>2884</v>
      </c>
      <c r="Q105" s="52" t="s">
        <v>2885</v>
      </c>
      <c r="R105" s="52" t="s">
        <v>2886</v>
      </c>
      <c r="S105" s="52" t="s">
        <v>6776</v>
      </c>
    </row>
    <row r="106" spans="1:19" ht="51">
      <c r="A106" s="64" t="s">
        <v>2888</v>
      </c>
      <c r="B106" s="64" t="s">
        <v>66</v>
      </c>
      <c r="C106" s="64" t="s">
        <v>1158</v>
      </c>
      <c r="D106" s="64" t="s">
        <v>2889</v>
      </c>
      <c r="E106" s="64" t="s">
        <v>2747</v>
      </c>
      <c r="F106" s="64" t="s">
        <v>2890</v>
      </c>
      <c r="G106" s="64">
        <v>5</v>
      </c>
      <c r="H106" s="64" t="s">
        <v>2755</v>
      </c>
      <c r="I106" s="64" t="s">
        <v>2756</v>
      </c>
      <c r="J106" s="64">
        <v>4</v>
      </c>
      <c r="K106" s="64">
        <v>5</v>
      </c>
      <c r="L106" s="64">
        <v>5</v>
      </c>
      <c r="M106" s="64" t="s">
        <v>2891</v>
      </c>
      <c r="N106" s="64" t="s">
        <v>2892</v>
      </c>
      <c r="O106" s="64" t="s">
        <v>2893</v>
      </c>
      <c r="P106" s="64" t="s">
        <v>2894</v>
      </c>
      <c r="Q106" s="64" t="s">
        <v>2895</v>
      </c>
      <c r="R106" s="64" t="s">
        <v>2896</v>
      </c>
      <c r="S106" s="64" t="s">
        <v>6783</v>
      </c>
    </row>
    <row r="107" spans="1:19" ht="63.75">
      <c r="A107" s="52" t="s">
        <v>2898</v>
      </c>
      <c r="B107" s="52" t="s">
        <v>66</v>
      </c>
      <c r="C107" s="52" t="s">
        <v>1158</v>
      </c>
      <c r="D107" s="52" t="s">
        <v>2899</v>
      </c>
      <c r="E107" s="52" t="s">
        <v>2747</v>
      </c>
      <c r="F107" s="52" t="s">
        <v>2900</v>
      </c>
      <c r="G107" s="52">
        <v>5</v>
      </c>
      <c r="H107" s="52" t="s">
        <v>2755</v>
      </c>
      <c r="I107" s="52" t="s">
        <v>2756</v>
      </c>
      <c r="J107" s="52">
        <v>4</v>
      </c>
      <c r="K107" s="52">
        <v>5</v>
      </c>
      <c r="L107" s="52">
        <v>5</v>
      </c>
      <c r="M107" s="52" t="s">
        <v>2901</v>
      </c>
      <c r="N107" s="52" t="s">
        <v>2902</v>
      </c>
      <c r="O107" s="52" t="s">
        <v>2903</v>
      </c>
      <c r="P107" s="52" t="s">
        <v>2904</v>
      </c>
      <c r="Q107" s="52" t="s">
        <v>2905</v>
      </c>
      <c r="R107" s="52" t="s">
        <v>2906</v>
      </c>
      <c r="S107" s="52" t="s">
        <v>6790</v>
      </c>
    </row>
    <row r="108" spans="1:19" ht="63.75">
      <c r="A108" s="64" t="s">
        <v>2908</v>
      </c>
      <c r="B108" s="64" t="s">
        <v>66</v>
      </c>
      <c r="C108" s="64" t="s">
        <v>1158</v>
      </c>
      <c r="D108" s="64" t="s">
        <v>2909</v>
      </c>
      <c r="E108" s="64" t="s">
        <v>2747</v>
      </c>
      <c r="F108" s="64" t="s">
        <v>2910</v>
      </c>
      <c r="G108" s="64">
        <v>5</v>
      </c>
      <c r="H108" s="64" t="s">
        <v>2755</v>
      </c>
      <c r="I108" s="64" t="s">
        <v>2756</v>
      </c>
      <c r="J108" s="64">
        <v>5</v>
      </c>
      <c r="K108" s="64">
        <v>5</v>
      </c>
      <c r="L108" s="64">
        <v>5</v>
      </c>
      <c r="M108" s="64" t="s">
        <v>2911</v>
      </c>
      <c r="N108" s="64" t="s">
        <v>2912</v>
      </c>
      <c r="O108" s="64" t="s">
        <v>2913</v>
      </c>
      <c r="P108" s="64" t="s">
        <v>2914</v>
      </c>
      <c r="Q108" s="64" t="s">
        <v>2915</v>
      </c>
      <c r="R108" s="64" t="s">
        <v>2916</v>
      </c>
      <c r="S108" s="64" t="s">
        <v>6797</v>
      </c>
    </row>
    <row r="109" spans="1:19" ht="63.75">
      <c r="A109" s="52" t="s">
        <v>2918</v>
      </c>
      <c r="B109" s="52" t="s">
        <v>66</v>
      </c>
      <c r="C109" s="52" t="s">
        <v>1158</v>
      </c>
      <c r="D109" s="52" t="s">
        <v>2919</v>
      </c>
      <c r="E109" s="52" t="s">
        <v>2747</v>
      </c>
      <c r="F109" s="52" t="s">
        <v>2920</v>
      </c>
      <c r="G109" s="52">
        <v>3</v>
      </c>
      <c r="H109" s="52" t="s">
        <v>2755</v>
      </c>
      <c r="I109" s="52" t="s">
        <v>2756</v>
      </c>
      <c r="J109" s="52">
        <v>4</v>
      </c>
      <c r="K109" s="52">
        <v>5</v>
      </c>
      <c r="L109" s="52">
        <v>5</v>
      </c>
      <c r="M109" s="52" t="s">
        <v>2921</v>
      </c>
      <c r="N109" s="52" t="s">
        <v>2922</v>
      </c>
      <c r="O109" s="52" t="s">
        <v>2923</v>
      </c>
      <c r="P109" s="52" t="s">
        <v>2924</v>
      </c>
      <c r="Q109" s="52" t="s">
        <v>2925</v>
      </c>
      <c r="R109" s="52" t="s">
        <v>2926</v>
      </c>
      <c r="S109" s="52" t="s">
        <v>6804</v>
      </c>
    </row>
    <row r="110" spans="1:19" ht="63.75">
      <c r="A110" s="64" t="s">
        <v>2928</v>
      </c>
      <c r="B110" s="64" t="s">
        <v>66</v>
      </c>
      <c r="C110" s="64" t="s">
        <v>1158</v>
      </c>
      <c r="D110" s="64" t="s">
        <v>2929</v>
      </c>
      <c r="E110" s="64" t="s">
        <v>2747</v>
      </c>
      <c r="F110" s="64" t="s">
        <v>2930</v>
      </c>
      <c r="G110" s="64">
        <v>5</v>
      </c>
      <c r="H110" s="64" t="s">
        <v>2755</v>
      </c>
      <c r="I110" s="64" t="s">
        <v>2756</v>
      </c>
      <c r="J110" s="64">
        <v>4</v>
      </c>
      <c r="K110" s="64">
        <v>5</v>
      </c>
      <c r="L110" s="64">
        <v>5</v>
      </c>
      <c r="M110" s="64" t="s">
        <v>2931</v>
      </c>
      <c r="N110" s="64" t="s">
        <v>2932</v>
      </c>
      <c r="O110" s="64" t="s">
        <v>2933</v>
      </c>
      <c r="P110" s="64" t="s">
        <v>2934</v>
      </c>
      <c r="Q110" s="64" t="s">
        <v>2935</v>
      </c>
      <c r="R110" s="64" t="s">
        <v>2936</v>
      </c>
      <c r="S110" s="64" t="s">
        <v>6811</v>
      </c>
    </row>
    <row r="111" spans="1:19" ht="51">
      <c r="A111" s="52" t="s">
        <v>2938</v>
      </c>
      <c r="B111" s="52" t="s">
        <v>66</v>
      </c>
      <c r="C111" s="52" t="s">
        <v>1169</v>
      </c>
      <c r="D111" s="52" t="s">
        <v>2939</v>
      </c>
      <c r="E111" s="52" t="s">
        <v>2747</v>
      </c>
      <c r="F111" s="52" t="s">
        <v>2940</v>
      </c>
      <c r="G111" s="52">
        <v>4</v>
      </c>
      <c r="H111" s="52" t="s">
        <v>2755</v>
      </c>
      <c r="I111" s="52" t="s">
        <v>2756</v>
      </c>
      <c r="J111" s="52">
        <v>4</v>
      </c>
      <c r="K111" s="52">
        <v>5</v>
      </c>
      <c r="L111" s="52">
        <v>5</v>
      </c>
      <c r="M111" s="52" t="s">
        <v>2941</v>
      </c>
      <c r="N111" s="52" t="s">
        <v>2942</v>
      </c>
      <c r="O111" s="52" t="s">
        <v>2943</v>
      </c>
      <c r="P111" s="52" t="s">
        <v>2944</v>
      </c>
      <c r="Q111" s="52" t="s">
        <v>2945</v>
      </c>
      <c r="R111" s="52" t="s">
        <v>2946</v>
      </c>
      <c r="S111" s="52" t="s">
        <v>6819</v>
      </c>
    </row>
    <row r="112" spans="1:19" ht="51">
      <c r="A112" s="64" t="s">
        <v>2948</v>
      </c>
      <c r="B112" s="64" t="s">
        <v>66</v>
      </c>
      <c r="C112" s="64" t="s">
        <v>1169</v>
      </c>
      <c r="D112" s="64" t="s">
        <v>2949</v>
      </c>
      <c r="E112" s="64" t="s">
        <v>2747</v>
      </c>
      <c r="F112" s="64" t="s">
        <v>2950</v>
      </c>
      <c r="G112" s="64">
        <v>5</v>
      </c>
      <c r="H112" s="64" t="s">
        <v>2755</v>
      </c>
      <c r="I112" s="64" t="s">
        <v>2756</v>
      </c>
      <c r="J112" s="64">
        <v>4</v>
      </c>
      <c r="K112" s="64">
        <v>5</v>
      </c>
      <c r="L112" s="64">
        <v>5</v>
      </c>
      <c r="M112" s="64" t="s">
        <v>2951</v>
      </c>
      <c r="N112" s="64" t="s">
        <v>2952</v>
      </c>
      <c r="O112" s="64" t="s">
        <v>2953</v>
      </c>
      <c r="P112" s="64" t="s">
        <v>2954</v>
      </c>
      <c r="Q112" s="64" t="s">
        <v>2955</v>
      </c>
      <c r="R112" s="64" t="s">
        <v>2956</v>
      </c>
      <c r="S112" s="64" t="s">
        <v>6826</v>
      </c>
    </row>
    <row r="113" spans="1:19" ht="63.75">
      <c r="A113" s="52" t="s">
        <v>2958</v>
      </c>
      <c r="B113" s="52" t="s">
        <v>66</v>
      </c>
      <c r="C113" s="52" t="s">
        <v>1169</v>
      </c>
      <c r="D113" s="52" t="s">
        <v>2959</v>
      </c>
      <c r="E113" s="52" t="s">
        <v>2747</v>
      </c>
      <c r="F113" s="52" t="s">
        <v>2960</v>
      </c>
      <c r="G113" s="52">
        <v>5</v>
      </c>
      <c r="H113" s="52" t="s">
        <v>2755</v>
      </c>
      <c r="I113" s="52" t="s">
        <v>2756</v>
      </c>
      <c r="J113" s="52">
        <v>5</v>
      </c>
      <c r="K113" s="52">
        <v>5</v>
      </c>
      <c r="L113" s="52">
        <v>5</v>
      </c>
      <c r="M113" s="52" t="s">
        <v>2961</v>
      </c>
      <c r="N113" s="52" t="s">
        <v>2962</v>
      </c>
      <c r="O113" s="52" t="s">
        <v>2963</v>
      </c>
      <c r="P113" s="52" t="s">
        <v>2964</v>
      </c>
      <c r="Q113" s="52" t="s">
        <v>2965</v>
      </c>
      <c r="R113" s="52" t="s">
        <v>2966</v>
      </c>
      <c r="S113" s="52" t="s">
        <v>6833</v>
      </c>
    </row>
    <row r="114" spans="1:19" ht="51">
      <c r="A114" s="64" t="s">
        <v>2968</v>
      </c>
      <c r="B114" s="64" t="s">
        <v>66</v>
      </c>
      <c r="C114" s="64" t="s">
        <v>1169</v>
      </c>
      <c r="D114" s="64" t="s">
        <v>2969</v>
      </c>
      <c r="E114" s="64" t="s">
        <v>2747</v>
      </c>
      <c r="F114" s="64" t="s">
        <v>2970</v>
      </c>
      <c r="G114" s="64">
        <v>5</v>
      </c>
      <c r="H114" s="64" t="s">
        <v>2755</v>
      </c>
      <c r="I114" s="64" t="s">
        <v>2756</v>
      </c>
      <c r="J114" s="64">
        <v>4</v>
      </c>
      <c r="K114" s="64">
        <v>5</v>
      </c>
      <c r="L114" s="64">
        <v>5</v>
      </c>
      <c r="M114" s="64" t="s">
        <v>2971</v>
      </c>
      <c r="N114" s="64" t="s">
        <v>2972</v>
      </c>
      <c r="O114" s="64" t="s">
        <v>2973</v>
      </c>
      <c r="P114" s="64" t="s">
        <v>2974</v>
      </c>
      <c r="Q114" s="64" t="s">
        <v>2975</v>
      </c>
      <c r="R114" s="64" t="s">
        <v>2976</v>
      </c>
      <c r="S114" s="64" t="s">
        <v>6840</v>
      </c>
    </row>
    <row r="115" spans="1:19" ht="63.75">
      <c r="A115" s="52" t="s">
        <v>2978</v>
      </c>
      <c r="B115" s="52" t="s">
        <v>66</v>
      </c>
      <c r="C115" s="52" t="s">
        <v>1169</v>
      </c>
      <c r="D115" s="52" t="s">
        <v>2979</v>
      </c>
      <c r="E115" s="52" t="s">
        <v>2747</v>
      </c>
      <c r="F115" s="52" t="s">
        <v>2980</v>
      </c>
      <c r="G115" s="52">
        <v>5</v>
      </c>
      <c r="H115" s="52" t="s">
        <v>2755</v>
      </c>
      <c r="I115" s="52" t="s">
        <v>2756</v>
      </c>
      <c r="J115" s="52">
        <v>4</v>
      </c>
      <c r="K115" s="52">
        <v>5</v>
      </c>
      <c r="L115" s="52">
        <v>5</v>
      </c>
      <c r="M115" s="52" t="s">
        <v>2981</v>
      </c>
      <c r="N115" s="52" t="s">
        <v>2982</v>
      </c>
      <c r="O115" s="52" t="s">
        <v>2983</v>
      </c>
      <c r="P115" s="52" t="s">
        <v>2984</v>
      </c>
      <c r="Q115" s="52" t="s">
        <v>2985</v>
      </c>
      <c r="R115" s="52" t="s">
        <v>2986</v>
      </c>
      <c r="S115" s="52" t="s">
        <v>6847</v>
      </c>
    </row>
    <row r="116" spans="1:19" ht="63.75">
      <c r="A116" s="64" t="s">
        <v>2990</v>
      </c>
      <c r="B116" s="64" t="s">
        <v>69</v>
      </c>
      <c r="C116" s="64" t="s">
        <v>1177</v>
      </c>
      <c r="D116" s="64" t="s">
        <v>2991</v>
      </c>
      <c r="E116" s="64" t="s">
        <v>2993</v>
      </c>
      <c r="F116" s="64" t="s">
        <v>2994</v>
      </c>
      <c r="G116" s="64">
        <v>4</v>
      </c>
      <c r="H116" s="64" t="s">
        <v>3001</v>
      </c>
      <c r="I116" s="64" t="s">
        <v>3002</v>
      </c>
      <c r="J116" s="64">
        <v>5</v>
      </c>
      <c r="K116" s="64">
        <v>5</v>
      </c>
      <c r="L116" s="64">
        <v>5</v>
      </c>
      <c r="M116" s="64" t="s">
        <v>2995</v>
      </c>
      <c r="N116" s="64" t="s">
        <v>2996</v>
      </c>
      <c r="O116" s="64" t="s">
        <v>2997</v>
      </c>
      <c r="P116" s="64" t="s">
        <v>2998</v>
      </c>
      <c r="Q116" s="64" t="s">
        <v>2999</v>
      </c>
      <c r="R116" s="64" t="s">
        <v>3000</v>
      </c>
      <c r="S116" s="64" t="s">
        <v>6855</v>
      </c>
    </row>
    <row r="117" spans="1:19" ht="63.75">
      <c r="A117" s="52" t="s">
        <v>3004</v>
      </c>
      <c r="B117" s="52" t="s">
        <v>69</v>
      </c>
      <c r="C117" s="52" t="s">
        <v>1177</v>
      </c>
      <c r="D117" s="52" t="s">
        <v>3005</v>
      </c>
      <c r="E117" s="52" t="s">
        <v>2993</v>
      </c>
      <c r="F117" s="52" t="s">
        <v>3006</v>
      </c>
      <c r="G117" s="52">
        <v>5</v>
      </c>
      <c r="H117" s="52" t="s">
        <v>3001</v>
      </c>
      <c r="I117" s="52" t="s">
        <v>3002</v>
      </c>
      <c r="J117" s="52">
        <v>5</v>
      </c>
      <c r="K117" s="52">
        <v>5</v>
      </c>
      <c r="L117" s="52">
        <v>5</v>
      </c>
      <c r="M117" s="52" t="s">
        <v>3007</v>
      </c>
      <c r="N117" s="52" t="s">
        <v>3008</v>
      </c>
      <c r="O117" s="52" t="s">
        <v>3009</v>
      </c>
      <c r="P117" s="52" t="s">
        <v>3010</v>
      </c>
      <c r="Q117" s="52" t="s">
        <v>3011</v>
      </c>
      <c r="R117" s="52" t="s">
        <v>3012</v>
      </c>
      <c r="S117" s="52" t="s">
        <v>6862</v>
      </c>
    </row>
    <row r="118" spans="1:19" ht="63.75">
      <c r="A118" s="64" t="s">
        <v>3014</v>
      </c>
      <c r="B118" s="64" t="s">
        <v>69</v>
      </c>
      <c r="C118" s="64" t="s">
        <v>1177</v>
      </c>
      <c r="D118" s="64" t="s">
        <v>3015</v>
      </c>
      <c r="E118" s="64" t="s">
        <v>2993</v>
      </c>
      <c r="F118" s="64" t="s">
        <v>3016</v>
      </c>
      <c r="G118" s="64">
        <v>5</v>
      </c>
      <c r="H118" s="64" t="s">
        <v>3001</v>
      </c>
      <c r="I118" s="64" t="s">
        <v>3002</v>
      </c>
      <c r="J118" s="64">
        <v>5</v>
      </c>
      <c r="K118" s="64">
        <v>5</v>
      </c>
      <c r="L118" s="64">
        <v>5</v>
      </c>
      <c r="M118" s="64" t="s">
        <v>3017</v>
      </c>
      <c r="N118" s="64" t="s">
        <v>3018</v>
      </c>
      <c r="O118" s="64" t="s">
        <v>3019</v>
      </c>
      <c r="P118" s="64" t="s">
        <v>3020</v>
      </c>
      <c r="Q118" s="64" t="s">
        <v>3021</v>
      </c>
      <c r="R118" s="64" t="s">
        <v>3022</v>
      </c>
      <c r="S118" s="64" t="s">
        <v>6869</v>
      </c>
    </row>
    <row r="119" spans="1:19" ht="63.75">
      <c r="A119" s="52" t="s">
        <v>3024</v>
      </c>
      <c r="B119" s="52" t="s">
        <v>69</v>
      </c>
      <c r="C119" s="52" t="s">
        <v>1177</v>
      </c>
      <c r="D119" s="52" t="s">
        <v>3025</v>
      </c>
      <c r="E119" s="52" t="s">
        <v>2993</v>
      </c>
      <c r="F119" s="52" t="s">
        <v>3026</v>
      </c>
      <c r="G119" s="52">
        <v>3</v>
      </c>
      <c r="H119" s="52" t="s">
        <v>3001</v>
      </c>
      <c r="I119" s="52" t="s">
        <v>3002</v>
      </c>
      <c r="J119" s="52">
        <v>5</v>
      </c>
      <c r="K119" s="52">
        <v>5</v>
      </c>
      <c r="L119" s="52">
        <v>5</v>
      </c>
      <c r="M119" s="52" t="s">
        <v>3027</v>
      </c>
      <c r="N119" s="52" t="s">
        <v>3028</v>
      </c>
      <c r="O119" s="52" t="s">
        <v>3029</v>
      </c>
      <c r="P119" s="52" t="s">
        <v>3030</v>
      </c>
      <c r="Q119" s="52" t="s">
        <v>3031</v>
      </c>
      <c r="R119" s="52" t="s">
        <v>3032</v>
      </c>
      <c r="S119" s="52" t="s">
        <v>6876</v>
      </c>
    </row>
    <row r="120" spans="1:19" ht="63.75">
      <c r="A120" s="64" t="s">
        <v>3034</v>
      </c>
      <c r="B120" s="64" t="s">
        <v>69</v>
      </c>
      <c r="C120" s="64" t="s">
        <v>1177</v>
      </c>
      <c r="D120" s="64" t="s">
        <v>3035</v>
      </c>
      <c r="E120" s="64" t="s">
        <v>2993</v>
      </c>
      <c r="F120" s="64" t="s">
        <v>3036</v>
      </c>
      <c r="G120" s="64">
        <v>3</v>
      </c>
      <c r="H120" s="64" t="s">
        <v>3001</v>
      </c>
      <c r="I120" s="64" t="s">
        <v>3002</v>
      </c>
      <c r="J120" s="64">
        <v>5</v>
      </c>
      <c r="K120" s="64">
        <v>5</v>
      </c>
      <c r="L120" s="64">
        <v>5</v>
      </c>
      <c r="M120" s="64" t="s">
        <v>3037</v>
      </c>
      <c r="N120" s="64" t="s">
        <v>3038</v>
      </c>
      <c r="O120" s="64" t="s">
        <v>3039</v>
      </c>
      <c r="P120" s="64" t="s">
        <v>3040</v>
      </c>
      <c r="Q120" s="64" t="s">
        <v>3041</v>
      </c>
      <c r="R120" s="64" t="s">
        <v>3042</v>
      </c>
      <c r="S120" s="64" t="s">
        <v>6883</v>
      </c>
    </row>
    <row r="121" spans="1:19" ht="51">
      <c r="A121" s="52" t="s">
        <v>3044</v>
      </c>
      <c r="B121" s="52" t="s">
        <v>69</v>
      </c>
      <c r="C121" s="52" t="s">
        <v>1177</v>
      </c>
      <c r="D121" s="52" t="s">
        <v>3045</v>
      </c>
      <c r="E121" s="52" t="s">
        <v>2993</v>
      </c>
      <c r="F121" s="52" t="s">
        <v>3046</v>
      </c>
      <c r="G121" s="52">
        <v>5</v>
      </c>
      <c r="H121" s="52" t="s">
        <v>3001</v>
      </c>
      <c r="I121" s="52" t="s">
        <v>3002</v>
      </c>
      <c r="J121" s="52">
        <v>5</v>
      </c>
      <c r="K121" s="52">
        <v>5</v>
      </c>
      <c r="L121" s="52">
        <v>5</v>
      </c>
      <c r="M121" s="52" t="s">
        <v>3047</v>
      </c>
      <c r="N121" s="52" t="s">
        <v>3048</v>
      </c>
      <c r="O121" s="52" t="s">
        <v>3049</v>
      </c>
      <c r="P121" s="52" t="s">
        <v>3050</v>
      </c>
      <c r="Q121" s="52" t="s">
        <v>3051</v>
      </c>
      <c r="R121" s="52" t="s">
        <v>3052</v>
      </c>
      <c r="S121" s="52" t="s">
        <v>6890</v>
      </c>
    </row>
    <row r="122" spans="1:19" ht="63.75">
      <c r="A122" s="64" t="s">
        <v>3054</v>
      </c>
      <c r="B122" s="64" t="s">
        <v>69</v>
      </c>
      <c r="C122" s="64" t="s">
        <v>1187</v>
      </c>
      <c r="D122" s="64" t="s">
        <v>3055</v>
      </c>
      <c r="E122" s="64" t="s">
        <v>2993</v>
      </c>
      <c r="F122" s="64" t="s">
        <v>3056</v>
      </c>
      <c r="G122" s="64">
        <v>5</v>
      </c>
      <c r="H122" s="64" t="s">
        <v>3001</v>
      </c>
      <c r="I122" s="64" t="s">
        <v>3002</v>
      </c>
      <c r="J122" s="64">
        <v>5</v>
      </c>
      <c r="K122" s="64">
        <v>5</v>
      </c>
      <c r="L122" s="64">
        <v>5</v>
      </c>
      <c r="M122" s="64" t="s">
        <v>3057</v>
      </c>
      <c r="N122" s="64" t="s">
        <v>3058</v>
      </c>
      <c r="O122" s="64" t="s">
        <v>3059</v>
      </c>
      <c r="P122" s="64" t="s">
        <v>3060</v>
      </c>
      <c r="Q122" s="64" t="s">
        <v>3061</v>
      </c>
      <c r="R122" s="64" t="s">
        <v>3062</v>
      </c>
      <c r="S122" s="64" t="s">
        <v>6898</v>
      </c>
    </row>
    <row r="123" spans="1:19" ht="63.75">
      <c r="A123" s="52" t="s">
        <v>3064</v>
      </c>
      <c r="B123" s="52" t="s">
        <v>69</v>
      </c>
      <c r="C123" s="52" t="s">
        <v>1187</v>
      </c>
      <c r="D123" s="52" t="s">
        <v>3065</v>
      </c>
      <c r="E123" s="52" t="s">
        <v>2993</v>
      </c>
      <c r="F123" s="52" t="s">
        <v>3066</v>
      </c>
      <c r="G123" s="52">
        <v>5</v>
      </c>
      <c r="H123" s="52" t="s">
        <v>3001</v>
      </c>
      <c r="I123" s="52" t="s">
        <v>3002</v>
      </c>
      <c r="J123" s="52">
        <v>5</v>
      </c>
      <c r="K123" s="52">
        <v>5</v>
      </c>
      <c r="L123" s="52">
        <v>5</v>
      </c>
      <c r="M123" s="52" t="s">
        <v>3067</v>
      </c>
      <c r="N123" s="52" t="s">
        <v>3068</v>
      </c>
      <c r="O123" s="52" t="s">
        <v>3069</v>
      </c>
      <c r="P123" s="52" t="s">
        <v>3070</v>
      </c>
      <c r="Q123" s="52" t="s">
        <v>3071</v>
      </c>
      <c r="R123" s="52" t="s">
        <v>3072</v>
      </c>
      <c r="S123" s="52" t="s">
        <v>6905</v>
      </c>
    </row>
    <row r="124" spans="1:19" ht="63.75">
      <c r="A124" s="64" t="s">
        <v>3074</v>
      </c>
      <c r="B124" s="64" t="s">
        <v>69</v>
      </c>
      <c r="C124" s="64" t="s">
        <v>1187</v>
      </c>
      <c r="D124" s="64" t="s">
        <v>3075</v>
      </c>
      <c r="E124" s="64" t="s">
        <v>2993</v>
      </c>
      <c r="F124" s="64" t="s">
        <v>3076</v>
      </c>
      <c r="G124" s="64">
        <v>4</v>
      </c>
      <c r="H124" s="64" t="s">
        <v>3001</v>
      </c>
      <c r="I124" s="64" t="s">
        <v>3002</v>
      </c>
      <c r="J124" s="64">
        <v>5</v>
      </c>
      <c r="K124" s="64">
        <v>5</v>
      </c>
      <c r="L124" s="64">
        <v>5</v>
      </c>
      <c r="M124" s="64" t="s">
        <v>3077</v>
      </c>
      <c r="N124" s="64" t="s">
        <v>3078</v>
      </c>
      <c r="O124" s="64" t="s">
        <v>3079</v>
      </c>
      <c r="P124" s="64" t="s">
        <v>3080</v>
      </c>
      <c r="Q124" s="64" t="s">
        <v>3081</v>
      </c>
      <c r="R124" s="64" t="s">
        <v>3082</v>
      </c>
      <c r="S124" s="64" t="s">
        <v>6912</v>
      </c>
    </row>
    <row r="125" spans="1:19" ht="63.75">
      <c r="A125" s="52" t="s">
        <v>3084</v>
      </c>
      <c r="B125" s="52" t="s">
        <v>69</v>
      </c>
      <c r="C125" s="52" t="s">
        <v>1187</v>
      </c>
      <c r="D125" s="52" t="s">
        <v>3085</v>
      </c>
      <c r="E125" s="52" t="s">
        <v>2993</v>
      </c>
      <c r="F125" s="52" t="s">
        <v>3086</v>
      </c>
      <c r="G125" s="52">
        <v>5</v>
      </c>
      <c r="H125" s="52" t="s">
        <v>3001</v>
      </c>
      <c r="I125" s="52" t="s">
        <v>3002</v>
      </c>
      <c r="J125" s="52">
        <v>5</v>
      </c>
      <c r="K125" s="52">
        <v>5</v>
      </c>
      <c r="L125" s="52">
        <v>5</v>
      </c>
      <c r="M125" s="52" t="s">
        <v>3087</v>
      </c>
      <c r="N125" s="52" t="s">
        <v>3088</v>
      </c>
      <c r="O125" s="52" t="s">
        <v>3089</v>
      </c>
      <c r="P125" s="52" t="s">
        <v>3090</v>
      </c>
      <c r="Q125" s="52" t="s">
        <v>3091</v>
      </c>
      <c r="R125" s="52" t="s">
        <v>3092</v>
      </c>
      <c r="S125" s="52" t="s">
        <v>6919</v>
      </c>
    </row>
    <row r="126" spans="1:19" ht="63.75">
      <c r="A126" s="64" t="s">
        <v>3094</v>
      </c>
      <c r="B126" s="64" t="s">
        <v>69</v>
      </c>
      <c r="C126" s="64" t="s">
        <v>1187</v>
      </c>
      <c r="D126" s="64" t="s">
        <v>3095</v>
      </c>
      <c r="E126" s="64" t="s">
        <v>2993</v>
      </c>
      <c r="F126" s="64" t="s">
        <v>3096</v>
      </c>
      <c r="G126" s="64">
        <v>5</v>
      </c>
      <c r="H126" s="64" t="s">
        <v>3001</v>
      </c>
      <c r="I126" s="64" t="s">
        <v>3002</v>
      </c>
      <c r="J126" s="64">
        <v>5</v>
      </c>
      <c r="K126" s="64">
        <v>5</v>
      </c>
      <c r="L126" s="64">
        <v>5</v>
      </c>
      <c r="M126" s="64" t="s">
        <v>3097</v>
      </c>
      <c r="N126" s="64" t="s">
        <v>3098</v>
      </c>
      <c r="O126" s="64" t="s">
        <v>3099</v>
      </c>
      <c r="P126" s="64" t="s">
        <v>3100</v>
      </c>
      <c r="Q126" s="64" t="s">
        <v>3101</v>
      </c>
      <c r="R126" s="64" t="s">
        <v>3102</v>
      </c>
      <c r="S126" s="64" t="s">
        <v>6926</v>
      </c>
    </row>
    <row r="127" spans="1:19" ht="51">
      <c r="A127" s="52" t="s">
        <v>3104</v>
      </c>
      <c r="B127" s="52" t="s">
        <v>69</v>
      </c>
      <c r="C127" s="52" t="s">
        <v>1187</v>
      </c>
      <c r="D127" s="52" t="s">
        <v>3105</v>
      </c>
      <c r="E127" s="52" t="s">
        <v>2993</v>
      </c>
      <c r="F127" s="52" t="s">
        <v>3106</v>
      </c>
      <c r="G127" s="52">
        <v>5</v>
      </c>
      <c r="H127" s="52" t="s">
        <v>3001</v>
      </c>
      <c r="I127" s="52" t="s">
        <v>3002</v>
      </c>
      <c r="J127" s="52">
        <v>5</v>
      </c>
      <c r="K127" s="52">
        <v>5</v>
      </c>
      <c r="L127" s="52">
        <v>5</v>
      </c>
      <c r="M127" s="52" t="s">
        <v>3107</v>
      </c>
      <c r="N127" s="52" t="s">
        <v>3108</v>
      </c>
      <c r="O127" s="52" t="s">
        <v>3109</v>
      </c>
      <c r="P127" s="52" t="s">
        <v>3110</v>
      </c>
      <c r="Q127" s="52" t="s">
        <v>3111</v>
      </c>
      <c r="R127" s="52" t="s">
        <v>3112</v>
      </c>
      <c r="S127" s="52" t="s">
        <v>6933</v>
      </c>
    </row>
    <row r="128" spans="1:19" ht="63.75">
      <c r="A128" s="64" t="s">
        <v>3114</v>
      </c>
      <c r="B128" s="64" t="s">
        <v>69</v>
      </c>
      <c r="C128" s="64" t="s">
        <v>1195</v>
      </c>
      <c r="D128" s="64" t="s">
        <v>3115</v>
      </c>
      <c r="E128" s="64" t="s">
        <v>2993</v>
      </c>
      <c r="F128" s="64" t="s">
        <v>3116</v>
      </c>
      <c r="G128" s="64">
        <v>5</v>
      </c>
      <c r="H128" s="64" t="s">
        <v>3001</v>
      </c>
      <c r="I128" s="64" t="s">
        <v>3002</v>
      </c>
      <c r="J128" s="64">
        <v>5</v>
      </c>
      <c r="K128" s="64">
        <v>5</v>
      </c>
      <c r="L128" s="64">
        <v>5</v>
      </c>
      <c r="M128" s="64" t="s">
        <v>3117</v>
      </c>
      <c r="N128" s="64" t="s">
        <v>3118</v>
      </c>
      <c r="O128" s="64" t="s">
        <v>3119</v>
      </c>
      <c r="P128" s="64" t="s">
        <v>3120</v>
      </c>
      <c r="Q128" s="64" t="s">
        <v>3121</v>
      </c>
      <c r="R128" s="64" t="s">
        <v>3122</v>
      </c>
      <c r="S128" s="64" t="s">
        <v>6941</v>
      </c>
    </row>
    <row r="129" spans="1:19" ht="63.75">
      <c r="A129" s="52" t="s">
        <v>3124</v>
      </c>
      <c r="B129" s="52" t="s">
        <v>69</v>
      </c>
      <c r="C129" s="52" t="s">
        <v>1195</v>
      </c>
      <c r="D129" s="52" t="s">
        <v>3125</v>
      </c>
      <c r="E129" s="52" t="s">
        <v>2993</v>
      </c>
      <c r="F129" s="52" t="s">
        <v>3126</v>
      </c>
      <c r="G129" s="52">
        <v>4</v>
      </c>
      <c r="H129" s="52" t="s">
        <v>3001</v>
      </c>
      <c r="I129" s="52" t="s">
        <v>3002</v>
      </c>
      <c r="J129" s="52">
        <v>5</v>
      </c>
      <c r="K129" s="52">
        <v>5</v>
      </c>
      <c r="L129" s="52">
        <v>5</v>
      </c>
      <c r="M129" s="52" t="s">
        <v>3127</v>
      </c>
      <c r="N129" s="52" t="s">
        <v>3128</v>
      </c>
      <c r="O129" s="52" t="s">
        <v>3129</v>
      </c>
      <c r="P129" s="52" t="s">
        <v>3130</v>
      </c>
      <c r="Q129" s="52" t="s">
        <v>3131</v>
      </c>
      <c r="R129" s="52" t="s">
        <v>3132</v>
      </c>
      <c r="S129" s="52" t="s">
        <v>6948</v>
      </c>
    </row>
    <row r="130" spans="1:19" ht="76.5">
      <c r="A130" s="64" t="s">
        <v>3134</v>
      </c>
      <c r="B130" s="64" t="s">
        <v>69</v>
      </c>
      <c r="C130" s="64" t="s">
        <v>1195</v>
      </c>
      <c r="D130" s="64" t="s">
        <v>3135</v>
      </c>
      <c r="E130" s="64" t="s">
        <v>2993</v>
      </c>
      <c r="F130" s="64" t="s">
        <v>3136</v>
      </c>
      <c r="G130" s="64">
        <v>5</v>
      </c>
      <c r="H130" s="64" t="s">
        <v>3001</v>
      </c>
      <c r="I130" s="64" t="s">
        <v>3002</v>
      </c>
      <c r="J130" s="64">
        <v>5</v>
      </c>
      <c r="K130" s="64">
        <v>5</v>
      </c>
      <c r="L130" s="64">
        <v>5</v>
      </c>
      <c r="M130" s="64" t="s">
        <v>3137</v>
      </c>
      <c r="N130" s="64" t="s">
        <v>3138</v>
      </c>
      <c r="O130" s="64" t="s">
        <v>3139</v>
      </c>
      <c r="P130" s="64" t="s">
        <v>3140</v>
      </c>
      <c r="Q130" s="64" t="s">
        <v>3141</v>
      </c>
      <c r="R130" s="64" t="s">
        <v>3142</v>
      </c>
      <c r="S130" s="64" t="s">
        <v>6955</v>
      </c>
    </row>
    <row r="131" spans="1:19" ht="63.75">
      <c r="A131" s="52" t="s">
        <v>3144</v>
      </c>
      <c r="B131" s="52" t="s">
        <v>69</v>
      </c>
      <c r="C131" s="52" t="s">
        <v>1195</v>
      </c>
      <c r="D131" s="52" t="s">
        <v>3145</v>
      </c>
      <c r="E131" s="52" t="s">
        <v>2993</v>
      </c>
      <c r="F131" s="52" t="s">
        <v>3146</v>
      </c>
      <c r="G131" s="52">
        <v>5</v>
      </c>
      <c r="H131" s="52" t="s">
        <v>3001</v>
      </c>
      <c r="I131" s="52" t="s">
        <v>3002</v>
      </c>
      <c r="J131" s="52">
        <v>5</v>
      </c>
      <c r="K131" s="52">
        <v>5</v>
      </c>
      <c r="L131" s="52">
        <v>5</v>
      </c>
      <c r="M131" s="52" t="s">
        <v>3147</v>
      </c>
      <c r="N131" s="52" t="s">
        <v>3148</v>
      </c>
      <c r="O131" s="52" t="s">
        <v>3149</v>
      </c>
      <c r="P131" s="52" t="s">
        <v>3150</v>
      </c>
      <c r="Q131" s="52" t="s">
        <v>3151</v>
      </c>
      <c r="R131" s="52" t="s">
        <v>3152</v>
      </c>
      <c r="S131" s="52" t="s">
        <v>6962</v>
      </c>
    </row>
    <row r="132" spans="1:19" ht="63.75">
      <c r="A132" s="64" t="s">
        <v>3154</v>
      </c>
      <c r="B132" s="64" t="s">
        <v>69</v>
      </c>
      <c r="C132" s="64" t="s">
        <v>1195</v>
      </c>
      <c r="D132" s="64" t="s">
        <v>3155</v>
      </c>
      <c r="E132" s="64" t="s">
        <v>2993</v>
      </c>
      <c r="F132" s="64" t="s">
        <v>3156</v>
      </c>
      <c r="G132" s="64">
        <v>5</v>
      </c>
      <c r="H132" s="64" t="s">
        <v>3001</v>
      </c>
      <c r="I132" s="64" t="s">
        <v>3002</v>
      </c>
      <c r="J132" s="64">
        <v>5</v>
      </c>
      <c r="K132" s="64">
        <v>5</v>
      </c>
      <c r="L132" s="64">
        <v>5</v>
      </c>
      <c r="M132" s="64" t="s">
        <v>3157</v>
      </c>
      <c r="N132" s="64" t="s">
        <v>3158</v>
      </c>
      <c r="O132" s="64" t="s">
        <v>3159</v>
      </c>
      <c r="P132" s="64" t="s">
        <v>3160</v>
      </c>
      <c r="Q132" s="64" t="s">
        <v>3161</v>
      </c>
      <c r="R132" s="64" t="s">
        <v>3162</v>
      </c>
      <c r="S132" s="64" t="s">
        <v>6969</v>
      </c>
    </row>
    <row r="133" spans="1:19" ht="63.75">
      <c r="A133" s="52" t="s">
        <v>3164</v>
      </c>
      <c r="B133" s="52" t="s">
        <v>69</v>
      </c>
      <c r="C133" s="52" t="s">
        <v>1195</v>
      </c>
      <c r="D133" s="52" t="s">
        <v>3165</v>
      </c>
      <c r="E133" s="52" t="s">
        <v>2993</v>
      </c>
      <c r="F133" s="52" t="s">
        <v>3166</v>
      </c>
      <c r="G133" s="52">
        <v>5</v>
      </c>
      <c r="H133" s="52" t="s">
        <v>3001</v>
      </c>
      <c r="I133" s="52" t="s">
        <v>3002</v>
      </c>
      <c r="J133" s="52">
        <v>5</v>
      </c>
      <c r="K133" s="52">
        <v>5</v>
      </c>
      <c r="L133" s="52">
        <v>5</v>
      </c>
      <c r="M133" s="52" t="s">
        <v>3167</v>
      </c>
      <c r="N133" s="52" t="s">
        <v>3168</v>
      </c>
      <c r="O133" s="52" t="s">
        <v>3169</v>
      </c>
      <c r="P133" s="52" t="s">
        <v>3170</v>
      </c>
      <c r="Q133" s="52" t="s">
        <v>3171</v>
      </c>
      <c r="R133" s="52" t="s">
        <v>3172</v>
      </c>
      <c r="S133" s="52" t="s">
        <v>6976</v>
      </c>
    </row>
    <row r="134" spans="1:19" ht="63.75">
      <c r="A134" s="64" t="s">
        <v>3174</v>
      </c>
      <c r="B134" s="64" t="s">
        <v>69</v>
      </c>
      <c r="C134" s="64" t="s">
        <v>1203</v>
      </c>
      <c r="D134" s="64" t="s">
        <v>3175</v>
      </c>
      <c r="E134" s="64" t="s">
        <v>2993</v>
      </c>
      <c r="F134" s="64" t="s">
        <v>3176</v>
      </c>
      <c r="G134" s="64">
        <v>3</v>
      </c>
      <c r="H134" s="64" t="s">
        <v>3001</v>
      </c>
      <c r="I134" s="64" t="s">
        <v>3002</v>
      </c>
      <c r="J134" s="64">
        <v>5</v>
      </c>
      <c r="K134" s="64">
        <v>5</v>
      </c>
      <c r="L134" s="64">
        <v>5</v>
      </c>
      <c r="M134" s="64" t="s">
        <v>3177</v>
      </c>
      <c r="N134" s="64" t="s">
        <v>3178</v>
      </c>
      <c r="O134" s="64" t="s">
        <v>3179</v>
      </c>
      <c r="P134" s="64" t="s">
        <v>3180</v>
      </c>
      <c r="Q134" s="64" t="s">
        <v>3181</v>
      </c>
      <c r="R134" s="64" t="s">
        <v>3182</v>
      </c>
      <c r="S134" s="64" t="s">
        <v>6984</v>
      </c>
    </row>
    <row r="135" spans="1:19" ht="63.75">
      <c r="A135" s="52" t="s">
        <v>3184</v>
      </c>
      <c r="B135" s="52" t="s">
        <v>69</v>
      </c>
      <c r="C135" s="52" t="s">
        <v>1203</v>
      </c>
      <c r="D135" s="52" t="s">
        <v>3185</v>
      </c>
      <c r="E135" s="52" t="s">
        <v>2993</v>
      </c>
      <c r="F135" s="52" t="s">
        <v>3186</v>
      </c>
      <c r="G135" s="52">
        <v>5</v>
      </c>
      <c r="H135" s="52" t="s">
        <v>3001</v>
      </c>
      <c r="I135" s="52" t="s">
        <v>3002</v>
      </c>
      <c r="J135" s="52">
        <v>5</v>
      </c>
      <c r="K135" s="52">
        <v>5</v>
      </c>
      <c r="L135" s="52">
        <v>5</v>
      </c>
      <c r="M135" s="52" t="s">
        <v>3187</v>
      </c>
      <c r="N135" s="52" t="s">
        <v>3188</v>
      </c>
      <c r="O135" s="52" t="s">
        <v>3189</v>
      </c>
      <c r="P135" s="52" t="s">
        <v>3190</v>
      </c>
      <c r="Q135" s="52" t="s">
        <v>3191</v>
      </c>
      <c r="R135" s="52" t="s">
        <v>3192</v>
      </c>
      <c r="S135" s="52" t="s">
        <v>6991</v>
      </c>
    </row>
    <row r="136" spans="1:19" ht="63.75">
      <c r="A136" s="64" t="s">
        <v>3196</v>
      </c>
      <c r="B136" s="64" t="s">
        <v>72</v>
      </c>
      <c r="C136" s="64" t="s">
        <v>1211</v>
      </c>
      <c r="D136" s="64" t="s">
        <v>3197</v>
      </c>
      <c r="E136" s="64" t="s">
        <v>3199</v>
      </c>
      <c r="F136" s="64" t="s">
        <v>3200</v>
      </c>
      <c r="G136" s="64">
        <v>5</v>
      </c>
      <c r="H136" s="64" t="s">
        <v>3207</v>
      </c>
      <c r="I136" s="64" t="s">
        <v>3208</v>
      </c>
      <c r="J136" s="64">
        <v>4</v>
      </c>
      <c r="K136" s="64">
        <v>5</v>
      </c>
      <c r="L136" s="64">
        <v>5</v>
      </c>
      <c r="M136" s="64" t="s">
        <v>3201</v>
      </c>
      <c r="N136" s="64" t="s">
        <v>3202</v>
      </c>
      <c r="O136" s="64" t="s">
        <v>3203</v>
      </c>
      <c r="P136" s="64" t="s">
        <v>3204</v>
      </c>
      <c r="Q136" s="64" t="s">
        <v>3205</v>
      </c>
      <c r="R136" s="64" t="s">
        <v>3206</v>
      </c>
      <c r="S136" s="64" t="s">
        <v>6999</v>
      </c>
    </row>
    <row r="137" spans="1:19" ht="63.75">
      <c r="A137" s="52" t="s">
        <v>3210</v>
      </c>
      <c r="B137" s="52" t="s">
        <v>72</v>
      </c>
      <c r="C137" s="52" t="s">
        <v>1211</v>
      </c>
      <c r="D137" s="52" t="s">
        <v>3211</v>
      </c>
      <c r="E137" s="52" t="s">
        <v>3199</v>
      </c>
      <c r="F137" s="52" t="s">
        <v>3212</v>
      </c>
      <c r="G137" s="52">
        <v>5</v>
      </c>
      <c r="H137" s="52" t="s">
        <v>3207</v>
      </c>
      <c r="I137" s="52" t="s">
        <v>3208</v>
      </c>
      <c r="J137" s="52">
        <v>4</v>
      </c>
      <c r="K137" s="52">
        <v>5</v>
      </c>
      <c r="L137" s="52">
        <v>5</v>
      </c>
      <c r="M137" s="52" t="s">
        <v>3213</v>
      </c>
      <c r="N137" s="52" t="s">
        <v>3214</v>
      </c>
      <c r="O137" s="52" t="s">
        <v>3215</v>
      </c>
      <c r="P137" s="52" t="s">
        <v>3216</v>
      </c>
      <c r="Q137" s="52" t="s">
        <v>3217</v>
      </c>
      <c r="R137" s="52" t="s">
        <v>3218</v>
      </c>
      <c r="S137" s="52" t="s">
        <v>7006</v>
      </c>
    </row>
    <row r="138" spans="1:19" ht="51">
      <c r="A138" s="64" t="s">
        <v>3220</v>
      </c>
      <c r="B138" s="64" t="s">
        <v>72</v>
      </c>
      <c r="C138" s="64" t="s">
        <v>1211</v>
      </c>
      <c r="D138" s="64" t="s">
        <v>3221</v>
      </c>
      <c r="E138" s="64" t="s">
        <v>3199</v>
      </c>
      <c r="F138" s="64" t="s">
        <v>3222</v>
      </c>
      <c r="G138" s="64">
        <v>5</v>
      </c>
      <c r="H138" s="64" t="s">
        <v>3207</v>
      </c>
      <c r="I138" s="64" t="s">
        <v>3208</v>
      </c>
      <c r="J138" s="64">
        <v>4</v>
      </c>
      <c r="K138" s="64">
        <v>5</v>
      </c>
      <c r="L138" s="64">
        <v>5</v>
      </c>
      <c r="M138" s="64" t="s">
        <v>3223</v>
      </c>
      <c r="N138" s="64" t="s">
        <v>3224</v>
      </c>
      <c r="O138" s="64" t="s">
        <v>3225</v>
      </c>
      <c r="P138" s="64" t="s">
        <v>3226</v>
      </c>
      <c r="Q138" s="64" t="s">
        <v>3227</v>
      </c>
      <c r="R138" s="64" t="s">
        <v>3228</v>
      </c>
      <c r="S138" s="64" t="s">
        <v>7013</v>
      </c>
    </row>
    <row r="139" spans="1:19" ht="63.75">
      <c r="A139" s="52" t="s">
        <v>3230</v>
      </c>
      <c r="B139" s="52" t="s">
        <v>72</v>
      </c>
      <c r="C139" s="52" t="s">
        <v>1211</v>
      </c>
      <c r="D139" s="52" t="s">
        <v>3231</v>
      </c>
      <c r="E139" s="52" t="s">
        <v>3199</v>
      </c>
      <c r="F139" s="52" t="s">
        <v>3232</v>
      </c>
      <c r="G139" s="52">
        <v>5</v>
      </c>
      <c r="H139" s="52" t="s">
        <v>3207</v>
      </c>
      <c r="I139" s="52" t="s">
        <v>3208</v>
      </c>
      <c r="J139" s="52">
        <v>4</v>
      </c>
      <c r="K139" s="52">
        <v>5</v>
      </c>
      <c r="L139" s="52">
        <v>5</v>
      </c>
      <c r="M139" s="52" t="s">
        <v>3233</v>
      </c>
      <c r="N139" s="52" t="s">
        <v>3234</v>
      </c>
      <c r="O139" s="52" t="s">
        <v>3235</v>
      </c>
      <c r="P139" s="52" t="s">
        <v>3236</v>
      </c>
      <c r="Q139" s="52" t="s">
        <v>3237</v>
      </c>
      <c r="R139" s="52" t="s">
        <v>3238</v>
      </c>
      <c r="S139" s="52" t="s">
        <v>7020</v>
      </c>
    </row>
    <row r="140" spans="1:19" ht="63.75">
      <c r="A140" s="64" t="s">
        <v>3240</v>
      </c>
      <c r="B140" s="64" t="s">
        <v>72</v>
      </c>
      <c r="C140" s="64" t="s">
        <v>1211</v>
      </c>
      <c r="D140" s="64" t="s">
        <v>3241</v>
      </c>
      <c r="E140" s="64" t="s">
        <v>3199</v>
      </c>
      <c r="F140" s="64" t="s">
        <v>3242</v>
      </c>
      <c r="G140" s="64">
        <v>5</v>
      </c>
      <c r="H140" s="64" t="s">
        <v>3207</v>
      </c>
      <c r="I140" s="64" t="s">
        <v>3208</v>
      </c>
      <c r="J140" s="64">
        <v>4</v>
      </c>
      <c r="K140" s="64">
        <v>5</v>
      </c>
      <c r="L140" s="64">
        <v>5</v>
      </c>
      <c r="M140" s="64" t="s">
        <v>3243</v>
      </c>
      <c r="N140" s="64" t="s">
        <v>3244</v>
      </c>
      <c r="O140" s="64" t="s">
        <v>3245</v>
      </c>
      <c r="P140" s="64" t="s">
        <v>3246</v>
      </c>
      <c r="Q140" s="64" t="s">
        <v>3247</v>
      </c>
      <c r="R140" s="64" t="s">
        <v>3248</v>
      </c>
      <c r="S140" s="64" t="s">
        <v>7027</v>
      </c>
    </row>
    <row r="141" spans="1:19" ht="51">
      <c r="A141" s="52" t="s">
        <v>3250</v>
      </c>
      <c r="B141" s="52" t="s">
        <v>72</v>
      </c>
      <c r="C141" s="52" t="s">
        <v>1211</v>
      </c>
      <c r="D141" s="52" t="s">
        <v>3251</v>
      </c>
      <c r="E141" s="52" t="s">
        <v>3199</v>
      </c>
      <c r="F141" s="52" t="s">
        <v>3252</v>
      </c>
      <c r="G141" s="52">
        <v>5</v>
      </c>
      <c r="H141" s="52" t="s">
        <v>3207</v>
      </c>
      <c r="I141" s="52" t="s">
        <v>3208</v>
      </c>
      <c r="J141" s="52">
        <v>4</v>
      </c>
      <c r="K141" s="52">
        <v>5</v>
      </c>
      <c r="L141" s="52">
        <v>5</v>
      </c>
      <c r="M141" s="52" t="s">
        <v>3253</v>
      </c>
      <c r="N141" s="52" t="s">
        <v>3254</v>
      </c>
      <c r="O141" s="52" t="s">
        <v>3255</v>
      </c>
      <c r="P141" s="52" t="s">
        <v>3256</v>
      </c>
      <c r="Q141" s="52" t="s">
        <v>3257</v>
      </c>
      <c r="R141" s="52" t="s">
        <v>3258</v>
      </c>
      <c r="S141" s="52" t="s">
        <v>7034</v>
      </c>
    </row>
    <row r="142" spans="1:19" ht="63.75">
      <c r="A142" s="64" t="s">
        <v>3260</v>
      </c>
      <c r="B142" s="64" t="s">
        <v>72</v>
      </c>
      <c r="C142" s="64" t="s">
        <v>1226</v>
      </c>
      <c r="D142" s="64" t="s">
        <v>3261</v>
      </c>
      <c r="E142" s="64" t="s">
        <v>3199</v>
      </c>
      <c r="F142" s="64" t="s">
        <v>3262</v>
      </c>
      <c r="G142" s="64">
        <v>5</v>
      </c>
      <c r="H142" s="64" t="s">
        <v>3207</v>
      </c>
      <c r="I142" s="64" t="s">
        <v>3208</v>
      </c>
      <c r="J142" s="64">
        <v>4</v>
      </c>
      <c r="K142" s="64">
        <v>5</v>
      </c>
      <c r="L142" s="64">
        <v>5</v>
      </c>
      <c r="M142" s="64" t="s">
        <v>3263</v>
      </c>
      <c r="N142" s="64" t="s">
        <v>3264</v>
      </c>
      <c r="O142" s="64" t="s">
        <v>3265</v>
      </c>
      <c r="P142" s="64" t="s">
        <v>3266</v>
      </c>
      <c r="Q142" s="64" t="s">
        <v>3267</v>
      </c>
      <c r="R142" s="64" t="s">
        <v>3268</v>
      </c>
      <c r="S142" s="64" t="s">
        <v>7042</v>
      </c>
    </row>
    <row r="143" spans="1:19" ht="63.75">
      <c r="A143" s="52" t="s">
        <v>3270</v>
      </c>
      <c r="B143" s="52" t="s">
        <v>72</v>
      </c>
      <c r="C143" s="52" t="s">
        <v>1226</v>
      </c>
      <c r="D143" s="52" t="s">
        <v>3271</v>
      </c>
      <c r="E143" s="52" t="s">
        <v>3199</v>
      </c>
      <c r="F143" s="52" t="s">
        <v>3272</v>
      </c>
      <c r="G143" s="52">
        <v>5</v>
      </c>
      <c r="H143" s="52" t="s">
        <v>3207</v>
      </c>
      <c r="I143" s="52" t="s">
        <v>3208</v>
      </c>
      <c r="J143" s="52">
        <v>5</v>
      </c>
      <c r="K143" s="52">
        <v>5</v>
      </c>
      <c r="L143" s="52">
        <v>5</v>
      </c>
      <c r="M143" s="52" t="s">
        <v>3273</v>
      </c>
      <c r="N143" s="52" t="s">
        <v>3274</v>
      </c>
      <c r="O143" s="52" t="s">
        <v>3275</v>
      </c>
      <c r="P143" s="52" t="s">
        <v>3276</v>
      </c>
      <c r="Q143" s="52" t="s">
        <v>3277</v>
      </c>
      <c r="R143" s="52" t="s">
        <v>3278</v>
      </c>
      <c r="S143" s="52" t="s">
        <v>7049</v>
      </c>
    </row>
    <row r="144" spans="1:19" ht="63.75">
      <c r="A144" s="64" t="s">
        <v>3280</v>
      </c>
      <c r="B144" s="64" t="s">
        <v>72</v>
      </c>
      <c r="C144" s="64" t="s">
        <v>1226</v>
      </c>
      <c r="D144" s="64" t="s">
        <v>3281</v>
      </c>
      <c r="E144" s="64" t="s">
        <v>3199</v>
      </c>
      <c r="F144" s="64" t="s">
        <v>3282</v>
      </c>
      <c r="G144" s="64">
        <v>4</v>
      </c>
      <c r="H144" s="64" t="s">
        <v>3207</v>
      </c>
      <c r="I144" s="64" t="s">
        <v>3208</v>
      </c>
      <c r="J144" s="64">
        <v>4</v>
      </c>
      <c r="K144" s="64">
        <v>5</v>
      </c>
      <c r="L144" s="64">
        <v>5</v>
      </c>
      <c r="M144" s="64" t="s">
        <v>3283</v>
      </c>
      <c r="N144" s="64" t="s">
        <v>3284</v>
      </c>
      <c r="O144" s="64" t="s">
        <v>3285</v>
      </c>
      <c r="P144" s="64" t="s">
        <v>3286</v>
      </c>
      <c r="Q144" s="64" t="s">
        <v>3287</v>
      </c>
      <c r="R144" s="64" t="s">
        <v>3288</v>
      </c>
      <c r="S144" s="64" t="s">
        <v>7056</v>
      </c>
    </row>
    <row r="145" spans="1:19" ht="63.75">
      <c r="A145" s="52" t="s">
        <v>3290</v>
      </c>
      <c r="B145" s="52" t="s">
        <v>72</v>
      </c>
      <c r="C145" s="52" t="s">
        <v>1226</v>
      </c>
      <c r="D145" s="52" t="s">
        <v>3291</v>
      </c>
      <c r="E145" s="52" t="s">
        <v>3199</v>
      </c>
      <c r="F145" s="52" t="s">
        <v>3292</v>
      </c>
      <c r="G145" s="52">
        <v>3</v>
      </c>
      <c r="H145" s="52" t="s">
        <v>3207</v>
      </c>
      <c r="I145" s="52" t="s">
        <v>3208</v>
      </c>
      <c r="J145" s="52">
        <v>4</v>
      </c>
      <c r="K145" s="52">
        <v>5</v>
      </c>
      <c r="L145" s="52">
        <v>5</v>
      </c>
      <c r="M145" s="52" t="s">
        <v>3293</v>
      </c>
      <c r="N145" s="52" t="s">
        <v>3294</v>
      </c>
      <c r="O145" s="52" t="s">
        <v>3295</v>
      </c>
      <c r="P145" s="52" t="s">
        <v>3296</v>
      </c>
      <c r="Q145" s="52" t="s">
        <v>3297</v>
      </c>
      <c r="R145" s="52" t="s">
        <v>3298</v>
      </c>
      <c r="S145" s="52" t="s">
        <v>7063</v>
      </c>
    </row>
    <row r="146" spans="1:19" ht="51">
      <c r="A146" s="64" t="s">
        <v>3300</v>
      </c>
      <c r="B146" s="64" t="s">
        <v>72</v>
      </c>
      <c r="C146" s="64" t="s">
        <v>1226</v>
      </c>
      <c r="D146" s="64" t="s">
        <v>3301</v>
      </c>
      <c r="E146" s="64" t="s">
        <v>3199</v>
      </c>
      <c r="F146" s="64" t="s">
        <v>3302</v>
      </c>
      <c r="G146" s="64">
        <v>3</v>
      </c>
      <c r="H146" s="64" t="s">
        <v>3207</v>
      </c>
      <c r="I146" s="64" t="s">
        <v>3208</v>
      </c>
      <c r="J146" s="64">
        <v>4</v>
      </c>
      <c r="K146" s="64">
        <v>5</v>
      </c>
      <c r="L146" s="64">
        <v>5</v>
      </c>
      <c r="M146" s="64" t="s">
        <v>3303</v>
      </c>
      <c r="N146" s="64" t="s">
        <v>3304</v>
      </c>
      <c r="O146" s="64" t="s">
        <v>3305</v>
      </c>
      <c r="P146" s="64" t="s">
        <v>3306</v>
      </c>
      <c r="Q146" s="64" t="s">
        <v>3307</v>
      </c>
      <c r="R146" s="64" t="s">
        <v>3308</v>
      </c>
      <c r="S146" s="64" t="s">
        <v>7070</v>
      </c>
    </row>
    <row r="147" spans="1:19" ht="63.75">
      <c r="A147" s="52" t="s">
        <v>3310</v>
      </c>
      <c r="B147" s="52" t="s">
        <v>72</v>
      </c>
      <c r="C147" s="52" t="s">
        <v>1226</v>
      </c>
      <c r="D147" s="52" t="s">
        <v>3311</v>
      </c>
      <c r="E147" s="52" t="s">
        <v>3199</v>
      </c>
      <c r="F147" s="52" t="s">
        <v>3312</v>
      </c>
      <c r="G147" s="52">
        <v>4</v>
      </c>
      <c r="H147" s="52" t="s">
        <v>3207</v>
      </c>
      <c r="I147" s="52" t="s">
        <v>3208</v>
      </c>
      <c r="J147" s="52">
        <v>4</v>
      </c>
      <c r="K147" s="52">
        <v>5</v>
      </c>
      <c r="L147" s="52">
        <v>5</v>
      </c>
      <c r="M147" s="52" t="s">
        <v>3313</v>
      </c>
      <c r="N147" s="52" t="s">
        <v>3314</v>
      </c>
      <c r="O147" s="52" t="s">
        <v>3315</v>
      </c>
      <c r="P147" s="52" t="s">
        <v>3316</v>
      </c>
      <c r="Q147" s="52" t="s">
        <v>3317</v>
      </c>
      <c r="R147" s="52" t="s">
        <v>3318</v>
      </c>
      <c r="S147" s="52" t="s">
        <v>7077</v>
      </c>
    </row>
    <row r="148" spans="1:19" ht="76.5">
      <c r="A148" s="64" t="s">
        <v>3320</v>
      </c>
      <c r="B148" s="64" t="s">
        <v>72</v>
      </c>
      <c r="C148" s="64" t="s">
        <v>1234</v>
      </c>
      <c r="D148" s="64" t="s">
        <v>3321</v>
      </c>
      <c r="E148" s="64" t="s">
        <v>3199</v>
      </c>
      <c r="F148" s="64" t="s">
        <v>3322</v>
      </c>
      <c r="G148" s="64">
        <v>3</v>
      </c>
      <c r="H148" s="64" t="s">
        <v>3207</v>
      </c>
      <c r="I148" s="64" t="s">
        <v>3208</v>
      </c>
      <c r="J148" s="64">
        <v>4</v>
      </c>
      <c r="K148" s="64">
        <v>5</v>
      </c>
      <c r="L148" s="64">
        <v>5</v>
      </c>
      <c r="M148" s="64" t="s">
        <v>3323</v>
      </c>
      <c r="N148" s="64" t="s">
        <v>3324</v>
      </c>
      <c r="O148" s="64" t="s">
        <v>3325</v>
      </c>
      <c r="P148" s="64" t="s">
        <v>3326</v>
      </c>
      <c r="Q148" s="64" t="s">
        <v>3327</v>
      </c>
      <c r="R148" s="64" t="s">
        <v>3328</v>
      </c>
      <c r="S148" s="64" t="s">
        <v>7085</v>
      </c>
    </row>
    <row r="149" spans="1:19" ht="63.75">
      <c r="A149" s="52" t="s">
        <v>3330</v>
      </c>
      <c r="B149" s="52" t="s">
        <v>72</v>
      </c>
      <c r="C149" s="52" t="s">
        <v>1234</v>
      </c>
      <c r="D149" s="52" t="s">
        <v>3331</v>
      </c>
      <c r="E149" s="52" t="s">
        <v>3199</v>
      </c>
      <c r="F149" s="52" t="s">
        <v>3332</v>
      </c>
      <c r="G149" s="52">
        <v>5</v>
      </c>
      <c r="H149" s="52" t="s">
        <v>3207</v>
      </c>
      <c r="I149" s="52" t="s">
        <v>3208</v>
      </c>
      <c r="J149" s="52">
        <v>4</v>
      </c>
      <c r="K149" s="52">
        <v>5</v>
      </c>
      <c r="L149" s="52">
        <v>5</v>
      </c>
      <c r="M149" s="52" t="s">
        <v>3333</v>
      </c>
      <c r="N149" s="52" t="s">
        <v>3334</v>
      </c>
      <c r="O149" s="52" t="s">
        <v>3335</v>
      </c>
      <c r="P149" s="52" t="s">
        <v>3336</v>
      </c>
      <c r="Q149" s="52" t="s">
        <v>3337</v>
      </c>
      <c r="R149" s="52" t="s">
        <v>3338</v>
      </c>
      <c r="S149" s="52" t="s">
        <v>7092</v>
      </c>
    </row>
    <row r="150" spans="1:19" ht="63.75">
      <c r="A150" s="64" t="s">
        <v>3340</v>
      </c>
      <c r="B150" s="64" t="s">
        <v>72</v>
      </c>
      <c r="C150" s="64" t="s">
        <v>1234</v>
      </c>
      <c r="D150" s="64" t="s">
        <v>3341</v>
      </c>
      <c r="E150" s="64" t="s">
        <v>3199</v>
      </c>
      <c r="F150" s="64" t="s">
        <v>3342</v>
      </c>
      <c r="G150" s="64">
        <v>3</v>
      </c>
      <c r="H150" s="64" t="s">
        <v>3207</v>
      </c>
      <c r="I150" s="64" t="s">
        <v>3208</v>
      </c>
      <c r="J150" s="64">
        <v>4</v>
      </c>
      <c r="K150" s="64">
        <v>5</v>
      </c>
      <c r="L150" s="64">
        <v>5</v>
      </c>
      <c r="M150" s="64" t="s">
        <v>3343</v>
      </c>
      <c r="N150" s="64" t="s">
        <v>3344</v>
      </c>
      <c r="O150" s="64" t="s">
        <v>3345</v>
      </c>
      <c r="P150" s="64" t="s">
        <v>3346</v>
      </c>
      <c r="Q150" s="64" t="s">
        <v>3347</v>
      </c>
      <c r="R150" s="64" t="s">
        <v>3348</v>
      </c>
      <c r="S150" s="64" t="s">
        <v>7099</v>
      </c>
    </row>
    <row r="151" spans="1:19" ht="63.75">
      <c r="A151" s="52" t="s">
        <v>3350</v>
      </c>
      <c r="B151" s="52" t="s">
        <v>72</v>
      </c>
      <c r="C151" s="52" t="s">
        <v>1234</v>
      </c>
      <c r="D151" s="52" t="s">
        <v>3351</v>
      </c>
      <c r="E151" s="52" t="s">
        <v>3199</v>
      </c>
      <c r="F151" s="52" t="s">
        <v>3352</v>
      </c>
      <c r="G151" s="52">
        <v>5</v>
      </c>
      <c r="H151" s="52" t="s">
        <v>3207</v>
      </c>
      <c r="I151" s="52" t="s">
        <v>3208</v>
      </c>
      <c r="J151" s="52">
        <v>4</v>
      </c>
      <c r="K151" s="52">
        <v>5</v>
      </c>
      <c r="L151" s="52">
        <v>5</v>
      </c>
      <c r="M151" s="52" t="s">
        <v>3353</v>
      </c>
      <c r="N151" s="52" t="s">
        <v>3354</v>
      </c>
      <c r="O151" s="52" t="s">
        <v>3355</v>
      </c>
      <c r="P151" s="52" t="s">
        <v>3356</v>
      </c>
      <c r="Q151" s="52" t="s">
        <v>3357</v>
      </c>
      <c r="R151" s="52" t="s">
        <v>3358</v>
      </c>
      <c r="S151" s="52" t="s">
        <v>7106</v>
      </c>
    </row>
    <row r="152" spans="1:19" ht="51">
      <c r="A152" s="64" t="s">
        <v>3360</v>
      </c>
      <c r="B152" s="64" t="s">
        <v>72</v>
      </c>
      <c r="C152" s="64" t="s">
        <v>1234</v>
      </c>
      <c r="D152" s="64" t="s">
        <v>3361</v>
      </c>
      <c r="E152" s="64" t="s">
        <v>3199</v>
      </c>
      <c r="F152" s="64" t="s">
        <v>3362</v>
      </c>
      <c r="G152" s="64">
        <v>3</v>
      </c>
      <c r="H152" s="64" t="s">
        <v>3207</v>
      </c>
      <c r="I152" s="64" t="s">
        <v>3208</v>
      </c>
      <c r="J152" s="64">
        <v>4</v>
      </c>
      <c r="K152" s="64">
        <v>5</v>
      </c>
      <c r="L152" s="64">
        <v>5</v>
      </c>
      <c r="M152" s="64" t="s">
        <v>3363</v>
      </c>
      <c r="N152" s="64" t="s">
        <v>3364</v>
      </c>
      <c r="O152" s="64" t="s">
        <v>3365</v>
      </c>
      <c r="P152" s="64" t="s">
        <v>3366</v>
      </c>
      <c r="Q152" s="64" t="s">
        <v>3367</v>
      </c>
      <c r="R152" s="64" t="s">
        <v>3368</v>
      </c>
      <c r="S152" s="64" t="s">
        <v>7113</v>
      </c>
    </row>
    <row r="153" spans="1:19" ht="63.75">
      <c r="A153" s="52" t="s">
        <v>3370</v>
      </c>
      <c r="B153" s="52" t="s">
        <v>72</v>
      </c>
      <c r="C153" s="52" t="s">
        <v>1234</v>
      </c>
      <c r="D153" s="52" t="s">
        <v>3371</v>
      </c>
      <c r="E153" s="52" t="s">
        <v>3199</v>
      </c>
      <c r="F153" s="52" t="s">
        <v>3372</v>
      </c>
      <c r="G153" s="52">
        <v>3</v>
      </c>
      <c r="H153" s="52" t="s">
        <v>3207</v>
      </c>
      <c r="I153" s="52" t="s">
        <v>3208</v>
      </c>
      <c r="J153" s="52">
        <v>4</v>
      </c>
      <c r="K153" s="52">
        <v>5</v>
      </c>
      <c r="L153" s="52">
        <v>5</v>
      </c>
      <c r="M153" s="52" t="s">
        <v>3373</v>
      </c>
      <c r="N153" s="52" t="s">
        <v>3374</v>
      </c>
      <c r="O153" s="52" t="s">
        <v>3375</v>
      </c>
      <c r="P153" s="52" t="s">
        <v>3376</v>
      </c>
      <c r="Q153" s="52" t="s">
        <v>3377</v>
      </c>
      <c r="R153" s="52" t="s">
        <v>3378</v>
      </c>
      <c r="S153" s="52" t="s">
        <v>7120</v>
      </c>
    </row>
    <row r="154" spans="1:19" ht="63.75">
      <c r="A154" s="64" t="s">
        <v>3380</v>
      </c>
      <c r="B154" s="64" t="s">
        <v>72</v>
      </c>
      <c r="C154" s="64" t="s">
        <v>1242</v>
      </c>
      <c r="D154" s="64" t="s">
        <v>3381</v>
      </c>
      <c r="E154" s="64" t="s">
        <v>3199</v>
      </c>
      <c r="F154" s="64" t="s">
        <v>3382</v>
      </c>
      <c r="G154" s="64">
        <v>4</v>
      </c>
      <c r="H154" s="64" t="s">
        <v>3207</v>
      </c>
      <c r="I154" s="64" t="s">
        <v>3208</v>
      </c>
      <c r="J154" s="64">
        <v>4</v>
      </c>
      <c r="K154" s="64">
        <v>5</v>
      </c>
      <c r="L154" s="64">
        <v>5</v>
      </c>
      <c r="M154" s="64" t="s">
        <v>3383</v>
      </c>
      <c r="N154" s="64" t="s">
        <v>3384</v>
      </c>
      <c r="O154" s="64" t="s">
        <v>3385</v>
      </c>
      <c r="P154" s="64" t="s">
        <v>3386</v>
      </c>
      <c r="Q154" s="64" t="s">
        <v>3387</v>
      </c>
      <c r="R154" s="64" t="s">
        <v>3388</v>
      </c>
      <c r="S154" s="64" t="s">
        <v>7128</v>
      </c>
    </row>
    <row r="155" spans="1:19" ht="51">
      <c r="A155" s="52" t="s">
        <v>3390</v>
      </c>
      <c r="B155" s="52" t="s">
        <v>72</v>
      </c>
      <c r="C155" s="52" t="s">
        <v>1242</v>
      </c>
      <c r="D155" s="52" t="s">
        <v>3391</v>
      </c>
      <c r="E155" s="52" t="s">
        <v>3199</v>
      </c>
      <c r="F155" s="52" t="s">
        <v>3392</v>
      </c>
      <c r="G155" s="52">
        <v>5</v>
      </c>
      <c r="H155" s="52" t="s">
        <v>3207</v>
      </c>
      <c r="I155" s="52" t="s">
        <v>3208</v>
      </c>
      <c r="J155" s="52">
        <v>4</v>
      </c>
      <c r="K155" s="52">
        <v>5</v>
      </c>
      <c r="L155" s="52">
        <v>5</v>
      </c>
      <c r="M155" s="52" t="s">
        <v>3393</v>
      </c>
      <c r="N155" s="52" t="s">
        <v>3394</v>
      </c>
      <c r="O155" s="52" t="s">
        <v>3395</v>
      </c>
      <c r="P155" s="52" t="s">
        <v>3396</v>
      </c>
      <c r="Q155" s="52" t="s">
        <v>3397</v>
      </c>
      <c r="R155" s="52" t="s">
        <v>3398</v>
      </c>
      <c r="S155" s="52" t="s">
        <v>7135</v>
      </c>
    </row>
    <row r="156" spans="1:19" ht="63.75">
      <c r="A156" s="64" t="s">
        <v>3400</v>
      </c>
      <c r="B156" s="64" t="s">
        <v>72</v>
      </c>
      <c r="C156" s="64" t="s">
        <v>1242</v>
      </c>
      <c r="D156" s="64" t="s">
        <v>3401</v>
      </c>
      <c r="E156" s="64" t="s">
        <v>3199</v>
      </c>
      <c r="F156" s="64" t="s">
        <v>3402</v>
      </c>
      <c r="G156" s="64">
        <v>5</v>
      </c>
      <c r="H156" s="64" t="s">
        <v>3207</v>
      </c>
      <c r="I156" s="64" t="s">
        <v>3208</v>
      </c>
      <c r="J156" s="64">
        <v>4</v>
      </c>
      <c r="K156" s="64">
        <v>5</v>
      </c>
      <c r="L156" s="64">
        <v>5</v>
      </c>
      <c r="M156" s="64" t="s">
        <v>3403</v>
      </c>
      <c r="N156" s="64" t="s">
        <v>3404</v>
      </c>
      <c r="O156" s="64" t="s">
        <v>3405</v>
      </c>
      <c r="P156" s="64" t="s">
        <v>3406</v>
      </c>
      <c r="Q156" s="64" t="s">
        <v>3407</v>
      </c>
      <c r="R156" s="64" t="s">
        <v>3408</v>
      </c>
      <c r="S156" s="64" t="s">
        <v>7142</v>
      </c>
    </row>
    <row r="157" spans="1:19" ht="51">
      <c r="A157" s="52" t="s">
        <v>3410</v>
      </c>
      <c r="B157" s="52" t="s">
        <v>72</v>
      </c>
      <c r="C157" s="52" t="s">
        <v>1242</v>
      </c>
      <c r="D157" s="52" t="s">
        <v>3411</v>
      </c>
      <c r="E157" s="52" t="s">
        <v>3199</v>
      </c>
      <c r="F157" s="52" t="s">
        <v>3412</v>
      </c>
      <c r="G157" s="52">
        <v>5</v>
      </c>
      <c r="H157" s="52" t="s">
        <v>3207</v>
      </c>
      <c r="I157" s="52" t="s">
        <v>3208</v>
      </c>
      <c r="J157" s="52">
        <v>4</v>
      </c>
      <c r="K157" s="52">
        <v>5</v>
      </c>
      <c r="L157" s="52">
        <v>5</v>
      </c>
      <c r="M157" s="52" t="s">
        <v>3413</v>
      </c>
      <c r="N157" s="52" t="s">
        <v>3414</v>
      </c>
      <c r="O157" s="52" t="s">
        <v>3415</v>
      </c>
      <c r="P157" s="52" t="s">
        <v>3416</v>
      </c>
      <c r="Q157" s="52" t="s">
        <v>3417</v>
      </c>
      <c r="R157" s="52" t="s">
        <v>3418</v>
      </c>
      <c r="S157" s="52" t="s">
        <v>7149</v>
      </c>
    </row>
    <row r="158" spans="1:19" ht="63.75">
      <c r="A158" s="64" t="s">
        <v>3420</v>
      </c>
      <c r="B158" s="64" t="s">
        <v>72</v>
      </c>
      <c r="C158" s="64" t="s">
        <v>1242</v>
      </c>
      <c r="D158" s="64" t="s">
        <v>3421</v>
      </c>
      <c r="E158" s="64" t="s">
        <v>3199</v>
      </c>
      <c r="F158" s="64" t="s">
        <v>3422</v>
      </c>
      <c r="G158" s="64">
        <v>3</v>
      </c>
      <c r="H158" s="64" t="s">
        <v>3207</v>
      </c>
      <c r="I158" s="64" t="s">
        <v>3208</v>
      </c>
      <c r="J158" s="64">
        <v>4</v>
      </c>
      <c r="K158" s="64">
        <v>5</v>
      </c>
      <c r="L158" s="64">
        <v>5</v>
      </c>
      <c r="M158" s="64" t="s">
        <v>3423</v>
      </c>
      <c r="N158" s="64" t="s">
        <v>3424</v>
      </c>
      <c r="O158" s="64" t="s">
        <v>3425</v>
      </c>
      <c r="P158" s="64" t="s">
        <v>3426</v>
      </c>
      <c r="Q158" s="64" t="s">
        <v>3427</v>
      </c>
      <c r="R158" s="64" t="s">
        <v>3428</v>
      </c>
      <c r="S158" s="64" t="s">
        <v>7156</v>
      </c>
    </row>
    <row r="159" spans="1:19" ht="63.75">
      <c r="A159" s="52" t="s">
        <v>3430</v>
      </c>
      <c r="B159" s="52" t="s">
        <v>72</v>
      </c>
      <c r="C159" s="52" t="s">
        <v>1250</v>
      </c>
      <c r="D159" s="52" t="s">
        <v>3431</v>
      </c>
      <c r="E159" s="52" t="s">
        <v>3199</v>
      </c>
      <c r="F159" s="52" t="s">
        <v>3432</v>
      </c>
      <c r="G159" s="52">
        <v>5</v>
      </c>
      <c r="H159" s="52" t="s">
        <v>3207</v>
      </c>
      <c r="I159" s="52" t="s">
        <v>3208</v>
      </c>
      <c r="J159" s="52">
        <v>5</v>
      </c>
      <c r="K159" s="52">
        <v>5</v>
      </c>
      <c r="L159" s="52">
        <v>5</v>
      </c>
      <c r="M159" s="52" t="s">
        <v>3433</v>
      </c>
      <c r="N159" s="52" t="s">
        <v>3434</v>
      </c>
      <c r="O159" s="52" t="s">
        <v>3435</v>
      </c>
      <c r="P159" s="52" t="s">
        <v>3436</v>
      </c>
      <c r="Q159" s="52" t="s">
        <v>3437</v>
      </c>
      <c r="R159" s="52" t="s">
        <v>3438</v>
      </c>
      <c r="S159" s="52" t="s">
        <v>7164</v>
      </c>
    </row>
    <row r="160" spans="1:19" ht="63.75">
      <c r="A160" s="64" t="s">
        <v>3440</v>
      </c>
      <c r="B160" s="64" t="s">
        <v>72</v>
      </c>
      <c r="C160" s="64" t="s">
        <v>1250</v>
      </c>
      <c r="D160" s="64" t="s">
        <v>3441</v>
      </c>
      <c r="E160" s="64" t="s">
        <v>3199</v>
      </c>
      <c r="F160" s="64" t="s">
        <v>3442</v>
      </c>
      <c r="G160" s="64">
        <v>5</v>
      </c>
      <c r="H160" s="64" t="s">
        <v>3207</v>
      </c>
      <c r="I160" s="64" t="s">
        <v>3208</v>
      </c>
      <c r="J160" s="64">
        <v>4</v>
      </c>
      <c r="K160" s="64">
        <v>5</v>
      </c>
      <c r="L160" s="64">
        <v>5</v>
      </c>
      <c r="M160" s="64" t="s">
        <v>3443</v>
      </c>
      <c r="N160" s="64" t="s">
        <v>3444</v>
      </c>
      <c r="O160" s="64" t="s">
        <v>3445</v>
      </c>
      <c r="P160" s="64" t="s">
        <v>3446</v>
      </c>
      <c r="Q160" s="64" t="s">
        <v>3447</v>
      </c>
      <c r="R160" s="64" t="s">
        <v>3448</v>
      </c>
      <c r="S160" s="64" t="s">
        <v>7171</v>
      </c>
    </row>
    <row r="161" spans="1:19" ht="51">
      <c r="A161" s="52" t="s">
        <v>3450</v>
      </c>
      <c r="B161" s="52" t="s">
        <v>72</v>
      </c>
      <c r="C161" s="52" t="s">
        <v>1250</v>
      </c>
      <c r="D161" s="52" t="s">
        <v>3451</v>
      </c>
      <c r="E161" s="52" t="s">
        <v>3199</v>
      </c>
      <c r="F161" s="52" t="s">
        <v>3452</v>
      </c>
      <c r="G161" s="52">
        <v>5</v>
      </c>
      <c r="H161" s="52" t="s">
        <v>3207</v>
      </c>
      <c r="I161" s="52" t="s">
        <v>3208</v>
      </c>
      <c r="J161" s="52">
        <v>5</v>
      </c>
      <c r="K161" s="52">
        <v>5</v>
      </c>
      <c r="L161" s="52">
        <v>5</v>
      </c>
      <c r="M161" s="52" t="s">
        <v>3453</v>
      </c>
      <c r="N161" s="52" t="s">
        <v>3454</v>
      </c>
      <c r="O161" s="52" t="s">
        <v>3455</v>
      </c>
      <c r="P161" s="52" t="s">
        <v>3456</v>
      </c>
      <c r="Q161" s="52" t="s">
        <v>3457</v>
      </c>
      <c r="R161" s="52" t="s">
        <v>3458</v>
      </c>
      <c r="S161" s="52" t="s">
        <v>7178</v>
      </c>
    </row>
    <row r="162" spans="1:19" ht="51">
      <c r="A162" s="64" t="s">
        <v>3460</v>
      </c>
      <c r="B162" s="64" t="s">
        <v>72</v>
      </c>
      <c r="C162" s="64" t="s">
        <v>1250</v>
      </c>
      <c r="D162" s="64" t="s">
        <v>3461</v>
      </c>
      <c r="E162" s="64" t="s">
        <v>3199</v>
      </c>
      <c r="F162" s="64" t="s">
        <v>3462</v>
      </c>
      <c r="G162" s="64">
        <v>5</v>
      </c>
      <c r="H162" s="64" t="s">
        <v>3207</v>
      </c>
      <c r="I162" s="64" t="s">
        <v>3208</v>
      </c>
      <c r="J162" s="64">
        <v>4</v>
      </c>
      <c r="K162" s="64">
        <v>5</v>
      </c>
      <c r="L162" s="64">
        <v>5</v>
      </c>
      <c r="M162" s="64" t="s">
        <v>3463</v>
      </c>
      <c r="N162" s="64" t="s">
        <v>3464</v>
      </c>
      <c r="O162" s="64" t="s">
        <v>3465</v>
      </c>
      <c r="P162" s="64" t="s">
        <v>3466</v>
      </c>
      <c r="Q162" s="64" t="s">
        <v>3467</v>
      </c>
      <c r="R162" s="64" t="s">
        <v>3468</v>
      </c>
      <c r="S162" s="64" t="s">
        <v>7185</v>
      </c>
    </row>
    <row r="163" spans="1:19" ht="63.75">
      <c r="A163" s="52" t="s">
        <v>3470</v>
      </c>
      <c r="B163" s="52" t="s">
        <v>72</v>
      </c>
      <c r="C163" s="52" t="s">
        <v>1250</v>
      </c>
      <c r="D163" s="52" t="s">
        <v>3471</v>
      </c>
      <c r="E163" s="52" t="s">
        <v>3199</v>
      </c>
      <c r="F163" s="52" t="s">
        <v>3472</v>
      </c>
      <c r="G163" s="52">
        <v>5</v>
      </c>
      <c r="H163" s="52" t="s">
        <v>3207</v>
      </c>
      <c r="I163" s="52" t="s">
        <v>3208</v>
      </c>
      <c r="J163" s="52">
        <v>4</v>
      </c>
      <c r="K163" s="52">
        <v>5</v>
      </c>
      <c r="L163" s="52">
        <v>5</v>
      </c>
      <c r="M163" s="52" t="s">
        <v>3473</v>
      </c>
      <c r="N163" s="52" t="s">
        <v>3474</v>
      </c>
      <c r="O163" s="52" t="s">
        <v>3475</v>
      </c>
      <c r="P163" s="52" t="s">
        <v>3476</v>
      </c>
      <c r="Q163" s="52" t="s">
        <v>3477</v>
      </c>
      <c r="R163" s="52" t="s">
        <v>3478</v>
      </c>
      <c r="S163" s="52" t="s">
        <v>7192</v>
      </c>
    </row>
    <row r="164" spans="1:19" ht="63.75">
      <c r="A164" s="64" t="s">
        <v>3482</v>
      </c>
      <c r="B164" s="64" t="s">
        <v>75</v>
      </c>
      <c r="C164" s="64" t="s">
        <v>1258</v>
      </c>
      <c r="D164" s="64" t="s">
        <v>3483</v>
      </c>
      <c r="E164" s="64" t="s">
        <v>3485</v>
      </c>
      <c r="F164" s="64" t="s">
        <v>3486</v>
      </c>
      <c r="G164" s="64">
        <v>5</v>
      </c>
      <c r="H164" s="64" t="s">
        <v>3493</v>
      </c>
      <c r="I164" s="64" t="s">
        <v>3494</v>
      </c>
      <c r="J164" s="64">
        <v>4</v>
      </c>
      <c r="K164" s="64">
        <v>5</v>
      </c>
      <c r="L164" s="64">
        <v>5</v>
      </c>
      <c r="M164" s="64" t="s">
        <v>3487</v>
      </c>
      <c r="N164" s="64" t="s">
        <v>3488</v>
      </c>
      <c r="O164" s="64" t="s">
        <v>3489</v>
      </c>
      <c r="P164" s="64" t="s">
        <v>3490</v>
      </c>
      <c r="Q164" s="64" t="s">
        <v>3491</v>
      </c>
      <c r="R164" s="64" t="s">
        <v>3492</v>
      </c>
      <c r="S164" s="64" t="s">
        <v>7200</v>
      </c>
    </row>
    <row r="165" spans="1:19" ht="63.75">
      <c r="A165" s="52" t="s">
        <v>3496</v>
      </c>
      <c r="B165" s="52" t="s">
        <v>75</v>
      </c>
      <c r="C165" s="52" t="s">
        <v>1258</v>
      </c>
      <c r="D165" s="52" t="s">
        <v>3497</v>
      </c>
      <c r="E165" s="52" t="s">
        <v>3485</v>
      </c>
      <c r="F165" s="52" t="s">
        <v>3498</v>
      </c>
      <c r="G165" s="52">
        <v>5</v>
      </c>
      <c r="H165" s="52" t="s">
        <v>3493</v>
      </c>
      <c r="I165" s="52" t="s">
        <v>3494</v>
      </c>
      <c r="J165" s="52">
        <v>4</v>
      </c>
      <c r="K165" s="52">
        <v>5</v>
      </c>
      <c r="L165" s="52">
        <v>5</v>
      </c>
      <c r="M165" s="52" t="s">
        <v>3499</v>
      </c>
      <c r="N165" s="52" t="s">
        <v>3500</v>
      </c>
      <c r="O165" s="52" t="s">
        <v>3501</v>
      </c>
      <c r="P165" s="52" t="s">
        <v>3502</v>
      </c>
      <c r="Q165" s="52" t="s">
        <v>3503</v>
      </c>
      <c r="R165" s="52" t="s">
        <v>3504</v>
      </c>
      <c r="S165" s="52" t="s">
        <v>7207</v>
      </c>
    </row>
    <row r="166" spans="1:19" ht="63.75">
      <c r="A166" s="64" t="s">
        <v>3506</v>
      </c>
      <c r="B166" s="64" t="s">
        <v>75</v>
      </c>
      <c r="C166" s="64" t="s">
        <v>1258</v>
      </c>
      <c r="D166" s="64" t="s">
        <v>3507</v>
      </c>
      <c r="E166" s="64" t="s">
        <v>3485</v>
      </c>
      <c r="F166" s="64" t="s">
        <v>3508</v>
      </c>
      <c r="G166" s="64">
        <v>4</v>
      </c>
      <c r="H166" s="64" t="s">
        <v>3493</v>
      </c>
      <c r="I166" s="64" t="s">
        <v>3494</v>
      </c>
      <c r="J166" s="64">
        <v>4</v>
      </c>
      <c r="K166" s="64">
        <v>5</v>
      </c>
      <c r="L166" s="64">
        <v>5</v>
      </c>
      <c r="M166" s="64" t="s">
        <v>3509</v>
      </c>
      <c r="N166" s="64" t="s">
        <v>3510</v>
      </c>
      <c r="O166" s="64" t="s">
        <v>3511</v>
      </c>
      <c r="P166" s="64" t="s">
        <v>3512</v>
      </c>
      <c r="Q166" s="64" t="s">
        <v>3513</v>
      </c>
      <c r="R166" s="64" t="s">
        <v>3514</v>
      </c>
      <c r="S166" s="64" t="s">
        <v>7214</v>
      </c>
    </row>
    <row r="167" spans="1:19" ht="63.75">
      <c r="A167" s="52" t="s">
        <v>3516</v>
      </c>
      <c r="B167" s="52" t="s">
        <v>75</v>
      </c>
      <c r="C167" s="52" t="s">
        <v>1258</v>
      </c>
      <c r="D167" s="52" t="s">
        <v>3517</v>
      </c>
      <c r="E167" s="52" t="s">
        <v>3485</v>
      </c>
      <c r="F167" s="52" t="s">
        <v>3518</v>
      </c>
      <c r="G167" s="52">
        <v>5</v>
      </c>
      <c r="H167" s="52" t="s">
        <v>3493</v>
      </c>
      <c r="I167" s="52" t="s">
        <v>3494</v>
      </c>
      <c r="J167" s="52">
        <v>4</v>
      </c>
      <c r="K167" s="52">
        <v>5</v>
      </c>
      <c r="L167" s="52">
        <v>5</v>
      </c>
      <c r="M167" s="52" t="s">
        <v>3519</v>
      </c>
      <c r="N167" s="52" t="s">
        <v>3520</v>
      </c>
      <c r="O167" s="52" t="s">
        <v>3521</v>
      </c>
      <c r="P167" s="52" t="s">
        <v>3522</v>
      </c>
      <c r="Q167" s="52" t="s">
        <v>3523</v>
      </c>
      <c r="R167" s="52" t="s">
        <v>3524</v>
      </c>
      <c r="S167" s="52" t="s">
        <v>7221</v>
      </c>
    </row>
    <row r="168" spans="1:19" ht="51">
      <c r="A168" s="64" t="s">
        <v>3526</v>
      </c>
      <c r="B168" s="64" t="s">
        <v>75</v>
      </c>
      <c r="C168" s="64" t="s">
        <v>1258</v>
      </c>
      <c r="D168" s="64" t="s">
        <v>3527</v>
      </c>
      <c r="E168" s="64" t="s">
        <v>3485</v>
      </c>
      <c r="F168" s="64" t="s">
        <v>3528</v>
      </c>
      <c r="G168" s="64">
        <v>4</v>
      </c>
      <c r="H168" s="64" t="s">
        <v>3493</v>
      </c>
      <c r="I168" s="64" t="s">
        <v>3494</v>
      </c>
      <c r="J168" s="64">
        <v>4</v>
      </c>
      <c r="K168" s="64">
        <v>5</v>
      </c>
      <c r="L168" s="64">
        <v>5</v>
      </c>
      <c r="M168" s="64" t="s">
        <v>3529</v>
      </c>
      <c r="N168" s="64" t="s">
        <v>3530</v>
      </c>
      <c r="O168" s="64" t="s">
        <v>3531</v>
      </c>
      <c r="P168" s="64" t="s">
        <v>3532</v>
      </c>
      <c r="Q168" s="64" t="s">
        <v>3533</v>
      </c>
      <c r="R168" s="64" t="s">
        <v>3534</v>
      </c>
      <c r="S168" s="64" t="s">
        <v>7228</v>
      </c>
    </row>
    <row r="169" spans="1:19" ht="51">
      <c r="A169" s="52" t="s">
        <v>3536</v>
      </c>
      <c r="B169" s="52" t="s">
        <v>75</v>
      </c>
      <c r="C169" s="52" t="s">
        <v>1258</v>
      </c>
      <c r="D169" s="52" t="s">
        <v>3537</v>
      </c>
      <c r="E169" s="52" t="s">
        <v>3485</v>
      </c>
      <c r="F169" s="52" t="s">
        <v>3538</v>
      </c>
      <c r="G169" s="52">
        <v>5</v>
      </c>
      <c r="H169" s="52" t="s">
        <v>3493</v>
      </c>
      <c r="I169" s="52" t="s">
        <v>3494</v>
      </c>
      <c r="J169" s="52">
        <v>4</v>
      </c>
      <c r="K169" s="52">
        <v>5</v>
      </c>
      <c r="L169" s="52">
        <v>5</v>
      </c>
      <c r="M169" s="52" t="s">
        <v>3539</v>
      </c>
      <c r="N169" s="52" t="s">
        <v>3540</v>
      </c>
      <c r="O169" s="52" t="s">
        <v>3541</v>
      </c>
      <c r="P169" s="52" t="s">
        <v>3542</v>
      </c>
      <c r="Q169" s="52" t="s">
        <v>3543</v>
      </c>
      <c r="R169" s="52" t="s">
        <v>3544</v>
      </c>
      <c r="S169" s="52" t="s">
        <v>7235</v>
      </c>
    </row>
    <row r="170" spans="1:19" ht="63.75">
      <c r="A170" s="64" t="s">
        <v>3546</v>
      </c>
      <c r="B170" s="64" t="s">
        <v>75</v>
      </c>
      <c r="C170" s="64" t="s">
        <v>1272</v>
      </c>
      <c r="D170" s="64" t="s">
        <v>3547</v>
      </c>
      <c r="E170" s="64" t="s">
        <v>3485</v>
      </c>
      <c r="F170" s="64" t="s">
        <v>3548</v>
      </c>
      <c r="G170" s="64">
        <v>5</v>
      </c>
      <c r="H170" s="64" t="s">
        <v>3493</v>
      </c>
      <c r="I170" s="64" t="s">
        <v>3494</v>
      </c>
      <c r="J170" s="64">
        <v>5</v>
      </c>
      <c r="K170" s="64">
        <v>5</v>
      </c>
      <c r="L170" s="64">
        <v>5</v>
      </c>
      <c r="M170" s="64" t="s">
        <v>3549</v>
      </c>
      <c r="N170" s="64" t="s">
        <v>3550</v>
      </c>
      <c r="O170" s="64" t="s">
        <v>3551</v>
      </c>
      <c r="P170" s="64" t="s">
        <v>3552</v>
      </c>
      <c r="Q170" s="64" t="s">
        <v>3553</v>
      </c>
      <c r="R170" s="64" t="s">
        <v>3554</v>
      </c>
      <c r="S170" s="64" t="s">
        <v>7243</v>
      </c>
    </row>
    <row r="171" spans="1:19" ht="63.75">
      <c r="A171" s="52" t="s">
        <v>3556</v>
      </c>
      <c r="B171" s="52" t="s">
        <v>75</v>
      </c>
      <c r="C171" s="52" t="s">
        <v>1272</v>
      </c>
      <c r="D171" s="52" t="s">
        <v>3557</v>
      </c>
      <c r="E171" s="52" t="s">
        <v>3485</v>
      </c>
      <c r="F171" s="52" t="s">
        <v>3558</v>
      </c>
      <c r="G171" s="52">
        <v>5</v>
      </c>
      <c r="H171" s="52" t="s">
        <v>3493</v>
      </c>
      <c r="I171" s="52" t="s">
        <v>3494</v>
      </c>
      <c r="J171" s="52">
        <v>4</v>
      </c>
      <c r="K171" s="52">
        <v>5</v>
      </c>
      <c r="L171" s="52">
        <v>5</v>
      </c>
      <c r="M171" s="52" t="s">
        <v>3559</v>
      </c>
      <c r="N171" s="52" t="s">
        <v>3560</v>
      </c>
      <c r="O171" s="52" t="s">
        <v>3561</v>
      </c>
      <c r="P171" s="52" t="s">
        <v>3562</v>
      </c>
      <c r="Q171" s="52" t="s">
        <v>3563</v>
      </c>
      <c r="R171" s="52" t="s">
        <v>3564</v>
      </c>
      <c r="S171" s="52" t="s">
        <v>7250</v>
      </c>
    </row>
    <row r="172" spans="1:19" ht="51">
      <c r="A172" s="64" t="s">
        <v>3566</v>
      </c>
      <c r="B172" s="64" t="s">
        <v>75</v>
      </c>
      <c r="C172" s="64" t="s">
        <v>1272</v>
      </c>
      <c r="D172" s="64" t="s">
        <v>3567</v>
      </c>
      <c r="E172" s="64" t="s">
        <v>3485</v>
      </c>
      <c r="F172" s="64" t="s">
        <v>3568</v>
      </c>
      <c r="G172" s="64">
        <v>3</v>
      </c>
      <c r="H172" s="64" t="s">
        <v>3493</v>
      </c>
      <c r="I172" s="64" t="s">
        <v>3494</v>
      </c>
      <c r="J172" s="64">
        <v>4</v>
      </c>
      <c r="K172" s="64">
        <v>5</v>
      </c>
      <c r="L172" s="64">
        <v>5</v>
      </c>
      <c r="M172" s="64" t="s">
        <v>3569</v>
      </c>
      <c r="N172" s="64" t="s">
        <v>3570</v>
      </c>
      <c r="O172" s="64" t="s">
        <v>3571</v>
      </c>
      <c r="P172" s="64" t="s">
        <v>3572</v>
      </c>
      <c r="Q172" s="64" t="s">
        <v>3573</v>
      </c>
      <c r="R172" s="64" t="s">
        <v>3574</v>
      </c>
      <c r="S172" s="64" t="s">
        <v>7257</v>
      </c>
    </row>
    <row r="173" spans="1:19" ht="51">
      <c r="A173" s="52" t="s">
        <v>3576</v>
      </c>
      <c r="B173" s="52" t="s">
        <v>75</v>
      </c>
      <c r="C173" s="52" t="s">
        <v>1272</v>
      </c>
      <c r="D173" s="52" t="s">
        <v>3577</v>
      </c>
      <c r="E173" s="52" t="s">
        <v>3485</v>
      </c>
      <c r="F173" s="52" t="s">
        <v>3578</v>
      </c>
      <c r="G173" s="52">
        <v>5</v>
      </c>
      <c r="H173" s="52" t="s">
        <v>3493</v>
      </c>
      <c r="I173" s="52" t="s">
        <v>3494</v>
      </c>
      <c r="J173" s="52">
        <v>4</v>
      </c>
      <c r="K173" s="52">
        <v>5</v>
      </c>
      <c r="L173" s="52">
        <v>5</v>
      </c>
      <c r="M173" s="52" t="s">
        <v>3579</v>
      </c>
      <c r="N173" s="52" t="s">
        <v>3580</v>
      </c>
      <c r="O173" s="52" t="s">
        <v>3581</v>
      </c>
      <c r="P173" s="52" t="s">
        <v>3582</v>
      </c>
      <c r="Q173" s="52" t="s">
        <v>3583</v>
      </c>
      <c r="R173" s="52" t="s">
        <v>3584</v>
      </c>
      <c r="S173" s="52" t="s">
        <v>7264</v>
      </c>
    </row>
    <row r="174" spans="1:19" ht="63.75">
      <c r="A174" s="64" t="s">
        <v>3586</v>
      </c>
      <c r="B174" s="64" t="s">
        <v>75</v>
      </c>
      <c r="C174" s="64" t="s">
        <v>1272</v>
      </c>
      <c r="D174" s="64" t="s">
        <v>3587</v>
      </c>
      <c r="E174" s="64" t="s">
        <v>3485</v>
      </c>
      <c r="F174" s="64" t="s">
        <v>3588</v>
      </c>
      <c r="G174" s="64">
        <v>5</v>
      </c>
      <c r="H174" s="64" t="s">
        <v>3493</v>
      </c>
      <c r="I174" s="64" t="s">
        <v>3494</v>
      </c>
      <c r="J174" s="64">
        <v>4</v>
      </c>
      <c r="K174" s="64">
        <v>5</v>
      </c>
      <c r="L174" s="64">
        <v>5</v>
      </c>
      <c r="M174" s="64" t="s">
        <v>3589</v>
      </c>
      <c r="N174" s="64" t="s">
        <v>3590</v>
      </c>
      <c r="O174" s="64" t="s">
        <v>3591</v>
      </c>
      <c r="P174" s="64" t="s">
        <v>3592</v>
      </c>
      <c r="Q174" s="64" t="s">
        <v>3593</v>
      </c>
      <c r="R174" s="64" t="s">
        <v>3594</v>
      </c>
      <c r="S174" s="64" t="s">
        <v>7271</v>
      </c>
    </row>
    <row r="175" spans="1:19" ht="63.75">
      <c r="A175" s="52" t="s">
        <v>3596</v>
      </c>
      <c r="B175" s="52" t="s">
        <v>75</v>
      </c>
      <c r="C175" s="52" t="s">
        <v>1272</v>
      </c>
      <c r="D175" s="52" t="s">
        <v>3597</v>
      </c>
      <c r="E175" s="52" t="s">
        <v>3485</v>
      </c>
      <c r="F175" s="52" t="s">
        <v>3598</v>
      </c>
      <c r="G175" s="52">
        <v>5</v>
      </c>
      <c r="H175" s="52" t="s">
        <v>3493</v>
      </c>
      <c r="I175" s="52" t="s">
        <v>3494</v>
      </c>
      <c r="J175" s="52">
        <v>4</v>
      </c>
      <c r="K175" s="52">
        <v>5</v>
      </c>
      <c r="L175" s="52">
        <v>5</v>
      </c>
      <c r="M175" s="52" t="s">
        <v>3599</v>
      </c>
      <c r="N175" s="52" t="s">
        <v>3600</v>
      </c>
      <c r="O175" s="52" t="s">
        <v>3601</v>
      </c>
      <c r="P175" s="52" t="s">
        <v>3602</v>
      </c>
      <c r="Q175" s="52" t="s">
        <v>3603</v>
      </c>
      <c r="R175" s="52" t="s">
        <v>3604</v>
      </c>
      <c r="S175" s="52" t="s">
        <v>7278</v>
      </c>
    </row>
    <row r="176" spans="1:19" ht="51">
      <c r="A176" s="64" t="s">
        <v>3606</v>
      </c>
      <c r="B176" s="64" t="s">
        <v>75</v>
      </c>
      <c r="C176" s="64" t="s">
        <v>1280</v>
      </c>
      <c r="D176" s="64" t="s">
        <v>3607</v>
      </c>
      <c r="E176" s="64" t="s">
        <v>3485</v>
      </c>
      <c r="F176" s="64" t="s">
        <v>3608</v>
      </c>
      <c r="G176" s="64">
        <v>5</v>
      </c>
      <c r="H176" s="64" t="s">
        <v>3493</v>
      </c>
      <c r="I176" s="64" t="s">
        <v>3494</v>
      </c>
      <c r="J176" s="64">
        <v>4</v>
      </c>
      <c r="K176" s="64">
        <v>5</v>
      </c>
      <c r="L176" s="64">
        <v>5</v>
      </c>
      <c r="M176" s="64" t="s">
        <v>3609</v>
      </c>
      <c r="N176" s="64" t="s">
        <v>3610</v>
      </c>
      <c r="O176" s="64" t="s">
        <v>3611</v>
      </c>
      <c r="P176" s="64" t="s">
        <v>3612</v>
      </c>
      <c r="Q176" s="64" t="s">
        <v>3613</v>
      </c>
      <c r="R176" s="64" t="s">
        <v>3614</v>
      </c>
      <c r="S176" s="64" t="s">
        <v>7286</v>
      </c>
    </row>
    <row r="177" spans="1:19" ht="51">
      <c r="A177" s="52" t="s">
        <v>3616</v>
      </c>
      <c r="B177" s="52" t="s">
        <v>75</v>
      </c>
      <c r="C177" s="52" t="s">
        <v>1280</v>
      </c>
      <c r="D177" s="52" t="s">
        <v>3617</v>
      </c>
      <c r="E177" s="52" t="s">
        <v>3485</v>
      </c>
      <c r="F177" s="52" t="s">
        <v>3618</v>
      </c>
      <c r="G177" s="52">
        <v>4</v>
      </c>
      <c r="H177" s="52" t="s">
        <v>3493</v>
      </c>
      <c r="I177" s="52" t="s">
        <v>3494</v>
      </c>
      <c r="J177" s="52">
        <v>4</v>
      </c>
      <c r="K177" s="52">
        <v>5</v>
      </c>
      <c r="L177" s="52">
        <v>5</v>
      </c>
      <c r="M177" s="52" t="s">
        <v>3619</v>
      </c>
      <c r="N177" s="52" t="s">
        <v>3620</v>
      </c>
      <c r="O177" s="52" t="s">
        <v>3621</v>
      </c>
      <c r="P177" s="52" t="s">
        <v>3622</v>
      </c>
      <c r="Q177" s="52" t="s">
        <v>3623</v>
      </c>
      <c r="R177" s="52" t="s">
        <v>3624</v>
      </c>
      <c r="S177" s="52" t="s">
        <v>7293</v>
      </c>
    </row>
    <row r="178" spans="1:19" ht="51">
      <c r="A178" s="64" t="s">
        <v>3626</v>
      </c>
      <c r="B178" s="64" t="s">
        <v>75</v>
      </c>
      <c r="C178" s="64" t="s">
        <v>1280</v>
      </c>
      <c r="D178" s="64" t="s">
        <v>3627</v>
      </c>
      <c r="E178" s="64" t="s">
        <v>3485</v>
      </c>
      <c r="F178" s="64" t="s">
        <v>3628</v>
      </c>
      <c r="G178" s="64">
        <v>5</v>
      </c>
      <c r="H178" s="64" t="s">
        <v>3493</v>
      </c>
      <c r="I178" s="64" t="s">
        <v>3494</v>
      </c>
      <c r="J178" s="64">
        <v>4</v>
      </c>
      <c r="K178" s="64">
        <v>5</v>
      </c>
      <c r="L178" s="64">
        <v>5</v>
      </c>
      <c r="M178" s="64" t="s">
        <v>3629</v>
      </c>
      <c r="N178" s="64" t="s">
        <v>3630</v>
      </c>
      <c r="O178" s="64" t="s">
        <v>3631</v>
      </c>
      <c r="P178" s="64" t="s">
        <v>3632</v>
      </c>
      <c r="Q178" s="64" t="s">
        <v>3633</v>
      </c>
      <c r="R178" s="64" t="s">
        <v>3634</v>
      </c>
      <c r="S178" s="64" t="s">
        <v>7300</v>
      </c>
    </row>
    <row r="179" spans="1:19" ht="63.75">
      <c r="A179" s="52" t="s">
        <v>3636</v>
      </c>
      <c r="B179" s="52" t="s">
        <v>75</v>
      </c>
      <c r="C179" s="52" t="s">
        <v>1280</v>
      </c>
      <c r="D179" s="52" t="s">
        <v>3637</v>
      </c>
      <c r="E179" s="52" t="s">
        <v>3485</v>
      </c>
      <c r="F179" s="52" t="s">
        <v>3638</v>
      </c>
      <c r="G179" s="52">
        <v>4</v>
      </c>
      <c r="H179" s="52" t="s">
        <v>3493</v>
      </c>
      <c r="I179" s="52" t="s">
        <v>3494</v>
      </c>
      <c r="J179" s="52">
        <v>4</v>
      </c>
      <c r="K179" s="52">
        <v>5</v>
      </c>
      <c r="L179" s="52">
        <v>5</v>
      </c>
      <c r="M179" s="52" t="s">
        <v>3639</v>
      </c>
      <c r="N179" s="52" t="s">
        <v>3640</v>
      </c>
      <c r="O179" s="52" t="s">
        <v>3641</v>
      </c>
      <c r="P179" s="52" t="s">
        <v>3642</v>
      </c>
      <c r="Q179" s="52" t="s">
        <v>3643</v>
      </c>
      <c r="R179" s="52" t="s">
        <v>3644</v>
      </c>
      <c r="S179" s="52" t="s">
        <v>7307</v>
      </c>
    </row>
    <row r="180" spans="1:19" ht="51">
      <c r="A180" s="64" t="s">
        <v>3646</v>
      </c>
      <c r="B180" s="64" t="s">
        <v>75</v>
      </c>
      <c r="C180" s="64" t="s">
        <v>1280</v>
      </c>
      <c r="D180" s="64" t="s">
        <v>3647</v>
      </c>
      <c r="E180" s="64" t="s">
        <v>3485</v>
      </c>
      <c r="F180" s="64" t="s">
        <v>3648</v>
      </c>
      <c r="G180" s="64">
        <v>3</v>
      </c>
      <c r="H180" s="64" t="s">
        <v>3493</v>
      </c>
      <c r="I180" s="64" t="s">
        <v>3494</v>
      </c>
      <c r="J180" s="64">
        <v>4</v>
      </c>
      <c r="K180" s="64">
        <v>5</v>
      </c>
      <c r="L180" s="64">
        <v>5</v>
      </c>
      <c r="M180" s="64" t="s">
        <v>3649</v>
      </c>
      <c r="N180" s="64" t="s">
        <v>3650</v>
      </c>
      <c r="O180" s="64" t="s">
        <v>3651</v>
      </c>
      <c r="P180" s="64" t="s">
        <v>3652</v>
      </c>
      <c r="Q180" s="64" t="s">
        <v>3653</v>
      </c>
      <c r="R180" s="64" t="s">
        <v>3654</v>
      </c>
      <c r="S180" s="64" t="s">
        <v>7314</v>
      </c>
    </row>
    <row r="181" spans="1:19" ht="51">
      <c r="A181" s="52" t="s">
        <v>3656</v>
      </c>
      <c r="B181" s="52" t="s">
        <v>75</v>
      </c>
      <c r="C181" s="52" t="s">
        <v>1280</v>
      </c>
      <c r="D181" s="52" t="s">
        <v>3657</v>
      </c>
      <c r="E181" s="52" t="s">
        <v>3485</v>
      </c>
      <c r="F181" s="52" t="s">
        <v>3658</v>
      </c>
      <c r="G181" s="52">
        <v>3</v>
      </c>
      <c r="H181" s="52" t="s">
        <v>3493</v>
      </c>
      <c r="I181" s="52" t="s">
        <v>3494</v>
      </c>
      <c r="J181" s="52">
        <v>4</v>
      </c>
      <c r="K181" s="52">
        <v>5</v>
      </c>
      <c r="L181" s="52">
        <v>5</v>
      </c>
      <c r="M181" s="52" t="s">
        <v>3659</v>
      </c>
      <c r="N181" s="52" t="s">
        <v>3660</v>
      </c>
      <c r="O181" s="52" t="s">
        <v>3661</v>
      </c>
      <c r="P181" s="52" t="s">
        <v>3662</v>
      </c>
      <c r="Q181" s="52" t="s">
        <v>3663</v>
      </c>
      <c r="R181" s="52" t="s">
        <v>3664</v>
      </c>
      <c r="S181" s="52" t="s">
        <v>7321</v>
      </c>
    </row>
    <row r="182" spans="1:19" ht="63.75">
      <c r="A182" s="64" t="s">
        <v>3666</v>
      </c>
      <c r="B182" s="64" t="s">
        <v>75</v>
      </c>
      <c r="C182" s="64" t="s">
        <v>1288</v>
      </c>
      <c r="D182" s="64" t="s">
        <v>3667</v>
      </c>
      <c r="E182" s="64" t="s">
        <v>3485</v>
      </c>
      <c r="F182" s="64" t="s">
        <v>3668</v>
      </c>
      <c r="G182" s="64">
        <v>5</v>
      </c>
      <c r="H182" s="64" t="s">
        <v>3493</v>
      </c>
      <c r="I182" s="64" t="s">
        <v>3494</v>
      </c>
      <c r="J182" s="64">
        <v>4</v>
      </c>
      <c r="K182" s="64">
        <v>5</v>
      </c>
      <c r="L182" s="64">
        <v>5</v>
      </c>
      <c r="M182" s="64" t="s">
        <v>3669</v>
      </c>
      <c r="N182" s="64" t="s">
        <v>3670</v>
      </c>
      <c r="O182" s="64" t="s">
        <v>3671</v>
      </c>
      <c r="P182" s="64" t="s">
        <v>3672</v>
      </c>
      <c r="Q182" s="64" t="s">
        <v>3673</v>
      </c>
      <c r="R182" s="64" t="s">
        <v>3674</v>
      </c>
      <c r="S182" s="64" t="s">
        <v>7329</v>
      </c>
    </row>
    <row r="183" spans="1:19" ht="63.75">
      <c r="A183" s="52" t="s">
        <v>3676</v>
      </c>
      <c r="B183" s="52" t="s">
        <v>75</v>
      </c>
      <c r="C183" s="52" t="s">
        <v>1288</v>
      </c>
      <c r="D183" s="52" t="s">
        <v>3677</v>
      </c>
      <c r="E183" s="52" t="s">
        <v>3485</v>
      </c>
      <c r="F183" s="52" t="s">
        <v>3678</v>
      </c>
      <c r="G183" s="52">
        <v>5</v>
      </c>
      <c r="H183" s="52" t="s">
        <v>3493</v>
      </c>
      <c r="I183" s="52" t="s">
        <v>3494</v>
      </c>
      <c r="J183" s="52">
        <v>4</v>
      </c>
      <c r="K183" s="52">
        <v>5</v>
      </c>
      <c r="L183" s="52">
        <v>5</v>
      </c>
      <c r="M183" s="52" t="s">
        <v>3679</v>
      </c>
      <c r="N183" s="52" t="s">
        <v>3680</v>
      </c>
      <c r="O183" s="52" t="s">
        <v>3681</v>
      </c>
      <c r="P183" s="52" t="s">
        <v>3682</v>
      </c>
      <c r="Q183" s="52" t="s">
        <v>3683</v>
      </c>
      <c r="R183" s="52" t="s">
        <v>3684</v>
      </c>
      <c r="S183" s="52" t="s">
        <v>7336</v>
      </c>
    </row>
    <row r="184" spans="1:19" ht="63.75">
      <c r="A184" s="64" t="s">
        <v>3686</v>
      </c>
      <c r="B184" s="64" t="s">
        <v>75</v>
      </c>
      <c r="C184" s="64" t="s">
        <v>1288</v>
      </c>
      <c r="D184" s="64" t="s">
        <v>3687</v>
      </c>
      <c r="E184" s="64" t="s">
        <v>3485</v>
      </c>
      <c r="F184" s="64" t="s">
        <v>3688</v>
      </c>
      <c r="G184" s="64">
        <v>4</v>
      </c>
      <c r="H184" s="64" t="s">
        <v>3493</v>
      </c>
      <c r="I184" s="64" t="s">
        <v>3494</v>
      </c>
      <c r="J184" s="64">
        <v>4</v>
      </c>
      <c r="K184" s="64">
        <v>5</v>
      </c>
      <c r="L184" s="64">
        <v>5</v>
      </c>
      <c r="M184" s="64" t="s">
        <v>3689</v>
      </c>
      <c r="N184" s="64" t="s">
        <v>3690</v>
      </c>
      <c r="O184" s="64" t="s">
        <v>3691</v>
      </c>
      <c r="P184" s="64" t="s">
        <v>3692</v>
      </c>
      <c r="Q184" s="64" t="s">
        <v>3693</v>
      </c>
      <c r="R184" s="64" t="s">
        <v>3694</v>
      </c>
      <c r="S184" s="64" t="s">
        <v>7343</v>
      </c>
    </row>
    <row r="185" spans="1:19" ht="51">
      <c r="A185" s="52" t="s">
        <v>3696</v>
      </c>
      <c r="B185" s="52" t="s">
        <v>75</v>
      </c>
      <c r="C185" s="52" t="s">
        <v>1288</v>
      </c>
      <c r="D185" s="52" t="s">
        <v>3697</v>
      </c>
      <c r="E185" s="52" t="s">
        <v>3485</v>
      </c>
      <c r="F185" s="52" t="s">
        <v>3698</v>
      </c>
      <c r="G185" s="52">
        <v>5</v>
      </c>
      <c r="H185" s="52" t="s">
        <v>3493</v>
      </c>
      <c r="I185" s="52" t="s">
        <v>3494</v>
      </c>
      <c r="J185" s="52">
        <v>4</v>
      </c>
      <c r="K185" s="52">
        <v>5</v>
      </c>
      <c r="L185" s="52">
        <v>5</v>
      </c>
      <c r="M185" s="52" t="s">
        <v>3699</v>
      </c>
      <c r="N185" s="52" t="s">
        <v>3700</v>
      </c>
      <c r="O185" s="52" t="s">
        <v>3701</v>
      </c>
      <c r="P185" s="52" t="s">
        <v>3702</v>
      </c>
      <c r="Q185" s="52" t="s">
        <v>3703</v>
      </c>
      <c r="R185" s="52" t="s">
        <v>3704</v>
      </c>
      <c r="S185" s="52" t="s">
        <v>7350</v>
      </c>
    </row>
    <row r="186" spans="1:19" ht="51">
      <c r="A186" s="64" t="s">
        <v>3706</v>
      </c>
      <c r="B186" s="64" t="s">
        <v>75</v>
      </c>
      <c r="C186" s="64" t="s">
        <v>1288</v>
      </c>
      <c r="D186" s="64" t="s">
        <v>3707</v>
      </c>
      <c r="E186" s="64" t="s">
        <v>3485</v>
      </c>
      <c r="F186" s="64" t="s">
        <v>3708</v>
      </c>
      <c r="G186" s="64">
        <v>5</v>
      </c>
      <c r="H186" s="64" t="s">
        <v>3493</v>
      </c>
      <c r="I186" s="64" t="s">
        <v>3494</v>
      </c>
      <c r="J186" s="64">
        <v>4</v>
      </c>
      <c r="K186" s="64">
        <v>5</v>
      </c>
      <c r="L186" s="64">
        <v>5</v>
      </c>
      <c r="M186" s="64" t="s">
        <v>3709</v>
      </c>
      <c r="N186" s="64" t="s">
        <v>3710</v>
      </c>
      <c r="O186" s="64" t="s">
        <v>3711</v>
      </c>
      <c r="P186" s="64" t="s">
        <v>3712</v>
      </c>
      <c r="Q186" s="64" t="s">
        <v>3713</v>
      </c>
      <c r="R186" s="64" t="s">
        <v>3714</v>
      </c>
      <c r="S186" s="64" t="s">
        <v>7357</v>
      </c>
    </row>
    <row r="187" spans="1:19" ht="63.75">
      <c r="A187" s="52" t="s">
        <v>3716</v>
      </c>
      <c r="B187" s="52" t="s">
        <v>75</v>
      </c>
      <c r="C187" s="52" t="s">
        <v>1288</v>
      </c>
      <c r="D187" s="52" t="s">
        <v>3717</v>
      </c>
      <c r="E187" s="52" t="s">
        <v>3485</v>
      </c>
      <c r="F187" s="52" t="s">
        <v>3718</v>
      </c>
      <c r="G187" s="52">
        <v>5</v>
      </c>
      <c r="H187" s="52" t="s">
        <v>3493</v>
      </c>
      <c r="I187" s="52" t="s">
        <v>3494</v>
      </c>
      <c r="J187" s="52">
        <v>4</v>
      </c>
      <c r="K187" s="52">
        <v>5</v>
      </c>
      <c r="L187" s="52">
        <v>5</v>
      </c>
      <c r="M187" s="52" t="s">
        <v>3719</v>
      </c>
      <c r="N187" s="52" t="s">
        <v>3720</v>
      </c>
      <c r="O187" s="52" t="s">
        <v>3721</v>
      </c>
      <c r="P187" s="52" t="s">
        <v>3722</v>
      </c>
      <c r="Q187" s="52" t="s">
        <v>3723</v>
      </c>
      <c r="R187" s="52" t="s">
        <v>3724</v>
      </c>
      <c r="S187" s="52" t="s">
        <v>7364</v>
      </c>
    </row>
    <row r="188" spans="1:19" ht="63.75">
      <c r="A188" s="64" t="s">
        <v>3728</v>
      </c>
      <c r="B188" s="64" t="s">
        <v>78</v>
      </c>
      <c r="C188" s="64" t="s">
        <v>1296</v>
      </c>
      <c r="D188" s="64" t="s">
        <v>3729</v>
      </c>
      <c r="E188" s="64" t="s">
        <v>3731</v>
      </c>
      <c r="F188" s="64" t="s">
        <v>3732</v>
      </c>
      <c r="G188" s="64">
        <v>5</v>
      </c>
      <c r="H188" s="64" t="s">
        <v>3739</v>
      </c>
      <c r="I188" s="64" t="s">
        <v>3740</v>
      </c>
      <c r="J188" s="64">
        <v>4</v>
      </c>
      <c r="K188" s="64">
        <v>5</v>
      </c>
      <c r="L188" s="64">
        <v>5</v>
      </c>
      <c r="M188" s="64" t="s">
        <v>3733</v>
      </c>
      <c r="N188" s="64" t="s">
        <v>3734</v>
      </c>
      <c r="O188" s="64" t="s">
        <v>3735</v>
      </c>
      <c r="P188" s="64" t="s">
        <v>3736</v>
      </c>
      <c r="Q188" s="64" t="s">
        <v>3737</v>
      </c>
      <c r="R188" s="64" t="s">
        <v>3738</v>
      </c>
      <c r="S188" s="64" t="s">
        <v>7372</v>
      </c>
    </row>
    <row r="189" spans="1:19" ht="63.75">
      <c r="A189" s="52" t="s">
        <v>3742</v>
      </c>
      <c r="B189" s="52" t="s">
        <v>78</v>
      </c>
      <c r="C189" s="52" t="s">
        <v>1296</v>
      </c>
      <c r="D189" s="52" t="s">
        <v>3743</v>
      </c>
      <c r="E189" s="52" t="s">
        <v>3731</v>
      </c>
      <c r="F189" s="52" t="s">
        <v>3744</v>
      </c>
      <c r="G189" s="52">
        <v>5</v>
      </c>
      <c r="H189" s="52" t="s">
        <v>3739</v>
      </c>
      <c r="I189" s="52" t="s">
        <v>3740</v>
      </c>
      <c r="J189" s="52">
        <v>4</v>
      </c>
      <c r="K189" s="52">
        <v>5</v>
      </c>
      <c r="L189" s="52">
        <v>5</v>
      </c>
      <c r="M189" s="52" t="s">
        <v>3745</v>
      </c>
      <c r="N189" s="52" t="s">
        <v>3746</v>
      </c>
      <c r="O189" s="52" t="s">
        <v>3747</v>
      </c>
      <c r="P189" s="52" t="s">
        <v>3748</v>
      </c>
      <c r="Q189" s="52" t="s">
        <v>3749</v>
      </c>
      <c r="R189" s="52" t="s">
        <v>3750</v>
      </c>
      <c r="S189" s="52" t="s">
        <v>7379</v>
      </c>
    </row>
    <row r="190" spans="1:19" ht="63.75">
      <c r="A190" s="64" t="s">
        <v>3752</v>
      </c>
      <c r="B190" s="64" t="s">
        <v>78</v>
      </c>
      <c r="C190" s="64" t="s">
        <v>1296</v>
      </c>
      <c r="D190" s="64" t="s">
        <v>3753</v>
      </c>
      <c r="E190" s="64" t="s">
        <v>3731</v>
      </c>
      <c r="F190" s="64" t="s">
        <v>3754</v>
      </c>
      <c r="G190" s="64">
        <v>5</v>
      </c>
      <c r="H190" s="64" t="s">
        <v>3739</v>
      </c>
      <c r="I190" s="64" t="s">
        <v>3740</v>
      </c>
      <c r="J190" s="64">
        <v>4</v>
      </c>
      <c r="K190" s="64">
        <v>5</v>
      </c>
      <c r="L190" s="64">
        <v>5</v>
      </c>
      <c r="M190" s="64" t="s">
        <v>3755</v>
      </c>
      <c r="N190" s="64" t="s">
        <v>3756</v>
      </c>
      <c r="O190" s="64" t="s">
        <v>3757</v>
      </c>
      <c r="P190" s="64" t="s">
        <v>3758</v>
      </c>
      <c r="Q190" s="64" t="s">
        <v>3759</v>
      </c>
      <c r="R190" s="64" t="s">
        <v>3760</v>
      </c>
      <c r="S190" s="64" t="s">
        <v>7386</v>
      </c>
    </row>
    <row r="191" spans="1:19" ht="63.75">
      <c r="A191" s="52" t="s">
        <v>3762</v>
      </c>
      <c r="B191" s="52" t="s">
        <v>78</v>
      </c>
      <c r="C191" s="52" t="s">
        <v>1296</v>
      </c>
      <c r="D191" s="52" t="s">
        <v>3763</v>
      </c>
      <c r="E191" s="52" t="s">
        <v>3731</v>
      </c>
      <c r="F191" s="52" t="s">
        <v>3764</v>
      </c>
      <c r="G191" s="52">
        <v>5</v>
      </c>
      <c r="H191" s="52" t="s">
        <v>3739</v>
      </c>
      <c r="I191" s="52" t="s">
        <v>3740</v>
      </c>
      <c r="J191" s="52">
        <v>4</v>
      </c>
      <c r="K191" s="52">
        <v>5</v>
      </c>
      <c r="L191" s="52">
        <v>5</v>
      </c>
      <c r="M191" s="52" t="s">
        <v>3765</v>
      </c>
      <c r="N191" s="52" t="s">
        <v>3766</v>
      </c>
      <c r="O191" s="52" t="s">
        <v>3767</v>
      </c>
      <c r="P191" s="52" t="s">
        <v>3768</v>
      </c>
      <c r="Q191" s="52" t="s">
        <v>3769</v>
      </c>
      <c r="R191" s="52" t="s">
        <v>3770</v>
      </c>
      <c r="S191" s="52" t="s">
        <v>7393</v>
      </c>
    </row>
    <row r="192" spans="1:19" ht="63.75">
      <c r="A192" s="64" t="s">
        <v>3772</v>
      </c>
      <c r="B192" s="64" t="s">
        <v>78</v>
      </c>
      <c r="C192" s="64" t="s">
        <v>1296</v>
      </c>
      <c r="D192" s="64" t="s">
        <v>3773</v>
      </c>
      <c r="E192" s="64" t="s">
        <v>3731</v>
      </c>
      <c r="F192" s="64" t="s">
        <v>3774</v>
      </c>
      <c r="G192" s="64">
        <v>5</v>
      </c>
      <c r="H192" s="64" t="s">
        <v>3739</v>
      </c>
      <c r="I192" s="64" t="s">
        <v>3740</v>
      </c>
      <c r="J192" s="64">
        <v>4</v>
      </c>
      <c r="K192" s="64">
        <v>5</v>
      </c>
      <c r="L192" s="64">
        <v>5</v>
      </c>
      <c r="M192" s="64" t="s">
        <v>3775</v>
      </c>
      <c r="N192" s="64" t="s">
        <v>3776</v>
      </c>
      <c r="O192" s="64" t="s">
        <v>3777</v>
      </c>
      <c r="P192" s="64" t="s">
        <v>3778</v>
      </c>
      <c r="Q192" s="64" t="s">
        <v>3779</v>
      </c>
      <c r="R192" s="64" t="s">
        <v>3780</v>
      </c>
      <c r="S192" s="64" t="s">
        <v>7400</v>
      </c>
    </row>
    <row r="193" spans="1:19" ht="51">
      <c r="A193" s="52" t="s">
        <v>3782</v>
      </c>
      <c r="B193" s="52" t="s">
        <v>78</v>
      </c>
      <c r="C193" s="52" t="s">
        <v>1296</v>
      </c>
      <c r="D193" s="52" t="s">
        <v>3783</v>
      </c>
      <c r="E193" s="52" t="s">
        <v>3731</v>
      </c>
      <c r="F193" s="52" t="s">
        <v>3784</v>
      </c>
      <c r="G193" s="52">
        <v>5</v>
      </c>
      <c r="H193" s="52" t="s">
        <v>3739</v>
      </c>
      <c r="I193" s="52" t="s">
        <v>3740</v>
      </c>
      <c r="J193" s="52">
        <v>4</v>
      </c>
      <c r="K193" s="52">
        <v>5</v>
      </c>
      <c r="L193" s="52">
        <v>5</v>
      </c>
      <c r="M193" s="52" t="s">
        <v>3785</v>
      </c>
      <c r="N193" s="52" t="s">
        <v>3786</v>
      </c>
      <c r="O193" s="52" t="s">
        <v>3787</v>
      </c>
      <c r="P193" s="52" t="s">
        <v>3788</v>
      </c>
      <c r="Q193" s="52" t="s">
        <v>3789</v>
      </c>
      <c r="R193" s="52" t="s">
        <v>3790</v>
      </c>
      <c r="S193" s="52" t="s">
        <v>7407</v>
      </c>
    </row>
    <row r="194" spans="1:19" ht="63.75">
      <c r="A194" s="64" t="s">
        <v>3792</v>
      </c>
      <c r="B194" s="64" t="s">
        <v>78</v>
      </c>
      <c r="C194" s="64" t="s">
        <v>1307</v>
      </c>
      <c r="D194" s="64" t="s">
        <v>3793</v>
      </c>
      <c r="E194" s="64" t="s">
        <v>3731</v>
      </c>
      <c r="F194" s="64" t="s">
        <v>3794</v>
      </c>
      <c r="G194" s="64">
        <v>5</v>
      </c>
      <c r="H194" s="64" t="s">
        <v>3739</v>
      </c>
      <c r="I194" s="64" t="s">
        <v>3740</v>
      </c>
      <c r="J194" s="64">
        <v>4</v>
      </c>
      <c r="K194" s="64">
        <v>5</v>
      </c>
      <c r="L194" s="64">
        <v>5</v>
      </c>
      <c r="M194" s="64" t="s">
        <v>3795</v>
      </c>
      <c r="N194" s="64" t="s">
        <v>3796</v>
      </c>
      <c r="O194" s="64" t="s">
        <v>3797</v>
      </c>
      <c r="P194" s="64" t="s">
        <v>3798</v>
      </c>
      <c r="Q194" s="64" t="s">
        <v>3799</v>
      </c>
      <c r="R194" s="64" t="s">
        <v>3800</v>
      </c>
      <c r="S194" s="64" t="s">
        <v>7415</v>
      </c>
    </row>
    <row r="195" spans="1:19" ht="51">
      <c r="A195" s="52" t="s">
        <v>3802</v>
      </c>
      <c r="B195" s="52" t="s">
        <v>78</v>
      </c>
      <c r="C195" s="52" t="s">
        <v>1307</v>
      </c>
      <c r="D195" s="52" t="s">
        <v>3803</v>
      </c>
      <c r="E195" s="52" t="s">
        <v>3731</v>
      </c>
      <c r="F195" s="52" t="s">
        <v>3804</v>
      </c>
      <c r="G195" s="52">
        <v>3</v>
      </c>
      <c r="H195" s="52" t="s">
        <v>3739</v>
      </c>
      <c r="I195" s="52" t="s">
        <v>3740</v>
      </c>
      <c r="J195" s="52">
        <v>4</v>
      </c>
      <c r="K195" s="52">
        <v>5</v>
      </c>
      <c r="L195" s="52">
        <v>5</v>
      </c>
      <c r="M195" s="52" t="s">
        <v>3805</v>
      </c>
      <c r="N195" s="52" t="s">
        <v>3806</v>
      </c>
      <c r="O195" s="52" t="s">
        <v>3807</v>
      </c>
      <c r="P195" s="52" t="s">
        <v>3808</v>
      </c>
      <c r="Q195" s="52" t="s">
        <v>3809</v>
      </c>
      <c r="R195" s="52" t="s">
        <v>3810</v>
      </c>
      <c r="S195" s="52" t="s">
        <v>7422</v>
      </c>
    </row>
    <row r="196" spans="1:19" ht="51">
      <c r="A196" s="64" t="s">
        <v>3812</v>
      </c>
      <c r="B196" s="64" t="s">
        <v>78</v>
      </c>
      <c r="C196" s="64" t="s">
        <v>1307</v>
      </c>
      <c r="D196" s="64" t="s">
        <v>3813</v>
      </c>
      <c r="E196" s="64" t="s">
        <v>3731</v>
      </c>
      <c r="F196" s="64" t="s">
        <v>3814</v>
      </c>
      <c r="G196" s="64">
        <v>3</v>
      </c>
      <c r="H196" s="64" t="s">
        <v>3739</v>
      </c>
      <c r="I196" s="64" t="s">
        <v>3740</v>
      </c>
      <c r="J196" s="64">
        <v>4</v>
      </c>
      <c r="K196" s="64">
        <v>5</v>
      </c>
      <c r="L196" s="64">
        <v>5</v>
      </c>
      <c r="M196" s="64" t="s">
        <v>3815</v>
      </c>
      <c r="N196" s="64" t="s">
        <v>3816</v>
      </c>
      <c r="O196" s="64" t="s">
        <v>3817</v>
      </c>
      <c r="P196" s="64" t="s">
        <v>3818</v>
      </c>
      <c r="Q196" s="64" t="s">
        <v>3819</v>
      </c>
      <c r="R196" s="64" t="s">
        <v>3820</v>
      </c>
      <c r="S196" s="64" t="s">
        <v>7429</v>
      </c>
    </row>
    <row r="197" spans="1:19" ht="63.75">
      <c r="A197" s="52" t="s">
        <v>3822</v>
      </c>
      <c r="B197" s="52" t="s">
        <v>78</v>
      </c>
      <c r="C197" s="52" t="s">
        <v>1307</v>
      </c>
      <c r="D197" s="52" t="s">
        <v>3823</v>
      </c>
      <c r="E197" s="52" t="s">
        <v>3731</v>
      </c>
      <c r="F197" s="52" t="s">
        <v>3824</v>
      </c>
      <c r="G197" s="52">
        <v>5</v>
      </c>
      <c r="H197" s="52" t="s">
        <v>3739</v>
      </c>
      <c r="I197" s="52" t="s">
        <v>3740</v>
      </c>
      <c r="J197" s="52">
        <v>4</v>
      </c>
      <c r="K197" s="52">
        <v>5</v>
      </c>
      <c r="L197" s="52">
        <v>5</v>
      </c>
      <c r="M197" s="52" t="s">
        <v>3825</v>
      </c>
      <c r="N197" s="52" t="s">
        <v>3826</v>
      </c>
      <c r="O197" s="52" t="s">
        <v>3827</v>
      </c>
      <c r="P197" s="52" t="s">
        <v>3828</v>
      </c>
      <c r="Q197" s="52" t="s">
        <v>3829</v>
      </c>
      <c r="R197" s="52" t="s">
        <v>3830</v>
      </c>
      <c r="S197" s="52" t="s">
        <v>7436</v>
      </c>
    </row>
    <row r="198" spans="1:19" ht="51">
      <c r="A198" s="64" t="s">
        <v>3832</v>
      </c>
      <c r="B198" s="64" t="s">
        <v>78</v>
      </c>
      <c r="C198" s="64" t="s">
        <v>1307</v>
      </c>
      <c r="D198" s="64" t="s">
        <v>3833</v>
      </c>
      <c r="E198" s="64" t="s">
        <v>3731</v>
      </c>
      <c r="F198" s="64" t="s">
        <v>3834</v>
      </c>
      <c r="G198" s="64">
        <v>3</v>
      </c>
      <c r="H198" s="64" t="s">
        <v>3739</v>
      </c>
      <c r="I198" s="64" t="s">
        <v>3740</v>
      </c>
      <c r="J198" s="64">
        <v>4</v>
      </c>
      <c r="K198" s="64">
        <v>5</v>
      </c>
      <c r="L198" s="64">
        <v>5</v>
      </c>
      <c r="M198" s="64" t="s">
        <v>3835</v>
      </c>
      <c r="N198" s="64" t="s">
        <v>3836</v>
      </c>
      <c r="O198" s="64" t="s">
        <v>3837</v>
      </c>
      <c r="P198" s="64" t="s">
        <v>3838</v>
      </c>
      <c r="Q198" s="64" t="s">
        <v>3839</v>
      </c>
      <c r="R198" s="64" t="s">
        <v>3840</v>
      </c>
      <c r="S198" s="64" t="s">
        <v>7443</v>
      </c>
    </row>
    <row r="199" spans="1:19" ht="63.75">
      <c r="A199" s="52" t="s">
        <v>3842</v>
      </c>
      <c r="B199" s="52" t="s">
        <v>78</v>
      </c>
      <c r="C199" s="52" t="s">
        <v>1307</v>
      </c>
      <c r="D199" s="52" t="s">
        <v>3843</v>
      </c>
      <c r="E199" s="52" t="s">
        <v>3731</v>
      </c>
      <c r="F199" s="52" t="s">
        <v>3844</v>
      </c>
      <c r="G199" s="52">
        <v>5</v>
      </c>
      <c r="H199" s="52" t="s">
        <v>3739</v>
      </c>
      <c r="I199" s="52" t="s">
        <v>3740</v>
      </c>
      <c r="J199" s="52">
        <v>4</v>
      </c>
      <c r="K199" s="52">
        <v>5</v>
      </c>
      <c r="L199" s="52">
        <v>5</v>
      </c>
      <c r="M199" s="52" t="s">
        <v>3845</v>
      </c>
      <c r="N199" s="52" t="s">
        <v>3846</v>
      </c>
      <c r="O199" s="52" t="s">
        <v>3847</v>
      </c>
      <c r="P199" s="52" t="s">
        <v>3848</v>
      </c>
      <c r="Q199" s="52" t="s">
        <v>3849</v>
      </c>
      <c r="R199" s="52" t="s">
        <v>3850</v>
      </c>
      <c r="S199" s="52" t="s">
        <v>7450</v>
      </c>
    </row>
    <row r="200" spans="1:19" ht="63.75">
      <c r="A200" s="64" t="s">
        <v>3852</v>
      </c>
      <c r="B200" s="64" t="s">
        <v>78</v>
      </c>
      <c r="C200" s="64" t="s">
        <v>1315</v>
      </c>
      <c r="D200" s="64" t="s">
        <v>3853</v>
      </c>
      <c r="E200" s="64" t="s">
        <v>3731</v>
      </c>
      <c r="F200" s="64" t="s">
        <v>3854</v>
      </c>
      <c r="G200" s="64">
        <v>5</v>
      </c>
      <c r="H200" s="64" t="s">
        <v>3739</v>
      </c>
      <c r="I200" s="64" t="s">
        <v>3740</v>
      </c>
      <c r="J200" s="64">
        <v>4</v>
      </c>
      <c r="K200" s="64">
        <v>5</v>
      </c>
      <c r="L200" s="64">
        <v>5</v>
      </c>
      <c r="M200" s="64" t="s">
        <v>3855</v>
      </c>
      <c r="N200" s="64" t="s">
        <v>3856</v>
      </c>
      <c r="O200" s="64" t="s">
        <v>3857</v>
      </c>
      <c r="P200" s="64" t="s">
        <v>3858</v>
      </c>
      <c r="Q200" s="64" t="s">
        <v>3859</v>
      </c>
      <c r="R200" s="64" t="s">
        <v>3860</v>
      </c>
      <c r="S200" s="64" t="s">
        <v>7458</v>
      </c>
    </row>
    <row r="201" spans="1:19" ht="63.75">
      <c r="A201" s="52" t="s">
        <v>3862</v>
      </c>
      <c r="B201" s="52" t="s">
        <v>78</v>
      </c>
      <c r="C201" s="52" t="s">
        <v>1315</v>
      </c>
      <c r="D201" s="52" t="s">
        <v>3863</v>
      </c>
      <c r="E201" s="52" t="s">
        <v>3731</v>
      </c>
      <c r="F201" s="52" t="s">
        <v>3864</v>
      </c>
      <c r="G201" s="52">
        <v>4</v>
      </c>
      <c r="H201" s="52" t="s">
        <v>3739</v>
      </c>
      <c r="I201" s="52" t="s">
        <v>3740</v>
      </c>
      <c r="J201" s="52">
        <v>4</v>
      </c>
      <c r="K201" s="52">
        <v>5</v>
      </c>
      <c r="L201" s="52">
        <v>5</v>
      </c>
      <c r="M201" s="52" t="s">
        <v>3865</v>
      </c>
      <c r="N201" s="52" t="s">
        <v>3866</v>
      </c>
      <c r="O201" s="52" t="s">
        <v>3867</v>
      </c>
      <c r="P201" s="52" t="s">
        <v>3868</v>
      </c>
      <c r="Q201" s="52" t="s">
        <v>3869</v>
      </c>
      <c r="R201" s="52" t="s">
        <v>3870</v>
      </c>
      <c r="S201" s="52" t="s">
        <v>7465</v>
      </c>
    </row>
    <row r="202" spans="1:19" ht="63.75">
      <c r="A202" s="64" t="s">
        <v>3872</v>
      </c>
      <c r="B202" s="64" t="s">
        <v>78</v>
      </c>
      <c r="C202" s="64" t="s">
        <v>1315</v>
      </c>
      <c r="D202" s="64" t="s">
        <v>3873</v>
      </c>
      <c r="E202" s="64" t="s">
        <v>3731</v>
      </c>
      <c r="F202" s="64" t="s">
        <v>3874</v>
      </c>
      <c r="G202" s="64">
        <v>4</v>
      </c>
      <c r="H202" s="64" t="s">
        <v>3739</v>
      </c>
      <c r="I202" s="64" t="s">
        <v>3740</v>
      </c>
      <c r="J202" s="64">
        <v>4</v>
      </c>
      <c r="K202" s="64">
        <v>5</v>
      </c>
      <c r="L202" s="64">
        <v>5</v>
      </c>
      <c r="M202" s="64" t="s">
        <v>3875</v>
      </c>
      <c r="N202" s="64" t="s">
        <v>3876</v>
      </c>
      <c r="O202" s="64" t="s">
        <v>3877</v>
      </c>
      <c r="P202" s="64" t="s">
        <v>3878</v>
      </c>
      <c r="Q202" s="64" t="s">
        <v>3879</v>
      </c>
      <c r="R202" s="64" t="s">
        <v>3880</v>
      </c>
      <c r="S202" s="64" t="s">
        <v>7472</v>
      </c>
    </row>
    <row r="203" spans="1:19" ht="63.75">
      <c r="A203" s="52" t="s">
        <v>3882</v>
      </c>
      <c r="B203" s="52" t="s">
        <v>78</v>
      </c>
      <c r="C203" s="52" t="s">
        <v>1315</v>
      </c>
      <c r="D203" s="52" t="s">
        <v>3883</v>
      </c>
      <c r="E203" s="52" t="s">
        <v>3731</v>
      </c>
      <c r="F203" s="52" t="s">
        <v>3884</v>
      </c>
      <c r="G203" s="52">
        <v>5</v>
      </c>
      <c r="H203" s="52" t="s">
        <v>3739</v>
      </c>
      <c r="I203" s="52" t="s">
        <v>3740</v>
      </c>
      <c r="J203" s="52">
        <v>4</v>
      </c>
      <c r="K203" s="52">
        <v>5</v>
      </c>
      <c r="L203" s="52">
        <v>5</v>
      </c>
      <c r="M203" s="52" t="s">
        <v>3885</v>
      </c>
      <c r="N203" s="52" t="s">
        <v>3886</v>
      </c>
      <c r="O203" s="52" t="s">
        <v>3887</v>
      </c>
      <c r="P203" s="52" t="s">
        <v>3888</v>
      </c>
      <c r="Q203" s="52" t="s">
        <v>3889</v>
      </c>
      <c r="R203" s="52" t="s">
        <v>3890</v>
      </c>
      <c r="S203" s="52" t="s">
        <v>7479</v>
      </c>
    </row>
    <row r="204" spans="1:19" ht="63.75">
      <c r="A204" s="64" t="s">
        <v>3892</v>
      </c>
      <c r="B204" s="64" t="s">
        <v>78</v>
      </c>
      <c r="C204" s="64" t="s">
        <v>1315</v>
      </c>
      <c r="D204" s="64" t="s">
        <v>3893</v>
      </c>
      <c r="E204" s="64" t="s">
        <v>3731</v>
      </c>
      <c r="F204" s="64" t="s">
        <v>3894</v>
      </c>
      <c r="G204" s="64">
        <v>5</v>
      </c>
      <c r="H204" s="64" t="s">
        <v>3739</v>
      </c>
      <c r="I204" s="64" t="s">
        <v>3740</v>
      </c>
      <c r="J204" s="64">
        <v>4</v>
      </c>
      <c r="K204" s="64">
        <v>5</v>
      </c>
      <c r="L204" s="64">
        <v>5</v>
      </c>
      <c r="M204" s="64" t="s">
        <v>3895</v>
      </c>
      <c r="N204" s="64" t="s">
        <v>3896</v>
      </c>
      <c r="O204" s="64" t="s">
        <v>3897</v>
      </c>
      <c r="P204" s="64" t="s">
        <v>3898</v>
      </c>
      <c r="Q204" s="64" t="s">
        <v>3899</v>
      </c>
      <c r="R204" s="64" t="s">
        <v>3900</v>
      </c>
      <c r="S204" s="64" t="s">
        <v>7486</v>
      </c>
    </row>
    <row r="205" spans="1:19" ht="63.75">
      <c r="A205" s="52" t="s">
        <v>3902</v>
      </c>
      <c r="B205" s="52" t="s">
        <v>78</v>
      </c>
      <c r="C205" s="52" t="s">
        <v>1315</v>
      </c>
      <c r="D205" s="52" t="s">
        <v>3903</v>
      </c>
      <c r="E205" s="52" t="s">
        <v>3731</v>
      </c>
      <c r="F205" s="52" t="s">
        <v>3904</v>
      </c>
      <c r="G205" s="52">
        <v>5</v>
      </c>
      <c r="H205" s="52" t="s">
        <v>3739</v>
      </c>
      <c r="I205" s="52" t="s">
        <v>3740</v>
      </c>
      <c r="J205" s="52">
        <v>4</v>
      </c>
      <c r="K205" s="52">
        <v>5</v>
      </c>
      <c r="L205" s="52">
        <v>5</v>
      </c>
      <c r="M205" s="52" t="s">
        <v>3905</v>
      </c>
      <c r="N205" s="52" t="s">
        <v>3906</v>
      </c>
      <c r="O205" s="52" t="s">
        <v>3907</v>
      </c>
      <c r="P205" s="52" t="s">
        <v>3908</v>
      </c>
      <c r="Q205" s="52" t="s">
        <v>3909</v>
      </c>
      <c r="R205" s="52" t="s">
        <v>3910</v>
      </c>
      <c r="S205" s="52" t="s">
        <v>7493</v>
      </c>
    </row>
    <row r="206" spans="1:19" ht="51">
      <c r="A206" s="64" t="s">
        <v>3912</v>
      </c>
      <c r="B206" s="64" t="s">
        <v>78</v>
      </c>
      <c r="C206" s="64" t="s">
        <v>1315</v>
      </c>
      <c r="D206" s="64" t="s">
        <v>3913</v>
      </c>
      <c r="E206" s="64" t="s">
        <v>3731</v>
      </c>
      <c r="F206" s="64" t="s">
        <v>3914</v>
      </c>
      <c r="G206" s="64">
        <v>5</v>
      </c>
      <c r="H206" s="64" t="s">
        <v>3739</v>
      </c>
      <c r="I206" s="64" t="s">
        <v>3740</v>
      </c>
      <c r="J206" s="64">
        <v>5</v>
      </c>
      <c r="K206" s="64">
        <v>5</v>
      </c>
      <c r="L206" s="64">
        <v>5</v>
      </c>
      <c r="M206" s="64" t="s">
        <v>3915</v>
      </c>
      <c r="N206" s="64" t="s">
        <v>3916</v>
      </c>
      <c r="O206" s="64" t="s">
        <v>3917</v>
      </c>
      <c r="P206" s="64" t="s">
        <v>3918</v>
      </c>
      <c r="Q206" s="64" t="s">
        <v>3919</v>
      </c>
      <c r="R206" s="64" t="s">
        <v>3920</v>
      </c>
      <c r="S206" s="64" t="s">
        <v>7500</v>
      </c>
    </row>
    <row r="207" spans="1:19" ht="63.75">
      <c r="A207" s="52" t="s">
        <v>3922</v>
      </c>
      <c r="B207" s="52" t="s">
        <v>78</v>
      </c>
      <c r="C207" s="52" t="s">
        <v>1323</v>
      </c>
      <c r="D207" s="52" t="s">
        <v>3923</v>
      </c>
      <c r="E207" s="52" t="s">
        <v>3731</v>
      </c>
      <c r="F207" s="52" t="s">
        <v>3924</v>
      </c>
      <c r="G207" s="52">
        <v>5</v>
      </c>
      <c r="H207" s="52" t="s">
        <v>3739</v>
      </c>
      <c r="I207" s="52" t="s">
        <v>3740</v>
      </c>
      <c r="J207" s="52">
        <v>5</v>
      </c>
      <c r="K207" s="52">
        <v>5</v>
      </c>
      <c r="L207" s="52">
        <v>5</v>
      </c>
      <c r="M207" s="52" t="s">
        <v>3925</v>
      </c>
      <c r="N207" s="52" t="s">
        <v>3926</v>
      </c>
      <c r="O207" s="52" t="s">
        <v>3927</v>
      </c>
      <c r="P207" s="52" t="s">
        <v>3928</v>
      </c>
      <c r="Q207" s="52" t="s">
        <v>3929</v>
      </c>
      <c r="R207" s="52" t="s">
        <v>3930</v>
      </c>
      <c r="S207" s="52" t="s">
        <v>7508</v>
      </c>
    </row>
    <row r="208" spans="1:19" ht="63.75">
      <c r="A208" s="64" t="s">
        <v>3932</v>
      </c>
      <c r="B208" s="64" t="s">
        <v>78</v>
      </c>
      <c r="C208" s="64" t="s">
        <v>1323</v>
      </c>
      <c r="D208" s="64" t="s">
        <v>3933</v>
      </c>
      <c r="E208" s="64" t="s">
        <v>3731</v>
      </c>
      <c r="F208" s="64" t="s">
        <v>3934</v>
      </c>
      <c r="G208" s="64">
        <v>5</v>
      </c>
      <c r="H208" s="64" t="s">
        <v>3739</v>
      </c>
      <c r="I208" s="64" t="s">
        <v>3740</v>
      </c>
      <c r="J208" s="64">
        <v>4</v>
      </c>
      <c r="K208" s="64">
        <v>5</v>
      </c>
      <c r="L208" s="64">
        <v>5</v>
      </c>
      <c r="M208" s="64" t="s">
        <v>3935</v>
      </c>
      <c r="N208" s="64" t="s">
        <v>3936</v>
      </c>
      <c r="O208" s="64" t="s">
        <v>3937</v>
      </c>
      <c r="P208" s="64" t="s">
        <v>3938</v>
      </c>
      <c r="Q208" s="64" t="s">
        <v>3939</v>
      </c>
      <c r="R208" s="64" t="s">
        <v>3940</v>
      </c>
      <c r="S208" s="64" t="s">
        <v>7515</v>
      </c>
    </row>
    <row r="209" spans="1:19" ht="63.75">
      <c r="A209" s="52" t="s">
        <v>3942</v>
      </c>
      <c r="B209" s="52" t="s">
        <v>78</v>
      </c>
      <c r="C209" s="52" t="s">
        <v>1323</v>
      </c>
      <c r="D209" s="52" t="s">
        <v>3943</v>
      </c>
      <c r="E209" s="52" t="s">
        <v>3731</v>
      </c>
      <c r="F209" s="52" t="s">
        <v>3944</v>
      </c>
      <c r="G209" s="52">
        <v>3</v>
      </c>
      <c r="H209" s="52" t="s">
        <v>3739</v>
      </c>
      <c r="I209" s="52" t="s">
        <v>3740</v>
      </c>
      <c r="J209" s="52">
        <v>4</v>
      </c>
      <c r="K209" s="52">
        <v>5</v>
      </c>
      <c r="L209" s="52">
        <v>5</v>
      </c>
      <c r="M209" s="52" t="s">
        <v>3945</v>
      </c>
      <c r="N209" s="52" t="s">
        <v>3946</v>
      </c>
      <c r="O209" s="52" t="s">
        <v>3947</v>
      </c>
      <c r="P209" s="52" t="s">
        <v>3948</v>
      </c>
      <c r="Q209" s="52" t="s">
        <v>3949</v>
      </c>
      <c r="R209" s="52" t="s">
        <v>3950</v>
      </c>
      <c r="S209" s="52" t="s">
        <v>7522</v>
      </c>
    </row>
    <row r="210" spans="1:19" ht="51">
      <c r="A210" s="64" t="s">
        <v>3952</v>
      </c>
      <c r="B210" s="64" t="s">
        <v>78</v>
      </c>
      <c r="C210" s="64" t="s">
        <v>1323</v>
      </c>
      <c r="D210" s="64" t="s">
        <v>3953</v>
      </c>
      <c r="E210" s="64" t="s">
        <v>3731</v>
      </c>
      <c r="F210" s="64" t="s">
        <v>3954</v>
      </c>
      <c r="G210" s="64">
        <v>4</v>
      </c>
      <c r="H210" s="64" t="s">
        <v>3739</v>
      </c>
      <c r="I210" s="64" t="s">
        <v>3740</v>
      </c>
      <c r="J210" s="64">
        <v>4</v>
      </c>
      <c r="K210" s="64">
        <v>5</v>
      </c>
      <c r="L210" s="64">
        <v>5</v>
      </c>
      <c r="M210" s="64" t="s">
        <v>3955</v>
      </c>
      <c r="N210" s="64" t="s">
        <v>3956</v>
      </c>
      <c r="O210" s="64" t="s">
        <v>3957</v>
      </c>
      <c r="P210" s="64" t="s">
        <v>3958</v>
      </c>
      <c r="Q210" s="64" t="s">
        <v>3959</v>
      </c>
      <c r="R210" s="64" t="s">
        <v>3960</v>
      </c>
      <c r="S210" s="64" t="s">
        <v>7529</v>
      </c>
    </row>
    <row r="211" spans="1:19" ht="51">
      <c r="A211" s="52" t="s">
        <v>3962</v>
      </c>
      <c r="B211" s="52" t="s">
        <v>78</v>
      </c>
      <c r="C211" s="52" t="s">
        <v>1323</v>
      </c>
      <c r="D211" s="52" t="s">
        <v>3963</v>
      </c>
      <c r="E211" s="52" t="s">
        <v>3731</v>
      </c>
      <c r="F211" s="52" t="s">
        <v>3964</v>
      </c>
      <c r="G211" s="52">
        <v>5</v>
      </c>
      <c r="H211" s="52" t="s">
        <v>3739</v>
      </c>
      <c r="I211" s="52" t="s">
        <v>3740</v>
      </c>
      <c r="J211" s="52">
        <v>5</v>
      </c>
      <c r="K211" s="52">
        <v>5</v>
      </c>
      <c r="L211" s="52">
        <v>5</v>
      </c>
      <c r="M211" s="52" t="s">
        <v>3965</v>
      </c>
      <c r="N211" s="52" t="s">
        <v>3966</v>
      </c>
      <c r="O211" s="52" t="s">
        <v>3967</v>
      </c>
      <c r="P211" s="52" t="s">
        <v>3968</v>
      </c>
      <c r="Q211" s="52" t="s">
        <v>3969</v>
      </c>
      <c r="R211" s="52" t="s">
        <v>3970</v>
      </c>
      <c r="S211" s="52" t="s">
        <v>7536</v>
      </c>
    </row>
    <row r="212" spans="1:19" ht="63.75">
      <c r="A212" s="64" t="s">
        <v>3972</v>
      </c>
      <c r="B212" s="64" t="s">
        <v>78</v>
      </c>
      <c r="C212" s="64" t="s">
        <v>1323</v>
      </c>
      <c r="D212" s="64" t="s">
        <v>3973</v>
      </c>
      <c r="E212" s="64" t="s">
        <v>3731</v>
      </c>
      <c r="F212" s="64" t="s">
        <v>3974</v>
      </c>
      <c r="G212" s="64">
        <v>5</v>
      </c>
      <c r="H212" s="64" t="s">
        <v>3739</v>
      </c>
      <c r="I212" s="64" t="s">
        <v>3740</v>
      </c>
      <c r="J212" s="64">
        <v>4</v>
      </c>
      <c r="K212" s="64">
        <v>5</v>
      </c>
      <c r="L212" s="64">
        <v>5</v>
      </c>
      <c r="M212" s="64" t="s">
        <v>3975</v>
      </c>
      <c r="N212" s="64" t="s">
        <v>3976</v>
      </c>
      <c r="O212" s="64" t="s">
        <v>3977</v>
      </c>
      <c r="P212" s="64" t="s">
        <v>3978</v>
      </c>
      <c r="Q212" s="64" t="s">
        <v>3979</v>
      </c>
      <c r="R212" s="64" t="s">
        <v>3980</v>
      </c>
      <c r="S212" s="64" t="s">
        <v>7543</v>
      </c>
    </row>
    <row r="213" spans="1:19" ht="63.75">
      <c r="A213" s="52" t="s">
        <v>3984</v>
      </c>
      <c r="B213" s="52" t="s">
        <v>81</v>
      </c>
      <c r="C213" s="52" t="s">
        <v>1331</v>
      </c>
      <c r="D213" s="52" t="s">
        <v>3985</v>
      </c>
      <c r="E213" s="52" t="s">
        <v>3987</v>
      </c>
      <c r="F213" s="52" t="s">
        <v>3988</v>
      </c>
      <c r="G213" s="52">
        <v>5</v>
      </c>
      <c r="H213" s="52" t="s">
        <v>3995</v>
      </c>
      <c r="I213" s="52" t="s">
        <v>3996</v>
      </c>
      <c r="J213" s="52">
        <v>5</v>
      </c>
      <c r="K213" s="52">
        <v>5</v>
      </c>
      <c r="L213" s="52">
        <v>5</v>
      </c>
      <c r="M213" s="52" t="s">
        <v>3989</v>
      </c>
      <c r="N213" s="52" t="s">
        <v>3990</v>
      </c>
      <c r="O213" s="52" t="s">
        <v>3991</v>
      </c>
      <c r="P213" s="52" t="s">
        <v>3992</v>
      </c>
      <c r="Q213" s="52" t="s">
        <v>3993</v>
      </c>
      <c r="R213" s="52" t="s">
        <v>3994</v>
      </c>
      <c r="S213" s="52" t="s">
        <v>7551</v>
      </c>
    </row>
    <row r="214" spans="1:19" ht="63.75">
      <c r="A214" s="64" t="s">
        <v>3998</v>
      </c>
      <c r="B214" s="64" t="s">
        <v>81</v>
      </c>
      <c r="C214" s="64" t="s">
        <v>1331</v>
      </c>
      <c r="D214" s="64" t="s">
        <v>3999</v>
      </c>
      <c r="E214" s="64" t="s">
        <v>3987</v>
      </c>
      <c r="F214" s="64" t="s">
        <v>4000</v>
      </c>
      <c r="G214" s="64">
        <v>5</v>
      </c>
      <c r="H214" s="64" t="s">
        <v>3995</v>
      </c>
      <c r="I214" s="64" t="s">
        <v>3996</v>
      </c>
      <c r="J214" s="64">
        <v>5</v>
      </c>
      <c r="K214" s="64">
        <v>5</v>
      </c>
      <c r="L214" s="64">
        <v>5</v>
      </c>
      <c r="M214" s="64" t="s">
        <v>4001</v>
      </c>
      <c r="N214" s="64" t="s">
        <v>4002</v>
      </c>
      <c r="O214" s="64" t="s">
        <v>4003</v>
      </c>
      <c r="P214" s="64" t="s">
        <v>4004</v>
      </c>
      <c r="Q214" s="64" t="s">
        <v>4005</v>
      </c>
      <c r="R214" s="64" t="s">
        <v>4006</v>
      </c>
      <c r="S214" s="64" t="s">
        <v>7558</v>
      </c>
    </row>
    <row r="215" spans="1:19" ht="63.75">
      <c r="A215" s="52" t="s">
        <v>4008</v>
      </c>
      <c r="B215" s="52" t="s">
        <v>81</v>
      </c>
      <c r="C215" s="52" t="s">
        <v>1331</v>
      </c>
      <c r="D215" s="52" t="s">
        <v>4009</v>
      </c>
      <c r="E215" s="52" t="s">
        <v>3987</v>
      </c>
      <c r="F215" s="52" t="s">
        <v>4010</v>
      </c>
      <c r="G215" s="52">
        <v>3</v>
      </c>
      <c r="H215" s="52" t="s">
        <v>3995</v>
      </c>
      <c r="I215" s="52" t="s">
        <v>3996</v>
      </c>
      <c r="J215" s="52">
        <v>5</v>
      </c>
      <c r="K215" s="52">
        <v>5</v>
      </c>
      <c r="L215" s="52">
        <v>5</v>
      </c>
      <c r="M215" s="52" t="s">
        <v>4011</v>
      </c>
      <c r="N215" s="52" t="s">
        <v>4012</v>
      </c>
      <c r="O215" s="52" t="s">
        <v>4013</v>
      </c>
      <c r="P215" s="52" t="s">
        <v>4014</v>
      </c>
      <c r="Q215" s="52" t="s">
        <v>4015</v>
      </c>
      <c r="R215" s="52" t="s">
        <v>4016</v>
      </c>
      <c r="S215" s="52" t="s">
        <v>7565</v>
      </c>
    </row>
    <row r="216" spans="1:19" ht="63.75">
      <c r="A216" s="64" t="s">
        <v>4018</v>
      </c>
      <c r="B216" s="64" t="s">
        <v>81</v>
      </c>
      <c r="C216" s="64" t="s">
        <v>1331</v>
      </c>
      <c r="D216" s="64" t="s">
        <v>4019</v>
      </c>
      <c r="E216" s="64" t="s">
        <v>3987</v>
      </c>
      <c r="F216" s="64" t="s">
        <v>4020</v>
      </c>
      <c r="G216" s="64">
        <v>5</v>
      </c>
      <c r="H216" s="64" t="s">
        <v>3995</v>
      </c>
      <c r="I216" s="64" t="s">
        <v>3996</v>
      </c>
      <c r="J216" s="64">
        <v>5</v>
      </c>
      <c r="K216" s="64">
        <v>5</v>
      </c>
      <c r="L216" s="64">
        <v>5</v>
      </c>
      <c r="M216" s="64" t="s">
        <v>4021</v>
      </c>
      <c r="N216" s="64" t="s">
        <v>4022</v>
      </c>
      <c r="O216" s="64" t="s">
        <v>4023</v>
      </c>
      <c r="P216" s="64" t="s">
        <v>4024</v>
      </c>
      <c r="Q216" s="64" t="s">
        <v>4025</v>
      </c>
      <c r="R216" s="64" t="s">
        <v>4026</v>
      </c>
      <c r="S216" s="64" t="s">
        <v>7572</v>
      </c>
    </row>
    <row r="217" spans="1:19" ht="51">
      <c r="A217" s="52" t="s">
        <v>4028</v>
      </c>
      <c r="B217" s="52" t="s">
        <v>81</v>
      </c>
      <c r="C217" s="52" t="s">
        <v>1331</v>
      </c>
      <c r="D217" s="52" t="s">
        <v>4029</v>
      </c>
      <c r="E217" s="52" t="s">
        <v>3987</v>
      </c>
      <c r="F217" s="52" t="s">
        <v>4030</v>
      </c>
      <c r="G217" s="52">
        <v>5</v>
      </c>
      <c r="H217" s="52" t="s">
        <v>3995</v>
      </c>
      <c r="I217" s="52" t="s">
        <v>3996</v>
      </c>
      <c r="J217" s="52">
        <v>5</v>
      </c>
      <c r="K217" s="52">
        <v>5</v>
      </c>
      <c r="L217" s="52">
        <v>5</v>
      </c>
      <c r="M217" s="52" t="s">
        <v>4031</v>
      </c>
      <c r="N217" s="52" t="s">
        <v>4032</v>
      </c>
      <c r="O217" s="52" t="s">
        <v>4033</v>
      </c>
      <c r="P217" s="52" t="s">
        <v>4034</v>
      </c>
      <c r="Q217" s="52" t="s">
        <v>4035</v>
      </c>
      <c r="R217" s="52" t="s">
        <v>4036</v>
      </c>
      <c r="S217" s="52" t="s">
        <v>7579</v>
      </c>
    </row>
    <row r="218" spans="1:19" ht="63.75">
      <c r="A218" s="64" t="s">
        <v>4038</v>
      </c>
      <c r="B218" s="64" t="s">
        <v>81</v>
      </c>
      <c r="C218" s="64" t="s">
        <v>1331</v>
      </c>
      <c r="D218" s="64" t="s">
        <v>4039</v>
      </c>
      <c r="E218" s="64" t="s">
        <v>3987</v>
      </c>
      <c r="F218" s="64" t="s">
        <v>4040</v>
      </c>
      <c r="G218" s="64">
        <v>5</v>
      </c>
      <c r="H218" s="64" t="s">
        <v>3995</v>
      </c>
      <c r="I218" s="64" t="s">
        <v>3996</v>
      </c>
      <c r="J218" s="64">
        <v>5</v>
      </c>
      <c r="K218" s="64">
        <v>5</v>
      </c>
      <c r="L218" s="64">
        <v>5</v>
      </c>
      <c r="M218" s="64" t="s">
        <v>4041</v>
      </c>
      <c r="N218" s="64" t="s">
        <v>4042</v>
      </c>
      <c r="O218" s="64" t="s">
        <v>4043</v>
      </c>
      <c r="P218" s="64" t="s">
        <v>4044</v>
      </c>
      <c r="Q218" s="64" t="s">
        <v>4045</v>
      </c>
      <c r="R218" s="64" t="s">
        <v>4046</v>
      </c>
      <c r="S218" s="64" t="s">
        <v>7586</v>
      </c>
    </row>
    <row r="219" spans="1:19" ht="63.75">
      <c r="A219" s="52" t="s">
        <v>4048</v>
      </c>
      <c r="B219" s="52" t="s">
        <v>81</v>
      </c>
      <c r="C219" s="52" t="s">
        <v>1346</v>
      </c>
      <c r="D219" s="52" t="s">
        <v>4049</v>
      </c>
      <c r="E219" s="52" t="s">
        <v>3987</v>
      </c>
      <c r="F219" s="52" t="s">
        <v>4050</v>
      </c>
      <c r="G219" s="52">
        <v>5</v>
      </c>
      <c r="H219" s="52" t="s">
        <v>3995</v>
      </c>
      <c r="I219" s="52" t="s">
        <v>3996</v>
      </c>
      <c r="J219" s="52">
        <v>5</v>
      </c>
      <c r="K219" s="52">
        <v>5</v>
      </c>
      <c r="L219" s="52">
        <v>5</v>
      </c>
      <c r="M219" s="52" t="s">
        <v>4051</v>
      </c>
      <c r="N219" s="52" t="s">
        <v>4052</v>
      </c>
      <c r="O219" s="52" t="s">
        <v>4053</v>
      </c>
      <c r="P219" s="52" t="s">
        <v>4054</v>
      </c>
      <c r="Q219" s="52" t="s">
        <v>4055</v>
      </c>
      <c r="R219" s="52" t="s">
        <v>4056</v>
      </c>
      <c r="S219" s="52" t="s">
        <v>7594</v>
      </c>
    </row>
    <row r="220" spans="1:19" ht="51">
      <c r="A220" s="64" t="s">
        <v>4058</v>
      </c>
      <c r="B220" s="64" t="s">
        <v>81</v>
      </c>
      <c r="C220" s="64" t="s">
        <v>1346</v>
      </c>
      <c r="D220" s="64" t="s">
        <v>4059</v>
      </c>
      <c r="E220" s="64" t="s">
        <v>3987</v>
      </c>
      <c r="F220" s="64" t="s">
        <v>4060</v>
      </c>
      <c r="G220" s="64">
        <v>5</v>
      </c>
      <c r="H220" s="64" t="s">
        <v>3995</v>
      </c>
      <c r="I220" s="64" t="s">
        <v>3996</v>
      </c>
      <c r="J220" s="64">
        <v>5</v>
      </c>
      <c r="K220" s="64">
        <v>5</v>
      </c>
      <c r="L220" s="64">
        <v>5</v>
      </c>
      <c r="M220" s="64" t="s">
        <v>4061</v>
      </c>
      <c r="N220" s="64" t="s">
        <v>4062</v>
      </c>
      <c r="O220" s="64" t="s">
        <v>4063</v>
      </c>
      <c r="P220" s="64" t="s">
        <v>4064</v>
      </c>
      <c r="Q220" s="64" t="s">
        <v>4065</v>
      </c>
      <c r="R220" s="64" t="s">
        <v>4066</v>
      </c>
      <c r="S220" s="64" t="s">
        <v>7601</v>
      </c>
    </row>
    <row r="221" spans="1:19" ht="63.75">
      <c r="A221" s="52" t="s">
        <v>4068</v>
      </c>
      <c r="B221" s="52" t="s">
        <v>81</v>
      </c>
      <c r="C221" s="52" t="s">
        <v>1346</v>
      </c>
      <c r="D221" s="52" t="s">
        <v>4069</v>
      </c>
      <c r="E221" s="52" t="s">
        <v>3987</v>
      </c>
      <c r="F221" s="52" t="s">
        <v>4070</v>
      </c>
      <c r="G221" s="52">
        <v>5</v>
      </c>
      <c r="H221" s="52" t="s">
        <v>3995</v>
      </c>
      <c r="I221" s="52" t="s">
        <v>3996</v>
      </c>
      <c r="J221" s="52">
        <v>5</v>
      </c>
      <c r="K221" s="52">
        <v>5</v>
      </c>
      <c r="L221" s="52">
        <v>5</v>
      </c>
      <c r="M221" s="52" t="s">
        <v>4071</v>
      </c>
      <c r="N221" s="52" t="s">
        <v>4072</v>
      </c>
      <c r="O221" s="52" t="s">
        <v>4073</v>
      </c>
      <c r="P221" s="52" t="s">
        <v>4074</v>
      </c>
      <c r="Q221" s="52" t="s">
        <v>4075</v>
      </c>
      <c r="R221" s="52" t="s">
        <v>4076</v>
      </c>
      <c r="S221" s="52" t="s">
        <v>7608</v>
      </c>
    </row>
    <row r="222" spans="1:19" ht="63.75">
      <c r="A222" s="64" t="s">
        <v>4078</v>
      </c>
      <c r="B222" s="64" t="s">
        <v>81</v>
      </c>
      <c r="C222" s="64" t="s">
        <v>1346</v>
      </c>
      <c r="D222" s="64" t="s">
        <v>4079</v>
      </c>
      <c r="E222" s="64" t="s">
        <v>3987</v>
      </c>
      <c r="F222" s="64" t="s">
        <v>4080</v>
      </c>
      <c r="G222" s="64">
        <v>4</v>
      </c>
      <c r="H222" s="64" t="s">
        <v>3995</v>
      </c>
      <c r="I222" s="64" t="s">
        <v>3996</v>
      </c>
      <c r="J222" s="64">
        <v>5</v>
      </c>
      <c r="K222" s="64">
        <v>5</v>
      </c>
      <c r="L222" s="64">
        <v>5</v>
      </c>
      <c r="M222" s="64" t="s">
        <v>4081</v>
      </c>
      <c r="N222" s="64" t="s">
        <v>4082</v>
      </c>
      <c r="O222" s="64" t="s">
        <v>4083</v>
      </c>
      <c r="P222" s="64" t="s">
        <v>4084</v>
      </c>
      <c r="Q222" s="64" t="s">
        <v>4085</v>
      </c>
      <c r="R222" s="64" t="s">
        <v>4086</v>
      </c>
      <c r="S222" s="64" t="s">
        <v>7615</v>
      </c>
    </row>
    <row r="223" spans="1:19" ht="63.75">
      <c r="A223" s="52" t="s">
        <v>4088</v>
      </c>
      <c r="B223" s="52" t="s">
        <v>81</v>
      </c>
      <c r="C223" s="52" t="s">
        <v>1346</v>
      </c>
      <c r="D223" s="52" t="s">
        <v>4089</v>
      </c>
      <c r="E223" s="52" t="s">
        <v>3987</v>
      </c>
      <c r="F223" s="52" t="s">
        <v>4090</v>
      </c>
      <c r="G223" s="52">
        <v>3</v>
      </c>
      <c r="H223" s="52" t="s">
        <v>3995</v>
      </c>
      <c r="I223" s="52" t="s">
        <v>3996</v>
      </c>
      <c r="J223" s="52">
        <v>5</v>
      </c>
      <c r="K223" s="52">
        <v>5</v>
      </c>
      <c r="L223" s="52">
        <v>5</v>
      </c>
      <c r="M223" s="52" t="s">
        <v>4091</v>
      </c>
      <c r="N223" s="52" t="s">
        <v>4092</v>
      </c>
      <c r="O223" s="52" t="s">
        <v>4093</v>
      </c>
      <c r="P223" s="52" t="s">
        <v>4094</v>
      </c>
      <c r="Q223" s="52" t="s">
        <v>4095</v>
      </c>
      <c r="R223" s="52" t="s">
        <v>4096</v>
      </c>
      <c r="S223" s="52" t="s">
        <v>7622</v>
      </c>
    </row>
    <row r="224" spans="1:19" ht="63.75">
      <c r="A224" s="64" t="s">
        <v>4098</v>
      </c>
      <c r="B224" s="64" t="s">
        <v>81</v>
      </c>
      <c r="C224" s="64" t="s">
        <v>1346</v>
      </c>
      <c r="D224" s="64" t="s">
        <v>4099</v>
      </c>
      <c r="E224" s="64" t="s">
        <v>3987</v>
      </c>
      <c r="F224" s="64" t="s">
        <v>4100</v>
      </c>
      <c r="G224" s="64">
        <v>5</v>
      </c>
      <c r="H224" s="64" t="s">
        <v>3995</v>
      </c>
      <c r="I224" s="64" t="s">
        <v>3996</v>
      </c>
      <c r="J224" s="64">
        <v>5</v>
      </c>
      <c r="K224" s="64">
        <v>5</v>
      </c>
      <c r="L224" s="64">
        <v>5</v>
      </c>
      <c r="M224" s="64" t="s">
        <v>4101</v>
      </c>
      <c r="N224" s="64" t="s">
        <v>4102</v>
      </c>
      <c r="O224" s="64" t="s">
        <v>4103</v>
      </c>
      <c r="P224" s="64" t="s">
        <v>4104</v>
      </c>
      <c r="Q224" s="64" t="s">
        <v>4105</v>
      </c>
      <c r="R224" s="64" t="s">
        <v>4106</v>
      </c>
      <c r="S224" s="64" t="s">
        <v>7629</v>
      </c>
    </row>
    <row r="225" spans="1:19" ht="63.75">
      <c r="A225" s="52" t="s">
        <v>4108</v>
      </c>
      <c r="B225" s="52" t="s">
        <v>81</v>
      </c>
      <c r="C225" s="52" t="s">
        <v>1354</v>
      </c>
      <c r="D225" s="52" t="s">
        <v>4109</v>
      </c>
      <c r="E225" s="52" t="s">
        <v>3987</v>
      </c>
      <c r="F225" s="52" t="s">
        <v>4110</v>
      </c>
      <c r="G225" s="52">
        <v>5</v>
      </c>
      <c r="H225" s="52" t="s">
        <v>3995</v>
      </c>
      <c r="I225" s="52" t="s">
        <v>3996</v>
      </c>
      <c r="J225" s="52">
        <v>5</v>
      </c>
      <c r="K225" s="52">
        <v>5</v>
      </c>
      <c r="L225" s="52">
        <v>5</v>
      </c>
      <c r="M225" s="52" t="s">
        <v>4111</v>
      </c>
      <c r="N225" s="52" t="s">
        <v>4112</v>
      </c>
      <c r="O225" s="52" t="s">
        <v>4113</v>
      </c>
      <c r="P225" s="52" t="s">
        <v>4114</v>
      </c>
      <c r="Q225" s="52" t="s">
        <v>4115</v>
      </c>
      <c r="R225" s="52" t="s">
        <v>4116</v>
      </c>
      <c r="S225" s="52" t="s">
        <v>7637</v>
      </c>
    </row>
    <row r="226" spans="1:19" ht="63.75">
      <c r="A226" s="64" t="s">
        <v>4118</v>
      </c>
      <c r="B226" s="64" t="s">
        <v>81</v>
      </c>
      <c r="C226" s="64" t="s">
        <v>1354</v>
      </c>
      <c r="D226" s="64" t="s">
        <v>4119</v>
      </c>
      <c r="E226" s="64" t="s">
        <v>3987</v>
      </c>
      <c r="F226" s="64" t="s">
        <v>4120</v>
      </c>
      <c r="G226" s="64">
        <v>5</v>
      </c>
      <c r="H226" s="64" t="s">
        <v>3995</v>
      </c>
      <c r="I226" s="64" t="s">
        <v>3996</v>
      </c>
      <c r="J226" s="64">
        <v>5</v>
      </c>
      <c r="K226" s="64">
        <v>5</v>
      </c>
      <c r="L226" s="64">
        <v>5</v>
      </c>
      <c r="M226" s="64" t="s">
        <v>4121</v>
      </c>
      <c r="N226" s="64" t="s">
        <v>4122</v>
      </c>
      <c r="O226" s="64" t="s">
        <v>4123</v>
      </c>
      <c r="P226" s="64" t="s">
        <v>4124</v>
      </c>
      <c r="Q226" s="64" t="s">
        <v>4125</v>
      </c>
      <c r="R226" s="64" t="s">
        <v>4126</v>
      </c>
      <c r="S226" s="64" t="s">
        <v>7644</v>
      </c>
    </row>
    <row r="227" spans="1:19" ht="63.75">
      <c r="A227" s="52" t="s">
        <v>4128</v>
      </c>
      <c r="B227" s="52" t="s">
        <v>81</v>
      </c>
      <c r="C227" s="52" t="s">
        <v>1354</v>
      </c>
      <c r="D227" s="52" t="s">
        <v>4129</v>
      </c>
      <c r="E227" s="52" t="s">
        <v>3987</v>
      </c>
      <c r="F227" s="52" t="s">
        <v>4130</v>
      </c>
      <c r="G227" s="52">
        <v>5</v>
      </c>
      <c r="H227" s="52" t="s">
        <v>3995</v>
      </c>
      <c r="I227" s="52" t="s">
        <v>3996</v>
      </c>
      <c r="J227" s="52">
        <v>5</v>
      </c>
      <c r="K227" s="52">
        <v>5</v>
      </c>
      <c r="L227" s="52">
        <v>5</v>
      </c>
      <c r="M227" s="52" t="s">
        <v>4131</v>
      </c>
      <c r="N227" s="52" t="s">
        <v>4132</v>
      </c>
      <c r="O227" s="52" t="s">
        <v>4133</v>
      </c>
      <c r="P227" s="52" t="s">
        <v>4134</v>
      </c>
      <c r="Q227" s="52" t="s">
        <v>4135</v>
      </c>
      <c r="R227" s="52" t="s">
        <v>4136</v>
      </c>
      <c r="S227" s="52" t="s">
        <v>7651</v>
      </c>
    </row>
    <row r="228" spans="1:19" ht="63.75">
      <c r="A228" s="64" t="s">
        <v>4138</v>
      </c>
      <c r="B228" s="64" t="s">
        <v>81</v>
      </c>
      <c r="C228" s="64" t="s">
        <v>1354</v>
      </c>
      <c r="D228" s="64" t="s">
        <v>4139</v>
      </c>
      <c r="E228" s="64" t="s">
        <v>3987</v>
      </c>
      <c r="F228" s="64" t="s">
        <v>4140</v>
      </c>
      <c r="G228" s="64">
        <v>3</v>
      </c>
      <c r="H228" s="64" t="s">
        <v>3995</v>
      </c>
      <c r="I228" s="64" t="s">
        <v>3996</v>
      </c>
      <c r="J228" s="64">
        <v>5</v>
      </c>
      <c r="K228" s="64">
        <v>5</v>
      </c>
      <c r="L228" s="64">
        <v>5</v>
      </c>
      <c r="M228" s="64" t="s">
        <v>4141</v>
      </c>
      <c r="N228" s="64" t="s">
        <v>4142</v>
      </c>
      <c r="O228" s="64" t="s">
        <v>4143</v>
      </c>
      <c r="P228" s="64" t="s">
        <v>4144</v>
      </c>
      <c r="Q228" s="64" t="s">
        <v>4145</v>
      </c>
      <c r="R228" s="64" t="s">
        <v>4146</v>
      </c>
      <c r="S228" s="64" t="s">
        <v>7658</v>
      </c>
    </row>
    <row r="229" spans="1:19" ht="51">
      <c r="A229" s="52" t="s">
        <v>4148</v>
      </c>
      <c r="B229" s="52" t="s">
        <v>81</v>
      </c>
      <c r="C229" s="52" t="s">
        <v>1354</v>
      </c>
      <c r="D229" s="52" t="s">
        <v>4149</v>
      </c>
      <c r="E229" s="52" t="s">
        <v>3987</v>
      </c>
      <c r="F229" s="52" t="s">
        <v>4150</v>
      </c>
      <c r="G229" s="52">
        <v>5</v>
      </c>
      <c r="H229" s="52" t="s">
        <v>3995</v>
      </c>
      <c r="I229" s="52" t="s">
        <v>3996</v>
      </c>
      <c r="J229" s="52">
        <v>5</v>
      </c>
      <c r="K229" s="52">
        <v>5</v>
      </c>
      <c r="L229" s="52">
        <v>5</v>
      </c>
      <c r="M229" s="52" t="s">
        <v>4151</v>
      </c>
      <c r="N229" s="52" t="s">
        <v>4152</v>
      </c>
      <c r="O229" s="52" t="s">
        <v>4153</v>
      </c>
      <c r="P229" s="52" t="s">
        <v>4154</v>
      </c>
      <c r="Q229" s="52" t="s">
        <v>4155</v>
      </c>
      <c r="R229" s="52" t="s">
        <v>4156</v>
      </c>
      <c r="S229" s="52" t="s">
        <v>7665</v>
      </c>
    </row>
    <row r="230" spans="1:19" ht="63.75">
      <c r="A230" s="64" t="s">
        <v>4158</v>
      </c>
      <c r="B230" s="64" t="s">
        <v>81</v>
      </c>
      <c r="C230" s="64" t="s">
        <v>1354</v>
      </c>
      <c r="D230" s="64" t="s">
        <v>4159</v>
      </c>
      <c r="E230" s="64" t="s">
        <v>3987</v>
      </c>
      <c r="F230" s="64" t="s">
        <v>4160</v>
      </c>
      <c r="G230" s="64">
        <v>5</v>
      </c>
      <c r="H230" s="64" t="s">
        <v>3995</v>
      </c>
      <c r="I230" s="64" t="s">
        <v>3996</v>
      </c>
      <c r="J230" s="64">
        <v>5</v>
      </c>
      <c r="K230" s="64">
        <v>5</v>
      </c>
      <c r="L230" s="64">
        <v>5</v>
      </c>
      <c r="M230" s="64" t="s">
        <v>4161</v>
      </c>
      <c r="N230" s="64" t="s">
        <v>4162</v>
      </c>
      <c r="O230" s="64" t="s">
        <v>4163</v>
      </c>
      <c r="P230" s="64" t="s">
        <v>4164</v>
      </c>
      <c r="Q230" s="64" t="s">
        <v>4165</v>
      </c>
      <c r="R230" s="64" t="s">
        <v>4166</v>
      </c>
      <c r="S230" s="64" t="s">
        <v>7672</v>
      </c>
    </row>
    <row r="231" spans="1:19" ht="63.75">
      <c r="A231" s="52" t="s">
        <v>4168</v>
      </c>
      <c r="B231" s="52" t="s">
        <v>81</v>
      </c>
      <c r="C231" s="52" t="s">
        <v>1362</v>
      </c>
      <c r="D231" s="52" t="s">
        <v>4169</v>
      </c>
      <c r="E231" s="52" t="s">
        <v>3987</v>
      </c>
      <c r="F231" s="52" t="s">
        <v>4170</v>
      </c>
      <c r="G231" s="52">
        <v>5</v>
      </c>
      <c r="H231" s="52" t="s">
        <v>3995</v>
      </c>
      <c r="I231" s="52" t="s">
        <v>3996</v>
      </c>
      <c r="J231" s="52">
        <v>5</v>
      </c>
      <c r="K231" s="52">
        <v>5</v>
      </c>
      <c r="L231" s="52">
        <v>5</v>
      </c>
      <c r="M231" s="52" t="s">
        <v>4171</v>
      </c>
      <c r="N231" s="52" t="s">
        <v>4172</v>
      </c>
      <c r="O231" s="52" t="s">
        <v>4173</v>
      </c>
      <c r="P231" s="52" t="s">
        <v>4174</v>
      </c>
      <c r="Q231" s="52" t="s">
        <v>4175</v>
      </c>
      <c r="R231" s="52" t="s">
        <v>4176</v>
      </c>
      <c r="S231" s="52" t="s">
        <v>7680</v>
      </c>
    </row>
    <row r="232" spans="1:19" ht="63.75">
      <c r="A232" s="64" t="s">
        <v>4178</v>
      </c>
      <c r="B232" s="64" t="s">
        <v>81</v>
      </c>
      <c r="C232" s="64" t="s">
        <v>1362</v>
      </c>
      <c r="D232" s="64" t="s">
        <v>4179</v>
      </c>
      <c r="E232" s="64" t="s">
        <v>3987</v>
      </c>
      <c r="F232" s="64" t="s">
        <v>4180</v>
      </c>
      <c r="G232" s="64">
        <v>3</v>
      </c>
      <c r="H232" s="64" t="s">
        <v>3995</v>
      </c>
      <c r="I232" s="64" t="s">
        <v>3996</v>
      </c>
      <c r="J232" s="64">
        <v>5</v>
      </c>
      <c r="K232" s="64">
        <v>5</v>
      </c>
      <c r="L232" s="64">
        <v>5</v>
      </c>
      <c r="M232" s="64" t="s">
        <v>4181</v>
      </c>
      <c r="N232" s="64" t="s">
        <v>4182</v>
      </c>
      <c r="O232" s="64" t="s">
        <v>4183</v>
      </c>
      <c r="P232" s="64" t="s">
        <v>4184</v>
      </c>
      <c r="Q232" s="64" t="s">
        <v>4185</v>
      </c>
      <c r="R232" s="64" t="s">
        <v>4186</v>
      </c>
      <c r="S232" s="64" t="s">
        <v>7687</v>
      </c>
    </row>
    <row r="233" spans="1:19" ht="63.75">
      <c r="A233" s="52" t="s">
        <v>4188</v>
      </c>
      <c r="B233" s="52" t="s">
        <v>81</v>
      </c>
      <c r="C233" s="52" t="s">
        <v>1362</v>
      </c>
      <c r="D233" s="52" t="s">
        <v>4189</v>
      </c>
      <c r="E233" s="52" t="s">
        <v>3987</v>
      </c>
      <c r="F233" s="52" t="s">
        <v>4190</v>
      </c>
      <c r="G233" s="52">
        <v>5</v>
      </c>
      <c r="H233" s="52" t="s">
        <v>3995</v>
      </c>
      <c r="I233" s="52" t="s">
        <v>3996</v>
      </c>
      <c r="J233" s="52">
        <v>5</v>
      </c>
      <c r="K233" s="52">
        <v>5</v>
      </c>
      <c r="L233" s="52">
        <v>5</v>
      </c>
      <c r="M233" s="52" t="s">
        <v>4191</v>
      </c>
      <c r="N233" s="52" t="s">
        <v>4192</v>
      </c>
      <c r="O233" s="52" t="s">
        <v>4193</v>
      </c>
      <c r="P233" s="52" t="s">
        <v>4194</v>
      </c>
      <c r="Q233" s="52" t="s">
        <v>4195</v>
      </c>
      <c r="R233" s="52" t="s">
        <v>4196</v>
      </c>
      <c r="S233" s="52" t="s">
        <v>7694</v>
      </c>
    </row>
    <row r="234" spans="1:19" ht="63.75">
      <c r="A234" s="64" t="s">
        <v>4198</v>
      </c>
      <c r="B234" s="64" t="s">
        <v>81</v>
      </c>
      <c r="C234" s="64" t="s">
        <v>1362</v>
      </c>
      <c r="D234" s="64" t="s">
        <v>4199</v>
      </c>
      <c r="E234" s="64" t="s">
        <v>3987</v>
      </c>
      <c r="F234" s="64" t="s">
        <v>4200</v>
      </c>
      <c r="G234" s="64">
        <v>5</v>
      </c>
      <c r="H234" s="64" t="s">
        <v>3995</v>
      </c>
      <c r="I234" s="64" t="s">
        <v>3996</v>
      </c>
      <c r="J234" s="64">
        <v>5</v>
      </c>
      <c r="K234" s="64">
        <v>5</v>
      </c>
      <c r="L234" s="64">
        <v>5</v>
      </c>
      <c r="M234" s="64" t="s">
        <v>4201</v>
      </c>
      <c r="N234" s="64" t="s">
        <v>4202</v>
      </c>
      <c r="O234" s="64" t="s">
        <v>4203</v>
      </c>
      <c r="P234" s="64" t="s">
        <v>4204</v>
      </c>
      <c r="Q234" s="64" t="s">
        <v>4205</v>
      </c>
      <c r="R234" s="64" t="s">
        <v>4206</v>
      </c>
      <c r="S234" s="64" t="s">
        <v>7701</v>
      </c>
    </row>
    <row r="235" spans="1:19" ht="63.75">
      <c r="A235" s="52" t="s">
        <v>4208</v>
      </c>
      <c r="B235" s="52" t="s">
        <v>81</v>
      </c>
      <c r="C235" s="52" t="s">
        <v>1362</v>
      </c>
      <c r="D235" s="52" t="s">
        <v>4209</v>
      </c>
      <c r="E235" s="52" t="s">
        <v>3987</v>
      </c>
      <c r="F235" s="52" t="s">
        <v>4210</v>
      </c>
      <c r="G235" s="52">
        <v>5</v>
      </c>
      <c r="H235" s="52" t="s">
        <v>3995</v>
      </c>
      <c r="I235" s="52" t="s">
        <v>3996</v>
      </c>
      <c r="J235" s="52">
        <v>5</v>
      </c>
      <c r="K235" s="52">
        <v>5</v>
      </c>
      <c r="L235" s="52">
        <v>5</v>
      </c>
      <c r="M235" s="52" t="s">
        <v>4211</v>
      </c>
      <c r="N235" s="52" t="s">
        <v>4212</v>
      </c>
      <c r="O235" s="52" t="s">
        <v>4213</v>
      </c>
      <c r="P235" s="52" t="s">
        <v>4214</v>
      </c>
      <c r="Q235" s="52" t="s">
        <v>4215</v>
      </c>
      <c r="R235" s="52" t="s">
        <v>4216</v>
      </c>
      <c r="S235" s="52" t="s">
        <v>7708</v>
      </c>
    </row>
    <row r="236" spans="1:19" ht="51">
      <c r="A236" s="64" t="s">
        <v>4218</v>
      </c>
      <c r="B236" s="64" t="s">
        <v>81</v>
      </c>
      <c r="C236" s="64" t="s">
        <v>1362</v>
      </c>
      <c r="D236" s="64" t="s">
        <v>4219</v>
      </c>
      <c r="E236" s="64" t="s">
        <v>3987</v>
      </c>
      <c r="F236" s="64" t="s">
        <v>4220</v>
      </c>
      <c r="G236" s="64">
        <v>3</v>
      </c>
      <c r="H236" s="64" t="s">
        <v>3995</v>
      </c>
      <c r="I236" s="64" t="s">
        <v>3996</v>
      </c>
      <c r="J236" s="64">
        <v>5</v>
      </c>
      <c r="K236" s="64">
        <v>5</v>
      </c>
      <c r="L236" s="64">
        <v>5</v>
      </c>
      <c r="M236" s="64" t="s">
        <v>4221</v>
      </c>
      <c r="N236" s="64" t="s">
        <v>4222</v>
      </c>
      <c r="O236" s="64" t="s">
        <v>4223</v>
      </c>
      <c r="P236" s="64" t="s">
        <v>4224</v>
      </c>
      <c r="Q236" s="64" t="s">
        <v>4225</v>
      </c>
      <c r="R236" s="64" t="s">
        <v>4226</v>
      </c>
      <c r="S236" s="64" t="s">
        <v>7715</v>
      </c>
    </row>
    <row r="237" spans="1:19" ht="63.75">
      <c r="A237" s="52" t="s">
        <v>4228</v>
      </c>
      <c r="B237" s="52" t="s">
        <v>81</v>
      </c>
      <c r="C237" s="52" t="s">
        <v>1370</v>
      </c>
      <c r="D237" s="52" t="s">
        <v>4229</v>
      </c>
      <c r="E237" s="52" t="s">
        <v>3987</v>
      </c>
      <c r="F237" s="52" t="s">
        <v>4230</v>
      </c>
      <c r="G237" s="52">
        <v>4</v>
      </c>
      <c r="H237" s="52" t="s">
        <v>3995</v>
      </c>
      <c r="I237" s="52" t="s">
        <v>3996</v>
      </c>
      <c r="J237" s="52">
        <v>5</v>
      </c>
      <c r="K237" s="52">
        <v>5</v>
      </c>
      <c r="L237" s="52">
        <v>5</v>
      </c>
      <c r="M237" s="52" t="s">
        <v>4231</v>
      </c>
      <c r="N237" s="52" t="s">
        <v>4232</v>
      </c>
      <c r="O237" s="52" t="s">
        <v>4233</v>
      </c>
      <c r="P237" s="52" t="s">
        <v>4234</v>
      </c>
      <c r="Q237" s="52" t="s">
        <v>4235</v>
      </c>
      <c r="R237" s="52" t="s">
        <v>4236</v>
      </c>
      <c r="S237" s="52" t="s">
        <v>7723</v>
      </c>
    </row>
    <row r="238" spans="1:19" ht="63.75">
      <c r="A238" s="64" t="s">
        <v>4238</v>
      </c>
      <c r="B238" s="64" t="s">
        <v>81</v>
      </c>
      <c r="C238" s="64" t="s">
        <v>1370</v>
      </c>
      <c r="D238" s="64" t="s">
        <v>4239</v>
      </c>
      <c r="E238" s="64" t="s">
        <v>3987</v>
      </c>
      <c r="F238" s="64" t="s">
        <v>4240</v>
      </c>
      <c r="G238" s="64">
        <v>4</v>
      </c>
      <c r="H238" s="64" t="s">
        <v>3995</v>
      </c>
      <c r="I238" s="64" t="s">
        <v>3996</v>
      </c>
      <c r="J238" s="64">
        <v>5</v>
      </c>
      <c r="K238" s="64">
        <v>5</v>
      </c>
      <c r="L238" s="64">
        <v>5</v>
      </c>
      <c r="M238" s="64" t="s">
        <v>4241</v>
      </c>
      <c r="N238" s="64" t="s">
        <v>4242</v>
      </c>
      <c r="O238" s="64" t="s">
        <v>4243</v>
      </c>
      <c r="P238" s="64" t="s">
        <v>4244</v>
      </c>
      <c r="Q238" s="64" t="s">
        <v>4245</v>
      </c>
      <c r="R238" s="64" t="s">
        <v>4246</v>
      </c>
      <c r="S238" s="64" t="s">
        <v>7730</v>
      </c>
    </row>
    <row r="239" spans="1:19" ht="63.75">
      <c r="A239" s="52" t="s">
        <v>4248</v>
      </c>
      <c r="B239" s="52" t="s">
        <v>81</v>
      </c>
      <c r="C239" s="52" t="s">
        <v>1370</v>
      </c>
      <c r="D239" s="52" t="s">
        <v>4249</v>
      </c>
      <c r="E239" s="52" t="s">
        <v>3987</v>
      </c>
      <c r="F239" s="52" t="s">
        <v>4250</v>
      </c>
      <c r="G239" s="52">
        <v>5</v>
      </c>
      <c r="H239" s="52" t="s">
        <v>3995</v>
      </c>
      <c r="I239" s="52" t="s">
        <v>3996</v>
      </c>
      <c r="J239" s="52">
        <v>5</v>
      </c>
      <c r="K239" s="52">
        <v>5</v>
      </c>
      <c r="L239" s="52">
        <v>5</v>
      </c>
      <c r="M239" s="52" t="s">
        <v>4251</v>
      </c>
      <c r="N239" s="52" t="s">
        <v>4252</v>
      </c>
      <c r="O239" s="52" t="s">
        <v>4253</v>
      </c>
      <c r="P239" s="52" t="s">
        <v>4254</v>
      </c>
      <c r="Q239" s="52" t="s">
        <v>4255</v>
      </c>
      <c r="R239" s="52" t="s">
        <v>4256</v>
      </c>
      <c r="S239" s="52" t="s">
        <v>7737</v>
      </c>
    </row>
    <row r="240" spans="1:19" ht="51">
      <c r="A240" s="64" t="s">
        <v>4258</v>
      </c>
      <c r="B240" s="64" t="s">
        <v>81</v>
      </c>
      <c r="C240" s="64" t="s">
        <v>1370</v>
      </c>
      <c r="D240" s="64" t="s">
        <v>4259</v>
      </c>
      <c r="E240" s="64" t="s">
        <v>3987</v>
      </c>
      <c r="F240" s="64" t="s">
        <v>4260</v>
      </c>
      <c r="G240" s="64">
        <v>5</v>
      </c>
      <c r="H240" s="64" t="s">
        <v>3995</v>
      </c>
      <c r="I240" s="64" t="s">
        <v>3996</v>
      </c>
      <c r="J240" s="64">
        <v>5</v>
      </c>
      <c r="K240" s="64">
        <v>5</v>
      </c>
      <c r="L240" s="64">
        <v>5</v>
      </c>
      <c r="M240" s="64" t="s">
        <v>4261</v>
      </c>
      <c r="N240" s="64" t="s">
        <v>4262</v>
      </c>
      <c r="O240" s="64" t="s">
        <v>4263</v>
      </c>
      <c r="P240" s="64" t="s">
        <v>4264</v>
      </c>
      <c r="Q240" s="64" t="s">
        <v>4265</v>
      </c>
      <c r="R240" s="64" t="s">
        <v>4266</v>
      </c>
      <c r="S240" s="64" t="s">
        <v>7744</v>
      </c>
    </row>
    <row r="241" spans="1:19" ht="63.75">
      <c r="A241" s="52" t="s">
        <v>4270</v>
      </c>
      <c r="B241" s="52" t="s">
        <v>84</v>
      </c>
      <c r="C241" s="52" t="s">
        <v>1378</v>
      </c>
      <c r="D241" s="52" t="s">
        <v>4271</v>
      </c>
      <c r="E241" s="52" t="s">
        <v>4273</v>
      </c>
      <c r="F241" s="52" t="s">
        <v>4274</v>
      </c>
      <c r="G241" s="52">
        <v>4</v>
      </c>
      <c r="H241" s="52" t="s">
        <v>4281</v>
      </c>
      <c r="I241" s="52" t="s">
        <v>4282</v>
      </c>
      <c r="J241" s="52">
        <v>5</v>
      </c>
      <c r="K241" s="52">
        <v>5</v>
      </c>
      <c r="L241" s="52">
        <v>5</v>
      </c>
      <c r="M241" s="52" t="s">
        <v>4275</v>
      </c>
      <c r="N241" s="52" t="s">
        <v>4276</v>
      </c>
      <c r="O241" s="52" t="s">
        <v>4277</v>
      </c>
      <c r="P241" s="52" t="s">
        <v>4278</v>
      </c>
      <c r="Q241" s="52" t="s">
        <v>4279</v>
      </c>
      <c r="R241" s="52" t="s">
        <v>4280</v>
      </c>
      <c r="S241" s="52" t="s">
        <v>7752</v>
      </c>
    </row>
    <row r="242" spans="1:19" ht="63.75">
      <c r="A242" s="64" t="s">
        <v>4284</v>
      </c>
      <c r="B242" s="64" t="s">
        <v>84</v>
      </c>
      <c r="C242" s="64" t="s">
        <v>1378</v>
      </c>
      <c r="D242" s="64" t="s">
        <v>4285</v>
      </c>
      <c r="E242" s="64" t="s">
        <v>4273</v>
      </c>
      <c r="F242" s="64" t="s">
        <v>4286</v>
      </c>
      <c r="G242" s="64">
        <v>4</v>
      </c>
      <c r="H242" s="64" t="s">
        <v>4281</v>
      </c>
      <c r="I242" s="64" t="s">
        <v>4282</v>
      </c>
      <c r="J242" s="64">
        <v>5</v>
      </c>
      <c r="K242" s="64">
        <v>5</v>
      </c>
      <c r="L242" s="64">
        <v>5</v>
      </c>
      <c r="M242" s="64" t="s">
        <v>4287</v>
      </c>
      <c r="N242" s="64" t="s">
        <v>4288</v>
      </c>
      <c r="O242" s="64" t="s">
        <v>4289</v>
      </c>
      <c r="P242" s="64" t="s">
        <v>4290</v>
      </c>
      <c r="Q242" s="64" t="s">
        <v>4291</v>
      </c>
      <c r="R242" s="64" t="s">
        <v>4292</v>
      </c>
      <c r="S242" s="64" t="s">
        <v>7759</v>
      </c>
    </row>
    <row r="243" spans="1:19" ht="63.75">
      <c r="A243" s="52" t="s">
        <v>4294</v>
      </c>
      <c r="B243" s="52" t="s">
        <v>84</v>
      </c>
      <c r="C243" s="52" t="s">
        <v>1378</v>
      </c>
      <c r="D243" s="52" t="s">
        <v>4295</v>
      </c>
      <c r="E243" s="52" t="s">
        <v>4273</v>
      </c>
      <c r="F243" s="52" t="s">
        <v>4296</v>
      </c>
      <c r="G243" s="52">
        <v>5</v>
      </c>
      <c r="H243" s="52" t="s">
        <v>4281</v>
      </c>
      <c r="I243" s="52" t="s">
        <v>4282</v>
      </c>
      <c r="J243" s="52">
        <v>5</v>
      </c>
      <c r="K243" s="52">
        <v>5</v>
      </c>
      <c r="L243" s="52">
        <v>5</v>
      </c>
      <c r="M243" s="52" t="s">
        <v>4297</v>
      </c>
      <c r="N243" s="52" t="s">
        <v>4298</v>
      </c>
      <c r="O243" s="52" t="s">
        <v>4299</v>
      </c>
      <c r="P243" s="52" t="s">
        <v>4300</v>
      </c>
      <c r="Q243" s="52" t="s">
        <v>4301</v>
      </c>
      <c r="R243" s="52" t="s">
        <v>4302</v>
      </c>
      <c r="S243" s="52" t="s">
        <v>7766</v>
      </c>
    </row>
    <row r="244" spans="1:19" ht="63.75">
      <c r="A244" s="64" t="s">
        <v>4304</v>
      </c>
      <c r="B244" s="64" t="s">
        <v>84</v>
      </c>
      <c r="C244" s="64" t="s">
        <v>1378</v>
      </c>
      <c r="D244" s="64" t="s">
        <v>4305</v>
      </c>
      <c r="E244" s="64" t="s">
        <v>4273</v>
      </c>
      <c r="F244" s="64" t="s">
        <v>4306</v>
      </c>
      <c r="G244" s="64">
        <v>4</v>
      </c>
      <c r="H244" s="64" t="s">
        <v>4281</v>
      </c>
      <c r="I244" s="64" t="s">
        <v>4282</v>
      </c>
      <c r="J244" s="64">
        <v>5</v>
      </c>
      <c r="K244" s="64">
        <v>5</v>
      </c>
      <c r="L244" s="64">
        <v>5</v>
      </c>
      <c r="M244" s="64" t="s">
        <v>4307</v>
      </c>
      <c r="N244" s="64" t="s">
        <v>4308</v>
      </c>
      <c r="O244" s="64" t="s">
        <v>4309</v>
      </c>
      <c r="P244" s="64" t="s">
        <v>4310</v>
      </c>
      <c r="Q244" s="64" t="s">
        <v>4311</v>
      </c>
      <c r="R244" s="64" t="s">
        <v>4312</v>
      </c>
      <c r="S244" s="64" t="s">
        <v>7773</v>
      </c>
    </row>
    <row r="245" spans="1:19" ht="51">
      <c r="A245" s="52" t="s">
        <v>4314</v>
      </c>
      <c r="B245" s="52" t="s">
        <v>84</v>
      </c>
      <c r="C245" s="52" t="s">
        <v>1378</v>
      </c>
      <c r="D245" s="52" t="s">
        <v>4315</v>
      </c>
      <c r="E245" s="52" t="s">
        <v>4273</v>
      </c>
      <c r="F245" s="52" t="s">
        <v>4316</v>
      </c>
      <c r="G245" s="52">
        <v>4</v>
      </c>
      <c r="H245" s="52" t="s">
        <v>4281</v>
      </c>
      <c r="I245" s="52" t="s">
        <v>4282</v>
      </c>
      <c r="J245" s="52">
        <v>5</v>
      </c>
      <c r="K245" s="52">
        <v>5</v>
      </c>
      <c r="L245" s="52">
        <v>5</v>
      </c>
      <c r="M245" s="52" t="s">
        <v>4317</v>
      </c>
      <c r="N245" s="52" t="s">
        <v>4318</v>
      </c>
      <c r="O245" s="52" t="s">
        <v>4319</v>
      </c>
      <c r="P245" s="52" t="s">
        <v>4320</v>
      </c>
      <c r="Q245" s="52" t="s">
        <v>4321</v>
      </c>
      <c r="R245" s="52" t="s">
        <v>4322</v>
      </c>
      <c r="S245" s="52" t="s">
        <v>7780</v>
      </c>
    </row>
    <row r="246" spans="1:19" ht="51">
      <c r="A246" s="64" t="s">
        <v>4324</v>
      </c>
      <c r="B246" s="64" t="s">
        <v>84</v>
      </c>
      <c r="C246" s="64" t="s">
        <v>1391</v>
      </c>
      <c r="D246" s="64" t="s">
        <v>4325</v>
      </c>
      <c r="E246" s="64" t="s">
        <v>4273</v>
      </c>
      <c r="F246" s="64" t="s">
        <v>4326</v>
      </c>
      <c r="G246" s="64">
        <v>4</v>
      </c>
      <c r="H246" s="64" t="s">
        <v>4281</v>
      </c>
      <c r="I246" s="64" t="s">
        <v>4282</v>
      </c>
      <c r="J246" s="64">
        <v>4</v>
      </c>
      <c r="K246" s="64">
        <v>5</v>
      </c>
      <c r="L246" s="64">
        <v>5</v>
      </c>
      <c r="M246" s="64" t="s">
        <v>4327</v>
      </c>
      <c r="N246" s="64" t="s">
        <v>4328</v>
      </c>
      <c r="O246" s="64" t="s">
        <v>4329</v>
      </c>
      <c r="P246" s="64" t="s">
        <v>4330</v>
      </c>
      <c r="Q246" s="64" t="s">
        <v>4331</v>
      </c>
      <c r="R246" s="64" t="s">
        <v>4332</v>
      </c>
      <c r="S246" s="64" t="s">
        <v>7788</v>
      </c>
    </row>
    <row r="247" spans="1:19" ht="63.75">
      <c r="A247" s="52" t="s">
        <v>4334</v>
      </c>
      <c r="B247" s="52" t="s">
        <v>84</v>
      </c>
      <c r="C247" s="52" t="s">
        <v>1391</v>
      </c>
      <c r="D247" s="52" t="s">
        <v>4335</v>
      </c>
      <c r="E247" s="52" t="s">
        <v>4273</v>
      </c>
      <c r="F247" s="52" t="s">
        <v>4336</v>
      </c>
      <c r="G247" s="52">
        <v>5</v>
      </c>
      <c r="H247" s="52" t="s">
        <v>4281</v>
      </c>
      <c r="I247" s="52" t="s">
        <v>4282</v>
      </c>
      <c r="J247" s="52">
        <v>4</v>
      </c>
      <c r="K247" s="52">
        <v>5</v>
      </c>
      <c r="L247" s="52">
        <v>5</v>
      </c>
      <c r="M247" s="52" t="s">
        <v>4337</v>
      </c>
      <c r="N247" s="52" t="s">
        <v>4338</v>
      </c>
      <c r="O247" s="52" t="s">
        <v>4339</v>
      </c>
      <c r="P247" s="52" t="s">
        <v>4340</v>
      </c>
      <c r="Q247" s="52" t="s">
        <v>4341</v>
      </c>
      <c r="R247" s="52" t="s">
        <v>4342</v>
      </c>
      <c r="S247" s="52" t="s">
        <v>7795</v>
      </c>
    </row>
    <row r="248" spans="1:19" ht="63.75">
      <c r="A248" s="64" t="s">
        <v>4344</v>
      </c>
      <c r="B248" s="64" t="s">
        <v>84</v>
      </c>
      <c r="C248" s="64" t="s">
        <v>1391</v>
      </c>
      <c r="D248" s="64" t="s">
        <v>4345</v>
      </c>
      <c r="E248" s="64" t="s">
        <v>4273</v>
      </c>
      <c r="F248" s="64" t="s">
        <v>4346</v>
      </c>
      <c r="G248" s="64">
        <v>4</v>
      </c>
      <c r="H248" s="64" t="s">
        <v>4281</v>
      </c>
      <c r="I248" s="64" t="s">
        <v>4282</v>
      </c>
      <c r="J248" s="64">
        <v>4</v>
      </c>
      <c r="K248" s="64">
        <v>5</v>
      </c>
      <c r="L248" s="64">
        <v>5</v>
      </c>
      <c r="M248" s="64" t="s">
        <v>4347</v>
      </c>
      <c r="N248" s="64" t="s">
        <v>4348</v>
      </c>
      <c r="O248" s="64" t="s">
        <v>4349</v>
      </c>
      <c r="P248" s="64" t="s">
        <v>4350</v>
      </c>
      <c r="Q248" s="64" t="s">
        <v>4351</v>
      </c>
      <c r="R248" s="64" t="s">
        <v>4352</v>
      </c>
      <c r="S248" s="64" t="s">
        <v>7802</v>
      </c>
    </row>
    <row r="249" spans="1:19" ht="63.75">
      <c r="A249" s="52" t="s">
        <v>4354</v>
      </c>
      <c r="B249" s="52" t="s">
        <v>84</v>
      </c>
      <c r="C249" s="52" t="s">
        <v>1391</v>
      </c>
      <c r="D249" s="52" t="s">
        <v>4355</v>
      </c>
      <c r="E249" s="52" t="s">
        <v>4273</v>
      </c>
      <c r="F249" s="52" t="s">
        <v>4356</v>
      </c>
      <c r="G249" s="52">
        <v>4</v>
      </c>
      <c r="H249" s="52" t="s">
        <v>4281</v>
      </c>
      <c r="I249" s="52" t="s">
        <v>4282</v>
      </c>
      <c r="J249" s="52">
        <v>4</v>
      </c>
      <c r="K249" s="52">
        <v>5</v>
      </c>
      <c r="L249" s="52">
        <v>5</v>
      </c>
      <c r="M249" s="52" t="s">
        <v>4357</v>
      </c>
      <c r="N249" s="52" t="s">
        <v>4358</v>
      </c>
      <c r="O249" s="52" t="s">
        <v>4359</v>
      </c>
      <c r="P249" s="52" t="s">
        <v>4360</v>
      </c>
      <c r="Q249" s="52" t="s">
        <v>4361</v>
      </c>
      <c r="R249" s="52" t="s">
        <v>4362</v>
      </c>
      <c r="S249" s="52" t="s">
        <v>7809</v>
      </c>
    </row>
    <row r="250" spans="1:19" ht="63.75">
      <c r="A250" s="64" t="s">
        <v>4364</v>
      </c>
      <c r="B250" s="64" t="s">
        <v>84</v>
      </c>
      <c r="C250" s="64" t="s">
        <v>1391</v>
      </c>
      <c r="D250" s="64" t="s">
        <v>4365</v>
      </c>
      <c r="E250" s="64" t="s">
        <v>4273</v>
      </c>
      <c r="F250" s="64" t="s">
        <v>4366</v>
      </c>
      <c r="G250" s="64">
        <v>3</v>
      </c>
      <c r="H250" s="64" t="s">
        <v>4281</v>
      </c>
      <c r="I250" s="64" t="s">
        <v>4282</v>
      </c>
      <c r="J250" s="64">
        <v>5</v>
      </c>
      <c r="K250" s="64">
        <v>5</v>
      </c>
      <c r="L250" s="64">
        <v>5</v>
      </c>
      <c r="M250" s="64" t="s">
        <v>4367</v>
      </c>
      <c r="N250" s="64" t="s">
        <v>4368</v>
      </c>
      <c r="O250" s="64" t="s">
        <v>4369</v>
      </c>
      <c r="P250" s="64" t="s">
        <v>4370</v>
      </c>
      <c r="Q250" s="64" t="s">
        <v>4371</v>
      </c>
      <c r="R250" s="64" t="s">
        <v>4372</v>
      </c>
      <c r="S250" s="64" t="s">
        <v>7816</v>
      </c>
    </row>
    <row r="251" spans="1:19" ht="63.75">
      <c r="A251" s="52" t="s">
        <v>4374</v>
      </c>
      <c r="B251" s="52" t="s">
        <v>84</v>
      </c>
      <c r="C251" s="52" t="s">
        <v>1399</v>
      </c>
      <c r="D251" s="52" t="s">
        <v>4375</v>
      </c>
      <c r="E251" s="52" t="s">
        <v>4273</v>
      </c>
      <c r="F251" s="52" t="s">
        <v>4376</v>
      </c>
      <c r="G251" s="52">
        <v>4</v>
      </c>
      <c r="H251" s="52" t="s">
        <v>4281</v>
      </c>
      <c r="I251" s="52" t="s">
        <v>4282</v>
      </c>
      <c r="J251" s="52">
        <v>4</v>
      </c>
      <c r="K251" s="52">
        <v>5</v>
      </c>
      <c r="L251" s="52">
        <v>5</v>
      </c>
      <c r="M251" s="52" t="s">
        <v>4377</v>
      </c>
      <c r="N251" s="52" t="s">
        <v>4378</v>
      </c>
      <c r="O251" s="52" t="s">
        <v>4379</v>
      </c>
      <c r="P251" s="52" t="s">
        <v>4380</v>
      </c>
      <c r="Q251" s="52" t="s">
        <v>4381</v>
      </c>
      <c r="R251" s="52" t="s">
        <v>4382</v>
      </c>
      <c r="S251" s="52" t="s">
        <v>7824</v>
      </c>
    </row>
    <row r="252" spans="1:19" ht="51">
      <c r="A252" s="64" t="s">
        <v>4384</v>
      </c>
      <c r="B252" s="64" t="s">
        <v>84</v>
      </c>
      <c r="C252" s="64" t="s">
        <v>1399</v>
      </c>
      <c r="D252" s="64" t="s">
        <v>4385</v>
      </c>
      <c r="E252" s="64" t="s">
        <v>4273</v>
      </c>
      <c r="F252" s="64" t="s">
        <v>4386</v>
      </c>
      <c r="G252" s="64">
        <v>4</v>
      </c>
      <c r="H252" s="64" t="s">
        <v>4281</v>
      </c>
      <c r="I252" s="64" t="s">
        <v>4282</v>
      </c>
      <c r="J252" s="64">
        <v>4</v>
      </c>
      <c r="K252" s="64">
        <v>5</v>
      </c>
      <c r="L252" s="64">
        <v>5</v>
      </c>
      <c r="M252" s="64" t="s">
        <v>4387</v>
      </c>
      <c r="N252" s="64" t="s">
        <v>4388</v>
      </c>
      <c r="O252" s="64" t="s">
        <v>4389</v>
      </c>
      <c r="P252" s="64" t="s">
        <v>4390</v>
      </c>
      <c r="Q252" s="64" t="s">
        <v>4391</v>
      </c>
      <c r="R252" s="64" t="s">
        <v>4392</v>
      </c>
      <c r="S252" s="64" t="s">
        <v>7831</v>
      </c>
    </row>
    <row r="253" spans="1:19" ht="51">
      <c r="A253" s="52" t="s">
        <v>4394</v>
      </c>
      <c r="B253" s="52" t="s">
        <v>84</v>
      </c>
      <c r="C253" s="52" t="s">
        <v>1399</v>
      </c>
      <c r="D253" s="52" t="s">
        <v>4395</v>
      </c>
      <c r="E253" s="52" t="s">
        <v>4273</v>
      </c>
      <c r="F253" s="52" t="s">
        <v>4396</v>
      </c>
      <c r="G253" s="52">
        <v>3</v>
      </c>
      <c r="H253" s="52" t="s">
        <v>4281</v>
      </c>
      <c r="I253" s="52" t="s">
        <v>4282</v>
      </c>
      <c r="J253" s="52">
        <v>4</v>
      </c>
      <c r="K253" s="52">
        <v>5</v>
      </c>
      <c r="L253" s="52">
        <v>5</v>
      </c>
      <c r="M253" s="52" t="s">
        <v>4397</v>
      </c>
      <c r="N253" s="52" t="s">
        <v>4398</v>
      </c>
      <c r="O253" s="52" t="s">
        <v>4399</v>
      </c>
      <c r="P253" s="52" t="s">
        <v>4400</v>
      </c>
      <c r="Q253" s="52" t="s">
        <v>4401</v>
      </c>
      <c r="R253" s="52" t="s">
        <v>4402</v>
      </c>
      <c r="S253" s="52" t="s">
        <v>7838</v>
      </c>
    </row>
    <row r="254" spans="1:19" ht="63.75">
      <c r="A254" s="64" t="s">
        <v>4404</v>
      </c>
      <c r="B254" s="64" t="s">
        <v>84</v>
      </c>
      <c r="C254" s="64" t="s">
        <v>1399</v>
      </c>
      <c r="D254" s="64" t="s">
        <v>4405</v>
      </c>
      <c r="E254" s="64" t="s">
        <v>4273</v>
      </c>
      <c r="F254" s="64" t="s">
        <v>4406</v>
      </c>
      <c r="G254" s="64">
        <v>5</v>
      </c>
      <c r="H254" s="64" t="s">
        <v>4281</v>
      </c>
      <c r="I254" s="64" t="s">
        <v>4282</v>
      </c>
      <c r="J254" s="64">
        <v>4</v>
      </c>
      <c r="K254" s="64">
        <v>5</v>
      </c>
      <c r="L254" s="64">
        <v>5</v>
      </c>
      <c r="M254" s="64" t="s">
        <v>4407</v>
      </c>
      <c r="N254" s="64" t="s">
        <v>4408</v>
      </c>
      <c r="O254" s="64" t="s">
        <v>4409</v>
      </c>
      <c r="P254" s="64" t="s">
        <v>4410</v>
      </c>
      <c r="Q254" s="64" t="s">
        <v>4411</v>
      </c>
      <c r="R254" s="64" t="s">
        <v>4412</v>
      </c>
      <c r="S254" s="64" t="s">
        <v>7845</v>
      </c>
    </row>
    <row r="255" spans="1:19" ht="63.75">
      <c r="A255" s="52" t="s">
        <v>4414</v>
      </c>
      <c r="B255" s="52" t="s">
        <v>84</v>
      </c>
      <c r="C255" s="52" t="s">
        <v>1399</v>
      </c>
      <c r="D255" s="52" t="s">
        <v>4415</v>
      </c>
      <c r="E255" s="52" t="s">
        <v>4273</v>
      </c>
      <c r="F255" s="52" t="s">
        <v>4416</v>
      </c>
      <c r="G255" s="52">
        <v>5</v>
      </c>
      <c r="H255" s="52" t="s">
        <v>4281</v>
      </c>
      <c r="I255" s="52" t="s">
        <v>4282</v>
      </c>
      <c r="J255" s="52">
        <v>5</v>
      </c>
      <c r="K255" s="52">
        <v>5</v>
      </c>
      <c r="L255" s="52">
        <v>5</v>
      </c>
      <c r="M255" s="52" t="s">
        <v>4417</v>
      </c>
      <c r="N255" s="52" t="s">
        <v>4418</v>
      </c>
      <c r="O255" s="52" t="s">
        <v>4419</v>
      </c>
      <c r="P255" s="52" t="s">
        <v>4420</v>
      </c>
      <c r="Q255" s="52" t="s">
        <v>4421</v>
      </c>
      <c r="R255" s="52" t="s">
        <v>4422</v>
      </c>
      <c r="S255" s="52" t="s">
        <v>7852</v>
      </c>
    </row>
    <row r="256" spans="1:19" ht="63.75">
      <c r="A256" s="64" t="s">
        <v>4424</v>
      </c>
      <c r="B256" s="64" t="s">
        <v>84</v>
      </c>
      <c r="C256" s="64" t="s">
        <v>1399</v>
      </c>
      <c r="D256" s="64" t="s">
        <v>4425</v>
      </c>
      <c r="E256" s="64" t="s">
        <v>4273</v>
      </c>
      <c r="F256" s="64" t="s">
        <v>4426</v>
      </c>
      <c r="G256" s="64">
        <v>3</v>
      </c>
      <c r="H256" s="64" t="s">
        <v>4281</v>
      </c>
      <c r="I256" s="64" t="s">
        <v>4282</v>
      </c>
      <c r="J256" s="64">
        <v>4</v>
      </c>
      <c r="K256" s="64">
        <v>5</v>
      </c>
      <c r="L256" s="64">
        <v>5</v>
      </c>
      <c r="M256" s="64" t="s">
        <v>4427</v>
      </c>
      <c r="N256" s="64" t="s">
        <v>4428</v>
      </c>
      <c r="O256" s="64" t="s">
        <v>4429</v>
      </c>
      <c r="P256" s="64" t="s">
        <v>4430</v>
      </c>
      <c r="Q256" s="64" t="s">
        <v>4431</v>
      </c>
      <c r="R256" s="64" t="s">
        <v>4432</v>
      </c>
      <c r="S256" s="64" t="s">
        <v>7859</v>
      </c>
    </row>
    <row r="257" spans="1:19" ht="63.75">
      <c r="A257" s="52" t="s">
        <v>4434</v>
      </c>
      <c r="B257" s="52" t="s">
        <v>84</v>
      </c>
      <c r="C257" s="52" t="s">
        <v>1407</v>
      </c>
      <c r="D257" s="52" t="s">
        <v>4435</v>
      </c>
      <c r="E257" s="52" t="s">
        <v>4273</v>
      </c>
      <c r="F257" s="52" t="s">
        <v>4436</v>
      </c>
      <c r="G257" s="52">
        <v>4</v>
      </c>
      <c r="H257" s="52" t="s">
        <v>4281</v>
      </c>
      <c r="I257" s="52" t="s">
        <v>4282</v>
      </c>
      <c r="J257" s="52">
        <v>4</v>
      </c>
      <c r="K257" s="52">
        <v>5</v>
      </c>
      <c r="L257" s="52">
        <v>5</v>
      </c>
      <c r="M257" s="52" t="s">
        <v>4437</v>
      </c>
      <c r="N257" s="52" t="s">
        <v>4438</v>
      </c>
      <c r="O257" s="52" t="s">
        <v>4439</v>
      </c>
      <c r="P257" s="52" t="s">
        <v>4440</v>
      </c>
      <c r="Q257" s="52" t="s">
        <v>4441</v>
      </c>
      <c r="R257" s="52" t="s">
        <v>4442</v>
      </c>
      <c r="S257" s="52" t="s">
        <v>7867</v>
      </c>
    </row>
    <row r="258" spans="1:19" ht="63.75">
      <c r="A258" s="64" t="s">
        <v>4444</v>
      </c>
      <c r="B258" s="64" t="s">
        <v>84</v>
      </c>
      <c r="C258" s="64" t="s">
        <v>1407</v>
      </c>
      <c r="D258" s="64" t="s">
        <v>4445</v>
      </c>
      <c r="E258" s="64" t="s">
        <v>4273</v>
      </c>
      <c r="F258" s="64" t="s">
        <v>4446</v>
      </c>
      <c r="G258" s="64">
        <v>5</v>
      </c>
      <c r="H258" s="64" t="s">
        <v>4281</v>
      </c>
      <c r="I258" s="64" t="s">
        <v>4282</v>
      </c>
      <c r="J258" s="64">
        <v>4</v>
      </c>
      <c r="K258" s="64">
        <v>5</v>
      </c>
      <c r="L258" s="64">
        <v>5</v>
      </c>
      <c r="M258" s="64" t="s">
        <v>4447</v>
      </c>
      <c r="N258" s="64" t="s">
        <v>4448</v>
      </c>
      <c r="O258" s="64" t="s">
        <v>4449</v>
      </c>
      <c r="P258" s="64" t="s">
        <v>4450</v>
      </c>
      <c r="Q258" s="64" t="s">
        <v>4451</v>
      </c>
      <c r="R258" s="64" t="s">
        <v>4452</v>
      </c>
      <c r="S258" s="64" t="s">
        <v>7874</v>
      </c>
    </row>
    <row r="259" spans="1:19" ht="51">
      <c r="A259" s="52" t="s">
        <v>4454</v>
      </c>
      <c r="B259" s="52" t="s">
        <v>84</v>
      </c>
      <c r="C259" s="52" t="s">
        <v>1407</v>
      </c>
      <c r="D259" s="52" t="s">
        <v>4455</v>
      </c>
      <c r="E259" s="52" t="s">
        <v>4273</v>
      </c>
      <c r="F259" s="52" t="s">
        <v>4456</v>
      </c>
      <c r="G259" s="52">
        <v>4</v>
      </c>
      <c r="H259" s="52" t="s">
        <v>4281</v>
      </c>
      <c r="I259" s="52" t="s">
        <v>4282</v>
      </c>
      <c r="J259" s="52">
        <v>4</v>
      </c>
      <c r="K259" s="52">
        <v>5</v>
      </c>
      <c r="L259" s="52">
        <v>5</v>
      </c>
      <c r="M259" s="52" t="s">
        <v>4457</v>
      </c>
      <c r="N259" s="52" t="s">
        <v>4458</v>
      </c>
      <c r="O259" s="52" t="s">
        <v>4459</v>
      </c>
      <c r="P259" s="52" t="s">
        <v>4460</v>
      </c>
      <c r="Q259" s="52" t="s">
        <v>4461</v>
      </c>
      <c r="R259" s="52" t="s">
        <v>4462</v>
      </c>
      <c r="S259" s="52" t="s">
        <v>7881</v>
      </c>
    </row>
    <row r="260" spans="1:19" ht="63.75">
      <c r="A260" s="64" t="s">
        <v>4464</v>
      </c>
      <c r="B260" s="64" t="s">
        <v>84</v>
      </c>
      <c r="C260" s="64" t="s">
        <v>1407</v>
      </c>
      <c r="D260" s="64" t="s">
        <v>4465</v>
      </c>
      <c r="E260" s="64" t="s">
        <v>4273</v>
      </c>
      <c r="F260" s="64" t="s">
        <v>4466</v>
      </c>
      <c r="G260" s="64">
        <v>5</v>
      </c>
      <c r="H260" s="64" t="s">
        <v>4281</v>
      </c>
      <c r="I260" s="64" t="s">
        <v>4282</v>
      </c>
      <c r="J260" s="64">
        <v>4</v>
      </c>
      <c r="K260" s="64">
        <v>5</v>
      </c>
      <c r="L260" s="64">
        <v>5</v>
      </c>
      <c r="M260" s="64" t="s">
        <v>4467</v>
      </c>
      <c r="N260" s="64" t="s">
        <v>4468</v>
      </c>
      <c r="O260" s="64" t="s">
        <v>4469</v>
      </c>
      <c r="P260" s="64" t="s">
        <v>4470</v>
      </c>
      <c r="Q260" s="64" t="s">
        <v>4471</v>
      </c>
      <c r="R260" s="64" t="s">
        <v>4472</v>
      </c>
      <c r="S260" s="64" t="s">
        <v>7888</v>
      </c>
    </row>
    <row r="261" spans="1:19" ht="63.75">
      <c r="A261" s="52" t="s">
        <v>4474</v>
      </c>
      <c r="B261" s="52" t="s">
        <v>84</v>
      </c>
      <c r="C261" s="52" t="s">
        <v>1407</v>
      </c>
      <c r="D261" s="52" t="s">
        <v>4475</v>
      </c>
      <c r="E261" s="52" t="s">
        <v>4273</v>
      </c>
      <c r="F261" s="52" t="s">
        <v>4476</v>
      </c>
      <c r="G261" s="52">
        <v>5</v>
      </c>
      <c r="H261" s="52" t="s">
        <v>4281</v>
      </c>
      <c r="I261" s="52" t="s">
        <v>4282</v>
      </c>
      <c r="J261" s="52">
        <v>4</v>
      </c>
      <c r="K261" s="52">
        <v>5</v>
      </c>
      <c r="L261" s="52">
        <v>5</v>
      </c>
      <c r="M261" s="52" t="s">
        <v>4477</v>
      </c>
      <c r="N261" s="52" t="s">
        <v>4478</v>
      </c>
      <c r="O261" s="52" t="s">
        <v>4479</v>
      </c>
      <c r="P261" s="52" t="s">
        <v>4480</v>
      </c>
      <c r="Q261" s="52" t="s">
        <v>4481</v>
      </c>
      <c r="R261" s="52" t="s">
        <v>4482</v>
      </c>
      <c r="S261" s="52" t="s">
        <v>7895</v>
      </c>
    </row>
    <row r="262" spans="1:19" ht="63.75">
      <c r="A262" s="64" t="s">
        <v>4486</v>
      </c>
      <c r="B262" s="64" t="s">
        <v>87</v>
      </c>
      <c r="C262" s="64" t="s">
        <v>1415</v>
      </c>
      <c r="D262" s="64" t="s">
        <v>4487</v>
      </c>
      <c r="E262" s="64" t="s">
        <v>4489</v>
      </c>
      <c r="F262" s="64" t="s">
        <v>4490</v>
      </c>
      <c r="G262" s="64">
        <v>3</v>
      </c>
      <c r="H262" s="64" t="s">
        <v>4497</v>
      </c>
      <c r="I262" s="64" t="s">
        <v>4498</v>
      </c>
      <c r="J262" s="64">
        <v>4</v>
      </c>
      <c r="K262" s="64">
        <v>5</v>
      </c>
      <c r="L262" s="64">
        <v>5</v>
      </c>
      <c r="M262" s="64" t="s">
        <v>4491</v>
      </c>
      <c r="N262" s="64" t="s">
        <v>4492</v>
      </c>
      <c r="O262" s="64" t="s">
        <v>4493</v>
      </c>
      <c r="P262" s="64" t="s">
        <v>4494</v>
      </c>
      <c r="Q262" s="64" t="s">
        <v>4495</v>
      </c>
      <c r="R262" s="64" t="s">
        <v>4496</v>
      </c>
      <c r="S262" s="64" t="s">
        <v>7903</v>
      </c>
    </row>
    <row r="263" spans="1:19" ht="63.75">
      <c r="A263" s="52" t="s">
        <v>4500</v>
      </c>
      <c r="B263" s="52" t="s">
        <v>87</v>
      </c>
      <c r="C263" s="52" t="s">
        <v>1415</v>
      </c>
      <c r="D263" s="52" t="s">
        <v>4501</v>
      </c>
      <c r="E263" s="52" t="s">
        <v>4489</v>
      </c>
      <c r="F263" s="52" t="s">
        <v>4502</v>
      </c>
      <c r="G263" s="52">
        <v>5</v>
      </c>
      <c r="H263" s="52" t="s">
        <v>4497</v>
      </c>
      <c r="I263" s="52" t="s">
        <v>4498</v>
      </c>
      <c r="J263" s="52">
        <v>4</v>
      </c>
      <c r="K263" s="52">
        <v>5</v>
      </c>
      <c r="L263" s="52">
        <v>5</v>
      </c>
      <c r="M263" s="52" t="s">
        <v>4503</v>
      </c>
      <c r="N263" s="52" t="s">
        <v>4504</v>
      </c>
      <c r="O263" s="52" t="s">
        <v>4505</v>
      </c>
      <c r="P263" s="52" t="s">
        <v>4506</v>
      </c>
      <c r="Q263" s="52" t="s">
        <v>4507</v>
      </c>
      <c r="R263" s="52" t="s">
        <v>4508</v>
      </c>
      <c r="S263" s="52" t="s">
        <v>7910</v>
      </c>
    </row>
    <row r="264" spans="1:19" ht="63.75">
      <c r="A264" s="64" t="s">
        <v>4510</v>
      </c>
      <c r="B264" s="64" t="s">
        <v>87</v>
      </c>
      <c r="C264" s="64" t="s">
        <v>1415</v>
      </c>
      <c r="D264" s="64" t="s">
        <v>4511</v>
      </c>
      <c r="E264" s="64" t="s">
        <v>4489</v>
      </c>
      <c r="F264" s="64" t="s">
        <v>4512</v>
      </c>
      <c r="G264" s="64">
        <v>5</v>
      </c>
      <c r="H264" s="64" t="s">
        <v>4497</v>
      </c>
      <c r="I264" s="64" t="s">
        <v>4498</v>
      </c>
      <c r="J264" s="64">
        <v>4</v>
      </c>
      <c r="K264" s="64">
        <v>5</v>
      </c>
      <c r="L264" s="64">
        <v>5</v>
      </c>
      <c r="M264" s="64" t="s">
        <v>4513</v>
      </c>
      <c r="N264" s="64" t="s">
        <v>4514</v>
      </c>
      <c r="O264" s="64" t="s">
        <v>4515</v>
      </c>
      <c r="P264" s="64" t="s">
        <v>4516</v>
      </c>
      <c r="Q264" s="64" t="s">
        <v>4517</v>
      </c>
      <c r="R264" s="64" t="s">
        <v>4518</v>
      </c>
      <c r="S264" s="64" t="s">
        <v>7917</v>
      </c>
    </row>
    <row r="265" spans="1:19" ht="63.75">
      <c r="A265" s="52" t="s">
        <v>4520</v>
      </c>
      <c r="B265" s="52" t="s">
        <v>87</v>
      </c>
      <c r="C265" s="52" t="s">
        <v>1415</v>
      </c>
      <c r="D265" s="52" t="s">
        <v>4521</v>
      </c>
      <c r="E265" s="52" t="s">
        <v>4489</v>
      </c>
      <c r="F265" s="52" t="s">
        <v>4522</v>
      </c>
      <c r="G265" s="52">
        <v>3</v>
      </c>
      <c r="H265" s="52" t="s">
        <v>4497</v>
      </c>
      <c r="I265" s="52" t="s">
        <v>4498</v>
      </c>
      <c r="J265" s="52">
        <v>4</v>
      </c>
      <c r="K265" s="52">
        <v>5</v>
      </c>
      <c r="L265" s="52">
        <v>5</v>
      </c>
      <c r="M265" s="52" t="s">
        <v>4523</v>
      </c>
      <c r="N265" s="52" t="s">
        <v>4524</v>
      </c>
      <c r="O265" s="52" t="s">
        <v>4525</v>
      </c>
      <c r="P265" s="52" t="s">
        <v>4526</v>
      </c>
      <c r="Q265" s="52" t="s">
        <v>4527</v>
      </c>
      <c r="R265" s="52" t="s">
        <v>4528</v>
      </c>
      <c r="S265" s="52" t="s">
        <v>7924</v>
      </c>
    </row>
    <row r="266" spans="1:19" ht="51">
      <c r="A266" s="64" t="s">
        <v>4530</v>
      </c>
      <c r="B266" s="64" t="s">
        <v>87</v>
      </c>
      <c r="C266" s="64" t="s">
        <v>1415</v>
      </c>
      <c r="D266" s="64" t="s">
        <v>4531</v>
      </c>
      <c r="E266" s="64" t="s">
        <v>4489</v>
      </c>
      <c r="F266" s="64" t="s">
        <v>4532</v>
      </c>
      <c r="G266" s="64">
        <v>3</v>
      </c>
      <c r="H266" s="64" t="s">
        <v>4497</v>
      </c>
      <c r="I266" s="64" t="s">
        <v>4498</v>
      </c>
      <c r="J266" s="64">
        <v>4</v>
      </c>
      <c r="K266" s="64">
        <v>5</v>
      </c>
      <c r="L266" s="64">
        <v>5</v>
      </c>
      <c r="M266" s="64" t="s">
        <v>4533</v>
      </c>
      <c r="N266" s="64" t="s">
        <v>4534</v>
      </c>
      <c r="O266" s="64" t="s">
        <v>4535</v>
      </c>
      <c r="P266" s="64" t="s">
        <v>4536</v>
      </c>
      <c r="Q266" s="64" t="s">
        <v>4537</v>
      </c>
      <c r="R266" s="64" t="s">
        <v>4538</v>
      </c>
      <c r="S266" s="64" t="s">
        <v>7931</v>
      </c>
    </row>
    <row r="267" spans="1:19" ht="63.75">
      <c r="A267" s="52" t="s">
        <v>4540</v>
      </c>
      <c r="B267" s="52" t="s">
        <v>87</v>
      </c>
      <c r="C267" s="52" t="s">
        <v>1425</v>
      </c>
      <c r="D267" s="52" t="s">
        <v>4541</v>
      </c>
      <c r="E267" s="52" t="s">
        <v>4489</v>
      </c>
      <c r="F267" s="52" t="s">
        <v>4542</v>
      </c>
      <c r="G267" s="52">
        <v>5</v>
      </c>
      <c r="H267" s="52" t="s">
        <v>4497</v>
      </c>
      <c r="I267" s="52" t="s">
        <v>4498</v>
      </c>
      <c r="J267" s="52">
        <v>4</v>
      </c>
      <c r="K267" s="52">
        <v>5</v>
      </c>
      <c r="L267" s="52">
        <v>5</v>
      </c>
      <c r="M267" s="52" t="s">
        <v>4543</v>
      </c>
      <c r="N267" s="52" t="s">
        <v>4544</v>
      </c>
      <c r="O267" s="52" t="s">
        <v>4545</v>
      </c>
      <c r="P267" s="52" t="s">
        <v>4546</v>
      </c>
      <c r="Q267" s="52" t="s">
        <v>4547</v>
      </c>
      <c r="R267" s="52" t="s">
        <v>4548</v>
      </c>
      <c r="S267" s="52" t="s">
        <v>7939</v>
      </c>
    </row>
    <row r="268" spans="1:19" ht="51">
      <c r="A268" s="64" t="s">
        <v>4550</v>
      </c>
      <c r="B268" s="64" t="s">
        <v>87</v>
      </c>
      <c r="C268" s="64" t="s">
        <v>1425</v>
      </c>
      <c r="D268" s="64" t="s">
        <v>4551</v>
      </c>
      <c r="E268" s="64" t="s">
        <v>4489</v>
      </c>
      <c r="F268" s="64" t="s">
        <v>4552</v>
      </c>
      <c r="G268" s="64">
        <v>5</v>
      </c>
      <c r="H268" s="64" t="s">
        <v>4497</v>
      </c>
      <c r="I268" s="64" t="s">
        <v>4498</v>
      </c>
      <c r="J268" s="64">
        <v>5</v>
      </c>
      <c r="K268" s="64">
        <v>5</v>
      </c>
      <c r="L268" s="64">
        <v>5</v>
      </c>
      <c r="M268" s="64" t="s">
        <v>4553</v>
      </c>
      <c r="N268" s="64" t="s">
        <v>4554</v>
      </c>
      <c r="O268" s="64" t="s">
        <v>4555</v>
      </c>
      <c r="P268" s="64" t="s">
        <v>4556</v>
      </c>
      <c r="Q268" s="64" t="s">
        <v>4557</v>
      </c>
      <c r="R268" s="64" t="s">
        <v>4558</v>
      </c>
      <c r="S268" s="64" t="s">
        <v>7946</v>
      </c>
    </row>
    <row r="269" spans="1:19" ht="51">
      <c r="A269" s="52" t="s">
        <v>4560</v>
      </c>
      <c r="B269" s="52" t="s">
        <v>87</v>
      </c>
      <c r="C269" s="52" t="s">
        <v>1425</v>
      </c>
      <c r="D269" s="52" t="s">
        <v>4561</v>
      </c>
      <c r="E269" s="52" t="s">
        <v>4489</v>
      </c>
      <c r="F269" s="52" t="s">
        <v>4562</v>
      </c>
      <c r="G269" s="52">
        <v>4</v>
      </c>
      <c r="H269" s="52" t="s">
        <v>4497</v>
      </c>
      <c r="I269" s="52" t="s">
        <v>4498</v>
      </c>
      <c r="J269" s="52">
        <v>4</v>
      </c>
      <c r="K269" s="52">
        <v>5</v>
      </c>
      <c r="L269" s="52">
        <v>5</v>
      </c>
      <c r="M269" s="52" t="s">
        <v>4563</v>
      </c>
      <c r="N269" s="52" t="s">
        <v>4564</v>
      </c>
      <c r="O269" s="52" t="s">
        <v>4565</v>
      </c>
      <c r="P269" s="52" t="s">
        <v>4566</v>
      </c>
      <c r="Q269" s="52" t="s">
        <v>4567</v>
      </c>
      <c r="R269" s="52" t="s">
        <v>4568</v>
      </c>
      <c r="S269" s="52" t="s">
        <v>7953</v>
      </c>
    </row>
    <row r="270" spans="1:19" ht="51">
      <c r="A270" s="64" t="s">
        <v>4570</v>
      </c>
      <c r="B270" s="64" t="s">
        <v>87</v>
      </c>
      <c r="C270" s="64" t="s">
        <v>1425</v>
      </c>
      <c r="D270" s="64" t="s">
        <v>4571</v>
      </c>
      <c r="E270" s="64" t="s">
        <v>4489</v>
      </c>
      <c r="F270" s="64" t="s">
        <v>4572</v>
      </c>
      <c r="G270" s="64">
        <v>3</v>
      </c>
      <c r="H270" s="64" t="s">
        <v>4497</v>
      </c>
      <c r="I270" s="64" t="s">
        <v>4498</v>
      </c>
      <c r="J270" s="64">
        <v>4</v>
      </c>
      <c r="K270" s="64">
        <v>5</v>
      </c>
      <c r="L270" s="64">
        <v>5</v>
      </c>
      <c r="M270" s="64" t="s">
        <v>4573</v>
      </c>
      <c r="N270" s="64" t="s">
        <v>4574</v>
      </c>
      <c r="O270" s="64" t="s">
        <v>4575</v>
      </c>
      <c r="P270" s="64" t="s">
        <v>4576</v>
      </c>
      <c r="Q270" s="64" t="s">
        <v>4577</v>
      </c>
      <c r="R270" s="64" t="s">
        <v>4578</v>
      </c>
      <c r="S270" s="64" t="s">
        <v>7960</v>
      </c>
    </row>
    <row r="271" spans="1:19" ht="76.5">
      <c r="A271" s="52" t="s">
        <v>4580</v>
      </c>
      <c r="B271" s="52" t="s">
        <v>87</v>
      </c>
      <c r="C271" s="52" t="s">
        <v>1425</v>
      </c>
      <c r="D271" s="52" t="s">
        <v>4581</v>
      </c>
      <c r="E271" s="52" t="s">
        <v>4489</v>
      </c>
      <c r="F271" s="52" t="s">
        <v>4582</v>
      </c>
      <c r="G271" s="52">
        <v>4</v>
      </c>
      <c r="H271" s="52" t="s">
        <v>4497</v>
      </c>
      <c r="I271" s="52" t="s">
        <v>4498</v>
      </c>
      <c r="J271" s="52">
        <v>4</v>
      </c>
      <c r="K271" s="52">
        <v>5</v>
      </c>
      <c r="L271" s="52">
        <v>5</v>
      </c>
      <c r="M271" s="52" t="s">
        <v>4583</v>
      </c>
      <c r="N271" s="52" t="s">
        <v>4584</v>
      </c>
      <c r="O271" s="52" t="s">
        <v>4585</v>
      </c>
      <c r="P271" s="52" t="s">
        <v>4586</v>
      </c>
      <c r="Q271" s="52" t="s">
        <v>4587</v>
      </c>
      <c r="R271" s="52" t="s">
        <v>4588</v>
      </c>
      <c r="S271" s="52" t="s">
        <v>7967</v>
      </c>
    </row>
    <row r="272" spans="1:19" ht="63.75">
      <c r="A272" s="64" t="s">
        <v>4590</v>
      </c>
      <c r="B272" s="64" t="s">
        <v>87</v>
      </c>
      <c r="C272" s="64" t="s">
        <v>1425</v>
      </c>
      <c r="D272" s="64" t="s">
        <v>4591</v>
      </c>
      <c r="E272" s="64" t="s">
        <v>4489</v>
      </c>
      <c r="F272" s="64" t="s">
        <v>4592</v>
      </c>
      <c r="G272" s="64">
        <v>3</v>
      </c>
      <c r="H272" s="64" t="s">
        <v>4497</v>
      </c>
      <c r="I272" s="64" t="s">
        <v>4498</v>
      </c>
      <c r="J272" s="64">
        <v>4</v>
      </c>
      <c r="K272" s="64">
        <v>5</v>
      </c>
      <c r="L272" s="64">
        <v>5</v>
      </c>
      <c r="M272" s="64" t="s">
        <v>4593</v>
      </c>
      <c r="N272" s="64" t="s">
        <v>4594</v>
      </c>
      <c r="O272" s="64" t="s">
        <v>4595</v>
      </c>
      <c r="P272" s="64" t="s">
        <v>4596</v>
      </c>
      <c r="Q272" s="64" t="s">
        <v>4597</v>
      </c>
      <c r="R272" s="64" t="s">
        <v>4598</v>
      </c>
      <c r="S272" s="64" t="s">
        <v>7974</v>
      </c>
    </row>
    <row r="273" spans="1:19" ht="63.75">
      <c r="A273" s="52" t="s">
        <v>4600</v>
      </c>
      <c r="B273" s="52" t="s">
        <v>87</v>
      </c>
      <c r="C273" s="52" t="s">
        <v>1433</v>
      </c>
      <c r="D273" s="52" t="s">
        <v>4601</v>
      </c>
      <c r="E273" s="52" t="s">
        <v>4489</v>
      </c>
      <c r="F273" s="52" t="s">
        <v>4602</v>
      </c>
      <c r="G273" s="52">
        <v>5</v>
      </c>
      <c r="H273" s="52" t="s">
        <v>4497</v>
      </c>
      <c r="I273" s="52" t="s">
        <v>4498</v>
      </c>
      <c r="J273" s="52">
        <v>5</v>
      </c>
      <c r="K273" s="52">
        <v>5</v>
      </c>
      <c r="L273" s="52">
        <v>5</v>
      </c>
      <c r="M273" s="52" t="s">
        <v>4603</v>
      </c>
      <c r="N273" s="52" t="s">
        <v>4604</v>
      </c>
      <c r="O273" s="52" t="s">
        <v>4605</v>
      </c>
      <c r="P273" s="52" t="s">
        <v>4606</v>
      </c>
      <c r="Q273" s="52" t="s">
        <v>4607</v>
      </c>
      <c r="R273" s="52" t="s">
        <v>4608</v>
      </c>
      <c r="S273" s="52" t="s">
        <v>7982</v>
      </c>
    </row>
    <row r="274" spans="1:19" ht="63.75">
      <c r="A274" s="64" t="s">
        <v>4610</v>
      </c>
      <c r="B274" s="64" t="s">
        <v>87</v>
      </c>
      <c r="C274" s="64" t="s">
        <v>1433</v>
      </c>
      <c r="D274" s="64" t="s">
        <v>4611</v>
      </c>
      <c r="E274" s="64" t="s">
        <v>4489</v>
      </c>
      <c r="F274" s="64" t="s">
        <v>4612</v>
      </c>
      <c r="G274" s="64">
        <v>3</v>
      </c>
      <c r="H274" s="64" t="s">
        <v>4497</v>
      </c>
      <c r="I274" s="64" t="s">
        <v>4498</v>
      </c>
      <c r="J274" s="64">
        <v>5</v>
      </c>
      <c r="K274" s="64">
        <v>5</v>
      </c>
      <c r="L274" s="64">
        <v>5</v>
      </c>
      <c r="M274" s="64" t="s">
        <v>4613</v>
      </c>
      <c r="N274" s="64" t="s">
        <v>4614</v>
      </c>
      <c r="O274" s="64" t="s">
        <v>4615</v>
      </c>
      <c r="P274" s="64" t="s">
        <v>4616</v>
      </c>
      <c r="Q274" s="64" t="s">
        <v>4617</v>
      </c>
      <c r="R274" s="64" t="s">
        <v>4618</v>
      </c>
      <c r="S274" s="64" t="s">
        <v>7989</v>
      </c>
    </row>
    <row r="275" spans="1:19" ht="63.75">
      <c r="A275" s="52" t="s">
        <v>4620</v>
      </c>
      <c r="B275" s="52" t="s">
        <v>87</v>
      </c>
      <c r="C275" s="52" t="s">
        <v>1433</v>
      </c>
      <c r="D275" s="52" t="s">
        <v>4621</v>
      </c>
      <c r="E275" s="52" t="s">
        <v>4489</v>
      </c>
      <c r="F275" s="52" t="s">
        <v>4622</v>
      </c>
      <c r="G275" s="52">
        <v>4</v>
      </c>
      <c r="H275" s="52" t="s">
        <v>4497</v>
      </c>
      <c r="I275" s="52" t="s">
        <v>4498</v>
      </c>
      <c r="J275" s="52">
        <v>4</v>
      </c>
      <c r="K275" s="52">
        <v>5</v>
      </c>
      <c r="L275" s="52">
        <v>5</v>
      </c>
      <c r="M275" s="52" t="s">
        <v>4623</v>
      </c>
      <c r="N275" s="52" t="s">
        <v>4624</v>
      </c>
      <c r="O275" s="52" t="s">
        <v>4625</v>
      </c>
      <c r="P275" s="52" t="s">
        <v>4626</v>
      </c>
      <c r="Q275" s="52" t="s">
        <v>4627</v>
      </c>
      <c r="R275" s="52" t="s">
        <v>4628</v>
      </c>
      <c r="S275" s="52" t="s">
        <v>7996</v>
      </c>
    </row>
    <row r="276" spans="1:19" ht="63.75">
      <c r="A276" s="64" t="s">
        <v>4630</v>
      </c>
      <c r="B276" s="64" t="s">
        <v>87</v>
      </c>
      <c r="C276" s="64" t="s">
        <v>1433</v>
      </c>
      <c r="D276" s="64" t="s">
        <v>4631</v>
      </c>
      <c r="E276" s="64" t="s">
        <v>4489</v>
      </c>
      <c r="F276" s="64" t="s">
        <v>4632</v>
      </c>
      <c r="G276" s="64">
        <v>3</v>
      </c>
      <c r="H276" s="64" t="s">
        <v>4497</v>
      </c>
      <c r="I276" s="64" t="s">
        <v>4498</v>
      </c>
      <c r="J276" s="64">
        <v>4</v>
      </c>
      <c r="K276" s="64">
        <v>5</v>
      </c>
      <c r="L276" s="64">
        <v>5</v>
      </c>
      <c r="M276" s="64" t="s">
        <v>4633</v>
      </c>
      <c r="N276" s="64" t="s">
        <v>4634</v>
      </c>
      <c r="O276" s="64" t="s">
        <v>4635</v>
      </c>
      <c r="P276" s="64" t="s">
        <v>4636</v>
      </c>
      <c r="Q276" s="64" t="s">
        <v>4637</v>
      </c>
      <c r="R276" s="64" t="s">
        <v>4638</v>
      </c>
      <c r="S276" s="64" t="s">
        <v>8003</v>
      </c>
    </row>
    <row r="277" spans="1:19" ht="63.75">
      <c r="A277" s="52" t="s">
        <v>4640</v>
      </c>
      <c r="B277" s="52" t="s">
        <v>87</v>
      </c>
      <c r="C277" s="52" t="s">
        <v>1433</v>
      </c>
      <c r="D277" s="52" t="s">
        <v>4641</v>
      </c>
      <c r="E277" s="52" t="s">
        <v>4489</v>
      </c>
      <c r="F277" s="52" t="s">
        <v>4642</v>
      </c>
      <c r="G277" s="52">
        <v>5</v>
      </c>
      <c r="H277" s="52" t="s">
        <v>4497</v>
      </c>
      <c r="I277" s="52" t="s">
        <v>4498</v>
      </c>
      <c r="J277" s="52">
        <v>4</v>
      </c>
      <c r="K277" s="52">
        <v>5</v>
      </c>
      <c r="L277" s="52">
        <v>5</v>
      </c>
      <c r="M277" s="52" t="s">
        <v>4643</v>
      </c>
      <c r="N277" s="52" t="s">
        <v>4644</v>
      </c>
      <c r="O277" s="52" t="s">
        <v>4645</v>
      </c>
      <c r="P277" s="52" t="s">
        <v>4646</v>
      </c>
      <c r="Q277" s="52" t="s">
        <v>4647</v>
      </c>
      <c r="R277" s="52" t="s">
        <v>4648</v>
      </c>
      <c r="S277" s="52" t="s">
        <v>8010</v>
      </c>
    </row>
    <row r="278" spans="1:19" ht="63.75">
      <c r="A278" s="64" t="s">
        <v>4650</v>
      </c>
      <c r="B278" s="64" t="s">
        <v>87</v>
      </c>
      <c r="C278" s="64" t="s">
        <v>1433</v>
      </c>
      <c r="D278" s="64" t="s">
        <v>4651</v>
      </c>
      <c r="E278" s="64" t="s">
        <v>4489</v>
      </c>
      <c r="F278" s="64" t="s">
        <v>4652</v>
      </c>
      <c r="G278" s="64">
        <v>5</v>
      </c>
      <c r="H278" s="64" t="s">
        <v>4497</v>
      </c>
      <c r="I278" s="64" t="s">
        <v>4498</v>
      </c>
      <c r="J278" s="64">
        <v>4</v>
      </c>
      <c r="K278" s="64">
        <v>5</v>
      </c>
      <c r="L278" s="64">
        <v>5</v>
      </c>
      <c r="M278" s="64" t="s">
        <v>4653</v>
      </c>
      <c r="N278" s="64" t="s">
        <v>4654</v>
      </c>
      <c r="O278" s="64" t="s">
        <v>4655</v>
      </c>
      <c r="P278" s="64" t="s">
        <v>4656</v>
      </c>
      <c r="Q278" s="64" t="s">
        <v>4657</v>
      </c>
      <c r="R278" s="64" t="s">
        <v>4658</v>
      </c>
      <c r="S278" s="64" t="s">
        <v>8017</v>
      </c>
    </row>
    <row r="279" spans="1:19" ht="63.75">
      <c r="A279" s="52" t="s">
        <v>4662</v>
      </c>
      <c r="B279" s="52" t="s">
        <v>90</v>
      </c>
      <c r="C279" s="52" t="s">
        <v>1441</v>
      </c>
      <c r="D279" s="52" t="s">
        <v>4663</v>
      </c>
      <c r="E279" s="52" t="s">
        <v>4665</v>
      </c>
      <c r="F279" s="52" t="s">
        <v>4666</v>
      </c>
      <c r="G279" s="52">
        <v>5</v>
      </c>
      <c r="H279" s="52" t="s">
        <v>4673</v>
      </c>
      <c r="I279" s="52" t="s">
        <v>4674</v>
      </c>
      <c r="J279" s="52">
        <v>5</v>
      </c>
      <c r="K279" s="52">
        <v>5</v>
      </c>
      <c r="L279" s="52">
        <v>5</v>
      </c>
      <c r="M279" s="52" t="s">
        <v>4667</v>
      </c>
      <c r="N279" s="52" t="s">
        <v>4668</v>
      </c>
      <c r="O279" s="52" t="s">
        <v>4669</v>
      </c>
      <c r="P279" s="52" t="s">
        <v>4670</v>
      </c>
      <c r="Q279" s="52" t="s">
        <v>4671</v>
      </c>
      <c r="R279" s="52" t="s">
        <v>4672</v>
      </c>
      <c r="S279" s="52" t="s">
        <v>8025</v>
      </c>
    </row>
    <row r="280" spans="1:19" ht="63.75">
      <c r="A280" s="64" t="s">
        <v>4676</v>
      </c>
      <c r="B280" s="64" t="s">
        <v>90</v>
      </c>
      <c r="C280" s="64" t="s">
        <v>1441</v>
      </c>
      <c r="D280" s="64" t="s">
        <v>4677</v>
      </c>
      <c r="E280" s="64" t="s">
        <v>4665</v>
      </c>
      <c r="F280" s="64" t="s">
        <v>4678</v>
      </c>
      <c r="G280" s="64">
        <v>5</v>
      </c>
      <c r="H280" s="64" t="s">
        <v>4673</v>
      </c>
      <c r="I280" s="64" t="s">
        <v>4674</v>
      </c>
      <c r="J280" s="64">
        <v>5</v>
      </c>
      <c r="K280" s="64">
        <v>5</v>
      </c>
      <c r="L280" s="64">
        <v>5</v>
      </c>
      <c r="M280" s="64" t="s">
        <v>4679</v>
      </c>
      <c r="N280" s="64" t="s">
        <v>4680</v>
      </c>
      <c r="O280" s="64" t="s">
        <v>4681</v>
      </c>
      <c r="P280" s="64" t="s">
        <v>4682</v>
      </c>
      <c r="Q280" s="64" t="s">
        <v>4683</v>
      </c>
      <c r="R280" s="64" t="s">
        <v>4684</v>
      </c>
      <c r="S280" s="64" t="s">
        <v>8032</v>
      </c>
    </row>
    <row r="281" spans="1:19" ht="51">
      <c r="A281" s="52" t="s">
        <v>4686</v>
      </c>
      <c r="B281" s="52" t="s">
        <v>90</v>
      </c>
      <c r="C281" s="52" t="s">
        <v>1441</v>
      </c>
      <c r="D281" s="52" t="s">
        <v>4687</v>
      </c>
      <c r="E281" s="52" t="s">
        <v>4665</v>
      </c>
      <c r="F281" s="52" t="s">
        <v>4688</v>
      </c>
      <c r="G281" s="52">
        <v>3</v>
      </c>
      <c r="H281" s="52" t="s">
        <v>4673</v>
      </c>
      <c r="I281" s="52" t="s">
        <v>4674</v>
      </c>
      <c r="J281" s="52">
        <v>5</v>
      </c>
      <c r="K281" s="52">
        <v>5</v>
      </c>
      <c r="L281" s="52">
        <v>5</v>
      </c>
      <c r="M281" s="52" t="s">
        <v>4689</v>
      </c>
      <c r="N281" s="52" t="s">
        <v>4690</v>
      </c>
      <c r="O281" s="52" t="s">
        <v>4691</v>
      </c>
      <c r="P281" s="52" t="s">
        <v>4692</v>
      </c>
      <c r="Q281" s="52" t="s">
        <v>4693</v>
      </c>
      <c r="R281" s="52" t="s">
        <v>4694</v>
      </c>
      <c r="S281" s="52" t="s">
        <v>8039</v>
      </c>
    </row>
    <row r="282" spans="1:19" ht="63.75">
      <c r="A282" s="64" t="s">
        <v>4696</v>
      </c>
      <c r="B282" s="64" t="s">
        <v>90</v>
      </c>
      <c r="C282" s="64" t="s">
        <v>1441</v>
      </c>
      <c r="D282" s="64" t="s">
        <v>4697</v>
      </c>
      <c r="E282" s="64" t="s">
        <v>4665</v>
      </c>
      <c r="F282" s="64" t="s">
        <v>4698</v>
      </c>
      <c r="G282" s="64">
        <v>5</v>
      </c>
      <c r="H282" s="64" t="s">
        <v>4673</v>
      </c>
      <c r="I282" s="64" t="s">
        <v>4674</v>
      </c>
      <c r="J282" s="64">
        <v>5</v>
      </c>
      <c r="K282" s="64">
        <v>5</v>
      </c>
      <c r="L282" s="64">
        <v>5</v>
      </c>
      <c r="M282" s="64" t="s">
        <v>4699</v>
      </c>
      <c r="N282" s="64" t="s">
        <v>4700</v>
      </c>
      <c r="O282" s="64" t="s">
        <v>4701</v>
      </c>
      <c r="P282" s="64" t="s">
        <v>4702</v>
      </c>
      <c r="Q282" s="64" t="s">
        <v>4703</v>
      </c>
      <c r="R282" s="64" t="s">
        <v>4704</v>
      </c>
      <c r="S282" s="64" t="s">
        <v>8046</v>
      </c>
    </row>
    <row r="283" spans="1:19" ht="63.75">
      <c r="A283" s="52" t="s">
        <v>4706</v>
      </c>
      <c r="B283" s="52" t="s">
        <v>90</v>
      </c>
      <c r="C283" s="52" t="s">
        <v>1441</v>
      </c>
      <c r="D283" s="52" t="s">
        <v>4707</v>
      </c>
      <c r="E283" s="52" t="s">
        <v>4665</v>
      </c>
      <c r="F283" s="52" t="s">
        <v>4708</v>
      </c>
      <c r="G283" s="52">
        <v>4</v>
      </c>
      <c r="H283" s="52" t="s">
        <v>4673</v>
      </c>
      <c r="I283" s="52" t="s">
        <v>4674</v>
      </c>
      <c r="J283" s="52">
        <v>5</v>
      </c>
      <c r="K283" s="52">
        <v>5</v>
      </c>
      <c r="L283" s="52">
        <v>5</v>
      </c>
      <c r="M283" s="52" t="s">
        <v>4709</v>
      </c>
      <c r="N283" s="52" t="s">
        <v>4710</v>
      </c>
      <c r="O283" s="52" t="s">
        <v>4711</v>
      </c>
      <c r="P283" s="52" t="s">
        <v>4712</v>
      </c>
      <c r="Q283" s="52" t="s">
        <v>4713</v>
      </c>
      <c r="R283" s="52" t="s">
        <v>4714</v>
      </c>
      <c r="S283" s="52" t="s">
        <v>8053</v>
      </c>
    </row>
    <row r="284" spans="1:19" ht="63.75">
      <c r="A284" s="64" t="s">
        <v>4716</v>
      </c>
      <c r="B284" s="64" t="s">
        <v>90</v>
      </c>
      <c r="C284" s="64" t="s">
        <v>1441</v>
      </c>
      <c r="D284" s="64" t="s">
        <v>4717</v>
      </c>
      <c r="E284" s="64" t="s">
        <v>4665</v>
      </c>
      <c r="F284" s="64" t="s">
        <v>4718</v>
      </c>
      <c r="G284" s="64">
        <v>3</v>
      </c>
      <c r="H284" s="64" t="s">
        <v>4673</v>
      </c>
      <c r="I284" s="64" t="s">
        <v>4674</v>
      </c>
      <c r="J284" s="64">
        <v>5</v>
      </c>
      <c r="K284" s="64">
        <v>5</v>
      </c>
      <c r="L284" s="64">
        <v>5</v>
      </c>
      <c r="M284" s="64" t="s">
        <v>4719</v>
      </c>
      <c r="N284" s="64" t="s">
        <v>4720</v>
      </c>
      <c r="O284" s="64" t="s">
        <v>4721</v>
      </c>
      <c r="P284" s="64" t="s">
        <v>4722</v>
      </c>
      <c r="Q284" s="64" t="s">
        <v>4723</v>
      </c>
      <c r="R284" s="64" t="s">
        <v>4724</v>
      </c>
      <c r="S284" s="64" t="s">
        <v>8060</v>
      </c>
    </row>
    <row r="285" spans="1:19" ht="63.75">
      <c r="A285" s="52" t="s">
        <v>4726</v>
      </c>
      <c r="B285" s="52" t="s">
        <v>90</v>
      </c>
      <c r="C285" s="52" t="s">
        <v>1457</v>
      </c>
      <c r="D285" s="52" t="s">
        <v>4727</v>
      </c>
      <c r="E285" s="52" t="s">
        <v>4665</v>
      </c>
      <c r="F285" s="52" t="s">
        <v>4728</v>
      </c>
      <c r="G285" s="52">
        <v>5</v>
      </c>
      <c r="H285" s="52" t="s">
        <v>4673</v>
      </c>
      <c r="I285" s="52" t="s">
        <v>4674</v>
      </c>
      <c r="J285" s="52">
        <v>5</v>
      </c>
      <c r="K285" s="52">
        <v>5</v>
      </c>
      <c r="L285" s="52">
        <v>5</v>
      </c>
      <c r="M285" s="52" t="s">
        <v>4729</v>
      </c>
      <c r="N285" s="52" t="s">
        <v>4730</v>
      </c>
      <c r="O285" s="52" t="s">
        <v>4731</v>
      </c>
      <c r="P285" s="52" t="s">
        <v>4732</v>
      </c>
      <c r="Q285" s="52" t="s">
        <v>4733</v>
      </c>
      <c r="R285" s="52" t="s">
        <v>4734</v>
      </c>
      <c r="S285" s="52" t="s">
        <v>8068</v>
      </c>
    </row>
    <row r="286" spans="1:19" ht="51">
      <c r="A286" s="64" t="s">
        <v>4736</v>
      </c>
      <c r="B286" s="64" t="s">
        <v>90</v>
      </c>
      <c r="C286" s="64" t="s">
        <v>1457</v>
      </c>
      <c r="D286" s="64" t="s">
        <v>4737</v>
      </c>
      <c r="E286" s="64" t="s">
        <v>4665</v>
      </c>
      <c r="F286" s="64" t="s">
        <v>4738</v>
      </c>
      <c r="G286" s="64">
        <v>5</v>
      </c>
      <c r="H286" s="64" t="s">
        <v>4673</v>
      </c>
      <c r="I286" s="64" t="s">
        <v>4674</v>
      </c>
      <c r="J286" s="64">
        <v>5</v>
      </c>
      <c r="K286" s="64">
        <v>5</v>
      </c>
      <c r="L286" s="64">
        <v>5</v>
      </c>
      <c r="M286" s="64" t="s">
        <v>4739</v>
      </c>
      <c r="N286" s="64" t="s">
        <v>4740</v>
      </c>
      <c r="O286" s="64" t="s">
        <v>4741</v>
      </c>
      <c r="P286" s="64" t="s">
        <v>4742</v>
      </c>
      <c r="Q286" s="64" t="s">
        <v>4743</v>
      </c>
      <c r="R286" s="64" t="s">
        <v>4744</v>
      </c>
      <c r="S286" s="64" t="s">
        <v>8075</v>
      </c>
    </row>
    <row r="287" spans="1:19" ht="63.75">
      <c r="A287" s="52" t="s">
        <v>4746</v>
      </c>
      <c r="B287" s="52" t="s">
        <v>90</v>
      </c>
      <c r="C287" s="52" t="s">
        <v>1457</v>
      </c>
      <c r="D287" s="52" t="s">
        <v>4747</v>
      </c>
      <c r="E287" s="52" t="s">
        <v>4665</v>
      </c>
      <c r="F287" s="52" t="s">
        <v>4748</v>
      </c>
      <c r="G287" s="52">
        <v>5</v>
      </c>
      <c r="H287" s="52" t="s">
        <v>4673</v>
      </c>
      <c r="I287" s="52" t="s">
        <v>4674</v>
      </c>
      <c r="J287" s="52">
        <v>5</v>
      </c>
      <c r="K287" s="52">
        <v>5</v>
      </c>
      <c r="L287" s="52">
        <v>5</v>
      </c>
      <c r="M287" s="52" t="s">
        <v>4749</v>
      </c>
      <c r="N287" s="52" t="s">
        <v>4750</v>
      </c>
      <c r="O287" s="52" t="s">
        <v>4751</v>
      </c>
      <c r="P287" s="52" t="s">
        <v>4752</v>
      </c>
      <c r="Q287" s="52" t="s">
        <v>4753</v>
      </c>
      <c r="R287" s="52" t="s">
        <v>4754</v>
      </c>
      <c r="S287" s="52" t="s">
        <v>8082</v>
      </c>
    </row>
    <row r="288" spans="1:19" ht="63.75">
      <c r="A288" s="64" t="s">
        <v>4756</v>
      </c>
      <c r="B288" s="64" t="s">
        <v>90</v>
      </c>
      <c r="C288" s="64" t="s">
        <v>1457</v>
      </c>
      <c r="D288" s="64" t="s">
        <v>4757</v>
      </c>
      <c r="E288" s="64" t="s">
        <v>4665</v>
      </c>
      <c r="F288" s="64" t="s">
        <v>4758</v>
      </c>
      <c r="G288" s="64">
        <v>5</v>
      </c>
      <c r="H288" s="64" t="s">
        <v>4673</v>
      </c>
      <c r="I288" s="64" t="s">
        <v>4674</v>
      </c>
      <c r="J288" s="64">
        <v>5</v>
      </c>
      <c r="K288" s="64">
        <v>5</v>
      </c>
      <c r="L288" s="64">
        <v>5</v>
      </c>
      <c r="M288" s="64" t="s">
        <v>4759</v>
      </c>
      <c r="N288" s="64" t="s">
        <v>4760</v>
      </c>
      <c r="O288" s="64" t="s">
        <v>4761</v>
      </c>
      <c r="P288" s="64" t="s">
        <v>4762</v>
      </c>
      <c r="Q288" s="64" t="s">
        <v>4763</v>
      </c>
      <c r="R288" s="64" t="s">
        <v>4764</v>
      </c>
      <c r="S288" s="64" t="s">
        <v>8089</v>
      </c>
    </row>
    <row r="289" spans="1:19" ht="63.75">
      <c r="A289" s="52" t="s">
        <v>4766</v>
      </c>
      <c r="B289" s="52" t="s">
        <v>90</v>
      </c>
      <c r="C289" s="52" t="s">
        <v>1457</v>
      </c>
      <c r="D289" s="52" t="s">
        <v>4767</v>
      </c>
      <c r="E289" s="52" t="s">
        <v>4665</v>
      </c>
      <c r="F289" s="52" t="s">
        <v>4768</v>
      </c>
      <c r="G289" s="52">
        <v>5</v>
      </c>
      <c r="H289" s="52" t="s">
        <v>4673</v>
      </c>
      <c r="I289" s="52" t="s">
        <v>4674</v>
      </c>
      <c r="J289" s="52">
        <v>5</v>
      </c>
      <c r="K289" s="52">
        <v>5</v>
      </c>
      <c r="L289" s="52">
        <v>5</v>
      </c>
      <c r="M289" s="52" t="s">
        <v>4769</v>
      </c>
      <c r="N289" s="52" t="s">
        <v>4770</v>
      </c>
      <c r="O289" s="52" t="s">
        <v>4771</v>
      </c>
      <c r="P289" s="52" t="s">
        <v>4772</v>
      </c>
      <c r="Q289" s="52" t="s">
        <v>4773</v>
      </c>
      <c r="R289" s="52" t="s">
        <v>4774</v>
      </c>
      <c r="S289" s="52" t="s">
        <v>8096</v>
      </c>
    </row>
    <row r="290" spans="1:19" ht="63.75">
      <c r="A290" s="64" t="s">
        <v>4776</v>
      </c>
      <c r="B290" s="64" t="s">
        <v>90</v>
      </c>
      <c r="C290" s="64" t="s">
        <v>1457</v>
      </c>
      <c r="D290" s="64" t="s">
        <v>4777</v>
      </c>
      <c r="E290" s="64" t="s">
        <v>4665</v>
      </c>
      <c r="F290" s="64" t="s">
        <v>4778</v>
      </c>
      <c r="G290" s="64">
        <v>5</v>
      </c>
      <c r="H290" s="64" t="s">
        <v>4673</v>
      </c>
      <c r="I290" s="64" t="s">
        <v>4674</v>
      </c>
      <c r="J290" s="64">
        <v>5</v>
      </c>
      <c r="K290" s="64">
        <v>5</v>
      </c>
      <c r="L290" s="64">
        <v>5</v>
      </c>
      <c r="M290" s="64" t="s">
        <v>4779</v>
      </c>
      <c r="N290" s="64" t="s">
        <v>4780</v>
      </c>
      <c r="O290" s="64" t="s">
        <v>4781</v>
      </c>
      <c r="P290" s="64" t="s">
        <v>4782</v>
      </c>
      <c r="Q290" s="64" t="s">
        <v>4783</v>
      </c>
      <c r="R290" s="64" t="s">
        <v>4784</v>
      </c>
      <c r="S290" s="64" t="s">
        <v>8103</v>
      </c>
    </row>
    <row r="291" spans="1:19" ht="63.75">
      <c r="A291" s="52" t="s">
        <v>4786</v>
      </c>
      <c r="B291" s="52" t="s">
        <v>90</v>
      </c>
      <c r="C291" s="52" t="s">
        <v>1465</v>
      </c>
      <c r="D291" s="52" t="s">
        <v>4787</v>
      </c>
      <c r="E291" s="52" t="s">
        <v>4665</v>
      </c>
      <c r="F291" s="52" t="s">
        <v>4788</v>
      </c>
      <c r="G291" s="52">
        <v>5</v>
      </c>
      <c r="H291" s="52" t="s">
        <v>4673</v>
      </c>
      <c r="I291" s="52" t="s">
        <v>4674</v>
      </c>
      <c r="J291" s="52">
        <v>5</v>
      </c>
      <c r="K291" s="52">
        <v>5</v>
      </c>
      <c r="L291" s="52">
        <v>5</v>
      </c>
      <c r="M291" s="52" t="s">
        <v>4789</v>
      </c>
      <c r="N291" s="52" t="s">
        <v>4790</v>
      </c>
      <c r="O291" s="52" t="s">
        <v>4791</v>
      </c>
      <c r="P291" s="52" t="s">
        <v>4792</v>
      </c>
      <c r="Q291" s="52" t="s">
        <v>4793</v>
      </c>
      <c r="R291" s="52" t="s">
        <v>4794</v>
      </c>
      <c r="S291" s="52" t="s">
        <v>8111</v>
      </c>
    </row>
    <row r="292" spans="1:19" ht="51">
      <c r="A292" s="64" t="s">
        <v>4796</v>
      </c>
      <c r="B292" s="64" t="s">
        <v>90</v>
      </c>
      <c r="C292" s="64" t="s">
        <v>1465</v>
      </c>
      <c r="D292" s="64" t="s">
        <v>4797</v>
      </c>
      <c r="E292" s="64" t="s">
        <v>4665</v>
      </c>
      <c r="F292" s="64" t="s">
        <v>4798</v>
      </c>
      <c r="G292" s="64">
        <v>5</v>
      </c>
      <c r="H292" s="64" t="s">
        <v>4673</v>
      </c>
      <c r="I292" s="64" t="s">
        <v>4674</v>
      </c>
      <c r="J292" s="64">
        <v>5</v>
      </c>
      <c r="K292" s="64">
        <v>5</v>
      </c>
      <c r="L292" s="64">
        <v>5</v>
      </c>
      <c r="M292" s="64" t="s">
        <v>4799</v>
      </c>
      <c r="N292" s="64" t="s">
        <v>4800</v>
      </c>
      <c r="O292" s="64" t="s">
        <v>4801</v>
      </c>
      <c r="P292" s="64" t="s">
        <v>4802</v>
      </c>
      <c r="Q292" s="64" t="s">
        <v>4803</v>
      </c>
      <c r="R292" s="64" t="s">
        <v>4804</v>
      </c>
      <c r="S292" s="64" t="s">
        <v>8118</v>
      </c>
    </row>
    <row r="293" spans="1:19" ht="63.75">
      <c r="A293" s="52" t="s">
        <v>4806</v>
      </c>
      <c r="B293" s="52" t="s">
        <v>90</v>
      </c>
      <c r="C293" s="52" t="s">
        <v>1465</v>
      </c>
      <c r="D293" s="52" t="s">
        <v>4807</v>
      </c>
      <c r="E293" s="52" t="s">
        <v>4665</v>
      </c>
      <c r="F293" s="52" t="s">
        <v>4808</v>
      </c>
      <c r="G293" s="52">
        <v>5</v>
      </c>
      <c r="H293" s="52" t="s">
        <v>4673</v>
      </c>
      <c r="I293" s="52" t="s">
        <v>4674</v>
      </c>
      <c r="J293" s="52">
        <v>5</v>
      </c>
      <c r="K293" s="52">
        <v>5</v>
      </c>
      <c r="L293" s="52">
        <v>5</v>
      </c>
      <c r="M293" s="52" t="s">
        <v>4809</v>
      </c>
      <c r="N293" s="52" t="s">
        <v>4810</v>
      </c>
      <c r="O293" s="52" t="s">
        <v>4811</v>
      </c>
      <c r="P293" s="52" t="s">
        <v>4812</v>
      </c>
      <c r="Q293" s="52" t="s">
        <v>4813</v>
      </c>
      <c r="R293" s="52" t="s">
        <v>4814</v>
      </c>
      <c r="S293" s="52" t="s">
        <v>8125</v>
      </c>
    </row>
    <row r="294" spans="1:19" ht="63.75">
      <c r="A294" s="64" t="s">
        <v>4816</v>
      </c>
      <c r="B294" s="64" t="s">
        <v>90</v>
      </c>
      <c r="C294" s="64" t="s">
        <v>1465</v>
      </c>
      <c r="D294" s="64" t="s">
        <v>4817</v>
      </c>
      <c r="E294" s="64" t="s">
        <v>4665</v>
      </c>
      <c r="F294" s="64" t="s">
        <v>4818</v>
      </c>
      <c r="G294" s="64">
        <v>5</v>
      </c>
      <c r="H294" s="64" t="s">
        <v>4673</v>
      </c>
      <c r="I294" s="64" t="s">
        <v>4674</v>
      </c>
      <c r="J294" s="64">
        <v>5</v>
      </c>
      <c r="K294" s="64">
        <v>5</v>
      </c>
      <c r="L294" s="64">
        <v>5</v>
      </c>
      <c r="M294" s="64" t="s">
        <v>4819</v>
      </c>
      <c r="N294" s="64" t="s">
        <v>4820</v>
      </c>
      <c r="O294" s="64" t="s">
        <v>4821</v>
      </c>
      <c r="P294" s="64" t="s">
        <v>4822</v>
      </c>
      <c r="Q294" s="64" t="s">
        <v>4823</v>
      </c>
      <c r="R294" s="64" t="s">
        <v>4824</v>
      </c>
      <c r="S294" s="64" t="s">
        <v>8132</v>
      </c>
    </row>
    <row r="295" spans="1:19" ht="51">
      <c r="A295" s="52" t="s">
        <v>4826</v>
      </c>
      <c r="B295" s="52" t="s">
        <v>90</v>
      </c>
      <c r="C295" s="52" t="s">
        <v>1465</v>
      </c>
      <c r="D295" s="52" t="s">
        <v>4827</v>
      </c>
      <c r="E295" s="52" t="s">
        <v>4665</v>
      </c>
      <c r="F295" s="52" t="s">
        <v>4828</v>
      </c>
      <c r="G295" s="52">
        <v>5</v>
      </c>
      <c r="H295" s="52" t="s">
        <v>4673</v>
      </c>
      <c r="I295" s="52" t="s">
        <v>4674</v>
      </c>
      <c r="J295" s="52">
        <v>5</v>
      </c>
      <c r="K295" s="52">
        <v>5</v>
      </c>
      <c r="L295" s="52">
        <v>5</v>
      </c>
      <c r="M295" s="52" t="s">
        <v>4829</v>
      </c>
      <c r="N295" s="52" t="s">
        <v>4830</v>
      </c>
      <c r="O295" s="52" t="s">
        <v>4831</v>
      </c>
      <c r="P295" s="52" t="s">
        <v>4832</v>
      </c>
      <c r="Q295" s="52" t="s">
        <v>4833</v>
      </c>
      <c r="R295" s="52" t="s">
        <v>4834</v>
      </c>
      <c r="S295" s="52" t="s">
        <v>8139</v>
      </c>
    </row>
    <row r="296" spans="1:19" ht="51">
      <c r="A296" s="64" t="s">
        <v>4836</v>
      </c>
      <c r="B296" s="64" t="s">
        <v>90</v>
      </c>
      <c r="C296" s="64" t="s">
        <v>1465</v>
      </c>
      <c r="D296" s="64" t="s">
        <v>4837</v>
      </c>
      <c r="E296" s="64" t="s">
        <v>4665</v>
      </c>
      <c r="F296" s="64" t="s">
        <v>4838</v>
      </c>
      <c r="G296" s="64">
        <v>5</v>
      </c>
      <c r="H296" s="64" t="s">
        <v>4673</v>
      </c>
      <c r="I296" s="64" t="s">
        <v>4674</v>
      </c>
      <c r="J296" s="64">
        <v>5</v>
      </c>
      <c r="K296" s="64">
        <v>5</v>
      </c>
      <c r="L296" s="64">
        <v>5</v>
      </c>
      <c r="M296" s="64" t="s">
        <v>4839</v>
      </c>
      <c r="N296" s="64" t="s">
        <v>4840</v>
      </c>
      <c r="O296" s="64" t="s">
        <v>4841</v>
      </c>
      <c r="P296" s="64" t="s">
        <v>4842</v>
      </c>
      <c r="Q296" s="64" t="s">
        <v>4843</v>
      </c>
      <c r="R296" s="64" t="s">
        <v>4844</v>
      </c>
      <c r="S296" s="64" t="s">
        <v>8146</v>
      </c>
    </row>
    <row r="297" spans="1:19" ht="63.75">
      <c r="A297" s="52" t="s">
        <v>4846</v>
      </c>
      <c r="B297" s="52" t="s">
        <v>90</v>
      </c>
      <c r="C297" s="52" t="s">
        <v>1473</v>
      </c>
      <c r="D297" s="52" t="s">
        <v>4847</v>
      </c>
      <c r="E297" s="52" t="s">
        <v>4665</v>
      </c>
      <c r="F297" s="52" t="s">
        <v>4848</v>
      </c>
      <c r="G297" s="52">
        <v>5</v>
      </c>
      <c r="H297" s="52" t="s">
        <v>4673</v>
      </c>
      <c r="I297" s="52" t="s">
        <v>4674</v>
      </c>
      <c r="J297" s="52">
        <v>5</v>
      </c>
      <c r="K297" s="52">
        <v>5</v>
      </c>
      <c r="L297" s="52">
        <v>5</v>
      </c>
      <c r="M297" s="52" t="s">
        <v>4849</v>
      </c>
      <c r="N297" s="52" t="s">
        <v>4850</v>
      </c>
      <c r="O297" s="52" t="s">
        <v>4851</v>
      </c>
      <c r="P297" s="52" t="s">
        <v>4852</v>
      </c>
      <c r="Q297" s="52" t="s">
        <v>4853</v>
      </c>
      <c r="R297" s="52" t="s">
        <v>4854</v>
      </c>
      <c r="S297" s="52" t="s">
        <v>8154</v>
      </c>
    </row>
    <row r="298" spans="1:19" ht="63.75">
      <c r="A298" s="64" t="s">
        <v>4856</v>
      </c>
      <c r="B298" s="64" t="s">
        <v>90</v>
      </c>
      <c r="C298" s="64" t="s">
        <v>1473</v>
      </c>
      <c r="D298" s="64" t="s">
        <v>4857</v>
      </c>
      <c r="E298" s="64" t="s">
        <v>4665</v>
      </c>
      <c r="F298" s="64" t="s">
        <v>4858</v>
      </c>
      <c r="G298" s="64">
        <v>3</v>
      </c>
      <c r="H298" s="64" t="s">
        <v>4673</v>
      </c>
      <c r="I298" s="64" t="s">
        <v>4674</v>
      </c>
      <c r="J298" s="64">
        <v>5</v>
      </c>
      <c r="K298" s="64">
        <v>5</v>
      </c>
      <c r="L298" s="64">
        <v>5</v>
      </c>
      <c r="M298" s="64" t="s">
        <v>4859</v>
      </c>
      <c r="N298" s="64" t="s">
        <v>4860</v>
      </c>
      <c r="O298" s="64" t="s">
        <v>4861</v>
      </c>
      <c r="P298" s="64" t="s">
        <v>4862</v>
      </c>
      <c r="Q298" s="64" t="s">
        <v>4863</v>
      </c>
      <c r="R298" s="64" t="s">
        <v>4864</v>
      </c>
      <c r="S298" s="64" t="s">
        <v>8161</v>
      </c>
    </row>
    <row r="299" spans="1:19" ht="63.75">
      <c r="A299" s="52" t="s">
        <v>4866</v>
      </c>
      <c r="B299" s="52" t="s">
        <v>90</v>
      </c>
      <c r="C299" s="52" t="s">
        <v>1473</v>
      </c>
      <c r="D299" s="52" t="s">
        <v>4867</v>
      </c>
      <c r="E299" s="52" t="s">
        <v>4665</v>
      </c>
      <c r="F299" s="52" t="s">
        <v>4868</v>
      </c>
      <c r="G299" s="52">
        <v>3</v>
      </c>
      <c r="H299" s="52" t="s">
        <v>4673</v>
      </c>
      <c r="I299" s="52" t="s">
        <v>4674</v>
      </c>
      <c r="J299" s="52">
        <v>5</v>
      </c>
      <c r="K299" s="52">
        <v>5</v>
      </c>
      <c r="L299" s="52">
        <v>5</v>
      </c>
      <c r="M299" s="52" t="s">
        <v>4869</v>
      </c>
      <c r="N299" s="52" t="s">
        <v>4870</v>
      </c>
      <c r="O299" s="52" t="s">
        <v>4871</v>
      </c>
      <c r="P299" s="52" t="s">
        <v>4872</v>
      </c>
      <c r="Q299" s="52" t="s">
        <v>4873</v>
      </c>
      <c r="R299" s="52" t="s">
        <v>4874</v>
      </c>
      <c r="S299" s="52" t="s">
        <v>8168</v>
      </c>
    </row>
    <row r="300" spans="1:19" ht="51">
      <c r="A300" s="64" t="s">
        <v>4876</v>
      </c>
      <c r="B300" s="64" t="s">
        <v>90</v>
      </c>
      <c r="C300" s="64" t="s">
        <v>1473</v>
      </c>
      <c r="D300" s="64" t="s">
        <v>4877</v>
      </c>
      <c r="E300" s="64" t="s">
        <v>4665</v>
      </c>
      <c r="F300" s="64" t="s">
        <v>4878</v>
      </c>
      <c r="G300" s="64">
        <v>5</v>
      </c>
      <c r="H300" s="64" t="s">
        <v>4673</v>
      </c>
      <c r="I300" s="64" t="s">
        <v>4674</v>
      </c>
      <c r="J300" s="64">
        <v>5</v>
      </c>
      <c r="K300" s="64">
        <v>5</v>
      </c>
      <c r="L300" s="64">
        <v>5</v>
      </c>
      <c r="M300" s="64" t="s">
        <v>4879</v>
      </c>
      <c r="N300" s="64" t="s">
        <v>4880</v>
      </c>
      <c r="O300" s="64" t="s">
        <v>4881</v>
      </c>
      <c r="P300" s="64" t="s">
        <v>4882</v>
      </c>
      <c r="Q300" s="64" t="s">
        <v>4883</v>
      </c>
      <c r="R300" s="64" t="s">
        <v>4884</v>
      </c>
      <c r="S300" s="64" t="s">
        <v>8175</v>
      </c>
    </row>
    <row r="301" spans="1:19" ht="63.75">
      <c r="A301" s="52" t="s">
        <v>4886</v>
      </c>
      <c r="B301" s="52" t="s">
        <v>90</v>
      </c>
      <c r="C301" s="52" t="s">
        <v>1473</v>
      </c>
      <c r="D301" s="52" t="s">
        <v>4887</v>
      </c>
      <c r="E301" s="52" t="s">
        <v>4665</v>
      </c>
      <c r="F301" s="52" t="s">
        <v>4888</v>
      </c>
      <c r="G301" s="52">
        <v>5</v>
      </c>
      <c r="H301" s="52" t="s">
        <v>4673</v>
      </c>
      <c r="I301" s="52" t="s">
        <v>4674</v>
      </c>
      <c r="J301" s="52">
        <v>5</v>
      </c>
      <c r="K301" s="52">
        <v>5</v>
      </c>
      <c r="L301" s="52">
        <v>5</v>
      </c>
      <c r="M301" s="52" t="s">
        <v>4889</v>
      </c>
      <c r="N301" s="52" t="s">
        <v>4890</v>
      </c>
      <c r="O301" s="52" t="s">
        <v>4891</v>
      </c>
      <c r="P301" s="52" t="s">
        <v>4892</v>
      </c>
      <c r="Q301" s="52" t="s">
        <v>4893</v>
      </c>
      <c r="R301" s="52" t="s">
        <v>4894</v>
      </c>
      <c r="S301" s="52" t="s">
        <v>8182</v>
      </c>
    </row>
    <row r="302" spans="1:19" ht="51">
      <c r="A302" s="64" t="s">
        <v>4896</v>
      </c>
      <c r="B302" s="64" t="s">
        <v>90</v>
      </c>
      <c r="C302" s="64" t="s">
        <v>1473</v>
      </c>
      <c r="D302" s="64" t="s">
        <v>4897</v>
      </c>
      <c r="E302" s="64" t="s">
        <v>4665</v>
      </c>
      <c r="F302" s="64" t="s">
        <v>4898</v>
      </c>
      <c r="G302" s="64">
        <v>5</v>
      </c>
      <c r="H302" s="64" t="s">
        <v>4673</v>
      </c>
      <c r="I302" s="64" t="s">
        <v>4674</v>
      </c>
      <c r="J302" s="64">
        <v>5</v>
      </c>
      <c r="K302" s="64">
        <v>5</v>
      </c>
      <c r="L302" s="64">
        <v>5</v>
      </c>
      <c r="M302" s="64" t="s">
        <v>4899</v>
      </c>
      <c r="N302" s="64" t="s">
        <v>4900</v>
      </c>
      <c r="O302" s="64" t="s">
        <v>4901</v>
      </c>
      <c r="P302" s="64" t="s">
        <v>4902</v>
      </c>
      <c r="Q302" s="64" t="s">
        <v>4903</v>
      </c>
      <c r="R302" s="64" t="s">
        <v>4904</v>
      </c>
      <c r="S302" s="64" t="s">
        <v>8189</v>
      </c>
    </row>
    <row r="303" spans="1:19" ht="63.75">
      <c r="A303" s="52" t="s">
        <v>4906</v>
      </c>
      <c r="B303" s="52" t="s">
        <v>90</v>
      </c>
      <c r="C303" s="52" t="s">
        <v>1481</v>
      </c>
      <c r="D303" s="52" t="s">
        <v>4907</v>
      </c>
      <c r="E303" s="52" t="s">
        <v>4665</v>
      </c>
      <c r="F303" s="52" t="s">
        <v>4908</v>
      </c>
      <c r="G303" s="52">
        <v>5</v>
      </c>
      <c r="H303" s="52" t="s">
        <v>4673</v>
      </c>
      <c r="I303" s="52" t="s">
        <v>4674</v>
      </c>
      <c r="J303" s="52">
        <v>5</v>
      </c>
      <c r="K303" s="52">
        <v>5</v>
      </c>
      <c r="L303" s="52">
        <v>5</v>
      </c>
      <c r="M303" s="52" t="s">
        <v>4909</v>
      </c>
      <c r="N303" s="52" t="s">
        <v>4910</v>
      </c>
      <c r="O303" s="52" t="s">
        <v>4911</v>
      </c>
      <c r="P303" s="52" t="s">
        <v>4912</v>
      </c>
      <c r="Q303" s="52" t="s">
        <v>4913</v>
      </c>
      <c r="R303" s="52" t="s">
        <v>4914</v>
      </c>
      <c r="S303" s="52" t="s">
        <v>8197</v>
      </c>
    </row>
    <row r="304" spans="1:19" ht="63.75">
      <c r="A304" s="64" t="s">
        <v>4916</v>
      </c>
      <c r="B304" s="64" t="s">
        <v>90</v>
      </c>
      <c r="C304" s="64" t="s">
        <v>1481</v>
      </c>
      <c r="D304" s="64" t="s">
        <v>4917</v>
      </c>
      <c r="E304" s="64" t="s">
        <v>4665</v>
      </c>
      <c r="F304" s="64" t="s">
        <v>4918</v>
      </c>
      <c r="G304" s="64">
        <v>5</v>
      </c>
      <c r="H304" s="64" t="s">
        <v>4673</v>
      </c>
      <c r="I304" s="64" t="s">
        <v>4674</v>
      </c>
      <c r="J304" s="64">
        <v>5</v>
      </c>
      <c r="K304" s="64">
        <v>5</v>
      </c>
      <c r="L304" s="64">
        <v>5</v>
      </c>
      <c r="M304" s="64" t="s">
        <v>4919</v>
      </c>
      <c r="N304" s="64" t="s">
        <v>4920</v>
      </c>
      <c r="O304" s="64" t="s">
        <v>4921</v>
      </c>
      <c r="P304" s="64" t="s">
        <v>4922</v>
      </c>
      <c r="Q304" s="64" t="s">
        <v>4923</v>
      </c>
      <c r="R304" s="64" t="s">
        <v>4924</v>
      </c>
      <c r="S304" s="64" t="s">
        <v>8204</v>
      </c>
    </row>
    <row r="305" spans="1:19" ht="51">
      <c r="A305" s="52" t="s">
        <v>4926</v>
      </c>
      <c r="B305" s="52" t="s">
        <v>90</v>
      </c>
      <c r="C305" s="52" t="s">
        <v>1481</v>
      </c>
      <c r="D305" s="52" t="s">
        <v>4927</v>
      </c>
      <c r="E305" s="52" t="s">
        <v>4665</v>
      </c>
      <c r="F305" s="52" t="s">
        <v>4928</v>
      </c>
      <c r="G305" s="52">
        <v>3</v>
      </c>
      <c r="H305" s="52" t="s">
        <v>4673</v>
      </c>
      <c r="I305" s="52" t="s">
        <v>4674</v>
      </c>
      <c r="J305" s="52">
        <v>5</v>
      </c>
      <c r="K305" s="52">
        <v>5</v>
      </c>
      <c r="L305" s="52">
        <v>5</v>
      </c>
      <c r="M305" s="52" t="s">
        <v>4929</v>
      </c>
      <c r="N305" s="52" t="s">
        <v>4930</v>
      </c>
      <c r="O305" s="52" t="s">
        <v>4931</v>
      </c>
      <c r="P305" s="52" t="s">
        <v>4932</v>
      </c>
      <c r="Q305" s="52" t="s">
        <v>4933</v>
      </c>
      <c r="R305" s="52" t="s">
        <v>4934</v>
      </c>
      <c r="S305" s="52" t="s">
        <v>8211</v>
      </c>
    </row>
    <row r="306" spans="1:19" ht="51">
      <c r="A306" s="64" t="s">
        <v>4936</v>
      </c>
      <c r="B306" s="64" t="s">
        <v>90</v>
      </c>
      <c r="C306" s="64" t="s">
        <v>1481</v>
      </c>
      <c r="D306" s="64" t="s">
        <v>4937</v>
      </c>
      <c r="E306" s="64" t="s">
        <v>4665</v>
      </c>
      <c r="F306" s="64" t="s">
        <v>4938</v>
      </c>
      <c r="G306" s="64">
        <v>3</v>
      </c>
      <c r="H306" s="64" t="s">
        <v>4673</v>
      </c>
      <c r="I306" s="64" t="s">
        <v>4674</v>
      </c>
      <c r="J306" s="64">
        <v>5</v>
      </c>
      <c r="K306" s="64">
        <v>5</v>
      </c>
      <c r="L306" s="64">
        <v>5</v>
      </c>
      <c r="M306" s="64" t="s">
        <v>4939</v>
      </c>
      <c r="N306" s="64" t="s">
        <v>4940</v>
      </c>
      <c r="O306" s="64" t="s">
        <v>4941</v>
      </c>
      <c r="P306" s="64" t="s">
        <v>4942</v>
      </c>
      <c r="Q306" s="64" t="s">
        <v>4943</v>
      </c>
      <c r="R306" s="64" t="s">
        <v>4944</v>
      </c>
      <c r="S306" s="64" t="s">
        <v>8218</v>
      </c>
    </row>
    <row r="307" spans="1:19" ht="63.75">
      <c r="A307" s="52" t="s">
        <v>4946</v>
      </c>
      <c r="B307" s="52" t="s">
        <v>90</v>
      </c>
      <c r="C307" s="52" t="s">
        <v>1481</v>
      </c>
      <c r="D307" s="52" t="s">
        <v>4947</v>
      </c>
      <c r="E307" s="52" t="s">
        <v>4665</v>
      </c>
      <c r="F307" s="52" t="s">
        <v>4948</v>
      </c>
      <c r="G307" s="52">
        <v>5</v>
      </c>
      <c r="H307" s="52" t="s">
        <v>4673</v>
      </c>
      <c r="I307" s="52" t="s">
        <v>4674</v>
      </c>
      <c r="J307" s="52">
        <v>5</v>
      </c>
      <c r="K307" s="52">
        <v>5</v>
      </c>
      <c r="L307" s="52">
        <v>5</v>
      </c>
      <c r="M307" s="52" t="s">
        <v>4949</v>
      </c>
      <c r="N307" s="52" t="s">
        <v>4950</v>
      </c>
      <c r="O307" s="52" t="s">
        <v>4951</v>
      </c>
      <c r="P307" s="52" t="s">
        <v>4952</v>
      </c>
      <c r="Q307" s="52" t="s">
        <v>4953</v>
      </c>
      <c r="R307" s="52" t="s">
        <v>4954</v>
      </c>
      <c r="S307" s="52" t="s">
        <v>8225</v>
      </c>
    </row>
    <row r="308" spans="1:19" ht="63.75">
      <c r="A308" s="64" t="s">
        <v>4958</v>
      </c>
      <c r="B308" s="64" t="s">
        <v>91</v>
      </c>
      <c r="C308" s="64" t="s">
        <v>1489</v>
      </c>
      <c r="D308" s="64" t="s">
        <v>4959</v>
      </c>
      <c r="E308" s="64" t="s">
        <v>4961</v>
      </c>
      <c r="F308" s="64" t="s">
        <v>4962</v>
      </c>
      <c r="G308" s="64">
        <v>5</v>
      </c>
      <c r="H308" s="64" t="s">
        <v>4969</v>
      </c>
      <c r="I308" s="64" t="s">
        <v>4970</v>
      </c>
      <c r="J308" s="64">
        <v>5</v>
      </c>
      <c r="K308" s="64">
        <v>5</v>
      </c>
      <c r="L308" s="64">
        <v>5</v>
      </c>
      <c r="M308" s="64" t="s">
        <v>4963</v>
      </c>
      <c r="N308" s="64" t="s">
        <v>4964</v>
      </c>
      <c r="O308" s="64" t="s">
        <v>4965</v>
      </c>
      <c r="P308" s="64" t="s">
        <v>4966</v>
      </c>
      <c r="Q308" s="64" t="s">
        <v>4967</v>
      </c>
      <c r="R308" s="64" t="s">
        <v>4968</v>
      </c>
      <c r="S308" s="64" t="s">
        <v>8233</v>
      </c>
    </row>
    <row r="309" spans="1:19" ht="63.75">
      <c r="A309" s="52" t="s">
        <v>4972</v>
      </c>
      <c r="B309" s="52" t="s">
        <v>91</v>
      </c>
      <c r="C309" s="52" t="s">
        <v>1489</v>
      </c>
      <c r="D309" s="52" t="s">
        <v>4973</v>
      </c>
      <c r="E309" s="52" t="s">
        <v>4961</v>
      </c>
      <c r="F309" s="52" t="s">
        <v>4974</v>
      </c>
      <c r="G309" s="52">
        <v>5</v>
      </c>
      <c r="H309" s="52" t="s">
        <v>4969</v>
      </c>
      <c r="I309" s="52" t="s">
        <v>4970</v>
      </c>
      <c r="J309" s="52">
        <v>5</v>
      </c>
      <c r="K309" s="52">
        <v>5</v>
      </c>
      <c r="L309" s="52">
        <v>5</v>
      </c>
      <c r="M309" s="52" t="s">
        <v>4975</v>
      </c>
      <c r="N309" s="52" t="s">
        <v>4976</v>
      </c>
      <c r="O309" s="52" t="s">
        <v>4977</v>
      </c>
      <c r="P309" s="52" t="s">
        <v>4978</v>
      </c>
      <c r="Q309" s="52" t="s">
        <v>4979</v>
      </c>
      <c r="R309" s="52" t="s">
        <v>4980</v>
      </c>
      <c r="S309" s="52" t="s">
        <v>8240</v>
      </c>
    </row>
    <row r="310" spans="1:19" ht="51">
      <c r="A310" s="64" t="s">
        <v>4982</v>
      </c>
      <c r="B310" s="64" t="s">
        <v>91</v>
      </c>
      <c r="C310" s="64" t="s">
        <v>1489</v>
      </c>
      <c r="D310" s="64" t="s">
        <v>4983</v>
      </c>
      <c r="E310" s="64" t="s">
        <v>4961</v>
      </c>
      <c r="F310" s="64" t="s">
        <v>4984</v>
      </c>
      <c r="G310" s="64">
        <v>5</v>
      </c>
      <c r="H310" s="64" t="s">
        <v>4969</v>
      </c>
      <c r="I310" s="64" t="s">
        <v>4970</v>
      </c>
      <c r="J310" s="64">
        <v>5</v>
      </c>
      <c r="K310" s="64">
        <v>5</v>
      </c>
      <c r="L310" s="64">
        <v>5</v>
      </c>
      <c r="M310" s="64" t="s">
        <v>4985</v>
      </c>
      <c r="N310" s="64" t="s">
        <v>4986</v>
      </c>
      <c r="O310" s="64" t="s">
        <v>4987</v>
      </c>
      <c r="P310" s="64" t="s">
        <v>4988</v>
      </c>
      <c r="Q310" s="64" t="s">
        <v>4989</v>
      </c>
      <c r="R310" s="64" t="s">
        <v>4990</v>
      </c>
      <c r="S310" s="64" t="s">
        <v>8247</v>
      </c>
    </row>
    <row r="311" spans="1:19" ht="63.75">
      <c r="A311" s="52" t="s">
        <v>4992</v>
      </c>
      <c r="B311" s="52" t="s">
        <v>91</v>
      </c>
      <c r="C311" s="52" t="s">
        <v>1489</v>
      </c>
      <c r="D311" s="52" t="s">
        <v>4993</v>
      </c>
      <c r="E311" s="52" t="s">
        <v>4961</v>
      </c>
      <c r="F311" s="52" t="s">
        <v>4994</v>
      </c>
      <c r="G311" s="52">
        <v>5</v>
      </c>
      <c r="H311" s="52" t="s">
        <v>4969</v>
      </c>
      <c r="I311" s="52" t="s">
        <v>4970</v>
      </c>
      <c r="J311" s="52">
        <v>5</v>
      </c>
      <c r="K311" s="52">
        <v>5</v>
      </c>
      <c r="L311" s="52">
        <v>5</v>
      </c>
      <c r="M311" s="52" t="s">
        <v>4995</v>
      </c>
      <c r="N311" s="52" t="s">
        <v>4996</v>
      </c>
      <c r="O311" s="52" t="s">
        <v>4997</v>
      </c>
      <c r="P311" s="52" t="s">
        <v>4998</v>
      </c>
      <c r="Q311" s="52" t="s">
        <v>4999</v>
      </c>
      <c r="R311" s="52" t="s">
        <v>5000</v>
      </c>
      <c r="S311" s="52" t="s">
        <v>8254</v>
      </c>
    </row>
    <row r="312" spans="1:19" ht="63.75">
      <c r="A312" s="64" t="s">
        <v>5002</v>
      </c>
      <c r="B312" s="64" t="s">
        <v>91</v>
      </c>
      <c r="C312" s="64" t="s">
        <v>1489</v>
      </c>
      <c r="D312" s="64" t="s">
        <v>5003</v>
      </c>
      <c r="E312" s="64" t="s">
        <v>4961</v>
      </c>
      <c r="F312" s="64" t="s">
        <v>5004</v>
      </c>
      <c r="G312" s="64">
        <v>5</v>
      </c>
      <c r="H312" s="64" t="s">
        <v>4969</v>
      </c>
      <c r="I312" s="64" t="s">
        <v>4970</v>
      </c>
      <c r="J312" s="64">
        <v>5</v>
      </c>
      <c r="K312" s="64">
        <v>5</v>
      </c>
      <c r="L312" s="64">
        <v>5</v>
      </c>
      <c r="M312" s="64" t="s">
        <v>5005</v>
      </c>
      <c r="N312" s="64" t="s">
        <v>5006</v>
      </c>
      <c r="O312" s="64" t="s">
        <v>5007</v>
      </c>
      <c r="P312" s="64" t="s">
        <v>5008</v>
      </c>
      <c r="Q312" s="64" t="s">
        <v>5009</v>
      </c>
      <c r="R312" s="64" t="s">
        <v>5010</v>
      </c>
      <c r="S312" s="64" t="s">
        <v>8261</v>
      </c>
    </row>
    <row r="313" spans="1:19" ht="63.75">
      <c r="A313" s="52" t="s">
        <v>5012</v>
      </c>
      <c r="B313" s="52" t="s">
        <v>91</v>
      </c>
      <c r="C313" s="52" t="s">
        <v>1503</v>
      </c>
      <c r="D313" s="52" t="s">
        <v>5013</v>
      </c>
      <c r="E313" s="52" t="s">
        <v>4961</v>
      </c>
      <c r="F313" s="52" t="s">
        <v>5014</v>
      </c>
      <c r="G313" s="52">
        <v>5</v>
      </c>
      <c r="H313" s="52" t="s">
        <v>4969</v>
      </c>
      <c r="I313" s="52" t="s">
        <v>4970</v>
      </c>
      <c r="J313" s="52">
        <v>5</v>
      </c>
      <c r="K313" s="52">
        <v>5</v>
      </c>
      <c r="L313" s="52">
        <v>5</v>
      </c>
      <c r="M313" s="52" t="s">
        <v>5015</v>
      </c>
      <c r="N313" s="52" t="s">
        <v>5016</v>
      </c>
      <c r="O313" s="52" t="s">
        <v>5017</v>
      </c>
      <c r="P313" s="52" t="s">
        <v>5018</v>
      </c>
      <c r="Q313" s="52" t="s">
        <v>5019</v>
      </c>
      <c r="R313" s="52" t="s">
        <v>5020</v>
      </c>
      <c r="S313" s="52" t="s">
        <v>8269</v>
      </c>
    </row>
    <row r="314" spans="1:19" ht="63.75">
      <c r="A314" s="64" t="s">
        <v>5022</v>
      </c>
      <c r="B314" s="64" t="s">
        <v>91</v>
      </c>
      <c r="C314" s="64" t="s">
        <v>1503</v>
      </c>
      <c r="D314" s="64" t="s">
        <v>5023</v>
      </c>
      <c r="E314" s="64" t="s">
        <v>4961</v>
      </c>
      <c r="F314" s="64" t="s">
        <v>5024</v>
      </c>
      <c r="G314" s="64">
        <v>5</v>
      </c>
      <c r="H314" s="64" t="s">
        <v>4969</v>
      </c>
      <c r="I314" s="64" t="s">
        <v>4970</v>
      </c>
      <c r="J314" s="64">
        <v>5</v>
      </c>
      <c r="K314" s="64">
        <v>5</v>
      </c>
      <c r="L314" s="64">
        <v>5</v>
      </c>
      <c r="M314" s="64" t="s">
        <v>5025</v>
      </c>
      <c r="N314" s="64" t="s">
        <v>5026</v>
      </c>
      <c r="O314" s="64" t="s">
        <v>5027</v>
      </c>
      <c r="P314" s="64" t="s">
        <v>5028</v>
      </c>
      <c r="Q314" s="64" t="s">
        <v>5029</v>
      </c>
      <c r="R314" s="64" t="s">
        <v>5030</v>
      </c>
      <c r="S314" s="64" t="s">
        <v>8276</v>
      </c>
    </row>
    <row r="315" spans="1:19" ht="63.75">
      <c r="A315" s="52" t="s">
        <v>5032</v>
      </c>
      <c r="B315" s="52" t="s">
        <v>91</v>
      </c>
      <c r="C315" s="52" t="s">
        <v>1503</v>
      </c>
      <c r="D315" s="52" t="s">
        <v>5033</v>
      </c>
      <c r="E315" s="52" t="s">
        <v>4961</v>
      </c>
      <c r="F315" s="52" t="s">
        <v>5034</v>
      </c>
      <c r="G315" s="52">
        <v>4</v>
      </c>
      <c r="H315" s="52" t="s">
        <v>4969</v>
      </c>
      <c r="I315" s="52" t="s">
        <v>4970</v>
      </c>
      <c r="J315" s="52">
        <v>5</v>
      </c>
      <c r="K315" s="52">
        <v>5</v>
      </c>
      <c r="L315" s="52">
        <v>5</v>
      </c>
      <c r="M315" s="52" t="s">
        <v>5035</v>
      </c>
      <c r="N315" s="52" t="s">
        <v>5036</v>
      </c>
      <c r="O315" s="52" t="s">
        <v>5037</v>
      </c>
      <c r="P315" s="52" t="s">
        <v>5038</v>
      </c>
      <c r="Q315" s="52" t="s">
        <v>5039</v>
      </c>
      <c r="R315" s="52" t="s">
        <v>5040</v>
      </c>
      <c r="S315" s="52" t="s">
        <v>8283</v>
      </c>
    </row>
    <row r="316" spans="1:19" ht="51">
      <c r="A316" s="64" t="s">
        <v>5042</v>
      </c>
      <c r="B316" s="64" t="s">
        <v>91</v>
      </c>
      <c r="C316" s="64" t="s">
        <v>1503</v>
      </c>
      <c r="D316" s="64" t="s">
        <v>5043</v>
      </c>
      <c r="E316" s="64" t="s">
        <v>4961</v>
      </c>
      <c r="F316" s="64" t="s">
        <v>5044</v>
      </c>
      <c r="G316" s="64">
        <v>4</v>
      </c>
      <c r="H316" s="64" t="s">
        <v>4969</v>
      </c>
      <c r="I316" s="64" t="s">
        <v>4970</v>
      </c>
      <c r="J316" s="64">
        <v>5</v>
      </c>
      <c r="K316" s="64">
        <v>5</v>
      </c>
      <c r="L316" s="64">
        <v>5</v>
      </c>
      <c r="M316" s="64" t="s">
        <v>5045</v>
      </c>
      <c r="N316" s="64" t="s">
        <v>5046</v>
      </c>
      <c r="O316" s="64" t="s">
        <v>5047</v>
      </c>
      <c r="P316" s="64" t="s">
        <v>5048</v>
      </c>
      <c r="Q316" s="64" t="s">
        <v>5049</v>
      </c>
      <c r="R316" s="64" t="s">
        <v>5050</v>
      </c>
      <c r="S316" s="64" t="s">
        <v>8290</v>
      </c>
    </row>
    <row r="317" spans="1:19" ht="63.75">
      <c r="A317" s="52" t="s">
        <v>5052</v>
      </c>
      <c r="B317" s="52" t="s">
        <v>91</v>
      </c>
      <c r="C317" s="52" t="s">
        <v>1511</v>
      </c>
      <c r="D317" s="52" t="s">
        <v>5053</v>
      </c>
      <c r="E317" s="52" t="s">
        <v>4961</v>
      </c>
      <c r="F317" s="52" t="s">
        <v>5054</v>
      </c>
      <c r="G317" s="52">
        <v>5</v>
      </c>
      <c r="H317" s="52" t="s">
        <v>4969</v>
      </c>
      <c r="I317" s="52" t="s">
        <v>4970</v>
      </c>
      <c r="J317" s="52">
        <v>5</v>
      </c>
      <c r="K317" s="52">
        <v>5</v>
      </c>
      <c r="L317" s="52">
        <v>5</v>
      </c>
      <c r="M317" s="52" t="s">
        <v>5055</v>
      </c>
      <c r="N317" s="52" t="s">
        <v>5056</v>
      </c>
      <c r="O317" s="52" t="s">
        <v>5057</v>
      </c>
      <c r="P317" s="52" t="s">
        <v>5058</v>
      </c>
      <c r="Q317" s="52" t="s">
        <v>5059</v>
      </c>
      <c r="R317" s="52" t="s">
        <v>5060</v>
      </c>
      <c r="S317" s="52" t="s">
        <v>8298</v>
      </c>
    </row>
    <row r="318" spans="1:19" ht="63.75">
      <c r="A318" s="64" t="s">
        <v>5062</v>
      </c>
      <c r="B318" s="64" t="s">
        <v>91</v>
      </c>
      <c r="C318" s="64" t="s">
        <v>1511</v>
      </c>
      <c r="D318" s="64" t="s">
        <v>5063</v>
      </c>
      <c r="E318" s="64" t="s">
        <v>4961</v>
      </c>
      <c r="F318" s="64" t="s">
        <v>5064</v>
      </c>
      <c r="G318" s="64">
        <v>5</v>
      </c>
      <c r="H318" s="64" t="s">
        <v>4969</v>
      </c>
      <c r="I318" s="64" t="s">
        <v>4970</v>
      </c>
      <c r="J318" s="64">
        <v>5</v>
      </c>
      <c r="K318" s="64">
        <v>5</v>
      </c>
      <c r="L318" s="64">
        <v>5</v>
      </c>
      <c r="M318" s="64" t="s">
        <v>5065</v>
      </c>
      <c r="N318" s="64" t="s">
        <v>5066</v>
      </c>
      <c r="O318" s="64" t="s">
        <v>5067</v>
      </c>
      <c r="P318" s="64" t="s">
        <v>5068</v>
      </c>
      <c r="Q318" s="64" t="s">
        <v>5069</v>
      </c>
      <c r="R318" s="64" t="s">
        <v>5070</v>
      </c>
      <c r="S318" s="64" t="s">
        <v>8305</v>
      </c>
    </row>
    <row r="319" spans="1:19" ht="63.75">
      <c r="A319" s="52" t="s">
        <v>5072</v>
      </c>
      <c r="B319" s="52" t="s">
        <v>91</v>
      </c>
      <c r="C319" s="52" t="s">
        <v>1511</v>
      </c>
      <c r="D319" s="52" t="s">
        <v>5073</v>
      </c>
      <c r="E319" s="52" t="s">
        <v>4961</v>
      </c>
      <c r="F319" s="52" t="s">
        <v>5074</v>
      </c>
      <c r="G319" s="52">
        <v>4</v>
      </c>
      <c r="H319" s="52" t="s">
        <v>4969</v>
      </c>
      <c r="I319" s="52" t="s">
        <v>4970</v>
      </c>
      <c r="J319" s="52">
        <v>5</v>
      </c>
      <c r="K319" s="52">
        <v>5</v>
      </c>
      <c r="L319" s="52">
        <v>5</v>
      </c>
      <c r="M319" s="52" t="s">
        <v>5075</v>
      </c>
      <c r="N319" s="52" t="s">
        <v>5076</v>
      </c>
      <c r="O319" s="52" t="s">
        <v>5077</v>
      </c>
      <c r="P319" s="52" t="s">
        <v>5078</v>
      </c>
      <c r="Q319" s="52" t="s">
        <v>5079</v>
      </c>
      <c r="R319" s="52" t="s">
        <v>5080</v>
      </c>
      <c r="S319" s="52" t="s">
        <v>8312</v>
      </c>
    </row>
    <row r="320" spans="1:19" ht="63.75">
      <c r="A320" s="64" t="s">
        <v>5082</v>
      </c>
      <c r="B320" s="64" t="s">
        <v>91</v>
      </c>
      <c r="C320" s="64" t="s">
        <v>1511</v>
      </c>
      <c r="D320" s="64" t="s">
        <v>5083</v>
      </c>
      <c r="E320" s="64" t="s">
        <v>4961</v>
      </c>
      <c r="F320" s="64" t="s">
        <v>5084</v>
      </c>
      <c r="G320" s="64">
        <v>3</v>
      </c>
      <c r="H320" s="64" t="s">
        <v>4969</v>
      </c>
      <c r="I320" s="64" t="s">
        <v>4970</v>
      </c>
      <c r="J320" s="64">
        <v>5</v>
      </c>
      <c r="K320" s="64">
        <v>5</v>
      </c>
      <c r="L320" s="64">
        <v>5</v>
      </c>
      <c r="M320" s="64" t="s">
        <v>5085</v>
      </c>
      <c r="N320" s="64" t="s">
        <v>5086</v>
      </c>
      <c r="O320" s="64" t="s">
        <v>5087</v>
      </c>
      <c r="P320" s="64" t="s">
        <v>5088</v>
      </c>
      <c r="Q320" s="64" t="s">
        <v>5089</v>
      </c>
      <c r="R320" s="64" t="s">
        <v>5090</v>
      </c>
      <c r="S320" s="64" t="s">
        <v>8319</v>
      </c>
    </row>
    <row r="321" spans="1:19" ht="63.75">
      <c r="A321" s="52" t="s">
        <v>5092</v>
      </c>
      <c r="B321" s="52" t="s">
        <v>91</v>
      </c>
      <c r="C321" s="52" t="s">
        <v>1519</v>
      </c>
      <c r="D321" s="52" t="s">
        <v>5093</v>
      </c>
      <c r="E321" s="52" t="s">
        <v>4961</v>
      </c>
      <c r="F321" s="52" t="s">
        <v>5094</v>
      </c>
      <c r="G321" s="52">
        <v>5</v>
      </c>
      <c r="H321" s="52" t="s">
        <v>4969</v>
      </c>
      <c r="I321" s="52" t="s">
        <v>4970</v>
      </c>
      <c r="J321" s="52">
        <v>5</v>
      </c>
      <c r="K321" s="52">
        <v>5</v>
      </c>
      <c r="L321" s="52">
        <v>5</v>
      </c>
      <c r="M321" s="52" t="s">
        <v>5095</v>
      </c>
      <c r="N321" s="52" t="s">
        <v>5096</v>
      </c>
      <c r="O321" s="52" t="s">
        <v>5097</v>
      </c>
      <c r="P321" s="52" t="s">
        <v>5098</v>
      </c>
      <c r="Q321" s="52" t="s">
        <v>5099</v>
      </c>
      <c r="R321" s="52" t="s">
        <v>5100</v>
      </c>
      <c r="S321" s="52" t="s">
        <v>8327</v>
      </c>
    </row>
    <row r="322" spans="1:19" ht="63.75">
      <c r="A322" s="64" t="s">
        <v>5102</v>
      </c>
      <c r="B322" s="64" t="s">
        <v>91</v>
      </c>
      <c r="C322" s="64" t="s">
        <v>1519</v>
      </c>
      <c r="D322" s="64" t="s">
        <v>5103</v>
      </c>
      <c r="E322" s="64" t="s">
        <v>4961</v>
      </c>
      <c r="F322" s="64" t="s">
        <v>5104</v>
      </c>
      <c r="G322" s="64">
        <v>5</v>
      </c>
      <c r="H322" s="64" t="s">
        <v>4969</v>
      </c>
      <c r="I322" s="64" t="s">
        <v>4970</v>
      </c>
      <c r="J322" s="64">
        <v>5</v>
      </c>
      <c r="K322" s="64">
        <v>5</v>
      </c>
      <c r="L322" s="64">
        <v>5</v>
      </c>
      <c r="M322" s="64" t="s">
        <v>5105</v>
      </c>
      <c r="N322" s="64" t="s">
        <v>5106</v>
      </c>
      <c r="O322" s="64" t="s">
        <v>5107</v>
      </c>
      <c r="P322" s="64" t="s">
        <v>5108</v>
      </c>
      <c r="Q322" s="64" t="s">
        <v>5109</v>
      </c>
      <c r="R322" s="64" t="s">
        <v>5110</v>
      </c>
      <c r="S322" s="64" t="s">
        <v>8334</v>
      </c>
    </row>
    <row r="323" spans="1:19" ht="63.75">
      <c r="A323" s="52" t="s">
        <v>5112</v>
      </c>
      <c r="B323" s="52" t="s">
        <v>91</v>
      </c>
      <c r="C323" s="52" t="s">
        <v>1519</v>
      </c>
      <c r="D323" s="52" t="s">
        <v>5113</v>
      </c>
      <c r="E323" s="52" t="s">
        <v>4961</v>
      </c>
      <c r="F323" s="52" t="s">
        <v>5114</v>
      </c>
      <c r="G323" s="52">
        <v>5</v>
      </c>
      <c r="H323" s="52" t="s">
        <v>4969</v>
      </c>
      <c r="I323" s="52" t="s">
        <v>4970</v>
      </c>
      <c r="J323" s="52">
        <v>5</v>
      </c>
      <c r="K323" s="52">
        <v>5</v>
      </c>
      <c r="L323" s="52">
        <v>5</v>
      </c>
      <c r="M323" s="52" t="s">
        <v>5115</v>
      </c>
      <c r="N323" s="52" t="s">
        <v>5116</v>
      </c>
      <c r="O323" s="52" t="s">
        <v>5117</v>
      </c>
      <c r="P323" s="52" t="s">
        <v>5118</v>
      </c>
      <c r="Q323" s="52" t="s">
        <v>5119</v>
      </c>
      <c r="R323" s="52" t="s">
        <v>5120</v>
      </c>
      <c r="S323" s="52" t="s">
        <v>8341</v>
      </c>
    </row>
    <row r="324" spans="1:19" ht="51">
      <c r="A324" s="64" t="s">
        <v>5122</v>
      </c>
      <c r="B324" s="64" t="s">
        <v>91</v>
      </c>
      <c r="C324" s="64" t="s">
        <v>1519</v>
      </c>
      <c r="D324" s="64" t="s">
        <v>5123</v>
      </c>
      <c r="E324" s="64" t="s">
        <v>4961</v>
      </c>
      <c r="F324" s="64" t="s">
        <v>5124</v>
      </c>
      <c r="G324" s="64">
        <v>5</v>
      </c>
      <c r="H324" s="64" t="s">
        <v>4969</v>
      </c>
      <c r="I324" s="64" t="s">
        <v>4970</v>
      </c>
      <c r="J324" s="64">
        <v>5</v>
      </c>
      <c r="K324" s="64">
        <v>5</v>
      </c>
      <c r="L324" s="64">
        <v>5</v>
      </c>
      <c r="M324" s="64" t="s">
        <v>5125</v>
      </c>
      <c r="N324" s="64" t="s">
        <v>5126</v>
      </c>
      <c r="O324" s="64" t="s">
        <v>5127</v>
      </c>
      <c r="P324" s="64" t="s">
        <v>5128</v>
      </c>
      <c r="Q324" s="64" t="s">
        <v>5129</v>
      </c>
      <c r="R324" s="64" t="s">
        <v>5130</v>
      </c>
      <c r="S324" s="64" t="s">
        <v>8348</v>
      </c>
    </row>
    <row r="325" spans="1:19" ht="63.75">
      <c r="A325" s="52" t="s">
        <v>5132</v>
      </c>
      <c r="B325" s="52" t="s">
        <v>91</v>
      </c>
      <c r="C325" s="52" t="s">
        <v>1527</v>
      </c>
      <c r="D325" s="52" t="s">
        <v>5133</v>
      </c>
      <c r="E325" s="52" t="s">
        <v>4961</v>
      </c>
      <c r="F325" s="52" t="s">
        <v>5134</v>
      </c>
      <c r="G325" s="52">
        <v>4</v>
      </c>
      <c r="H325" s="52" t="s">
        <v>4969</v>
      </c>
      <c r="I325" s="52" t="s">
        <v>4970</v>
      </c>
      <c r="J325" s="52">
        <v>5</v>
      </c>
      <c r="K325" s="52">
        <v>5</v>
      </c>
      <c r="L325" s="52">
        <v>5</v>
      </c>
      <c r="M325" s="52" t="s">
        <v>5135</v>
      </c>
      <c r="N325" s="52" t="s">
        <v>5136</v>
      </c>
      <c r="O325" s="52" t="s">
        <v>5137</v>
      </c>
      <c r="P325" s="52" t="s">
        <v>5138</v>
      </c>
      <c r="Q325" s="52" t="s">
        <v>5139</v>
      </c>
      <c r="R325" s="52" t="s">
        <v>5140</v>
      </c>
      <c r="S325" s="52" t="s">
        <v>8356</v>
      </c>
    </row>
    <row r="326" spans="1:19" ht="63.75">
      <c r="A326" s="64" t="s">
        <v>5142</v>
      </c>
      <c r="B326" s="64" t="s">
        <v>91</v>
      </c>
      <c r="C326" s="64" t="s">
        <v>1527</v>
      </c>
      <c r="D326" s="64" t="s">
        <v>5143</v>
      </c>
      <c r="E326" s="64" t="s">
        <v>4961</v>
      </c>
      <c r="F326" s="64" t="s">
        <v>5144</v>
      </c>
      <c r="G326" s="64">
        <v>5</v>
      </c>
      <c r="H326" s="64" t="s">
        <v>4969</v>
      </c>
      <c r="I326" s="64" t="s">
        <v>4970</v>
      </c>
      <c r="J326" s="64">
        <v>5</v>
      </c>
      <c r="K326" s="64">
        <v>5</v>
      </c>
      <c r="L326" s="64">
        <v>5</v>
      </c>
      <c r="M326" s="64" t="s">
        <v>5145</v>
      </c>
      <c r="N326" s="64" t="s">
        <v>5146</v>
      </c>
      <c r="O326" s="64" t="s">
        <v>5147</v>
      </c>
      <c r="P326" s="64" t="s">
        <v>5148</v>
      </c>
      <c r="Q326" s="64" t="s">
        <v>5149</v>
      </c>
      <c r="R326" s="64" t="s">
        <v>5150</v>
      </c>
      <c r="S326" s="64" t="s">
        <v>8363</v>
      </c>
    </row>
    <row r="327" spans="1:19" ht="63.75">
      <c r="A327" s="52" t="s">
        <v>5152</v>
      </c>
      <c r="B327" s="52" t="s">
        <v>91</v>
      </c>
      <c r="C327" s="52" t="s">
        <v>1527</v>
      </c>
      <c r="D327" s="52" t="s">
        <v>5153</v>
      </c>
      <c r="E327" s="52" t="s">
        <v>4961</v>
      </c>
      <c r="F327" s="52" t="s">
        <v>5154</v>
      </c>
      <c r="G327" s="52">
        <v>5</v>
      </c>
      <c r="H327" s="52" t="s">
        <v>4969</v>
      </c>
      <c r="I327" s="52" t="s">
        <v>4970</v>
      </c>
      <c r="J327" s="52">
        <v>5</v>
      </c>
      <c r="K327" s="52">
        <v>5</v>
      </c>
      <c r="L327" s="52">
        <v>5</v>
      </c>
      <c r="M327" s="52" t="s">
        <v>5155</v>
      </c>
      <c r="N327" s="52" t="s">
        <v>5156</v>
      </c>
      <c r="O327" s="52" t="s">
        <v>5157</v>
      </c>
      <c r="P327" s="52" t="s">
        <v>5158</v>
      </c>
      <c r="Q327" s="52" t="s">
        <v>5159</v>
      </c>
      <c r="R327" s="52" t="s">
        <v>5160</v>
      </c>
      <c r="S327" s="52" t="s">
        <v>8370</v>
      </c>
    </row>
    <row r="328" spans="1:19" ht="63.75">
      <c r="A328" s="64" t="s">
        <v>5162</v>
      </c>
      <c r="B328" s="64" t="s">
        <v>91</v>
      </c>
      <c r="C328" s="64" t="s">
        <v>1527</v>
      </c>
      <c r="D328" s="64" t="s">
        <v>5163</v>
      </c>
      <c r="E328" s="64" t="s">
        <v>4961</v>
      </c>
      <c r="F328" s="64" t="s">
        <v>5164</v>
      </c>
      <c r="G328" s="64">
        <v>5</v>
      </c>
      <c r="H328" s="64" t="s">
        <v>4969</v>
      </c>
      <c r="I328" s="64" t="s">
        <v>4970</v>
      </c>
      <c r="J328" s="64">
        <v>5</v>
      </c>
      <c r="K328" s="64">
        <v>5</v>
      </c>
      <c r="L328" s="64">
        <v>5</v>
      </c>
      <c r="M328" s="64" t="s">
        <v>5165</v>
      </c>
      <c r="N328" s="64" t="s">
        <v>5166</v>
      </c>
      <c r="O328" s="64" t="s">
        <v>5167</v>
      </c>
      <c r="P328" s="64" t="s">
        <v>5168</v>
      </c>
      <c r="Q328" s="64" t="s">
        <v>5169</v>
      </c>
      <c r="R328" s="64" t="s">
        <v>5170</v>
      </c>
      <c r="S328" s="64" t="s">
        <v>8377</v>
      </c>
    </row>
    <row r="329" spans="1:19" ht="51">
      <c r="A329" s="52" t="s">
        <v>5172</v>
      </c>
      <c r="B329" s="52" t="s">
        <v>91</v>
      </c>
      <c r="C329" s="52" t="s">
        <v>1527</v>
      </c>
      <c r="D329" s="52" t="s">
        <v>5173</v>
      </c>
      <c r="E329" s="52" t="s">
        <v>4961</v>
      </c>
      <c r="F329" s="52" t="s">
        <v>5174</v>
      </c>
      <c r="G329" s="52">
        <v>5</v>
      </c>
      <c r="H329" s="52" t="s">
        <v>4969</v>
      </c>
      <c r="I329" s="52" t="s">
        <v>4970</v>
      </c>
      <c r="J329" s="52">
        <v>5</v>
      </c>
      <c r="K329" s="52">
        <v>5</v>
      </c>
      <c r="L329" s="52">
        <v>5</v>
      </c>
      <c r="M329" s="52" t="s">
        <v>5175</v>
      </c>
      <c r="N329" s="52" t="s">
        <v>5176</v>
      </c>
      <c r="O329" s="52" t="s">
        <v>5177</v>
      </c>
      <c r="P329" s="52" t="s">
        <v>5178</v>
      </c>
      <c r="Q329" s="52" t="s">
        <v>5179</v>
      </c>
      <c r="R329" s="52" t="s">
        <v>5180</v>
      </c>
      <c r="S329" s="52" t="s">
        <v>8384</v>
      </c>
    </row>
    <row r="330" spans="1:19" ht="63.75">
      <c r="A330" s="64" t="s">
        <v>5182</v>
      </c>
      <c r="B330" s="64" t="s">
        <v>91</v>
      </c>
      <c r="C330" s="64" t="s">
        <v>1527</v>
      </c>
      <c r="D330" s="64" t="s">
        <v>5183</v>
      </c>
      <c r="E330" s="64" t="s">
        <v>4961</v>
      </c>
      <c r="F330" s="64" t="s">
        <v>5184</v>
      </c>
      <c r="G330" s="64">
        <v>5</v>
      </c>
      <c r="H330" s="64" t="s">
        <v>4969</v>
      </c>
      <c r="I330" s="64" t="s">
        <v>4970</v>
      </c>
      <c r="J330" s="64">
        <v>5</v>
      </c>
      <c r="K330" s="64">
        <v>5</v>
      </c>
      <c r="L330" s="64">
        <v>5</v>
      </c>
      <c r="M330" s="64" t="s">
        <v>5185</v>
      </c>
      <c r="N330" s="64" t="s">
        <v>5186</v>
      </c>
      <c r="O330" s="64" t="s">
        <v>5187</v>
      </c>
      <c r="P330" s="64" t="s">
        <v>5188</v>
      </c>
      <c r="Q330" s="64" t="s">
        <v>5189</v>
      </c>
      <c r="R330" s="64" t="s">
        <v>5190</v>
      </c>
      <c r="S330" s="64" t="s">
        <v>8391</v>
      </c>
    </row>
    <row r="331" spans="1:19" ht="51">
      <c r="A331" s="52" t="s">
        <v>5194</v>
      </c>
      <c r="B331" s="52" t="s">
        <v>92</v>
      </c>
      <c r="C331" s="52" t="s">
        <v>1535</v>
      </c>
      <c r="D331" s="52" t="s">
        <v>5195</v>
      </c>
      <c r="E331" s="52" t="s">
        <v>5197</v>
      </c>
      <c r="F331" s="52" t="s">
        <v>5198</v>
      </c>
      <c r="G331" s="52">
        <v>5</v>
      </c>
      <c r="H331" s="52" t="s">
        <v>5205</v>
      </c>
      <c r="I331" s="52" t="s">
        <v>5206</v>
      </c>
      <c r="J331" s="52">
        <v>5</v>
      </c>
      <c r="K331" s="52">
        <v>5</v>
      </c>
      <c r="L331" s="52">
        <v>5</v>
      </c>
      <c r="M331" s="52" t="s">
        <v>5199</v>
      </c>
      <c r="N331" s="52" t="s">
        <v>5200</v>
      </c>
      <c r="O331" s="52" t="s">
        <v>5201</v>
      </c>
      <c r="P331" s="52" t="s">
        <v>5202</v>
      </c>
      <c r="Q331" s="52" t="s">
        <v>5203</v>
      </c>
      <c r="R331" s="52" t="s">
        <v>5204</v>
      </c>
      <c r="S331" s="52" t="s">
        <v>8399</v>
      </c>
    </row>
    <row r="332" spans="1:19" ht="63.75">
      <c r="A332" s="64" t="s">
        <v>5208</v>
      </c>
      <c r="B332" s="64" t="s">
        <v>92</v>
      </c>
      <c r="C332" s="64" t="s">
        <v>1535</v>
      </c>
      <c r="D332" s="64" t="s">
        <v>5209</v>
      </c>
      <c r="E332" s="64" t="s">
        <v>5197</v>
      </c>
      <c r="F332" s="64" t="s">
        <v>5210</v>
      </c>
      <c r="G332" s="64">
        <v>5</v>
      </c>
      <c r="H332" s="64" t="s">
        <v>5205</v>
      </c>
      <c r="I332" s="64" t="s">
        <v>5206</v>
      </c>
      <c r="J332" s="64">
        <v>5</v>
      </c>
      <c r="K332" s="64">
        <v>5</v>
      </c>
      <c r="L332" s="64">
        <v>5</v>
      </c>
      <c r="M332" s="64" t="s">
        <v>5211</v>
      </c>
      <c r="N332" s="64" t="s">
        <v>5212</v>
      </c>
      <c r="O332" s="64" t="s">
        <v>5213</v>
      </c>
      <c r="P332" s="64" t="s">
        <v>5214</v>
      </c>
      <c r="Q332" s="64" t="s">
        <v>5215</v>
      </c>
      <c r="R332" s="64" t="s">
        <v>5216</v>
      </c>
      <c r="S332" s="64" t="s">
        <v>8406</v>
      </c>
    </row>
    <row r="333" spans="1:19" ht="63.75">
      <c r="A333" s="52" t="s">
        <v>5218</v>
      </c>
      <c r="B333" s="52" t="s">
        <v>92</v>
      </c>
      <c r="C333" s="52" t="s">
        <v>1535</v>
      </c>
      <c r="D333" s="52" t="s">
        <v>5219</v>
      </c>
      <c r="E333" s="52" t="s">
        <v>5197</v>
      </c>
      <c r="F333" s="52" t="s">
        <v>5220</v>
      </c>
      <c r="G333" s="52">
        <v>3</v>
      </c>
      <c r="H333" s="52" t="s">
        <v>5205</v>
      </c>
      <c r="I333" s="52" t="s">
        <v>5206</v>
      </c>
      <c r="J333" s="52">
        <v>5</v>
      </c>
      <c r="K333" s="52">
        <v>5</v>
      </c>
      <c r="L333" s="52">
        <v>5</v>
      </c>
      <c r="M333" s="52" t="s">
        <v>5221</v>
      </c>
      <c r="N333" s="52" t="s">
        <v>5222</v>
      </c>
      <c r="O333" s="52" t="s">
        <v>5223</v>
      </c>
      <c r="P333" s="52" t="s">
        <v>5224</v>
      </c>
      <c r="Q333" s="52" t="s">
        <v>5225</v>
      </c>
      <c r="R333" s="52" t="s">
        <v>5226</v>
      </c>
      <c r="S333" s="52" t="s">
        <v>8413</v>
      </c>
    </row>
    <row r="334" spans="1:19" ht="51">
      <c r="A334" s="64" t="s">
        <v>5228</v>
      </c>
      <c r="B334" s="64" t="s">
        <v>92</v>
      </c>
      <c r="C334" s="64" t="s">
        <v>1535</v>
      </c>
      <c r="D334" s="64" t="s">
        <v>5229</v>
      </c>
      <c r="E334" s="64" t="s">
        <v>5197</v>
      </c>
      <c r="F334" s="64" t="s">
        <v>5230</v>
      </c>
      <c r="G334" s="64">
        <v>4</v>
      </c>
      <c r="H334" s="64" t="s">
        <v>5205</v>
      </c>
      <c r="I334" s="64" t="s">
        <v>5206</v>
      </c>
      <c r="J334" s="64">
        <v>5</v>
      </c>
      <c r="K334" s="64">
        <v>5</v>
      </c>
      <c r="L334" s="64">
        <v>5</v>
      </c>
      <c r="M334" s="64" t="s">
        <v>5231</v>
      </c>
      <c r="N334" s="64" t="s">
        <v>5232</v>
      </c>
      <c r="O334" s="64" t="s">
        <v>5233</v>
      </c>
      <c r="P334" s="64" t="s">
        <v>5234</v>
      </c>
      <c r="Q334" s="64" t="s">
        <v>5235</v>
      </c>
      <c r="R334" s="64" t="s">
        <v>5236</v>
      </c>
      <c r="S334" s="64" t="s">
        <v>8420</v>
      </c>
    </row>
    <row r="335" spans="1:19" ht="63.75">
      <c r="A335" s="52" t="s">
        <v>5238</v>
      </c>
      <c r="B335" s="52" t="s">
        <v>92</v>
      </c>
      <c r="C335" s="52" t="s">
        <v>1535</v>
      </c>
      <c r="D335" s="52" t="s">
        <v>5239</v>
      </c>
      <c r="E335" s="52" t="s">
        <v>5197</v>
      </c>
      <c r="F335" s="52" t="s">
        <v>5240</v>
      </c>
      <c r="G335" s="52">
        <v>5</v>
      </c>
      <c r="H335" s="52" t="s">
        <v>5205</v>
      </c>
      <c r="I335" s="52" t="s">
        <v>5206</v>
      </c>
      <c r="J335" s="52">
        <v>5</v>
      </c>
      <c r="K335" s="52">
        <v>5</v>
      </c>
      <c r="L335" s="52">
        <v>5</v>
      </c>
      <c r="M335" s="52" t="s">
        <v>5241</v>
      </c>
      <c r="N335" s="52" t="s">
        <v>5242</v>
      </c>
      <c r="O335" s="52" t="s">
        <v>5243</v>
      </c>
      <c r="P335" s="52" t="s">
        <v>5244</v>
      </c>
      <c r="Q335" s="52" t="s">
        <v>5245</v>
      </c>
      <c r="R335" s="52" t="s">
        <v>5246</v>
      </c>
      <c r="S335" s="52" t="s">
        <v>8427</v>
      </c>
    </row>
    <row r="336" spans="1:19" ht="63.75">
      <c r="A336" s="64" t="s">
        <v>5248</v>
      </c>
      <c r="B336" s="64" t="s">
        <v>92</v>
      </c>
      <c r="C336" s="64" t="s">
        <v>1535</v>
      </c>
      <c r="D336" s="64" t="s">
        <v>5249</v>
      </c>
      <c r="E336" s="64" t="s">
        <v>5197</v>
      </c>
      <c r="F336" s="64" t="s">
        <v>5250</v>
      </c>
      <c r="G336" s="64">
        <v>4</v>
      </c>
      <c r="H336" s="64" t="s">
        <v>5205</v>
      </c>
      <c r="I336" s="64" t="s">
        <v>5206</v>
      </c>
      <c r="J336" s="64">
        <v>5</v>
      </c>
      <c r="K336" s="64">
        <v>5</v>
      </c>
      <c r="L336" s="64">
        <v>5</v>
      </c>
      <c r="M336" s="64" t="s">
        <v>5251</v>
      </c>
      <c r="N336" s="64" t="s">
        <v>5252</v>
      </c>
      <c r="O336" s="64" t="s">
        <v>5253</v>
      </c>
      <c r="P336" s="64" t="s">
        <v>5254</v>
      </c>
      <c r="Q336" s="64" t="s">
        <v>5255</v>
      </c>
      <c r="R336" s="64" t="s">
        <v>5256</v>
      </c>
      <c r="S336" s="64" t="s">
        <v>8434</v>
      </c>
    </row>
    <row r="337" spans="1:19" ht="63.75">
      <c r="A337" s="52" t="s">
        <v>5258</v>
      </c>
      <c r="B337" s="52" t="s">
        <v>92</v>
      </c>
      <c r="C337" s="52" t="s">
        <v>1549</v>
      </c>
      <c r="D337" s="52" t="s">
        <v>5259</v>
      </c>
      <c r="E337" s="52" t="s">
        <v>5197</v>
      </c>
      <c r="F337" s="52" t="s">
        <v>5260</v>
      </c>
      <c r="G337" s="52">
        <v>4</v>
      </c>
      <c r="H337" s="52" t="s">
        <v>5205</v>
      </c>
      <c r="I337" s="52" t="s">
        <v>5206</v>
      </c>
      <c r="J337" s="52">
        <v>5</v>
      </c>
      <c r="K337" s="52">
        <v>5</v>
      </c>
      <c r="L337" s="52">
        <v>5</v>
      </c>
      <c r="M337" s="52" t="s">
        <v>5261</v>
      </c>
      <c r="N337" s="52" t="s">
        <v>5262</v>
      </c>
      <c r="O337" s="52" t="s">
        <v>5263</v>
      </c>
      <c r="P337" s="52" t="s">
        <v>5264</v>
      </c>
      <c r="Q337" s="52" t="s">
        <v>5265</v>
      </c>
      <c r="R337" s="52" t="s">
        <v>5266</v>
      </c>
      <c r="S337" s="52" t="s">
        <v>8442</v>
      </c>
    </row>
    <row r="338" spans="1:19" ht="63.75">
      <c r="A338" s="64" t="s">
        <v>5268</v>
      </c>
      <c r="B338" s="64" t="s">
        <v>92</v>
      </c>
      <c r="C338" s="64" t="s">
        <v>1549</v>
      </c>
      <c r="D338" s="64" t="s">
        <v>5269</v>
      </c>
      <c r="E338" s="64" t="s">
        <v>5197</v>
      </c>
      <c r="F338" s="64" t="s">
        <v>5270</v>
      </c>
      <c r="G338" s="64">
        <v>3</v>
      </c>
      <c r="H338" s="64" t="s">
        <v>5205</v>
      </c>
      <c r="I338" s="64" t="s">
        <v>5206</v>
      </c>
      <c r="J338" s="64">
        <v>5</v>
      </c>
      <c r="K338" s="64">
        <v>5</v>
      </c>
      <c r="L338" s="64">
        <v>5</v>
      </c>
      <c r="M338" s="64" t="s">
        <v>5271</v>
      </c>
      <c r="N338" s="64" t="s">
        <v>5272</v>
      </c>
      <c r="O338" s="64" t="s">
        <v>5273</v>
      </c>
      <c r="P338" s="64" t="s">
        <v>5274</v>
      </c>
      <c r="Q338" s="64" t="s">
        <v>5275</v>
      </c>
      <c r="R338" s="64" t="s">
        <v>5276</v>
      </c>
      <c r="S338" s="64" t="s">
        <v>8449</v>
      </c>
    </row>
    <row r="339" spans="1:19" ht="51">
      <c r="A339" s="52" t="s">
        <v>5278</v>
      </c>
      <c r="B339" s="52" t="s">
        <v>92</v>
      </c>
      <c r="C339" s="52" t="s">
        <v>1549</v>
      </c>
      <c r="D339" s="52" t="s">
        <v>5279</v>
      </c>
      <c r="E339" s="52" t="s">
        <v>5197</v>
      </c>
      <c r="F339" s="52" t="s">
        <v>5280</v>
      </c>
      <c r="G339" s="52">
        <v>5</v>
      </c>
      <c r="H339" s="52" t="s">
        <v>5205</v>
      </c>
      <c r="I339" s="52" t="s">
        <v>5206</v>
      </c>
      <c r="J339" s="52">
        <v>5</v>
      </c>
      <c r="K339" s="52">
        <v>5</v>
      </c>
      <c r="L339" s="52">
        <v>5</v>
      </c>
      <c r="M339" s="52" t="s">
        <v>5281</v>
      </c>
      <c r="N339" s="52" t="s">
        <v>5282</v>
      </c>
      <c r="O339" s="52" t="s">
        <v>5283</v>
      </c>
      <c r="P339" s="52" t="s">
        <v>5284</v>
      </c>
      <c r="Q339" s="52" t="s">
        <v>5285</v>
      </c>
      <c r="R339" s="52" t="s">
        <v>5286</v>
      </c>
      <c r="S339" s="52" t="s">
        <v>8456</v>
      </c>
    </row>
    <row r="340" spans="1:19" ht="63.75">
      <c r="A340" s="64" t="s">
        <v>5288</v>
      </c>
      <c r="B340" s="64" t="s">
        <v>92</v>
      </c>
      <c r="C340" s="64" t="s">
        <v>1549</v>
      </c>
      <c r="D340" s="64" t="s">
        <v>5289</v>
      </c>
      <c r="E340" s="64" t="s">
        <v>5197</v>
      </c>
      <c r="F340" s="64" t="s">
        <v>5290</v>
      </c>
      <c r="G340" s="64">
        <v>5</v>
      </c>
      <c r="H340" s="64" t="s">
        <v>5205</v>
      </c>
      <c r="I340" s="64" t="s">
        <v>5206</v>
      </c>
      <c r="J340" s="64">
        <v>5</v>
      </c>
      <c r="K340" s="64">
        <v>5</v>
      </c>
      <c r="L340" s="64">
        <v>5</v>
      </c>
      <c r="M340" s="64" t="s">
        <v>5291</v>
      </c>
      <c r="N340" s="64" t="s">
        <v>5292</v>
      </c>
      <c r="O340" s="64" t="s">
        <v>5293</v>
      </c>
      <c r="P340" s="64" t="s">
        <v>5294</v>
      </c>
      <c r="Q340" s="64" t="s">
        <v>5295</v>
      </c>
      <c r="R340" s="64" t="s">
        <v>5296</v>
      </c>
      <c r="S340" s="64" t="s">
        <v>8463</v>
      </c>
    </row>
    <row r="341" spans="1:19" ht="51">
      <c r="A341" s="52" t="s">
        <v>5298</v>
      </c>
      <c r="B341" s="52" t="s">
        <v>92</v>
      </c>
      <c r="C341" s="52" t="s">
        <v>1549</v>
      </c>
      <c r="D341" s="52" t="s">
        <v>5299</v>
      </c>
      <c r="E341" s="52" t="s">
        <v>5197</v>
      </c>
      <c r="F341" s="52" t="s">
        <v>5300</v>
      </c>
      <c r="G341" s="52">
        <v>4</v>
      </c>
      <c r="H341" s="52" t="s">
        <v>5205</v>
      </c>
      <c r="I341" s="52" t="s">
        <v>5206</v>
      </c>
      <c r="J341" s="52">
        <v>5</v>
      </c>
      <c r="K341" s="52">
        <v>5</v>
      </c>
      <c r="L341" s="52">
        <v>5</v>
      </c>
      <c r="M341" s="52" t="s">
        <v>5301</v>
      </c>
      <c r="N341" s="52" t="s">
        <v>5302</v>
      </c>
      <c r="O341" s="52" t="s">
        <v>5303</v>
      </c>
      <c r="P341" s="52" t="s">
        <v>5304</v>
      </c>
      <c r="Q341" s="52" t="s">
        <v>5305</v>
      </c>
      <c r="R341" s="52" t="s">
        <v>5306</v>
      </c>
      <c r="S341" s="52" t="s">
        <v>8470</v>
      </c>
    </row>
    <row r="342" spans="1:19" ht="63.75">
      <c r="A342" s="64" t="s">
        <v>5308</v>
      </c>
      <c r="B342" s="64" t="s">
        <v>92</v>
      </c>
      <c r="C342" s="64" t="s">
        <v>1549</v>
      </c>
      <c r="D342" s="64" t="s">
        <v>5309</v>
      </c>
      <c r="E342" s="64" t="s">
        <v>5197</v>
      </c>
      <c r="F342" s="64" t="s">
        <v>5310</v>
      </c>
      <c r="G342" s="64">
        <v>5</v>
      </c>
      <c r="H342" s="64" t="s">
        <v>5205</v>
      </c>
      <c r="I342" s="64" t="s">
        <v>5206</v>
      </c>
      <c r="J342" s="64">
        <v>5</v>
      </c>
      <c r="K342" s="64">
        <v>5</v>
      </c>
      <c r="L342" s="64">
        <v>5</v>
      </c>
      <c r="M342" s="64" t="s">
        <v>5311</v>
      </c>
      <c r="N342" s="64" t="s">
        <v>5312</v>
      </c>
      <c r="O342" s="64" t="s">
        <v>5313</v>
      </c>
      <c r="P342" s="64" t="s">
        <v>5314</v>
      </c>
      <c r="Q342" s="64" t="s">
        <v>5315</v>
      </c>
      <c r="R342" s="64" t="s">
        <v>5316</v>
      </c>
      <c r="S342" s="64" t="s">
        <v>8477</v>
      </c>
    </row>
    <row r="343" spans="1:19" ht="63.75">
      <c r="A343" s="52" t="s">
        <v>5318</v>
      </c>
      <c r="B343" s="52" t="s">
        <v>92</v>
      </c>
      <c r="C343" s="52" t="s">
        <v>1557</v>
      </c>
      <c r="D343" s="52" t="s">
        <v>5319</v>
      </c>
      <c r="E343" s="52" t="s">
        <v>5197</v>
      </c>
      <c r="F343" s="52" t="s">
        <v>5320</v>
      </c>
      <c r="G343" s="52">
        <v>5</v>
      </c>
      <c r="H343" s="52" t="s">
        <v>5205</v>
      </c>
      <c r="I343" s="52" t="s">
        <v>5206</v>
      </c>
      <c r="J343" s="52">
        <v>5</v>
      </c>
      <c r="K343" s="52">
        <v>5</v>
      </c>
      <c r="L343" s="52">
        <v>5</v>
      </c>
      <c r="M343" s="52" t="s">
        <v>5321</v>
      </c>
      <c r="N343" s="52" t="s">
        <v>5322</v>
      </c>
      <c r="O343" s="52" t="s">
        <v>5323</v>
      </c>
      <c r="P343" s="52" t="s">
        <v>5324</v>
      </c>
      <c r="Q343" s="52" t="s">
        <v>5325</v>
      </c>
      <c r="R343" s="52" t="s">
        <v>5326</v>
      </c>
      <c r="S343" s="52" t="s">
        <v>8485</v>
      </c>
    </row>
    <row r="344" spans="1:19" ht="51">
      <c r="A344" s="64" t="s">
        <v>5328</v>
      </c>
      <c r="B344" s="64" t="s">
        <v>92</v>
      </c>
      <c r="C344" s="64" t="s">
        <v>1557</v>
      </c>
      <c r="D344" s="64" t="s">
        <v>5329</v>
      </c>
      <c r="E344" s="64" t="s">
        <v>5197</v>
      </c>
      <c r="F344" s="64" t="s">
        <v>5330</v>
      </c>
      <c r="G344" s="64">
        <v>5</v>
      </c>
      <c r="H344" s="64" t="s">
        <v>5205</v>
      </c>
      <c r="I344" s="64" t="s">
        <v>5206</v>
      </c>
      <c r="J344" s="64">
        <v>5</v>
      </c>
      <c r="K344" s="64">
        <v>5</v>
      </c>
      <c r="L344" s="64">
        <v>5</v>
      </c>
      <c r="M344" s="64" t="s">
        <v>5331</v>
      </c>
      <c r="N344" s="64" t="s">
        <v>5332</v>
      </c>
      <c r="O344" s="64" t="s">
        <v>5333</v>
      </c>
      <c r="P344" s="64" t="s">
        <v>5334</v>
      </c>
      <c r="Q344" s="64" t="s">
        <v>5335</v>
      </c>
      <c r="R344" s="64" t="s">
        <v>5336</v>
      </c>
      <c r="S344" s="64" t="s">
        <v>8492</v>
      </c>
    </row>
    <row r="345" spans="1:19" ht="63.75">
      <c r="A345" s="52" t="s">
        <v>5338</v>
      </c>
      <c r="B345" s="52" t="s">
        <v>92</v>
      </c>
      <c r="C345" s="52" t="s">
        <v>1557</v>
      </c>
      <c r="D345" s="52" t="s">
        <v>5339</v>
      </c>
      <c r="E345" s="52" t="s">
        <v>5197</v>
      </c>
      <c r="F345" s="52" t="s">
        <v>5340</v>
      </c>
      <c r="G345" s="52">
        <v>5</v>
      </c>
      <c r="H345" s="52" t="s">
        <v>5205</v>
      </c>
      <c r="I345" s="52" t="s">
        <v>5206</v>
      </c>
      <c r="J345" s="52">
        <v>5</v>
      </c>
      <c r="K345" s="52">
        <v>5</v>
      </c>
      <c r="L345" s="52">
        <v>5</v>
      </c>
      <c r="M345" s="52" t="s">
        <v>5341</v>
      </c>
      <c r="N345" s="52" t="s">
        <v>5342</v>
      </c>
      <c r="O345" s="52" t="s">
        <v>5343</v>
      </c>
      <c r="P345" s="52" t="s">
        <v>5344</v>
      </c>
      <c r="Q345" s="52" t="s">
        <v>5345</v>
      </c>
      <c r="R345" s="52" t="s">
        <v>5346</v>
      </c>
      <c r="S345" s="52" t="s">
        <v>8499</v>
      </c>
    </row>
    <row r="346" spans="1:19" ht="51">
      <c r="A346" s="64" t="s">
        <v>5348</v>
      </c>
      <c r="B346" s="64" t="s">
        <v>92</v>
      </c>
      <c r="C346" s="64" t="s">
        <v>1557</v>
      </c>
      <c r="D346" s="64" t="s">
        <v>5349</v>
      </c>
      <c r="E346" s="64" t="s">
        <v>5197</v>
      </c>
      <c r="F346" s="64" t="s">
        <v>5350</v>
      </c>
      <c r="G346" s="64">
        <v>4</v>
      </c>
      <c r="H346" s="64" t="s">
        <v>5205</v>
      </c>
      <c r="I346" s="64" t="s">
        <v>5206</v>
      </c>
      <c r="J346" s="64">
        <v>5</v>
      </c>
      <c r="K346" s="64">
        <v>5</v>
      </c>
      <c r="L346" s="64">
        <v>5</v>
      </c>
      <c r="M346" s="64" t="s">
        <v>5351</v>
      </c>
      <c r="N346" s="64" t="s">
        <v>5352</v>
      </c>
      <c r="O346" s="64" t="s">
        <v>5353</v>
      </c>
      <c r="P346" s="64" t="s">
        <v>5354</v>
      </c>
      <c r="Q346" s="64" t="s">
        <v>5355</v>
      </c>
      <c r="R346" s="64" t="s">
        <v>5356</v>
      </c>
      <c r="S346" s="64" t="s">
        <v>8506</v>
      </c>
    </row>
    <row r="347" spans="1:19" ht="51">
      <c r="A347" s="52" t="s">
        <v>5358</v>
      </c>
      <c r="B347" s="52" t="s">
        <v>92</v>
      </c>
      <c r="C347" s="52" t="s">
        <v>1557</v>
      </c>
      <c r="D347" s="52" t="s">
        <v>5359</v>
      </c>
      <c r="E347" s="52" t="s">
        <v>5197</v>
      </c>
      <c r="F347" s="52" t="s">
        <v>5360</v>
      </c>
      <c r="G347" s="52">
        <v>5</v>
      </c>
      <c r="H347" s="52" t="s">
        <v>5205</v>
      </c>
      <c r="I347" s="52" t="s">
        <v>5206</v>
      </c>
      <c r="J347" s="52">
        <v>5</v>
      </c>
      <c r="K347" s="52">
        <v>5</v>
      </c>
      <c r="L347" s="52">
        <v>5</v>
      </c>
      <c r="M347" s="52" t="s">
        <v>5361</v>
      </c>
      <c r="N347" s="52" t="s">
        <v>5362</v>
      </c>
      <c r="O347" s="52" t="s">
        <v>5363</v>
      </c>
      <c r="P347" s="52" t="s">
        <v>5364</v>
      </c>
      <c r="Q347" s="52" t="s">
        <v>5365</v>
      </c>
      <c r="R347" s="52" t="s">
        <v>5366</v>
      </c>
      <c r="S347" s="52" t="s">
        <v>8513</v>
      </c>
    </row>
    <row r="348" spans="1:19" ht="63.75">
      <c r="A348" s="64" t="s">
        <v>5368</v>
      </c>
      <c r="B348" s="64" t="s">
        <v>92</v>
      </c>
      <c r="C348" s="64" t="s">
        <v>1557</v>
      </c>
      <c r="D348" s="64" t="s">
        <v>5369</v>
      </c>
      <c r="E348" s="64" t="s">
        <v>5197</v>
      </c>
      <c r="F348" s="64" t="s">
        <v>5370</v>
      </c>
      <c r="G348" s="64">
        <v>5</v>
      </c>
      <c r="H348" s="64" t="s">
        <v>5205</v>
      </c>
      <c r="I348" s="64" t="s">
        <v>5206</v>
      </c>
      <c r="J348" s="64">
        <v>5</v>
      </c>
      <c r="K348" s="64">
        <v>5</v>
      </c>
      <c r="L348" s="64">
        <v>5</v>
      </c>
      <c r="M348" s="64" t="s">
        <v>5371</v>
      </c>
      <c r="N348" s="64" t="s">
        <v>5372</v>
      </c>
      <c r="O348" s="64" t="s">
        <v>5373</v>
      </c>
      <c r="P348" s="64" t="s">
        <v>5374</v>
      </c>
      <c r="Q348" s="64" t="s">
        <v>5375</v>
      </c>
      <c r="R348" s="64" t="s">
        <v>5376</v>
      </c>
      <c r="S348" s="64" t="s">
        <v>8520</v>
      </c>
    </row>
    <row r="349" spans="1:19" ht="63.75">
      <c r="A349" s="52" t="s">
        <v>5378</v>
      </c>
      <c r="B349" s="52" t="s">
        <v>92</v>
      </c>
      <c r="C349" s="52" t="s">
        <v>1565</v>
      </c>
      <c r="D349" s="52" t="s">
        <v>5379</v>
      </c>
      <c r="E349" s="52" t="s">
        <v>5197</v>
      </c>
      <c r="F349" s="52" t="s">
        <v>5380</v>
      </c>
      <c r="G349" s="52">
        <v>5</v>
      </c>
      <c r="H349" s="52" t="s">
        <v>5205</v>
      </c>
      <c r="I349" s="52" t="s">
        <v>5206</v>
      </c>
      <c r="J349" s="52">
        <v>5</v>
      </c>
      <c r="K349" s="52">
        <v>5</v>
      </c>
      <c r="L349" s="52">
        <v>5</v>
      </c>
      <c r="M349" s="52" t="s">
        <v>5381</v>
      </c>
      <c r="N349" s="52" t="s">
        <v>5382</v>
      </c>
      <c r="O349" s="52" t="s">
        <v>5383</v>
      </c>
      <c r="P349" s="52" t="s">
        <v>5384</v>
      </c>
      <c r="Q349" s="52" t="s">
        <v>5385</v>
      </c>
      <c r="R349" s="52" t="s">
        <v>5386</v>
      </c>
      <c r="S349" s="52" t="s">
        <v>8528</v>
      </c>
    </row>
    <row r="350" spans="1:19" ht="63.75">
      <c r="A350" s="64" t="s">
        <v>5388</v>
      </c>
      <c r="B350" s="64" t="s">
        <v>92</v>
      </c>
      <c r="C350" s="64" t="s">
        <v>1565</v>
      </c>
      <c r="D350" s="64" t="s">
        <v>5389</v>
      </c>
      <c r="E350" s="64" t="s">
        <v>5197</v>
      </c>
      <c r="F350" s="64" t="s">
        <v>5390</v>
      </c>
      <c r="G350" s="64">
        <v>5</v>
      </c>
      <c r="H350" s="64" t="s">
        <v>5205</v>
      </c>
      <c r="I350" s="64" t="s">
        <v>5206</v>
      </c>
      <c r="J350" s="64">
        <v>5</v>
      </c>
      <c r="K350" s="64">
        <v>5</v>
      </c>
      <c r="L350" s="64">
        <v>5</v>
      </c>
      <c r="M350" s="64" t="s">
        <v>5391</v>
      </c>
      <c r="N350" s="64" t="s">
        <v>5392</v>
      </c>
      <c r="O350" s="64" t="s">
        <v>5393</v>
      </c>
      <c r="P350" s="64" t="s">
        <v>5394</v>
      </c>
      <c r="Q350" s="64" t="s">
        <v>5395</v>
      </c>
      <c r="R350" s="64" t="s">
        <v>5396</v>
      </c>
      <c r="S350" s="64" t="s">
        <v>8535</v>
      </c>
    </row>
    <row r="351" spans="1:19" ht="63.75">
      <c r="A351" s="52" t="s">
        <v>5398</v>
      </c>
      <c r="B351" s="52" t="s">
        <v>92</v>
      </c>
      <c r="C351" s="52" t="s">
        <v>1565</v>
      </c>
      <c r="D351" s="52" t="s">
        <v>5399</v>
      </c>
      <c r="E351" s="52" t="s">
        <v>5197</v>
      </c>
      <c r="F351" s="52" t="s">
        <v>5400</v>
      </c>
      <c r="G351" s="52">
        <v>4</v>
      </c>
      <c r="H351" s="52" t="s">
        <v>5205</v>
      </c>
      <c r="I351" s="52" t="s">
        <v>5206</v>
      </c>
      <c r="J351" s="52">
        <v>5</v>
      </c>
      <c r="K351" s="52">
        <v>5</v>
      </c>
      <c r="L351" s="52">
        <v>5</v>
      </c>
      <c r="M351" s="52" t="s">
        <v>5401</v>
      </c>
      <c r="N351" s="52" t="s">
        <v>5402</v>
      </c>
      <c r="O351" s="52" t="s">
        <v>5403</v>
      </c>
      <c r="P351" s="52" t="s">
        <v>5404</v>
      </c>
      <c r="Q351" s="52" t="s">
        <v>5405</v>
      </c>
      <c r="R351" s="52" t="s">
        <v>5406</v>
      </c>
      <c r="S351" s="52" t="s">
        <v>8542</v>
      </c>
    </row>
    <row r="352" spans="1:19" ht="51">
      <c r="A352" s="64" t="s">
        <v>5408</v>
      </c>
      <c r="B352" s="64" t="s">
        <v>92</v>
      </c>
      <c r="C352" s="64" t="s">
        <v>1565</v>
      </c>
      <c r="D352" s="64" t="s">
        <v>5409</v>
      </c>
      <c r="E352" s="64" t="s">
        <v>5197</v>
      </c>
      <c r="F352" s="64" t="s">
        <v>5410</v>
      </c>
      <c r="G352" s="64">
        <v>4</v>
      </c>
      <c r="H352" s="64" t="s">
        <v>5205</v>
      </c>
      <c r="I352" s="64" t="s">
        <v>5206</v>
      </c>
      <c r="J352" s="64">
        <v>5</v>
      </c>
      <c r="K352" s="64">
        <v>5</v>
      </c>
      <c r="L352" s="64">
        <v>5</v>
      </c>
      <c r="M352" s="64" t="s">
        <v>5411</v>
      </c>
      <c r="N352" s="64" t="s">
        <v>5412</v>
      </c>
      <c r="O352" s="64" t="s">
        <v>5413</v>
      </c>
      <c r="P352" s="64" t="s">
        <v>5414</v>
      </c>
      <c r="Q352" s="64" t="s">
        <v>5415</v>
      </c>
      <c r="R352" s="64" t="s">
        <v>5416</v>
      </c>
      <c r="S352" s="64" t="s">
        <v>8549</v>
      </c>
    </row>
    <row r="353" spans="1:19" ht="63.75">
      <c r="A353" s="52" t="s">
        <v>5418</v>
      </c>
      <c r="B353" s="52" t="s">
        <v>92</v>
      </c>
      <c r="C353" s="52" t="s">
        <v>1573</v>
      </c>
      <c r="D353" s="52" t="s">
        <v>5419</v>
      </c>
      <c r="E353" s="52" t="s">
        <v>5197</v>
      </c>
      <c r="F353" s="52" t="s">
        <v>5420</v>
      </c>
      <c r="G353" s="52">
        <v>4</v>
      </c>
      <c r="H353" s="52" t="s">
        <v>5205</v>
      </c>
      <c r="I353" s="52" t="s">
        <v>5206</v>
      </c>
      <c r="J353" s="52">
        <v>5</v>
      </c>
      <c r="K353" s="52">
        <v>5</v>
      </c>
      <c r="L353" s="52">
        <v>5</v>
      </c>
      <c r="M353" s="52" t="s">
        <v>5421</v>
      </c>
      <c r="N353" s="52" t="s">
        <v>5422</v>
      </c>
      <c r="O353" s="52" t="s">
        <v>5423</v>
      </c>
      <c r="P353" s="52" t="s">
        <v>5424</v>
      </c>
      <c r="Q353" s="52" t="s">
        <v>5425</v>
      </c>
      <c r="R353" s="52" t="s">
        <v>5426</v>
      </c>
      <c r="S353" s="52" t="s">
        <v>8557</v>
      </c>
    </row>
    <row r="354" spans="1:19" ht="63.75">
      <c r="A354" s="64" t="s">
        <v>5428</v>
      </c>
      <c r="B354" s="64" t="s">
        <v>92</v>
      </c>
      <c r="C354" s="64" t="s">
        <v>1573</v>
      </c>
      <c r="D354" s="64" t="s">
        <v>5429</v>
      </c>
      <c r="E354" s="64" t="s">
        <v>5197</v>
      </c>
      <c r="F354" s="64" t="s">
        <v>5430</v>
      </c>
      <c r="G354" s="64">
        <v>4</v>
      </c>
      <c r="H354" s="64" t="s">
        <v>5205</v>
      </c>
      <c r="I354" s="64" t="s">
        <v>5206</v>
      </c>
      <c r="J354" s="64">
        <v>5</v>
      </c>
      <c r="K354" s="64">
        <v>5</v>
      </c>
      <c r="L354" s="64">
        <v>5</v>
      </c>
      <c r="M354" s="64" t="s">
        <v>5431</v>
      </c>
      <c r="N354" s="64" t="s">
        <v>5432</v>
      </c>
      <c r="O354" s="64" t="s">
        <v>5433</v>
      </c>
      <c r="P354" s="64" t="s">
        <v>5434</v>
      </c>
      <c r="Q354" s="64" t="s">
        <v>5435</v>
      </c>
      <c r="R354" s="64" t="s">
        <v>5436</v>
      </c>
      <c r="S354" s="64" t="s">
        <v>8564</v>
      </c>
    </row>
    <row r="355" spans="1:19" ht="63.75">
      <c r="A355" s="52" t="s">
        <v>5438</v>
      </c>
      <c r="B355" s="52" t="s">
        <v>92</v>
      </c>
      <c r="C355" s="52" t="s">
        <v>1573</v>
      </c>
      <c r="D355" s="52" t="s">
        <v>5439</v>
      </c>
      <c r="E355" s="52" t="s">
        <v>5197</v>
      </c>
      <c r="F355" s="52" t="s">
        <v>5440</v>
      </c>
      <c r="G355" s="52">
        <v>4</v>
      </c>
      <c r="H355" s="52" t="s">
        <v>5205</v>
      </c>
      <c r="I355" s="52" t="s">
        <v>5206</v>
      </c>
      <c r="J355" s="52">
        <v>5</v>
      </c>
      <c r="K355" s="52">
        <v>5</v>
      </c>
      <c r="L355" s="52">
        <v>5</v>
      </c>
      <c r="M355" s="52" t="s">
        <v>5441</v>
      </c>
      <c r="N355" s="52" t="s">
        <v>5442</v>
      </c>
      <c r="O355" s="52" t="s">
        <v>5443</v>
      </c>
      <c r="P355" s="52" t="s">
        <v>5444</v>
      </c>
      <c r="Q355" s="52" t="s">
        <v>5445</v>
      </c>
      <c r="R355" s="52" t="s">
        <v>5446</v>
      </c>
      <c r="S355" s="52" t="s">
        <v>8571</v>
      </c>
    </row>
    <row r="356" spans="1:19" ht="63.75">
      <c r="A356" s="64" t="s">
        <v>5448</v>
      </c>
      <c r="B356" s="64" t="s">
        <v>92</v>
      </c>
      <c r="C356" s="64" t="s">
        <v>1573</v>
      </c>
      <c r="D356" s="64" t="s">
        <v>5449</v>
      </c>
      <c r="E356" s="64" t="s">
        <v>5197</v>
      </c>
      <c r="F356" s="64" t="s">
        <v>5450</v>
      </c>
      <c r="G356" s="64">
        <v>5</v>
      </c>
      <c r="H356" s="64" t="s">
        <v>5205</v>
      </c>
      <c r="I356" s="64" t="s">
        <v>5206</v>
      </c>
      <c r="J356" s="64">
        <v>5</v>
      </c>
      <c r="K356" s="64">
        <v>5</v>
      </c>
      <c r="L356" s="64">
        <v>5</v>
      </c>
      <c r="M356" s="64" t="s">
        <v>5451</v>
      </c>
      <c r="N356" s="64" t="s">
        <v>5452</v>
      </c>
      <c r="O356" s="64" t="s">
        <v>5453</v>
      </c>
      <c r="P356" s="64" t="s">
        <v>5454</v>
      </c>
      <c r="Q356" s="64" t="s">
        <v>5455</v>
      </c>
      <c r="R356" s="64" t="s">
        <v>5456</v>
      </c>
      <c r="S356" s="64" t="s">
        <v>8578</v>
      </c>
    </row>
    <row r="357" spans="1:19" ht="63.75">
      <c r="A357" s="52" t="s">
        <v>5458</v>
      </c>
      <c r="B357" s="52" t="s">
        <v>92</v>
      </c>
      <c r="C357" s="52" t="s">
        <v>1573</v>
      </c>
      <c r="D357" s="52" t="s">
        <v>5459</v>
      </c>
      <c r="E357" s="52" t="s">
        <v>5197</v>
      </c>
      <c r="F357" s="52" t="s">
        <v>5460</v>
      </c>
      <c r="G357" s="52">
        <v>4</v>
      </c>
      <c r="H357" s="52" t="s">
        <v>5205</v>
      </c>
      <c r="I357" s="52" t="s">
        <v>5206</v>
      </c>
      <c r="J357" s="52">
        <v>5</v>
      </c>
      <c r="K357" s="52">
        <v>5</v>
      </c>
      <c r="L357" s="52">
        <v>5</v>
      </c>
      <c r="M357" s="52" t="s">
        <v>5461</v>
      </c>
      <c r="N357" s="52" t="s">
        <v>5462</v>
      </c>
      <c r="O357" s="52" t="s">
        <v>5463</v>
      </c>
      <c r="P357" s="52" t="s">
        <v>5464</v>
      </c>
      <c r="Q357" s="52" t="s">
        <v>5465</v>
      </c>
      <c r="R357" s="52" t="s">
        <v>5466</v>
      </c>
      <c r="S357" s="52" t="s">
        <v>8585</v>
      </c>
    </row>
    <row r="358" spans="1:19" ht="63.75">
      <c r="A358" s="64" t="s">
        <v>5470</v>
      </c>
      <c r="B358" s="64" t="s">
        <v>93</v>
      </c>
      <c r="C358" s="64" t="s">
        <v>1581</v>
      </c>
      <c r="D358" s="64" t="s">
        <v>5471</v>
      </c>
      <c r="E358" s="64" t="s">
        <v>5473</v>
      </c>
      <c r="F358" s="64" t="s">
        <v>5474</v>
      </c>
      <c r="G358" s="64">
        <v>4</v>
      </c>
      <c r="H358" s="64" t="s">
        <v>5481</v>
      </c>
      <c r="I358" s="64" t="s">
        <v>5482</v>
      </c>
      <c r="J358" s="64">
        <v>5</v>
      </c>
      <c r="K358" s="64">
        <v>5</v>
      </c>
      <c r="L358" s="64">
        <v>5</v>
      </c>
      <c r="M358" s="64" t="s">
        <v>5475</v>
      </c>
      <c r="N358" s="64" t="s">
        <v>5476</v>
      </c>
      <c r="O358" s="64" t="s">
        <v>5477</v>
      </c>
      <c r="P358" s="64" t="s">
        <v>5478</v>
      </c>
      <c r="Q358" s="64" t="s">
        <v>5479</v>
      </c>
      <c r="R358" s="64" t="s">
        <v>5480</v>
      </c>
      <c r="S358" s="64" t="s">
        <v>8593</v>
      </c>
    </row>
    <row r="359" spans="1:19" ht="51">
      <c r="A359" s="52" t="s">
        <v>5484</v>
      </c>
      <c r="B359" s="52" t="s">
        <v>93</v>
      </c>
      <c r="C359" s="52" t="s">
        <v>1581</v>
      </c>
      <c r="D359" s="52" t="s">
        <v>5485</v>
      </c>
      <c r="E359" s="52" t="s">
        <v>5473</v>
      </c>
      <c r="F359" s="52" t="s">
        <v>5486</v>
      </c>
      <c r="G359" s="52">
        <v>5</v>
      </c>
      <c r="H359" s="52" t="s">
        <v>5481</v>
      </c>
      <c r="I359" s="52" t="s">
        <v>5482</v>
      </c>
      <c r="J359" s="52">
        <v>5</v>
      </c>
      <c r="K359" s="52">
        <v>5</v>
      </c>
      <c r="L359" s="52">
        <v>5</v>
      </c>
      <c r="M359" s="52" t="s">
        <v>5487</v>
      </c>
      <c r="N359" s="52" t="s">
        <v>5488</v>
      </c>
      <c r="O359" s="52" t="s">
        <v>5489</v>
      </c>
      <c r="P359" s="52" t="s">
        <v>5490</v>
      </c>
      <c r="Q359" s="52" t="s">
        <v>5491</v>
      </c>
      <c r="R359" s="52" t="s">
        <v>5492</v>
      </c>
      <c r="S359" s="52" t="s">
        <v>8600</v>
      </c>
    </row>
    <row r="360" spans="1:19" ht="63.75">
      <c r="A360" s="64" t="s">
        <v>5494</v>
      </c>
      <c r="B360" s="64" t="s">
        <v>93</v>
      </c>
      <c r="C360" s="64" t="s">
        <v>1581</v>
      </c>
      <c r="D360" s="64" t="s">
        <v>5495</v>
      </c>
      <c r="E360" s="64" t="s">
        <v>5473</v>
      </c>
      <c r="F360" s="64" t="s">
        <v>5496</v>
      </c>
      <c r="G360" s="64">
        <v>5</v>
      </c>
      <c r="H360" s="64" t="s">
        <v>5481</v>
      </c>
      <c r="I360" s="64" t="s">
        <v>5482</v>
      </c>
      <c r="J360" s="64">
        <v>5</v>
      </c>
      <c r="K360" s="64">
        <v>5</v>
      </c>
      <c r="L360" s="64">
        <v>5</v>
      </c>
      <c r="M360" s="64" t="s">
        <v>5497</v>
      </c>
      <c r="N360" s="64" t="s">
        <v>5498</v>
      </c>
      <c r="O360" s="64" t="s">
        <v>5499</v>
      </c>
      <c r="P360" s="64" t="s">
        <v>5500</v>
      </c>
      <c r="Q360" s="64" t="s">
        <v>5501</v>
      </c>
      <c r="R360" s="64" t="s">
        <v>5502</v>
      </c>
      <c r="S360" s="64" t="s">
        <v>8607</v>
      </c>
    </row>
    <row r="361" spans="1:19" ht="63.75">
      <c r="A361" s="52" t="s">
        <v>5504</v>
      </c>
      <c r="B361" s="52" t="s">
        <v>93</v>
      </c>
      <c r="C361" s="52" t="s">
        <v>1581</v>
      </c>
      <c r="D361" s="52" t="s">
        <v>5505</v>
      </c>
      <c r="E361" s="52" t="s">
        <v>5473</v>
      </c>
      <c r="F361" s="52" t="s">
        <v>5506</v>
      </c>
      <c r="G361" s="52">
        <v>4</v>
      </c>
      <c r="H361" s="52" t="s">
        <v>5481</v>
      </c>
      <c r="I361" s="52" t="s">
        <v>5482</v>
      </c>
      <c r="J361" s="52">
        <v>5</v>
      </c>
      <c r="K361" s="52">
        <v>5</v>
      </c>
      <c r="L361" s="52">
        <v>5</v>
      </c>
      <c r="M361" s="52" t="s">
        <v>5507</v>
      </c>
      <c r="N361" s="52" t="s">
        <v>5508</v>
      </c>
      <c r="O361" s="52" t="s">
        <v>5509</v>
      </c>
      <c r="P361" s="52" t="s">
        <v>5510</v>
      </c>
      <c r="Q361" s="52" t="s">
        <v>5511</v>
      </c>
      <c r="R361" s="52" t="s">
        <v>5512</v>
      </c>
      <c r="S361" s="52" t="s">
        <v>8614</v>
      </c>
    </row>
    <row r="362" spans="1:19" ht="63.75">
      <c r="A362" s="64" t="s">
        <v>5514</v>
      </c>
      <c r="B362" s="64" t="s">
        <v>93</v>
      </c>
      <c r="C362" s="64" t="s">
        <v>1581</v>
      </c>
      <c r="D362" s="64" t="s">
        <v>5515</v>
      </c>
      <c r="E362" s="64" t="s">
        <v>5473</v>
      </c>
      <c r="F362" s="64" t="s">
        <v>5516</v>
      </c>
      <c r="G362" s="64">
        <v>5</v>
      </c>
      <c r="H362" s="64" t="s">
        <v>5481</v>
      </c>
      <c r="I362" s="64" t="s">
        <v>5482</v>
      </c>
      <c r="J362" s="64">
        <v>5</v>
      </c>
      <c r="K362" s="64">
        <v>5</v>
      </c>
      <c r="L362" s="64">
        <v>5</v>
      </c>
      <c r="M362" s="64" t="s">
        <v>5517</v>
      </c>
      <c r="N362" s="64" t="s">
        <v>5518</v>
      </c>
      <c r="O362" s="64" t="s">
        <v>5519</v>
      </c>
      <c r="P362" s="64" t="s">
        <v>5520</v>
      </c>
      <c r="Q362" s="64" t="s">
        <v>5521</v>
      </c>
      <c r="R362" s="64" t="s">
        <v>5522</v>
      </c>
      <c r="S362" s="64" t="s">
        <v>8621</v>
      </c>
    </row>
    <row r="363" spans="1:19" ht="63.75">
      <c r="A363" s="52" t="s">
        <v>5524</v>
      </c>
      <c r="B363" s="52" t="s">
        <v>93</v>
      </c>
      <c r="C363" s="52" t="s">
        <v>1581</v>
      </c>
      <c r="D363" s="52" t="s">
        <v>5525</v>
      </c>
      <c r="E363" s="52" t="s">
        <v>5473</v>
      </c>
      <c r="F363" s="52" t="s">
        <v>5526</v>
      </c>
      <c r="G363" s="52">
        <v>4</v>
      </c>
      <c r="H363" s="52" t="s">
        <v>5481</v>
      </c>
      <c r="I363" s="52" t="s">
        <v>5482</v>
      </c>
      <c r="J363" s="52">
        <v>5</v>
      </c>
      <c r="K363" s="52">
        <v>5</v>
      </c>
      <c r="L363" s="52">
        <v>5</v>
      </c>
      <c r="M363" s="52" t="s">
        <v>5527</v>
      </c>
      <c r="N363" s="52" t="s">
        <v>5528</v>
      </c>
      <c r="O363" s="52" t="s">
        <v>5529</v>
      </c>
      <c r="P363" s="52" t="s">
        <v>5530</v>
      </c>
      <c r="Q363" s="52" t="s">
        <v>5531</v>
      </c>
      <c r="R363" s="52" t="s">
        <v>5532</v>
      </c>
      <c r="S363" s="52" t="s">
        <v>8628</v>
      </c>
    </row>
    <row r="364" spans="1:19" ht="63.75">
      <c r="A364" s="64" t="s">
        <v>5534</v>
      </c>
      <c r="B364" s="64" t="s">
        <v>93</v>
      </c>
      <c r="C364" s="64" t="s">
        <v>1596</v>
      </c>
      <c r="D364" s="64" t="s">
        <v>5535</v>
      </c>
      <c r="E364" s="64" t="s">
        <v>5473</v>
      </c>
      <c r="F364" s="64" t="s">
        <v>5536</v>
      </c>
      <c r="G364" s="64">
        <v>4</v>
      </c>
      <c r="H364" s="64" t="s">
        <v>5481</v>
      </c>
      <c r="I364" s="64" t="s">
        <v>5482</v>
      </c>
      <c r="J364" s="64">
        <v>5</v>
      </c>
      <c r="K364" s="64">
        <v>5</v>
      </c>
      <c r="L364" s="64">
        <v>5</v>
      </c>
      <c r="M364" s="64" t="s">
        <v>5537</v>
      </c>
      <c r="N364" s="64" t="s">
        <v>5538</v>
      </c>
      <c r="O364" s="64" t="s">
        <v>5539</v>
      </c>
      <c r="P364" s="64" t="s">
        <v>5540</v>
      </c>
      <c r="Q364" s="64" t="s">
        <v>5541</v>
      </c>
      <c r="R364" s="64" t="s">
        <v>5542</v>
      </c>
      <c r="S364" s="64" t="s">
        <v>8636</v>
      </c>
    </row>
    <row r="365" spans="1:19" ht="63.75">
      <c r="A365" s="52" t="s">
        <v>5544</v>
      </c>
      <c r="B365" s="52" t="s">
        <v>93</v>
      </c>
      <c r="C365" s="52" t="s">
        <v>1596</v>
      </c>
      <c r="D365" s="52" t="s">
        <v>5545</v>
      </c>
      <c r="E365" s="52" t="s">
        <v>5473</v>
      </c>
      <c r="F365" s="52" t="s">
        <v>5546</v>
      </c>
      <c r="G365" s="52">
        <v>5</v>
      </c>
      <c r="H365" s="52" t="s">
        <v>5481</v>
      </c>
      <c r="I365" s="52" t="s">
        <v>5482</v>
      </c>
      <c r="J365" s="52">
        <v>5</v>
      </c>
      <c r="K365" s="52">
        <v>5</v>
      </c>
      <c r="L365" s="52">
        <v>5</v>
      </c>
      <c r="M365" s="52" t="s">
        <v>5547</v>
      </c>
      <c r="N365" s="52" t="s">
        <v>5548</v>
      </c>
      <c r="O365" s="52" t="s">
        <v>5549</v>
      </c>
      <c r="P365" s="52" t="s">
        <v>5550</v>
      </c>
      <c r="Q365" s="52" t="s">
        <v>5551</v>
      </c>
      <c r="R365" s="52" t="s">
        <v>5552</v>
      </c>
      <c r="S365" s="52" t="s">
        <v>8643</v>
      </c>
    </row>
    <row r="366" spans="1:19" ht="63.75">
      <c r="A366" s="64" t="s">
        <v>5554</v>
      </c>
      <c r="B366" s="64" t="s">
        <v>93</v>
      </c>
      <c r="C366" s="64" t="s">
        <v>1596</v>
      </c>
      <c r="D366" s="64" t="s">
        <v>5555</v>
      </c>
      <c r="E366" s="64" t="s">
        <v>5473</v>
      </c>
      <c r="F366" s="64" t="s">
        <v>5556</v>
      </c>
      <c r="G366" s="64">
        <v>4</v>
      </c>
      <c r="H366" s="64" t="s">
        <v>5481</v>
      </c>
      <c r="I366" s="64" t="s">
        <v>5482</v>
      </c>
      <c r="J366" s="64">
        <v>5</v>
      </c>
      <c r="K366" s="64">
        <v>5</v>
      </c>
      <c r="L366" s="64">
        <v>5</v>
      </c>
      <c r="M366" s="64" t="s">
        <v>5557</v>
      </c>
      <c r="N366" s="64" t="s">
        <v>5558</v>
      </c>
      <c r="O366" s="64" t="s">
        <v>5559</v>
      </c>
      <c r="P366" s="64" t="s">
        <v>5560</v>
      </c>
      <c r="Q366" s="64" t="s">
        <v>5561</v>
      </c>
      <c r="R366" s="64" t="s">
        <v>5562</v>
      </c>
      <c r="S366" s="64" t="s">
        <v>8650</v>
      </c>
    </row>
    <row r="367" spans="1:19" ht="51">
      <c r="A367" s="52" t="s">
        <v>5564</v>
      </c>
      <c r="B367" s="52" t="s">
        <v>93</v>
      </c>
      <c r="C367" s="52" t="s">
        <v>1596</v>
      </c>
      <c r="D367" s="52" t="s">
        <v>5565</v>
      </c>
      <c r="E367" s="52" t="s">
        <v>5473</v>
      </c>
      <c r="F367" s="52" t="s">
        <v>5566</v>
      </c>
      <c r="G367" s="52">
        <v>3</v>
      </c>
      <c r="H367" s="52" t="s">
        <v>5481</v>
      </c>
      <c r="I367" s="52" t="s">
        <v>5482</v>
      </c>
      <c r="J367" s="52">
        <v>5</v>
      </c>
      <c r="K367" s="52">
        <v>5</v>
      </c>
      <c r="L367" s="52">
        <v>5</v>
      </c>
      <c r="M367" s="52" t="s">
        <v>5567</v>
      </c>
      <c r="N367" s="52" t="s">
        <v>5568</v>
      </c>
      <c r="O367" s="52" t="s">
        <v>5569</v>
      </c>
      <c r="P367" s="52" t="s">
        <v>5570</v>
      </c>
      <c r="Q367" s="52" t="s">
        <v>5571</v>
      </c>
      <c r="R367" s="52" t="s">
        <v>5572</v>
      </c>
      <c r="S367" s="52" t="s">
        <v>8657</v>
      </c>
    </row>
    <row r="368" spans="1:19" ht="51">
      <c r="A368" s="64" t="s">
        <v>5574</v>
      </c>
      <c r="B368" s="64" t="s">
        <v>93</v>
      </c>
      <c r="C368" s="64" t="s">
        <v>1596</v>
      </c>
      <c r="D368" s="64" t="s">
        <v>5575</v>
      </c>
      <c r="E368" s="64" t="s">
        <v>5473</v>
      </c>
      <c r="F368" s="64" t="s">
        <v>5576</v>
      </c>
      <c r="G368" s="64">
        <v>4</v>
      </c>
      <c r="H368" s="64" t="s">
        <v>5481</v>
      </c>
      <c r="I368" s="64" t="s">
        <v>5482</v>
      </c>
      <c r="J368" s="64">
        <v>5</v>
      </c>
      <c r="K368" s="64">
        <v>5</v>
      </c>
      <c r="L368" s="64">
        <v>5</v>
      </c>
      <c r="M368" s="64" t="s">
        <v>5577</v>
      </c>
      <c r="N368" s="64" t="s">
        <v>5578</v>
      </c>
      <c r="O368" s="64" t="s">
        <v>5579</v>
      </c>
      <c r="P368" s="64" t="s">
        <v>5580</v>
      </c>
      <c r="Q368" s="64" t="s">
        <v>5581</v>
      </c>
      <c r="R368" s="64" t="s">
        <v>5582</v>
      </c>
      <c r="S368" s="64" t="s">
        <v>8664</v>
      </c>
    </row>
    <row r="369" spans="1:19" ht="63.75">
      <c r="A369" s="52" t="s">
        <v>5584</v>
      </c>
      <c r="B369" s="52" t="s">
        <v>93</v>
      </c>
      <c r="C369" s="52" t="s">
        <v>1596</v>
      </c>
      <c r="D369" s="52" t="s">
        <v>5585</v>
      </c>
      <c r="E369" s="52" t="s">
        <v>5473</v>
      </c>
      <c r="F369" s="52" t="s">
        <v>5586</v>
      </c>
      <c r="G369" s="52">
        <v>5</v>
      </c>
      <c r="H369" s="52" t="s">
        <v>5481</v>
      </c>
      <c r="I369" s="52" t="s">
        <v>5482</v>
      </c>
      <c r="J369" s="52">
        <v>5</v>
      </c>
      <c r="K369" s="52">
        <v>5</v>
      </c>
      <c r="L369" s="52">
        <v>5</v>
      </c>
      <c r="M369" s="52" t="s">
        <v>5587</v>
      </c>
      <c r="N369" s="52" t="s">
        <v>5588</v>
      </c>
      <c r="O369" s="52" t="s">
        <v>5589</v>
      </c>
      <c r="P369" s="52" t="s">
        <v>5590</v>
      </c>
      <c r="Q369" s="52" t="s">
        <v>5591</v>
      </c>
      <c r="R369" s="52" t="s">
        <v>5592</v>
      </c>
      <c r="S369" s="52" t="s">
        <v>8671</v>
      </c>
    </row>
    <row r="370" spans="1:19" ht="63.75">
      <c r="A370" s="64" t="s">
        <v>5594</v>
      </c>
      <c r="B370" s="64" t="s">
        <v>93</v>
      </c>
      <c r="C370" s="64" t="s">
        <v>1604</v>
      </c>
      <c r="D370" s="64" t="s">
        <v>5595</v>
      </c>
      <c r="E370" s="64" t="s">
        <v>5473</v>
      </c>
      <c r="F370" s="64" t="s">
        <v>5596</v>
      </c>
      <c r="G370" s="64">
        <v>5</v>
      </c>
      <c r="H370" s="64" t="s">
        <v>5481</v>
      </c>
      <c r="I370" s="64" t="s">
        <v>5482</v>
      </c>
      <c r="J370" s="64">
        <v>5</v>
      </c>
      <c r="K370" s="64">
        <v>5</v>
      </c>
      <c r="L370" s="64">
        <v>5</v>
      </c>
      <c r="M370" s="64" t="s">
        <v>5597</v>
      </c>
      <c r="N370" s="64" t="s">
        <v>5598</v>
      </c>
      <c r="O370" s="64" t="s">
        <v>5599</v>
      </c>
      <c r="P370" s="64" t="s">
        <v>5600</v>
      </c>
      <c r="Q370" s="64" t="s">
        <v>5601</v>
      </c>
      <c r="R370" s="64" t="s">
        <v>5602</v>
      </c>
      <c r="S370" s="64" t="s">
        <v>8679</v>
      </c>
    </row>
    <row r="371" spans="1:19" ht="63.75">
      <c r="A371" s="52" t="s">
        <v>5604</v>
      </c>
      <c r="B371" s="52" t="s">
        <v>93</v>
      </c>
      <c r="C371" s="52" t="s">
        <v>1604</v>
      </c>
      <c r="D371" s="52" t="s">
        <v>5605</v>
      </c>
      <c r="E371" s="52" t="s">
        <v>5473</v>
      </c>
      <c r="F371" s="52" t="s">
        <v>5606</v>
      </c>
      <c r="G371" s="52">
        <v>5</v>
      </c>
      <c r="H371" s="52" t="s">
        <v>5481</v>
      </c>
      <c r="I371" s="52" t="s">
        <v>5482</v>
      </c>
      <c r="J371" s="52">
        <v>5</v>
      </c>
      <c r="K371" s="52">
        <v>5</v>
      </c>
      <c r="L371" s="52">
        <v>5</v>
      </c>
      <c r="M371" s="52" t="s">
        <v>5607</v>
      </c>
      <c r="N371" s="52" t="s">
        <v>5608</v>
      </c>
      <c r="O371" s="52" t="s">
        <v>5609</v>
      </c>
      <c r="P371" s="52" t="s">
        <v>5610</v>
      </c>
      <c r="Q371" s="52" t="s">
        <v>5611</v>
      </c>
      <c r="R371" s="52" t="s">
        <v>5612</v>
      </c>
      <c r="S371" s="52" t="s">
        <v>8686</v>
      </c>
    </row>
    <row r="372" spans="1:19" ht="63.75">
      <c r="A372" s="64" t="s">
        <v>5614</v>
      </c>
      <c r="B372" s="64" t="s">
        <v>93</v>
      </c>
      <c r="C372" s="64" t="s">
        <v>1604</v>
      </c>
      <c r="D372" s="64" t="s">
        <v>5615</v>
      </c>
      <c r="E372" s="64" t="s">
        <v>5473</v>
      </c>
      <c r="F372" s="64" t="s">
        <v>5616</v>
      </c>
      <c r="G372" s="64">
        <v>5</v>
      </c>
      <c r="H372" s="64" t="s">
        <v>5481</v>
      </c>
      <c r="I372" s="64" t="s">
        <v>5482</v>
      </c>
      <c r="J372" s="64">
        <v>5</v>
      </c>
      <c r="K372" s="64">
        <v>5</v>
      </c>
      <c r="L372" s="64">
        <v>5</v>
      </c>
      <c r="M372" s="64" t="s">
        <v>5617</v>
      </c>
      <c r="N372" s="64" t="s">
        <v>5618</v>
      </c>
      <c r="O372" s="64" t="s">
        <v>5619</v>
      </c>
      <c r="P372" s="64" t="s">
        <v>5620</v>
      </c>
      <c r="Q372" s="64" t="s">
        <v>5621</v>
      </c>
      <c r="R372" s="64" t="s">
        <v>5622</v>
      </c>
      <c r="S372" s="64" t="s">
        <v>8693</v>
      </c>
    </row>
    <row r="373" spans="1:19" ht="63.75">
      <c r="A373" s="52" t="s">
        <v>5624</v>
      </c>
      <c r="B373" s="52" t="s">
        <v>93</v>
      </c>
      <c r="C373" s="52" t="s">
        <v>1604</v>
      </c>
      <c r="D373" s="52" t="s">
        <v>5625</v>
      </c>
      <c r="E373" s="52" t="s">
        <v>5473</v>
      </c>
      <c r="F373" s="52" t="s">
        <v>5626</v>
      </c>
      <c r="G373" s="52">
        <v>3</v>
      </c>
      <c r="H373" s="52" t="s">
        <v>5481</v>
      </c>
      <c r="I373" s="52" t="s">
        <v>5482</v>
      </c>
      <c r="J373" s="52">
        <v>5</v>
      </c>
      <c r="K373" s="52">
        <v>5</v>
      </c>
      <c r="L373" s="52">
        <v>5</v>
      </c>
      <c r="M373" s="52" t="s">
        <v>5627</v>
      </c>
      <c r="N373" s="52" t="s">
        <v>5628</v>
      </c>
      <c r="O373" s="52" t="s">
        <v>5629</v>
      </c>
      <c r="P373" s="52" t="s">
        <v>5630</v>
      </c>
      <c r="Q373" s="52" t="s">
        <v>5631</v>
      </c>
      <c r="R373" s="52" t="s">
        <v>5632</v>
      </c>
      <c r="S373" s="52" t="s">
        <v>8700</v>
      </c>
    </row>
    <row r="374" spans="1:19" ht="63.75">
      <c r="A374" s="64" t="s">
        <v>5634</v>
      </c>
      <c r="B374" s="64" t="s">
        <v>93</v>
      </c>
      <c r="C374" s="64" t="s">
        <v>1604</v>
      </c>
      <c r="D374" s="64" t="s">
        <v>5635</v>
      </c>
      <c r="E374" s="64" t="s">
        <v>5473</v>
      </c>
      <c r="F374" s="64" t="s">
        <v>5636</v>
      </c>
      <c r="G374" s="64">
        <v>5</v>
      </c>
      <c r="H374" s="64" t="s">
        <v>5481</v>
      </c>
      <c r="I374" s="64" t="s">
        <v>5482</v>
      </c>
      <c r="J374" s="64">
        <v>5</v>
      </c>
      <c r="K374" s="64">
        <v>5</v>
      </c>
      <c r="L374" s="64">
        <v>5</v>
      </c>
      <c r="M374" s="64" t="s">
        <v>5637</v>
      </c>
      <c r="N374" s="64" t="s">
        <v>5638</v>
      </c>
      <c r="O374" s="64" t="s">
        <v>5639</v>
      </c>
      <c r="P374" s="64" t="s">
        <v>5640</v>
      </c>
      <c r="Q374" s="64" t="s">
        <v>5641</v>
      </c>
      <c r="R374" s="64" t="s">
        <v>5642</v>
      </c>
      <c r="S374" s="64" t="s">
        <v>8707</v>
      </c>
    </row>
    <row r="375" spans="1:19" ht="63.75">
      <c r="A375" s="52" t="s">
        <v>5644</v>
      </c>
      <c r="B375" s="52" t="s">
        <v>93</v>
      </c>
      <c r="C375" s="52" t="s">
        <v>1604</v>
      </c>
      <c r="D375" s="52" t="s">
        <v>5645</v>
      </c>
      <c r="E375" s="52" t="s">
        <v>5473</v>
      </c>
      <c r="F375" s="52" t="s">
        <v>5646</v>
      </c>
      <c r="G375" s="52">
        <v>3</v>
      </c>
      <c r="H375" s="52" t="s">
        <v>5481</v>
      </c>
      <c r="I375" s="52" t="s">
        <v>5482</v>
      </c>
      <c r="J375" s="52">
        <v>5</v>
      </c>
      <c r="K375" s="52">
        <v>5</v>
      </c>
      <c r="L375" s="52">
        <v>5</v>
      </c>
      <c r="M375" s="52" t="s">
        <v>5647</v>
      </c>
      <c r="N375" s="52" t="s">
        <v>5648</v>
      </c>
      <c r="O375" s="52" t="s">
        <v>5649</v>
      </c>
      <c r="P375" s="52" t="s">
        <v>5650</v>
      </c>
      <c r="Q375" s="52" t="s">
        <v>5651</v>
      </c>
      <c r="R375" s="52" t="s">
        <v>5652</v>
      </c>
      <c r="S375" s="52" t="s">
        <v>8714</v>
      </c>
    </row>
    <row r="376" spans="1:19" ht="51">
      <c r="A376" s="64" t="s">
        <v>5654</v>
      </c>
      <c r="B376" s="64" t="s">
        <v>93</v>
      </c>
      <c r="C376" s="64" t="s">
        <v>1604</v>
      </c>
      <c r="D376" s="64" t="s">
        <v>5655</v>
      </c>
      <c r="E376" s="64" t="s">
        <v>5473</v>
      </c>
      <c r="F376" s="64" t="s">
        <v>5656</v>
      </c>
      <c r="G376" s="64">
        <v>4</v>
      </c>
      <c r="H376" s="64" t="s">
        <v>5481</v>
      </c>
      <c r="I376" s="64" t="s">
        <v>5482</v>
      </c>
      <c r="J376" s="64">
        <v>5</v>
      </c>
      <c r="K376" s="64">
        <v>5</v>
      </c>
      <c r="L376" s="64">
        <v>5</v>
      </c>
      <c r="M376" s="64" t="s">
        <v>5657</v>
      </c>
      <c r="N376" s="64" t="s">
        <v>5658</v>
      </c>
      <c r="O376" s="64" t="s">
        <v>5659</v>
      </c>
      <c r="P376" s="64" t="s">
        <v>5660</v>
      </c>
      <c r="Q376" s="64" t="s">
        <v>5661</v>
      </c>
      <c r="R376" s="64" t="s">
        <v>5662</v>
      </c>
      <c r="S376" s="64" t="s">
        <v>8721</v>
      </c>
    </row>
    <row r="377" spans="1:19" ht="63.75">
      <c r="A377" s="52" t="s">
        <v>5664</v>
      </c>
      <c r="B377" s="52" t="s">
        <v>93</v>
      </c>
      <c r="C377" s="52" t="s">
        <v>1604</v>
      </c>
      <c r="D377" s="52" t="s">
        <v>5665</v>
      </c>
      <c r="E377" s="52" t="s">
        <v>5473</v>
      </c>
      <c r="F377" s="52" t="s">
        <v>5666</v>
      </c>
      <c r="G377" s="52">
        <v>5</v>
      </c>
      <c r="H377" s="52" t="s">
        <v>5481</v>
      </c>
      <c r="I377" s="52" t="s">
        <v>5482</v>
      </c>
      <c r="J377" s="52">
        <v>5</v>
      </c>
      <c r="K377" s="52">
        <v>5</v>
      </c>
      <c r="L377" s="52">
        <v>5</v>
      </c>
      <c r="M377" s="52" t="s">
        <v>5667</v>
      </c>
      <c r="N377" s="52" t="s">
        <v>5668</v>
      </c>
      <c r="O377" s="52" t="s">
        <v>5669</v>
      </c>
      <c r="P377" s="52" t="s">
        <v>5670</v>
      </c>
      <c r="Q377" s="52" t="s">
        <v>5671</v>
      </c>
      <c r="R377" s="52" t="s">
        <v>5672</v>
      </c>
      <c r="S377" s="52" t="s">
        <v>8728</v>
      </c>
    </row>
    <row r="378" spans="1:19" ht="63.75">
      <c r="A378" s="64" t="s">
        <v>5674</v>
      </c>
      <c r="B378" s="64" t="s">
        <v>93</v>
      </c>
      <c r="C378" s="64" t="s">
        <v>1612</v>
      </c>
      <c r="D378" s="64" t="s">
        <v>5675</v>
      </c>
      <c r="E378" s="64" t="s">
        <v>5473</v>
      </c>
      <c r="F378" s="64" t="s">
        <v>5676</v>
      </c>
      <c r="G378" s="64">
        <v>5</v>
      </c>
      <c r="H378" s="64" t="s">
        <v>5481</v>
      </c>
      <c r="I378" s="64" t="s">
        <v>5482</v>
      </c>
      <c r="J378" s="64">
        <v>5</v>
      </c>
      <c r="K378" s="64">
        <v>5</v>
      </c>
      <c r="L378" s="64">
        <v>5</v>
      </c>
      <c r="M378" s="64" t="s">
        <v>5677</v>
      </c>
      <c r="N378" s="64" t="s">
        <v>5678</v>
      </c>
      <c r="O378" s="64" t="s">
        <v>5679</v>
      </c>
      <c r="P378" s="64" t="s">
        <v>5680</v>
      </c>
      <c r="Q378" s="64" t="s">
        <v>5681</v>
      </c>
      <c r="R378" s="64" t="s">
        <v>5682</v>
      </c>
      <c r="S378" s="64" t="s">
        <v>8736</v>
      </c>
    </row>
    <row r="379" spans="1:19" ht="51">
      <c r="A379" s="52" t="s">
        <v>5684</v>
      </c>
      <c r="B379" s="52" t="s">
        <v>93</v>
      </c>
      <c r="C379" s="52" t="s">
        <v>1612</v>
      </c>
      <c r="D379" s="52" t="s">
        <v>5685</v>
      </c>
      <c r="E379" s="52" t="s">
        <v>5473</v>
      </c>
      <c r="F379" s="52" t="s">
        <v>5686</v>
      </c>
      <c r="G379" s="52">
        <v>3</v>
      </c>
      <c r="H379" s="52" t="s">
        <v>5481</v>
      </c>
      <c r="I379" s="52" t="s">
        <v>5482</v>
      </c>
      <c r="J379" s="52">
        <v>5</v>
      </c>
      <c r="K379" s="52">
        <v>5</v>
      </c>
      <c r="L379" s="52">
        <v>5</v>
      </c>
      <c r="M379" s="52" t="s">
        <v>5687</v>
      </c>
      <c r="N379" s="52" t="s">
        <v>5688</v>
      </c>
      <c r="O379" s="52" t="s">
        <v>5689</v>
      </c>
      <c r="P379" s="52" t="s">
        <v>5690</v>
      </c>
      <c r="Q379" s="52" t="s">
        <v>5691</v>
      </c>
      <c r="R379" s="52" t="s">
        <v>5692</v>
      </c>
      <c r="S379" s="52" t="s">
        <v>8743</v>
      </c>
    </row>
    <row r="380" spans="1:19" ht="63.75">
      <c r="A380" s="64" t="s">
        <v>5694</v>
      </c>
      <c r="B380" s="64" t="s">
        <v>93</v>
      </c>
      <c r="C380" s="64" t="s">
        <v>1612</v>
      </c>
      <c r="D380" s="64" t="s">
        <v>5695</v>
      </c>
      <c r="E380" s="64" t="s">
        <v>5473</v>
      </c>
      <c r="F380" s="64" t="s">
        <v>5696</v>
      </c>
      <c r="G380" s="64">
        <v>5</v>
      </c>
      <c r="H380" s="64" t="s">
        <v>5481</v>
      </c>
      <c r="I380" s="64" t="s">
        <v>5482</v>
      </c>
      <c r="J380" s="64">
        <v>5</v>
      </c>
      <c r="K380" s="64">
        <v>5</v>
      </c>
      <c r="L380" s="64">
        <v>5</v>
      </c>
      <c r="M380" s="64" t="s">
        <v>5697</v>
      </c>
      <c r="N380" s="64" t="s">
        <v>5698</v>
      </c>
      <c r="O380" s="64" t="s">
        <v>5699</v>
      </c>
      <c r="P380" s="64" t="s">
        <v>5700</v>
      </c>
      <c r="Q380" s="64" t="s">
        <v>5701</v>
      </c>
      <c r="R380" s="64" t="s">
        <v>5702</v>
      </c>
      <c r="S380" s="64" t="s">
        <v>8750</v>
      </c>
    </row>
    <row r="381" spans="1:19" ht="63.75">
      <c r="A381" s="52" t="s">
        <v>5704</v>
      </c>
      <c r="B381" s="52" t="s">
        <v>93</v>
      </c>
      <c r="C381" s="52" t="s">
        <v>1612</v>
      </c>
      <c r="D381" s="52" t="s">
        <v>5705</v>
      </c>
      <c r="E381" s="52" t="s">
        <v>5473</v>
      </c>
      <c r="F381" s="52" t="s">
        <v>5706</v>
      </c>
      <c r="G381" s="52">
        <v>5</v>
      </c>
      <c r="H381" s="52" t="s">
        <v>5481</v>
      </c>
      <c r="I381" s="52" t="s">
        <v>5482</v>
      </c>
      <c r="J381" s="52">
        <v>5</v>
      </c>
      <c r="K381" s="52">
        <v>5</v>
      </c>
      <c r="L381" s="52">
        <v>5</v>
      </c>
      <c r="M381" s="52" t="s">
        <v>5707</v>
      </c>
      <c r="N381" s="52" t="s">
        <v>5708</v>
      </c>
      <c r="O381" s="52" t="s">
        <v>5709</v>
      </c>
      <c r="P381" s="52" t="s">
        <v>5710</v>
      </c>
      <c r="Q381" s="52" t="s">
        <v>5711</v>
      </c>
      <c r="R381" s="52" t="s">
        <v>5712</v>
      </c>
      <c r="S381" s="52" t="s">
        <v>8757</v>
      </c>
    </row>
    <row r="382" spans="1:19" ht="63.75">
      <c r="A382" s="64" t="s">
        <v>5714</v>
      </c>
      <c r="B382" s="64" t="s">
        <v>93</v>
      </c>
      <c r="C382" s="64" t="s">
        <v>1612</v>
      </c>
      <c r="D382" s="64" t="s">
        <v>5715</v>
      </c>
      <c r="E382" s="64" t="s">
        <v>5473</v>
      </c>
      <c r="F382" s="64" t="s">
        <v>5716</v>
      </c>
      <c r="G382" s="64">
        <v>5</v>
      </c>
      <c r="H382" s="64" t="s">
        <v>5481</v>
      </c>
      <c r="I382" s="64" t="s">
        <v>5482</v>
      </c>
      <c r="J382" s="64">
        <v>5</v>
      </c>
      <c r="K382" s="64">
        <v>5</v>
      </c>
      <c r="L382" s="64">
        <v>5</v>
      </c>
      <c r="M382" s="64" t="s">
        <v>5717</v>
      </c>
      <c r="N382" s="64" t="s">
        <v>5718</v>
      </c>
      <c r="O382" s="64" t="s">
        <v>5719</v>
      </c>
      <c r="P382" s="64" t="s">
        <v>5720</v>
      </c>
      <c r="Q382" s="64" t="s">
        <v>5721</v>
      </c>
      <c r="R382" s="64" t="s">
        <v>5722</v>
      </c>
      <c r="S382" s="64" t="s">
        <v>8764</v>
      </c>
    </row>
    <row r="383" spans="1:19" ht="51">
      <c r="A383" s="52" t="s">
        <v>5724</v>
      </c>
      <c r="B383" s="52" t="s">
        <v>93</v>
      </c>
      <c r="C383" s="52" t="s">
        <v>1612</v>
      </c>
      <c r="D383" s="52" t="s">
        <v>5725</v>
      </c>
      <c r="E383" s="52" t="s">
        <v>5473</v>
      </c>
      <c r="F383" s="52" t="s">
        <v>5726</v>
      </c>
      <c r="G383" s="52">
        <v>5</v>
      </c>
      <c r="H383" s="52" t="s">
        <v>5481</v>
      </c>
      <c r="I383" s="52" t="s">
        <v>5482</v>
      </c>
      <c r="J383" s="52">
        <v>5</v>
      </c>
      <c r="K383" s="52">
        <v>5</v>
      </c>
      <c r="L383" s="52">
        <v>5</v>
      </c>
      <c r="M383" s="52" t="s">
        <v>5727</v>
      </c>
      <c r="N383" s="52" t="s">
        <v>5728</v>
      </c>
      <c r="O383" s="52" t="s">
        <v>5729</v>
      </c>
      <c r="P383" s="52" t="s">
        <v>5730</v>
      </c>
      <c r="Q383" s="52" t="s">
        <v>5731</v>
      </c>
      <c r="R383" s="52" t="s">
        <v>5732</v>
      </c>
      <c r="S383" s="52" t="s">
        <v>8771</v>
      </c>
    </row>
    <row r="384" spans="1:19" ht="63.75">
      <c r="A384" s="64" t="s">
        <v>5734</v>
      </c>
      <c r="B384" s="64" t="s">
        <v>93</v>
      </c>
      <c r="C384" s="64" t="s">
        <v>1620</v>
      </c>
      <c r="D384" s="64" t="s">
        <v>5735</v>
      </c>
      <c r="E384" s="64" t="s">
        <v>5473</v>
      </c>
      <c r="F384" s="64" t="s">
        <v>5736</v>
      </c>
      <c r="G384" s="64">
        <v>3</v>
      </c>
      <c r="H384" s="64" t="s">
        <v>5481</v>
      </c>
      <c r="I384" s="64" t="s">
        <v>5482</v>
      </c>
      <c r="J384" s="64">
        <v>5</v>
      </c>
      <c r="K384" s="64">
        <v>5</v>
      </c>
      <c r="L384" s="64">
        <v>5</v>
      </c>
      <c r="M384" s="64" t="s">
        <v>5737</v>
      </c>
      <c r="N384" s="64" t="s">
        <v>5738</v>
      </c>
      <c r="O384" s="64" t="s">
        <v>5739</v>
      </c>
      <c r="P384" s="64" t="s">
        <v>5740</v>
      </c>
      <c r="Q384" s="64" t="s">
        <v>5741</v>
      </c>
      <c r="R384" s="64" t="s">
        <v>5742</v>
      </c>
      <c r="S384" s="64" t="s">
        <v>8779</v>
      </c>
    </row>
    <row r="385" spans="1:19" ht="63.75">
      <c r="A385" s="52" t="s">
        <v>5744</v>
      </c>
      <c r="B385" s="52" t="s">
        <v>93</v>
      </c>
      <c r="C385" s="52" t="s">
        <v>1620</v>
      </c>
      <c r="D385" s="52" t="s">
        <v>5745</v>
      </c>
      <c r="E385" s="52" t="s">
        <v>5473</v>
      </c>
      <c r="F385" s="52" t="s">
        <v>5746</v>
      </c>
      <c r="G385" s="52">
        <v>3</v>
      </c>
      <c r="H385" s="52" t="s">
        <v>5481</v>
      </c>
      <c r="I385" s="52" t="s">
        <v>5482</v>
      </c>
      <c r="J385" s="52">
        <v>5</v>
      </c>
      <c r="K385" s="52">
        <v>5</v>
      </c>
      <c r="L385" s="52">
        <v>5</v>
      </c>
      <c r="M385" s="52" t="s">
        <v>5747</v>
      </c>
      <c r="N385" s="52" t="s">
        <v>5748</v>
      </c>
      <c r="O385" s="52" t="s">
        <v>5749</v>
      </c>
      <c r="P385" s="52" t="s">
        <v>5750</v>
      </c>
      <c r="Q385" s="52" t="s">
        <v>5751</v>
      </c>
      <c r="R385" s="52" t="s">
        <v>5752</v>
      </c>
      <c r="S385" s="52" t="s">
        <v>8786</v>
      </c>
    </row>
    <row r="386" spans="1:19" ht="63.75">
      <c r="A386" s="64" t="s">
        <v>5754</v>
      </c>
      <c r="B386" s="64" t="s">
        <v>93</v>
      </c>
      <c r="C386" s="64" t="s">
        <v>1620</v>
      </c>
      <c r="D386" s="64" t="s">
        <v>4229</v>
      </c>
      <c r="E386" s="64" t="s">
        <v>5473</v>
      </c>
      <c r="F386" s="64" t="s">
        <v>4230</v>
      </c>
      <c r="G386" s="64">
        <v>4</v>
      </c>
      <c r="H386" s="64" t="s">
        <v>5481</v>
      </c>
      <c r="I386" s="64" t="s">
        <v>5482</v>
      </c>
      <c r="J386" s="64">
        <v>5</v>
      </c>
      <c r="K386" s="64">
        <v>5</v>
      </c>
      <c r="L386" s="64">
        <v>5</v>
      </c>
      <c r="M386" s="64" t="s">
        <v>4231</v>
      </c>
      <c r="N386" s="64" t="s">
        <v>4232</v>
      </c>
      <c r="O386" s="64" t="s">
        <v>4233</v>
      </c>
      <c r="P386" s="64" t="s">
        <v>4234</v>
      </c>
      <c r="Q386" s="64" t="s">
        <v>4235</v>
      </c>
      <c r="R386" s="64" t="s">
        <v>4236</v>
      </c>
      <c r="S386" s="64" t="s">
        <v>8787</v>
      </c>
    </row>
    <row r="387" spans="1:19" ht="51">
      <c r="A387" s="52" t="s">
        <v>5756</v>
      </c>
      <c r="B387" s="52" t="s">
        <v>93</v>
      </c>
      <c r="C387" s="52" t="s">
        <v>1620</v>
      </c>
      <c r="D387" s="52" t="s">
        <v>5757</v>
      </c>
      <c r="E387" s="52" t="s">
        <v>5473</v>
      </c>
      <c r="F387" s="52" t="s">
        <v>5758</v>
      </c>
      <c r="G387" s="52">
        <v>4</v>
      </c>
      <c r="H387" s="52" t="s">
        <v>5481</v>
      </c>
      <c r="I387" s="52" t="s">
        <v>5482</v>
      </c>
      <c r="J387" s="52">
        <v>5</v>
      </c>
      <c r="K387" s="52">
        <v>5</v>
      </c>
      <c r="L387" s="52">
        <v>5</v>
      </c>
      <c r="M387" s="52" t="s">
        <v>5759</v>
      </c>
      <c r="N387" s="52" t="s">
        <v>5760</v>
      </c>
      <c r="O387" s="52" t="s">
        <v>5761</v>
      </c>
      <c r="P387" s="52" t="s">
        <v>5762</v>
      </c>
      <c r="Q387" s="52" t="s">
        <v>5763</v>
      </c>
      <c r="R387" s="52" t="s">
        <v>5764</v>
      </c>
      <c r="S387" s="52" t="s">
        <v>8794</v>
      </c>
    </row>
    <row r="388" spans="1:19" ht="51">
      <c r="A388" s="64" t="s">
        <v>5766</v>
      </c>
      <c r="B388" s="64" t="s">
        <v>93</v>
      </c>
      <c r="C388" s="64" t="s">
        <v>1620</v>
      </c>
      <c r="D388" s="64" t="s">
        <v>5767</v>
      </c>
      <c r="E388" s="64" t="s">
        <v>5473</v>
      </c>
      <c r="F388" s="64" t="s">
        <v>5768</v>
      </c>
      <c r="G388" s="64">
        <v>5</v>
      </c>
      <c r="H388" s="64" t="s">
        <v>5481</v>
      </c>
      <c r="I388" s="64" t="s">
        <v>5482</v>
      </c>
      <c r="J388" s="64">
        <v>5</v>
      </c>
      <c r="K388" s="64">
        <v>5</v>
      </c>
      <c r="L388" s="64">
        <v>5</v>
      </c>
      <c r="M388" s="64" t="s">
        <v>5769</v>
      </c>
      <c r="N388" s="64" t="s">
        <v>5770</v>
      </c>
      <c r="O388" s="64" t="s">
        <v>5771</v>
      </c>
      <c r="P388" s="64" t="s">
        <v>5772</v>
      </c>
      <c r="Q388" s="64" t="s">
        <v>5773</v>
      </c>
      <c r="R388" s="64" t="s">
        <v>5774</v>
      </c>
      <c r="S388" s="64" t="s">
        <v>8801</v>
      </c>
    </row>
    <row r="389" spans="1:19" ht="63.75">
      <c r="A389" s="52" t="s">
        <v>5776</v>
      </c>
      <c r="B389" s="52" t="s">
        <v>93</v>
      </c>
      <c r="C389" s="52" t="s">
        <v>1628</v>
      </c>
      <c r="D389" s="52" t="s">
        <v>5777</v>
      </c>
      <c r="E389" s="52" t="s">
        <v>5473</v>
      </c>
      <c r="F389" s="52" t="s">
        <v>5778</v>
      </c>
      <c r="G389" s="52">
        <v>4</v>
      </c>
      <c r="H389" s="52" t="s">
        <v>5481</v>
      </c>
      <c r="I389" s="52" t="s">
        <v>5482</v>
      </c>
      <c r="J389" s="52">
        <v>5</v>
      </c>
      <c r="K389" s="52">
        <v>5</v>
      </c>
      <c r="L389" s="52">
        <v>5</v>
      </c>
      <c r="M389" s="52" t="s">
        <v>5779</v>
      </c>
      <c r="N389" s="52" t="s">
        <v>5780</v>
      </c>
      <c r="O389" s="52" t="s">
        <v>5781</v>
      </c>
      <c r="P389" s="52" t="s">
        <v>5782</v>
      </c>
      <c r="Q389" s="52" t="s">
        <v>5783</v>
      </c>
      <c r="R389" s="52" t="s">
        <v>5784</v>
      </c>
      <c r="S389" s="52" t="s">
        <v>8809</v>
      </c>
    </row>
    <row r="390" spans="1:19" ht="63.75">
      <c r="A390" s="64" t="s">
        <v>5786</v>
      </c>
      <c r="B390" s="64" t="s">
        <v>93</v>
      </c>
      <c r="C390" s="64" t="s">
        <v>1628</v>
      </c>
      <c r="D390" s="64" t="s">
        <v>5787</v>
      </c>
      <c r="E390" s="64" t="s">
        <v>5473</v>
      </c>
      <c r="F390" s="64" t="s">
        <v>5788</v>
      </c>
      <c r="G390" s="64">
        <v>4</v>
      </c>
      <c r="H390" s="64" t="s">
        <v>5481</v>
      </c>
      <c r="I390" s="64" t="s">
        <v>5482</v>
      </c>
      <c r="J390" s="64">
        <v>5</v>
      </c>
      <c r="K390" s="64">
        <v>5</v>
      </c>
      <c r="L390" s="64">
        <v>5</v>
      </c>
      <c r="M390" s="64" t="s">
        <v>5789</v>
      </c>
      <c r="N390" s="64" t="s">
        <v>5790</v>
      </c>
      <c r="O390" s="64" t="s">
        <v>5791</v>
      </c>
      <c r="P390" s="64" t="s">
        <v>5792</v>
      </c>
      <c r="Q390" s="64" t="s">
        <v>5793</v>
      </c>
      <c r="R390" s="64" t="s">
        <v>5794</v>
      </c>
      <c r="S390" s="64" t="s">
        <v>8816</v>
      </c>
    </row>
    <row r="391" spans="1:19" ht="63.75">
      <c r="A391" s="52" t="s">
        <v>5796</v>
      </c>
      <c r="B391" s="52" t="s">
        <v>93</v>
      </c>
      <c r="C391" s="52" t="s">
        <v>1628</v>
      </c>
      <c r="D391" s="52" t="s">
        <v>5797</v>
      </c>
      <c r="E391" s="52" t="s">
        <v>5473</v>
      </c>
      <c r="F391" s="52" t="s">
        <v>5798</v>
      </c>
      <c r="G391" s="52">
        <v>5</v>
      </c>
      <c r="H391" s="52" t="s">
        <v>5481</v>
      </c>
      <c r="I391" s="52" t="s">
        <v>5482</v>
      </c>
      <c r="J391" s="52">
        <v>5</v>
      </c>
      <c r="K391" s="52">
        <v>5</v>
      </c>
      <c r="L391" s="52">
        <v>5</v>
      </c>
      <c r="M391" s="52" t="s">
        <v>5799</v>
      </c>
      <c r="N391" s="52" t="s">
        <v>5800</v>
      </c>
      <c r="O391" s="52" t="s">
        <v>5801</v>
      </c>
      <c r="P391" s="52" t="s">
        <v>5802</v>
      </c>
      <c r="Q391" s="52" t="s">
        <v>5803</v>
      </c>
      <c r="R391" s="52" t="s">
        <v>5804</v>
      </c>
      <c r="S391" s="52" t="s">
        <v>8823</v>
      </c>
    </row>
    <row r="392" spans="1:19" ht="63.75">
      <c r="A392" s="64" t="s">
        <v>5808</v>
      </c>
      <c r="B392" s="64" t="s">
        <v>94</v>
      </c>
      <c r="C392" s="64" t="s">
        <v>1636</v>
      </c>
      <c r="D392" s="64" t="s">
        <v>5809</v>
      </c>
      <c r="E392" s="64" t="s">
        <v>5811</v>
      </c>
      <c r="F392" s="64" t="s">
        <v>5812</v>
      </c>
      <c r="G392" s="64">
        <v>3</v>
      </c>
      <c r="H392" s="64" t="s">
        <v>5819</v>
      </c>
      <c r="I392" s="64" t="s">
        <v>5820</v>
      </c>
      <c r="J392" s="64">
        <v>4</v>
      </c>
      <c r="K392" s="64">
        <v>5</v>
      </c>
      <c r="L392" s="64">
        <v>5</v>
      </c>
      <c r="M392" s="64" t="s">
        <v>5813</v>
      </c>
      <c r="N392" s="64" t="s">
        <v>5814</v>
      </c>
      <c r="O392" s="64" t="s">
        <v>5815</v>
      </c>
      <c r="P392" s="64" t="s">
        <v>5816</v>
      </c>
      <c r="Q392" s="64" t="s">
        <v>5817</v>
      </c>
      <c r="R392" s="64" t="s">
        <v>5818</v>
      </c>
      <c r="S392" s="64" t="s">
        <v>8831</v>
      </c>
    </row>
    <row r="393" spans="1:19" ht="63.75">
      <c r="A393" s="52" t="s">
        <v>5822</v>
      </c>
      <c r="B393" s="52" t="s">
        <v>94</v>
      </c>
      <c r="C393" s="52" t="s">
        <v>1636</v>
      </c>
      <c r="D393" s="52" t="s">
        <v>5823</v>
      </c>
      <c r="E393" s="52" t="s">
        <v>5811</v>
      </c>
      <c r="F393" s="52" t="s">
        <v>5824</v>
      </c>
      <c r="G393" s="52">
        <v>5</v>
      </c>
      <c r="H393" s="52" t="s">
        <v>5819</v>
      </c>
      <c r="I393" s="52" t="s">
        <v>5820</v>
      </c>
      <c r="J393" s="52">
        <v>4</v>
      </c>
      <c r="K393" s="52">
        <v>5</v>
      </c>
      <c r="L393" s="52">
        <v>5</v>
      </c>
      <c r="M393" s="52" t="s">
        <v>5825</v>
      </c>
      <c r="N393" s="52" t="s">
        <v>5826</v>
      </c>
      <c r="O393" s="52" t="s">
        <v>5827</v>
      </c>
      <c r="P393" s="52" t="s">
        <v>5828</v>
      </c>
      <c r="Q393" s="52" t="s">
        <v>5829</v>
      </c>
      <c r="R393" s="52" t="s">
        <v>5830</v>
      </c>
      <c r="S393" s="52" t="s">
        <v>8838</v>
      </c>
    </row>
    <row r="394" spans="1:19" ht="63.75">
      <c r="A394" s="64" t="s">
        <v>5832</v>
      </c>
      <c r="B394" s="64" t="s">
        <v>94</v>
      </c>
      <c r="C394" s="64" t="s">
        <v>1636</v>
      </c>
      <c r="D394" s="64" t="s">
        <v>5833</v>
      </c>
      <c r="E394" s="64" t="s">
        <v>5811</v>
      </c>
      <c r="F394" s="64" t="s">
        <v>5834</v>
      </c>
      <c r="G394" s="64">
        <v>3</v>
      </c>
      <c r="H394" s="64" t="s">
        <v>5819</v>
      </c>
      <c r="I394" s="64" t="s">
        <v>5820</v>
      </c>
      <c r="J394" s="64">
        <v>4</v>
      </c>
      <c r="K394" s="64">
        <v>5</v>
      </c>
      <c r="L394" s="64">
        <v>5</v>
      </c>
      <c r="M394" s="64" t="s">
        <v>5835</v>
      </c>
      <c r="N394" s="64" t="s">
        <v>5836</v>
      </c>
      <c r="O394" s="64" t="s">
        <v>5837</v>
      </c>
      <c r="P394" s="64" t="s">
        <v>5838</v>
      </c>
      <c r="Q394" s="64" t="s">
        <v>5839</v>
      </c>
      <c r="R394" s="64" t="s">
        <v>5840</v>
      </c>
      <c r="S394" s="64" t="s">
        <v>8845</v>
      </c>
    </row>
    <row r="395" spans="1:19" ht="63.75">
      <c r="A395" s="52" t="s">
        <v>5842</v>
      </c>
      <c r="B395" s="52" t="s">
        <v>94</v>
      </c>
      <c r="C395" s="52" t="s">
        <v>1636</v>
      </c>
      <c r="D395" s="52" t="s">
        <v>5843</v>
      </c>
      <c r="E395" s="52" t="s">
        <v>5811</v>
      </c>
      <c r="F395" s="52" t="s">
        <v>5844</v>
      </c>
      <c r="G395" s="52">
        <v>3</v>
      </c>
      <c r="H395" s="52" t="s">
        <v>5819</v>
      </c>
      <c r="I395" s="52" t="s">
        <v>5820</v>
      </c>
      <c r="J395" s="52">
        <v>4</v>
      </c>
      <c r="K395" s="52">
        <v>5</v>
      </c>
      <c r="L395" s="52">
        <v>5</v>
      </c>
      <c r="M395" s="52" t="s">
        <v>5845</v>
      </c>
      <c r="N395" s="52" t="s">
        <v>5846</v>
      </c>
      <c r="O395" s="52" t="s">
        <v>5847</v>
      </c>
      <c r="P395" s="52" t="s">
        <v>5848</v>
      </c>
      <c r="Q395" s="52" t="s">
        <v>5849</v>
      </c>
      <c r="R395" s="52" t="s">
        <v>5850</v>
      </c>
      <c r="S395" s="52" t="s">
        <v>8852</v>
      </c>
    </row>
    <row r="396" spans="1:19" ht="63.75">
      <c r="A396" s="64" t="s">
        <v>5852</v>
      </c>
      <c r="B396" s="64" t="s">
        <v>94</v>
      </c>
      <c r="C396" s="64" t="s">
        <v>1636</v>
      </c>
      <c r="D396" s="64" t="s">
        <v>5853</v>
      </c>
      <c r="E396" s="64" t="s">
        <v>5811</v>
      </c>
      <c r="F396" s="64" t="s">
        <v>5854</v>
      </c>
      <c r="G396" s="64">
        <v>3</v>
      </c>
      <c r="H396" s="64" t="s">
        <v>5819</v>
      </c>
      <c r="I396" s="64" t="s">
        <v>5820</v>
      </c>
      <c r="J396" s="64">
        <v>4</v>
      </c>
      <c r="K396" s="64">
        <v>5</v>
      </c>
      <c r="L396" s="64">
        <v>5</v>
      </c>
      <c r="M396" s="64" t="s">
        <v>5855</v>
      </c>
      <c r="N396" s="64" t="s">
        <v>5856</v>
      </c>
      <c r="O396" s="64" t="s">
        <v>5857</v>
      </c>
      <c r="P396" s="64" t="s">
        <v>5858</v>
      </c>
      <c r="Q396" s="64" t="s">
        <v>5859</v>
      </c>
      <c r="R396" s="64" t="s">
        <v>5860</v>
      </c>
      <c r="S396" s="64" t="s">
        <v>8859</v>
      </c>
    </row>
    <row r="397" spans="1:19" ht="51">
      <c r="A397" s="52" t="s">
        <v>5862</v>
      </c>
      <c r="B397" s="52" t="s">
        <v>94</v>
      </c>
      <c r="C397" s="52" t="s">
        <v>1647</v>
      </c>
      <c r="D397" s="52" t="s">
        <v>5863</v>
      </c>
      <c r="E397" s="52" t="s">
        <v>5811</v>
      </c>
      <c r="F397" s="52" t="s">
        <v>5864</v>
      </c>
      <c r="G397" s="52">
        <v>4</v>
      </c>
      <c r="H397" s="52" t="s">
        <v>5819</v>
      </c>
      <c r="I397" s="52" t="s">
        <v>5820</v>
      </c>
      <c r="J397" s="52">
        <v>4</v>
      </c>
      <c r="K397" s="52">
        <v>5</v>
      </c>
      <c r="L397" s="52">
        <v>5</v>
      </c>
      <c r="M397" s="52" t="s">
        <v>5865</v>
      </c>
      <c r="N397" s="52" t="s">
        <v>5866</v>
      </c>
      <c r="O397" s="52" t="s">
        <v>5867</v>
      </c>
      <c r="P397" s="52" t="s">
        <v>5868</v>
      </c>
      <c r="Q397" s="52" t="s">
        <v>5869</v>
      </c>
      <c r="R397" s="52" t="s">
        <v>5870</v>
      </c>
      <c r="S397" s="52" t="s">
        <v>8867</v>
      </c>
    </row>
    <row r="398" spans="1:19" ht="51">
      <c r="A398" s="64" t="s">
        <v>5872</v>
      </c>
      <c r="B398" s="64" t="s">
        <v>94</v>
      </c>
      <c r="C398" s="64" t="s">
        <v>1647</v>
      </c>
      <c r="D398" s="64" t="s">
        <v>5873</v>
      </c>
      <c r="E398" s="64" t="s">
        <v>5811</v>
      </c>
      <c r="F398" s="64" t="s">
        <v>5874</v>
      </c>
      <c r="G398" s="64">
        <v>3</v>
      </c>
      <c r="H398" s="64" t="s">
        <v>5819</v>
      </c>
      <c r="I398" s="64" t="s">
        <v>5820</v>
      </c>
      <c r="J398" s="64">
        <v>4</v>
      </c>
      <c r="K398" s="64">
        <v>5</v>
      </c>
      <c r="L398" s="64">
        <v>5</v>
      </c>
      <c r="M398" s="64" t="s">
        <v>5875</v>
      </c>
      <c r="N398" s="64" t="s">
        <v>5876</v>
      </c>
      <c r="O398" s="64" t="s">
        <v>5877</v>
      </c>
      <c r="P398" s="64" t="s">
        <v>5878</v>
      </c>
      <c r="Q398" s="64" t="s">
        <v>5879</v>
      </c>
      <c r="R398" s="64" t="s">
        <v>5880</v>
      </c>
      <c r="S398" s="64" t="s">
        <v>8874</v>
      </c>
    </row>
    <row r="399" spans="1:19" ht="51">
      <c r="A399" s="52" t="s">
        <v>5882</v>
      </c>
      <c r="B399" s="52" t="s">
        <v>94</v>
      </c>
      <c r="C399" s="52" t="s">
        <v>1647</v>
      </c>
      <c r="D399" s="52" t="s">
        <v>5883</v>
      </c>
      <c r="E399" s="52" t="s">
        <v>5811</v>
      </c>
      <c r="F399" s="52" t="s">
        <v>5884</v>
      </c>
      <c r="G399" s="52">
        <v>5</v>
      </c>
      <c r="H399" s="52" t="s">
        <v>5819</v>
      </c>
      <c r="I399" s="52" t="s">
        <v>5820</v>
      </c>
      <c r="J399" s="52">
        <v>4</v>
      </c>
      <c r="K399" s="52">
        <v>5</v>
      </c>
      <c r="L399" s="52">
        <v>5</v>
      </c>
      <c r="M399" s="52" t="s">
        <v>5885</v>
      </c>
      <c r="N399" s="52" t="s">
        <v>5886</v>
      </c>
      <c r="O399" s="52" t="s">
        <v>5887</v>
      </c>
      <c r="P399" s="52" t="s">
        <v>5888</v>
      </c>
      <c r="Q399" s="52" t="s">
        <v>5889</v>
      </c>
      <c r="R399" s="52" t="s">
        <v>5890</v>
      </c>
      <c r="S399" s="52" t="s">
        <v>8881</v>
      </c>
    </row>
    <row r="400" spans="1:19" ht="51">
      <c r="A400" s="64" t="s">
        <v>5892</v>
      </c>
      <c r="B400" s="64" t="s">
        <v>94</v>
      </c>
      <c r="C400" s="64" t="s">
        <v>1647</v>
      </c>
      <c r="D400" s="64" t="s">
        <v>5893</v>
      </c>
      <c r="E400" s="64" t="s">
        <v>5811</v>
      </c>
      <c r="F400" s="64" t="s">
        <v>5894</v>
      </c>
      <c r="G400" s="64">
        <v>3</v>
      </c>
      <c r="H400" s="64" t="s">
        <v>5819</v>
      </c>
      <c r="I400" s="64" t="s">
        <v>5820</v>
      </c>
      <c r="J400" s="64">
        <v>4</v>
      </c>
      <c r="K400" s="64">
        <v>5</v>
      </c>
      <c r="L400" s="64">
        <v>5</v>
      </c>
      <c r="M400" s="64" t="s">
        <v>5895</v>
      </c>
      <c r="N400" s="64" t="s">
        <v>5896</v>
      </c>
      <c r="O400" s="64" t="s">
        <v>5897</v>
      </c>
      <c r="P400" s="64" t="s">
        <v>5898</v>
      </c>
      <c r="Q400" s="64" t="s">
        <v>5899</v>
      </c>
      <c r="R400" s="64" t="s">
        <v>5900</v>
      </c>
      <c r="S400" s="64" t="s">
        <v>8888</v>
      </c>
    </row>
    <row r="401" spans="1:19" ht="51">
      <c r="A401" s="52" t="s">
        <v>5902</v>
      </c>
      <c r="B401" s="52" t="s">
        <v>94</v>
      </c>
      <c r="C401" s="52" t="s">
        <v>1647</v>
      </c>
      <c r="D401" s="52" t="s">
        <v>5903</v>
      </c>
      <c r="E401" s="52" t="s">
        <v>5811</v>
      </c>
      <c r="F401" s="52" t="s">
        <v>5904</v>
      </c>
      <c r="G401" s="52">
        <v>4</v>
      </c>
      <c r="H401" s="52" t="s">
        <v>5819</v>
      </c>
      <c r="I401" s="52" t="s">
        <v>5820</v>
      </c>
      <c r="J401" s="52">
        <v>4</v>
      </c>
      <c r="K401" s="52">
        <v>5</v>
      </c>
      <c r="L401" s="52">
        <v>5</v>
      </c>
      <c r="M401" s="52" t="s">
        <v>5905</v>
      </c>
      <c r="N401" s="52" t="s">
        <v>5906</v>
      </c>
      <c r="O401" s="52" t="s">
        <v>5907</v>
      </c>
      <c r="P401" s="52" t="s">
        <v>5908</v>
      </c>
      <c r="Q401" s="52" t="s">
        <v>5909</v>
      </c>
      <c r="R401" s="52" t="s">
        <v>5910</v>
      </c>
      <c r="S401" s="52" t="s">
        <v>8895</v>
      </c>
    </row>
    <row r="402" spans="1:19" ht="63.75">
      <c r="A402" s="64" t="s">
        <v>5912</v>
      </c>
      <c r="B402" s="64" t="s">
        <v>94</v>
      </c>
      <c r="C402" s="64" t="s">
        <v>1655</v>
      </c>
      <c r="D402" s="64" t="s">
        <v>5913</v>
      </c>
      <c r="E402" s="64" t="s">
        <v>5811</v>
      </c>
      <c r="F402" s="64" t="s">
        <v>5914</v>
      </c>
      <c r="G402" s="64">
        <v>4</v>
      </c>
      <c r="H402" s="64" t="s">
        <v>5819</v>
      </c>
      <c r="I402" s="64" t="s">
        <v>5820</v>
      </c>
      <c r="J402" s="64">
        <v>4</v>
      </c>
      <c r="K402" s="64">
        <v>5</v>
      </c>
      <c r="L402" s="64">
        <v>5</v>
      </c>
      <c r="M402" s="64" t="s">
        <v>5915</v>
      </c>
      <c r="N402" s="64" t="s">
        <v>5916</v>
      </c>
      <c r="O402" s="64" t="s">
        <v>5917</v>
      </c>
      <c r="P402" s="64" t="s">
        <v>5918</v>
      </c>
      <c r="Q402" s="64" t="s">
        <v>5919</v>
      </c>
      <c r="R402" s="64" t="s">
        <v>5920</v>
      </c>
      <c r="S402" s="64" t="s">
        <v>8903</v>
      </c>
    </row>
    <row r="403" spans="1:19" ht="63.75">
      <c r="A403" s="52" t="s">
        <v>5922</v>
      </c>
      <c r="B403" s="52" t="s">
        <v>94</v>
      </c>
      <c r="C403" s="52" t="s">
        <v>1655</v>
      </c>
      <c r="D403" s="52" t="s">
        <v>5923</v>
      </c>
      <c r="E403" s="52" t="s">
        <v>5811</v>
      </c>
      <c r="F403" s="52" t="s">
        <v>5924</v>
      </c>
      <c r="G403" s="52">
        <v>5</v>
      </c>
      <c r="H403" s="52" t="s">
        <v>5819</v>
      </c>
      <c r="I403" s="52" t="s">
        <v>5820</v>
      </c>
      <c r="J403" s="52">
        <v>4</v>
      </c>
      <c r="K403" s="52">
        <v>5</v>
      </c>
      <c r="L403" s="52">
        <v>5</v>
      </c>
      <c r="M403" s="52" t="s">
        <v>5925</v>
      </c>
      <c r="N403" s="52" t="s">
        <v>5926</v>
      </c>
      <c r="O403" s="52" t="s">
        <v>5927</v>
      </c>
      <c r="P403" s="52" t="s">
        <v>5928</v>
      </c>
      <c r="Q403" s="52" t="s">
        <v>5929</v>
      </c>
      <c r="R403" s="52" t="s">
        <v>5930</v>
      </c>
      <c r="S403" s="52" t="s">
        <v>8910</v>
      </c>
    </row>
    <row r="404" spans="1:19" ht="63.75">
      <c r="A404" s="64" t="s">
        <v>5932</v>
      </c>
      <c r="B404" s="64" t="s">
        <v>94</v>
      </c>
      <c r="C404" s="64" t="s">
        <v>1655</v>
      </c>
      <c r="D404" s="64" t="s">
        <v>5933</v>
      </c>
      <c r="E404" s="64" t="s">
        <v>5811</v>
      </c>
      <c r="F404" s="64" t="s">
        <v>5934</v>
      </c>
      <c r="G404" s="64">
        <v>3</v>
      </c>
      <c r="H404" s="64" t="s">
        <v>5819</v>
      </c>
      <c r="I404" s="64" t="s">
        <v>5820</v>
      </c>
      <c r="J404" s="64">
        <v>4</v>
      </c>
      <c r="K404" s="64">
        <v>5</v>
      </c>
      <c r="L404" s="64">
        <v>5</v>
      </c>
      <c r="M404" s="64" t="s">
        <v>5935</v>
      </c>
      <c r="N404" s="64" t="s">
        <v>5936</v>
      </c>
      <c r="O404" s="64" t="s">
        <v>5937</v>
      </c>
      <c r="P404" s="64" t="s">
        <v>5938</v>
      </c>
      <c r="Q404" s="64" t="s">
        <v>5939</v>
      </c>
      <c r="R404" s="64" t="s">
        <v>5940</v>
      </c>
      <c r="S404" s="64" t="s">
        <v>8917</v>
      </c>
    </row>
    <row r="405" spans="1:19" ht="63.75">
      <c r="A405" s="52" t="s">
        <v>5942</v>
      </c>
      <c r="B405" s="52" t="s">
        <v>94</v>
      </c>
      <c r="C405" s="52" t="s">
        <v>1655</v>
      </c>
      <c r="D405" s="52" t="s">
        <v>5943</v>
      </c>
      <c r="E405" s="52" t="s">
        <v>5811</v>
      </c>
      <c r="F405" s="52" t="s">
        <v>5944</v>
      </c>
      <c r="G405" s="52">
        <v>3</v>
      </c>
      <c r="H405" s="52" t="s">
        <v>5819</v>
      </c>
      <c r="I405" s="52" t="s">
        <v>5820</v>
      </c>
      <c r="J405" s="52">
        <v>4</v>
      </c>
      <c r="K405" s="52">
        <v>5</v>
      </c>
      <c r="L405" s="52">
        <v>5</v>
      </c>
      <c r="M405" s="52" t="s">
        <v>5945</v>
      </c>
      <c r="N405" s="52" t="s">
        <v>5946</v>
      </c>
      <c r="O405" s="52" t="s">
        <v>5947</v>
      </c>
      <c r="P405" s="52" t="s">
        <v>5948</v>
      </c>
      <c r="Q405" s="52" t="s">
        <v>5949</v>
      </c>
      <c r="R405" s="52" t="s">
        <v>5950</v>
      </c>
      <c r="S405" s="52" t="s">
        <v>8924</v>
      </c>
    </row>
    <row r="406" spans="1:19" ht="63.75">
      <c r="A406" s="64" t="s">
        <v>5952</v>
      </c>
      <c r="B406" s="64" t="s">
        <v>94</v>
      </c>
      <c r="C406" s="64" t="s">
        <v>1655</v>
      </c>
      <c r="D406" s="64" t="s">
        <v>5953</v>
      </c>
      <c r="E406" s="64" t="s">
        <v>5811</v>
      </c>
      <c r="F406" s="64" t="s">
        <v>5954</v>
      </c>
      <c r="G406" s="64">
        <v>5</v>
      </c>
      <c r="H406" s="64" t="s">
        <v>5819</v>
      </c>
      <c r="I406" s="64" t="s">
        <v>5820</v>
      </c>
      <c r="J406" s="64">
        <v>4</v>
      </c>
      <c r="K406" s="64">
        <v>5</v>
      </c>
      <c r="L406" s="64">
        <v>5</v>
      </c>
      <c r="M406" s="64" t="s">
        <v>5955</v>
      </c>
      <c r="N406" s="64" t="s">
        <v>5956</v>
      </c>
      <c r="O406" s="64" t="s">
        <v>5957</v>
      </c>
      <c r="P406" s="64" t="s">
        <v>5958</v>
      </c>
      <c r="Q406" s="64" t="s">
        <v>5959</v>
      </c>
      <c r="R406" s="64" t="s">
        <v>5960</v>
      </c>
      <c r="S406" s="64" t="s">
        <v>8931</v>
      </c>
    </row>
    <row r="407" spans="1:19" ht="63.75">
      <c r="A407" s="52" t="s">
        <v>5962</v>
      </c>
      <c r="B407" s="52" t="s">
        <v>94</v>
      </c>
      <c r="C407" s="52" t="s">
        <v>1663</v>
      </c>
      <c r="D407" s="52" t="s">
        <v>5963</v>
      </c>
      <c r="E407" s="52" t="s">
        <v>5811</v>
      </c>
      <c r="F407" s="52" t="s">
        <v>5964</v>
      </c>
      <c r="G407" s="52">
        <v>5</v>
      </c>
      <c r="H407" s="52" t="s">
        <v>5819</v>
      </c>
      <c r="I407" s="52" t="s">
        <v>5820</v>
      </c>
      <c r="J407" s="52">
        <v>4</v>
      </c>
      <c r="K407" s="52">
        <v>5</v>
      </c>
      <c r="L407" s="52">
        <v>5</v>
      </c>
      <c r="M407" s="52" t="s">
        <v>5965</v>
      </c>
      <c r="N407" s="52" t="s">
        <v>5966</v>
      </c>
      <c r="O407" s="52" t="s">
        <v>5967</v>
      </c>
      <c r="P407" s="52" t="s">
        <v>5968</v>
      </c>
      <c r="Q407" s="52" t="s">
        <v>5969</v>
      </c>
      <c r="R407" s="52" t="s">
        <v>5970</v>
      </c>
      <c r="S407" s="52" t="s">
        <v>8939</v>
      </c>
    </row>
    <row r="408" spans="1:19" ht="63.75">
      <c r="A408" s="64" t="s">
        <v>5972</v>
      </c>
      <c r="B408" s="64" t="s">
        <v>94</v>
      </c>
      <c r="C408" s="64" t="s">
        <v>1663</v>
      </c>
      <c r="D408" s="64" t="s">
        <v>5973</v>
      </c>
      <c r="E408" s="64" t="s">
        <v>5811</v>
      </c>
      <c r="F408" s="64" t="s">
        <v>5974</v>
      </c>
      <c r="G408" s="64">
        <v>5</v>
      </c>
      <c r="H408" s="64" t="s">
        <v>5819</v>
      </c>
      <c r="I408" s="64" t="s">
        <v>5820</v>
      </c>
      <c r="J408" s="64">
        <v>4</v>
      </c>
      <c r="K408" s="64">
        <v>5</v>
      </c>
      <c r="L408" s="64">
        <v>5</v>
      </c>
      <c r="M408" s="64" t="s">
        <v>5975</v>
      </c>
      <c r="N408" s="64" t="s">
        <v>5976</v>
      </c>
      <c r="O408" s="64" t="s">
        <v>5977</v>
      </c>
      <c r="P408" s="64" t="s">
        <v>5978</v>
      </c>
      <c r="Q408" s="64" t="s">
        <v>5979</v>
      </c>
      <c r="R408" s="64" t="s">
        <v>5980</v>
      </c>
      <c r="S408" s="64" t="s">
        <v>8946</v>
      </c>
    </row>
    <row r="409" spans="1:19" ht="63.75">
      <c r="A409" s="52" t="s">
        <v>5982</v>
      </c>
      <c r="B409" s="52" t="s">
        <v>94</v>
      </c>
      <c r="C409" s="52" t="s">
        <v>1663</v>
      </c>
      <c r="D409" s="52" t="s">
        <v>5983</v>
      </c>
      <c r="E409" s="52" t="s">
        <v>5811</v>
      </c>
      <c r="F409" s="52" t="s">
        <v>5984</v>
      </c>
      <c r="G409" s="52">
        <v>4</v>
      </c>
      <c r="H409" s="52" t="s">
        <v>5819</v>
      </c>
      <c r="I409" s="52" t="s">
        <v>5820</v>
      </c>
      <c r="J409" s="52">
        <v>4</v>
      </c>
      <c r="K409" s="52">
        <v>5</v>
      </c>
      <c r="L409" s="52">
        <v>5</v>
      </c>
      <c r="M409" s="52" t="s">
        <v>5985</v>
      </c>
      <c r="N409" s="52" t="s">
        <v>5986</v>
      </c>
      <c r="O409" s="52" t="s">
        <v>5987</v>
      </c>
      <c r="P409" s="52" t="s">
        <v>5988</v>
      </c>
      <c r="Q409" s="52" t="s">
        <v>5989</v>
      </c>
      <c r="R409" s="52" t="s">
        <v>5990</v>
      </c>
      <c r="S409" s="52" t="s">
        <v>8953</v>
      </c>
    </row>
    <row r="410" spans="1:19" ht="63.75">
      <c r="A410" s="64" t="s">
        <v>5992</v>
      </c>
      <c r="B410" s="64" t="s">
        <v>94</v>
      </c>
      <c r="C410" s="64" t="s">
        <v>1663</v>
      </c>
      <c r="D410" s="64" t="s">
        <v>5993</v>
      </c>
      <c r="E410" s="64" t="s">
        <v>5811</v>
      </c>
      <c r="F410" s="64" t="s">
        <v>5994</v>
      </c>
      <c r="G410" s="64">
        <v>5</v>
      </c>
      <c r="H410" s="64" t="s">
        <v>5819</v>
      </c>
      <c r="I410" s="64" t="s">
        <v>5820</v>
      </c>
      <c r="J410" s="64">
        <v>4</v>
      </c>
      <c r="K410" s="64">
        <v>5</v>
      </c>
      <c r="L410" s="64">
        <v>5</v>
      </c>
      <c r="M410" s="64" t="s">
        <v>5995</v>
      </c>
      <c r="N410" s="64" t="s">
        <v>5996</v>
      </c>
      <c r="O410" s="64" t="s">
        <v>5997</v>
      </c>
      <c r="P410" s="64" t="s">
        <v>5998</v>
      </c>
      <c r="Q410" s="64" t="s">
        <v>5999</v>
      </c>
      <c r="R410" s="64" t="s">
        <v>6000</v>
      </c>
      <c r="S410" s="64" t="s">
        <v>8960</v>
      </c>
    </row>
    <row r="411" spans="1:19" ht="51">
      <c r="A411" s="52" t="s">
        <v>6002</v>
      </c>
      <c r="B411" s="52" t="s">
        <v>94</v>
      </c>
      <c r="C411" s="52" t="s">
        <v>1663</v>
      </c>
      <c r="D411" s="52" t="s">
        <v>6003</v>
      </c>
      <c r="E411" s="52" t="s">
        <v>5811</v>
      </c>
      <c r="F411" s="52" t="s">
        <v>6004</v>
      </c>
      <c r="G411" s="52">
        <v>3</v>
      </c>
      <c r="H411" s="52" t="s">
        <v>5819</v>
      </c>
      <c r="I411" s="52" t="s">
        <v>5820</v>
      </c>
      <c r="J411" s="52">
        <v>4</v>
      </c>
      <c r="K411" s="52">
        <v>5</v>
      </c>
      <c r="L411" s="52">
        <v>5</v>
      </c>
      <c r="M411" s="52" t="s">
        <v>6005</v>
      </c>
      <c r="N411" s="52" t="s">
        <v>6006</v>
      </c>
      <c r="O411" s="52" t="s">
        <v>6007</v>
      </c>
      <c r="P411" s="52" t="s">
        <v>6008</v>
      </c>
      <c r="Q411" s="52" t="s">
        <v>6009</v>
      </c>
      <c r="R411" s="52" t="s">
        <v>6010</v>
      </c>
      <c r="S411" s="52" t="s">
        <v>8967</v>
      </c>
    </row>
  </sheetData>
  <autoFilter ref="A4:S411" ns2:uid="{00000000-0009-0000-0000-00002B000000}"/>
  <mergeCells count="2">
    <mergeCell ref="A2:R2"/>
    <mergeCell ref="A1:R1"/>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5.xml><?xml version="1.0" encoding="utf-8"?>
<worksheet xmlns="http://schemas.openxmlformats.org/spreadsheetml/2006/main" xmlns:ns1="http://schemas.openxmlformats.org/markup-compatibility/2006" xmlns:ns2="http://schemas.microsoft.com/office/spreadsheetml/2014/revision" ns1:Ignorable="x14ac xr xr2 xr3" ns2:uid="{00000000-0001-0000-2C00-000000000000}">
  <sheetPr>
    <tabColor rgb="FF2E75B6"/>
  </sheetPr>
  <dimension ref="A1:N426"/>
  <sheetViews>
    <sheetView workbookViewId="0">
      <pane ySplit="19" topLeftCell="A20" activePane="bottomLeft" state="frozen"/>
      <selection pane="bottomLeft"/>
    </sheetView>
  </sheetViews>
  <sheetFormatPr defaultRowHeight="14.25"/>
  <cols>
    <col min="1" max="1" width="14" customWidth="1"/>
    <col min="2" max="2" width="20" customWidth="1"/>
    <col min="3" max="3" width="24" customWidth="1"/>
    <col min="4" max="4" width="54" customWidth="1"/>
    <col min="5" max="6" width="16" customWidth="1"/>
    <col min="7" max="7" width="22" customWidth="1"/>
    <col min="8" max="8" width="38" customWidth="1"/>
    <col min="9" max="9" width="18" customWidth="1"/>
    <col min="10" max="10" width="34" customWidth="1"/>
    <col min="11" max="11" width="18" customWidth="1"/>
    <col min="12" max="12" width="28" customWidth="1"/>
    <col min="13" max="13" width="42" customWidth="1"/>
    <col min="14" max="14" width="14" customWidth="1"/>
  </cols>
  <sheetData>
    <row r="1" spans="1:14" ht="24" customHeight="1">
      <c r="A1" s="184" t="s">
        <v>14480</v>
      </c>
      <c r="B1" s="158"/>
      <c r="C1" s="158"/>
      <c r="D1" s="158"/>
      <c r="E1" s="158"/>
      <c r="F1" s="158"/>
      <c r="G1" s="158"/>
      <c r="H1" s="158"/>
      <c r="I1" s="158"/>
      <c r="J1" s="158"/>
      <c r="K1" s="158"/>
      <c r="L1" s="158"/>
      <c r="M1" s="158"/>
      <c r="N1" s="158"/>
    </row>
    <row r="2" spans="1:14" ht="38.1" customHeight="1">
      <c r="A2" s="183" t="s">
        <v>14481</v>
      </c>
      <c r="B2" s="158"/>
      <c r="C2" s="158"/>
      <c r="D2" s="158"/>
      <c r="E2" s="158"/>
      <c r="F2" s="158"/>
      <c r="G2" s="158"/>
      <c r="H2" s="158"/>
      <c r="I2" s="158"/>
      <c r="J2" s="158"/>
      <c r="K2" s="158"/>
      <c r="L2" s="158"/>
      <c r="M2" s="158"/>
      <c r="N2" s="158"/>
    </row>
    <row r="4" spans="1:14" ht="30" customHeight="1">
      <c r="A4" s="50" t="s">
        <v>14482</v>
      </c>
      <c r="B4" s="50" t="s">
        <v>14483</v>
      </c>
      <c r="C4" s="50" t="s">
        <v>53</v>
      </c>
      <c r="E4" s="50" t="s">
        <v>36</v>
      </c>
      <c r="F4" s="50" t="s">
        <v>37</v>
      </c>
      <c r="G4" s="50" t="s">
        <v>14484</v>
      </c>
      <c r="H4" s="50" t="s">
        <v>14485</v>
      </c>
      <c r="I4" s="50" t="s">
        <v>39</v>
      </c>
      <c r="J4" s="50" t="s">
        <v>14486</v>
      </c>
      <c r="K4" s="50" t="s">
        <v>14487</v>
      </c>
    </row>
    <row r="5" spans="1:14" ht="25.5">
      <c r="A5" s="65" t="s">
        <v>55</v>
      </c>
      <c r="B5" s="66">
        <f>COUNTA($A$20:$A$426)</f>
        <v>407</v>
      </c>
      <c r="C5" s="67" t="s">
        <v>14488</v>
      </c>
      <c r="E5" s="67" t="s">
        <v>54</v>
      </c>
      <c r="F5" s="67">
        <f>COUNTA('Company Geography'!$A$5:$A$500)</f>
        <v>20</v>
      </c>
      <c r="G5" s="67">
        <f>COUNTIFS('Company Geography'!$H$5:$H$500,"&lt;&gt;")</f>
        <v>0</v>
      </c>
      <c r="H5" s="67">
        <f t="shared" ref="H5:H18" si="0">MAX(0,F5-G5)</f>
        <v>20</v>
      </c>
      <c r="I5" s="68">
        <f t="shared" ref="I5:I18" si="1">IFERROR(G5/F5,0)</f>
        <v>0</v>
      </c>
      <c r="J5" s="67">
        <f>COUNTIF('Company Geography'!$L$5:$L$500,"Critical")+COUNTIF('Company Geography'!$L$5:$L$500,"High")</f>
        <v>0</v>
      </c>
      <c r="K5" s="67">
        <f>SUMPRODUCT(--(('Company Geography'!$L$5:$L$500="Critical")+('Company Geography'!$L$5:$L$500="High")&gt;0),--('Company Geography'!$U$5:$U$500=""))</f>
        <v>0</v>
      </c>
    </row>
    <row r="6" spans="1:14" ht="25.5">
      <c r="A6" s="65" t="s">
        <v>14489</v>
      </c>
      <c r="B6" s="66">
        <f>COUNTIF($I$20:$I$426,"OK")</f>
        <v>407</v>
      </c>
      <c r="C6" s="67" t="s">
        <v>14490</v>
      </c>
      <c r="E6" s="67" t="s">
        <v>57</v>
      </c>
      <c r="F6" s="67">
        <f>COUNTA('Strategy GTM'!$A$5:$A$500)</f>
        <v>24</v>
      </c>
      <c r="G6" s="67">
        <f>COUNTIFS('Strategy GTM'!$H$5:$H$500,"&lt;&gt;")</f>
        <v>0</v>
      </c>
      <c r="H6" s="67">
        <f t="shared" si="0"/>
        <v>24</v>
      </c>
      <c r="I6" s="68">
        <f t="shared" si="1"/>
        <v>0</v>
      </c>
      <c r="J6" s="67">
        <f>COUNTIF('Strategy GTM'!$L$5:$L$500,"Critical")+COUNTIF('Strategy GTM'!$L$5:$L$500,"High")</f>
        <v>0</v>
      </c>
      <c r="K6" s="67">
        <f>SUMPRODUCT(--(('Strategy GTM'!$L$5:$L$500="Critical")+('Strategy GTM'!$L$5:$L$500="High")&gt;0),--('Strategy GTM'!$U$5:$U$500=""))</f>
        <v>0</v>
      </c>
    </row>
    <row r="7" spans="1:14" ht="38.25">
      <c r="A7" s="65" t="s">
        <v>14491</v>
      </c>
      <c r="B7" s="66">
        <f>COUNTIF($I$20:$I$426,"Missing score")</f>
        <v>0</v>
      </c>
      <c r="C7" s="67" t="s">
        <v>14492</v>
      </c>
      <c r="E7" s="67" t="s">
        <v>60</v>
      </c>
      <c r="F7" s="67">
        <f>COUNTA('Governance Crisis'!$A$5:$A$500)</f>
        <v>19</v>
      </c>
      <c r="G7" s="67">
        <f>COUNTIFS('Governance Crisis'!$H$5:$H$500,"&lt;&gt;")</f>
        <v>0</v>
      </c>
      <c r="H7" s="67">
        <f t="shared" si="0"/>
        <v>19</v>
      </c>
      <c r="I7" s="68">
        <f t="shared" si="1"/>
        <v>0</v>
      </c>
      <c r="J7" s="67">
        <f>COUNTIF('Governance Crisis'!$L$5:$L$500,"Critical")+COUNTIF('Governance Crisis'!$L$5:$L$500,"High")</f>
        <v>0</v>
      </c>
      <c r="K7" s="67">
        <f>SUMPRODUCT(--(('Governance Crisis'!$L$5:$L$500="Critical")+('Governance Crisis'!$L$5:$L$500="High")&gt;0),--('Governance Crisis'!$U$5:$U$500=""))</f>
        <v>0</v>
      </c>
    </row>
    <row r="8" spans="1:14" ht="38.25">
      <c r="A8" s="65" t="s">
        <v>14493</v>
      </c>
      <c r="B8" s="66">
        <f>COUNTIF($I$20:$I$426,"Invalid score")</f>
        <v>0</v>
      </c>
      <c r="C8" s="67" t="s">
        <v>14494</v>
      </c>
      <c r="E8" s="67" t="s">
        <v>63</v>
      </c>
      <c r="F8" s="67">
        <f>COUNTA('HR Workforce'!$A$5:$A$500)</f>
        <v>24</v>
      </c>
      <c r="G8" s="67">
        <f>COUNTIFS('HR Workforce'!$H$5:$H$500,"&lt;&gt;")</f>
        <v>0</v>
      </c>
      <c r="H8" s="67">
        <f t="shared" si="0"/>
        <v>24</v>
      </c>
      <c r="I8" s="68">
        <f t="shared" si="1"/>
        <v>0</v>
      </c>
      <c r="J8" s="67">
        <f>COUNTIF('HR Workforce'!$L$5:$L$500,"Critical")+COUNTIF('HR Workforce'!$L$5:$L$500,"High")</f>
        <v>0</v>
      </c>
      <c r="K8" s="67">
        <f>SUMPRODUCT(--(('HR Workforce'!$L$5:$L$500="Critical")+('HR Workforce'!$L$5:$L$500="High")&gt;0),--('HR Workforce'!$U$5:$U$500=""))</f>
        <v>0</v>
      </c>
    </row>
    <row r="9" spans="1:14" ht="38.25">
      <c r="A9" s="65" t="s">
        <v>14495</v>
      </c>
      <c r="B9" s="66">
        <f>COUNTIF($J$20:$J$426,"Missing comments for high/critical risk")</f>
        <v>0</v>
      </c>
      <c r="C9" s="67" t="s">
        <v>14496</v>
      </c>
      <c r="E9" s="67" t="s">
        <v>66</v>
      </c>
      <c r="F9" s="67">
        <f>COUNTA('Finance Procurement'!$A$5:$A$500)</f>
        <v>24</v>
      </c>
      <c r="G9" s="67">
        <f>COUNTIFS('Finance Procurement'!$H$5:$H$500,"&lt;&gt;")</f>
        <v>0</v>
      </c>
      <c r="H9" s="67">
        <f t="shared" si="0"/>
        <v>24</v>
      </c>
      <c r="I9" s="68">
        <f t="shared" si="1"/>
        <v>0</v>
      </c>
      <c r="J9" s="67">
        <f>COUNTIF('Finance Procurement'!$L$5:$L$500,"Critical")+COUNTIF('Finance Procurement'!$L$5:$L$500,"High")</f>
        <v>0</v>
      </c>
      <c r="K9" s="67">
        <f>SUMPRODUCT(--(('Finance Procurement'!$L$5:$L$500="Critical")+('Finance Procurement'!$L$5:$L$500="High")&gt;0),--('Finance Procurement'!$U$5:$U$500=""))</f>
        <v>0</v>
      </c>
    </row>
    <row r="10" spans="1:14" ht="25.5">
      <c r="A10" s="65" t="s">
        <v>14497</v>
      </c>
      <c r="B10" s="66">
        <f>COUNTIF($K$20:$K$426,"Missing owner")</f>
        <v>0</v>
      </c>
      <c r="C10" s="67" t="s">
        <v>14498</v>
      </c>
      <c r="E10" s="67" t="s">
        <v>69</v>
      </c>
      <c r="F10" s="67">
        <f>COUNTA('Legal Risk'!$A$5:$A$500)</f>
        <v>20</v>
      </c>
      <c r="G10" s="67">
        <f>COUNTIFS('Legal Risk'!$H$5:$H$500,"&lt;&gt;")</f>
        <v>0</v>
      </c>
      <c r="H10" s="67">
        <f t="shared" si="0"/>
        <v>20</v>
      </c>
      <c r="I10" s="68">
        <f t="shared" si="1"/>
        <v>0</v>
      </c>
      <c r="J10" s="67">
        <f>COUNTIF('Legal Risk'!$L$5:$L$500,"Critical")+COUNTIF('Legal Risk'!$L$5:$L$500,"High")</f>
        <v>0</v>
      </c>
      <c r="K10" s="67">
        <f>SUMPRODUCT(--(('Legal Risk'!$L$5:$L$500="Critical")+('Legal Risk'!$L$5:$L$500="High")&gt;0),--('Legal Risk'!$U$5:$U$500=""))</f>
        <v>0</v>
      </c>
    </row>
    <row r="11" spans="1:14" ht="45">
      <c r="A11" s="78" t="s">
        <v>508</v>
      </c>
      <c r="B11" s="82" t="str">
        <f>'Company Profile'!$B$9</f>
        <v>IT Services</v>
      </c>
      <c r="C11" s="52" t="s">
        <v>14499</v>
      </c>
      <c r="E11" s="67" t="s">
        <v>72</v>
      </c>
      <c r="F11" s="67">
        <f>COUNTA('Physical Safety'!$A$5:$A$500)</f>
        <v>28</v>
      </c>
      <c r="G11" s="67">
        <f>COUNTIFS('Physical Safety'!$H$5:$H$500,"&lt;&gt;")</f>
        <v>0</v>
      </c>
      <c r="H11" s="67">
        <f t="shared" si="0"/>
        <v>28</v>
      </c>
      <c r="I11" s="68">
        <f t="shared" si="1"/>
        <v>0</v>
      </c>
      <c r="J11" s="67">
        <f>COUNTIF('Physical Safety'!$L$5:$L$500,"Critical")+COUNTIF('Physical Safety'!$L$5:$L$500,"High")</f>
        <v>0</v>
      </c>
      <c r="K11" s="67">
        <f>SUMPRODUCT(--(('Physical Safety'!$L$5:$L$500="Critical")+('Physical Safety'!$L$5:$L$500="High")&gt;0),--('Physical Safety'!$U$5:$U$500=""))</f>
        <v>0</v>
      </c>
    </row>
    <row r="12" spans="1:14" ht="30">
      <c r="A12" s="78" t="s">
        <v>14500</v>
      </c>
      <c r="B12" s="62">
        <f>COUNTIF(_TECH_Industry_Templates!$A:$A,'Company Profile'!$B$9)</f>
        <v>17</v>
      </c>
      <c r="C12" s="52" t="s">
        <v>14501</v>
      </c>
      <c r="E12" s="67" t="s">
        <v>75</v>
      </c>
      <c r="F12" s="67">
        <f>COUNTA('Delivery Ops'!$A$5:$A$500)</f>
        <v>24</v>
      </c>
      <c r="G12" s="67">
        <f>COUNTIFS('Delivery Ops'!$H$5:$H$500,"&lt;&gt;")</f>
        <v>0</v>
      </c>
      <c r="H12" s="67">
        <f t="shared" si="0"/>
        <v>24</v>
      </c>
      <c r="I12" s="68">
        <f t="shared" si="1"/>
        <v>0</v>
      </c>
      <c r="J12" s="67">
        <f>COUNTIF('Delivery Ops'!$L$5:$L$500,"Critical")+COUNTIF('Delivery Ops'!$L$5:$L$500,"High")</f>
        <v>0</v>
      </c>
      <c r="K12" s="67">
        <f>SUMPRODUCT(--(('Delivery Ops'!$L$5:$L$500="Critical")+('Delivery Ops'!$L$5:$L$500="High")&gt;0),--('Delivery Ops'!$U$5:$U$500=""))</f>
        <v>0</v>
      </c>
    </row>
    <row r="13" spans="1:14" ht="45">
      <c r="A13" s="78" t="s">
        <v>170</v>
      </c>
      <c r="B13" s="62">
        <f>COUNTIF('Improved Scoring Model'!$I$6:$I$22,"Breach")</f>
        <v>0</v>
      </c>
      <c r="C13" s="52" t="s">
        <v>14502</v>
      </c>
      <c r="E13" s="67" t="s">
        <v>78</v>
      </c>
      <c r="F13" s="67">
        <f>COUNTA('Supply Chain'!$A$5:$A$500)</f>
        <v>25</v>
      </c>
      <c r="G13" s="67">
        <f>COUNTIFS('Supply Chain'!$H$5:$H$500,"&lt;&gt;")</f>
        <v>0</v>
      </c>
      <c r="H13" s="67">
        <f t="shared" si="0"/>
        <v>25</v>
      </c>
      <c r="I13" s="68">
        <f t="shared" si="1"/>
        <v>0</v>
      </c>
      <c r="J13" s="67">
        <f>COUNTIF('Supply Chain'!$L$5:$L$500,"Critical")+COUNTIF('Supply Chain'!$L$5:$L$500,"High")</f>
        <v>0</v>
      </c>
      <c r="K13" s="67">
        <f>SUMPRODUCT(--(('Supply Chain'!$L$5:$L$500="Critical")+('Supply Chain'!$L$5:$L$500="High")&gt;0),--('Supply Chain'!$U$5:$U$500=""))</f>
        <v>0</v>
      </c>
    </row>
    <row r="14" spans="1:14" ht="42.75">
      <c r="A14" s="78" t="s">
        <v>14503</v>
      </c>
      <c r="B14" s="48">
        <f>COUNTIF('Improved Scoring Model'!$E$6:$E$22,"&gt;1")</f>
        <v>0</v>
      </c>
      <c r="C14" s="48" t="s">
        <v>14504</v>
      </c>
      <c r="E14" s="67" t="s">
        <v>81</v>
      </c>
      <c r="F14" s="67">
        <f>COUNTA('Manufacturing MES'!$A$5:$A$500)</f>
        <v>28</v>
      </c>
      <c r="G14" s="67">
        <f>COUNTIFS('Manufacturing MES'!$H$5:$H$500,"&lt;&gt;")</f>
        <v>0</v>
      </c>
      <c r="H14" s="67">
        <f t="shared" si="0"/>
        <v>28</v>
      </c>
      <c r="I14" s="68">
        <f t="shared" si="1"/>
        <v>0</v>
      </c>
      <c r="J14" s="67">
        <f>COUNTIF('Manufacturing MES'!$L$5:$L$500,"Critical")+COUNTIF('Manufacturing MES'!$L$5:$L$500,"High")</f>
        <v>0</v>
      </c>
      <c r="K14" s="67">
        <f>SUMPRODUCT(--(('Manufacturing MES'!$L$5:$L$500="Critical")+('Manufacturing MES'!$L$5:$L$500="High")&gt;0),--('Manufacturing MES'!$U$5:$U$500=""))</f>
        <v>0</v>
      </c>
    </row>
    <row r="15" spans="1:14" ht="60">
      <c r="A15" s="78" t="s">
        <v>14505</v>
      </c>
      <c r="B15" s="48">
        <f>SUMPRODUCT(--((('Company Geography'!$L$5:$L$24="Critical")+('Company Geography'!$L$5:$L$24="High"))&gt;0),--('Company Geography'!$AH$5:$AH$24=""))+SUMPRODUCT(--((('Strategy GTM'!$L$5:$L$28="Critical")+('Strategy GTM'!$L$5:$L$28="High"))&gt;0),--('Strategy GTM'!$AH$5:$AH$28=""))+SUMPRODUCT(--((('Governance Crisis'!$L$5:$L$23="Critical")+('Governance Crisis'!$L$5:$L$23="High"))&gt;0),--('Governance Crisis'!$AH$5:$AH$23=""))+SUMPRODUCT(--((('HR Workforce'!$L$5:$L$28="Critical")+('HR Workforce'!$L$5:$L$28="High"))&gt;0),--('HR Workforce'!$AH$5:$AH$28=""))+SUMPRODUCT(--((('Finance Procurement'!$L$5:$L$28="Critical")+('Finance Procurement'!$L$5:$L$28="High"))&gt;0),--('Finance Procurement'!$AH$5:$AH$28=""))+SUMPRODUCT(--((('Legal Risk'!$L$5:$L$24="Critical")+('Legal Risk'!$L$5:$L$24="High"))&gt;0),--('Legal Risk'!$AH$5:$AH$24=""))+SUMPRODUCT(--((('Physical Safety'!$L$5:$L$32="Critical")+('Physical Safety'!$L$5:$L$32="High"))&gt;0),--('Physical Safety'!$AH$5:$AH$32=""))+SUMPRODUCT(--((('Delivery Ops'!$L$5:$L$28="Critical")+('Delivery Ops'!$L$5:$L$28="High"))&gt;0),--('Delivery Ops'!$AH$5:$AH$28=""))+SUMPRODUCT(--((('Supply Chain'!$L$5:$L$29="Critical")+('Supply Chain'!$L$5:$L$29="High"))&gt;0),--('Supply Chain'!$AH$5:$AH$29=""))+SUMPRODUCT(--((('Manufacturing MES'!$L$5:$L$32="Critical")+('Manufacturing MES'!$L$5:$L$32="High"))&gt;0),--('Manufacturing MES'!$AH$5:$AH$32=""))+SUMPRODUCT(--((('Sales CRM'!$L$5:$L$25="Critical")+('Sales CRM'!$L$5:$L$25="High"))&gt;0),--('Sales CRM'!$AH$5:$AH$25=""))+SUMPRODUCT(--((('Marketing Comms'!$L$5:$L$21="Critical")+('Marketing Comms'!$L$5:$L$21="High"))&gt;0),--('Marketing Comms'!$AH$5:$AH$21=""))+SUMPRODUCT(--((('IT Cloud DR'!$L$5:$L$33="Critical")+('IT Cloud DR'!$L$5:$L$33="High"))&gt;0),--('IT Cloud DR'!$AH$5:$AH$33=""))+SUMPRODUCT(--((('Business Systems'!$L$5:$L$27="Critical")+('Business Systems'!$L$5:$L$27="High"))&gt;0),--('Business Systems'!$AH$5:$AH$27=""))+SUMPRODUCT(--((('Data BI AI'!$L$5:$L$31="Critical")+('Data BI AI'!$L$5:$L$31="High"))&gt;0),--('Data BI AI'!$AH$5:$AH$31=""))+SUMPRODUCT(--((('Cyber Privacy'!$L$5:$L$38="Critical")+('Cyber Privacy'!$L$5:$L$38="High"))&gt;0),--('Cyber Privacy'!$AH$5:$AH$38=""))+SUMPRODUCT(--((('Quality Portfolio'!$L$5:$L$24="Critical")+('Quality Portfolio'!$L$5:$L$24="High"))&gt;0),--('Quality Portfolio'!$AH$5:$AH$24=""))</f>
        <v>0</v>
      </c>
      <c r="C15" s="48" t="s">
        <v>14506</v>
      </c>
      <c r="E15" s="67" t="s">
        <v>84</v>
      </c>
      <c r="F15" s="67">
        <f>COUNTA('Sales CRM'!$A$5:$A$500)</f>
        <v>21</v>
      </c>
      <c r="G15" s="67">
        <f>COUNTIFS('Sales CRM'!$H$5:$H$500,"&lt;&gt;")</f>
        <v>0</v>
      </c>
      <c r="H15" s="67">
        <f t="shared" si="0"/>
        <v>21</v>
      </c>
      <c r="I15" s="68">
        <f t="shared" si="1"/>
        <v>0</v>
      </c>
      <c r="J15" s="67">
        <f>COUNTIF('Sales CRM'!$L$5:$L$500,"Critical")+COUNTIF('Sales CRM'!$L$5:$L$500,"High")</f>
        <v>0</v>
      </c>
      <c r="K15" s="67">
        <f>SUMPRODUCT(--(('Sales CRM'!$L$5:$L$500="Critical")+('Sales CRM'!$L$5:$L$500="High")&gt;0),--('Sales CRM'!$U$5:$U$500=""))</f>
        <v>0</v>
      </c>
    </row>
    <row r="16" spans="1:14" ht="60">
      <c r="A16" s="78" t="s">
        <v>14507</v>
      </c>
      <c r="B16" s="48">
        <f>SUMPRODUCT(--((('Company Geography'!$L$5:$L$24="Critical")+('Company Geography'!$L$5:$L$24="High"))&gt;0),--('Company Geography'!$AI$5:$AI$24=""))+SUMPRODUCT(--((('Strategy GTM'!$L$5:$L$28="Critical")+('Strategy GTM'!$L$5:$L$28="High"))&gt;0),--('Strategy GTM'!$AI$5:$AI$28=""))+SUMPRODUCT(--((('Governance Crisis'!$L$5:$L$23="Critical")+('Governance Crisis'!$L$5:$L$23="High"))&gt;0),--('Governance Crisis'!$AI$5:$AI$23=""))+SUMPRODUCT(--((('HR Workforce'!$L$5:$L$28="Critical")+('HR Workforce'!$L$5:$L$28="High"))&gt;0),--('HR Workforce'!$AI$5:$AI$28=""))+SUMPRODUCT(--((('Finance Procurement'!$L$5:$L$28="Critical")+('Finance Procurement'!$L$5:$L$28="High"))&gt;0),--('Finance Procurement'!$AI$5:$AI$28=""))+SUMPRODUCT(--((('Legal Risk'!$L$5:$L$24="Critical")+('Legal Risk'!$L$5:$L$24="High"))&gt;0),--('Legal Risk'!$AI$5:$AI$24=""))+SUMPRODUCT(--((('Physical Safety'!$L$5:$L$32="Critical")+('Physical Safety'!$L$5:$L$32="High"))&gt;0),--('Physical Safety'!$AI$5:$AI$32=""))+SUMPRODUCT(--((('Delivery Ops'!$L$5:$L$28="Critical")+('Delivery Ops'!$L$5:$L$28="High"))&gt;0),--('Delivery Ops'!$AI$5:$AI$28=""))+SUMPRODUCT(--((('Supply Chain'!$L$5:$L$29="Critical")+('Supply Chain'!$L$5:$L$29="High"))&gt;0),--('Supply Chain'!$AI$5:$AI$29=""))+SUMPRODUCT(--((('Manufacturing MES'!$L$5:$L$32="Critical")+('Manufacturing MES'!$L$5:$L$32="High"))&gt;0),--('Manufacturing MES'!$AI$5:$AI$32=""))+SUMPRODUCT(--((('Sales CRM'!$L$5:$L$25="Critical")+('Sales CRM'!$L$5:$L$25="High"))&gt;0),--('Sales CRM'!$AI$5:$AI$25=""))+SUMPRODUCT(--((('Marketing Comms'!$L$5:$L$21="Critical")+('Marketing Comms'!$L$5:$L$21="High"))&gt;0),--('Marketing Comms'!$AI$5:$AI$21=""))+SUMPRODUCT(--((('IT Cloud DR'!$L$5:$L$33="Critical")+('IT Cloud DR'!$L$5:$L$33="High"))&gt;0),--('IT Cloud DR'!$AI$5:$AI$33=""))+SUMPRODUCT(--((('Business Systems'!$L$5:$L$27="Critical")+('Business Systems'!$L$5:$L$27="High"))&gt;0),--('Business Systems'!$AI$5:$AI$27=""))+SUMPRODUCT(--((('Data BI AI'!$L$5:$L$31="Critical")+('Data BI AI'!$L$5:$L$31="High"))&gt;0),--('Data BI AI'!$AI$5:$AI$31=""))+SUMPRODUCT(--((('Cyber Privacy'!$L$5:$L$38="Critical")+('Cyber Privacy'!$L$5:$L$38="High"))&gt;0),--('Cyber Privacy'!$AI$5:$AI$38=""))+SUMPRODUCT(--((('Quality Portfolio'!$L$5:$L$24="Critical")+('Quality Portfolio'!$L$5:$L$24="High"))&gt;0),--('Quality Portfolio'!$AI$5:$AI$24=""))</f>
        <v>0</v>
      </c>
      <c r="C16" s="48" t="s">
        <v>14508</v>
      </c>
      <c r="E16" s="67" t="s">
        <v>87</v>
      </c>
      <c r="F16" s="67">
        <f>COUNTA('Marketing Comms'!$A$5:$A$500)</f>
        <v>17</v>
      </c>
      <c r="G16" s="67">
        <f>COUNTIFS('Marketing Comms'!$H$5:$H$500,"&lt;&gt;")</f>
        <v>0</v>
      </c>
      <c r="H16" s="67">
        <f t="shared" si="0"/>
        <v>17</v>
      </c>
      <c r="I16" s="68">
        <f t="shared" si="1"/>
        <v>0</v>
      </c>
      <c r="J16" s="67">
        <f>COUNTIF('Marketing Comms'!$L$5:$L$500,"Critical")+COUNTIF('Marketing Comms'!$L$5:$L$500,"High")</f>
        <v>0</v>
      </c>
      <c r="K16" s="67">
        <f>SUMPRODUCT(--(('Marketing Comms'!$L$5:$L$500="Critical")+('Marketing Comms'!$L$5:$L$500="High")&gt;0),--('Marketing Comms'!$U$5:$U$500=""))</f>
        <v>0</v>
      </c>
    </row>
    <row r="17" spans="1:14">
      <c r="E17" s="67" t="s">
        <v>90</v>
      </c>
      <c r="F17" s="67">
        <f>COUNTA('IT Cloud DR'!$A$5:$A$500)</f>
        <v>29</v>
      </c>
      <c r="G17" s="67">
        <f>COUNTIFS('IT Cloud DR'!$H$5:$H$500,"&lt;&gt;")</f>
        <v>0</v>
      </c>
      <c r="H17" s="67">
        <f t="shared" si="0"/>
        <v>29</v>
      </c>
      <c r="I17" s="68">
        <f t="shared" si="1"/>
        <v>0</v>
      </c>
      <c r="J17" s="67">
        <f>COUNTIF('IT Cloud DR'!$L$5:$L$500,"Critical")+COUNTIF('IT Cloud DR'!$L$5:$L$500,"High")</f>
        <v>0</v>
      </c>
      <c r="K17" s="67">
        <f>SUMPRODUCT(--(('IT Cloud DR'!$L$5:$L$500="Critical")+('IT Cloud DR'!$L$5:$L$500="High")&gt;0),--('IT Cloud DR'!$U$5:$U$500=""))</f>
        <v>0</v>
      </c>
    </row>
    <row r="18" spans="1:14">
      <c r="E18" s="67" t="s">
        <v>91</v>
      </c>
      <c r="F18" s="67">
        <f>COUNTA('Business Systems'!$A$5:$A$500)</f>
        <v>23</v>
      </c>
      <c r="G18" s="67">
        <f>COUNTIFS('Business Systems'!$H$5:$H$500,"&lt;&gt;")</f>
        <v>0</v>
      </c>
      <c r="H18" s="67">
        <f t="shared" si="0"/>
        <v>23</v>
      </c>
      <c r="I18" s="68">
        <f t="shared" si="1"/>
        <v>0</v>
      </c>
      <c r="J18" s="67">
        <f>COUNTIF('Business Systems'!$L$5:$L$500,"Critical")+COUNTIF('Business Systems'!$L$5:$L$500,"High")</f>
        <v>0</v>
      </c>
      <c r="K18" s="67">
        <f>SUMPRODUCT(--(('Business Systems'!$L$5:$L$500="Critical")+('Business Systems'!$L$5:$L$500="High")&gt;0),--('Business Systems'!$U$5:$U$500=""))</f>
        <v>0</v>
      </c>
    </row>
    <row r="19" spans="1:14" ht="30" customHeight="1">
      <c r="A19" s="50" t="s">
        <v>6037</v>
      </c>
      <c r="B19" s="50" t="s">
        <v>36</v>
      </c>
      <c r="C19" s="50" t="s">
        <v>759</v>
      </c>
      <c r="D19" s="50" t="s">
        <v>1819</v>
      </c>
      <c r="E19" s="50" t="s">
        <v>256</v>
      </c>
      <c r="F19" s="50" t="s">
        <v>222</v>
      </c>
      <c r="G19" s="50" t="s">
        <v>1832</v>
      </c>
      <c r="H19" s="50" t="s">
        <v>1833</v>
      </c>
      <c r="I19" s="69" t="s">
        <v>14509</v>
      </c>
      <c r="J19" s="50" t="s">
        <v>14510</v>
      </c>
      <c r="K19" s="50" t="s">
        <v>14511</v>
      </c>
      <c r="L19" s="50" t="s">
        <v>14512</v>
      </c>
      <c r="M19" s="50" t="s">
        <v>14513</v>
      </c>
      <c r="N19" s="50" t="s">
        <v>14479</v>
      </c>
    </row>
    <row r="20" spans="1:14" ht="51">
      <c r="A20" s="64" t="s">
        <v>1851</v>
      </c>
      <c r="B20" s="64" t="s">
        <v>54</v>
      </c>
      <c r="C20" s="64" t="s">
        <v>998</v>
      </c>
      <c r="D20" s="64" t="s">
        <v>1852</v>
      </c>
      <c r="E20" s="64">
        <f>'Company Geography'!$H$5</f>
        <v>0</v>
      </c>
      <c r="F20" s="64" t="str">
        <f>'Company Geography'!$L$5</f>
        <v/>
      </c>
      <c r="G20" s="64" t="str">
        <f>'Company Geography'!$T$5</f>
        <v>CEO / COO / Risk</v>
      </c>
      <c r="H20" s="64">
        <f>'Company Geography'!$U$5</f>
        <v>0</v>
      </c>
      <c r="I20" s="70" t="str">
        <f t="shared" ref="I20:I83" si="2">IF(E20="","Missing score",IF(E20="N/A","OK",IF(AND(ISNUMBER(VALUE(E20)),VALUE(E20)&gt;=0,VALUE(E20)&lt;=5),"OK","Invalid score")))</f>
        <v>OK</v>
      </c>
      <c r="J20" s="64" t="str">
        <f t="shared" ref="J20:J83" si="3">IF(OR(F20="Critical",F20="High"),IF(H20="","Missing comments for high/critical risk","OK"),"OK")</f>
        <v>OK</v>
      </c>
      <c r="K20" s="64" t="str">
        <f t="shared" ref="K20:K83" si="4">IF(G20="","Missing owner","OK")</f>
        <v>OK</v>
      </c>
      <c r="L20" s="64" t="str">
        <f>IF(AND(E20&lt;&gt;"",E20&lt;&gt;"N/A",VALUE(E20)&lt;5,COUNTIF('Executive Recommendations'!$A$8:$A$414,A20)=0),"Missing recommended action","OK")</f>
        <v>Missing recommended action</v>
      </c>
      <c r="M20" s="64" t="s">
        <v>1855</v>
      </c>
      <c r="N20" s="64" t="s">
        <v>6060</v>
      </c>
    </row>
    <row r="21" spans="1:14" ht="51">
      <c r="A21" s="52" t="s">
        <v>1865</v>
      </c>
      <c r="B21" s="52" t="s">
        <v>54</v>
      </c>
      <c r="C21" s="52" t="s">
        <v>998</v>
      </c>
      <c r="D21" s="52" t="s">
        <v>1866</v>
      </c>
      <c r="E21" s="52">
        <f>'Company Geography'!$H$6</f>
        <v>0</v>
      </c>
      <c r="F21" s="52" t="str">
        <f>'Company Geography'!$L$6</f>
        <v/>
      </c>
      <c r="G21" s="52" t="str">
        <f>'Company Geography'!$T$6</f>
        <v>CEO / COO / Risk</v>
      </c>
      <c r="H21" s="52">
        <f>'Company Geography'!$U$6</f>
        <v>0</v>
      </c>
      <c r="I21" s="71" t="str">
        <f t="shared" si="2"/>
        <v>OK</v>
      </c>
      <c r="J21" s="52" t="str">
        <f t="shared" si="3"/>
        <v>OK</v>
      </c>
      <c r="K21" s="52" t="str">
        <f t="shared" si="4"/>
        <v>OK</v>
      </c>
      <c r="L21" s="52" t="str">
        <f>IF(AND(E21&lt;&gt;"",E21&lt;&gt;"N/A",VALUE(E21)&lt;5,COUNTIF('Executive Recommendations'!$A$8:$A$414,A21)=0),"Missing recommended action","OK")</f>
        <v>Missing recommended action</v>
      </c>
      <c r="M21" s="52" t="s">
        <v>1867</v>
      </c>
      <c r="N21" s="52" t="s">
        <v>6067</v>
      </c>
    </row>
    <row r="22" spans="1:14" ht="51">
      <c r="A22" s="64" t="s">
        <v>1875</v>
      </c>
      <c r="B22" s="64" t="s">
        <v>54</v>
      </c>
      <c r="C22" s="64" t="s">
        <v>998</v>
      </c>
      <c r="D22" s="64" t="s">
        <v>1876</v>
      </c>
      <c r="E22" s="64">
        <f>'Company Geography'!$H$7</f>
        <v>0</v>
      </c>
      <c r="F22" s="64" t="str">
        <f>'Company Geography'!$L$7</f>
        <v/>
      </c>
      <c r="G22" s="64" t="str">
        <f>'Company Geography'!$T$7</f>
        <v>CEO / COO / Risk</v>
      </c>
      <c r="H22" s="64">
        <f>'Company Geography'!$U$7</f>
        <v>0</v>
      </c>
      <c r="I22" s="64" t="str">
        <f t="shared" si="2"/>
        <v>OK</v>
      </c>
      <c r="J22" s="64" t="str">
        <f t="shared" si="3"/>
        <v>OK</v>
      </c>
      <c r="K22" s="64" t="str">
        <f t="shared" si="4"/>
        <v>OK</v>
      </c>
      <c r="L22" s="64" t="str">
        <f>IF(AND(E22&lt;&gt;"",E22&lt;&gt;"N/A",VALUE(E22)&lt;5,COUNTIF('Executive Recommendations'!$A$8:$A$414,A22)=0),"Missing recommended action","OK")</f>
        <v>Missing recommended action</v>
      </c>
      <c r="M22" s="64" t="s">
        <v>1877</v>
      </c>
      <c r="N22" s="64" t="s">
        <v>6074</v>
      </c>
    </row>
    <row r="23" spans="1:14" ht="51">
      <c r="A23" s="52" t="s">
        <v>1885</v>
      </c>
      <c r="B23" s="52" t="s">
        <v>54</v>
      </c>
      <c r="C23" s="52" t="s">
        <v>998</v>
      </c>
      <c r="D23" s="52" t="s">
        <v>1886</v>
      </c>
      <c r="E23" s="52">
        <f>'Company Geography'!$H$8</f>
        <v>0</v>
      </c>
      <c r="F23" s="52" t="str">
        <f>'Company Geography'!$L$8</f>
        <v/>
      </c>
      <c r="G23" s="52" t="str">
        <f>'Company Geography'!$T$8</f>
        <v>CEO / COO / Risk</v>
      </c>
      <c r="H23" s="52">
        <f>'Company Geography'!$U$8</f>
        <v>0</v>
      </c>
      <c r="I23" s="52" t="str">
        <f t="shared" si="2"/>
        <v>OK</v>
      </c>
      <c r="J23" s="52" t="str">
        <f t="shared" si="3"/>
        <v>OK</v>
      </c>
      <c r="K23" s="52" t="str">
        <f t="shared" si="4"/>
        <v>OK</v>
      </c>
      <c r="L23" s="52" t="str">
        <f>IF(AND(E23&lt;&gt;"",E23&lt;&gt;"N/A",VALUE(E23)&lt;5,COUNTIF('Executive Recommendations'!$A$8:$A$414,A23)=0),"Missing recommended action","OK")</f>
        <v>Missing recommended action</v>
      </c>
      <c r="M23" s="52" t="s">
        <v>1887</v>
      </c>
      <c r="N23" s="52" t="s">
        <v>6081</v>
      </c>
    </row>
    <row r="24" spans="1:14" ht="51">
      <c r="A24" s="64" t="s">
        <v>1895</v>
      </c>
      <c r="B24" s="64" t="s">
        <v>54</v>
      </c>
      <c r="C24" s="64" t="s">
        <v>998</v>
      </c>
      <c r="D24" s="64" t="s">
        <v>1896</v>
      </c>
      <c r="E24" s="64">
        <f>'Company Geography'!$H$9</f>
        <v>0</v>
      </c>
      <c r="F24" s="64" t="str">
        <f>'Company Geography'!$L$9</f>
        <v/>
      </c>
      <c r="G24" s="64" t="str">
        <f>'Company Geography'!$T$9</f>
        <v>CEO / COO / Risk</v>
      </c>
      <c r="H24" s="64">
        <f>'Company Geography'!$U$9</f>
        <v>0</v>
      </c>
      <c r="I24" s="64" t="str">
        <f t="shared" si="2"/>
        <v>OK</v>
      </c>
      <c r="J24" s="64" t="str">
        <f t="shared" si="3"/>
        <v>OK</v>
      </c>
      <c r="K24" s="64" t="str">
        <f t="shared" si="4"/>
        <v>OK</v>
      </c>
      <c r="L24" s="64" t="str">
        <f>IF(AND(E24&lt;&gt;"",E24&lt;&gt;"N/A",VALUE(E24)&lt;5,COUNTIF('Executive Recommendations'!$A$8:$A$414,A24)=0),"Missing recommended action","OK")</f>
        <v>Missing recommended action</v>
      </c>
      <c r="M24" s="64" t="s">
        <v>1897</v>
      </c>
      <c r="N24" s="64" t="s">
        <v>6088</v>
      </c>
    </row>
    <row r="25" spans="1:14" ht="51">
      <c r="A25" s="52" t="s">
        <v>1905</v>
      </c>
      <c r="B25" s="52" t="s">
        <v>54</v>
      </c>
      <c r="C25" s="52" t="s">
        <v>998</v>
      </c>
      <c r="D25" s="52" t="s">
        <v>1906</v>
      </c>
      <c r="E25" s="52">
        <f>'Company Geography'!$H$10</f>
        <v>0</v>
      </c>
      <c r="F25" s="52" t="str">
        <f>'Company Geography'!$L$10</f>
        <v/>
      </c>
      <c r="G25" s="52" t="str">
        <f>'Company Geography'!$T$10</f>
        <v>CEO / COO / Risk</v>
      </c>
      <c r="H25" s="52">
        <f>'Company Geography'!$U$10</f>
        <v>0</v>
      </c>
      <c r="I25" s="52" t="str">
        <f t="shared" si="2"/>
        <v>OK</v>
      </c>
      <c r="J25" s="52" t="str">
        <f t="shared" si="3"/>
        <v>OK</v>
      </c>
      <c r="K25" s="52" t="str">
        <f t="shared" si="4"/>
        <v>OK</v>
      </c>
      <c r="L25" s="52" t="str">
        <f>IF(AND(E25&lt;&gt;"",E25&lt;&gt;"N/A",VALUE(E25)&lt;5,COUNTIF('Executive Recommendations'!$A$8:$A$414,A25)=0),"Missing recommended action","OK")</f>
        <v>Missing recommended action</v>
      </c>
      <c r="M25" s="52" t="s">
        <v>1907</v>
      </c>
      <c r="N25" s="52" t="s">
        <v>6095</v>
      </c>
    </row>
    <row r="26" spans="1:14" ht="51">
      <c r="A26" s="64" t="s">
        <v>1915</v>
      </c>
      <c r="B26" s="64" t="s">
        <v>54</v>
      </c>
      <c r="C26" s="64" t="s">
        <v>998</v>
      </c>
      <c r="D26" s="64" t="s">
        <v>1916</v>
      </c>
      <c r="E26" s="64">
        <f>'Company Geography'!$H$11</f>
        <v>0</v>
      </c>
      <c r="F26" s="64" t="str">
        <f>'Company Geography'!$L$11</f>
        <v/>
      </c>
      <c r="G26" s="64" t="str">
        <f>'Company Geography'!$T$11</f>
        <v>CEO / COO / Risk</v>
      </c>
      <c r="H26" s="64">
        <f>'Company Geography'!$U$11</f>
        <v>0</v>
      </c>
      <c r="I26" s="64" t="str">
        <f t="shared" si="2"/>
        <v>OK</v>
      </c>
      <c r="J26" s="64" t="str">
        <f t="shared" si="3"/>
        <v>OK</v>
      </c>
      <c r="K26" s="64" t="str">
        <f t="shared" si="4"/>
        <v>OK</v>
      </c>
      <c r="L26" s="64" t="str">
        <f>IF(AND(E26&lt;&gt;"",E26&lt;&gt;"N/A",VALUE(E26)&lt;5,COUNTIF('Executive Recommendations'!$A$8:$A$414,A26)=0),"Missing recommended action","OK")</f>
        <v>Missing recommended action</v>
      </c>
      <c r="M26" s="64" t="s">
        <v>1917</v>
      </c>
      <c r="N26" s="64" t="s">
        <v>6102</v>
      </c>
    </row>
    <row r="27" spans="1:14" ht="51">
      <c r="A27" s="52" t="s">
        <v>1925</v>
      </c>
      <c r="B27" s="52" t="s">
        <v>54</v>
      </c>
      <c r="C27" s="52" t="s">
        <v>1016</v>
      </c>
      <c r="D27" s="52" t="s">
        <v>1926</v>
      </c>
      <c r="E27" s="52">
        <f>'Company Geography'!$H$12</f>
        <v>0</v>
      </c>
      <c r="F27" s="52" t="str">
        <f>'Company Geography'!$L$12</f>
        <v/>
      </c>
      <c r="G27" s="52" t="str">
        <f>'Company Geography'!$T$12</f>
        <v>CEO / COO / Risk</v>
      </c>
      <c r="H27" s="52">
        <f>'Company Geography'!$U$12</f>
        <v>0</v>
      </c>
      <c r="I27" s="52" t="str">
        <f t="shared" si="2"/>
        <v>OK</v>
      </c>
      <c r="J27" s="52" t="str">
        <f t="shared" si="3"/>
        <v>OK</v>
      </c>
      <c r="K27" s="52" t="str">
        <f t="shared" si="4"/>
        <v>OK</v>
      </c>
      <c r="L27" s="52" t="str">
        <f>IF(AND(E27&lt;&gt;"",E27&lt;&gt;"N/A",VALUE(E27)&lt;5,COUNTIF('Executive Recommendations'!$A$8:$A$414,A27)=0),"Missing recommended action","OK")</f>
        <v>Missing recommended action</v>
      </c>
      <c r="M27" s="52" t="s">
        <v>1927</v>
      </c>
      <c r="N27" s="52" t="s">
        <v>6110</v>
      </c>
    </row>
    <row r="28" spans="1:14" ht="51">
      <c r="A28" s="64" t="s">
        <v>1935</v>
      </c>
      <c r="B28" s="64" t="s">
        <v>54</v>
      </c>
      <c r="C28" s="64" t="s">
        <v>1016</v>
      </c>
      <c r="D28" s="64" t="s">
        <v>1936</v>
      </c>
      <c r="E28" s="64">
        <f>'Company Geography'!$H$13</f>
        <v>0</v>
      </c>
      <c r="F28" s="64" t="str">
        <f>'Company Geography'!$L$13</f>
        <v/>
      </c>
      <c r="G28" s="64" t="str">
        <f>'Company Geography'!$T$13</f>
        <v>CEO / COO / Risk</v>
      </c>
      <c r="H28" s="64">
        <f>'Company Geography'!$U$13</f>
        <v>0</v>
      </c>
      <c r="I28" s="64" t="str">
        <f t="shared" si="2"/>
        <v>OK</v>
      </c>
      <c r="J28" s="64" t="str">
        <f t="shared" si="3"/>
        <v>OK</v>
      </c>
      <c r="K28" s="64" t="str">
        <f t="shared" si="4"/>
        <v>OK</v>
      </c>
      <c r="L28" s="64" t="str">
        <f>IF(AND(E28&lt;&gt;"",E28&lt;&gt;"N/A",VALUE(E28)&lt;5,COUNTIF('Executive Recommendations'!$A$8:$A$414,A28)=0),"Missing recommended action","OK")</f>
        <v>Missing recommended action</v>
      </c>
      <c r="M28" s="64" t="s">
        <v>1937</v>
      </c>
      <c r="N28" s="64" t="s">
        <v>6117</v>
      </c>
    </row>
    <row r="29" spans="1:14" ht="51">
      <c r="A29" s="52" t="s">
        <v>1945</v>
      </c>
      <c r="B29" s="52" t="s">
        <v>54</v>
      </c>
      <c r="C29" s="52" t="s">
        <v>1016</v>
      </c>
      <c r="D29" s="52" t="s">
        <v>1946</v>
      </c>
      <c r="E29" s="52">
        <f>'Company Geography'!$H$14</f>
        <v>0</v>
      </c>
      <c r="F29" s="52" t="str">
        <f>'Company Geography'!$L$14</f>
        <v/>
      </c>
      <c r="G29" s="52" t="str">
        <f>'Company Geography'!$T$14</f>
        <v>CEO / COO / Risk</v>
      </c>
      <c r="H29" s="52">
        <f>'Company Geography'!$U$14</f>
        <v>0</v>
      </c>
      <c r="I29" s="52" t="str">
        <f t="shared" si="2"/>
        <v>OK</v>
      </c>
      <c r="J29" s="52" t="str">
        <f t="shared" si="3"/>
        <v>OK</v>
      </c>
      <c r="K29" s="52" t="str">
        <f t="shared" si="4"/>
        <v>OK</v>
      </c>
      <c r="L29" s="52" t="str">
        <f>IF(AND(E29&lt;&gt;"",E29&lt;&gt;"N/A",VALUE(E29)&lt;5,COUNTIF('Executive Recommendations'!$A$8:$A$414,A29)=0),"Missing recommended action","OK")</f>
        <v>Missing recommended action</v>
      </c>
      <c r="M29" s="52" t="s">
        <v>1947</v>
      </c>
      <c r="N29" s="52" t="s">
        <v>6124</v>
      </c>
    </row>
    <row r="30" spans="1:14" ht="51">
      <c r="A30" s="64" t="s">
        <v>1955</v>
      </c>
      <c r="B30" s="64" t="s">
        <v>54</v>
      </c>
      <c r="C30" s="64" t="s">
        <v>1016</v>
      </c>
      <c r="D30" s="64" t="s">
        <v>1956</v>
      </c>
      <c r="E30" s="64">
        <f>'Company Geography'!$H$15</f>
        <v>0</v>
      </c>
      <c r="F30" s="64" t="str">
        <f>'Company Geography'!$L$15</f>
        <v/>
      </c>
      <c r="G30" s="64" t="str">
        <f>'Company Geography'!$T$15</f>
        <v>CEO / COO / Risk</v>
      </c>
      <c r="H30" s="64">
        <f>'Company Geography'!$U$15</f>
        <v>0</v>
      </c>
      <c r="I30" s="64" t="str">
        <f t="shared" si="2"/>
        <v>OK</v>
      </c>
      <c r="J30" s="64" t="str">
        <f t="shared" si="3"/>
        <v>OK</v>
      </c>
      <c r="K30" s="64" t="str">
        <f t="shared" si="4"/>
        <v>OK</v>
      </c>
      <c r="L30" s="64" t="str">
        <f>IF(AND(E30&lt;&gt;"",E30&lt;&gt;"N/A",VALUE(E30)&lt;5,COUNTIF('Executive Recommendations'!$A$8:$A$414,A30)=0),"Missing recommended action","OK")</f>
        <v>Missing recommended action</v>
      </c>
      <c r="M30" s="64" t="s">
        <v>1957</v>
      </c>
      <c r="N30" s="64" t="s">
        <v>6131</v>
      </c>
    </row>
    <row r="31" spans="1:14" ht="51">
      <c r="A31" s="52" t="s">
        <v>1965</v>
      </c>
      <c r="B31" s="52" t="s">
        <v>54</v>
      </c>
      <c r="C31" s="52" t="s">
        <v>1016</v>
      </c>
      <c r="D31" s="52" t="s">
        <v>1966</v>
      </c>
      <c r="E31" s="52">
        <f>'Company Geography'!$H$16</f>
        <v>0</v>
      </c>
      <c r="F31" s="52" t="str">
        <f>'Company Geography'!$L$16</f>
        <v/>
      </c>
      <c r="G31" s="52" t="str">
        <f>'Company Geography'!$T$16</f>
        <v>CEO / COO / Risk</v>
      </c>
      <c r="H31" s="52">
        <f>'Company Geography'!$U$16</f>
        <v>0</v>
      </c>
      <c r="I31" s="52" t="str">
        <f t="shared" si="2"/>
        <v>OK</v>
      </c>
      <c r="J31" s="52" t="str">
        <f t="shared" si="3"/>
        <v>OK</v>
      </c>
      <c r="K31" s="52" t="str">
        <f t="shared" si="4"/>
        <v>OK</v>
      </c>
      <c r="L31" s="52" t="str">
        <f>IF(AND(E31&lt;&gt;"",E31&lt;&gt;"N/A",VALUE(E31)&lt;5,COUNTIF('Executive Recommendations'!$A$8:$A$414,A31)=0),"Missing recommended action","OK")</f>
        <v>Missing recommended action</v>
      </c>
      <c r="M31" s="52" t="s">
        <v>1967</v>
      </c>
      <c r="N31" s="52" t="s">
        <v>6138</v>
      </c>
    </row>
    <row r="32" spans="1:14" ht="63.75">
      <c r="A32" s="64" t="s">
        <v>1975</v>
      </c>
      <c r="B32" s="64" t="s">
        <v>54</v>
      </c>
      <c r="C32" s="64" t="s">
        <v>1016</v>
      </c>
      <c r="D32" s="64" t="s">
        <v>1976</v>
      </c>
      <c r="E32" s="64">
        <f>'Company Geography'!$H$17</f>
        <v>0</v>
      </c>
      <c r="F32" s="64" t="str">
        <f>'Company Geography'!$L$17</f>
        <v/>
      </c>
      <c r="G32" s="64" t="str">
        <f>'Company Geography'!$T$17</f>
        <v>CEO / COO / Risk</v>
      </c>
      <c r="H32" s="64">
        <f>'Company Geography'!$U$17</f>
        <v>0</v>
      </c>
      <c r="I32" s="64" t="str">
        <f t="shared" si="2"/>
        <v>OK</v>
      </c>
      <c r="J32" s="64" t="str">
        <f t="shared" si="3"/>
        <v>OK</v>
      </c>
      <c r="K32" s="64" t="str">
        <f t="shared" si="4"/>
        <v>OK</v>
      </c>
      <c r="L32" s="64" t="str">
        <f>IF(AND(E32&lt;&gt;"",E32&lt;&gt;"N/A",VALUE(E32)&lt;5,COUNTIF('Executive Recommendations'!$A$8:$A$414,A32)=0),"Missing recommended action","OK")</f>
        <v>Missing recommended action</v>
      </c>
      <c r="M32" s="64" t="s">
        <v>1977</v>
      </c>
      <c r="N32" s="64" t="s">
        <v>6145</v>
      </c>
    </row>
    <row r="33" spans="1:14" ht="51">
      <c r="A33" s="52" t="s">
        <v>1985</v>
      </c>
      <c r="B33" s="52" t="s">
        <v>54</v>
      </c>
      <c r="C33" s="52" t="s">
        <v>1016</v>
      </c>
      <c r="D33" s="52" t="s">
        <v>1986</v>
      </c>
      <c r="E33" s="52">
        <f>'Company Geography'!$H$18</f>
        <v>0</v>
      </c>
      <c r="F33" s="52" t="str">
        <f>'Company Geography'!$L$18</f>
        <v/>
      </c>
      <c r="G33" s="52" t="str">
        <f>'Company Geography'!$T$18</f>
        <v>CEO / COO / Risk</v>
      </c>
      <c r="H33" s="52">
        <f>'Company Geography'!$U$18</f>
        <v>0</v>
      </c>
      <c r="I33" s="52" t="str">
        <f t="shared" si="2"/>
        <v>OK</v>
      </c>
      <c r="J33" s="52" t="str">
        <f t="shared" si="3"/>
        <v>OK</v>
      </c>
      <c r="K33" s="52" t="str">
        <f t="shared" si="4"/>
        <v>OK</v>
      </c>
      <c r="L33" s="52" t="str">
        <f>IF(AND(E33&lt;&gt;"",E33&lt;&gt;"N/A",VALUE(E33)&lt;5,COUNTIF('Executive Recommendations'!$A$8:$A$414,A33)=0),"Missing recommended action","OK")</f>
        <v>Missing recommended action</v>
      </c>
      <c r="M33" s="52" t="s">
        <v>1987</v>
      </c>
      <c r="N33" s="52" t="s">
        <v>6152</v>
      </c>
    </row>
    <row r="34" spans="1:14" ht="63.75">
      <c r="A34" s="64" t="s">
        <v>1995</v>
      </c>
      <c r="B34" s="64" t="s">
        <v>54</v>
      </c>
      <c r="C34" s="64" t="s">
        <v>1024</v>
      </c>
      <c r="D34" s="64" t="s">
        <v>1996</v>
      </c>
      <c r="E34" s="64">
        <f>'Company Geography'!$H$19</f>
        <v>0</v>
      </c>
      <c r="F34" s="64" t="str">
        <f>'Company Geography'!$L$19</f>
        <v/>
      </c>
      <c r="G34" s="64" t="str">
        <f>'Company Geography'!$T$19</f>
        <v>CEO / COO / Risk</v>
      </c>
      <c r="H34" s="64">
        <f>'Company Geography'!$U$19</f>
        <v>0</v>
      </c>
      <c r="I34" s="64" t="str">
        <f t="shared" si="2"/>
        <v>OK</v>
      </c>
      <c r="J34" s="64" t="str">
        <f t="shared" si="3"/>
        <v>OK</v>
      </c>
      <c r="K34" s="64" t="str">
        <f t="shared" si="4"/>
        <v>OK</v>
      </c>
      <c r="L34" s="64" t="str">
        <f>IF(AND(E34&lt;&gt;"",E34&lt;&gt;"N/A",VALUE(E34)&lt;5,COUNTIF('Executive Recommendations'!$A$8:$A$414,A34)=0),"Missing recommended action","OK")</f>
        <v>Missing recommended action</v>
      </c>
      <c r="M34" s="64" t="s">
        <v>1997</v>
      </c>
      <c r="N34" s="64" t="s">
        <v>6160</v>
      </c>
    </row>
    <row r="35" spans="1:14" ht="51">
      <c r="A35" s="52" t="s">
        <v>2005</v>
      </c>
      <c r="B35" s="52" t="s">
        <v>54</v>
      </c>
      <c r="C35" s="52" t="s">
        <v>1024</v>
      </c>
      <c r="D35" s="52" t="s">
        <v>2006</v>
      </c>
      <c r="E35" s="52">
        <f>'Company Geography'!$H$20</f>
        <v>0</v>
      </c>
      <c r="F35" s="52" t="str">
        <f>'Company Geography'!$L$20</f>
        <v/>
      </c>
      <c r="G35" s="52" t="str">
        <f>'Company Geography'!$T$20</f>
        <v>CEO / COO / Risk</v>
      </c>
      <c r="H35" s="52">
        <f>'Company Geography'!$U$20</f>
        <v>0</v>
      </c>
      <c r="I35" s="52" t="str">
        <f t="shared" si="2"/>
        <v>OK</v>
      </c>
      <c r="J35" s="52" t="str">
        <f t="shared" si="3"/>
        <v>OK</v>
      </c>
      <c r="K35" s="52" t="str">
        <f t="shared" si="4"/>
        <v>OK</v>
      </c>
      <c r="L35" s="52" t="str">
        <f>IF(AND(E35&lt;&gt;"",E35&lt;&gt;"N/A",VALUE(E35)&lt;5,COUNTIF('Executive Recommendations'!$A$8:$A$414,A35)=0),"Missing recommended action","OK")</f>
        <v>Missing recommended action</v>
      </c>
      <c r="M35" s="52" t="s">
        <v>2007</v>
      </c>
      <c r="N35" s="52" t="s">
        <v>6167</v>
      </c>
    </row>
    <row r="36" spans="1:14" ht="63.75">
      <c r="A36" s="64" t="s">
        <v>2015</v>
      </c>
      <c r="B36" s="64" t="s">
        <v>54</v>
      </c>
      <c r="C36" s="64" t="s">
        <v>1024</v>
      </c>
      <c r="D36" s="64" t="s">
        <v>2016</v>
      </c>
      <c r="E36" s="64">
        <f>'Company Geography'!$H$21</f>
        <v>0</v>
      </c>
      <c r="F36" s="64" t="str">
        <f>'Company Geography'!$L$21</f>
        <v/>
      </c>
      <c r="G36" s="64" t="str">
        <f>'Company Geography'!$T$21</f>
        <v>CEO / COO / Risk</v>
      </c>
      <c r="H36" s="64">
        <f>'Company Geography'!$U$21</f>
        <v>0</v>
      </c>
      <c r="I36" s="64" t="str">
        <f t="shared" si="2"/>
        <v>OK</v>
      </c>
      <c r="J36" s="64" t="str">
        <f t="shared" si="3"/>
        <v>OK</v>
      </c>
      <c r="K36" s="64" t="str">
        <f t="shared" si="4"/>
        <v>OK</v>
      </c>
      <c r="L36" s="64" t="str">
        <f>IF(AND(E36&lt;&gt;"",E36&lt;&gt;"N/A",VALUE(E36)&lt;5,COUNTIF('Executive Recommendations'!$A$8:$A$414,A36)=0),"Missing recommended action","OK")</f>
        <v>Missing recommended action</v>
      </c>
      <c r="M36" s="64" t="s">
        <v>2017</v>
      </c>
      <c r="N36" s="64" t="s">
        <v>6174</v>
      </c>
    </row>
    <row r="37" spans="1:14" ht="51">
      <c r="A37" s="52" t="s">
        <v>2025</v>
      </c>
      <c r="B37" s="52" t="s">
        <v>54</v>
      </c>
      <c r="C37" s="52" t="s">
        <v>1024</v>
      </c>
      <c r="D37" s="52" t="s">
        <v>2026</v>
      </c>
      <c r="E37" s="52">
        <f>'Company Geography'!$H$22</f>
        <v>0</v>
      </c>
      <c r="F37" s="52" t="str">
        <f>'Company Geography'!$L$22</f>
        <v/>
      </c>
      <c r="G37" s="52" t="str">
        <f>'Company Geography'!$T$22</f>
        <v>CEO / COO / Risk</v>
      </c>
      <c r="H37" s="52">
        <f>'Company Geography'!$U$22</f>
        <v>0</v>
      </c>
      <c r="I37" s="52" t="str">
        <f t="shared" si="2"/>
        <v>OK</v>
      </c>
      <c r="J37" s="52" t="str">
        <f t="shared" si="3"/>
        <v>OK</v>
      </c>
      <c r="K37" s="52" t="str">
        <f t="shared" si="4"/>
        <v>OK</v>
      </c>
      <c r="L37" s="52" t="str">
        <f>IF(AND(E37&lt;&gt;"",E37&lt;&gt;"N/A",VALUE(E37)&lt;5,COUNTIF('Executive Recommendations'!$A$8:$A$414,A37)=0),"Missing recommended action","OK")</f>
        <v>Missing recommended action</v>
      </c>
      <c r="M37" s="52" t="s">
        <v>2027</v>
      </c>
      <c r="N37" s="52" t="s">
        <v>6181</v>
      </c>
    </row>
    <row r="38" spans="1:14" ht="51">
      <c r="A38" s="64" t="s">
        <v>2035</v>
      </c>
      <c r="B38" s="64" t="s">
        <v>54</v>
      </c>
      <c r="C38" s="64" t="s">
        <v>1024</v>
      </c>
      <c r="D38" s="64" t="s">
        <v>2036</v>
      </c>
      <c r="E38" s="64">
        <f>'Company Geography'!$H$23</f>
        <v>0</v>
      </c>
      <c r="F38" s="64" t="str">
        <f>'Company Geography'!$L$23</f>
        <v/>
      </c>
      <c r="G38" s="64" t="str">
        <f>'Company Geography'!$T$23</f>
        <v>CEO / COO / Risk</v>
      </c>
      <c r="H38" s="64">
        <f>'Company Geography'!$U$23</f>
        <v>0</v>
      </c>
      <c r="I38" s="64" t="str">
        <f t="shared" si="2"/>
        <v>OK</v>
      </c>
      <c r="J38" s="64" t="str">
        <f t="shared" si="3"/>
        <v>OK</v>
      </c>
      <c r="K38" s="64" t="str">
        <f t="shared" si="4"/>
        <v>OK</v>
      </c>
      <c r="L38" s="64" t="str">
        <f>IF(AND(E38&lt;&gt;"",E38&lt;&gt;"N/A",VALUE(E38)&lt;5,COUNTIF('Executive Recommendations'!$A$8:$A$414,A38)=0),"Missing recommended action","OK")</f>
        <v>Missing recommended action</v>
      </c>
      <c r="M38" s="64" t="s">
        <v>2037</v>
      </c>
      <c r="N38" s="64" t="s">
        <v>6188</v>
      </c>
    </row>
    <row r="39" spans="1:14" ht="51">
      <c r="A39" s="52" t="s">
        <v>2045</v>
      </c>
      <c r="B39" s="52" t="s">
        <v>54</v>
      </c>
      <c r="C39" s="52" t="s">
        <v>1024</v>
      </c>
      <c r="D39" s="52" t="s">
        <v>2046</v>
      </c>
      <c r="E39" s="52">
        <f>'Company Geography'!$H$24</f>
        <v>0</v>
      </c>
      <c r="F39" s="52" t="str">
        <f>'Company Geography'!$L$24</f>
        <v/>
      </c>
      <c r="G39" s="52" t="str">
        <f>'Company Geography'!$T$24</f>
        <v>CEO / COO / Risk</v>
      </c>
      <c r="H39" s="52">
        <f>'Company Geography'!$U$24</f>
        <v>0</v>
      </c>
      <c r="I39" s="52" t="str">
        <f t="shared" si="2"/>
        <v>OK</v>
      </c>
      <c r="J39" s="52" t="str">
        <f t="shared" si="3"/>
        <v>OK</v>
      </c>
      <c r="K39" s="52" t="str">
        <f t="shared" si="4"/>
        <v>OK</v>
      </c>
      <c r="L39" s="52" t="str">
        <f>IF(AND(E39&lt;&gt;"",E39&lt;&gt;"N/A",VALUE(E39)&lt;5,COUNTIF('Executive Recommendations'!$A$8:$A$414,A39)=0),"Missing recommended action","OK")</f>
        <v>Missing recommended action</v>
      </c>
      <c r="M39" s="52" t="s">
        <v>2047</v>
      </c>
      <c r="N39" s="52" t="s">
        <v>6195</v>
      </c>
    </row>
    <row r="40" spans="1:14" ht="51">
      <c r="A40" s="64" t="s">
        <v>2057</v>
      </c>
      <c r="B40" s="64" t="s">
        <v>57</v>
      </c>
      <c r="C40" s="64" t="s">
        <v>1032</v>
      </c>
      <c r="D40" s="64" t="s">
        <v>2058</v>
      </c>
      <c r="E40" s="64">
        <f>'Strategy GTM'!$H$5</f>
        <v>0</v>
      </c>
      <c r="F40" s="64" t="str">
        <f>'Strategy GTM'!$L$5</f>
        <v/>
      </c>
      <c r="G40" s="64" t="str">
        <f>'Strategy GTM'!$T$5</f>
        <v>CEO / CSO / CCO</v>
      </c>
      <c r="H40" s="64">
        <f>'Strategy GTM'!$U$5</f>
        <v>0</v>
      </c>
      <c r="I40" s="64" t="str">
        <f t="shared" si="2"/>
        <v>OK</v>
      </c>
      <c r="J40" s="64" t="str">
        <f t="shared" si="3"/>
        <v>OK</v>
      </c>
      <c r="K40" s="64" t="str">
        <f t="shared" si="4"/>
        <v>OK</v>
      </c>
      <c r="L40" s="64" t="str">
        <f>IF(AND(E40&lt;&gt;"",E40&lt;&gt;"N/A",VALUE(E40)&lt;5,COUNTIF('Executive Recommendations'!$A$8:$A$414,A40)=0),"Missing recommended action","OK")</f>
        <v>Missing recommended action</v>
      </c>
      <c r="M40" s="64" t="s">
        <v>2061</v>
      </c>
      <c r="N40" s="64" t="s">
        <v>6203</v>
      </c>
    </row>
    <row r="41" spans="1:14" ht="51">
      <c r="A41" s="52" t="s">
        <v>2071</v>
      </c>
      <c r="B41" s="52" t="s">
        <v>57</v>
      </c>
      <c r="C41" s="52" t="s">
        <v>1032</v>
      </c>
      <c r="D41" s="52" t="s">
        <v>2072</v>
      </c>
      <c r="E41" s="52">
        <f>'Strategy GTM'!$H$6</f>
        <v>0</v>
      </c>
      <c r="F41" s="52" t="str">
        <f>'Strategy GTM'!$L$6</f>
        <v/>
      </c>
      <c r="G41" s="52" t="str">
        <f>'Strategy GTM'!$T$6</f>
        <v>CEO / CSO / CCO</v>
      </c>
      <c r="H41" s="52">
        <f>'Strategy GTM'!$U$6</f>
        <v>0</v>
      </c>
      <c r="I41" s="52" t="str">
        <f t="shared" si="2"/>
        <v>OK</v>
      </c>
      <c r="J41" s="52" t="str">
        <f t="shared" si="3"/>
        <v>OK</v>
      </c>
      <c r="K41" s="52" t="str">
        <f t="shared" si="4"/>
        <v>OK</v>
      </c>
      <c r="L41" s="52" t="str">
        <f>IF(AND(E41&lt;&gt;"",E41&lt;&gt;"N/A",VALUE(E41)&lt;5,COUNTIF('Executive Recommendations'!$A$8:$A$414,A41)=0),"Missing recommended action","OK")</f>
        <v>Missing recommended action</v>
      </c>
      <c r="M41" s="52" t="s">
        <v>2073</v>
      </c>
      <c r="N41" s="52" t="s">
        <v>6210</v>
      </c>
    </row>
    <row r="42" spans="1:14" ht="63.75">
      <c r="A42" s="64" t="s">
        <v>2081</v>
      </c>
      <c r="B42" s="64" t="s">
        <v>57</v>
      </c>
      <c r="C42" s="64" t="s">
        <v>1032</v>
      </c>
      <c r="D42" s="64" t="s">
        <v>2082</v>
      </c>
      <c r="E42" s="64">
        <f>'Strategy GTM'!$H$7</f>
        <v>0</v>
      </c>
      <c r="F42" s="64" t="str">
        <f>'Strategy GTM'!$L$7</f>
        <v/>
      </c>
      <c r="G42" s="64" t="str">
        <f>'Strategy GTM'!$T$7</f>
        <v>CEO / CSO / CCO</v>
      </c>
      <c r="H42" s="64">
        <f>'Strategy GTM'!$U$7</f>
        <v>0</v>
      </c>
      <c r="I42" s="64" t="str">
        <f t="shared" si="2"/>
        <v>OK</v>
      </c>
      <c r="J42" s="64" t="str">
        <f t="shared" si="3"/>
        <v>OK</v>
      </c>
      <c r="K42" s="64" t="str">
        <f t="shared" si="4"/>
        <v>OK</v>
      </c>
      <c r="L42" s="64" t="str">
        <f>IF(AND(E42&lt;&gt;"",E42&lt;&gt;"N/A",VALUE(E42)&lt;5,COUNTIF('Executive Recommendations'!$A$8:$A$414,A42)=0),"Missing recommended action","OK")</f>
        <v>Missing recommended action</v>
      </c>
      <c r="M42" s="64" t="s">
        <v>2083</v>
      </c>
      <c r="N42" s="64" t="s">
        <v>6217</v>
      </c>
    </row>
    <row r="43" spans="1:14" ht="51">
      <c r="A43" s="52" t="s">
        <v>2091</v>
      </c>
      <c r="B43" s="52" t="s">
        <v>57</v>
      </c>
      <c r="C43" s="52" t="s">
        <v>1032</v>
      </c>
      <c r="D43" s="52" t="s">
        <v>2092</v>
      </c>
      <c r="E43" s="52">
        <f>'Strategy GTM'!$H$8</f>
        <v>0</v>
      </c>
      <c r="F43" s="52" t="str">
        <f>'Strategy GTM'!$L$8</f>
        <v/>
      </c>
      <c r="G43" s="52" t="str">
        <f>'Strategy GTM'!$T$8</f>
        <v>CEO / CSO / CCO</v>
      </c>
      <c r="H43" s="52">
        <f>'Strategy GTM'!$U$8</f>
        <v>0</v>
      </c>
      <c r="I43" s="52" t="str">
        <f t="shared" si="2"/>
        <v>OK</v>
      </c>
      <c r="J43" s="52" t="str">
        <f t="shared" si="3"/>
        <v>OK</v>
      </c>
      <c r="K43" s="52" t="str">
        <f t="shared" si="4"/>
        <v>OK</v>
      </c>
      <c r="L43" s="52" t="str">
        <f>IF(AND(E43&lt;&gt;"",E43&lt;&gt;"N/A",VALUE(E43)&lt;5,COUNTIF('Executive Recommendations'!$A$8:$A$414,A43)=0),"Missing recommended action","OK")</f>
        <v>Missing recommended action</v>
      </c>
      <c r="M43" s="52" t="s">
        <v>2093</v>
      </c>
      <c r="N43" s="52" t="s">
        <v>6224</v>
      </c>
    </row>
    <row r="44" spans="1:14" ht="63.75">
      <c r="A44" s="64" t="s">
        <v>2101</v>
      </c>
      <c r="B44" s="64" t="s">
        <v>57</v>
      </c>
      <c r="C44" s="64" t="s">
        <v>1032</v>
      </c>
      <c r="D44" s="64" t="s">
        <v>2102</v>
      </c>
      <c r="E44" s="64">
        <f>'Strategy GTM'!$H$9</f>
        <v>0</v>
      </c>
      <c r="F44" s="64" t="str">
        <f>'Strategy GTM'!$L$9</f>
        <v/>
      </c>
      <c r="G44" s="64" t="str">
        <f>'Strategy GTM'!$T$9</f>
        <v>CEO / CSO / CCO</v>
      </c>
      <c r="H44" s="64">
        <f>'Strategy GTM'!$U$9</f>
        <v>0</v>
      </c>
      <c r="I44" s="64" t="str">
        <f t="shared" si="2"/>
        <v>OK</v>
      </c>
      <c r="J44" s="64" t="str">
        <f t="shared" si="3"/>
        <v>OK</v>
      </c>
      <c r="K44" s="64" t="str">
        <f t="shared" si="4"/>
        <v>OK</v>
      </c>
      <c r="L44" s="64" t="str">
        <f>IF(AND(E44&lt;&gt;"",E44&lt;&gt;"N/A",VALUE(E44)&lt;5,COUNTIF('Executive Recommendations'!$A$8:$A$414,A44)=0),"Missing recommended action","OK")</f>
        <v>Missing recommended action</v>
      </c>
      <c r="M44" s="64" t="s">
        <v>2103</v>
      </c>
      <c r="N44" s="64" t="s">
        <v>6231</v>
      </c>
    </row>
    <row r="45" spans="1:14" ht="63.75">
      <c r="A45" s="52" t="s">
        <v>2111</v>
      </c>
      <c r="B45" s="52" t="s">
        <v>57</v>
      </c>
      <c r="C45" s="52" t="s">
        <v>1032</v>
      </c>
      <c r="D45" s="52" t="s">
        <v>2112</v>
      </c>
      <c r="E45" s="52">
        <f>'Strategy GTM'!$H$10</f>
        <v>0</v>
      </c>
      <c r="F45" s="52" t="str">
        <f>'Strategy GTM'!$L$10</f>
        <v/>
      </c>
      <c r="G45" s="52" t="str">
        <f>'Strategy GTM'!$T$10</f>
        <v>CEO / CSO / CCO</v>
      </c>
      <c r="H45" s="52">
        <f>'Strategy GTM'!$U$10</f>
        <v>0</v>
      </c>
      <c r="I45" s="52" t="str">
        <f t="shared" si="2"/>
        <v>OK</v>
      </c>
      <c r="J45" s="52" t="str">
        <f t="shared" si="3"/>
        <v>OK</v>
      </c>
      <c r="K45" s="52" t="str">
        <f t="shared" si="4"/>
        <v>OK</v>
      </c>
      <c r="L45" s="52" t="str">
        <f>IF(AND(E45&lt;&gt;"",E45&lt;&gt;"N/A",VALUE(E45)&lt;5,COUNTIF('Executive Recommendations'!$A$8:$A$414,A45)=0),"Missing recommended action","OK")</f>
        <v>Missing recommended action</v>
      </c>
      <c r="M45" s="52" t="s">
        <v>2113</v>
      </c>
      <c r="N45" s="52" t="s">
        <v>6238</v>
      </c>
    </row>
    <row r="46" spans="1:14" ht="63.75">
      <c r="A46" s="64" t="s">
        <v>2121</v>
      </c>
      <c r="B46" s="64" t="s">
        <v>57</v>
      </c>
      <c r="C46" s="64" t="s">
        <v>1048</v>
      </c>
      <c r="D46" s="64" t="s">
        <v>2122</v>
      </c>
      <c r="E46" s="64">
        <f>'Strategy GTM'!$H$11</f>
        <v>0</v>
      </c>
      <c r="F46" s="64" t="str">
        <f>'Strategy GTM'!$L$11</f>
        <v/>
      </c>
      <c r="G46" s="64" t="str">
        <f>'Strategy GTM'!$T$11</f>
        <v>CEO / CSO / CCO</v>
      </c>
      <c r="H46" s="64">
        <f>'Strategy GTM'!$U$11</f>
        <v>0</v>
      </c>
      <c r="I46" s="64" t="str">
        <f t="shared" si="2"/>
        <v>OK</v>
      </c>
      <c r="J46" s="64" t="str">
        <f t="shared" si="3"/>
        <v>OK</v>
      </c>
      <c r="K46" s="64" t="str">
        <f t="shared" si="4"/>
        <v>OK</v>
      </c>
      <c r="L46" s="64" t="str">
        <f>IF(AND(E46&lt;&gt;"",E46&lt;&gt;"N/A",VALUE(E46)&lt;5,COUNTIF('Executive Recommendations'!$A$8:$A$414,A46)=0),"Missing recommended action","OK")</f>
        <v>Missing recommended action</v>
      </c>
      <c r="M46" s="64" t="s">
        <v>2123</v>
      </c>
      <c r="N46" s="64" t="s">
        <v>6246</v>
      </c>
    </row>
    <row r="47" spans="1:14" ht="51">
      <c r="A47" s="52" t="s">
        <v>2131</v>
      </c>
      <c r="B47" s="52" t="s">
        <v>57</v>
      </c>
      <c r="C47" s="52" t="s">
        <v>1048</v>
      </c>
      <c r="D47" s="52" t="s">
        <v>2132</v>
      </c>
      <c r="E47" s="52">
        <f>'Strategy GTM'!$H$12</f>
        <v>0</v>
      </c>
      <c r="F47" s="52" t="str">
        <f>'Strategy GTM'!$L$12</f>
        <v/>
      </c>
      <c r="G47" s="52" t="str">
        <f>'Strategy GTM'!$T$12</f>
        <v>CEO / CSO / CCO</v>
      </c>
      <c r="H47" s="52">
        <f>'Strategy GTM'!$U$12</f>
        <v>0</v>
      </c>
      <c r="I47" s="52" t="str">
        <f t="shared" si="2"/>
        <v>OK</v>
      </c>
      <c r="J47" s="52" t="str">
        <f t="shared" si="3"/>
        <v>OK</v>
      </c>
      <c r="K47" s="52" t="str">
        <f t="shared" si="4"/>
        <v>OK</v>
      </c>
      <c r="L47" s="52" t="str">
        <f>IF(AND(E47&lt;&gt;"",E47&lt;&gt;"N/A",VALUE(E47)&lt;5,COUNTIF('Executive Recommendations'!$A$8:$A$414,A47)=0),"Missing recommended action","OK")</f>
        <v>Missing recommended action</v>
      </c>
      <c r="M47" s="52" t="s">
        <v>2133</v>
      </c>
      <c r="N47" s="52" t="s">
        <v>6253</v>
      </c>
    </row>
    <row r="48" spans="1:14" ht="51">
      <c r="A48" s="64" t="s">
        <v>2141</v>
      </c>
      <c r="B48" s="64" t="s">
        <v>57</v>
      </c>
      <c r="C48" s="64" t="s">
        <v>1048</v>
      </c>
      <c r="D48" s="64" t="s">
        <v>2142</v>
      </c>
      <c r="E48" s="64">
        <f>'Strategy GTM'!$H$13</f>
        <v>0</v>
      </c>
      <c r="F48" s="64" t="str">
        <f>'Strategy GTM'!$L$13</f>
        <v/>
      </c>
      <c r="G48" s="64" t="str">
        <f>'Strategy GTM'!$T$13</f>
        <v>CEO / CSO / CCO</v>
      </c>
      <c r="H48" s="64">
        <f>'Strategy GTM'!$U$13</f>
        <v>0</v>
      </c>
      <c r="I48" s="64" t="str">
        <f t="shared" si="2"/>
        <v>OK</v>
      </c>
      <c r="J48" s="64" t="str">
        <f t="shared" si="3"/>
        <v>OK</v>
      </c>
      <c r="K48" s="64" t="str">
        <f t="shared" si="4"/>
        <v>OK</v>
      </c>
      <c r="L48" s="64" t="str">
        <f>IF(AND(E48&lt;&gt;"",E48&lt;&gt;"N/A",VALUE(E48)&lt;5,COUNTIF('Executive Recommendations'!$A$8:$A$414,A48)=0),"Missing recommended action","OK")</f>
        <v>Missing recommended action</v>
      </c>
      <c r="M48" s="64" t="s">
        <v>2143</v>
      </c>
      <c r="N48" s="64" t="s">
        <v>6260</v>
      </c>
    </row>
    <row r="49" spans="1:14" ht="63.75">
      <c r="A49" s="52" t="s">
        <v>2151</v>
      </c>
      <c r="B49" s="52" t="s">
        <v>57</v>
      </c>
      <c r="C49" s="52" t="s">
        <v>1048</v>
      </c>
      <c r="D49" s="52" t="s">
        <v>2152</v>
      </c>
      <c r="E49" s="52">
        <f>'Strategy GTM'!$H$14</f>
        <v>0</v>
      </c>
      <c r="F49" s="52" t="str">
        <f>'Strategy GTM'!$L$14</f>
        <v/>
      </c>
      <c r="G49" s="52" t="str">
        <f>'Strategy GTM'!$T$14</f>
        <v>CEO / CSO / CCO</v>
      </c>
      <c r="H49" s="52">
        <f>'Strategy GTM'!$U$14</f>
        <v>0</v>
      </c>
      <c r="I49" s="52" t="str">
        <f t="shared" si="2"/>
        <v>OK</v>
      </c>
      <c r="J49" s="52" t="str">
        <f t="shared" si="3"/>
        <v>OK</v>
      </c>
      <c r="K49" s="52" t="str">
        <f t="shared" si="4"/>
        <v>OK</v>
      </c>
      <c r="L49" s="52" t="str">
        <f>IF(AND(E49&lt;&gt;"",E49&lt;&gt;"N/A",VALUE(E49)&lt;5,COUNTIF('Executive Recommendations'!$A$8:$A$414,A49)=0),"Missing recommended action","OK")</f>
        <v>Missing recommended action</v>
      </c>
      <c r="M49" s="52" t="s">
        <v>2153</v>
      </c>
      <c r="N49" s="52" t="s">
        <v>6267</v>
      </c>
    </row>
    <row r="50" spans="1:14" ht="63.75">
      <c r="A50" s="64" t="s">
        <v>2161</v>
      </c>
      <c r="B50" s="64" t="s">
        <v>57</v>
      </c>
      <c r="C50" s="64" t="s">
        <v>1048</v>
      </c>
      <c r="D50" s="64" t="s">
        <v>2162</v>
      </c>
      <c r="E50" s="64">
        <f>'Strategy GTM'!$H$15</f>
        <v>0</v>
      </c>
      <c r="F50" s="64" t="str">
        <f>'Strategy GTM'!$L$15</f>
        <v/>
      </c>
      <c r="G50" s="64" t="str">
        <f>'Strategy GTM'!$T$15</f>
        <v>CEO / CSO / CCO</v>
      </c>
      <c r="H50" s="64">
        <f>'Strategy GTM'!$U$15</f>
        <v>0</v>
      </c>
      <c r="I50" s="64" t="str">
        <f t="shared" si="2"/>
        <v>OK</v>
      </c>
      <c r="J50" s="64" t="str">
        <f t="shared" si="3"/>
        <v>OK</v>
      </c>
      <c r="K50" s="64" t="str">
        <f t="shared" si="4"/>
        <v>OK</v>
      </c>
      <c r="L50" s="64" t="str">
        <f>IF(AND(E50&lt;&gt;"",E50&lt;&gt;"N/A",VALUE(E50)&lt;5,COUNTIF('Executive Recommendations'!$A$8:$A$414,A50)=0),"Missing recommended action","OK")</f>
        <v>Missing recommended action</v>
      </c>
      <c r="M50" s="64" t="s">
        <v>2163</v>
      </c>
      <c r="N50" s="64" t="s">
        <v>6274</v>
      </c>
    </row>
    <row r="51" spans="1:14" ht="63.75">
      <c r="A51" s="52" t="s">
        <v>2171</v>
      </c>
      <c r="B51" s="52" t="s">
        <v>57</v>
      </c>
      <c r="C51" s="52" t="s">
        <v>1048</v>
      </c>
      <c r="D51" s="52" t="s">
        <v>2172</v>
      </c>
      <c r="E51" s="52">
        <f>'Strategy GTM'!$H$16</f>
        <v>0</v>
      </c>
      <c r="F51" s="52" t="str">
        <f>'Strategy GTM'!$L$16</f>
        <v/>
      </c>
      <c r="G51" s="52" t="str">
        <f>'Strategy GTM'!$T$16</f>
        <v>CEO / CSO / CCO</v>
      </c>
      <c r="H51" s="52">
        <f>'Strategy GTM'!$U$16</f>
        <v>0</v>
      </c>
      <c r="I51" s="52" t="str">
        <f t="shared" si="2"/>
        <v>OK</v>
      </c>
      <c r="J51" s="52" t="str">
        <f t="shared" si="3"/>
        <v>OK</v>
      </c>
      <c r="K51" s="52" t="str">
        <f t="shared" si="4"/>
        <v>OK</v>
      </c>
      <c r="L51" s="52" t="str">
        <f>IF(AND(E51&lt;&gt;"",E51&lt;&gt;"N/A",VALUE(E51)&lt;5,COUNTIF('Executive Recommendations'!$A$8:$A$414,A51)=0),"Missing recommended action","OK")</f>
        <v>Missing recommended action</v>
      </c>
      <c r="M51" s="52" t="s">
        <v>2173</v>
      </c>
      <c r="N51" s="52" t="s">
        <v>6281</v>
      </c>
    </row>
    <row r="52" spans="1:14" ht="63.75">
      <c r="A52" s="64" t="s">
        <v>2181</v>
      </c>
      <c r="B52" s="64" t="s">
        <v>57</v>
      </c>
      <c r="C52" s="64" t="s">
        <v>1059</v>
      </c>
      <c r="D52" s="64" t="s">
        <v>2182</v>
      </c>
      <c r="E52" s="64">
        <f>'Strategy GTM'!$H$17</f>
        <v>0</v>
      </c>
      <c r="F52" s="64" t="str">
        <f>'Strategy GTM'!$L$17</f>
        <v/>
      </c>
      <c r="G52" s="64" t="str">
        <f>'Strategy GTM'!$T$17</f>
        <v>CEO / CSO / CCO</v>
      </c>
      <c r="H52" s="64">
        <f>'Strategy GTM'!$U$17</f>
        <v>0</v>
      </c>
      <c r="I52" s="64" t="str">
        <f t="shared" si="2"/>
        <v>OK</v>
      </c>
      <c r="J52" s="64" t="str">
        <f t="shared" si="3"/>
        <v>OK</v>
      </c>
      <c r="K52" s="64" t="str">
        <f t="shared" si="4"/>
        <v>OK</v>
      </c>
      <c r="L52" s="64" t="str">
        <f>IF(AND(E52&lt;&gt;"",E52&lt;&gt;"N/A",VALUE(E52)&lt;5,COUNTIF('Executive Recommendations'!$A$8:$A$414,A52)=0),"Missing recommended action","OK")</f>
        <v>Missing recommended action</v>
      </c>
      <c r="M52" s="64" t="s">
        <v>2183</v>
      </c>
      <c r="N52" s="64" t="s">
        <v>6289</v>
      </c>
    </row>
    <row r="53" spans="1:14" ht="51">
      <c r="A53" s="52" t="s">
        <v>2191</v>
      </c>
      <c r="B53" s="52" t="s">
        <v>57</v>
      </c>
      <c r="C53" s="52" t="s">
        <v>1059</v>
      </c>
      <c r="D53" s="52" t="s">
        <v>2192</v>
      </c>
      <c r="E53" s="52">
        <f>'Strategy GTM'!$H$18</f>
        <v>0</v>
      </c>
      <c r="F53" s="52" t="str">
        <f>'Strategy GTM'!$L$18</f>
        <v/>
      </c>
      <c r="G53" s="52" t="str">
        <f>'Strategy GTM'!$T$18</f>
        <v>CEO / CSO / CCO</v>
      </c>
      <c r="H53" s="52">
        <f>'Strategy GTM'!$U$18</f>
        <v>0</v>
      </c>
      <c r="I53" s="52" t="str">
        <f t="shared" si="2"/>
        <v>OK</v>
      </c>
      <c r="J53" s="52" t="str">
        <f t="shared" si="3"/>
        <v>OK</v>
      </c>
      <c r="K53" s="52" t="str">
        <f t="shared" si="4"/>
        <v>OK</v>
      </c>
      <c r="L53" s="52" t="str">
        <f>IF(AND(E53&lt;&gt;"",E53&lt;&gt;"N/A",VALUE(E53)&lt;5,COUNTIF('Executive Recommendations'!$A$8:$A$414,A53)=0),"Missing recommended action","OK")</f>
        <v>Missing recommended action</v>
      </c>
      <c r="M53" s="52" t="s">
        <v>2193</v>
      </c>
      <c r="N53" s="52" t="s">
        <v>6296</v>
      </c>
    </row>
    <row r="54" spans="1:14" ht="63.75">
      <c r="A54" s="64" t="s">
        <v>2201</v>
      </c>
      <c r="B54" s="64" t="s">
        <v>57</v>
      </c>
      <c r="C54" s="64" t="s">
        <v>1059</v>
      </c>
      <c r="D54" s="64" t="s">
        <v>2202</v>
      </c>
      <c r="E54" s="64">
        <f>'Strategy GTM'!$H$19</f>
        <v>0</v>
      </c>
      <c r="F54" s="64" t="str">
        <f>'Strategy GTM'!$L$19</f>
        <v/>
      </c>
      <c r="G54" s="64" t="str">
        <f>'Strategy GTM'!$T$19</f>
        <v>CEO / CSO / CCO</v>
      </c>
      <c r="H54" s="64">
        <f>'Strategy GTM'!$U$19</f>
        <v>0</v>
      </c>
      <c r="I54" s="64" t="str">
        <f t="shared" si="2"/>
        <v>OK</v>
      </c>
      <c r="J54" s="64" t="str">
        <f t="shared" si="3"/>
        <v>OK</v>
      </c>
      <c r="K54" s="64" t="str">
        <f t="shared" si="4"/>
        <v>OK</v>
      </c>
      <c r="L54" s="64" t="str">
        <f>IF(AND(E54&lt;&gt;"",E54&lt;&gt;"N/A",VALUE(E54)&lt;5,COUNTIF('Executive Recommendations'!$A$8:$A$414,A54)=0),"Missing recommended action","OK")</f>
        <v>Missing recommended action</v>
      </c>
      <c r="M54" s="64" t="s">
        <v>2203</v>
      </c>
      <c r="N54" s="64" t="s">
        <v>6303</v>
      </c>
    </row>
    <row r="55" spans="1:14" ht="51">
      <c r="A55" s="52" t="s">
        <v>2211</v>
      </c>
      <c r="B55" s="52" t="s">
        <v>57</v>
      </c>
      <c r="C55" s="52" t="s">
        <v>1059</v>
      </c>
      <c r="D55" s="52" t="s">
        <v>2212</v>
      </c>
      <c r="E55" s="52">
        <f>'Strategy GTM'!$H$20</f>
        <v>0</v>
      </c>
      <c r="F55" s="52" t="str">
        <f>'Strategy GTM'!$L$20</f>
        <v/>
      </c>
      <c r="G55" s="52" t="str">
        <f>'Strategy GTM'!$T$20</f>
        <v>CEO / CSO / CCO</v>
      </c>
      <c r="H55" s="52">
        <f>'Strategy GTM'!$U$20</f>
        <v>0</v>
      </c>
      <c r="I55" s="52" t="str">
        <f t="shared" si="2"/>
        <v>OK</v>
      </c>
      <c r="J55" s="52" t="str">
        <f t="shared" si="3"/>
        <v>OK</v>
      </c>
      <c r="K55" s="52" t="str">
        <f t="shared" si="4"/>
        <v>OK</v>
      </c>
      <c r="L55" s="52" t="str">
        <f>IF(AND(E55&lt;&gt;"",E55&lt;&gt;"N/A",VALUE(E55)&lt;5,COUNTIF('Executive Recommendations'!$A$8:$A$414,A55)=0),"Missing recommended action","OK")</f>
        <v>Missing recommended action</v>
      </c>
      <c r="M55" s="52" t="s">
        <v>2213</v>
      </c>
      <c r="N55" s="52" t="s">
        <v>6310</v>
      </c>
    </row>
    <row r="56" spans="1:14" ht="63.75">
      <c r="A56" s="64" t="s">
        <v>2221</v>
      </c>
      <c r="B56" s="64" t="s">
        <v>57</v>
      </c>
      <c r="C56" s="64" t="s">
        <v>1059</v>
      </c>
      <c r="D56" s="64" t="s">
        <v>2222</v>
      </c>
      <c r="E56" s="64">
        <f>'Strategy GTM'!$H$21</f>
        <v>0</v>
      </c>
      <c r="F56" s="64" t="str">
        <f>'Strategy GTM'!$L$21</f>
        <v/>
      </c>
      <c r="G56" s="64" t="str">
        <f>'Strategy GTM'!$T$21</f>
        <v>CEO / CSO / CCO</v>
      </c>
      <c r="H56" s="64">
        <f>'Strategy GTM'!$U$21</f>
        <v>0</v>
      </c>
      <c r="I56" s="64" t="str">
        <f t="shared" si="2"/>
        <v>OK</v>
      </c>
      <c r="J56" s="64" t="str">
        <f t="shared" si="3"/>
        <v>OK</v>
      </c>
      <c r="K56" s="64" t="str">
        <f t="shared" si="4"/>
        <v>OK</v>
      </c>
      <c r="L56" s="64" t="str">
        <f>IF(AND(E56&lt;&gt;"",E56&lt;&gt;"N/A",VALUE(E56)&lt;5,COUNTIF('Executive Recommendations'!$A$8:$A$414,A56)=0),"Missing recommended action","OK")</f>
        <v>Missing recommended action</v>
      </c>
      <c r="M56" s="64" t="s">
        <v>2223</v>
      </c>
      <c r="N56" s="64" t="s">
        <v>6317</v>
      </c>
    </row>
    <row r="57" spans="1:14" ht="51">
      <c r="A57" s="52" t="s">
        <v>2231</v>
      </c>
      <c r="B57" s="52" t="s">
        <v>57</v>
      </c>
      <c r="C57" s="52" t="s">
        <v>1059</v>
      </c>
      <c r="D57" s="52" t="s">
        <v>2232</v>
      </c>
      <c r="E57" s="52">
        <f>'Strategy GTM'!$H$22</f>
        <v>0</v>
      </c>
      <c r="F57" s="52" t="str">
        <f>'Strategy GTM'!$L$22</f>
        <v/>
      </c>
      <c r="G57" s="52" t="str">
        <f>'Strategy GTM'!$T$22</f>
        <v>CEO / CSO / CCO</v>
      </c>
      <c r="H57" s="52">
        <f>'Strategy GTM'!$U$22</f>
        <v>0</v>
      </c>
      <c r="I57" s="52" t="str">
        <f t="shared" si="2"/>
        <v>OK</v>
      </c>
      <c r="J57" s="52" t="str">
        <f t="shared" si="3"/>
        <v>OK</v>
      </c>
      <c r="K57" s="52" t="str">
        <f t="shared" si="4"/>
        <v>OK</v>
      </c>
      <c r="L57" s="52" t="str">
        <f>IF(AND(E57&lt;&gt;"",E57&lt;&gt;"N/A",VALUE(E57)&lt;5,COUNTIF('Executive Recommendations'!$A$8:$A$414,A57)=0),"Missing recommended action","OK")</f>
        <v>Missing recommended action</v>
      </c>
      <c r="M57" s="52" t="s">
        <v>2233</v>
      </c>
      <c r="N57" s="52" t="s">
        <v>6324</v>
      </c>
    </row>
    <row r="58" spans="1:14" ht="63.75">
      <c r="A58" s="64" t="s">
        <v>2241</v>
      </c>
      <c r="B58" s="64" t="s">
        <v>57</v>
      </c>
      <c r="C58" s="64" t="s">
        <v>1067</v>
      </c>
      <c r="D58" s="64" t="s">
        <v>2242</v>
      </c>
      <c r="E58" s="64">
        <f>'Strategy GTM'!$H$23</f>
        <v>0</v>
      </c>
      <c r="F58" s="64" t="str">
        <f>'Strategy GTM'!$L$23</f>
        <v/>
      </c>
      <c r="G58" s="64" t="str">
        <f>'Strategy GTM'!$T$23</f>
        <v>CEO / CSO / CCO</v>
      </c>
      <c r="H58" s="64">
        <f>'Strategy GTM'!$U$23</f>
        <v>0</v>
      </c>
      <c r="I58" s="64" t="str">
        <f t="shared" si="2"/>
        <v>OK</v>
      </c>
      <c r="J58" s="64" t="str">
        <f t="shared" si="3"/>
        <v>OK</v>
      </c>
      <c r="K58" s="64" t="str">
        <f t="shared" si="4"/>
        <v>OK</v>
      </c>
      <c r="L58" s="64" t="str">
        <f>IF(AND(E58&lt;&gt;"",E58&lt;&gt;"N/A",VALUE(E58)&lt;5,COUNTIF('Executive Recommendations'!$A$8:$A$414,A58)=0),"Missing recommended action","OK")</f>
        <v>Missing recommended action</v>
      </c>
      <c r="M58" s="64" t="s">
        <v>2243</v>
      </c>
      <c r="N58" s="64" t="s">
        <v>6332</v>
      </c>
    </row>
    <row r="59" spans="1:14" ht="63.75">
      <c r="A59" s="52" t="s">
        <v>2251</v>
      </c>
      <c r="B59" s="52" t="s">
        <v>57</v>
      </c>
      <c r="C59" s="52" t="s">
        <v>1067</v>
      </c>
      <c r="D59" s="52" t="s">
        <v>2252</v>
      </c>
      <c r="E59" s="52">
        <f>'Strategy GTM'!$H$24</f>
        <v>0</v>
      </c>
      <c r="F59" s="52" t="str">
        <f>'Strategy GTM'!$L$24</f>
        <v/>
      </c>
      <c r="G59" s="52" t="str">
        <f>'Strategy GTM'!$T$24</f>
        <v>CEO / CSO / CCO</v>
      </c>
      <c r="H59" s="52">
        <f>'Strategy GTM'!$U$24</f>
        <v>0</v>
      </c>
      <c r="I59" s="52" t="str">
        <f t="shared" si="2"/>
        <v>OK</v>
      </c>
      <c r="J59" s="52" t="str">
        <f t="shared" si="3"/>
        <v>OK</v>
      </c>
      <c r="K59" s="52" t="str">
        <f t="shared" si="4"/>
        <v>OK</v>
      </c>
      <c r="L59" s="52" t="str">
        <f>IF(AND(E59&lt;&gt;"",E59&lt;&gt;"N/A",VALUE(E59)&lt;5,COUNTIF('Executive Recommendations'!$A$8:$A$414,A59)=0),"Missing recommended action","OK")</f>
        <v>Missing recommended action</v>
      </c>
      <c r="M59" s="52" t="s">
        <v>2253</v>
      </c>
      <c r="N59" s="52" t="s">
        <v>6339</v>
      </c>
    </row>
    <row r="60" spans="1:14" ht="63.75">
      <c r="A60" s="64" t="s">
        <v>2261</v>
      </c>
      <c r="B60" s="64" t="s">
        <v>57</v>
      </c>
      <c r="C60" s="64" t="s">
        <v>1067</v>
      </c>
      <c r="D60" s="64" t="s">
        <v>2262</v>
      </c>
      <c r="E60" s="64">
        <f>'Strategy GTM'!$H$25</f>
        <v>0</v>
      </c>
      <c r="F60" s="64" t="str">
        <f>'Strategy GTM'!$L$25</f>
        <v/>
      </c>
      <c r="G60" s="64" t="str">
        <f>'Strategy GTM'!$T$25</f>
        <v>CEO / CSO / CCO</v>
      </c>
      <c r="H60" s="64">
        <f>'Strategy GTM'!$U$25</f>
        <v>0</v>
      </c>
      <c r="I60" s="64" t="str">
        <f t="shared" si="2"/>
        <v>OK</v>
      </c>
      <c r="J60" s="64" t="str">
        <f t="shared" si="3"/>
        <v>OK</v>
      </c>
      <c r="K60" s="64" t="str">
        <f t="shared" si="4"/>
        <v>OK</v>
      </c>
      <c r="L60" s="64" t="str">
        <f>IF(AND(E60&lt;&gt;"",E60&lt;&gt;"N/A",VALUE(E60)&lt;5,COUNTIF('Executive Recommendations'!$A$8:$A$414,A60)=0),"Missing recommended action","OK")</f>
        <v>Missing recommended action</v>
      </c>
      <c r="M60" s="64" t="s">
        <v>2263</v>
      </c>
      <c r="N60" s="64" t="s">
        <v>6346</v>
      </c>
    </row>
    <row r="61" spans="1:14" ht="51">
      <c r="A61" s="52" t="s">
        <v>2271</v>
      </c>
      <c r="B61" s="52" t="s">
        <v>57</v>
      </c>
      <c r="C61" s="52" t="s">
        <v>1067</v>
      </c>
      <c r="D61" s="52" t="s">
        <v>2272</v>
      </c>
      <c r="E61" s="52">
        <f>'Strategy GTM'!$H$26</f>
        <v>0</v>
      </c>
      <c r="F61" s="52" t="str">
        <f>'Strategy GTM'!$L$26</f>
        <v/>
      </c>
      <c r="G61" s="52" t="str">
        <f>'Strategy GTM'!$T$26</f>
        <v>CEO / CSO / CCO</v>
      </c>
      <c r="H61" s="52">
        <f>'Strategy GTM'!$U$26</f>
        <v>0</v>
      </c>
      <c r="I61" s="52" t="str">
        <f t="shared" si="2"/>
        <v>OK</v>
      </c>
      <c r="J61" s="52" t="str">
        <f t="shared" si="3"/>
        <v>OK</v>
      </c>
      <c r="K61" s="52" t="str">
        <f t="shared" si="4"/>
        <v>OK</v>
      </c>
      <c r="L61" s="52" t="str">
        <f>IF(AND(E61&lt;&gt;"",E61&lt;&gt;"N/A",VALUE(E61)&lt;5,COUNTIF('Executive Recommendations'!$A$8:$A$414,A61)=0),"Missing recommended action","OK")</f>
        <v>Missing recommended action</v>
      </c>
      <c r="M61" s="52" t="s">
        <v>2273</v>
      </c>
      <c r="N61" s="52" t="s">
        <v>6353</v>
      </c>
    </row>
    <row r="62" spans="1:14" ht="51">
      <c r="A62" s="64" t="s">
        <v>2281</v>
      </c>
      <c r="B62" s="64" t="s">
        <v>57</v>
      </c>
      <c r="C62" s="64" t="s">
        <v>1067</v>
      </c>
      <c r="D62" s="64" t="s">
        <v>2282</v>
      </c>
      <c r="E62" s="64">
        <f>'Strategy GTM'!$H$27</f>
        <v>0</v>
      </c>
      <c r="F62" s="64" t="str">
        <f>'Strategy GTM'!$L$27</f>
        <v/>
      </c>
      <c r="G62" s="64" t="str">
        <f>'Strategy GTM'!$T$27</f>
        <v>CEO / CSO / CCO</v>
      </c>
      <c r="H62" s="64">
        <f>'Strategy GTM'!$U$27</f>
        <v>0</v>
      </c>
      <c r="I62" s="64" t="str">
        <f t="shared" si="2"/>
        <v>OK</v>
      </c>
      <c r="J62" s="64" t="str">
        <f t="shared" si="3"/>
        <v>OK</v>
      </c>
      <c r="K62" s="64" t="str">
        <f t="shared" si="4"/>
        <v>OK</v>
      </c>
      <c r="L62" s="64" t="str">
        <f>IF(AND(E62&lt;&gt;"",E62&lt;&gt;"N/A",VALUE(E62)&lt;5,COUNTIF('Executive Recommendations'!$A$8:$A$414,A62)=0),"Missing recommended action","OK")</f>
        <v>Missing recommended action</v>
      </c>
      <c r="M62" s="64" t="s">
        <v>2283</v>
      </c>
      <c r="N62" s="64" t="s">
        <v>6360</v>
      </c>
    </row>
    <row r="63" spans="1:14" ht="63.75">
      <c r="A63" s="52" t="s">
        <v>2291</v>
      </c>
      <c r="B63" s="52" t="s">
        <v>57</v>
      </c>
      <c r="C63" s="52" t="s">
        <v>1067</v>
      </c>
      <c r="D63" s="52" t="s">
        <v>2292</v>
      </c>
      <c r="E63" s="52">
        <f>'Strategy GTM'!$H$28</f>
        <v>0</v>
      </c>
      <c r="F63" s="52" t="str">
        <f>'Strategy GTM'!$L$28</f>
        <v/>
      </c>
      <c r="G63" s="52" t="str">
        <f>'Strategy GTM'!$T$28</f>
        <v>CEO / CSO / CCO</v>
      </c>
      <c r="H63" s="52">
        <f>'Strategy GTM'!$U$28</f>
        <v>0</v>
      </c>
      <c r="I63" s="52" t="str">
        <f t="shared" si="2"/>
        <v>OK</v>
      </c>
      <c r="J63" s="52" t="str">
        <f t="shared" si="3"/>
        <v>OK</v>
      </c>
      <c r="K63" s="52" t="str">
        <f t="shared" si="4"/>
        <v>OK</v>
      </c>
      <c r="L63" s="52" t="str">
        <f>IF(AND(E63&lt;&gt;"",E63&lt;&gt;"N/A",VALUE(E63)&lt;5,COUNTIF('Executive Recommendations'!$A$8:$A$414,A63)=0),"Missing recommended action","OK")</f>
        <v>Missing recommended action</v>
      </c>
      <c r="M63" s="52" t="s">
        <v>2293</v>
      </c>
      <c r="N63" s="52" t="s">
        <v>6367</v>
      </c>
    </row>
    <row r="64" spans="1:14" ht="63.75">
      <c r="A64" s="64" t="s">
        <v>2303</v>
      </c>
      <c r="B64" s="64" t="s">
        <v>60</v>
      </c>
      <c r="C64" s="64" t="s">
        <v>1075</v>
      </c>
      <c r="D64" s="64" t="s">
        <v>2304</v>
      </c>
      <c r="E64" s="64">
        <f>'Governance Crisis'!$H$5</f>
        <v>0</v>
      </c>
      <c r="F64" s="64" t="str">
        <f>'Governance Crisis'!$L$5</f>
        <v/>
      </c>
      <c r="G64" s="64" t="str">
        <f>'Governance Crisis'!$T$5</f>
        <v>CEO / COO / Risk</v>
      </c>
      <c r="H64" s="64">
        <f>'Governance Crisis'!$U$5</f>
        <v>0</v>
      </c>
      <c r="I64" s="64" t="str">
        <f t="shared" si="2"/>
        <v>OK</v>
      </c>
      <c r="J64" s="64" t="str">
        <f t="shared" si="3"/>
        <v>OK</v>
      </c>
      <c r="K64" s="64" t="str">
        <f t="shared" si="4"/>
        <v>OK</v>
      </c>
      <c r="L64" s="64" t="str">
        <f>IF(AND(E64&lt;&gt;"",E64&lt;&gt;"N/A",VALUE(E64)&lt;5,COUNTIF('Executive Recommendations'!$A$8:$A$414,A64)=0),"Missing recommended action","OK")</f>
        <v>Missing recommended action</v>
      </c>
      <c r="M64" s="64" t="s">
        <v>2307</v>
      </c>
      <c r="N64" s="64" t="s">
        <v>6375</v>
      </c>
    </row>
    <row r="65" spans="1:14" ht="51">
      <c r="A65" s="52" t="s">
        <v>2316</v>
      </c>
      <c r="B65" s="52" t="s">
        <v>60</v>
      </c>
      <c r="C65" s="52" t="s">
        <v>1075</v>
      </c>
      <c r="D65" s="52" t="s">
        <v>2317</v>
      </c>
      <c r="E65" s="52">
        <f>'Governance Crisis'!$H$6</f>
        <v>0</v>
      </c>
      <c r="F65" s="52" t="str">
        <f>'Governance Crisis'!$L$6</f>
        <v/>
      </c>
      <c r="G65" s="52" t="str">
        <f>'Governance Crisis'!$T$6</f>
        <v>CEO / COO / Risk</v>
      </c>
      <c r="H65" s="52">
        <f>'Governance Crisis'!$U$6</f>
        <v>0</v>
      </c>
      <c r="I65" s="52" t="str">
        <f t="shared" si="2"/>
        <v>OK</v>
      </c>
      <c r="J65" s="52" t="str">
        <f t="shared" si="3"/>
        <v>OK</v>
      </c>
      <c r="K65" s="52" t="str">
        <f t="shared" si="4"/>
        <v>OK</v>
      </c>
      <c r="L65" s="52" t="str">
        <f>IF(AND(E65&lt;&gt;"",E65&lt;&gt;"N/A",VALUE(E65)&lt;5,COUNTIF('Executive Recommendations'!$A$8:$A$414,A65)=0),"Missing recommended action","OK")</f>
        <v>Missing recommended action</v>
      </c>
      <c r="M65" s="52" t="s">
        <v>2318</v>
      </c>
      <c r="N65" s="52" t="s">
        <v>6382</v>
      </c>
    </row>
    <row r="66" spans="1:14" ht="63.75">
      <c r="A66" s="64" t="s">
        <v>2326</v>
      </c>
      <c r="B66" s="64" t="s">
        <v>60</v>
      </c>
      <c r="C66" s="64" t="s">
        <v>1075</v>
      </c>
      <c r="D66" s="64" t="s">
        <v>2327</v>
      </c>
      <c r="E66" s="64">
        <f>'Governance Crisis'!$H$7</f>
        <v>0</v>
      </c>
      <c r="F66" s="64" t="str">
        <f>'Governance Crisis'!$L$7</f>
        <v/>
      </c>
      <c r="G66" s="64" t="str">
        <f>'Governance Crisis'!$T$7</f>
        <v>CEO / COO / Risk</v>
      </c>
      <c r="H66" s="64">
        <f>'Governance Crisis'!$U$7</f>
        <v>0</v>
      </c>
      <c r="I66" s="64" t="str">
        <f t="shared" si="2"/>
        <v>OK</v>
      </c>
      <c r="J66" s="64" t="str">
        <f t="shared" si="3"/>
        <v>OK</v>
      </c>
      <c r="K66" s="64" t="str">
        <f t="shared" si="4"/>
        <v>OK</v>
      </c>
      <c r="L66" s="64" t="str">
        <f>IF(AND(E66&lt;&gt;"",E66&lt;&gt;"N/A",VALUE(E66)&lt;5,COUNTIF('Executive Recommendations'!$A$8:$A$414,A66)=0),"Missing recommended action","OK")</f>
        <v>Missing recommended action</v>
      </c>
      <c r="M66" s="64" t="s">
        <v>2328</v>
      </c>
      <c r="N66" s="64" t="s">
        <v>6389</v>
      </c>
    </row>
    <row r="67" spans="1:14" ht="51">
      <c r="A67" s="52" t="s">
        <v>2336</v>
      </c>
      <c r="B67" s="52" t="s">
        <v>60</v>
      </c>
      <c r="C67" s="52" t="s">
        <v>1075</v>
      </c>
      <c r="D67" s="52" t="s">
        <v>2337</v>
      </c>
      <c r="E67" s="52">
        <f>'Governance Crisis'!$H$8</f>
        <v>0</v>
      </c>
      <c r="F67" s="52" t="str">
        <f>'Governance Crisis'!$L$8</f>
        <v/>
      </c>
      <c r="G67" s="52" t="str">
        <f>'Governance Crisis'!$T$8</f>
        <v>CEO / COO / Risk</v>
      </c>
      <c r="H67" s="52">
        <f>'Governance Crisis'!$U$8</f>
        <v>0</v>
      </c>
      <c r="I67" s="52" t="str">
        <f t="shared" si="2"/>
        <v>OK</v>
      </c>
      <c r="J67" s="52" t="str">
        <f t="shared" si="3"/>
        <v>OK</v>
      </c>
      <c r="K67" s="52" t="str">
        <f t="shared" si="4"/>
        <v>OK</v>
      </c>
      <c r="L67" s="52" t="str">
        <f>IF(AND(E67&lt;&gt;"",E67&lt;&gt;"N/A",VALUE(E67)&lt;5,COUNTIF('Executive Recommendations'!$A$8:$A$414,A67)=0),"Missing recommended action","OK")</f>
        <v>Missing recommended action</v>
      </c>
      <c r="M67" s="52" t="s">
        <v>2338</v>
      </c>
      <c r="N67" s="52" t="s">
        <v>6396</v>
      </c>
    </row>
    <row r="68" spans="1:14" ht="51">
      <c r="A68" s="64" t="s">
        <v>2346</v>
      </c>
      <c r="B68" s="64" t="s">
        <v>60</v>
      </c>
      <c r="C68" s="64" t="s">
        <v>1075</v>
      </c>
      <c r="D68" s="64" t="s">
        <v>2347</v>
      </c>
      <c r="E68" s="64">
        <f>'Governance Crisis'!$H$9</f>
        <v>0</v>
      </c>
      <c r="F68" s="64" t="str">
        <f>'Governance Crisis'!$L$9</f>
        <v/>
      </c>
      <c r="G68" s="64" t="str">
        <f>'Governance Crisis'!$T$9</f>
        <v>CEO / COO / Risk</v>
      </c>
      <c r="H68" s="64">
        <f>'Governance Crisis'!$U$9</f>
        <v>0</v>
      </c>
      <c r="I68" s="64" t="str">
        <f t="shared" si="2"/>
        <v>OK</v>
      </c>
      <c r="J68" s="64" t="str">
        <f t="shared" si="3"/>
        <v>OK</v>
      </c>
      <c r="K68" s="64" t="str">
        <f t="shared" si="4"/>
        <v>OK</v>
      </c>
      <c r="L68" s="64" t="str">
        <f>IF(AND(E68&lt;&gt;"",E68&lt;&gt;"N/A",VALUE(E68)&lt;5,COUNTIF('Executive Recommendations'!$A$8:$A$414,A68)=0),"Missing recommended action","OK")</f>
        <v>Missing recommended action</v>
      </c>
      <c r="M68" s="64" t="s">
        <v>2348</v>
      </c>
      <c r="N68" s="64" t="s">
        <v>6403</v>
      </c>
    </row>
    <row r="69" spans="1:14" ht="51">
      <c r="A69" s="52" t="s">
        <v>2356</v>
      </c>
      <c r="B69" s="52" t="s">
        <v>60</v>
      </c>
      <c r="C69" s="52" t="s">
        <v>1075</v>
      </c>
      <c r="D69" s="52" t="s">
        <v>2357</v>
      </c>
      <c r="E69" s="52">
        <f>'Governance Crisis'!$H$10</f>
        <v>0</v>
      </c>
      <c r="F69" s="52" t="str">
        <f>'Governance Crisis'!$L$10</f>
        <v/>
      </c>
      <c r="G69" s="52" t="str">
        <f>'Governance Crisis'!$T$10</f>
        <v>CEO / COO / Risk</v>
      </c>
      <c r="H69" s="52">
        <f>'Governance Crisis'!$U$10</f>
        <v>0</v>
      </c>
      <c r="I69" s="52" t="str">
        <f t="shared" si="2"/>
        <v>OK</v>
      </c>
      <c r="J69" s="52" t="str">
        <f t="shared" si="3"/>
        <v>OK</v>
      </c>
      <c r="K69" s="52" t="str">
        <f t="shared" si="4"/>
        <v>OK</v>
      </c>
      <c r="L69" s="52" t="str">
        <f>IF(AND(E69&lt;&gt;"",E69&lt;&gt;"N/A",VALUE(E69)&lt;5,COUNTIF('Executive Recommendations'!$A$8:$A$414,A69)=0),"Missing recommended action","OK")</f>
        <v>Missing recommended action</v>
      </c>
      <c r="M69" s="52" t="s">
        <v>2358</v>
      </c>
      <c r="N69" s="52" t="s">
        <v>6410</v>
      </c>
    </row>
    <row r="70" spans="1:14" ht="51">
      <c r="A70" s="64" t="s">
        <v>2366</v>
      </c>
      <c r="B70" s="64" t="s">
        <v>60</v>
      </c>
      <c r="C70" s="64" t="s">
        <v>1084</v>
      </c>
      <c r="D70" s="64" t="s">
        <v>2367</v>
      </c>
      <c r="E70" s="64">
        <f>'Governance Crisis'!$H$11</f>
        <v>0</v>
      </c>
      <c r="F70" s="64" t="str">
        <f>'Governance Crisis'!$L$11</f>
        <v/>
      </c>
      <c r="G70" s="64" t="str">
        <f>'Governance Crisis'!$T$11</f>
        <v>CEO / COO / Risk</v>
      </c>
      <c r="H70" s="64">
        <f>'Governance Crisis'!$U$11</f>
        <v>0</v>
      </c>
      <c r="I70" s="64" t="str">
        <f t="shared" si="2"/>
        <v>OK</v>
      </c>
      <c r="J70" s="64" t="str">
        <f t="shared" si="3"/>
        <v>OK</v>
      </c>
      <c r="K70" s="64" t="str">
        <f t="shared" si="4"/>
        <v>OK</v>
      </c>
      <c r="L70" s="64" t="str">
        <f>IF(AND(E70&lt;&gt;"",E70&lt;&gt;"N/A",VALUE(E70)&lt;5,COUNTIF('Executive Recommendations'!$A$8:$A$414,A70)=0),"Missing recommended action","OK")</f>
        <v>Missing recommended action</v>
      </c>
      <c r="M70" s="64" t="s">
        <v>2368</v>
      </c>
      <c r="N70" s="64" t="s">
        <v>6418</v>
      </c>
    </row>
    <row r="71" spans="1:14" ht="63.75">
      <c r="A71" s="52" t="s">
        <v>2376</v>
      </c>
      <c r="B71" s="52" t="s">
        <v>60</v>
      </c>
      <c r="C71" s="52" t="s">
        <v>1084</v>
      </c>
      <c r="D71" s="52" t="s">
        <v>2377</v>
      </c>
      <c r="E71" s="52">
        <f>'Governance Crisis'!$H$12</f>
        <v>0</v>
      </c>
      <c r="F71" s="52" t="str">
        <f>'Governance Crisis'!$L$12</f>
        <v/>
      </c>
      <c r="G71" s="52" t="str">
        <f>'Governance Crisis'!$T$12</f>
        <v>CEO / COO / Risk</v>
      </c>
      <c r="H71" s="52">
        <f>'Governance Crisis'!$U$12</f>
        <v>0</v>
      </c>
      <c r="I71" s="52" t="str">
        <f t="shared" si="2"/>
        <v>OK</v>
      </c>
      <c r="J71" s="52" t="str">
        <f t="shared" si="3"/>
        <v>OK</v>
      </c>
      <c r="K71" s="52" t="str">
        <f t="shared" si="4"/>
        <v>OK</v>
      </c>
      <c r="L71" s="52" t="str">
        <f>IF(AND(E71&lt;&gt;"",E71&lt;&gt;"N/A",VALUE(E71)&lt;5,COUNTIF('Executive Recommendations'!$A$8:$A$414,A71)=0),"Missing recommended action","OK")</f>
        <v>Missing recommended action</v>
      </c>
      <c r="M71" s="52" t="s">
        <v>2378</v>
      </c>
      <c r="N71" s="52" t="s">
        <v>6425</v>
      </c>
    </row>
    <row r="72" spans="1:14" ht="51">
      <c r="A72" s="64" t="s">
        <v>2386</v>
      </c>
      <c r="B72" s="64" t="s">
        <v>60</v>
      </c>
      <c r="C72" s="64" t="s">
        <v>1084</v>
      </c>
      <c r="D72" s="64" t="s">
        <v>2387</v>
      </c>
      <c r="E72" s="64">
        <f>'Governance Crisis'!$H$13</f>
        <v>0</v>
      </c>
      <c r="F72" s="64" t="str">
        <f>'Governance Crisis'!$L$13</f>
        <v/>
      </c>
      <c r="G72" s="64" t="str">
        <f>'Governance Crisis'!$T$13</f>
        <v>CEO / COO / Risk</v>
      </c>
      <c r="H72" s="64">
        <f>'Governance Crisis'!$U$13</f>
        <v>0</v>
      </c>
      <c r="I72" s="64" t="str">
        <f t="shared" si="2"/>
        <v>OK</v>
      </c>
      <c r="J72" s="64" t="str">
        <f t="shared" si="3"/>
        <v>OK</v>
      </c>
      <c r="K72" s="64" t="str">
        <f t="shared" si="4"/>
        <v>OK</v>
      </c>
      <c r="L72" s="64" t="str">
        <f>IF(AND(E72&lt;&gt;"",E72&lt;&gt;"N/A",VALUE(E72)&lt;5,COUNTIF('Executive Recommendations'!$A$8:$A$414,A72)=0),"Missing recommended action","OK")</f>
        <v>Missing recommended action</v>
      </c>
      <c r="M72" s="64" t="s">
        <v>2388</v>
      </c>
      <c r="N72" s="64" t="s">
        <v>6432</v>
      </c>
    </row>
    <row r="73" spans="1:14" ht="51">
      <c r="A73" s="52" t="s">
        <v>2396</v>
      </c>
      <c r="B73" s="52" t="s">
        <v>60</v>
      </c>
      <c r="C73" s="52" t="s">
        <v>1084</v>
      </c>
      <c r="D73" s="52" t="s">
        <v>2397</v>
      </c>
      <c r="E73" s="52">
        <f>'Governance Crisis'!$H$14</f>
        <v>0</v>
      </c>
      <c r="F73" s="52" t="str">
        <f>'Governance Crisis'!$L$14</f>
        <v/>
      </c>
      <c r="G73" s="52" t="str">
        <f>'Governance Crisis'!$T$14</f>
        <v>CEO / COO / Risk</v>
      </c>
      <c r="H73" s="52">
        <f>'Governance Crisis'!$U$14</f>
        <v>0</v>
      </c>
      <c r="I73" s="52" t="str">
        <f t="shared" si="2"/>
        <v>OK</v>
      </c>
      <c r="J73" s="52" t="str">
        <f t="shared" si="3"/>
        <v>OK</v>
      </c>
      <c r="K73" s="52" t="str">
        <f t="shared" si="4"/>
        <v>OK</v>
      </c>
      <c r="L73" s="52" t="str">
        <f>IF(AND(E73&lt;&gt;"",E73&lt;&gt;"N/A",VALUE(E73)&lt;5,COUNTIF('Executive Recommendations'!$A$8:$A$414,A73)=0),"Missing recommended action","OK")</f>
        <v>Missing recommended action</v>
      </c>
      <c r="M73" s="52" t="s">
        <v>2398</v>
      </c>
      <c r="N73" s="52" t="s">
        <v>6439</v>
      </c>
    </row>
    <row r="74" spans="1:14" ht="63.75">
      <c r="A74" s="64" t="s">
        <v>2406</v>
      </c>
      <c r="B74" s="64" t="s">
        <v>60</v>
      </c>
      <c r="C74" s="64" t="s">
        <v>1084</v>
      </c>
      <c r="D74" s="64" t="s">
        <v>2407</v>
      </c>
      <c r="E74" s="64">
        <f>'Governance Crisis'!$H$15</f>
        <v>0</v>
      </c>
      <c r="F74" s="64" t="str">
        <f>'Governance Crisis'!$L$15</f>
        <v/>
      </c>
      <c r="G74" s="64" t="str">
        <f>'Governance Crisis'!$T$15</f>
        <v>CEO / COO / Risk</v>
      </c>
      <c r="H74" s="64">
        <f>'Governance Crisis'!$U$15</f>
        <v>0</v>
      </c>
      <c r="I74" s="64" t="str">
        <f t="shared" si="2"/>
        <v>OK</v>
      </c>
      <c r="J74" s="64" t="str">
        <f t="shared" si="3"/>
        <v>OK</v>
      </c>
      <c r="K74" s="64" t="str">
        <f t="shared" si="4"/>
        <v>OK</v>
      </c>
      <c r="L74" s="64" t="str">
        <f>IF(AND(E74&lt;&gt;"",E74&lt;&gt;"N/A",VALUE(E74)&lt;5,COUNTIF('Executive Recommendations'!$A$8:$A$414,A74)=0),"Missing recommended action","OK")</f>
        <v>Missing recommended action</v>
      </c>
      <c r="M74" s="64" t="s">
        <v>2408</v>
      </c>
      <c r="N74" s="64" t="s">
        <v>6446</v>
      </c>
    </row>
    <row r="75" spans="1:14" ht="76.5">
      <c r="A75" s="52" t="s">
        <v>2416</v>
      </c>
      <c r="B75" s="52" t="s">
        <v>60</v>
      </c>
      <c r="C75" s="52" t="s">
        <v>1084</v>
      </c>
      <c r="D75" s="52" t="s">
        <v>2417</v>
      </c>
      <c r="E75" s="52">
        <f>'Governance Crisis'!$H$16</f>
        <v>0</v>
      </c>
      <c r="F75" s="52" t="str">
        <f>'Governance Crisis'!$L$16</f>
        <v/>
      </c>
      <c r="G75" s="52" t="str">
        <f>'Governance Crisis'!$T$16</f>
        <v>CEO / COO / Risk</v>
      </c>
      <c r="H75" s="52">
        <f>'Governance Crisis'!$U$16</f>
        <v>0</v>
      </c>
      <c r="I75" s="52" t="str">
        <f t="shared" si="2"/>
        <v>OK</v>
      </c>
      <c r="J75" s="52" t="str">
        <f t="shared" si="3"/>
        <v>OK</v>
      </c>
      <c r="K75" s="52" t="str">
        <f t="shared" si="4"/>
        <v>OK</v>
      </c>
      <c r="L75" s="52" t="str">
        <f>IF(AND(E75&lt;&gt;"",E75&lt;&gt;"N/A",VALUE(E75)&lt;5,COUNTIF('Executive Recommendations'!$A$8:$A$414,A75)=0),"Missing recommended action","OK")</f>
        <v>Missing recommended action</v>
      </c>
      <c r="M75" s="52" t="s">
        <v>2418</v>
      </c>
      <c r="N75" s="52" t="s">
        <v>6453</v>
      </c>
    </row>
    <row r="76" spans="1:14" ht="51">
      <c r="A76" s="64" t="s">
        <v>2426</v>
      </c>
      <c r="B76" s="64" t="s">
        <v>60</v>
      </c>
      <c r="C76" s="64" t="s">
        <v>1084</v>
      </c>
      <c r="D76" s="64" t="s">
        <v>2427</v>
      </c>
      <c r="E76" s="64">
        <f>'Governance Crisis'!$H$17</f>
        <v>0</v>
      </c>
      <c r="F76" s="64" t="str">
        <f>'Governance Crisis'!$L$17</f>
        <v/>
      </c>
      <c r="G76" s="64" t="str">
        <f>'Governance Crisis'!$T$17</f>
        <v>CEO / COO / Risk</v>
      </c>
      <c r="H76" s="64">
        <f>'Governance Crisis'!$U$17</f>
        <v>0</v>
      </c>
      <c r="I76" s="64" t="str">
        <f t="shared" si="2"/>
        <v>OK</v>
      </c>
      <c r="J76" s="64" t="str">
        <f t="shared" si="3"/>
        <v>OK</v>
      </c>
      <c r="K76" s="64" t="str">
        <f t="shared" si="4"/>
        <v>OK</v>
      </c>
      <c r="L76" s="64" t="str">
        <f>IF(AND(E76&lt;&gt;"",E76&lt;&gt;"N/A",VALUE(E76)&lt;5,COUNTIF('Executive Recommendations'!$A$8:$A$414,A76)=0),"Missing recommended action","OK")</f>
        <v>Missing recommended action</v>
      </c>
      <c r="M76" s="64" t="s">
        <v>2428</v>
      </c>
      <c r="N76" s="64" t="s">
        <v>6460</v>
      </c>
    </row>
    <row r="77" spans="1:14" ht="63.75">
      <c r="A77" s="52" t="s">
        <v>2436</v>
      </c>
      <c r="B77" s="52" t="s">
        <v>60</v>
      </c>
      <c r="C77" s="52" t="s">
        <v>1092</v>
      </c>
      <c r="D77" s="52" t="s">
        <v>2437</v>
      </c>
      <c r="E77" s="52">
        <f>'Governance Crisis'!$H$18</f>
        <v>0</v>
      </c>
      <c r="F77" s="52" t="str">
        <f>'Governance Crisis'!$L$18</f>
        <v/>
      </c>
      <c r="G77" s="52" t="str">
        <f>'Governance Crisis'!$T$18</f>
        <v>CEO / COO / Risk</v>
      </c>
      <c r="H77" s="52">
        <f>'Governance Crisis'!$U$18</f>
        <v>0</v>
      </c>
      <c r="I77" s="52" t="str">
        <f t="shared" si="2"/>
        <v>OK</v>
      </c>
      <c r="J77" s="52" t="str">
        <f t="shared" si="3"/>
        <v>OK</v>
      </c>
      <c r="K77" s="52" t="str">
        <f t="shared" si="4"/>
        <v>OK</v>
      </c>
      <c r="L77" s="52" t="str">
        <f>IF(AND(E77&lt;&gt;"",E77&lt;&gt;"N/A",VALUE(E77)&lt;5,COUNTIF('Executive Recommendations'!$A$8:$A$414,A77)=0),"Missing recommended action","OK")</f>
        <v>Missing recommended action</v>
      </c>
      <c r="M77" s="52" t="s">
        <v>2438</v>
      </c>
      <c r="N77" s="52" t="s">
        <v>6468</v>
      </c>
    </row>
    <row r="78" spans="1:14" ht="63.75">
      <c r="A78" s="64" t="s">
        <v>2446</v>
      </c>
      <c r="B78" s="64" t="s">
        <v>60</v>
      </c>
      <c r="C78" s="64" t="s">
        <v>1092</v>
      </c>
      <c r="D78" s="64" t="s">
        <v>2447</v>
      </c>
      <c r="E78" s="64">
        <f>'Governance Crisis'!$H$19</f>
        <v>0</v>
      </c>
      <c r="F78" s="64" t="str">
        <f>'Governance Crisis'!$L$19</f>
        <v/>
      </c>
      <c r="G78" s="64" t="str">
        <f>'Governance Crisis'!$T$19</f>
        <v>CEO / COO / Risk</v>
      </c>
      <c r="H78" s="64">
        <f>'Governance Crisis'!$U$19</f>
        <v>0</v>
      </c>
      <c r="I78" s="64" t="str">
        <f t="shared" si="2"/>
        <v>OK</v>
      </c>
      <c r="J78" s="64" t="str">
        <f t="shared" si="3"/>
        <v>OK</v>
      </c>
      <c r="K78" s="64" t="str">
        <f t="shared" si="4"/>
        <v>OK</v>
      </c>
      <c r="L78" s="64" t="str">
        <f>IF(AND(E78&lt;&gt;"",E78&lt;&gt;"N/A",VALUE(E78)&lt;5,COUNTIF('Executive Recommendations'!$A$8:$A$414,A78)=0),"Missing recommended action","OK")</f>
        <v>Missing recommended action</v>
      </c>
      <c r="M78" s="64" t="s">
        <v>2448</v>
      </c>
      <c r="N78" s="64" t="s">
        <v>6475</v>
      </c>
    </row>
    <row r="79" spans="1:14" ht="63.75">
      <c r="A79" s="52" t="s">
        <v>2456</v>
      </c>
      <c r="B79" s="52" t="s">
        <v>60</v>
      </c>
      <c r="C79" s="52" t="s">
        <v>1092</v>
      </c>
      <c r="D79" s="52" t="s">
        <v>2457</v>
      </c>
      <c r="E79" s="52">
        <f>'Governance Crisis'!$H$20</f>
        <v>0</v>
      </c>
      <c r="F79" s="52" t="str">
        <f>'Governance Crisis'!$L$20</f>
        <v/>
      </c>
      <c r="G79" s="52" t="str">
        <f>'Governance Crisis'!$T$20</f>
        <v>CEO / COO / Risk</v>
      </c>
      <c r="H79" s="52">
        <f>'Governance Crisis'!$U$20</f>
        <v>0</v>
      </c>
      <c r="I79" s="52" t="str">
        <f t="shared" si="2"/>
        <v>OK</v>
      </c>
      <c r="J79" s="52" t="str">
        <f t="shared" si="3"/>
        <v>OK</v>
      </c>
      <c r="K79" s="52" t="str">
        <f t="shared" si="4"/>
        <v>OK</v>
      </c>
      <c r="L79" s="52" t="str">
        <f>IF(AND(E79&lt;&gt;"",E79&lt;&gt;"N/A",VALUE(E79)&lt;5,COUNTIF('Executive Recommendations'!$A$8:$A$414,A79)=0),"Missing recommended action","OK")</f>
        <v>Missing recommended action</v>
      </c>
      <c r="M79" s="52" t="s">
        <v>2458</v>
      </c>
      <c r="N79" s="52" t="s">
        <v>6482</v>
      </c>
    </row>
    <row r="80" spans="1:14" ht="63.75">
      <c r="A80" s="64" t="s">
        <v>2466</v>
      </c>
      <c r="B80" s="64" t="s">
        <v>60</v>
      </c>
      <c r="C80" s="64" t="s">
        <v>1092</v>
      </c>
      <c r="D80" s="64" t="s">
        <v>2467</v>
      </c>
      <c r="E80" s="64">
        <f>'Governance Crisis'!$H$21</f>
        <v>0</v>
      </c>
      <c r="F80" s="64" t="str">
        <f>'Governance Crisis'!$L$21</f>
        <v/>
      </c>
      <c r="G80" s="64" t="str">
        <f>'Governance Crisis'!$T$21</f>
        <v>CEO / COO / Risk</v>
      </c>
      <c r="H80" s="64">
        <f>'Governance Crisis'!$U$21</f>
        <v>0</v>
      </c>
      <c r="I80" s="64" t="str">
        <f t="shared" si="2"/>
        <v>OK</v>
      </c>
      <c r="J80" s="64" t="str">
        <f t="shared" si="3"/>
        <v>OK</v>
      </c>
      <c r="K80" s="64" t="str">
        <f t="shared" si="4"/>
        <v>OK</v>
      </c>
      <c r="L80" s="64" t="str">
        <f>IF(AND(E80&lt;&gt;"",E80&lt;&gt;"N/A",VALUE(E80)&lt;5,COUNTIF('Executive Recommendations'!$A$8:$A$414,A80)=0),"Missing recommended action","OK")</f>
        <v>Missing recommended action</v>
      </c>
      <c r="M80" s="64" t="s">
        <v>2468</v>
      </c>
      <c r="N80" s="64" t="s">
        <v>6489</v>
      </c>
    </row>
    <row r="81" spans="1:14" ht="51">
      <c r="A81" s="52" t="s">
        <v>2476</v>
      </c>
      <c r="B81" s="52" t="s">
        <v>60</v>
      </c>
      <c r="C81" s="52" t="s">
        <v>1092</v>
      </c>
      <c r="D81" s="52" t="s">
        <v>2477</v>
      </c>
      <c r="E81" s="52">
        <f>'Governance Crisis'!$H$22</f>
        <v>0</v>
      </c>
      <c r="F81" s="52" t="str">
        <f>'Governance Crisis'!$L$22</f>
        <v/>
      </c>
      <c r="G81" s="52" t="str">
        <f>'Governance Crisis'!$T$22</f>
        <v>CEO / COO / Risk</v>
      </c>
      <c r="H81" s="52">
        <f>'Governance Crisis'!$U$22</f>
        <v>0</v>
      </c>
      <c r="I81" s="52" t="str">
        <f t="shared" si="2"/>
        <v>OK</v>
      </c>
      <c r="J81" s="52" t="str">
        <f t="shared" si="3"/>
        <v>OK</v>
      </c>
      <c r="K81" s="52" t="str">
        <f t="shared" si="4"/>
        <v>OK</v>
      </c>
      <c r="L81" s="52" t="str">
        <f>IF(AND(E81&lt;&gt;"",E81&lt;&gt;"N/A",VALUE(E81)&lt;5,COUNTIF('Executive Recommendations'!$A$8:$A$414,A81)=0),"Missing recommended action","OK")</f>
        <v>Missing recommended action</v>
      </c>
      <c r="M81" s="52" t="s">
        <v>2478</v>
      </c>
      <c r="N81" s="52" t="s">
        <v>6496</v>
      </c>
    </row>
    <row r="82" spans="1:14" ht="51">
      <c r="A82" s="64" t="s">
        <v>2486</v>
      </c>
      <c r="B82" s="64" t="s">
        <v>60</v>
      </c>
      <c r="C82" s="64" t="s">
        <v>1092</v>
      </c>
      <c r="D82" s="64" t="s">
        <v>2487</v>
      </c>
      <c r="E82" s="64">
        <f>'Governance Crisis'!$H$23</f>
        <v>0</v>
      </c>
      <c r="F82" s="64" t="str">
        <f>'Governance Crisis'!$L$23</f>
        <v/>
      </c>
      <c r="G82" s="64" t="str">
        <f>'Governance Crisis'!$T$23</f>
        <v>CEO / COO / Risk</v>
      </c>
      <c r="H82" s="64">
        <f>'Governance Crisis'!$U$23</f>
        <v>0</v>
      </c>
      <c r="I82" s="64" t="str">
        <f t="shared" si="2"/>
        <v>OK</v>
      </c>
      <c r="J82" s="64" t="str">
        <f t="shared" si="3"/>
        <v>OK</v>
      </c>
      <c r="K82" s="64" t="str">
        <f t="shared" si="4"/>
        <v>OK</v>
      </c>
      <c r="L82" s="64" t="str">
        <f>IF(AND(E82&lt;&gt;"",E82&lt;&gt;"N/A",VALUE(E82)&lt;5,COUNTIF('Executive Recommendations'!$A$8:$A$414,A82)=0),"Missing recommended action","OK")</f>
        <v>Missing recommended action</v>
      </c>
      <c r="M82" s="64" t="s">
        <v>2488</v>
      </c>
      <c r="N82" s="64" t="s">
        <v>6503</v>
      </c>
    </row>
    <row r="83" spans="1:14" ht="63.75">
      <c r="A83" s="52" t="s">
        <v>2498</v>
      </c>
      <c r="B83" s="52" t="s">
        <v>63</v>
      </c>
      <c r="C83" s="52" t="s">
        <v>1100</v>
      </c>
      <c r="D83" s="52" t="s">
        <v>2499</v>
      </c>
      <c r="E83" s="52">
        <f>'HR Workforce'!$H$5</f>
        <v>0</v>
      </c>
      <c r="F83" s="52" t="str">
        <f>'HR Workforce'!$L$5</f>
        <v/>
      </c>
      <c r="G83" s="52" t="str">
        <f>'HR Workforce'!$T$5</f>
        <v>CHRO / HR</v>
      </c>
      <c r="H83" s="52">
        <f>'HR Workforce'!$U$5</f>
        <v>0</v>
      </c>
      <c r="I83" s="52" t="str">
        <f t="shared" si="2"/>
        <v>OK</v>
      </c>
      <c r="J83" s="52" t="str">
        <f t="shared" si="3"/>
        <v>OK</v>
      </c>
      <c r="K83" s="52" t="str">
        <f t="shared" si="4"/>
        <v>OK</v>
      </c>
      <c r="L83" s="52" t="str">
        <f>IF(AND(E83&lt;&gt;"",E83&lt;&gt;"N/A",VALUE(E83)&lt;5,COUNTIF('Executive Recommendations'!$A$8:$A$414,A83)=0),"Missing recommended action","OK")</f>
        <v>Missing recommended action</v>
      </c>
      <c r="M83" s="52" t="s">
        <v>2502</v>
      </c>
      <c r="N83" s="52" t="s">
        <v>6511</v>
      </c>
    </row>
    <row r="84" spans="1:14" ht="63.75">
      <c r="A84" s="64" t="s">
        <v>2512</v>
      </c>
      <c r="B84" s="64" t="s">
        <v>63</v>
      </c>
      <c r="C84" s="64" t="s">
        <v>1100</v>
      </c>
      <c r="D84" s="64" t="s">
        <v>2513</v>
      </c>
      <c r="E84" s="64">
        <f>'HR Workforce'!$H$6</f>
        <v>0</v>
      </c>
      <c r="F84" s="64" t="str">
        <f>'HR Workforce'!$L$6</f>
        <v/>
      </c>
      <c r="G84" s="64" t="str">
        <f>'HR Workforce'!$T$6</f>
        <v>CHRO / HR</v>
      </c>
      <c r="H84" s="64">
        <f>'HR Workforce'!$U$6</f>
        <v>0</v>
      </c>
      <c r="I84" s="64" t="str">
        <f t="shared" ref="I84:I147" si="5">IF(E84="","Missing score",IF(E84="N/A","OK",IF(AND(ISNUMBER(VALUE(E84)),VALUE(E84)&gt;=0,VALUE(E84)&lt;=5),"OK","Invalid score")))</f>
        <v>OK</v>
      </c>
      <c r="J84" s="64" t="str">
        <f t="shared" ref="J84:J147" si="6">IF(OR(F84="Critical",F84="High"),IF(H84="","Missing comments for high/critical risk","OK"),"OK")</f>
        <v>OK</v>
      </c>
      <c r="K84" s="64" t="str">
        <f t="shared" ref="K84:K147" si="7">IF(G84="","Missing owner","OK")</f>
        <v>OK</v>
      </c>
      <c r="L84" s="64" t="str">
        <f>IF(AND(E84&lt;&gt;"",E84&lt;&gt;"N/A",VALUE(E84)&lt;5,COUNTIF('Executive Recommendations'!$A$8:$A$414,A84)=0),"Missing recommended action","OK")</f>
        <v>Missing recommended action</v>
      </c>
      <c r="M84" s="64" t="s">
        <v>2514</v>
      </c>
      <c r="N84" s="64" t="s">
        <v>6518</v>
      </c>
    </row>
    <row r="85" spans="1:14" ht="63.75">
      <c r="A85" s="52" t="s">
        <v>2522</v>
      </c>
      <c r="B85" s="52" t="s">
        <v>63</v>
      </c>
      <c r="C85" s="52" t="s">
        <v>1100</v>
      </c>
      <c r="D85" s="52" t="s">
        <v>2523</v>
      </c>
      <c r="E85" s="52">
        <f>'HR Workforce'!$H$7</f>
        <v>0</v>
      </c>
      <c r="F85" s="52" t="str">
        <f>'HR Workforce'!$L$7</f>
        <v/>
      </c>
      <c r="G85" s="52" t="str">
        <f>'HR Workforce'!$T$7</f>
        <v>CHRO / HR</v>
      </c>
      <c r="H85" s="52">
        <f>'HR Workforce'!$U$7</f>
        <v>0</v>
      </c>
      <c r="I85" s="52" t="str">
        <f t="shared" si="5"/>
        <v>OK</v>
      </c>
      <c r="J85" s="52" t="str">
        <f t="shared" si="6"/>
        <v>OK</v>
      </c>
      <c r="K85" s="52" t="str">
        <f t="shared" si="7"/>
        <v>OK</v>
      </c>
      <c r="L85" s="52" t="str">
        <f>IF(AND(E85&lt;&gt;"",E85&lt;&gt;"N/A",VALUE(E85)&lt;5,COUNTIF('Executive Recommendations'!$A$8:$A$414,A85)=0),"Missing recommended action","OK")</f>
        <v>Missing recommended action</v>
      </c>
      <c r="M85" s="52" t="s">
        <v>2524</v>
      </c>
      <c r="N85" s="52" t="s">
        <v>6525</v>
      </c>
    </row>
    <row r="86" spans="1:14" ht="63.75">
      <c r="A86" s="64" t="s">
        <v>2532</v>
      </c>
      <c r="B86" s="64" t="s">
        <v>63</v>
      </c>
      <c r="C86" s="64" t="s">
        <v>1100</v>
      </c>
      <c r="D86" s="64" t="s">
        <v>2533</v>
      </c>
      <c r="E86" s="64">
        <f>'HR Workforce'!$H$8</f>
        <v>0</v>
      </c>
      <c r="F86" s="64" t="str">
        <f>'HR Workforce'!$L$8</f>
        <v/>
      </c>
      <c r="G86" s="64" t="str">
        <f>'HR Workforce'!$T$8</f>
        <v>CHRO / HR</v>
      </c>
      <c r="H86" s="64">
        <f>'HR Workforce'!$U$8</f>
        <v>0</v>
      </c>
      <c r="I86" s="64" t="str">
        <f t="shared" si="5"/>
        <v>OK</v>
      </c>
      <c r="J86" s="64" t="str">
        <f t="shared" si="6"/>
        <v>OK</v>
      </c>
      <c r="K86" s="64" t="str">
        <f t="shared" si="7"/>
        <v>OK</v>
      </c>
      <c r="L86" s="64" t="str">
        <f>IF(AND(E86&lt;&gt;"",E86&lt;&gt;"N/A",VALUE(E86)&lt;5,COUNTIF('Executive Recommendations'!$A$8:$A$414,A86)=0),"Missing recommended action","OK")</f>
        <v>Missing recommended action</v>
      </c>
      <c r="M86" s="64" t="s">
        <v>2534</v>
      </c>
      <c r="N86" s="64" t="s">
        <v>6532</v>
      </c>
    </row>
    <row r="87" spans="1:14" ht="63.75">
      <c r="A87" s="52" t="s">
        <v>2542</v>
      </c>
      <c r="B87" s="52" t="s">
        <v>63</v>
      </c>
      <c r="C87" s="52" t="s">
        <v>1100</v>
      </c>
      <c r="D87" s="52" t="s">
        <v>2543</v>
      </c>
      <c r="E87" s="52">
        <f>'HR Workforce'!$H$9</f>
        <v>0</v>
      </c>
      <c r="F87" s="52" t="str">
        <f>'HR Workforce'!$L$9</f>
        <v/>
      </c>
      <c r="G87" s="52" t="str">
        <f>'HR Workforce'!$T$9</f>
        <v>CHRO / HR</v>
      </c>
      <c r="H87" s="52">
        <f>'HR Workforce'!$U$9</f>
        <v>0</v>
      </c>
      <c r="I87" s="52" t="str">
        <f t="shared" si="5"/>
        <v>OK</v>
      </c>
      <c r="J87" s="52" t="str">
        <f t="shared" si="6"/>
        <v>OK</v>
      </c>
      <c r="K87" s="52" t="str">
        <f t="shared" si="7"/>
        <v>OK</v>
      </c>
      <c r="L87" s="52" t="str">
        <f>IF(AND(E87&lt;&gt;"",E87&lt;&gt;"N/A",VALUE(E87)&lt;5,COUNTIF('Executive Recommendations'!$A$8:$A$414,A87)=0),"Missing recommended action","OK")</f>
        <v>Missing recommended action</v>
      </c>
      <c r="M87" s="52" t="s">
        <v>2544</v>
      </c>
      <c r="N87" s="52" t="s">
        <v>6539</v>
      </c>
    </row>
    <row r="88" spans="1:14" ht="51">
      <c r="A88" s="64" t="s">
        <v>2552</v>
      </c>
      <c r="B88" s="64" t="s">
        <v>63</v>
      </c>
      <c r="C88" s="64" t="s">
        <v>1100</v>
      </c>
      <c r="D88" s="64" t="s">
        <v>2553</v>
      </c>
      <c r="E88" s="64">
        <f>'HR Workforce'!$H$10</f>
        <v>0</v>
      </c>
      <c r="F88" s="64" t="str">
        <f>'HR Workforce'!$L$10</f>
        <v/>
      </c>
      <c r="G88" s="64" t="str">
        <f>'HR Workforce'!$T$10</f>
        <v>CHRO / HR</v>
      </c>
      <c r="H88" s="64">
        <f>'HR Workforce'!$U$10</f>
        <v>0</v>
      </c>
      <c r="I88" s="64" t="str">
        <f t="shared" si="5"/>
        <v>OK</v>
      </c>
      <c r="J88" s="64" t="str">
        <f t="shared" si="6"/>
        <v>OK</v>
      </c>
      <c r="K88" s="64" t="str">
        <f t="shared" si="7"/>
        <v>OK</v>
      </c>
      <c r="L88" s="64" t="str">
        <f>IF(AND(E88&lt;&gt;"",E88&lt;&gt;"N/A",VALUE(E88)&lt;5,COUNTIF('Executive Recommendations'!$A$8:$A$414,A88)=0),"Missing recommended action","OK")</f>
        <v>Missing recommended action</v>
      </c>
      <c r="M88" s="64" t="s">
        <v>2554</v>
      </c>
      <c r="N88" s="64" t="s">
        <v>6546</v>
      </c>
    </row>
    <row r="89" spans="1:14" ht="51">
      <c r="A89" s="52" t="s">
        <v>2562</v>
      </c>
      <c r="B89" s="52" t="s">
        <v>63</v>
      </c>
      <c r="C89" s="52" t="s">
        <v>1113</v>
      </c>
      <c r="D89" s="52" t="s">
        <v>2563</v>
      </c>
      <c r="E89" s="52">
        <f>'HR Workforce'!$H$11</f>
        <v>0</v>
      </c>
      <c r="F89" s="52" t="str">
        <f>'HR Workforce'!$L$11</f>
        <v/>
      </c>
      <c r="G89" s="52" t="str">
        <f>'HR Workforce'!$T$11</f>
        <v>CHRO / HR</v>
      </c>
      <c r="H89" s="52">
        <f>'HR Workforce'!$U$11</f>
        <v>0</v>
      </c>
      <c r="I89" s="52" t="str">
        <f t="shared" si="5"/>
        <v>OK</v>
      </c>
      <c r="J89" s="52" t="str">
        <f t="shared" si="6"/>
        <v>OK</v>
      </c>
      <c r="K89" s="52" t="str">
        <f t="shared" si="7"/>
        <v>OK</v>
      </c>
      <c r="L89" s="52" t="str">
        <f>IF(AND(E89&lt;&gt;"",E89&lt;&gt;"N/A",VALUE(E89)&lt;5,COUNTIF('Executive Recommendations'!$A$8:$A$414,A89)=0),"Missing recommended action","OK")</f>
        <v>Missing recommended action</v>
      </c>
      <c r="M89" s="52" t="s">
        <v>2564</v>
      </c>
      <c r="N89" s="52" t="s">
        <v>6554</v>
      </c>
    </row>
    <row r="90" spans="1:14" ht="51">
      <c r="A90" s="64" t="s">
        <v>2572</v>
      </c>
      <c r="B90" s="64" t="s">
        <v>63</v>
      </c>
      <c r="C90" s="64" t="s">
        <v>1113</v>
      </c>
      <c r="D90" s="64" t="s">
        <v>2573</v>
      </c>
      <c r="E90" s="64">
        <f>'HR Workforce'!$H$12</f>
        <v>0</v>
      </c>
      <c r="F90" s="64" t="str">
        <f>'HR Workforce'!$L$12</f>
        <v/>
      </c>
      <c r="G90" s="64" t="str">
        <f>'HR Workforce'!$T$12</f>
        <v>CHRO / HR</v>
      </c>
      <c r="H90" s="64">
        <f>'HR Workforce'!$U$12</f>
        <v>0</v>
      </c>
      <c r="I90" s="64" t="str">
        <f t="shared" si="5"/>
        <v>OK</v>
      </c>
      <c r="J90" s="64" t="str">
        <f t="shared" si="6"/>
        <v>OK</v>
      </c>
      <c r="K90" s="64" t="str">
        <f t="shared" si="7"/>
        <v>OK</v>
      </c>
      <c r="L90" s="64" t="str">
        <f>IF(AND(E90&lt;&gt;"",E90&lt;&gt;"N/A",VALUE(E90)&lt;5,COUNTIF('Executive Recommendations'!$A$8:$A$414,A90)=0),"Missing recommended action","OK")</f>
        <v>Missing recommended action</v>
      </c>
      <c r="M90" s="64" t="s">
        <v>2574</v>
      </c>
      <c r="N90" s="64" t="s">
        <v>6561</v>
      </c>
    </row>
    <row r="91" spans="1:14" ht="51">
      <c r="A91" s="52" t="s">
        <v>2582</v>
      </c>
      <c r="B91" s="52" t="s">
        <v>63</v>
      </c>
      <c r="C91" s="52" t="s">
        <v>1113</v>
      </c>
      <c r="D91" s="52" t="s">
        <v>2583</v>
      </c>
      <c r="E91" s="52">
        <f>'HR Workforce'!$H$13</f>
        <v>0</v>
      </c>
      <c r="F91" s="52" t="str">
        <f>'HR Workforce'!$L$13</f>
        <v/>
      </c>
      <c r="G91" s="52" t="str">
        <f>'HR Workforce'!$T$13</f>
        <v>CHRO / HR</v>
      </c>
      <c r="H91" s="52">
        <f>'HR Workforce'!$U$13</f>
        <v>0</v>
      </c>
      <c r="I91" s="52" t="str">
        <f t="shared" si="5"/>
        <v>OK</v>
      </c>
      <c r="J91" s="52" t="str">
        <f t="shared" si="6"/>
        <v>OK</v>
      </c>
      <c r="K91" s="52" t="str">
        <f t="shared" si="7"/>
        <v>OK</v>
      </c>
      <c r="L91" s="52" t="str">
        <f>IF(AND(E91&lt;&gt;"",E91&lt;&gt;"N/A",VALUE(E91)&lt;5,COUNTIF('Executive Recommendations'!$A$8:$A$414,A91)=0),"Missing recommended action","OK")</f>
        <v>Missing recommended action</v>
      </c>
      <c r="M91" s="52" t="s">
        <v>2584</v>
      </c>
      <c r="N91" s="52" t="s">
        <v>6568</v>
      </c>
    </row>
    <row r="92" spans="1:14" ht="51">
      <c r="A92" s="64" t="s">
        <v>2592</v>
      </c>
      <c r="B92" s="64" t="s">
        <v>63</v>
      </c>
      <c r="C92" s="64" t="s">
        <v>1113</v>
      </c>
      <c r="D92" s="64" t="s">
        <v>2593</v>
      </c>
      <c r="E92" s="64">
        <f>'HR Workforce'!$H$14</f>
        <v>0</v>
      </c>
      <c r="F92" s="64" t="str">
        <f>'HR Workforce'!$L$14</f>
        <v/>
      </c>
      <c r="G92" s="64" t="str">
        <f>'HR Workforce'!$T$14</f>
        <v>CHRO / HR</v>
      </c>
      <c r="H92" s="64">
        <f>'HR Workforce'!$U$14</f>
        <v>0</v>
      </c>
      <c r="I92" s="64" t="str">
        <f t="shared" si="5"/>
        <v>OK</v>
      </c>
      <c r="J92" s="64" t="str">
        <f t="shared" si="6"/>
        <v>OK</v>
      </c>
      <c r="K92" s="64" t="str">
        <f t="shared" si="7"/>
        <v>OK</v>
      </c>
      <c r="L92" s="64" t="str">
        <f>IF(AND(E92&lt;&gt;"",E92&lt;&gt;"N/A",VALUE(E92)&lt;5,COUNTIF('Executive Recommendations'!$A$8:$A$414,A92)=0),"Missing recommended action","OK")</f>
        <v>Missing recommended action</v>
      </c>
      <c r="M92" s="64" t="s">
        <v>2594</v>
      </c>
      <c r="N92" s="64" t="s">
        <v>6575</v>
      </c>
    </row>
    <row r="93" spans="1:14" ht="51">
      <c r="A93" s="52" t="s">
        <v>2602</v>
      </c>
      <c r="B93" s="52" t="s">
        <v>63</v>
      </c>
      <c r="C93" s="52" t="s">
        <v>1113</v>
      </c>
      <c r="D93" s="52" t="s">
        <v>2603</v>
      </c>
      <c r="E93" s="52">
        <f>'HR Workforce'!$H$15</f>
        <v>0</v>
      </c>
      <c r="F93" s="52" t="str">
        <f>'HR Workforce'!$L$15</f>
        <v/>
      </c>
      <c r="G93" s="52" t="str">
        <f>'HR Workforce'!$T$15</f>
        <v>CHRO / HR</v>
      </c>
      <c r="H93" s="52">
        <f>'HR Workforce'!$U$15</f>
        <v>0</v>
      </c>
      <c r="I93" s="52" t="str">
        <f t="shared" si="5"/>
        <v>OK</v>
      </c>
      <c r="J93" s="52" t="str">
        <f t="shared" si="6"/>
        <v>OK</v>
      </c>
      <c r="K93" s="52" t="str">
        <f t="shared" si="7"/>
        <v>OK</v>
      </c>
      <c r="L93" s="52" t="str">
        <f>IF(AND(E93&lt;&gt;"",E93&lt;&gt;"N/A",VALUE(E93)&lt;5,COUNTIF('Executive Recommendations'!$A$8:$A$414,A93)=0),"Missing recommended action","OK")</f>
        <v>Missing recommended action</v>
      </c>
      <c r="M93" s="52" t="s">
        <v>2604</v>
      </c>
      <c r="N93" s="52" t="s">
        <v>6582</v>
      </c>
    </row>
    <row r="94" spans="1:14" ht="51">
      <c r="A94" s="64" t="s">
        <v>2612</v>
      </c>
      <c r="B94" s="64" t="s">
        <v>63</v>
      </c>
      <c r="C94" s="64" t="s">
        <v>1113</v>
      </c>
      <c r="D94" s="64" t="s">
        <v>2613</v>
      </c>
      <c r="E94" s="64">
        <f>'HR Workforce'!$H$16</f>
        <v>0</v>
      </c>
      <c r="F94" s="64" t="str">
        <f>'HR Workforce'!$L$16</f>
        <v/>
      </c>
      <c r="G94" s="64" t="str">
        <f>'HR Workforce'!$T$16</f>
        <v>CHRO / HR</v>
      </c>
      <c r="H94" s="64">
        <f>'HR Workforce'!$U$16</f>
        <v>0</v>
      </c>
      <c r="I94" s="64" t="str">
        <f t="shared" si="5"/>
        <v>OK</v>
      </c>
      <c r="J94" s="64" t="str">
        <f t="shared" si="6"/>
        <v>OK</v>
      </c>
      <c r="K94" s="64" t="str">
        <f t="shared" si="7"/>
        <v>OK</v>
      </c>
      <c r="L94" s="64" t="str">
        <f>IF(AND(E94&lt;&gt;"",E94&lt;&gt;"N/A",VALUE(E94)&lt;5,COUNTIF('Executive Recommendations'!$A$8:$A$414,A94)=0),"Missing recommended action","OK")</f>
        <v>Missing recommended action</v>
      </c>
      <c r="M94" s="64" t="s">
        <v>2614</v>
      </c>
      <c r="N94" s="64" t="s">
        <v>6589</v>
      </c>
    </row>
    <row r="95" spans="1:14" ht="51">
      <c r="A95" s="52" t="s">
        <v>2622</v>
      </c>
      <c r="B95" s="52" t="s">
        <v>63</v>
      </c>
      <c r="C95" s="52" t="s">
        <v>1121</v>
      </c>
      <c r="D95" s="52" t="s">
        <v>2623</v>
      </c>
      <c r="E95" s="52">
        <f>'HR Workforce'!$H$17</f>
        <v>0</v>
      </c>
      <c r="F95" s="52" t="str">
        <f>'HR Workforce'!$L$17</f>
        <v/>
      </c>
      <c r="G95" s="52" t="str">
        <f>'HR Workforce'!$T$17</f>
        <v>CHRO / HR</v>
      </c>
      <c r="H95" s="52">
        <f>'HR Workforce'!$U$17</f>
        <v>0</v>
      </c>
      <c r="I95" s="52" t="str">
        <f t="shared" si="5"/>
        <v>OK</v>
      </c>
      <c r="J95" s="52" t="str">
        <f t="shared" si="6"/>
        <v>OK</v>
      </c>
      <c r="K95" s="52" t="str">
        <f t="shared" si="7"/>
        <v>OK</v>
      </c>
      <c r="L95" s="52" t="str">
        <f>IF(AND(E95&lt;&gt;"",E95&lt;&gt;"N/A",VALUE(E95)&lt;5,COUNTIF('Executive Recommendations'!$A$8:$A$414,A95)=0),"Missing recommended action","OK")</f>
        <v>Missing recommended action</v>
      </c>
      <c r="M95" s="52" t="s">
        <v>2624</v>
      </c>
      <c r="N95" s="52" t="s">
        <v>6597</v>
      </c>
    </row>
    <row r="96" spans="1:14" ht="63.75">
      <c r="A96" s="64" t="s">
        <v>2632</v>
      </c>
      <c r="B96" s="64" t="s">
        <v>63</v>
      </c>
      <c r="C96" s="64" t="s">
        <v>1121</v>
      </c>
      <c r="D96" s="64" t="s">
        <v>2633</v>
      </c>
      <c r="E96" s="64">
        <f>'HR Workforce'!$H$18</f>
        <v>0</v>
      </c>
      <c r="F96" s="64" t="str">
        <f>'HR Workforce'!$L$18</f>
        <v/>
      </c>
      <c r="G96" s="64" t="str">
        <f>'HR Workforce'!$T$18</f>
        <v>CHRO / HR</v>
      </c>
      <c r="H96" s="64">
        <f>'HR Workforce'!$U$18</f>
        <v>0</v>
      </c>
      <c r="I96" s="64" t="str">
        <f t="shared" si="5"/>
        <v>OK</v>
      </c>
      <c r="J96" s="64" t="str">
        <f t="shared" si="6"/>
        <v>OK</v>
      </c>
      <c r="K96" s="64" t="str">
        <f t="shared" si="7"/>
        <v>OK</v>
      </c>
      <c r="L96" s="64" t="str">
        <f>IF(AND(E96&lt;&gt;"",E96&lt;&gt;"N/A",VALUE(E96)&lt;5,COUNTIF('Executive Recommendations'!$A$8:$A$414,A96)=0),"Missing recommended action","OK")</f>
        <v>Missing recommended action</v>
      </c>
      <c r="M96" s="64" t="s">
        <v>2634</v>
      </c>
      <c r="N96" s="64" t="s">
        <v>6604</v>
      </c>
    </row>
    <row r="97" spans="1:14" ht="51">
      <c r="A97" s="52" t="s">
        <v>2642</v>
      </c>
      <c r="B97" s="52" t="s">
        <v>63</v>
      </c>
      <c r="C97" s="52" t="s">
        <v>1121</v>
      </c>
      <c r="D97" s="52" t="s">
        <v>2643</v>
      </c>
      <c r="E97" s="52">
        <f>'HR Workforce'!$H$19</f>
        <v>0</v>
      </c>
      <c r="F97" s="52" t="str">
        <f>'HR Workforce'!$L$19</f>
        <v/>
      </c>
      <c r="G97" s="52" t="str">
        <f>'HR Workforce'!$T$19</f>
        <v>CHRO / HR</v>
      </c>
      <c r="H97" s="52">
        <f>'HR Workforce'!$U$19</f>
        <v>0</v>
      </c>
      <c r="I97" s="52" t="str">
        <f t="shared" si="5"/>
        <v>OK</v>
      </c>
      <c r="J97" s="52" t="str">
        <f t="shared" si="6"/>
        <v>OK</v>
      </c>
      <c r="K97" s="52" t="str">
        <f t="shared" si="7"/>
        <v>OK</v>
      </c>
      <c r="L97" s="52" t="str">
        <f>IF(AND(E97&lt;&gt;"",E97&lt;&gt;"N/A",VALUE(E97)&lt;5,COUNTIF('Executive Recommendations'!$A$8:$A$414,A97)=0),"Missing recommended action","OK")</f>
        <v>Missing recommended action</v>
      </c>
      <c r="M97" s="52" t="s">
        <v>2644</v>
      </c>
      <c r="N97" s="52" t="s">
        <v>6611</v>
      </c>
    </row>
    <row r="98" spans="1:14" ht="51">
      <c r="A98" s="64" t="s">
        <v>2652</v>
      </c>
      <c r="B98" s="64" t="s">
        <v>63</v>
      </c>
      <c r="C98" s="64" t="s">
        <v>1121</v>
      </c>
      <c r="D98" s="64" t="s">
        <v>2653</v>
      </c>
      <c r="E98" s="64">
        <f>'HR Workforce'!$H$20</f>
        <v>0</v>
      </c>
      <c r="F98" s="64" t="str">
        <f>'HR Workforce'!$L$20</f>
        <v/>
      </c>
      <c r="G98" s="64" t="str">
        <f>'HR Workforce'!$T$20</f>
        <v>CHRO / HR</v>
      </c>
      <c r="H98" s="64">
        <f>'HR Workforce'!$U$20</f>
        <v>0</v>
      </c>
      <c r="I98" s="64" t="str">
        <f t="shared" si="5"/>
        <v>OK</v>
      </c>
      <c r="J98" s="64" t="str">
        <f t="shared" si="6"/>
        <v>OK</v>
      </c>
      <c r="K98" s="64" t="str">
        <f t="shared" si="7"/>
        <v>OK</v>
      </c>
      <c r="L98" s="64" t="str">
        <f>IF(AND(E98&lt;&gt;"",E98&lt;&gt;"N/A",VALUE(E98)&lt;5,COUNTIF('Executive Recommendations'!$A$8:$A$414,A98)=0),"Missing recommended action","OK")</f>
        <v>Missing recommended action</v>
      </c>
      <c r="M98" s="64" t="s">
        <v>2654</v>
      </c>
      <c r="N98" s="64" t="s">
        <v>6618</v>
      </c>
    </row>
    <row r="99" spans="1:14" ht="51">
      <c r="A99" s="52" t="s">
        <v>2662</v>
      </c>
      <c r="B99" s="52" t="s">
        <v>63</v>
      </c>
      <c r="C99" s="52" t="s">
        <v>1121</v>
      </c>
      <c r="D99" s="52" t="s">
        <v>2663</v>
      </c>
      <c r="E99" s="52">
        <f>'HR Workforce'!$H$21</f>
        <v>0</v>
      </c>
      <c r="F99" s="52" t="str">
        <f>'HR Workforce'!$L$21</f>
        <v/>
      </c>
      <c r="G99" s="52" t="str">
        <f>'HR Workforce'!$T$21</f>
        <v>CHRO / HR</v>
      </c>
      <c r="H99" s="52">
        <f>'HR Workforce'!$U$21</f>
        <v>0</v>
      </c>
      <c r="I99" s="52" t="str">
        <f t="shared" si="5"/>
        <v>OK</v>
      </c>
      <c r="J99" s="52" t="str">
        <f t="shared" si="6"/>
        <v>OK</v>
      </c>
      <c r="K99" s="52" t="str">
        <f t="shared" si="7"/>
        <v>OK</v>
      </c>
      <c r="L99" s="52" t="str">
        <f>IF(AND(E99&lt;&gt;"",E99&lt;&gt;"N/A",VALUE(E99)&lt;5,COUNTIF('Executive Recommendations'!$A$8:$A$414,A99)=0),"Missing recommended action","OK")</f>
        <v>Missing recommended action</v>
      </c>
      <c r="M99" s="52" t="s">
        <v>2664</v>
      </c>
      <c r="N99" s="52" t="s">
        <v>6625</v>
      </c>
    </row>
    <row r="100" spans="1:14" ht="63.75">
      <c r="A100" s="64" t="s">
        <v>2672</v>
      </c>
      <c r="B100" s="64" t="s">
        <v>63</v>
      </c>
      <c r="C100" s="64" t="s">
        <v>1121</v>
      </c>
      <c r="D100" s="64" t="s">
        <v>2673</v>
      </c>
      <c r="E100" s="64">
        <f>'HR Workforce'!$H$22</f>
        <v>0</v>
      </c>
      <c r="F100" s="64" t="str">
        <f>'HR Workforce'!$L$22</f>
        <v/>
      </c>
      <c r="G100" s="64" t="str">
        <f>'HR Workforce'!$T$22</f>
        <v>CHRO / HR</v>
      </c>
      <c r="H100" s="64">
        <f>'HR Workforce'!$U$22</f>
        <v>0</v>
      </c>
      <c r="I100" s="64" t="str">
        <f t="shared" si="5"/>
        <v>OK</v>
      </c>
      <c r="J100" s="64" t="str">
        <f t="shared" si="6"/>
        <v>OK</v>
      </c>
      <c r="K100" s="64" t="str">
        <f t="shared" si="7"/>
        <v>OK</v>
      </c>
      <c r="L100" s="64" t="str">
        <f>IF(AND(E100&lt;&gt;"",E100&lt;&gt;"N/A",VALUE(E100)&lt;5,COUNTIF('Executive Recommendations'!$A$8:$A$414,A100)=0),"Missing recommended action","OK")</f>
        <v>Missing recommended action</v>
      </c>
      <c r="M100" s="64" t="s">
        <v>2674</v>
      </c>
      <c r="N100" s="64" t="s">
        <v>6632</v>
      </c>
    </row>
    <row r="101" spans="1:14" ht="51">
      <c r="A101" s="52" t="s">
        <v>2682</v>
      </c>
      <c r="B101" s="52" t="s">
        <v>63</v>
      </c>
      <c r="C101" s="52" t="s">
        <v>1121</v>
      </c>
      <c r="D101" s="52" t="s">
        <v>2683</v>
      </c>
      <c r="E101" s="52">
        <f>'HR Workforce'!$H$23</f>
        <v>0</v>
      </c>
      <c r="F101" s="52" t="str">
        <f>'HR Workforce'!$L$23</f>
        <v/>
      </c>
      <c r="G101" s="52" t="str">
        <f>'HR Workforce'!$T$23</f>
        <v>CHRO / HR</v>
      </c>
      <c r="H101" s="52">
        <f>'HR Workforce'!$U$23</f>
        <v>0</v>
      </c>
      <c r="I101" s="52" t="str">
        <f t="shared" si="5"/>
        <v>OK</v>
      </c>
      <c r="J101" s="52" t="str">
        <f t="shared" si="6"/>
        <v>OK</v>
      </c>
      <c r="K101" s="52" t="str">
        <f t="shared" si="7"/>
        <v>OK</v>
      </c>
      <c r="L101" s="52" t="str">
        <f>IF(AND(E101&lt;&gt;"",E101&lt;&gt;"N/A",VALUE(E101)&lt;5,COUNTIF('Executive Recommendations'!$A$8:$A$414,A101)=0),"Missing recommended action","OK")</f>
        <v>Missing recommended action</v>
      </c>
      <c r="M101" s="52" t="s">
        <v>2684</v>
      </c>
      <c r="N101" s="52" t="s">
        <v>6639</v>
      </c>
    </row>
    <row r="102" spans="1:14" ht="63.75">
      <c r="A102" s="64" t="s">
        <v>2692</v>
      </c>
      <c r="B102" s="64" t="s">
        <v>63</v>
      </c>
      <c r="C102" s="64" t="s">
        <v>1129</v>
      </c>
      <c r="D102" s="64" t="s">
        <v>2693</v>
      </c>
      <c r="E102" s="64">
        <f>'HR Workforce'!$H$24</f>
        <v>0</v>
      </c>
      <c r="F102" s="64" t="str">
        <f>'HR Workforce'!$L$24</f>
        <v/>
      </c>
      <c r="G102" s="64" t="str">
        <f>'HR Workforce'!$T$24</f>
        <v>CHRO / HR</v>
      </c>
      <c r="H102" s="64">
        <f>'HR Workforce'!$U$24</f>
        <v>0</v>
      </c>
      <c r="I102" s="64" t="str">
        <f t="shared" si="5"/>
        <v>OK</v>
      </c>
      <c r="J102" s="64" t="str">
        <f t="shared" si="6"/>
        <v>OK</v>
      </c>
      <c r="K102" s="64" t="str">
        <f t="shared" si="7"/>
        <v>OK</v>
      </c>
      <c r="L102" s="64" t="str">
        <f>IF(AND(E102&lt;&gt;"",E102&lt;&gt;"N/A",VALUE(E102)&lt;5,COUNTIF('Executive Recommendations'!$A$8:$A$414,A102)=0),"Missing recommended action","OK")</f>
        <v>Missing recommended action</v>
      </c>
      <c r="M102" s="64" t="s">
        <v>2694</v>
      </c>
      <c r="N102" s="64" t="s">
        <v>6647</v>
      </c>
    </row>
    <row r="103" spans="1:14" ht="51">
      <c r="A103" s="52" t="s">
        <v>2702</v>
      </c>
      <c r="B103" s="52" t="s">
        <v>63</v>
      </c>
      <c r="C103" s="52" t="s">
        <v>1129</v>
      </c>
      <c r="D103" s="52" t="s">
        <v>2703</v>
      </c>
      <c r="E103" s="52">
        <f>'HR Workforce'!$H$25</f>
        <v>0</v>
      </c>
      <c r="F103" s="52" t="str">
        <f>'HR Workforce'!$L$25</f>
        <v/>
      </c>
      <c r="G103" s="52" t="str">
        <f>'HR Workforce'!$T$25</f>
        <v>CHRO / HR</v>
      </c>
      <c r="H103" s="52">
        <f>'HR Workforce'!$U$25</f>
        <v>0</v>
      </c>
      <c r="I103" s="52" t="str">
        <f t="shared" si="5"/>
        <v>OK</v>
      </c>
      <c r="J103" s="52" t="str">
        <f t="shared" si="6"/>
        <v>OK</v>
      </c>
      <c r="K103" s="52" t="str">
        <f t="shared" si="7"/>
        <v>OK</v>
      </c>
      <c r="L103" s="52" t="str">
        <f>IF(AND(E103&lt;&gt;"",E103&lt;&gt;"N/A",VALUE(E103)&lt;5,COUNTIF('Executive Recommendations'!$A$8:$A$414,A103)=0),"Missing recommended action","OK")</f>
        <v>Missing recommended action</v>
      </c>
      <c r="M103" s="52" t="s">
        <v>2704</v>
      </c>
      <c r="N103" s="52" t="s">
        <v>6654</v>
      </c>
    </row>
    <row r="104" spans="1:14" ht="63.75">
      <c r="A104" s="64" t="s">
        <v>2712</v>
      </c>
      <c r="B104" s="64" t="s">
        <v>63</v>
      </c>
      <c r="C104" s="64" t="s">
        <v>1129</v>
      </c>
      <c r="D104" s="64" t="s">
        <v>2713</v>
      </c>
      <c r="E104" s="64">
        <f>'HR Workforce'!$H$26</f>
        <v>0</v>
      </c>
      <c r="F104" s="64" t="str">
        <f>'HR Workforce'!$L$26</f>
        <v/>
      </c>
      <c r="G104" s="64" t="str">
        <f>'HR Workforce'!$T$26</f>
        <v>CHRO / HR</v>
      </c>
      <c r="H104" s="64">
        <f>'HR Workforce'!$U$26</f>
        <v>0</v>
      </c>
      <c r="I104" s="64" t="str">
        <f t="shared" si="5"/>
        <v>OK</v>
      </c>
      <c r="J104" s="64" t="str">
        <f t="shared" si="6"/>
        <v>OK</v>
      </c>
      <c r="K104" s="64" t="str">
        <f t="shared" si="7"/>
        <v>OK</v>
      </c>
      <c r="L104" s="64" t="str">
        <f>IF(AND(E104&lt;&gt;"",E104&lt;&gt;"N/A",VALUE(E104)&lt;5,COUNTIF('Executive Recommendations'!$A$8:$A$414,A104)=0),"Missing recommended action","OK")</f>
        <v>Missing recommended action</v>
      </c>
      <c r="M104" s="64" t="s">
        <v>2714</v>
      </c>
      <c r="N104" s="64" t="s">
        <v>6661</v>
      </c>
    </row>
    <row r="105" spans="1:14" ht="51">
      <c r="A105" s="52" t="s">
        <v>2722</v>
      </c>
      <c r="B105" s="52" t="s">
        <v>63</v>
      </c>
      <c r="C105" s="52" t="s">
        <v>1129</v>
      </c>
      <c r="D105" s="52" t="s">
        <v>2723</v>
      </c>
      <c r="E105" s="52">
        <f>'HR Workforce'!$H$27</f>
        <v>0</v>
      </c>
      <c r="F105" s="52" t="str">
        <f>'HR Workforce'!$L$27</f>
        <v/>
      </c>
      <c r="G105" s="52" t="str">
        <f>'HR Workforce'!$T$27</f>
        <v>CHRO / HR</v>
      </c>
      <c r="H105" s="52">
        <f>'HR Workforce'!$U$27</f>
        <v>0</v>
      </c>
      <c r="I105" s="52" t="str">
        <f t="shared" si="5"/>
        <v>OK</v>
      </c>
      <c r="J105" s="52" t="str">
        <f t="shared" si="6"/>
        <v>OK</v>
      </c>
      <c r="K105" s="52" t="str">
        <f t="shared" si="7"/>
        <v>OK</v>
      </c>
      <c r="L105" s="52" t="str">
        <f>IF(AND(E105&lt;&gt;"",E105&lt;&gt;"N/A",VALUE(E105)&lt;5,COUNTIF('Executive Recommendations'!$A$8:$A$414,A105)=0),"Missing recommended action","OK")</f>
        <v>Missing recommended action</v>
      </c>
      <c r="M105" s="52" t="s">
        <v>2724</v>
      </c>
      <c r="N105" s="52" t="s">
        <v>6668</v>
      </c>
    </row>
    <row r="106" spans="1:14" ht="63.75">
      <c r="A106" s="64" t="s">
        <v>2732</v>
      </c>
      <c r="B106" s="64" t="s">
        <v>63</v>
      </c>
      <c r="C106" s="64" t="s">
        <v>1129</v>
      </c>
      <c r="D106" s="64" t="s">
        <v>2733</v>
      </c>
      <c r="E106" s="64">
        <f>'HR Workforce'!$H$28</f>
        <v>0</v>
      </c>
      <c r="F106" s="64" t="str">
        <f>'HR Workforce'!$L$28</f>
        <v/>
      </c>
      <c r="G106" s="64" t="str">
        <f>'HR Workforce'!$T$28</f>
        <v>CHRO / HR</v>
      </c>
      <c r="H106" s="64">
        <f>'HR Workforce'!$U$28</f>
        <v>0</v>
      </c>
      <c r="I106" s="64" t="str">
        <f t="shared" si="5"/>
        <v>OK</v>
      </c>
      <c r="J106" s="64" t="str">
        <f t="shared" si="6"/>
        <v>OK</v>
      </c>
      <c r="K106" s="64" t="str">
        <f t="shared" si="7"/>
        <v>OK</v>
      </c>
      <c r="L106" s="64" t="str">
        <f>IF(AND(E106&lt;&gt;"",E106&lt;&gt;"N/A",VALUE(E106)&lt;5,COUNTIF('Executive Recommendations'!$A$8:$A$414,A106)=0),"Missing recommended action","OK")</f>
        <v>Missing recommended action</v>
      </c>
      <c r="M106" s="64" t="s">
        <v>2734</v>
      </c>
      <c r="N106" s="64" t="s">
        <v>6675</v>
      </c>
    </row>
    <row r="107" spans="1:14" ht="51">
      <c r="A107" s="52" t="s">
        <v>2744</v>
      </c>
      <c r="B107" s="52" t="s">
        <v>66</v>
      </c>
      <c r="C107" s="52" t="s">
        <v>1137</v>
      </c>
      <c r="D107" s="52" t="s">
        <v>2745</v>
      </c>
      <c r="E107" s="52">
        <f>'Finance Procurement'!$H$5</f>
        <v>0</v>
      </c>
      <c r="F107" s="52" t="str">
        <f>'Finance Procurement'!$L$5</f>
        <v/>
      </c>
      <c r="G107" s="52" t="str">
        <f>'Finance Procurement'!$T$5</f>
        <v>CFO / Procurement</v>
      </c>
      <c r="H107" s="52">
        <f>'Finance Procurement'!$U$5</f>
        <v>0</v>
      </c>
      <c r="I107" s="52" t="str">
        <f t="shared" si="5"/>
        <v>OK</v>
      </c>
      <c r="J107" s="52" t="str">
        <f t="shared" si="6"/>
        <v>OK</v>
      </c>
      <c r="K107" s="52" t="str">
        <f t="shared" si="7"/>
        <v>OK</v>
      </c>
      <c r="L107" s="52" t="str">
        <f>IF(AND(E107&lt;&gt;"",E107&lt;&gt;"N/A",VALUE(E107)&lt;5,COUNTIF('Executive Recommendations'!$A$8:$A$414,A107)=0),"Missing recommended action","OK")</f>
        <v>Missing recommended action</v>
      </c>
      <c r="M107" s="52" t="s">
        <v>2748</v>
      </c>
      <c r="N107" s="52" t="s">
        <v>6683</v>
      </c>
    </row>
    <row r="108" spans="1:14" ht="51">
      <c r="A108" s="64" t="s">
        <v>2758</v>
      </c>
      <c r="B108" s="64" t="s">
        <v>66</v>
      </c>
      <c r="C108" s="64" t="s">
        <v>1137</v>
      </c>
      <c r="D108" s="64" t="s">
        <v>2759</v>
      </c>
      <c r="E108" s="64">
        <f>'Finance Procurement'!$H$6</f>
        <v>0</v>
      </c>
      <c r="F108" s="64" t="str">
        <f>'Finance Procurement'!$L$6</f>
        <v/>
      </c>
      <c r="G108" s="64" t="str">
        <f>'Finance Procurement'!$T$6</f>
        <v>CFO / Procurement</v>
      </c>
      <c r="H108" s="64">
        <f>'Finance Procurement'!$U$6</f>
        <v>0</v>
      </c>
      <c r="I108" s="64" t="str">
        <f t="shared" si="5"/>
        <v>OK</v>
      </c>
      <c r="J108" s="64" t="str">
        <f t="shared" si="6"/>
        <v>OK</v>
      </c>
      <c r="K108" s="64" t="str">
        <f t="shared" si="7"/>
        <v>OK</v>
      </c>
      <c r="L108" s="64" t="str">
        <f>IF(AND(E108&lt;&gt;"",E108&lt;&gt;"N/A",VALUE(E108)&lt;5,COUNTIF('Executive Recommendations'!$A$8:$A$414,A108)=0),"Missing recommended action","OK")</f>
        <v>Missing recommended action</v>
      </c>
      <c r="M108" s="64" t="s">
        <v>2760</v>
      </c>
      <c r="N108" s="64" t="s">
        <v>6690</v>
      </c>
    </row>
    <row r="109" spans="1:14" ht="51">
      <c r="A109" s="52" t="s">
        <v>2768</v>
      </c>
      <c r="B109" s="52" t="s">
        <v>66</v>
      </c>
      <c r="C109" s="52" t="s">
        <v>1137</v>
      </c>
      <c r="D109" s="52" t="s">
        <v>2769</v>
      </c>
      <c r="E109" s="52">
        <f>'Finance Procurement'!$H$7</f>
        <v>0</v>
      </c>
      <c r="F109" s="52" t="str">
        <f>'Finance Procurement'!$L$7</f>
        <v/>
      </c>
      <c r="G109" s="52" t="str">
        <f>'Finance Procurement'!$T$7</f>
        <v>CFO / Procurement</v>
      </c>
      <c r="H109" s="52">
        <f>'Finance Procurement'!$U$7</f>
        <v>0</v>
      </c>
      <c r="I109" s="52" t="str">
        <f t="shared" si="5"/>
        <v>OK</v>
      </c>
      <c r="J109" s="52" t="str">
        <f t="shared" si="6"/>
        <v>OK</v>
      </c>
      <c r="K109" s="52" t="str">
        <f t="shared" si="7"/>
        <v>OK</v>
      </c>
      <c r="L109" s="52" t="str">
        <f>IF(AND(E109&lt;&gt;"",E109&lt;&gt;"N/A",VALUE(E109)&lt;5,COUNTIF('Executive Recommendations'!$A$8:$A$414,A109)=0),"Missing recommended action","OK")</f>
        <v>Missing recommended action</v>
      </c>
      <c r="M109" s="52" t="s">
        <v>2770</v>
      </c>
      <c r="N109" s="52" t="s">
        <v>6697</v>
      </c>
    </row>
    <row r="110" spans="1:14" ht="63.75">
      <c r="A110" s="64" t="s">
        <v>2778</v>
      </c>
      <c r="B110" s="64" t="s">
        <v>66</v>
      </c>
      <c r="C110" s="64" t="s">
        <v>1137</v>
      </c>
      <c r="D110" s="64" t="s">
        <v>2779</v>
      </c>
      <c r="E110" s="64">
        <f>'Finance Procurement'!$H$8</f>
        <v>0</v>
      </c>
      <c r="F110" s="64" t="str">
        <f>'Finance Procurement'!$L$8</f>
        <v/>
      </c>
      <c r="G110" s="64" t="str">
        <f>'Finance Procurement'!$T$8</f>
        <v>CFO / Procurement</v>
      </c>
      <c r="H110" s="64">
        <f>'Finance Procurement'!$U$8</f>
        <v>0</v>
      </c>
      <c r="I110" s="64" t="str">
        <f t="shared" si="5"/>
        <v>OK</v>
      </c>
      <c r="J110" s="64" t="str">
        <f t="shared" si="6"/>
        <v>OK</v>
      </c>
      <c r="K110" s="64" t="str">
        <f t="shared" si="7"/>
        <v>OK</v>
      </c>
      <c r="L110" s="64" t="str">
        <f>IF(AND(E110&lt;&gt;"",E110&lt;&gt;"N/A",VALUE(E110)&lt;5,COUNTIF('Executive Recommendations'!$A$8:$A$414,A110)=0),"Missing recommended action","OK")</f>
        <v>Missing recommended action</v>
      </c>
      <c r="M110" s="64" t="s">
        <v>2780</v>
      </c>
      <c r="N110" s="64" t="s">
        <v>6704</v>
      </c>
    </row>
    <row r="111" spans="1:14" ht="51">
      <c r="A111" s="52" t="s">
        <v>2788</v>
      </c>
      <c r="B111" s="52" t="s">
        <v>66</v>
      </c>
      <c r="C111" s="52" t="s">
        <v>1137</v>
      </c>
      <c r="D111" s="52" t="s">
        <v>2789</v>
      </c>
      <c r="E111" s="52">
        <f>'Finance Procurement'!$H$9</f>
        <v>0</v>
      </c>
      <c r="F111" s="52" t="str">
        <f>'Finance Procurement'!$L$9</f>
        <v/>
      </c>
      <c r="G111" s="52" t="str">
        <f>'Finance Procurement'!$T$9</f>
        <v>CFO / Procurement</v>
      </c>
      <c r="H111" s="52">
        <f>'Finance Procurement'!$U$9</f>
        <v>0</v>
      </c>
      <c r="I111" s="52" t="str">
        <f t="shared" si="5"/>
        <v>OK</v>
      </c>
      <c r="J111" s="52" t="str">
        <f t="shared" si="6"/>
        <v>OK</v>
      </c>
      <c r="K111" s="52" t="str">
        <f t="shared" si="7"/>
        <v>OK</v>
      </c>
      <c r="L111" s="52" t="str">
        <f>IF(AND(E111&lt;&gt;"",E111&lt;&gt;"N/A",VALUE(E111)&lt;5,COUNTIF('Executive Recommendations'!$A$8:$A$414,A111)=0),"Missing recommended action","OK")</f>
        <v>Missing recommended action</v>
      </c>
      <c r="M111" s="52" t="s">
        <v>2790</v>
      </c>
      <c r="N111" s="52" t="s">
        <v>6711</v>
      </c>
    </row>
    <row r="112" spans="1:14" ht="63.75">
      <c r="A112" s="64" t="s">
        <v>2798</v>
      </c>
      <c r="B112" s="64" t="s">
        <v>66</v>
      </c>
      <c r="C112" s="64" t="s">
        <v>1137</v>
      </c>
      <c r="D112" s="64" t="s">
        <v>2799</v>
      </c>
      <c r="E112" s="64">
        <f>'Finance Procurement'!$H$10</f>
        <v>0</v>
      </c>
      <c r="F112" s="64" t="str">
        <f>'Finance Procurement'!$L$10</f>
        <v/>
      </c>
      <c r="G112" s="64" t="str">
        <f>'Finance Procurement'!$T$10</f>
        <v>CFO / Procurement</v>
      </c>
      <c r="H112" s="64">
        <f>'Finance Procurement'!$U$10</f>
        <v>0</v>
      </c>
      <c r="I112" s="64" t="str">
        <f t="shared" si="5"/>
        <v>OK</v>
      </c>
      <c r="J112" s="64" t="str">
        <f t="shared" si="6"/>
        <v>OK</v>
      </c>
      <c r="K112" s="64" t="str">
        <f t="shared" si="7"/>
        <v>OK</v>
      </c>
      <c r="L112" s="64" t="str">
        <f>IF(AND(E112&lt;&gt;"",E112&lt;&gt;"N/A",VALUE(E112)&lt;5,COUNTIF('Executive Recommendations'!$A$8:$A$414,A112)=0),"Missing recommended action","OK")</f>
        <v>Missing recommended action</v>
      </c>
      <c r="M112" s="64" t="s">
        <v>2800</v>
      </c>
      <c r="N112" s="64" t="s">
        <v>6718</v>
      </c>
    </row>
    <row r="113" spans="1:14" ht="51">
      <c r="A113" s="52" t="s">
        <v>2808</v>
      </c>
      <c r="B113" s="52" t="s">
        <v>66</v>
      </c>
      <c r="C113" s="52" t="s">
        <v>1147</v>
      </c>
      <c r="D113" s="52" t="s">
        <v>2809</v>
      </c>
      <c r="E113" s="52">
        <f>'Finance Procurement'!$H$11</f>
        <v>0</v>
      </c>
      <c r="F113" s="52" t="str">
        <f>'Finance Procurement'!$L$11</f>
        <v/>
      </c>
      <c r="G113" s="52" t="str">
        <f>'Finance Procurement'!$T$11</f>
        <v>CFO / Procurement</v>
      </c>
      <c r="H113" s="52">
        <f>'Finance Procurement'!$U$11</f>
        <v>0</v>
      </c>
      <c r="I113" s="52" t="str">
        <f t="shared" si="5"/>
        <v>OK</v>
      </c>
      <c r="J113" s="52" t="str">
        <f t="shared" si="6"/>
        <v>OK</v>
      </c>
      <c r="K113" s="52" t="str">
        <f t="shared" si="7"/>
        <v>OK</v>
      </c>
      <c r="L113" s="52" t="str">
        <f>IF(AND(E113&lt;&gt;"",E113&lt;&gt;"N/A",VALUE(E113)&lt;5,COUNTIF('Executive Recommendations'!$A$8:$A$414,A113)=0),"Missing recommended action","OK")</f>
        <v>Missing recommended action</v>
      </c>
      <c r="M113" s="52" t="s">
        <v>2810</v>
      </c>
      <c r="N113" s="52" t="s">
        <v>6726</v>
      </c>
    </row>
    <row r="114" spans="1:14" ht="51">
      <c r="A114" s="64" t="s">
        <v>2818</v>
      </c>
      <c r="B114" s="64" t="s">
        <v>66</v>
      </c>
      <c r="C114" s="64" t="s">
        <v>1147</v>
      </c>
      <c r="D114" s="64" t="s">
        <v>2819</v>
      </c>
      <c r="E114" s="64">
        <f>'Finance Procurement'!$H$12</f>
        <v>0</v>
      </c>
      <c r="F114" s="64" t="str">
        <f>'Finance Procurement'!$L$12</f>
        <v/>
      </c>
      <c r="G114" s="64" t="str">
        <f>'Finance Procurement'!$T$12</f>
        <v>CFO / Procurement</v>
      </c>
      <c r="H114" s="64">
        <f>'Finance Procurement'!$U$12</f>
        <v>0</v>
      </c>
      <c r="I114" s="64" t="str">
        <f t="shared" si="5"/>
        <v>OK</v>
      </c>
      <c r="J114" s="64" t="str">
        <f t="shared" si="6"/>
        <v>OK</v>
      </c>
      <c r="K114" s="64" t="str">
        <f t="shared" si="7"/>
        <v>OK</v>
      </c>
      <c r="L114" s="64" t="str">
        <f>IF(AND(E114&lt;&gt;"",E114&lt;&gt;"N/A",VALUE(E114)&lt;5,COUNTIF('Executive Recommendations'!$A$8:$A$414,A114)=0),"Missing recommended action","OK")</f>
        <v>Missing recommended action</v>
      </c>
      <c r="M114" s="64" t="s">
        <v>2820</v>
      </c>
      <c r="N114" s="64" t="s">
        <v>6733</v>
      </c>
    </row>
    <row r="115" spans="1:14" ht="63.75">
      <c r="A115" s="52" t="s">
        <v>2828</v>
      </c>
      <c r="B115" s="52" t="s">
        <v>66</v>
      </c>
      <c r="C115" s="52" t="s">
        <v>1147</v>
      </c>
      <c r="D115" s="52" t="s">
        <v>2829</v>
      </c>
      <c r="E115" s="52">
        <f>'Finance Procurement'!$H$13</f>
        <v>0</v>
      </c>
      <c r="F115" s="52" t="str">
        <f>'Finance Procurement'!$L$13</f>
        <v/>
      </c>
      <c r="G115" s="52" t="str">
        <f>'Finance Procurement'!$T$13</f>
        <v>CFO / Procurement</v>
      </c>
      <c r="H115" s="52">
        <f>'Finance Procurement'!$U$13</f>
        <v>0</v>
      </c>
      <c r="I115" s="52" t="str">
        <f t="shared" si="5"/>
        <v>OK</v>
      </c>
      <c r="J115" s="52" t="str">
        <f t="shared" si="6"/>
        <v>OK</v>
      </c>
      <c r="K115" s="52" t="str">
        <f t="shared" si="7"/>
        <v>OK</v>
      </c>
      <c r="L115" s="52" t="str">
        <f>IF(AND(E115&lt;&gt;"",E115&lt;&gt;"N/A",VALUE(E115)&lt;5,COUNTIF('Executive Recommendations'!$A$8:$A$414,A115)=0),"Missing recommended action","OK")</f>
        <v>Missing recommended action</v>
      </c>
      <c r="M115" s="52" t="s">
        <v>2830</v>
      </c>
      <c r="N115" s="52" t="s">
        <v>6740</v>
      </c>
    </row>
    <row r="116" spans="1:14" ht="63.75">
      <c r="A116" s="64" t="s">
        <v>2838</v>
      </c>
      <c r="B116" s="64" t="s">
        <v>66</v>
      </c>
      <c r="C116" s="64" t="s">
        <v>1147</v>
      </c>
      <c r="D116" s="64" t="s">
        <v>2839</v>
      </c>
      <c r="E116" s="64">
        <f>'Finance Procurement'!$H$14</f>
        <v>0</v>
      </c>
      <c r="F116" s="64" t="str">
        <f>'Finance Procurement'!$L$14</f>
        <v/>
      </c>
      <c r="G116" s="64" t="str">
        <f>'Finance Procurement'!$T$14</f>
        <v>CFO / Procurement</v>
      </c>
      <c r="H116" s="64">
        <f>'Finance Procurement'!$U$14</f>
        <v>0</v>
      </c>
      <c r="I116" s="64" t="str">
        <f t="shared" si="5"/>
        <v>OK</v>
      </c>
      <c r="J116" s="64" t="str">
        <f t="shared" si="6"/>
        <v>OK</v>
      </c>
      <c r="K116" s="64" t="str">
        <f t="shared" si="7"/>
        <v>OK</v>
      </c>
      <c r="L116" s="64" t="str">
        <f>IF(AND(E116&lt;&gt;"",E116&lt;&gt;"N/A",VALUE(E116)&lt;5,COUNTIF('Executive Recommendations'!$A$8:$A$414,A116)=0),"Missing recommended action","OK")</f>
        <v>Missing recommended action</v>
      </c>
      <c r="M116" s="64" t="s">
        <v>2840</v>
      </c>
      <c r="N116" s="64" t="s">
        <v>6747</v>
      </c>
    </row>
    <row r="117" spans="1:14" ht="63.75">
      <c r="A117" s="52" t="s">
        <v>2848</v>
      </c>
      <c r="B117" s="52" t="s">
        <v>66</v>
      </c>
      <c r="C117" s="52" t="s">
        <v>1147</v>
      </c>
      <c r="D117" s="52" t="s">
        <v>2849</v>
      </c>
      <c r="E117" s="52">
        <f>'Finance Procurement'!$H$15</f>
        <v>0</v>
      </c>
      <c r="F117" s="52" t="str">
        <f>'Finance Procurement'!$L$15</f>
        <v/>
      </c>
      <c r="G117" s="52" t="str">
        <f>'Finance Procurement'!$T$15</f>
        <v>CFO / Procurement</v>
      </c>
      <c r="H117" s="52">
        <f>'Finance Procurement'!$U$15</f>
        <v>0</v>
      </c>
      <c r="I117" s="52" t="str">
        <f t="shared" si="5"/>
        <v>OK</v>
      </c>
      <c r="J117" s="52" t="str">
        <f t="shared" si="6"/>
        <v>OK</v>
      </c>
      <c r="K117" s="52" t="str">
        <f t="shared" si="7"/>
        <v>OK</v>
      </c>
      <c r="L117" s="52" t="str">
        <f>IF(AND(E117&lt;&gt;"",E117&lt;&gt;"N/A",VALUE(E117)&lt;5,COUNTIF('Executive Recommendations'!$A$8:$A$414,A117)=0),"Missing recommended action","OK")</f>
        <v>Missing recommended action</v>
      </c>
      <c r="M117" s="52" t="s">
        <v>2850</v>
      </c>
      <c r="N117" s="52" t="s">
        <v>6754</v>
      </c>
    </row>
    <row r="118" spans="1:14" ht="63.75">
      <c r="A118" s="64" t="s">
        <v>2858</v>
      </c>
      <c r="B118" s="64" t="s">
        <v>66</v>
      </c>
      <c r="C118" s="64" t="s">
        <v>1147</v>
      </c>
      <c r="D118" s="64" t="s">
        <v>2859</v>
      </c>
      <c r="E118" s="64">
        <f>'Finance Procurement'!$H$16</f>
        <v>0</v>
      </c>
      <c r="F118" s="64" t="str">
        <f>'Finance Procurement'!$L$16</f>
        <v/>
      </c>
      <c r="G118" s="64" t="str">
        <f>'Finance Procurement'!$T$16</f>
        <v>CFO / Procurement</v>
      </c>
      <c r="H118" s="64">
        <f>'Finance Procurement'!$U$16</f>
        <v>0</v>
      </c>
      <c r="I118" s="64" t="str">
        <f t="shared" si="5"/>
        <v>OK</v>
      </c>
      <c r="J118" s="64" t="str">
        <f t="shared" si="6"/>
        <v>OK</v>
      </c>
      <c r="K118" s="64" t="str">
        <f t="shared" si="7"/>
        <v>OK</v>
      </c>
      <c r="L118" s="64" t="str">
        <f>IF(AND(E118&lt;&gt;"",E118&lt;&gt;"N/A",VALUE(E118)&lt;5,COUNTIF('Executive Recommendations'!$A$8:$A$414,A118)=0),"Missing recommended action","OK")</f>
        <v>Missing recommended action</v>
      </c>
      <c r="M118" s="64" t="s">
        <v>2860</v>
      </c>
      <c r="N118" s="64" t="s">
        <v>6761</v>
      </c>
    </row>
    <row r="119" spans="1:14" ht="63.75">
      <c r="A119" s="52" t="s">
        <v>2868</v>
      </c>
      <c r="B119" s="52" t="s">
        <v>66</v>
      </c>
      <c r="C119" s="52" t="s">
        <v>1158</v>
      </c>
      <c r="D119" s="52" t="s">
        <v>2869</v>
      </c>
      <c r="E119" s="52">
        <f>'Finance Procurement'!$H$17</f>
        <v>0</v>
      </c>
      <c r="F119" s="52" t="str">
        <f>'Finance Procurement'!$L$17</f>
        <v/>
      </c>
      <c r="G119" s="52" t="str">
        <f>'Finance Procurement'!$T$17</f>
        <v>CFO / Procurement</v>
      </c>
      <c r="H119" s="52">
        <f>'Finance Procurement'!$U$17</f>
        <v>0</v>
      </c>
      <c r="I119" s="52" t="str">
        <f t="shared" si="5"/>
        <v>OK</v>
      </c>
      <c r="J119" s="52" t="str">
        <f t="shared" si="6"/>
        <v>OK</v>
      </c>
      <c r="K119" s="52" t="str">
        <f t="shared" si="7"/>
        <v>OK</v>
      </c>
      <c r="L119" s="52" t="str">
        <f>IF(AND(E119&lt;&gt;"",E119&lt;&gt;"N/A",VALUE(E119)&lt;5,COUNTIF('Executive Recommendations'!$A$8:$A$414,A119)=0),"Missing recommended action","OK")</f>
        <v>Missing recommended action</v>
      </c>
      <c r="M119" s="52" t="s">
        <v>2870</v>
      </c>
      <c r="N119" s="52" t="s">
        <v>6769</v>
      </c>
    </row>
    <row r="120" spans="1:14" ht="63.75">
      <c r="A120" s="64" t="s">
        <v>2878</v>
      </c>
      <c r="B120" s="64" t="s">
        <v>66</v>
      </c>
      <c r="C120" s="64" t="s">
        <v>1158</v>
      </c>
      <c r="D120" s="64" t="s">
        <v>2879</v>
      </c>
      <c r="E120" s="64">
        <f>'Finance Procurement'!$H$18</f>
        <v>0</v>
      </c>
      <c r="F120" s="64" t="str">
        <f>'Finance Procurement'!$L$18</f>
        <v/>
      </c>
      <c r="G120" s="64" t="str">
        <f>'Finance Procurement'!$T$18</f>
        <v>CFO / Procurement</v>
      </c>
      <c r="H120" s="64">
        <f>'Finance Procurement'!$U$18</f>
        <v>0</v>
      </c>
      <c r="I120" s="64" t="str">
        <f t="shared" si="5"/>
        <v>OK</v>
      </c>
      <c r="J120" s="64" t="str">
        <f t="shared" si="6"/>
        <v>OK</v>
      </c>
      <c r="K120" s="64" t="str">
        <f t="shared" si="7"/>
        <v>OK</v>
      </c>
      <c r="L120" s="64" t="str">
        <f>IF(AND(E120&lt;&gt;"",E120&lt;&gt;"N/A",VALUE(E120)&lt;5,COUNTIF('Executive Recommendations'!$A$8:$A$414,A120)=0),"Missing recommended action","OK")</f>
        <v>Missing recommended action</v>
      </c>
      <c r="M120" s="64" t="s">
        <v>2880</v>
      </c>
      <c r="N120" s="64" t="s">
        <v>6776</v>
      </c>
    </row>
    <row r="121" spans="1:14" ht="51">
      <c r="A121" s="52" t="s">
        <v>2888</v>
      </c>
      <c r="B121" s="52" t="s">
        <v>66</v>
      </c>
      <c r="C121" s="52" t="s">
        <v>1158</v>
      </c>
      <c r="D121" s="52" t="s">
        <v>2889</v>
      </c>
      <c r="E121" s="52">
        <f>'Finance Procurement'!$H$19</f>
        <v>0</v>
      </c>
      <c r="F121" s="52" t="str">
        <f>'Finance Procurement'!$L$19</f>
        <v/>
      </c>
      <c r="G121" s="52" t="str">
        <f>'Finance Procurement'!$T$19</f>
        <v>CFO / Procurement</v>
      </c>
      <c r="H121" s="52">
        <f>'Finance Procurement'!$U$19</f>
        <v>0</v>
      </c>
      <c r="I121" s="52" t="str">
        <f t="shared" si="5"/>
        <v>OK</v>
      </c>
      <c r="J121" s="52" t="str">
        <f t="shared" si="6"/>
        <v>OK</v>
      </c>
      <c r="K121" s="52" t="str">
        <f t="shared" si="7"/>
        <v>OK</v>
      </c>
      <c r="L121" s="52" t="str">
        <f>IF(AND(E121&lt;&gt;"",E121&lt;&gt;"N/A",VALUE(E121)&lt;5,COUNTIF('Executive Recommendations'!$A$8:$A$414,A121)=0),"Missing recommended action","OK")</f>
        <v>Missing recommended action</v>
      </c>
      <c r="M121" s="52" t="s">
        <v>2890</v>
      </c>
      <c r="N121" s="52" t="s">
        <v>6783</v>
      </c>
    </row>
    <row r="122" spans="1:14" ht="63.75">
      <c r="A122" s="64" t="s">
        <v>2898</v>
      </c>
      <c r="B122" s="64" t="s">
        <v>66</v>
      </c>
      <c r="C122" s="64" t="s">
        <v>1158</v>
      </c>
      <c r="D122" s="64" t="s">
        <v>2899</v>
      </c>
      <c r="E122" s="64">
        <f>'Finance Procurement'!$H$20</f>
        <v>0</v>
      </c>
      <c r="F122" s="64" t="str">
        <f>'Finance Procurement'!$L$20</f>
        <v/>
      </c>
      <c r="G122" s="64" t="str">
        <f>'Finance Procurement'!$T$20</f>
        <v>CFO / Procurement</v>
      </c>
      <c r="H122" s="64">
        <f>'Finance Procurement'!$U$20</f>
        <v>0</v>
      </c>
      <c r="I122" s="64" t="str">
        <f t="shared" si="5"/>
        <v>OK</v>
      </c>
      <c r="J122" s="64" t="str">
        <f t="shared" si="6"/>
        <v>OK</v>
      </c>
      <c r="K122" s="64" t="str">
        <f t="shared" si="7"/>
        <v>OK</v>
      </c>
      <c r="L122" s="64" t="str">
        <f>IF(AND(E122&lt;&gt;"",E122&lt;&gt;"N/A",VALUE(E122)&lt;5,COUNTIF('Executive Recommendations'!$A$8:$A$414,A122)=0),"Missing recommended action","OK")</f>
        <v>Missing recommended action</v>
      </c>
      <c r="M122" s="64" t="s">
        <v>2900</v>
      </c>
      <c r="N122" s="64" t="s">
        <v>6790</v>
      </c>
    </row>
    <row r="123" spans="1:14" ht="63.75">
      <c r="A123" s="52" t="s">
        <v>2908</v>
      </c>
      <c r="B123" s="52" t="s">
        <v>66</v>
      </c>
      <c r="C123" s="52" t="s">
        <v>1158</v>
      </c>
      <c r="D123" s="52" t="s">
        <v>2909</v>
      </c>
      <c r="E123" s="52">
        <f>'Finance Procurement'!$H$21</f>
        <v>0</v>
      </c>
      <c r="F123" s="52" t="str">
        <f>'Finance Procurement'!$L$21</f>
        <v/>
      </c>
      <c r="G123" s="52" t="str">
        <f>'Finance Procurement'!$T$21</f>
        <v>CFO / Procurement</v>
      </c>
      <c r="H123" s="52">
        <f>'Finance Procurement'!$U$21</f>
        <v>0</v>
      </c>
      <c r="I123" s="52" t="str">
        <f t="shared" si="5"/>
        <v>OK</v>
      </c>
      <c r="J123" s="52" t="str">
        <f t="shared" si="6"/>
        <v>OK</v>
      </c>
      <c r="K123" s="52" t="str">
        <f t="shared" si="7"/>
        <v>OK</v>
      </c>
      <c r="L123" s="52" t="str">
        <f>IF(AND(E123&lt;&gt;"",E123&lt;&gt;"N/A",VALUE(E123)&lt;5,COUNTIF('Executive Recommendations'!$A$8:$A$414,A123)=0),"Missing recommended action","OK")</f>
        <v>Missing recommended action</v>
      </c>
      <c r="M123" s="52" t="s">
        <v>2910</v>
      </c>
      <c r="N123" s="52" t="s">
        <v>6797</v>
      </c>
    </row>
    <row r="124" spans="1:14" ht="51">
      <c r="A124" s="64" t="s">
        <v>2918</v>
      </c>
      <c r="B124" s="64" t="s">
        <v>66</v>
      </c>
      <c r="C124" s="64" t="s">
        <v>1158</v>
      </c>
      <c r="D124" s="64" t="s">
        <v>2919</v>
      </c>
      <c r="E124" s="64">
        <f>'Finance Procurement'!$H$22</f>
        <v>0</v>
      </c>
      <c r="F124" s="64" t="str">
        <f>'Finance Procurement'!$L$22</f>
        <v/>
      </c>
      <c r="G124" s="64" t="str">
        <f>'Finance Procurement'!$T$22</f>
        <v>CFO / Procurement</v>
      </c>
      <c r="H124" s="64">
        <f>'Finance Procurement'!$U$22</f>
        <v>0</v>
      </c>
      <c r="I124" s="64" t="str">
        <f t="shared" si="5"/>
        <v>OK</v>
      </c>
      <c r="J124" s="64" t="str">
        <f t="shared" si="6"/>
        <v>OK</v>
      </c>
      <c r="K124" s="64" t="str">
        <f t="shared" si="7"/>
        <v>OK</v>
      </c>
      <c r="L124" s="64" t="str">
        <f>IF(AND(E124&lt;&gt;"",E124&lt;&gt;"N/A",VALUE(E124)&lt;5,COUNTIF('Executive Recommendations'!$A$8:$A$414,A124)=0),"Missing recommended action","OK")</f>
        <v>Missing recommended action</v>
      </c>
      <c r="M124" s="64" t="s">
        <v>2920</v>
      </c>
      <c r="N124" s="64" t="s">
        <v>6804</v>
      </c>
    </row>
    <row r="125" spans="1:14" ht="51">
      <c r="A125" s="52" t="s">
        <v>2928</v>
      </c>
      <c r="B125" s="52" t="s">
        <v>66</v>
      </c>
      <c r="C125" s="52" t="s">
        <v>1158</v>
      </c>
      <c r="D125" s="52" t="s">
        <v>2929</v>
      </c>
      <c r="E125" s="52">
        <f>'Finance Procurement'!$H$23</f>
        <v>0</v>
      </c>
      <c r="F125" s="52" t="str">
        <f>'Finance Procurement'!$L$23</f>
        <v/>
      </c>
      <c r="G125" s="52" t="str">
        <f>'Finance Procurement'!$T$23</f>
        <v>CFO / Procurement</v>
      </c>
      <c r="H125" s="52">
        <f>'Finance Procurement'!$U$23</f>
        <v>0</v>
      </c>
      <c r="I125" s="52" t="str">
        <f t="shared" si="5"/>
        <v>OK</v>
      </c>
      <c r="J125" s="52" t="str">
        <f t="shared" si="6"/>
        <v>OK</v>
      </c>
      <c r="K125" s="52" t="str">
        <f t="shared" si="7"/>
        <v>OK</v>
      </c>
      <c r="L125" s="52" t="str">
        <f>IF(AND(E125&lt;&gt;"",E125&lt;&gt;"N/A",VALUE(E125)&lt;5,COUNTIF('Executive Recommendations'!$A$8:$A$414,A125)=0),"Missing recommended action","OK")</f>
        <v>Missing recommended action</v>
      </c>
      <c r="M125" s="52" t="s">
        <v>2930</v>
      </c>
      <c r="N125" s="52" t="s">
        <v>6811</v>
      </c>
    </row>
    <row r="126" spans="1:14" ht="51">
      <c r="A126" s="64" t="s">
        <v>2938</v>
      </c>
      <c r="B126" s="64" t="s">
        <v>66</v>
      </c>
      <c r="C126" s="64" t="s">
        <v>1169</v>
      </c>
      <c r="D126" s="64" t="s">
        <v>2939</v>
      </c>
      <c r="E126" s="64">
        <f>'Finance Procurement'!$H$24</f>
        <v>0</v>
      </c>
      <c r="F126" s="64" t="str">
        <f>'Finance Procurement'!$L$24</f>
        <v/>
      </c>
      <c r="G126" s="64" t="str">
        <f>'Finance Procurement'!$T$24</f>
        <v>CFO / Procurement</v>
      </c>
      <c r="H126" s="64">
        <f>'Finance Procurement'!$U$24</f>
        <v>0</v>
      </c>
      <c r="I126" s="64" t="str">
        <f t="shared" si="5"/>
        <v>OK</v>
      </c>
      <c r="J126" s="64" t="str">
        <f t="shared" si="6"/>
        <v>OK</v>
      </c>
      <c r="K126" s="64" t="str">
        <f t="shared" si="7"/>
        <v>OK</v>
      </c>
      <c r="L126" s="64" t="str">
        <f>IF(AND(E126&lt;&gt;"",E126&lt;&gt;"N/A",VALUE(E126)&lt;5,COUNTIF('Executive Recommendations'!$A$8:$A$414,A126)=0),"Missing recommended action","OK")</f>
        <v>Missing recommended action</v>
      </c>
      <c r="M126" s="64" t="s">
        <v>2940</v>
      </c>
      <c r="N126" s="64" t="s">
        <v>6819</v>
      </c>
    </row>
    <row r="127" spans="1:14" ht="51">
      <c r="A127" s="52" t="s">
        <v>2948</v>
      </c>
      <c r="B127" s="52" t="s">
        <v>66</v>
      </c>
      <c r="C127" s="52" t="s">
        <v>1169</v>
      </c>
      <c r="D127" s="52" t="s">
        <v>2949</v>
      </c>
      <c r="E127" s="52">
        <f>'Finance Procurement'!$H$25</f>
        <v>0</v>
      </c>
      <c r="F127" s="52" t="str">
        <f>'Finance Procurement'!$L$25</f>
        <v/>
      </c>
      <c r="G127" s="52" t="str">
        <f>'Finance Procurement'!$T$25</f>
        <v>CFO / Procurement</v>
      </c>
      <c r="H127" s="52">
        <f>'Finance Procurement'!$U$25</f>
        <v>0</v>
      </c>
      <c r="I127" s="52" t="str">
        <f t="shared" si="5"/>
        <v>OK</v>
      </c>
      <c r="J127" s="52" t="str">
        <f t="shared" si="6"/>
        <v>OK</v>
      </c>
      <c r="K127" s="52" t="str">
        <f t="shared" si="7"/>
        <v>OK</v>
      </c>
      <c r="L127" s="52" t="str">
        <f>IF(AND(E127&lt;&gt;"",E127&lt;&gt;"N/A",VALUE(E127)&lt;5,COUNTIF('Executive Recommendations'!$A$8:$A$414,A127)=0),"Missing recommended action","OK")</f>
        <v>Missing recommended action</v>
      </c>
      <c r="M127" s="52" t="s">
        <v>2950</v>
      </c>
      <c r="N127" s="52" t="s">
        <v>6826</v>
      </c>
    </row>
    <row r="128" spans="1:14" ht="63.75">
      <c r="A128" s="64" t="s">
        <v>2958</v>
      </c>
      <c r="B128" s="64" t="s">
        <v>66</v>
      </c>
      <c r="C128" s="64" t="s">
        <v>1169</v>
      </c>
      <c r="D128" s="64" t="s">
        <v>2959</v>
      </c>
      <c r="E128" s="64">
        <f>'Finance Procurement'!$H$26</f>
        <v>0</v>
      </c>
      <c r="F128" s="64" t="str">
        <f>'Finance Procurement'!$L$26</f>
        <v/>
      </c>
      <c r="G128" s="64" t="str">
        <f>'Finance Procurement'!$T$26</f>
        <v>CFO / Procurement</v>
      </c>
      <c r="H128" s="64">
        <f>'Finance Procurement'!$U$26</f>
        <v>0</v>
      </c>
      <c r="I128" s="64" t="str">
        <f t="shared" si="5"/>
        <v>OK</v>
      </c>
      <c r="J128" s="64" t="str">
        <f t="shared" si="6"/>
        <v>OK</v>
      </c>
      <c r="K128" s="64" t="str">
        <f t="shared" si="7"/>
        <v>OK</v>
      </c>
      <c r="L128" s="64" t="str">
        <f>IF(AND(E128&lt;&gt;"",E128&lt;&gt;"N/A",VALUE(E128)&lt;5,COUNTIF('Executive Recommendations'!$A$8:$A$414,A128)=0),"Missing recommended action","OK")</f>
        <v>Missing recommended action</v>
      </c>
      <c r="M128" s="64" t="s">
        <v>2960</v>
      </c>
      <c r="N128" s="64" t="s">
        <v>6833</v>
      </c>
    </row>
    <row r="129" spans="1:14" ht="51">
      <c r="A129" s="52" t="s">
        <v>2968</v>
      </c>
      <c r="B129" s="52" t="s">
        <v>66</v>
      </c>
      <c r="C129" s="52" t="s">
        <v>1169</v>
      </c>
      <c r="D129" s="52" t="s">
        <v>2969</v>
      </c>
      <c r="E129" s="52">
        <f>'Finance Procurement'!$H$27</f>
        <v>0</v>
      </c>
      <c r="F129" s="52" t="str">
        <f>'Finance Procurement'!$L$27</f>
        <v/>
      </c>
      <c r="G129" s="52" t="str">
        <f>'Finance Procurement'!$T$27</f>
        <v>CFO / Procurement</v>
      </c>
      <c r="H129" s="52">
        <f>'Finance Procurement'!$U$27</f>
        <v>0</v>
      </c>
      <c r="I129" s="52" t="str">
        <f t="shared" si="5"/>
        <v>OK</v>
      </c>
      <c r="J129" s="52" t="str">
        <f t="shared" si="6"/>
        <v>OK</v>
      </c>
      <c r="K129" s="52" t="str">
        <f t="shared" si="7"/>
        <v>OK</v>
      </c>
      <c r="L129" s="52" t="str">
        <f>IF(AND(E129&lt;&gt;"",E129&lt;&gt;"N/A",VALUE(E129)&lt;5,COUNTIF('Executive Recommendations'!$A$8:$A$414,A129)=0),"Missing recommended action","OK")</f>
        <v>Missing recommended action</v>
      </c>
      <c r="M129" s="52" t="s">
        <v>2970</v>
      </c>
      <c r="N129" s="52" t="s">
        <v>6840</v>
      </c>
    </row>
    <row r="130" spans="1:14" ht="51">
      <c r="A130" s="64" t="s">
        <v>2978</v>
      </c>
      <c r="B130" s="64" t="s">
        <v>66</v>
      </c>
      <c r="C130" s="64" t="s">
        <v>1169</v>
      </c>
      <c r="D130" s="64" t="s">
        <v>2979</v>
      </c>
      <c r="E130" s="64">
        <f>'Finance Procurement'!$H$28</f>
        <v>0</v>
      </c>
      <c r="F130" s="64" t="str">
        <f>'Finance Procurement'!$L$28</f>
        <v/>
      </c>
      <c r="G130" s="64" t="str">
        <f>'Finance Procurement'!$T$28</f>
        <v>CFO / Procurement</v>
      </c>
      <c r="H130" s="64">
        <f>'Finance Procurement'!$U$28</f>
        <v>0</v>
      </c>
      <c r="I130" s="64" t="str">
        <f t="shared" si="5"/>
        <v>OK</v>
      </c>
      <c r="J130" s="64" t="str">
        <f t="shared" si="6"/>
        <v>OK</v>
      </c>
      <c r="K130" s="64" t="str">
        <f t="shared" si="7"/>
        <v>OK</v>
      </c>
      <c r="L130" s="64" t="str">
        <f>IF(AND(E130&lt;&gt;"",E130&lt;&gt;"N/A",VALUE(E130)&lt;5,COUNTIF('Executive Recommendations'!$A$8:$A$414,A130)=0),"Missing recommended action","OK")</f>
        <v>Missing recommended action</v>
      </c>
      <c r="M130" s="64" t="s">
        <v>2980</v>
      </c>
      <c r="N130" s="64" t="s">
        <v>6847</v>
      </c>
    </row>
    <row r="131" spans="1:14" ht="51">
      <c r="A131" s="52" t="s">
        <v>2990</v>
      </c>
      <c r="B131" s="52" t="s">
        <v>69</v>
      </c>
      <c r="C131" s="52" t="s">
        <v>1177</v>
      </c>
      <c r="D131" s="52" t="s">
        <v>2991</v>
      </c>
      <c r="E131" s="52">
        <f>'Legal Risk'!$H$5</f>
        <v>0</v>
      </c>
      <c r="F131" s="52" t="str">
        <f>'Legal Risk'!$L$5</f>
        <v/>
      </c>
      <c r="G131" s="52" t="str">
        <f>'Legal Risk'!$T$5</f>
        <v>Legal / Compliance</v>
      </c>
      <c r="H131" s="52">
        <f>'Legal Risk'!$U$5</f>
        <v>0</v>
      </c>
      <c r="I131" s="52" t="str">
        <f t="shared" si="5"/>
        <v>OK</v>
      </c>
      <c r="J131" s="52" t="str">
        <f t="shared" si="6"/>
        <v>OK</v>
      </c>
      <c r="K131" s="52" t="str">
        <f t="shared" si="7"/>
        <v>OK</v>
      </c>
      <c r="L131" s="52" t="str">
        <f>IF(AND(E131&lt;&gt;"",E131&lt;&gt;"N/A",VALUE(E131)&lt;5,COUNTIF('Executive Recommendations'!$A$8:$A$414,A131)=0),"Missing recommended action","OK")</f>
        <v>Missing recommended action</v>
      </c>
      <c r="M131" s="52" t="s">
        <v>2994</v>
      </c>
      <c r="N131" s="52" t="s">
        <v>6855</v>
      </c>
    </row>
    <row r="132" spans="1:14" ht="63.75">
      <c r="A132" s="64" t="s">
        <v>3004</v>
      </c>
      <c r="B132" s="64" t="s">
        <v>69</v>
      </c>
      <c r="C132" s="64" t="s">
        <v>1177</v>
      </c>
      <c r="D132" s="64" t="s">
        <v>3005</v>
      </c>
      <c r="E132" s="64">
        <f>'Legal Risk'!$H$6</f>
        <v>0</v>
      </c>
      <c r="F132" s="64" t="str">
        <f>'Legal Risk'!$L$6</f>
        <v/>
      </c>
      <c r="G132" s="64" t="str">
        <f>'Legal Risk'!$T$6</f>
        <v>Legal / Compliance</v>
      </c>
      <c r="H132" s="64">
        <f>'Legal Risk'!$U$6</f>
        <v>0</v>
      </c>
      <c r="I132" s="64" t="str">
        <f t="shared" si="5"/>
        <v>OK</v>
      </c>
      <c r="J132" s="64" t="str">
        <f t="shared" si="6"/>
        <v>OK</v>
      </c>
      <c r="K132" s="64" t="str">
        <f t="shared" si="7"/>
        <v>OK</v>
      </c>
      <c r="L132" s="64" t="str">
        <f>IF(AND(E132&lt;&gt;"",E132&lt;&gt;"N/A",VALUE(E132)&lt;5,COUNTIF('Executive Recommendations'!$A$8:$A$414,A132)=0),"Missing recommended action","OK")</f>
        <v>Missing recommended action</v>
      </c>
      <c r="M132" s="64" t="s">
        <v>3006</v>
      </c>
      <c r="N132" s="64" t="s">
        <v>6862</v>
      </c>
    </row>
    <row r="133" spans="1:14" ht="63.75">
      <c r="A133" s="52" t="s">
        <v>3014</v>
      </c>
      <c r="B133" s="52" t="s">
        <v>69</v>
      </c>
      <c r="C133" s="52" t="s">
        <v>1177</v>
      </c>
      <c r="D133" s="52" t="s">
        <v>3015</v>
      </c>
      <c r="E133" s="52">
        <f>'Legal Risk'!$H$7</f>
        <v>0</v>
      </c>
      <c r="F133" s="52" t="str">
        <f>'Legal Risk'!$L$7</f>
        <v/>
      </c>
      <c r="G133" s="52" t="str">
        <f>'Legal Risk'!$T$7</f>
        <v>Legal / Compliance</v>
      </c>
      <c r="H133" s="52">
        <f>'Legal Risk'!$U$7</f>
        <v>0</v>
      </c>
      <c r="I133" s="52" t="str">
        <f t="shared" si="5"/>
        <v>OK</v>
      </c>
      <c r="J133" s="52" t="str">
        <f t="shared" si="6"/>
        <v>OK</v>
      </c>
      <c r="K133" s="52" t="str">
        <f t="shared" si="7"/>
        <v>OK</v>
      </c>
      <c r="L133" s="52" t="str">
        <f>IF(AND(E133&lt;&gt;"",E133&lt;&gt;"N/A",VALUE(E133)&lt;5,COUNTIF('Executive Recommendations'!$A$8:$A$414,A133)=0),"Missing recommended action","OK")</f>
        <v>Missing recommended action</v>
      </c>
      <c r="M133" s="52" t="s">
        <v>3016</v>
      </c>
      <c r="N133" s="52" t="s">
        <v>6869</v>
      </c>
    </row>
    <row r="134" spans="1:14" ht="63.75">
      <c r="A134" s="64" t="s">
        <v>3024</v>
      </c>
      <c r="B134" s="64" t="s">
        <v>69</v>
      </c>
      <c r="C134" s="64" t="s">
        <v>1177</v>
      </c>
      <c r="D134" s="64" t="s">
        <v>3025</v>
      </c>
      <c r="E134" s="64">
        <f>'Legal Risk'!$H$8</f>
        <v>0</v>
      </c>
      <c r="F134" s="64" t="str">
        <f>'Legal Risk'!$L$8</f>
        <v/>
      </c>
      <c r="G134" s="64" t="str">
        <f>'Legal Risk'!$T$8</f>
        <v>Legal / Compliance</v>
      </c>
      <c r="H134" s="64">
        <f>'Legal Risk'!$U$8</f>
        <v>0</v>
      </c>
      <c r="I134" s="64" t="str">
        <f t="shared" si="5"/>
        <v>OK</v>
      </c>
      <c r="J134" s="64" t="str">
        <f t="shared" si="6"/>
        <v>OK</v>
      </c>
      <c r="K134" s="64" t="str">
        <f t="shared" si="7"/>
        <v>OK</v>
      </c>
      <c r="L134" s="64" t="str">
        <f>IF(AND(E134&lt;&gt;"",E134&lt;&gt;"N/A",VALUE(E134)&lt;5,COUNTIF('Executive Recommendations'!$A$8:$A$414,A134)=0),"Missing recommended action","OK")</f>
        <v>Missing recommended action</v>
      </c>
      <c r="M134" s="64" t="s">
        <v>3026</v>
      </c>
      <c r="N134" s="64" t="s">
        <v>6876</v>
      </c>
    </row>
    <row r="135" spans="1:14" ht="51">
      <c r="A135" s="52" t="s">
        <v>3034</v>
      </c>
      <c r="B135" s="52" t="s">
        <v>69</v>
      </c>
      <c r="C135" s="52" t="s">
        <v>1177</v>
      </c>
      <c r="D135" s="52" t="s">
        <v>3035</v>
      </c>
      <c r="E135" s="52">
        <f>'Legal Risk'!$H$9</f>
        <v>0</v>
      </c>
      <c r="F135" s="52" t="str">
        <f>'Legal Risk'!$L$9</f>
        <v/>
      </c>
      <c r="G135" s="52" t="str">
        <f>'Legal Risk'!$T$9</f>
        <v>Legal / Compliance</v>
      </c>
      <c r="H135" s="52">
        <f>'Legal Risk'!$U$9</f>
        <v>0</v>
      </c>
      <c r="I135" s="52" t="str">
        <f t="shared" si="5"/>
        <v>OK</v>
      </c>
      <c r="J135" s="52" t="str">
        <f t="shared" si="6"/>
        <v>OK</v>
      </c>
      <c r="K135" s="52" t="str">
        <f t="shared" si="7"/>
        <v>OK</v>
      </c>
      <c r="L135" s="52" t="str">
        <f>IF(AND(E135&lt;&gt;"",E135&lt;&gt;"N/A",VALUE(E135)&lt;5,COUNTIF('Executive Recommendations'!$A$8:$A$414,A135)=0),"Missing recommended action","OK")</f>
        <v>Missing recommended action</v>
      </c>
      <c r="M135" s="52" t="s">
        <v>3036</v>
      </c>
      <c r="N135" s="52" t="s">
        <v>6883</v>
      </c>
    </row>
    <row r="136" spans="1:14" ht="51">
      <c r="A136" s="64" t="s">
        <v>3044</v>
      </c>
      <c r="B136" s="64" t="s">
        <v>69</v>
      </c>
      <c r="C136" s="64" t="s">
        <v>1177</v>
      </c>
      <c r="D136" s="64" t="s">
        <v>3045</v>
      </c>
      <c r="E136" s="64">
        <f>'Legal Risk'!$H$10</f>
        <v>0</v>
      </c>
      <c r="F136" s="64" t="str">
        <f>'Legal Risk'!$L$10</f>
        <v/>
      </c>
      <c r="G136" s="64" t="str">
        <f>'Legal Risk'!$T$10</f>
        <v>Legal / Compliance</v>
      </c>
      <c r="H136" s="64">
        <f>'Legal Risk'!$U$10</f>
        <v>0</v>
      </c>
      <c r="I136" s="64" t="str">
        <f t="shared" si="5"/>
        <v>OK</v>
      </c>
      <c r="J136" s="64" t="str">
        <f t="shared" si="6"/>
        <v>OK</v>
      </c>
      <c r="K136" s="64" t="str">
        <f t="shared" si="7"/>
        <v>OK</v>
      </c>
      <c r="L136" s="64" t="str">
        <f>IF(AND(E136&lt;&gt;"",E136&lt;&gt;"N/A",VALUE(E136)&lt;5,COUNTIF('Executive Recommendations'!$A$8:$A$414,A136)=0),"Missing recommended action","OK")</f>
        <v>Missing recommended action</v>
      </c>
      <c r="M136" s="64" t="s">
        <v>3046</v>
      </c>
      <c r="N136" s="64" t="s">
        <v>6890</v>
      </c>
    </row>
    <row r="137" spans="1:14" ht="63.75">
      <c r="A137" s="52" t="s">
        <v>3054</v>
      </c>
      <c r="B137" s="52" t="s">
        <v>69</v>
      </c>
      <c r="C137" s="52" t="s">
        <v>1187</v>
      </c>
      <c r="D137" s="52" t="s">
        <v>3055</v>
      </c>
      <c r="E137" s="52">
        <f>'Legal Risk'!$H$11</f>
        <v>0</v>
      </c>
      <c r="F137" s="52" t="str">
        <f>'Legal Risk'!$L$11</f>
        <v/>
      </c>
      <c r="G137" s="52" t="str">
        <f>'Legal Risk'!$T$11</f>
        <v>Legal / Compliance</v>
      </c>
      <c r="H137" s="52">
        <f>'Legal Risk'!$U$11</f>
        <v>0</v>
      </c>
      <c r="I137" s="52" t="str">
        <f t="shared" si="5"/>
        <v>OK</v>
      </c>
      <c r="J137" s="52" t="str">
        <f t="shared" si="6"/>
        <v>OK</v>
      </c>
      <c r="K137" s="52" t="str">
        <f t="shared" si="7"/>
        <v>OK</v>
      </c>
      <c r="L137" s="52" t="str">
        <f>IF(AND(E137&lt;&gt;"",E137&lt;&gt;"N/A",VALUE(E137)&lt;5,COUNTIF('Executive Recommendations'!$A$8:$A$414,A137)=0),"Missing recommended action","OK")</f>
        <v>Missing recommended action</v>
      </c>
      <c r="M137" s="52" t="s">
        <v>3056</v>
      </c>
      <c r="N137" s="52" t="s">
        <v>6898</v>
      </c>
    </row>
    <row r="138" spans="1:14" ht="63.75">
      <c r="A138" s="64" t="s">
        <v>3064</v>
      </c>
      <c r="B138" s="64" t="s">
        <v>69</v>
      </c>
      <c r="C138" s="64" t="s">
        <v>1187</v>
      </c>
      <c r="D138" s="64" t="s">
        <v>3065</v>
      </c>
      <c r="E138" s="64">
        <f>'Legal Risk'!$H$12</f>
        <v>0</v>
      </c>
      <c r="F138" s="64" t="str">
        <f>'Legal Risk'!$L$12</f>
        <v/>
      </c>
      <c r="G138" s="64" t="str">
        <f>'Legal Risk'!$T$12</f>
        <v>Legal / Compliance</v>
      </c>
      <c r="H138" s="64">
        <f>'Legal Risk'!$U$12</f>
        <v>0</v>
      </c>
      <c r="I138" s="64" t="str">
        <f t="shared" si="5"/>
        <v>OK</v>
      </c>
      <c r="J138" s="64" t="str">
        <f t="shared" si="6"/>
        <v>OK</v>
      </c>
      <c r="K138" s="64" t="str">
        <f t="shared" si="7"/>
        <v>OK</v>
      </c>
      <c r="L138" s="64" t="str">
        <f>IF(AND(E138&lt;&gt;"",E138&lt;&gt;"N/A",VALUE(E138)&lt;5,COUNTIF('Executive Recommendations'!$A$8:$A$414,A138)=0),"Missing recommended action","OK")</f>
        <v>Missing recommended action</v>
      </c>
      <c r="M138" s="64" t="s">
        <v>3066</v>
      </c>
      <c r="N138" s="64" t="s">
        <v>6905</v>
      </c>
    </row>
    <row r="139" spans="1:14" ht="63.75">
      <c r="A139" s="52" t="s">
        <v>3074</v>
      </c>
      <c r="B139" s="52" t="s">
        <v>69</v>
      </c>
      <c r="C139" s="52" t="s">
        <v>1187</v>
      </c>
      <c r="D139" s="52" t="s">
        <v>3075</v>
      </c>
      <c r="E139" s="52">
        <f>'Legal Risk'!$H$13</f>
        <v>0</v>
      </c>
      <c r="F139" s="52" t="str">
        <f>'Legal Risk'!$L$13</f>
        <v/>
      </c>
      <c r="G139" s="52" t="str">
        <f>'Legal Risk'!$T$13</f>
        <v>Legal / Compliance</v>
      </c>
      <c r="H139" s="52">
        <f>'Legal Risk'!$U$13</f>
        <v>0</v>
      </c>
      <c r="I139" s="52" t="str">
        <f t="shared" si="5"/>
        <v>OK</v>
      </c>
      <c r="J139" s="52" t="str">
        <f t="shared" si="6"/>
        <v>OK</v>
      </c>
      <c r="K139" s="52" t="str">
        <f t="shared" si="7"/>
        <v>OK</v>
      </c>
      <c r="L139" s="52" t="str">
        <f>IF(AND(E139&lt;&gt;"",E139&lt;&gt;"N/A",VALUE(E139)&lt;5,COUNTIF('Executive Recommendations'!$A$8:$A$414,A139)=0),"Missing recommended action","OK")</f>
        <v>Missing recommended action</v>
      </c>
      <c r="M139" s="52" t="s">
        <v>3076</v>
      </c>
      <c r="N139" s="52" t="s">
        <v>6912</v>
      </c>
    </row>
    <row r="140" spans="1:14" ht="51">
      <c r="A140" s="64" t="s">
        <v>3084</v>
      </c>
      <c r="B140" s="64" t="s">
        <v>69</v>
      </c>
      <c r="C140" s="64" t="s">
        <v>1187</v>
      </c>
      <c r="D140" s="64" t="s">
        <v>3085</v>
      </c>
      <c r="E140" s="64">
        <f>'Legal Risk'!$H$14</f>
        <v>0</v>
      </c>
      <c r="F140" s="64" t="str">
        <f>'Legal Risk'!$L$14</f>
        <v/>
      </c>
      <c r="G140" s="64" t="str">
        <f>'Legal Risk'!$T$14</f>
        <v>Legal / Compliance</v>
      </c>
      <c r="H140" s="64">
        <f>'Legal Risk'!$U$14</f>
        <v>0</v>
      </c>
      <c r="I140" s="64" t="str">
        <f t="shared" si="5"/>
        <v>OK</v>
      </c>
      <c r="J140" s="64" t="str">
        <f t="shared" si="6"/>
        <v>OK</v>
      </c>
      <c r="K140" s="64" t="str">
        <f t="shared" si="7"/>
        <v>OK</v>
      </c>
      <c r="L140" s="64" t="str">
        <f>IF(AND(E140&lt;&gt;"",E140&lt;&gt;"N/A",VALUE(E140)&lt;5,COUNTIF('Executive Recommendations'!$A$8:$A$414,A140)=0),"Missing recommended action","OK")</f>
        <v>Missing recommended action</v>
      </c>
      <c r="M140" s="64" t="s">
        <v>3086</v>
      </c>
      <c r="N140" s="64" t="s">
        <v>6919</v>
      </c>
    </row>
    <row r="141" spans="1:14" ht="51">
      <c r="A141" s="52" t="s">
        <v>3094</v>
      </c>
      <c r="B141" s="52" t="s">
        <v>69</v>
      </c>
      <c r="C141" s="52" t="s">
        <v>1187</v>
      </c>
      <c r="D141" s="52" t="s">
        <v>3095</v>
      </c>
      <c r="E141" s="52">
        <f>'Legal Risk'!$H$15</f>
        <v>0</v>
      </c>
      <c r="F141" s="52" t="str">
        <f>'Legal Risk'!$L$15</f>
        <v/>
      </c>
      <c r="G141" s="52" t="str">
        <f>'Legal Risk'!$T$15</f>
        <v>Legal / Compliance</v>
      </c>
      <c r="H141" s="52">
        <f>'Legal Risk'!$U$15</f>
        <v>0</v>
      </c>
      <c r="I141" s="52" t="str">
        <f t="shared" si="5"/>
        <v>OK</v>
      </c>
      <c r="J141" s="52" t="str">
        <f t="shared" si="6"/>
        <v>OK</v>
      </c>
      <c r="K141" s="52" t="str">
        <f t="shared" si="7"/>
        <v>OK</v>
      </c>
      <c r="L141" s="52" t="str">
        <f>IF(AND(E141&lt;&gt;"",E141&lt;&gt;"N/A",VALUE(E141)&lt;5,COUNTIF('Executive Recommendations'!$A$8:$A$414,A141)=0),"Missing recommended action","OK")</f>
        <v>Missing recommended action</v>
      </c>
      <c r="M141" s="52" t="s">
        <v>3096</v>
      </c>
      <c r="N141" s="52" t="s">
        <v>6926</v>
      </c>
    </row>
    <row r="142" spans="1:14" ht="51">
      <c r="A142" s="64" t="s">
        <v>3104</v>
      </c>
      <c r="B142" s="64" t="s">
        <v>69</v>
      </c>
      <c r="C142" s="64" t="s">
        <v>1187</v>
      </c>
      <c r="D142" s="64" t="s">
        <v>3105</v>
      </c>
      <c r="E142" s="64">
        <f>'Legal Risk'!$H$16</f>
        <v>0</v>
      </c>
      <c r="F142" s="64" t="str">
        <f>'Legal Risk'!$L$16</f>
        <v/>
      </c>
      <c r="G142" s="64" t="str">
        <f>'Legal Risk'!$T$16</f>
        <v>Legal / Compliance</v>
      </c>
      <c r="H142" s="64">
        <f>'Legal Risk'!$U$16</f>
        <v>0</v>
      </c>
      <c r="I142" s="64" t="str">
        <f t="shared" si="5"/>
        <v>OK</v>
      </c>
      <c r="J142" s="64" t="str">
        <f t="shared" si="6"/>
        <v>OK</v>
      </c>
      <c r="K142" s="64" t="str">
        <f t="shared" si="7"/>
        <v>OK</v>
      </c>
      <c r="L142" s="64" t="str">
        <f>IF(AND(E142&lt;&gt;"",E142&lt;&gt;"N/A",VALUE(E142)&lt;5,COUNTIF('Executive Recommendations'!$A$8:$A$414,A142)=0),"Missing recommended action","OK")</f>
        <v>Missing recommended action</v>
      </c>
      <c r="M142" s="64" t="s">
        <v>3106</v>
      </c>
      <c r="N142" s="64" t="s">
        <v>6933</v>
      </c>
    </row>
    <row r="143" spans="1:14" ht="63.75">
      <c r="A143" s="52" t="s">
        <v>3114</v>
      </c>
      <c r="B143" s="52" t="s">
        <v>69</v>
      </c>
      <c r="C143" s="52" t="s">
        <v>1195</v>
      </c>
      <c r="D143" s="52" t="s">
        <v>3115</v>
      </c>
      <c r="E143" s="52">
        <f>'Legal Risk'!$H$17</f>
        <v>0</v>
      </c>
      <c r="F143" s="52" t="str">
        <f>'Legal Risk'!$L$17</f>
        <v/>
      </c>
      <c r="G143" s="52" t="str">
        <f>'Legal Risk'!$T$17</f>
        <v>Legal / Compliance</v>
      </c>
      <c r="H143" s="52">
        <f>'Legal Risk'!$U$17</f>
        <v>0</v>
      </c>
      <c r="I143" s="52" t="str">
        <f t="shared" si="5"/>
        <v>OK</v>
      </c>
      <c r="J143" s="52" t="str">
        <f t="shared" si="6"/>
        <v>OK</v>
      </c>
      <c r="K143" s="52" t="str">
        <f t="shared" si="7"/>
        <v>OK</v>
      </c>
      <c r="L143" s="52" t="str">
        <f>IF(AND(E143&lt;&gt;"",E143&lt;&gt;"N/A",VALUE(E143)&lt;5,COUNTIF('Executive Recommendations'!$A$8:$A$414,A143)=0),"Missing recommended action","OK")</f>
        <v>Missing recommended action</v>
      </c>
      <c r="M143" s="52" t="s">
        <v>3116</v>
      </c>
      <c r="N143" s="52" t="s">
        <v>6941</v>
      </c>
    </row>
    <row r="144" spans="1:14" ht="51">
      <c r="A144" s="64" t="s">
        <v>3124</v>
      </c>
      <c r="B144" s="64" t="s">
        <v>69</v>
      </c>
      <c r="C144" s="64" t="s">
        <v>1195</v>
      </c>
      <c r="D144" s="64" t="s">
        <v>3125</v>
      </c>
      <c r="E144" s="64">
        <f>'Legal Risk'!$H$18</f>
        <v>0</v>
      </c>
      <c r="F144" s="64" t="str">
        <f>'Legal Risk'!$L$18</f>
        <v/>
      </c>
      <c r="G144" s="64" t="str">
        <f>'Legal Risk'!$T$18</f>
        <v>Legal / Compliance</v>
      </c>
      <c r="H144" s="64">
        <f>'Legal Risk'!$U$18</f>
        <v>0</v>
      </c>
      <c r="I144" s="64" t="str">
        <f t="shared" si="5"/>
        <v>OK</v>
      </c>
      <c r="J144" s="64" t="str">
        <f t="shared" si="6"/>
        <v>OK</v>
      </c>
      <c r="K144" s="64" t="str">
        <f t="shared" si="7"/>
        <v>OK</v>
      </c>
      <c r="L144" s="64" t="str">
        <f>IF(AND(E144&lt;&gt;"",E144&lt;&gt;"N/A",VALUE(E144)&lt;5,COUNTIF('Executive Recommendations'!$A$8:$A$414,A144)=0),"Missing recommended action","OK")</f>
        <v>Missing recommended action</v>
      </c>
      <c r="M144" s="64" t="s">
        <v>3126</v>
      </c>
      <c r="N144" s="64" t="s">
        <v>6948</v>
      </c>
    </row>
    <row r="145" spans="1:14" ht="63.75">
      <c r="A145" s="52" t="s">
        <v>3134</v>
      </c>
      <c r="B145" s="52" t="s">
        <v>69</v>
      </c>
      <c r="C145" s="52" t="s">
        <v>1195</v>
      </c>
      <c r="D145" s="52" t="s">
        <v>3135</v>
      </c>
      <c r="E145" s="52">
        <f>'Legal Risk'!$H$19</f>
        <v>0</v>
      </c>
      <c r="F145" s="52" t="str">
        <f>'Legal Risk'!$L$19</f>
        <v/>
      </c>
      <c r="G145" s="52" t="str">
        <f>'Legal Risk'!$T$19</f>
        <v>Legal / Compliance</v>
      </c>
      <c r="H145" s="52">
        <f>'Legal Risk'!$U$19</f>
        <v>0</v>
      </c>
      <c r="I145" s="52" t="str">
        <f t="shared" si="5"/>
        <v>OK</v>
      </c>
      <c r="J145" s="52" t="str">
        <f t="shared" si="6"/>
        <v>OK</v>
      </c>
      <c r="K145" s="52" t="str">
        <f t="shared" si="7"/>
        <v>OK</v>
      </c>
      <c r="L145" s="52" t="str">
        <f>IF(AND(E145&lt;&gt;"",E145&lt;&gt;"N/A",VALUE(E145)&lt;5,COUNTIF('Executive Recommendations'!$A$8:$A$414,A145)=0),"Missing recommended action","OK")</f>
        <v>Missing recommended action</v>
      </c>
      <c r="M145" s="52" t="s">
        <v>3136</v>
      </c>
      <c r="N145" s="52" t="s">
        <v>6955</v>
      </c>
    </row>
    <row r="146" spans="1:14" ht="63.75">
      <c r="A146" s="64" t="s">
        <v>3144</v>
      </c>
      <c r="B146" s="64" t="s">
        <v>69</v>
      </c>
      <c r="C146" s="64" t="s">
        <v>1195</v>
      </c>
      <c r="D146" s="64" t="s">
        <v>3145</v>
      </c>
      <c r="E146" s="64">
        <f>'Legal Risk'!$H$20</f>
        <v>0</v>
      </c>
      <c r="F146" s="64" t="str">
        <f>'Legal Risk'!$L$20</f>
        <v/>
      </c>
      <c r="G146" s="64" t="str">
        <f>'Legal Risk'!$T$20</f>
        <v>Legal / Compliance</v>
      </c>
      <c r="H146" s="64">
        <f>'Legal Risk'!$U$20</f>
        <v>0</v>
      </c>
      <c r="I146" s="64" t="str">
        <f t="shared" si="5"/>
        <v>OK</v>
      </c>
      <c r="J146" s="64" t="str">
        <f t="shared" si="6"/>
        <v>OK</v>
      </c>
      <c r="K146" s="64" t="str">
        <f t="shared" si="7"/>
        <v>OK</v>
      </c>
      <c r="L146" s="64" t="str">
        <f>IF(AND(E146&lt;&gt;"",E146&lt;&gt;"N/A",VALUE(E146)&lt;5,COUNTIF('Executive Recommendations'!$A$8:$A$414,A146)=0),"Missing recommended action","OK")</f>
        <v>Missing recommended action</v>
      </c>
      <c r="M146" s="64" t="s">
        <v>3146</v>
      </c>
      <c r="N146" s="64" t="s">
        <v>6962</v>
      </c>
    </row>
    <row r="147" spans="1:14" ht="51">
      <c r="A147" s="52" t="s">
        <v>3154</v>
      </c>
      <c r="B147" s="52" t="s">
        <v>69</v>
      </c>
      <c r="C147" s="52" t="s">
        <v>1195</v>
      </c>
      <c r="D147" s="52" t="s">
        <v>3155</v>
      </c>
      <c r="E147" s="52">
        <f>'Legal Risk'!$H$21</f>
        <v>0</v>
      </c>
      <c r="F147" s="52" t="str">
        <f>'Legal Risk'!$L$21</f>
        <v/>
      </c>
      <c r="G147" s="52" t="str">
        <f>'Legal Risk'!$T$21</f>
        <v>Legal / Compliance</v>
      </c>
      <c r="H147" s="52">
        <f>'Legal Risk'!$U$21</f>
        <v>0</v>
      </c>
      <c r="I147" s="52" t="str">
        <f t="shared" si="5"/>
        <v>OK</v>
      </c>
      <c r="J147" s="52" t="str">
        <f t="shared" si="6"/>
        <v>OK</v>
      </c>
      <c r="K147" s="52" t="str">
        <f t="shared" si="7"/>
        <v>OK</v>
      </c>
      <c r="L147" s="52" t="str">
        <f>IF(AND(E147&lt;&gt;"",E147&lt;&gt;"N/A",VALUE(E147)&lt;5,COUNTIF('Executive Recommendations'!$A$8:$A$414,A147)=0),"Missing recommended action","OK")</f>
        <v>Missing recommended action</v>
      </c>
      <c r="M147" s="52" t="s">
        <v>3156</v>
      </c>
      <c r="N147" s="52" t="s">
        <v>6969</v>
      </c>
    </row>
    <row r="148" spans="1:14" ht="63.75">
      <c r="A148" s="64" t="s">
        <v>3164</v>
      </c>
      <c r="B148" s="64" t="s">
        <v>69</v>
      </c>
      <c r="C148" s="64" t="s">
        <v>1195</v>
      </c>
      <c r="D148" s="64" t="s">
        <v>3165</v>
      </c>
      <c r="E148" s="64">
        <f>'Legal Risk'!$H$22</f>
        <v>0</v>
      </c>
      <c r="F148" s="64" t="str">
        <f>'Legal Risk'!$L$22</f>
        <v/>
      </c>
      <c r="G148" s="64" t="str">
        <f>'Legal Risk'!$T$22</f>
        <v>Legal / Compliance</v>
      </c>
      <c r="H148" s="64">
        <f>'Legal Risk'!$U$22</f>
        <v>0</v>
      </c>
      <c r="I148" s="64" t="str">
        <f t="shared" ref="I148:I211" si="8">IF(E148="","Missing score",IF(E148="N/A","OK",IF(AND(ISNUMBER(VALUE(E148)),VALUE(E148)&gt;=0,VALUE(E148)&lt;=5),"OK","Invalid score")))</f>
        <v>OK</v>
      </c>
      <c r="J148" s="64" t="str">
        <f t="shared" ref="J148:J211" si="9">IF(OR(F148="Critical",F148="High"),IF(H148="","Missing comments for high/critical risk","OK"),"OK")</f>
        <v>OK</v>
      </c>
      <c r="K148" s="64" t="str">
        <f t="shared" ref="K148:K211" si="10">IF(G148="","Missing owner","OK")</f>
        <v>OK</v>
      </c>
      <c r="L148" s="64" t="str">
        <f>IF(AND(E148&lt;&gt;"",E148&lt;&gt;"N/A",VALUE(E148)&lt;5,COUNTIF('Executive Recommendations'!$A$8:$A$414,A148)=0),"Missing recommended action","OK")</f>
        <v>Missing recommended action</v>
      </c>
      <c r="M148" s="64" t="s">
        <v>3166</v>
      </c>
      <c r="N148" s="64" t="s">
        <v>6976</v>
      </c>
    </row>
    <row r="149" spans="1:14" ht="63.75">
      <c r="A149" s="52" t="s">
        <v>3174</v>
      </c>
      <c r="B149" s="52" t="s">
        <v>69</v>
      </c>
      <c r="C149" s="52" t="s">
        <v>1203</v>
      </c>
      <c r="D149" s="52" t="s">
        <v>3175</v>
      </c>
      <c r="E149" s="52">
        <f>'Legal Risk'!$H$23</f>
        <v>0</v>
      </c>
      <c r="F149" s="52" t="str">
        <f>'Legal Risk'!$L$23</f>
        <v/>
      </c>
      <c r="G149" s="52" t="str">
        <f>'Legal Risk'!$T$23</f>
        <v>Legal / Compliance</v>
      </c>
      <c r="H149" s="52">
        <f>'Legal Risk'!$U$23</f>
        <v>0</v>
      </c>
      <c r="I149" s="52" t="str">
        <f t="shared" si="8"/>
        <v>OK</v>
      </c>
      <c r="J149" s="52" t="str">
        <f t="shared" si="9"/>
        <v>OK</v>
      </c>
      <c r="K149" s="52" t="str">
        <f t="shared" si="10"/>
        <v>OK</v>
      </c>
      <c r="L149" s="52" t="str">
        <f>IF(AND(E149&lt;&gt;"",E149&lt;&gt;"N/A",VALUE(E149)&lt;5,COUNTIF('Executive Recommendations'!$A$8:$A$414,A149)=0),"Missing recommended action","OK")</f>
        <v>Missing recommended action</v>
      </c>
      <c r="M149" s="52" t="s">
        <v>3176</v>
      </c>
      <c r="N149" s="52" t="s">
        <v>6984</v>
      </c>
    </row>
    <row r="150" spans="1:14" ht="63.75">
      <c r="A150" s="64" t="s">
        <v>3184</v>
      </c>
      <c r="B150" s="64" t="s">
        <v>69</v>
      </c>
      <c r="C150" s="64" t="s">
        <v>1203</v>
      </c>
      <c r="D150" s="64" t="s">
        <v>3185</v>
      </c>
      <c r="E150" s="64">
        <f>'Legal Risk'!$H$24</f>
        <v>0</v>
      </c>
      <c r="F150" s="64" t="str">
        <f>'Legal Risk'!$L$24</f>
        <v/>
      </c>
      <c r="G150" s="64" t="str">
        <f>'Legal Risk'!$T$24</f>
        <v>Legal / Compliance</v>
      </c>
      <c r="H150" s="64">
        <f>'Legal Risk'!$U$24</f>
        <v>0</v>
      </c>
      <c r="I150" s="64" t="str">
        <f t="shared" si="8"/>
        <v>OK</v>
      </c>
      <c r="J150" s="64" t="str">
        <f t="shared" si="9"/>
        <v>OK</v>
      </c>
      <c r="K150" s="64" t="str">
        <f t="shared" si="10"/>
        <v>OK</v>
      </c>
      <c r="L150" s="64" t="str">
        <f>IF(AND(E150&lt;&gt;"",E150&lt;&gt;"N/A",VALUE(E150)&lt;5,COUNTIF('Executive Recommendations'!$A$8:$A$414,A150)=0),"Missing recommended action","OK")</f>
        <v>Missing recommended action</v>
      </c>
      <c r="M150" s="64" t="s">
        <v>3186</v>
      </c>
      <c r="N150" s="64" t="s">
        <v>6991</v>
      </c>
    </row>
    <row r="151" spans="1:14" ht="63.75">
      <c r="A151" s="52" t="s">
        <v>3196</v>
      </c>
      <c r="B151" s="52" t="s">
        <v>72</v>
      </c>
      <c r="C151" s="52" t="s">
        <v>1211</v>
      </c>
      <c r="D151" s="52" t="s">
        <v>3197</v>
      </c>
      <c r="E151" s="52">
        <f>'Physical Safety'!$H$5</f>
        <v>0</v>
      </c>
      <c r="F151" s="52" t="str">
        <f>'Physical Safety'!$L$5</f>
        <v/>
      </c>
      <c r="G151" s="52" t="str">
        <f>'Physical Safety'!$T$5</f>
        <v>Facilities / Security / HSE</v>
      </c>
      <c r="H151" s="52">
        <f>'Physical Safety'!$U$5</f>
        <v>0</v>
      </c>
      <c r="I151" s="52" t="str">
        <f t="shared" si="8"/>
        <v>OK</v>
      </c>
      <c r="J151" s="52" t="str">
        <f t="shared" si="9"/>
        <v>OK</v>
      </c>
      <c r="K151" s="52" t="str">
        <f t="shared" si="10"/>
        <v>OK</v>
      </c>
      <c r="L151" s="52" t="str">
        <f>IF(AND(E151&lt;&gt;"",E151&lt;&gt;"N/A",VALUE(E151)&lt;5,COUNTIF('Executive Recommendations'!$A$8:$A$414,A151)=0),"Missing recommended action","OK")</f>
        <v>Missing recommended action</v>
      </c>
      <c r="M151" s="52" t="s">
        <v>3200</v>
      </c>
      <c r="N151" s="52" t="s">
        <v>6999</v>
      </c>
    </row>
    <row r="152" spans="1:14" ht="63.75">
      <c r="A152" s="64" t="s">
        <v>3210</v>
      </c>
      <c r="B152" s="64" t="s">
        <v>72</v>
      </c>
      <c r="C152" s="64" t="s">
        <v>1211</v>
      </c>
      <c r="D152" s="64" t="s">
        <v>3211</v>
      </c>
      <c r="E152" s="64">
        <f>'Physical Safety'!$H$6</f>
        <v>0</v>
      </c>
      <c r="F152" s="64" t="str">
        <f>'Physical Safety'!$L$6</f>
        <v/>
      </c>
      <c r="G152" s="64" t="str">
        <f>'Physical Safety'!$T$6</f>
        <v>Facilities / Security / HSE</v>
      </c>
      <c r="H152" s="64">
        <f>'Physical Safety'!$U$6</f>
        <v>0</v>
      </c>
      <c r="I152" s="64" t="str">
        <f t="shared" si="8"/>
        <v>OK</v>
      </c>
      <c r="J152" s="64" t="str">
        <f t="shared" si="9"/>
        <v>OK</v>
      </c>
      <c r="K152" s="64" t="str">
        <f t="shared" si="10"/>
        <v>OK</v>
      </c>
      <c r="L152" s="64" t="str">
        <f>IF(AND(E152&lt;&gt;"",E152&lt;&gt;"N/A",VALUE(E152)&lt;5,COUNTIF('Executive Recommendations'!$A$8:$A$414,A152)=0),"Missing recommended action","OK")</f>
        <v>Missing recommended action</v>
      </c>
      <c r="M152" s="64" t="s">
        <v>3212</v>
      </c>
      <c r="N152" s="64" t="s">
        <v>7006</v>
      </c>
    </row>
    <row r="153" spans="1:14" ht="51">
      <c r="A153" s="52" t="s">
        <v>3220</v>
      </c>
      <c r="B153" s="52" t="s">
        <v>72</v>
      </c>
      <c r="C153" s="52" t="s">
        <v>1211</v>
      </c>
      <c r="D153" s="52" t="s">
        <v>3221</v>
      </c>
      <c r="E153" s="52">
        <f>'Physical Safety'!$H$7</f>
        <v>0</v>
      </c>
      <c r="F153" s="52" t="str">
        <f>'Physical Safety'!$L$7</f>
        <v/>
      </c>
      <c r="G153" s="52" t="str">
        <f>'Physical Safety'!$T$7</f>
        <v>Facilities / Security / HSE</v>
      </c>
      <c r="H153" s="52">
        <f>'Physical Safety'!$U$7</f>
        <v>0</v>
      </c>
      <c r="I153" s="52" t="str">
        <f t="shared" si="8"/>
        <v>OK</v>
      </c>
      <c r="J153" s="52" t="str">
        <f t="shared" si="9"/>
        <v>OK</v>
      </c>
      <c r="K153" s="52" t="str">
        <f t="shared" si="10"/>
        <v>OK</v>
      </c>
      <c r="L153" s="52" t="str">
        <f>IF(AND(E153&lt;&gt;"",E153&lt;&gt;"N/A",VALUE(E153)&lt;5,COUNTIF('Executive Recommendations'!$A$8:$A$414,A153)=0),"Missing recommended action","OK")</f>
        <v>Missing recommended action</v>
      </c>
      <c r="M153" s="52" t="s">
        <v>3222</v>
      </c>
      <c r="N153" s="52" t="s">
        <v>7013</v>
      </c>
    </row>
    <row r="154" spans="1:14" ht="63.75">
      <c r="A154" s="64" t="s">
        <v>3230</v>
      </c>
      <c r="B154" s="64" t="s">
        <v>72</v>
      </c>
      <c r="C154" s="64" t="s">
        <v>1211</v>
      </c>
      <c r="D154" s="64" t="s">
        <v>3231</v>
      </c>
      <c r="E154" s="64">
        <f>'Physical Safety'!$H$8</f>
        <v>0</v>
      </c>
      <c r="F154" s="64" t="str">
        <f>'Physical Safety'!$L$8</f>
        <v/>
      </c>
      <c r="G154" s="64" t="str">
        <f>'Physical Safety'!$T$8</f>
        <v>Facilities / Security / HSE</v>
      </c>
      <c r="H154" s="64">
        <f>'Physical Safety'!$U$8</f>
        <v>0</v>
      </c>
      <c r="I154" s="64" t="str">
        <f t="shared" si="8"/>
        <v>OK</v>
      </c>
      <c r="J154" s="64" t="str">
        <f t="shared" si="9"/>
        <v>OK</v>
      </c>
      <c r="K154" s="64" t="str">
        <f t="shared" si="10"/>
        <v>OK</v>
      </c>
      <c r="L154" s="64" t="str">
        <f>IF(AND(E154&lt;&gt;"",E154&lt;&gt;"N/A",VALUE(E154)&lt;5,COUNTIF('Executive Recommendations'!$A$8:$A$414,A154)=0),"Missing recommended action","OK")</f>
        <v>Missing recommended action</v>
      </c>
      <c r="M154" s="64" t="s">
        <v>3232</v>
      </c>
      <c r="N154" s="64" t="s">
        <v>7020</v>
      </c>
    </row>
    <row r="155" spans="1:14" ht="51">
      <c r="A155" s="52" t="s">
        <v>3240</v>
      </c>
      <c r="B155" s="52" t="s">
        <v>72</v>
      </c>
      <c r="C155" s="52" t="s">
        <v>1211</v>
      </c>
      <c r="D155" s="52" t="s">
        <v>3241</v>
      </c>
      <c r="E155" s="52">
        <f>'Physical Safety'!$H$9</f>
        <v>0</v>
      </c>
      <c r="F155" s="52" t="str">
        <f>'Physical Safety'!$L$9</f>
        <v/>
      </c>
      <c r="G155" s="52" t="str">
        <f>'Physical Safety'!$T$9</f>
        <v>Facilities / Security / HSE</v>
      </c>
      <c r="H155" s="52">
        <f>'Physical Safety'!$U$9</f>
        <v>0</v>
      </c>
      <c r="I155" s="52" t="str">
        <f t="shared" si="8"/>
        <v>OK</v>
      </c>
      <c r="J155" s="52" t="str">
        <f t="shared" si="9"/>
        <v>OK</v>
      </c>
      <c r="K155" s="52" t="str">
        <f t="shared" si="10"/>
        <v>OK</v>
      </c>
      <c r="L155" s="52" t="str">
        <f>IF(AND(E155&lt;&gt;"",E155&lt;&gt;"N/A",VALUE(E155)&lt;5,COUNTIF('Executive Recommendations'!$A$8:$A$414,A155)=0),"Missing recommended action","OK")</f>
        <v>Missing recommended action</v>
      </c>
      <c r="M155" s="52" t="s">
        <v>3242</v>
      </c>
      <c r="N155" s="52" t="s">
        <v>7027</v>
      </c>
    </row>
    <row r="156" spans="1:14" ht="51">
      <c r="A156" s="64" t="s">
        <v>3250</v>
      </c>
      <c r="B156" s="64" t="s">
        <v>72</v>
      </c>
      <c r="C156" s="64" t="s">
        <v>1211</v>
      </c>
      <c r="D156" s="64" t="s">
        <v>3251</v>
      </c>
      <c r="E156" s="64">
        <f>'Physical Safety'!$H$10</f>
        <v>0</v>
      </c>
      <c r="F156" s="64" t="str">
        <f>'Physical Safety'!$L$10</f>
        <v/>
      </c>
      <c r="G156" s="64" t="str">
        <f>'Physical Safety'!$T$10</f>
        <v>Facilities / Security / HSE</v>
      </c>
      <c r="H156" s="64">
        <f>'Physical Safety'!$U$10</f>
        <v>0</v>
      </c>
      <c r="I156" s="64" t="str">
        <f t="shared" si="8"/>
        <v>OK</v>
      </c>
      <c r="J156" s="64" t="str">
        <f t="shared" si="9"/>
        <v>OK</v>
      </c>
      <c r="K156" s="64" t="str">
        <f t="shared" si="10"/>
        <v>OK</v>
      </c>
      <c r="L156" s="64" t="str">
        <f>IF(AND(E156&lt;&gt;"",E156&lt;&gt;"N/A",VALUE(E156)&lt;5,COUNTIF('Executive Recommendations'!$A$8:$A$414,A156)=0),"Missing recommended action","OK")</f>
        <v>Missing recommended action</v>
      </c>
      <c r="M156" s="64" t="s">
        <v>3252</v>
      </c>
      <c r="N156" s="64" t="s">
        <v>7034</v>
      </c>
    </row>
    <row r="157" spans="1:14" ht="63.75">
      <c r="A157" s="52" t="s">
        <v>3260</v>
      </c>
      <c r="B157" s="52" t="s">
        <v>72</v>
      </c>
      <c r="C157" s="52" t="s">
        <v>1226</v>
      </c>
      <c r="D157" s="52" t="s">
        <v>3261</v>
      </c>
      <c r="E157" s="52">
        <f>'Physical Safety'!$H$11</f>
        <v>0</v>
      </c>
      <c r="F157" s="52" t="str">
        <f>'Physical Safety'!$L$11</f>
        <v/>
      </c>
      <c r="G157" s="52" t="str">
        <f>'Physical Safety'!$T$11</f>
        <v>Facilities / Security / HSE</v>
      </c>
      <c r="H157" s="52">
        <f>'Physical Safety'!$U$11</f>
        <v>0</v>
      </c>
      <c r="I157" s="52" t="str">
        <f t="shared" si="8"/>
        <v>OK</v>
      </c>
      <c r="J157" s="52" t="str">
        <f t="shared" si="9"/>
        <v>OK</v>
      </c>
      <c r="K157" s="52" t="str">
        <f t="shared" si="10"/>
        <v>OK</v>
      </c>
      <c r="L157" s="52" t="str">
        <f>IF(AND(E157&lt;&gt;"",E157&lt;&gt;"N/A",VALUE(E157)&lt;5,COUNTIF('Executive Recommendations'!$A$8:$A$414,A157)=0),"Missing recommended action","OK")</f>
        <v>Missing recommended action</v>
      </c>
      <c r="M157" s="52" t="s">
        <v>3262</v>
      </c>
      <c r="N157" s="52" t="s">
        <v>7042</v>
      </c>
    </row>
    <row r="158" spans="1:14" ht="63.75">
      <c r="A158" s="64" t="s">
        <v>3270</v>
      </c>
      <c r="B158" s="64" t="s">
        <v>72</v>
      </c>
      <c r="C158" s="64" t="s">
        <v>1226</v>
      </c>
      <c r="D158" s="64" t="s">
        <v>3271</v>
      </c>
      <c r="E158" s="64">
        <f>'Physical Safety'!$H$12</f>
        <v>0</v>
      </c>
      <c r="F158" s="64" t="str">
        <f>'Physical Safety'!$L$12</f>
        <v/>
      </c>
      <c r="G158" s="64" t="str">
        <f>'Physical Safety'!$T$12</f>
        <v>Facilities / Security / HSE</v>
      </c>
      <c r="H158" s="64">
        <f>'Physical Safety'!$U$12</f>
        <v>0</v>
      </c>
      <c r="I158" s="64" t="str">
        <f t="shared" si="8"/>
        <v>OK</v>
      </c>
      <c r="J158" s="64" t="str">
        <f t="shared" si="9"/>
        <v>OK</v>
      </c>
      <c r="K158" s="64" t="str">
        <f t="shared" si="10"/>
        <v>OK</v>
      </c>
      <c r="L158" s="64" t="str">
        <f>IF(AND(E158&lt;&gt;"",E158&lt;&gt;"N/A",VALUE(E158)&lt;5,COUNTIF('Executive Recommendations'!$A$8:$A$414,A158)=0),"Missing recommended action","OK")</f>
        <v>Missing recommended action</v>
      </c>
      <c r="M158" s="64" t="s">
        <v>3272</v>
      </c>
      <c r="N158" s="64" t="s">
        <v>7049</v>
      </c>
    </row>
    <row r="159" spans="1:14" ht="51">
      <c r="A159" s="52" t="s">
        <v>3280</v>
      </c>
      <c r="B159" s="52" t="s">
        <v>72</v>
      </c>
      <c r="C159" s="52" t="s">
        <v>1226</v>
      </c>
      <c r="D159" s="52" t="s">
        <v>3281</v>
      </c>
      <c r="E159" s="52">
        <f>'Physical Safety'!$H$13</f>
        <v>0</v>
      </c>
      <c r="F159" s="52" t="str">
        <f>'Physical Safety'!$L$13</f>
        <v/>
      </c>
      <c r="G159" s="52" t="str">
        <f>'Physical Safety'!$T$13</f>
        <v>Facilities / Security / HSE</v>
      </c>
      <c r="H159" s="52">
        <f>'Physical Safety'!$U$13</f>
        <v>0</v>
      </c>
      <c r="I159" s="52" t="str">
        <f t="shared" si="8"/>
        <v>OK</v>
      </c>
      <c r="J159" s="52" t="str">
        <f t="shared" si="9"/>
        <v>OK</v>
      </c>
      <c r="K159" s="52" t="str">
        <f t="shared" si="10"/>
        <v>OK</v>
      </c>
      <c r="L159" s="52" t="str">
        <f>IF(AND(E159&lt;&gt;"",E159&lt;&gt;"N/A",VALUE(E159)&lt;5,COUNTIF('Executive Recommendations'!$A$8:$A$414,A159)=0),"Missing recommended action","OK")</f>
        <v>Missing recommended action</v>
      </c>
      <c r="M159" s="52" t="s">
        <v>3282</v>
      </c>
      <c r="N159" s="52" t="s">
        <v>7056</v>
      </c>
    </row>
    <row r="160" spans="1:14" ht="63.75">
      <c r="A160" s="64" t="s">
        <v>3290</v>
      </c>
      <c r="B160" s="64" t="s">
        <v>72</v>
      </c>
      <c r="C160" s="64" t="s">
        <v>1226</v>
      </c>
      <c r="D160" s="64" t="s">
        <v>3291</v>
      </c>
      <c r="E160" s="64">
        <f>'Physical Safety'!$H$14</f>
        <v>0</v>
      </c>
      <c r="F160" s="64" t="str">
        <f>'Physical Safety'!$L$14</f>
        <v/>
      </c>
      <c r="G160" s="64" t="str">
        <f>'Physical Safety'!$T$14</f>
        <v>Facilities / Security / HSE</v>
      </c>
      <c r="H160" s="64">
        <f>'Physical Safety'!$U$14</f>
        <v>0</v>
      </c>
      <c r="I160" s="64" t="str">
        <f t="shared" si="8"/>
        <v>OK</v>
      </c>
      <c r="J160" s="64" t="str">
        <f t="shared" si="9"/>
        <v>OK</v>
      </c>
      <c r="K160" s="64" t="str">
        <f t="shared" si="10"/>
        <v>OK</v>
      </c>
      <c r="L160" s="64" t="str">
        <f>IF(AND(E160&lt;&gt;"",E160&lt;&gt;"N/A",VALUE(E160)&lt;5,COUNTIF('Executive Recommendations'!$A$8:$A$414,A160)=0),"Missing recommended action","OK")</f>
        <v>Missing recommended action</v>
      </c>
      <c r="M160" s="64" t="s">
        <v>3292</v>
      </c>
      <c r="N160" s="64" t="s">
        <v>7063</v>
      </c>
    </row>
    <row r="161" spans="1:14" ht="51">
      <c r="A161" s="52" t="s">
        <v>3300</v>
      </c>
      <c r="B161" s="52" t="s">
        <v>72</v>
      </c>
      <c r="C161" s="52" t="s">
        <v>1226</v>
      </c>
      <c r="D161" s="52" t="s">
        <v>3301</v>
      </c>
      <c r="E161" s="52">
        <f>'Physical Safety'!$H$15</f>
        <v>0</v>
      </c>
      <c r="F161" s="52" t="str">
        <f>'Physical Safety'!$L$15</f>
        <v/>
      </c>
      <c r="G161" s="52" t="str">
        <f>'Physical Safety'!$T$15</f>
        <v>Facilities / Security / HSE</v>
      </c>
      <c r="H161" s="52">
        <f>'Physical Safety'!$U$15</f>
        <v>0</v>
      </c>
      <c r="I161" s="52" t="str">
        <f t="shared" si="8"/>
        <v>OK</v>
      </c>
      <c r="J161" s="52" t="str">
        <f t="shared" si="9"/>
        <v>OK</v>
      </c>
      <c r="K161" s="52" t="str">
        <f t="shared" si="10"/>
        <v>OK</v>
      </c>
      <c r="L161" s="52" t="str">
        <f>IF(AND(E161&lt;&gt;"",E161&lt;&gt;"N/A",VALUE(E161)&lt;5,COUNTIF('Executive Recommendations'!$A$8:$A$414,A161)=0),"Missing recommended action","OK")</f>
        <v>Missing recommended action</v>
      </c>
      <c r="M161" s="52" t="s">
        <v>3302</v>
      </c>
      <c r="N161" s="52" t="s">
        <v>7070</v>
      </c>
    </row>
    <row r="162" spans="1:14" ht="63.75">
      <c r="A162" s="64" t="s">
        <v>3310</v>
      </c>
      <c r="B162" s="64" t="s">
        <v>72</v>
      </c>
      <c r="C162" s="64" t="s">
        <v>1226</v>
      </c>
      <c r="D162" s="64" t="s">
        <v>3311</v>
      </c>
      <c r="E162" s="64">
        <f>'Physical Safety'!$H$16</f>
        <v>0</v>
      </c>
      <c r="F162" s="64" t="str">
        <f>'Physical Safety'!$L$16</f>
        <v/>
      </c>
      <c r="G162" s="64" t="str">
        <f>'Physical Safety'!$T$16</f>
        <v>Facilities / Security / HSE</v>
      </c>
      <c r="H162" s="64">
        <f>'Physical Safety'!$U$16</f>
        <v>0</v>
      </c>
      <c r="I162" s="64" t="str">
        <f t="shared" si="8"/>
        <v>OK</v>
      </c>
      <c r="J162" s="64" t="str">
        <f t="shared" si="9"/>
        <v>OK</v>
      </c>
      <c r="K162" s="64" t="str">
        <f t="shared" si="10"/>
        <v>OK</v>
      </c>
      <c r="L162" s="64" t="str">
        <f>IF(AND(E162&lt;&gt;"",E162&lt;&gt;"N/A",VALUE(E162)&lt;5,COUNTIF('Executive Recommendations'!$A$8:$A$414,A162)=0),"Missing recommended action","OK")</f>
        <v>Missing recommended action</v>
      </c>
      <c r="M162" s="64" t="s">
        <v>3312</v>
      </c>
      <c r="N162" s="64" t="s">
        <v>7077</v>
      </c>
    </row>
    <row r="163" spans="1:14" ht="63.75">
      <c r="A163" s="52" t="s">
        <v>3320</v>
      </c>
      <c r="B163" s="52" t="s">
        <v>72</v>
      </c>
      <c r="C163" s="52" t="s">
        <v>1234</v>
      </c>
      <c r="D163" s="52" t="s">
        <v>3321</v>
      </c>
      <c r="E163" s="52">
        <f>'Physical Safety'!$H$17</f>
        <v>0</v>
      </c>
      <c r="F163" s="52" t="str">
        <f>'Physical Safety'!$L$17</f>
        <v/>
      </c>
      <c r="G163" s="52" t="str">
        <f>'Physical Safety'!$T$17</f>
        <v>Facilities / Security / HSE</v>
      </c>
      <c r="H163" s="52">
        <f>'Physical Safety'!$U$17</f>
        <v>0</v>
      </c>
      <c r="I163" s="52" t="str">
        <f t="shared" si="8"/>
        <v>OK</v>
      </c>
      <c r="J163" s="52" t="str">
        <f t="shared" si="9"/>
        <v>OK</v>
      </c>
      <c r="K163" s="52" t="str">
        <f t="shared" si="10"/>
        <v>OK</v>
      </c>
      <c r="L163" s="52" t="str">
        <f>IF(AND(E163&lt;&gt;"",E163&lt;&gt;"N/A",VALUE(E163)&lt;5,COUNTIF('Executive Recommendations'!$A$8:$A$414,A163)=0),"Missing recommended action","OK")</f>
        <v>Missing recommended action</v>
      </c>
      <c r="M163" s="52" t="s">
        <v>3322</v>
      </c>
      <c r="N163" s="52" t="s">
        <v>7085</v>
      </c>
    </row>
    <row r="164" spans="1:14" ht="51">
      <c r="A164" s="64" t="s">
        <v>3330</v>
      </c>
      <c r="B164" s="64" t="s">
        <v>72</v>
      </c>
      <c r="C164" s="64" t="s">
        <v>1234</v>
      </c>
      <c r="D164" s="64" t="s">
        <v>3331</v>
      </c>
      <c r="E164" s="64">
        <f>'Physical Safety'!$H$18</f>
        <v>0</v>
      </c>
      <c r="F164" s="64" t="str">
        <f>'Physical Safety'!$L$18</f>
        <v/>
      </c>
      <c r="G164" s="64" t="str">
        <f>'Physical Safety'!$T$18</f>
        <v>Facilities / Security / HSE</v>
      </c>
      <c r="H164" s="64">
        <f>'Physical Safety'!$U$18</f>
        <v>0</v>
      </c>
      <c r="I164" s="64" t="str">
        <f t="shared" si="8"/>
        <v>OK</v>
      </c>
      <c r="J164" s="64" t="str">
        <f t="shared" si="9"/>
        <v>OK</v>
      </c>
      <c r="K164" s="64" t="str">
        <f t="shared" si="10"/>
        <v>OK</v>
      </c>
      <c r="L164" s="64" t="str">
        <f>IF(AND(E164&lt;&gt;"",E164&lt;&gt;"N/A",VALUE(E164)&lt;5,COUNTIF('Executive Recommendations'!$A$8:$A$414,A164)=0),"Missing recommended action","OK")</f>
        <v>Missing recommended action</v>
      </c>
      <c r="M164" s="64" t="s">
        <v>3332</v>
      </c>
      <c r="N164" s="64" t="s">
        <v>7092</v>
      </c>
    </row>
    <row r="165" spans="1:14" ht="63.75">
      <c r="A165" s="52" t="s">
        <v>3340</v>
      </c>
      <c r="B165" s="52" t="s">
        <v>72</v>
      </c>
      <c r="C165" s="52" t="s">
        <v>1234</v>
      </c>
      <c r="D165" s="52" t="s">
        <v>3341</v>
      </c>
      <c r="E165" s="52">
        <f>'Physical Safety'!$H$19</f>
        <v>0</v>
      </c>
      <c r="F165" s="52" t="str">
        <f>'Physical Safety'!$L$19</f>
        <v/>
      </c>
      <c r="G165" s="52" t="str">
        <f>'Physical Safety'!$T$19</f>
        <v>Facilities / Security / HSE</v>
      </c>
      <c r="H165" s="52">
        <f>'Physical Safety'!$U$19</f>
        <v>0</v>
      </c>
      <c r="I165" s="52" t="str">
        <f t="shared" si="8"/>
        <v>OK</v>
      </c>
      <c r="J165" s="52" t="str">
        <f t="shared" si="9"/>
        <v>OK</v>
      </c>
      <c r="K165" s="52" t="str">
        <f t="shared" si="10"/>
        <v>OK</v>
      </c>
      <c r="L165" s="52" t="str">
        <f>IF(AND(E165&lt;&gt;"",E165&lt;&gt;"N/A",VALUE(E165)&lt;5,COUNTIF('Executive Recommendations'!$A$8:$A$414,A165)=0),"Missing recommended action","OK")</f>
        <v>Missing recommended action</v>
      </c>
      <c r="M165" s="52" t="s">
        <v>3342</v>
      </c>
      <c r="N165" s="52" t="s">
        <v>7099</v>
      </c>
    </row>
    <row r="166" spans="1:14" ht="51">
      <c r="A166" s="64" t="s">
        <v>3350</v>
      </c>
      <c r="B166" s="64" t="s">
        <v>72</v>
      </c>
      <c r="C166" s="64" t="s">
        <v>1234</v>
      </c>
      <c r="D166" s="64" t="s">
        <v>3351</v>
      </c>
      <c r="E166" s="64">
        <f>'Physical Safety'!$H$20</f>
        <v>0</v>
      </c>
      <c r="F166" s="64" t="str">
        <f>'Physical Safety'!$L$20</f>
        <v/>
      </c>
      <c r="G166" s="64" t="str">
        <f>'Physical Safety'!$T$20</f>
        <v>Facilities / Security / HSE</v>
      </c>
      <c r="H166" s="64">
        <f>'Physical Safety'!$U$20</f>
        <v>0</v>
      </c>
      <c r="I166" s="64" t="str">
        <f t="shared" si="8"/>
        <v>OK</v>
      </c>
      <c r="J166" s="64" t="str">
        <f t="shared" si="9"/>
        <v>OK</v>
      </c>
      <c r="K166" s="64" t="str">
        <f t="shared" si="10"/>
        <v>OK</v>
      </c>
      <c r="L166" s="64" t="str">
        <f>IF(AND(E166&lt;&gt;"",E166&lt;&gt;"N/A",VALUE(E166)&lt;5,COUNTIF('Executive Recommendations'!$A$8:$A$414,A166)=0),"Missing recommended action","OK")</f>
        <v>Missing recommended action</v>
      </c>
      <c r="M166" s="64" t="s">
        <v>3352</v>
      </c>
      <c r="N166" s="64" t="s">
        <v>7106</v>
      </c>
    </row>
    <row r="167" spans="1:14" ht="51">
      <c r="A167" s="52" t="s">
        <v>3360</v>
      </c>
      <c r="B167" s="52" t="s">
        <v>72</v>
      </c>
      <c r="C167" s="52" t="s">
        <v>1234</v>
      </c>
      <c r="D167" s="52" t="s">
        <v>3361</v>
      </c>
      <c r="E167" s="52">
        <f>'Physical Safety'!$H$21</f>
        <v>0</v>
      </c>
      <c r="F167" s="52" t="str">
        <f>'Physical Safety'!$L$21</f>
        <v/>
      </c>
      <c r="G167" s="52" t="str">
        <f>'Physical Safety'!$T$21</f>
        <v>Facilities / Security / HSE</v>
      </c>
      <c r="H167" s="52">
        <f>'Physical Safety'!$U$21</f>
        <v>0</v>
      </c>
      <c r="I167" s="52" t="str">
        <f t="shared" si="8"/>
        <v>OK</v>
      </c>
      <c r="J167" s="52" t="str">
        <f t="shared" si="9"/>
        <v>OK</v>
      </c>
      <c r="K167" s="52" t="str">
        <f t="shared" si="10"/>
        <v>OK</v>
      </c>
      <c r="L167" s="52" t="str">
        <f>IF(AND(E167&lt;&gt;"",E167&lt;&gt;"N/A",VALUE(E167)&lt;5,COUNTIF('Executive Recommendations'!$A$8:$A$414,A167)=0),"Missing recommended action","OK")</f>
        <v>Missing recommended action</v>
      </c>
      <c r="M167" s="52" t="s">
        <v>3362</v>
      </c>
      <c r="N167" s="52" t="s">
        <v>7113</v>
      </c>
    </row>
    <row r="168" spans="1:14" ht="63.75">
      <c r="A168" s="64" t="s">
        <v>3370</v>
      </c>
      <c r="B168" s="64" t="s">
        <v>72</v>
      </c>
      <c r="C168" s="64" t="s">
        <v>1234</v>
      </c>
      <c r="D168" s="64" t="s">
        <v>3371</v>
      </c>
      <c r="E168" s="64">
        <f>'Physical Safety'!$H$22</f>
        <v>0</v>
      </c>
      <c r="F168" s="64" t="str">
        <f>'Physical Safety'!$L$22</f>
        <v/>
      </c>
      <c r="G168" s="64" t="str">
        <f>'Physical Safety'!$T$22</f>
        <v>Facilities / Security / HSE</v>
      </c>
      <c r="H168" s="64">
        <f>'Physical Safety'!$U$22</f>
        <v>0</v>
      </c>
      <c r="I168" s="64" t="str">
        <f t="shared" si="8"/>
        <v>OK</v>
      </c>
      <c r="J168" s="64" t="str">
        <f t="shared" si="9"/>
        <v>OK</v>
      </c>
      <c r="K168" s="64" t="str">
        <f t="shared" si="10"/>
        <v>OK</v>
      </c>
      <c r="L168" s="64" t="str">
        <f>IF(AND(E168&lt;&gt;"",E168&lt;&gt;"N/A",VALUE(E168)&lt;5,COUNTIF('Executive Recommendations'!$A$8:$A$414,A168)=0),"Missing recommended action","OK")</f>
        <v>Missing recommended action</v>
      </c>
      <c r="M168" s="64" t="s">
        <v>3372</v>
      </c>
      <c r="N168" s="64" t="s">
        <v>7120</v>
      </c>
    </row>
    <row r="169" spans="1:14" ht="63.75">
      <c r="A169" s="52" t="s">
        <v>3380</v>
      </c>
      <c r="B169" s="52" t="s">
        <v>72</v>
      </c>
      <c r="C169" s="52" t="s">
        <v>1242</v>
      </c>
      <c r="D169" s="52" t="s">
        <v>3381</v>
      </c>
      <c r="E169" s="52">
        <f>'Physical Safety'!$H$23</f>
        <v>0</v>
      </c>
      <c r="F169" s="52" t="str">
        <f>'Physical Safety'!$L$23</f>
        <v/>
      </c>
      <c r="G169" s="52" t="str">
        <f>'Physical Safety'!$T$23</f>
        <v>Facilities / Security / HSE</v>
      </c>
      <c r="H169" s="52">
        <f>'Physical Safety'!$U$23</f>
        <v>0</v>
      </c>
      <c r="I169" s="52" t="str">
        <f t="shared" si="8"/>
        <v>OK</v>
      </c>
      <c r="J169" s="52" t="str">
        <f t="shared" si="9"/>
        <v>OK</v>
      </c>
      <c r="K169" s="52" t="str">
        <f t="shared" si="10"/>
        <v>OK</v>
      </c>
      <c r="L169" s="52" t="str">
        <f>IF(AND(E169&lt;&gt;"",E169&lt;&gt;"N/A",VALUE(E169)&lt;5,COUNTIF('Executive Recommendations'!$A$8:$A$414,A169)=0),"Missing recommended action","OK")</f>
        <v>Missing recommended action</v>
      </c>
      <c r="M169" s="52" t="s">
        <v>3382</v>
      </c>
      <c r="N169" s="52" t="s">
        <v>7128</v>
      </c>
    </row>
    <row r="170" spans="1:14" ht="51">
      <c r="A170" s="64" t="s">
        <v>3390</v>
      </c>
      <c r="B170" s="64" t="s">
        <v>72</v>
      </c>
      <c r="C170" s="64" t="s">
        <v>1242</v>
      </c>
      <c r="D170" s="64" t="s">
        <v>3391</v>
      </c>
      <c r="E170" s="64">
        <f>'Physical Safety'!$H$24</f>
        <v>0</v>
      </c>
      <c r="F170" s="64" t="str">
        <f>'Physical Safety'!$L$24</f>
        <v/>
      </c>
      <c r="G170" s="64" t="str">
        <f>'Physical Safety'!$T$24</f>
        <v>Facilities / Security / HSE</v>
      </c>
      <c r="H170" s="64">
        <f>'Physical Safety'!$U$24</f>
        <v>0</v>
      </c>
      <c r="I170" s="64" t="str">
        <f t="shared" si="8"/>
        <v>OK</v>
      </c>
      <c r="J170" s="64" t="str">
        <f t="shared" si="9"/>
        <v>OK</v>
      </c>
      <c r="K170" s="64" t="str">
        <f t="shared" si="10"/>
        <v>OK</v>
      </c>
      <c r="L170" s="64" t="str">
        <f>IF(AND(E170&lt;&gt;"",E170&lt;&gt;"N/A",VALUE(E170)&lt;5,COUNTIF('Executive Recommendations'!$A$8:$A$414,A170)=0),"Missing recommended action","OK")</f>
        <v>Missing recommended action</v>
      </c>
      <c r="M170" s="64" t="s">
        <v>3392</v>
      </c>
      <c r="N170" s="64" t="s">
        <v>7135</v>
      </c>
    </row>
    <row r="171" spans="1:14" ht="63.75">
      <c r="A171" s="52" t="s">
        <v>3400</v>
      </c>
      <c r="B171" s="52" t="s">
        <v>72</v>
      </c>
      <c r="C171" s="52" t="s">
        <v>1242</v>
      </c>
      <c r="D171" s="52" t="s">
        <v>3401</v>
      </c>
      <c r="E171" s="52">
        <f>'Physical Safety'!$H$25</f>
        <v>0</v>
      </c>
      <c r="F171" s="52" t="str">
        <f>'Physical Safety'!$L$25</f>
        <v/>
      </c>
      <c r="G171" s="52" t="str">
        <f>'Physical Safety'!$T$25</f>
        <v>Facilities / Security / HSE</v>
      </c>
      <c r="H171" s="52">
        <f>'Physical Safety'!$U$25</f>
        <v>0</v>
      </c>
      <c r="I171" s="52" t="str">
        <f t="shared" si="8"/>
        <v>OK</v>
      </c>
      <c r="J171" s="52" t="str">
        <f t="shared" si="9"/>
        <v>OK</v>
      </c>
      <c r="K171" s="52" t="str">
        <f t="shared" si="10"/>
        <v>OK</v>
      </c>
      <c r="L171" s="52" t="str">
        <f>IF(AND(E171&lt;&gt;"",E171&lt;&gt;"N/A",VALUE(E171)&lt;5,COUNTIF('Executive Recommendations'!$A$8:$A$414,A171)=0),"Missing recommended action","OK")</f>
        <v>Missing recommended action</v>
      </c>
      <c r="M171" s="52" t="s">
        <v>3402</v>
      </c>
      <c r="N171" s="52" t="s">
        <v>7142</v>
      </c>
    </row>
    <row r="172" spans="1:14" ht="51">
      <c r="A172" s="64" t="s">
        <v>3410</v>
      </c>
      <c r="B172" s="64" t="s">
        <v>72</v>
      </c>
      <c r="C172" s="64" t="s">
        <v>1242</v>
      </c>
      <c r="D172" s="64" t="s">
        <v>3411</v>
      </c>
      <c r="E172" s="64">
        <f>'Physical Safety'!$H$26</f>
        <v>0</v>
      </c>
      <c r="F172" s="64" t="str">
        <f>'Physical Safety'!$L$26</f>
        <v/>
      </c>
      <c r="G172" s="64" t="str">
        <f>'Physical Safety'!$T$26</f>
        <v>Facilities / Security / HSE</v>
      </c>
      <c r="H172" s="64">
        <f>'Physical Safety'!$U$26</f>
        <v>0</v>
      </c>
      <c r="I172" s="64" t="str">
        <f t="shared" si="8"/>
        <v>OK</v>
      </c>
      <c r="J172" s="64" t="str">
        <f t="shared" si="9"/>
        <v>OK</v>
      </c>
      <c r="K172" s="64" t="str">
        <f t="shared" si="10"/>
        <v>OK</v>
      </c>
      <c r="L172" s="64" t="str">
        <f>IF(AND(E172&lt;&gt;"",E172&lt;&gt;"N/A",VALUE(E172)&lt;5,COUNTIF('Executive Recommendations'!$A$8:$A$414,A172)=0),"Missing recommended action","OK")</f>
        <v>Missing recommended action</v>
      </c>
      <c r="M172" s="64" t="s">
        <v>3412</v>
      </c>
      <c r="N172" s="64" t="s">
        <v>7149</v>
      </c>
    </row>
    <row r="173" spans="1:14" ht="51">
      <c r="A173" s="52" t="s">
        <v>3420</v>
      </c>
      <c r="B173" s="52" t="s">
        <v>72</v>
      </c>
      <c r="C173" s="52" t="s">
        <v>1242</v>
      </c>
      <c r="D173" s="52" t="s">
        <v>3421</v>
      </c>
      <c r="E173" s="52">
        <f>'Physical Safety'!$H$27</f>
        <v>0</v>
      </c>
      <c r="F173" s="52" t="str">
        <f>'Physical Safety'!$L$27</f>
        <v/>
      </c>
      <c r="G173" s="52" t="str">
        <f>'Physical Safety'!$T$27</f>
        <v>Facilities / Security / HSE</v>
      </c>
      <c r="H173" s="52">
        <f>'Physical Safety'!$U$27</f>
        <v>0</v>
      </c>
      <c r="I173" s="52" t="str">
        <f t="shared" si="8"/>
        <v>OK</v>
      </c>
      <c r="J173" s="52" t="str">
        <f t="shared" si="9"/>
        <v>OK</v>
      </c>
      <c r="K173" s="52" t="str">
        <f t="shared" si="10"/>
        <v>OK</v>
      </c>
      <c r="L173" s="52" t="str">
        <f>IF(AND(E173&lt;&gt;"",E173&lt;&gt;"N/A",VALUE(E173)&lt;5,COUNTIF('Executive Recommendations'!$A$8:$A$414,A173)=0),"Missing recommended action","OK")</f>
        <v>Missing recommended action</v>
      </c>
      <c r="M173" s="52" t="s">
        <v>3422</v>
      </c>
      <c r="N173" s="52" t="s">
        <v>7156</v>
      </c>
    </row>
    <row r="174" spans="1:14" ht="51">
      <c r="A174" s="64" t="s">
        <v>3430</v>
      </c>
      <c r="B174" s="64" t="s">
        <v>72</v>
      </c>
      <c r="C174" s="64" t="s">
        <v>1250</v>
      </c>
      <c r="D174" s="64" t="s">
        <v>3431</v>
      </c>
      <c r="E174" s="64">
        <f>'Physical Safety'!$H$28</f>
        <v>0</v>
      </c>
      <c r="F174" s="64" t="str">
        <f>'Physical Safety'!$L$28</f>
        <v/>
      </c>
      <c r="G174" s="64" t="str">
        <f>'Physical Safety'!$T$28</f>
        <v>Facilities / Security / HSE</v>
      </c>
      <c r="H174" s="64">
        <f>'Physical Safety'!$U$28</f>
        <v>0</v>
      </c>
      <c r="I174" s="64" t="str">
        <f t="shared" si="8"/>
        <v>OK</v>
      </c>
      <c r="J174" s="64" t="str">
        <f t="shared" si="9"/>
        <v>OK</v>
      </c>
      <c r="K174" s="64" t="str">
        <f t="shared" si="10"/>
        <v>OK</v>
      </c>
      <c r="L174" s="64" t="str">
        <f>IF(AND(E174&lt;&gt;"",E174&lt;&gt;"N/A",VALUE(E174)&lt;5,COUNTIF('Executive Recommendations'!$A$8:$A$414,A174)=0),"Missing recommended action","OK")</f>
        <v>Missing recommended action</v>
      </c>
      <c r="M174" s="64" t="s">
        <v>3432</v>
      </c>
      <c r="N174" s="64" t="s">
        <v>7164</v>
      </c>
    </row>
    <row r="175" spans="1:14" ht="51">
      <c r="A175" s="52" t="s">
        <v>3440</v>
      </c>
      <c r="B175" s="52" t="s">
        <v>72</v>
      </c>
      <c r="C175" s="52" t="s">
        <v>1250</v>
      </c>
      <c r="D175" s="52" t="s">
        <v>3441</v>
      </c>
      <c r="E175" s="52">
        <f>'Physical Safety'!$H$29</f>
        <v>0</v>
      </c>
      <c r="F175" s="52" t="str">
        <f>'Physical Safety'!$L$29</f>
        <v/>
      </c>
      <c r="G175" s="52" t="str">
        <f>'Physical Safety'!$T$29</f>
        <v>Facilities / Security / HSE</v>
      </c>
      <c r="H175" s="52">
        <f>'Physical Safety'!$U$29</f>
        <v>0</v>
      </c>
      <c r="I175" s="52" t="str">
        <f t="shared" si="8"/>
        <v>OK</v>
      </c>
      <c r="J175" s="52" t="str">
        <f t="shared" si="9"/>
        <v>OK</v>
      </c>
      <c r="K175" s="52" t="str">
        <f t="shared" si="10"/>
        <v>OK</v>
      </c>
      <c r="L175" s="52" t="str">
        <f>IF(AND(E175&lt;&gt;"",E175&lt;&gt;"N/A",VALUE(E175)&lt;5,COUNTIF('Executive Recommendations'!$A$8:$A$414,A175)=0),"Missing recommended action","OK")</f>
        <v>Missing recommended action</v>
      </c>
      <c r="M175" s="52" t="s">
        <v>3442</v>
      </c>
      <c r="N175" s="52" t="s">
        <v>7171</v>
      </c>
    </row>
    <row r="176" spans="1:14" ht="51">
      <c r="A176" s="64" t="s">
        <v>3450</v>
      </c>
      <c r="B176" s="64" t="s">
        <v>72</v>
      </c>
      <c r="C176" s="64" t="s">
        <v>1250</v>
      </c>
      <c r="D176" s="64" t="s">
        <v>3451</v>
      </c>
      <c r="E176" s="64">
        <f>'Physical Safety'!$H$30</f>
        <v>0</v>
      </c>
      <c r="F176" s="64" t="str">
        <f>'Physical Safety'!$L$30</f>
        <v/>
      </c>
      <c r="G176" s="64" t="str">
        <f>'Physical Safety'!$T$30</f>
        <v>Facilities / Security / HSE</v>
      </c>
      <c r="H176" s="64">
        <f>'Physical Safety'!$U$30</f>
        <v>0</v>
      </c>
      <c r="I176" s="64" t="str">
        <f t="shared" si="8"/>
        <v>OK</v>
      </c>
      <c r="J176" s="64" t="str">
        <f t="shared" si="9"/>
        <v>OK</v>
      </c>
      <c r="K176" s="64" t="str">
        <f t="shared" si="10"/>
        <v>OK</v>
      </c>
      <c r="L176" s="64" t="str">
        <f>IF(AND(E176&lt;&gt;"",E176&lt;&gt;"N/A",VALUE(E176)&lt;5,COUNTIF('Executive Recommendations'!$A$8:$A$414,A176)=0),"Missing recommended action","OK")</f>
        <v>Missing recommended action</v>
      </c>
      <c r="M176" s="64" t="s">
        <v>3452</v>
      </c>
      <c r="N176" s="64" t="s">
        <v>7178</v>
      </c>
    </row>
    <row r="177" spans="1:14" ht="51">
      <c r="A177" s="52" t="s">
        <v>3460</v>
      </c>
      <c r="B177" s="52" t="s">
        <v>72</v>
      </c>
      <c r="C177" s="52" t="s">
        <v>1250</v>
      </c>
      <c r="D177" s="52" t="s">
        <v>3461</v>
      </c>
      <c r="E177" s="52">
        <f>'Physical Safety'!$H$31</f>
        <v>0</v>
      </c>
      <c r="F177" s="52" t="str">
        <f>'Physical Safety'!$L$31</f>
        <v/>
      </c>
      <c r="G177" s="52" t="str">
        <f>'Physical Safety'!$T$31</f>
        <v>Facilities / Security / HSE</v>
      </c>
      <c r="H177" s="52">
        <f>'Physical Safety'!$U$31</f>
        <v>0</v>
      </c>
      <c r="I177" s="52" t="str">
        <f t="shared" si="8"/>
        <v>OK</v>
      </c>
      <c r="J177" s="52" t="str">
        <f t="shared" si="9"/>
        <v>OK</v>
      </c>
      <c r="K177" s="52" t="str">
        <f t="shared" si="10"/>
        <v>OK</v>
      </c>
      <c r="L177" s="52" t="str">
        <f>IF(AND(E177&lt;&gt;"",E177&lt;&gt;"N/A",VALUE(E177)&lt;5,COUNTIF('Executive Recommendations'!$A$8:$A$414,A177)=0),"Missing recommended action","OK")</f>
        <v>Missing recommended action</v>
      </c>
      <c r="M177" s="52" t="s">
        <v>3462</v>
      </c>
      <c r="N177" s="52" t="s">
        <v>7185</v>
      </c>
    </row>
    <row r="178" spans="1:14" ht="63.75">
      <c r="A178" s="64" t="s">
        <v>3470</v>
      </c>
      <c r="B178" s="64" t="s">
        <v>72</v>
      </c>
      <c r="C178" s="64" t="s">
        <v>1250</v>
      </c>
      <c r="D178" s="64" t="s">
        <v>3471</v>
      </c>
      <c r="E178" s="64">
        <f>'Physical Safety'!$H$32</f>
        <v>0</v>
      </c>
      <c r="F178" s="64" t="str">
        <f>'Physical Safety'!$L$32</f>
        <v/>
      </c>
      <c r="G178" s="64" t="str">
        <f>'Physical Safety'!$T$32</f>
        <v>Facilities / Security / HSE</v>
      </c>
      <c r="H178" s="64">
        <f>'Physical Safety'!$U$32</f>
        <v>0</v>
      </c>
      <c r="I178" s="64" t="str">
        <f t="shared" si="8"/>
        <v>OK</v>
      </c>
      <c r="J178" s="64" t="str">
        <f t="shared" si="9"/>
        <v>OK</v>
      </c>
      <c r="K178" s="64" t="str">
        <f t="shared" si="10"/>
        <v>OK</v>
      </c>
      <c r="L178" s="64" t="str">
        <f>IF(AND(E178&lt;&gt;"",E178&lt;&gt;"N/A",VALUE(E178)&lt;5,COUNTIF('Executive Recommendations'!$A$8:$A$414,A178)=0),"Missing recommended action","OK")</f>
        <v>Missing recommended action</v>
      </c>
      <c r="M178" s="64" t="s">
        <v>3472</v>
      </c>
      <c r="N178" s="64" t="s">
        <v>7192</v>
      </c>
    </row>
    <row r="179" spans="1:14" ht="63.75">
      <c r="A179" s="52" t="s">
        <v>3482</v>
      </c>
      <c r="B179" s="52" t="s">
        <v>75</v>
      </c>
      <c r="C179" s="52" t="s">
        <v>1258</v>
      </c>
      <c r="D179" s="52" t="s">
        <v>3483</v>
      </c>
      <c r="E179" s="52">
        <f>'Delivery Ops'!$H$5</f>
        <v>0</v>
      </c>
      <c r="F179" s="52" t="str">
        <f>'Delivery Ops'!$L$5</f>
        <v/>
      </c>
      <c r="G179" s="52" t="str">
        <f>'Delivery Ops'!$T$5</f>
        <v>COO / Delivery</v>
      </c>
      <c r="H179" s="52">
        <f>'Delivery Ops'!$U$5</f>
        <v>0</v>
      </c>
      <c r="I179" s="52" t="str">
        <f t="shared" si="8"/>
        <v>OK</v>
      </c>
      <c r="J179" s="52" t="str">
        <f t="shared" si="9"/>
        <v>OK</v>
      </c>
      <c r="K179" s="52" t="str">
        <f t="shared" si="10"/>
        <v>OK</v>
      </c>
      <c r="L179" s="52" t="str">
        <f>IF(AND(E179&lt;&gt;"",E179&lt;&gt;"N/A",VALUE(E179)&lt;5,COUNTIF('Executive Recommendations'!$A$8:$A$414,A179)=0),"Missing recommended action","OK")</f>
        <v>Missing recommended action</v>
      </c>
      <c r="M179" s="52" t="s">
        <v>3486</v>
      </c>
      <c r="N179" s="52" t="s">
        <v>7200</v>
      </c>
    </row>
    <row r="180" spans="1:14" ht="51">
      <c r="A180" s="64" t="s">
        <v>3496</v>
      </c>
      <c r="B180" s="64" t="s">
        <v>75</v>
      </c>
      <c r="C180" s="64" t="s">
        <v>1258</v>
      </c>
      <c r="D180" s="64" t="s">
        <v>3497</v>
      </c>
      <c r="E180" s="64">
        <f>'Delivery Ops'!$H$6</f>
        <v>0</v>
      </c>
      <c r="F180" s="64" t="str">
        <f>'Delivery Ops'!$L$6</f>
        <v/>
      </c>
      <c r="G180" s="64" t="str">
        <f>'Delivery Ops'!$T$6</f>
        <v>COO / Delivery</v>
      </c>
      <c r="H180" s="64">
        <f>'Delivery Ops'!$U$6</f>
        <v>0</v>
      </c>
      <c r="I180" s="64" t="str">
        <f t="shared" si="8"/>
        <v>OK</v>
      </c>
      <c r="J180" s="64" t="str">
        <f t="shared" si="9"/>
        <v>OK</v>
      </c>
      <c r="K180" s="64" t="str">
        <f t="shared" si="10"/>
        <v>OK</v>
      </c>
      <c r="L180" s="64" t="str">
        <f>IF(AND(E180&lt;&gt;"",E180&lt;&gt;"N/A",VALUE(E180)&lt;5,COUNTIF('Executive Recommendations'!$A$8:$A$414,A180)=0),"Missing recommended action","OK")</f>
        <v>Missing recommended action</v>
      </c>
      <c r="M180" s="64" t="s">
        <v>3498</v>
      </c>
      <c r="N180" s="64" t="s">
        <v>7207</v>
      </c>
    </row>
    <row r="181" spans="1:14" ht="51">
      <c r="A181" s="52" t="s">
        <v>3506</v>
      </c>
      <c r="B181" s="52" t="s">
        <v>75</v>
      </c>
      <c r="C181" s="52" t="s">
        <v>1258</v>
      </c>
      <c r="D181" s="52" t="s">
        <v>3507</v>
      </c>
      <c r="E181" s="52">
        <f>'Delivery Ops'!$H$7</f>
        <v>0</v>
      </c>
      <c r="F181" s="52" t="str">
        <f>'Delivery Ops'!$L$7</f>
        <v/>
      </c>
      <c r="G181" s="52" t="str">
        <f>'Delivery Ops'!$T$7</f>
        <v>COO / Delivery</v>
      </c>
      <c r="H181" s="52">
        <f>'Delivery Ops'!$U$7</f>
        <v>0</v>
      </c>
      <c r="I181" s="52" t="str">
        <f t="shared" si="8"/>
        <v>OK</v>
      </c>
      <c r="J181" s="52" t="str">
        <f t="shared" si="9"/>
        <v>OK</v>
      </c>
      <c r="K181" s="52" t="str">
        <f t="shared" si="10"/>
        <v>OK</v>
      </c>
      <c r="L181" s="52" t="str">
        <f>IF(AND(E181&lt;&gt;"",E181&lt;&gt;"N/A",VALUE(E181)&lt;5,COUNTIF('Executive Recommendations'!$A$8:$A$414,A181)=0),"Missing recommended action","OK")</f>
        <v>Missing recommended action</v>
      </c>
      <c r="M181" s="52" t="s">
        <v>3508</v>
      </c>
      <c r="N181" s="52" t="s">
        <v>7214</v>
      </c>
    </row>
    <row r="182" spans="1:14" ht="51">
      <c r="A182" s="64" t="s">
        <v>3516</v>
      </c>
      <c r="B182" s="64" t="s">
        <v>75</v>
      </c>
      <c r="C182" s="64" t="s">
        <v>1258</v>
      </c>
      <c r="D182" s="64" t="s">
        <v>3517</v>
      </c>
      <c r="E182" s="64">
        <f>'Delivery Ops'!$H$8</f>
        <v>0</v>
      </c>
      <c r="F182" s="64" t="str">
        <f>'Delivery Ops'!$L$8</f>
        <v/>
      </c>
      <c r="G182" s="64" t="str">
        <f>'Delivery Ops'!$T$8</f>
        <v>COO / Delivery</v>
      </c>
      <c r="H182" s="64">
        <f>'Delivery Ops'!$U$8</f>
        <v>0</v>
      </c>
      <c r="I182" s="64" t="str">
        <f t="shared" si="8"/>
        <v>OK</v>
      </c>
      <c r="J182" s="64" t="str">
        <f t="shared" si="9"/>
        <v>OK</v>
      </c>
      <c r="K182" s="64" t="str">
        <f t="shared" si="10"/>
        <v>OK</v>
      </c>
      <c r="L182" s="64" t="str">
        <f>IF(AND(E182&lt;&gt;"",E182&lt;&gt;"N/A",VALUE(E182)&lt;5,COUNTIF('Executive Recommendations'!$A$8:$A$414,A182)=0),"Missing recommended action","OK")</f>
        <v>Missing recommended action</v>
      </c>
      <c r="M182" s="64" t="s">
        <v>3518</v>
      </c>
      <c r="N182" s="64" t="s">
        <v>7221</v>
      </c>
    </row>
    <row r="183" spans="1:14" ht="51">
      <c r="A183" s="52" t="s">
        <v>3526</v>
      </c>
      <c r="B183" s="52" t="s">
        <v>75</v>
      </c>
      <c r="C183" s="52" t="s">
        <v>1258</v>
      </c>
      <c r="D183" s="52" t="s">
        <v>3527</v>
      </c>
      <c r="E183" s="52">
        <f>'Delivery Ops'!$H$9</f>
        <v>0</v>
      </c>
      <c r="F183" s="52" t="str">
        <f>'Delivery Ops'!$L$9</f>
        <v/>
      </c>
      <c r="G183" s="52" t="str">
        <f>'Delivery Ops'!$T$9</f>
        <v>COO / Delivery</v>
      </c>
      <c r="H183" s="52">
        <f>'Delivery Ops'!$U$9</f>
        <v>0</v>
      </c>
      <c r="I183" s="52" t="str">
        <f t="shared" si="8"/>
        <v>OK</v>
      </c>
      <c r="J183" s="52" t="str">
        <f t="shared" si="9"/>
        <v>OK</v>
      </c>
      <c r="K183" s="52" t="str">
        <f t="shared" si="10"/>
        <v>OK</v>
      </c>
      <c r="L183" s="52" t="str">
        <f>IF(AND(E183&lt;&gt;"",E183&lt;&gt;"N/A",VALUE(E183)&lt;5,COUNTIF('Executive Recommendations'!$A$8:$A$414,A183)=0),"Missing recommended action","OK")</f>
        <v>Missing recommended action</v>
      </c>
      <c r="M183" s="52" t="s">
        <v>3528</v>
      </c>
      <c r="N183" s="52" t="s">
        <v>7228</v>
      </c>
    </row>
    <row r="184" spans="1:14" ht="51">
      <c r="A184" s="64" t="s">
        <v>3536</v>
      </c>
      <c r="B184" s="64" t="s">
        <v>75</v>
      </c>
      <c r="C184" s="64" t="s">
        <v>1258</v>
      </c>
      <c r="D184" s="64" t="s">
        <v>3537</v>
      </c>
      <c r="E184" s="64">
        <f>'Delivery Ops'!$H$10</f>
        <v>0</v>
      </c>
      <c r="F184" s="64" t="str">
        <f>'Delivery Ops'!$L$10</f>
        <v/>
      </c>
      <c r="G184" s="64" t="str">
        <f>'Delivery Ops'!$T$10</f>
        <v>COO / Delivery</v>
      </c>
      <c r="H184" s="64">
        <f>'Delivery Ops'!$U$10</f>
        <v>0</v>
      </c>
      <c r="I184" s="64" t="str">
        <f t="shared" si="8"/>
        <v>OK</v>
      </c>
      <c r="J184" s="64" t="str">
        <f t="shared" si="9"/>
        <v>OK</v>
      </c>
      <c r="K184" s="64" t="str">
        <f t="shared" si="10"/>
        <v>OK</v>
      </c>
      <c r="L184" s="64" t="str">
        <f>IF(AND(E184&lt;&gt;"",E184&lt;&gt;"N/A",VALUE(E184)&lt;5,COUNTIF('Executive Recommendations'!$A$8:$A$414,A184)=0),"Missing recommended action","OK")</f>
        <v>Missing recommended action</v>
      </c>
      <c r="M184" s="64" t="s">
        <v>3538</v>
      </c>
      <c r="N184" s="64" t="s">
        <v>7235</v>
      </c>
    </row>
    <row r="185" spans="1:14" ht="63.75">
      <c r="A185" s="52" t="s">
        <v>3546</v>
      </c>
      <c r="B185" s="52" t="s">
        <v>75</v>
      </c>
      <c r="C185" s="52" t="s">
        <v>1272</v>
      </c>
      <c r="D185" s="52" t="s">
        <v>3547</v>
      </c>
      <c r="E185" s="52">
        <f>'Delivery Ops'!$H$11</f>
        <v>0</v>
      </c>
      <c r="F185" s="52" t="str">
        <f>'Delivery Ops'!$L$11</f>
        <v/>
      </c>
      <c r="G185" s="52" t="str">
        <f>'Delivery Ops'!$T$11</f>
        <v>COO / Delivery</v>
      </c>
      <c r="H185" s="52">
        <f>'Delivery Ops'!$U$11</f>
        <v>0</v>
      </c>
      <c r="I185" s="52" t="str">
        <f t="shared" si="8"/>
        <v>OK</v>
      </c>
      <c r="J185" s="52" t="str">
        <f t="shared" si="9"/>
        <v>OK</v>
      </c>
      <c r="K185" s="52" t="str">
        <f t="shared" si="10"/>
        <v>OK</v>
      </c>
      <c r="L185" s="52" t="str">
        <f>IF(AND(E185&lt;&gt;"",E185&lt;&gt;"N/A",VALUE(E185)&lt;5,COUNTIF('Executive Recommendations'!$A$8:$A$414,A185)=0),"Missing recommended action","OK")</f>
        <v>Missing recommended action</v>
      </c>
      <c r="M185" s="52" t="s">
        <v>3548</v>
      </c>
      <c r="N185" s="52" t="s">
        <v>7243</v>
      </c>
    </row>
    <row r="186" spans="1:14" ht="51">
      <c r="A186" s="64" t="s">
        <v>3556</v>
      </c>
      <c r="B186" s="64" t="s">
        <v>75</v>
      </c>
      <c r="C186" s="64" t="s">
        <v>1272</v>
      </c>
      <c r="D186" s="64" t="s">
        <v>3557</v>
      </c>
      <c r="E186" s="64">
        <f>'Delivery Ops'!$H$12</f>
        <v>0</v>
      </c>
      <c r="F186" s="64" t="str">
        <f>'Delivery Ops'!$L$12</f>
        <v/>
      </c>
      <c r="G186" s="64" t="str">
        <f>'Delivery Ops'!$T$12</f>
        <v>COO / Delivery</v>
      </c>
      <c r="H186" s="64">
        <f>'Delivery Ops'!$U$12</f>
        <v>0</v>
      </c>
      <c r="I186" s="64" t="str">
        <f t="shared" si="8"/>
        <v>OK</v>
      </c>
      <c r="J186" s="64" t="str">
        <f t="shared" si="9"/>
        <v>OK</v>
      </c>
      <c r="K186" s="64" t="str">
        <f t="shared" si="10"/>
        <v>OK</v>
      </c>
      <c r="L186" s="64" t="str">
        <f>IF(AND(E186&lt;&gt;"",E186&lt;&gt;"N/A",VALUE(E186)&lt;5,COUNTIF('Executive Recommendations'!$A$8:$A$414,A186)=0),"Missing recommended action","OK")</f>
        <v>Missing recommended action</v>
      </c>
      <c r="M186" s="64" t="s">
        <v>3558</v>
      </c>
      <c r="N186" s="64" t="s">
        <v>7250</v>
      </c>
    </row>
    <row r="187" spans="1:14" ht="51">
      <c r="A187" s="52" t="s">
        <v>3566</v>
      </c>
      <c r="B187" s="52" t="s">
        <v>75</v>
      </c>
      <c r="C187" s="52" t="s">
        <v>1272</v>
      </c>
      <c r="D187" s="52" t="s">
        <v>3567</v>
      </c>
      <c r="E187" s="52">
        <f>'Delivery Ops'!$H$13</f>
        <v>0</v>
      </c>
      <c r="F187" s="52" t="str">
        <f>'Delivery Ops'!$L$13</f>
        <v/>
      </c>
      <c r="G187" s="52" t="str">
        <f>'Delivery Ops'!$T$13</f>
        <v>COO / Delivery</v>
      </c>
      <c r="H187" s="52">
        <f>'Delivery Ops'!$U$13</f>
        <v>0</v>
      </c>
      <c r="I187" s="52" t="str">
        <f t="shared" si="8"/>
        <v>OK</v>
      </c>
      <c r="J187" s="52" t="str">
        <f t="shared" si="9"/>
        <v>OK</v>
      </c>
      <c r="K187" s="52" t="str">
        <f t="shared" si="10"/>
        <v>OK</v>
      </c>
      <c r="L187" s="52" t="str">
        <f>IF(AND(E187&lt;&gt;"",E187&lt;&gt;"N/A",VALUE(E187)&lt;5,COUNTIF('Executive Recommendations'!$A$8:$A$414,A187)=0),"Missing recommended action","OK")</f>
        <v>Missing recommended action</v>
      </c>
      <c r="M187" s="52" t="s">
        <v>3568</v>
      </c>
      <c r="N187" s="52" t="s">
        <v>7257</v>
      </c>
    </row>
    <row r="188" spans="1:14" ht="51">
      <c r="A188" s="64" t="s">
        <v>3576</v>
      </c>
      <c r="B188" s="64" t="s">
        <v>75</v>
      </c>
      <c r="C188" s="64" t="s">
        <v>1272</v>
      </c>
      <c r="D188" s="64" t="s">
        <v>3577</v>
      </c>
      <c r="E188" s="64">
        <f>'Delivery Ops'!$H$14</f>
        <v>0</v>
      </c>
      <c r="F188" s="64" t="str">
        <f>'Delivery Ops'!$L$14</f>
        <v/>
      </c>
      <c r="G188" s="64" t="str">
        <f>'Delivery Ops'!$T$14</f>
        <v>COO / Delivery</v>
      </c>
      <c r="H188" s="64">
        <f>'Delivery Ops'!$U$14</f>
        <v>0</v>
      </c>
      <c r="I188" s="64" t="str">
        <f t="shared" si="8"/>
        <v>OK</v>
      </c>
      <c r="J188" s="64" t="str">
        <f t="shared" si="9"/>
        <v>OK</v>
      </c>
      <c r="K188" s="64" t="str">
        <f t="shared" si="10"/>
        <v>OK</v>
      </c>
      <c r="L188" s="64" t="str">
        <f>IF(AND(E188&lt;&gt;"",E188&lt;&gt;"N/A",VALUE(E188)&lt;5,COUNTIF('Executive Recommendations'!$A$8:$A$414,A188)=0),"Missing recommended action","OK")</f>
        <v>Missing recommended action</v>
      </c>
      <c r="M188" s="64" t="s">
        <v>3578</v>
      </c>
      <c r="N188" s="64" t="s">
        <v>7264</v>
      </c>
    </row>
    <row r="189" spans="1:14" ht="51">
      <c r="A189" s="52" t="s">
        <v>3586</v>
      </c>
      <c r="B189" s="52" t="s">
        <v>75</v>
      </c>
      <c r="C189" s="52" t="s">
        <v>1272</v>
      </c>
      <c r="D189" s="52" t="s">
        <v>3587</v>
      </c>
      <c r="E189" s="52">
        <f>'Delivery Ops'!$H$15</f>
        <v>0</v>
      </c>
      <c r="F189" s="52" t="str">
        <f>'Delivery Ops'!$L$15</f>
        <v/>
      </c>
      <c r="G189" s="52" t="str">
        <f>'Delivery Ops'!$T$15</f>
        <v>COO / Delivery</v>
      </c>
      <c r="H189" s="52">
        <f>'Delivery Ops'!$U$15</f>
        <v>0</v>
      </c>
      <c r="I189" s="52" t="str">
        <f t="shared" si="8"/>
        <v>OK</v>
      </c>
      <c r="J189" s="52" t="str">
        <f t="shared" si="9"/>
        <v>OK</v>
      </c>
      <c r="K189" s="52" t="str">
        <f t="shared" si="10"/>
        <v>OK</v>
      </c>
      <c r="L189" s="52" t="str">
        <f>IF(AND(E189&lt;&gt;"",E189&lt;&gt;"N/A",VALUE(E189)&lt;5,COUNTIF('Executive Recommendations'!$A$8:$A$414,A189)=0),"Missing recommended action","OK")</f>
        <v>Missing recommended action</v>
      </c>
      <c r="M189" s="52" t="s">
        <v>3588</v>
      </c>
      <c r="N189" s="52" t="s">
        <v>7271</v>
      </c>
    </row>
    <row r="190" spans="1:14" ht="51">
      <c r="A190" s="64" t="s">
        <v>3596</v>
      </c>
      <c r="B190" s="64" t="s">
        <v>75</v>
      </c>
      <c r="C190" s="64" t="s">
        <v>1272</v>
      </c>
      <c r="D190" s="64" t="s">
        <v>3597</v>
      </c>
      <c r="E190" s="64">
        <f>'Delivery Ops'!$H$16</f>
        <v>0</v>
      </c>
      <c r="F190" s="64" t="str">
        <f>'Delivery Ops'!$L$16</f>
        <v/>
      </c>
      <c r="G190" s="64" t="str">
        <f>'Delivery Ops'!$T$16</f>
        <v>COO / Delivery</v>
      </c>
      <c r="H190" s="64">
        <f>'Delivery Ops'!$U$16</f>
        <v>0</v>
      </c>
      <c r="I190" s="64" t="str">
        <f t="shared" si="8"/>
        <v>OK</v>
      </c>
      <c r="J190" s="64" t="str">
        <f t="shared" si="9"/>
        <v>OK</v>
      </c>
      <c r="K190" s="64" t="str">
        <f t="shared" si="10"/>
        <v>OK</v>
      </c>
      <c r="L190" s="64" t="str">
        <f>IF(AND(E190&lt;&gt;"",E190&lt;&gt;"N/A",VALUE(E190)&lt;5,COUNTIF('Executive Recommendations'!$A$8:$A$414,A190)=0),"Missing recommended action","OK")</f>
        <v>Missing recommended action</v>
      </c>
      <c r="M190" s="64" t="s">
        <v>3598</v>
      </c>
      <c r="N190" s="64" t="s">
        <v>7278</v>
      </c>
    </row>
    <row r="191" spans="1:14" ht="51">
      <c r="A191" s="52" t="s">
        <v>3606</v>
      </c>
      <c r="B191" s="52" t="s">
        <v>75</v>
      </c>
      <c r="C191" s="52" t="s">
        <v>1280</v>
      </c>
      <c r="D191" s="52" t="s">
        <v>3607</v>
      </c>
      <c r="E191" s="52">
        <f>'Delivery Ops'!$H$17</f>
        <v>0</v>
      </c>
      <c r="F191" s="52" t="str">
        <f>'Delivery Ops'!$L$17</f>
        <v/>
      </c>
      <c r="G191" s="52" t="str">
        <f>'Delivery Ops'!$T$17</f>
        <v>COO / Delivery</v>
      </c>
      <c r="H191" s="52">
        <f>'Delivery Ops'!$U$17</f>
        <v>0</v>
      </c>
      <c r="I191" s="52" t="str">
        <f t="shared" si="8"/>
        <v>OK</v>
      </c>
      <c r="J191" s="52" t="str">
        <f t="shared" si="9"/>
        <v>OK</v>
      </c>
      <c r="K191" s="52" t="str">
        <f t="shared" si="10"/>
        <v>OK</v>
      </c>
      <c r="L191" s="52" t="str">
        <f>IF(AND(E191&lt;&gt;"",E191&lt;&gt;"N/A",VALUE(E191)&lt;5,COUNTIF('Executive Recommendations'!$A$8:$A$414,A191)=0),"Missing recommended action","OK")</f>
        <v>Missing recommended action</v>
      </c>
      <c r="M191" s="52" t="s">
        <v>3608</v>
      </c>
      <c r="N191" s="52" t="s">
        <v>7286</v>
      </c>
    </row>
    <row r="192" spans="1:14" ht="51">
      <c r="A192" s="64" t="s">
        <v>3616</v>
      </c>
      <c r="B192" s="64" t="s">
        <v>75</v>
      </c>
      <c r="C192" s="64" t="s">
        <v>1280</v>
      </c>
      <c r="D192" s="64" t="s">
        <v>3617</v>
      </c>
      <c r="E192" s="64">
        <f>'Delivery Ops'!$H$18</f>
        <v>0</v>
      </c>
      <c r="F192" s="64" t="str">
        <f>'Delivery Ops'!$L$18</f>
        <v/>
      </c>
      <c r="G192" s="64" t="str">
        <f>'Delivery Ops'!$T$18</f>
        <v>COO / Delivery</v>
      </c>
      <c r="H192" s="64">
        <f>'Delivery Ops'!$U$18</f>
        <v>0</v>
      </c>
      <c r="I192" s="64" t="str">
        <f t="shared" si="8"/>
        <v>OK</v>
      </c>
      <c r="J192" s="64" t="str">
        <f t="shared" si="9"/>
        <v>OK</v>
      </c>
      <c r="K192" s="64" t="str">
        <f t="shared" si="10"/>
        <v>OK</v>
      </c>
      <c r="L192" s="64" t="str">
        <f>IF(AND(E192&lt;&gt;"",E192&lt;&gt;"N/A",VALUE(E192)&lt;5,COUNTIF('Executive Recommendations'!$A$8:$A$414,A192)=0),"Missing recommended action","OK")</f>
        <v>Missing recommended action</v>
      </c>
      <c r="M192" s="64" t="s">
        <v>3618</v>
      </c>
      <c r="N192" s="64" t="s">
        <v>7293</v>
      </c>
    </row>
    <row r="193" spans="1:14" ht="51">
      <c r="A193" s="52" t="s">
        <v>3626</v>
      </c>
      <c r="B193" s="52" t="s">
        <v>75</v>
      </c>
      <c r="C193" s="52" t="s">
        <v>1280</v>
      </c>
      <c r="D193" s="52" t="s">
        <v>3627</v>
      </c>
      <c r="E193" s="52">
        <f>'Delivery Ops'!$H$19</f>
        <v>0</v>
      </c>
      <c r="F193" s="52" t="str">
        <f>'Delivery Ops'!$L$19</f>
        <v/>
      </c>
      <c r="G193" s="52" t="str">
        <f>'Delivery Ops'!$T$19</f>
        <v>COO / Delivery</v>
      </c>
      <c r="H193" s="52">
        <f>'Delivery Ops'!$U$19</f>
        <v>0</v>
      </c>
      <c r="I193" s="52" t="str">
        <f t="shared" si="8"/>
        <v>OK</v>
      </c>
      <c r="J193" s="52" t="str">
        <f t="shared" si="9"/>
        <v>OK</v>
      </c>
      <c r="K193" s="52" t="str">
        <f t="shared" si="10"/>
        <v>OK</v>
      </c>
      <c r="L193" s="52" t="str">
        <f>IF(AND(E193&lt;&gt;"",E193&lt;&gt;"N/A",VALUE(E193)&lt;5,COUNTIF('Executive Recommendations'!$A$8:$A$414,A193)=0),"Missing recommended action","OK")</f>
        <v>Missing recommended action</v>
      </c>
      <c r="M193" s="52" t="s">
        <v>3628</v>
      </c>
      <c r="N193" s="52" t="s">
        <v>7300</v>
      </c>
    </row>
    <row r="194" spans="1:14" ht="51">
      <c r="A194" s="64" t="s">
        <v>3636</v>
      </c>
      <c r="B194" s="64" t="s">
        <v>75</v>
      </c>
      <c r="C194" s="64" t="s">
        <v>1280</v>
      </c>
      <c r="D194" s="64" t="s">
        <v>3637</v>
      </c>
      <c r="E194" s="64">
        <f>'Delivery Ops'!$H$20</f>
        <v>0</v>
      </c>
      <c r="F194" s="64" t="str">
        <f>'Delivery Ops'!$L$20</f>
        <v/>
      </c>
      <c r="G194" s="64" t="str">
        <f>'Delivery Ops'!$T$20</f>
        <v>COO / Delivery</v>
      </c>
      <c r="H194" s="64">
        <f>'Delivery Ops'!$U$20</f>
        <v>0</v>
      </c>
      <c r="I194" s="64" t="str">
        <f t="shared" si="8"/>
        <v>OK</v>
      </c>
      <c r="J194" s="64" t="str">
        <f t="shared" si="9"/>
        <v>OK</v>
      </c>
      <c r="K194" s="64" t="str">
        <f t="shared" si="10"/>
        <v>OK</v>
      </c>
      <c r="L194" s="64" t="str">
        <f>IF(AND(E194&lt;&gt;"",E194&lt;&gt;"N/A",VALUE(E194)&lt;5,COUNTIF('Executive Recommendations'!$A$8:$A$414,A194)=0),"Missing recommended action","OK")</f>
        <v>Missing recommended action</v>
      </c>
      <c r="M194" s="64" t="s">
        <v>3638</v>
      </c>
      <c r="N194" s="64" t="s">
        <v>7307</v>
      </c>
    </row>
    <row r="195" spans="1:14" ht="51">
      <c r="A195" s="52" t="s">
        <v>3646</v>
      </c>
      <c r="B195" s="52" t="s">
        <v>75</v>
      </c>
      <c r="C195" s="52" t="s">
        <v>1280</v>
      </c>
      <c r="D195" s="52" t="s">
        <v>3647</v>
      </c>
      <c r="E195" s="52">
        <f>'Delivery Ops'!$H$21</f>
        <v>0</v>
      </c>
      <c r="F195" s="52" t="str">
        <f>'Delivery Ops'!$L$21</f>
        <v/>
      </c>
      <c r="G195" s="52" t="str">
        <f>'Delivery Ops'!$T$21</f>
        <v>COO / Delivery</v>
      </c>
      <c r="H195" s="52">
        <f>'Delivery Ops'!$U$21</f>
        <v>0</v>
      </c>
      <c r="I195" s="52" t="str">
        <f t="shared" si="8"/>
        <v>OK</v>
      </c>
      <c r="J195" s="52" t="str">
        <f t="shared" si="9"/>
        <v>OK</v>
      </c>
      <c r="K195" s="52" t="str">
        <f t="shared" si="10"/>
        <v>OK</v>
      </c>
      <c r="L195" s="52" t="str">
        <f>IF(AND(E195&lt;&gt;"",E195&lt;&gt;"N/A",VALUE(E195)&lt;5,COUNTIF('Executive Recommendations'!$A$8:$A$414,A195)=0),"Missing recommended action","OK")</f>
        <v>Missing recommended action</v>
      </c>
      <c r="M195" s="52" t="s">
        <v>3648</v>
      </c>
      <c r="N195" s="52" t="s">
        <v>7314</v>
      </c>
    </row>
    <row r="196" spans="1:14" ht="51">
      <c r="A196" s="64" t="s">
        <v>3656</v>
      </c>
      <c r="B196" s="64" t="s">
        <v>75</v>
      </c>
      <c r="C196" s="64" t="s">
        <v>1280</v>
      </c>
      <c r="D196" s="64" t="s">
        <v>3657</v>
      </c>
      <c r="E196" s="64">
        <f>'Delivery Ops'!$H$22</f>
        <v>0</v>
      </c>
      <c r="F196" s="64" t="str">
        <f>'Delivery Ops'!$L$22</f>
        <v/>
      </c>
      <c r="G196" s="64" t="str">
        <f>'Delivery Ops'!$T$22</f>
        <v>COO / Delivery</v>
      </c>
      <c r="H196" s="64">
        <f>'Delivery Ops'!$U$22</f>
        <v>0</v>
      </c>
      <c r="I196" s="64" t="str">
        <f t="shared" si="8"/>
        <v>OK</v>
      </c>
      <c r="J196" s="64" t="str">
        <f t="shared" si="9"/>
        <v>OK</v>
      </c>
      <c r="K196" s="64" t="str">
        <f t="shared" si="10"/>
        <v>OK</v>
      </c>
      <c r="L196" s="64" t="str">
        <f>IF(AND(E196&lt;&gt;"",E196&lt;&gt;"N/A",VALUE(E196)&lt;5,COUNTIF('Executive Recommendations'!$A$8:$A$414,A196)=0),"Missing recommended action","OK")</f>
        <v>Missing recommended action</v>
      </c>
      <c r="M196" s="64" t="s">
        <v>3658</v>
      </c>
      <c r="N196" s="64" t="s">
        <v>7321</v>
      </c>
    </row>
    <row r="197" spans="1:14" ht="63.75">
      <c r="A197" s="52" t="s">
        <v>3666</v>
      </c>
      <c r="B197" s="52" t="s">
        <v>75</v>
      </c>
      <c r="C197" s="52" t="s">
        <v>1288</v>
      </c>
      <c r="D197" s="52" t="s">
        <v>3667</v>
      </c>
      <c r="E197" s="52">
        <f>'Delivery Ops'!$H$23</f>
        <v>0</v>
      </c>
      <c r="F197" s="52" t="str">
        <f>'Delivery Ops'!$L$23</f>
        <v/>
      </c>
      <c r="G197" s="52" t="str">
        <f>'Delivery Ops'!$T$23</f>
        <v>COO / Delivery</v>
      </c>
      <c r="H197" s="52">
        <f>'Delivery Ops'!$U$23</f>
        <v>0</v>
      </c>
      <c r="I197" s="52" t="str">
        <f t="shared" si="8"/>
        <v>OK</v>
      </c>
      <c r="J197" s="52" t="str">
        <f t="shared" si="9"/>
        <v>OK</v>
      </c>
      <c r="K197" s="52" t="str">
        <f t="shared" si="10"/>
        <v>OK</v>
      </c>
      <c r="L197" s="52" t="str">
        <f>IF(AND(E197&lt;&gt;"",E197&lt;&gt;"N/A",VALUE(E197)&lt;5,COUNTIF('Executive Recommendations'!$A$8:$A$414,A197)=0),"Missing recommended action","OK")</f>
        <v>Missing recommended action</v>
      </c>
      <c r="M197" s="52" t="s">
        <v>3668</v>
      </c>
      <c r="N197" s="52" t="s">
        <v>7329</v>
      </c>
    </row>
    <row r="198" spans="1:14" ht="63.75">
      <c r="A198" s="64" t="s">
        <v>3676</v>
      </c>
      <c r="B198" s="64" t="s">
        <v>75</v>
      </c>
      <c r="C198" s="64" t="s">
        <v>1288</v>
      </c>
      <c r="D198" s="64" t="s">
        <v>3677</v>
      </c>
      <c r="E198" s="64">
        <f>'Delivery Ops'!$H$24</f>
        <v>0</v>
      </c>
      <c r="F198" s="64" t="str">
        <f>'Delivery Ops'!$L$24</f>
        <v/>
      </c>
      <c r="G198" s="64" t="str">
        <f>'Delivery Ops'!$T$24</f>
        <v>COO / Delivery</v>
      </c>
      <c r="H198" s="64">
        <f>'Delivery Ops'!$U$24</f>
        <v>0</v>
      </c>
      <c r="I198" s="64" t="str">
        <f t="shared" si="8"/>
        <v>OK</v>
      </c>
      <c r="J198" s="64" t="str">
        <f t="shared" si="9"/>
        <v>OK</v>
      </c>
      <c r="K198" s="64" t="str">
        <f t="shared" si="10"/>
        <v>OK</v>
      </c>
      <c r="L198" s="64" t="str">
        <f>IF(AND(E198&lt;&gt;"",E198&lt;&gt;"N/A",VALUE(E198)&lt;5,COUNTIF('Executive Recommendations'!$A$8:$A$414,A198)=0),"Missing recommended action","OK")</f>
        <v>Missing recommended action</v>
      </c>
      <c r="M198" s="64" t="s">
        <v>3678</v>
      </c>
      <c r="N198" s="64" t="s">
        <v>7336</v>
      </c>
    </row>
    <row r="199" spans="1:14" ht="51">
      <c r="A199" s="52" t="s">
        <v>3686</v>
      </c>
      <c r="B199" s="52" t="s">
        <v>75</v>
      </c>
      <c r="C199" s="52" t="s">
        <v>1288</v>
      </c>
      <c r="D199" s="52" t="s">
        <v>3687</v>
      </c>
      <c r="E199" s="52">
        <f>'Delivery Ops'!$H$25</f>
        <v>0</v>
      </c>
      <c r="F199" s="52" t="str">
        <f>'Delivery Ops'!$L$25</f>
        <v/>
      </c>
      <c r="G199" s="52" t="str">
        <f>'Delivery Ops'!$T$25</f>
        <v>COO / Delivery</v>
      </c>
      <c r="H199" s="52">
        <f>'Delivery Ops'!$U$25</f>
        <v>0</v>
      </c>
      <c r="I199" s="52" t="str">
        <f t="shared" si="8"/>
        <v>OK</v>
      </c>
      <c r="J199" s="52" t="str">
        <f t="shared" si="9"/>
        <v>OK</v>
      </c>
      <c r="K199" s="52" t="str">
        <f t="shared" si="10"/>
        <v>OK</v>
      </c>
      <c r="L199" s="52" t="str">
        <f>IF(AND(E199&lt;&gt;"",E199&lt;&gt;"N/A",VALUE(E199)&lt;5,COUNTIF('Executive Recommendations'!$A$8:$A$414,A199)=0),"Missing recommended action","OK")</f>
        <v>Missing recommended action</v>
      </c>
      <c r="M199" s="52" t="s">
        <v>3688</v>
      </c>
      <c r="N199" s="52" t="s">
        <v>7343</v>
      </c>
    </row>
    <row r="200" spans="1:14" ht="51">
      <c r="A200" s="64" t="s">
        <v>3696</v>
      </c>
      <c r="B200" s="64" t="s">
        <v>75</v>
      </c>
      <c r="C200" s="64" t="s">
        <v>1288</v>
      </c>
      <c r="D200" s="64" t="s">
        <v>3697</v>
      </c>
      <c r="E200" s="64">
        <f>'Delivery Ops'!$H$26</f>
        <v>0</v>
      </c>
      <c r="F200" s="64" t="str">
        <f>'Delivery Ops'!$L$26</f>
        <v/>
      </c>
      <c r="G200" s="64" t="str">
        <f>'Delivery Ops'!$T$26</f>
        <v>COO / Delivery</v>
      </c>
      <c r="H200" s="64">
        <f>'Delivery Ops'!$U$26</f>
        <v>0</v>
      </c>
      <c r="I200" s="64" t="str">
        <f t="shared" si="8"/>
        <v>OK</v>
      </c>
      <c r="J200" s="64" t="str">
        <f t="shared" si="9"/>
        <v>OK</v>
      </c>
      <c r="K200" s="64" t="str">
        <f t="shared" si="10"/>
        <v>OK</v>
      </c>
      <c r="L200" s="64" t="str">
        <f>IF(AND(E200&lt;&gt;"",E200&lt;&gt;"N/A",VALUE(E200)&lt;5,COUNTIF('Executive Recommendations'!$A$8:$A$414,A200)=0),"Missing recommended action","OK")</f>
        <v>Missing recommended action</v>
      </c>
      <c r="M200" s="64" t="s">
        <v>3698</v>
      </c>
      <c r="N200" s="64" t="s">
        <v>7350</v>
      </c>
    </row>
    <row r="201" spans="1:14" ht="51">
      <c r="A201" s="52" t="s">
        <v>3706</v>
      </c>
      <c r="B201" s="52" t="s">
        <v>75</v>
      </c>
      <c r="C201" s="52" t="s">
        <v>1288</v>
      </c>
      <c r="D201" s="52" t="s">
        <v>3707</v>
      </c>
      <c r="E201" s="52">
        <f>'Delivery Ops'!$H$27</f>
        <v>0</v>
      </c>
      <c r="F201" s="52" t="str">
        <f>'Delivery Ops'!$L$27</f>
        <v/>
      </c>
      <c r="G201" s="52" t="str">
        <f>'Delivery Ops'!$T$27</f>
        <v>COO / Delivery</v>
      </c>
      <c r="H201" s="52">
        <f>'Delivery Ops'!$U$27</f>
        <v>0</v>
      </c>
      <c r="I201" s="52" t="str">
        <f t="shared" si="8"/>
        <v>OK</v>
      </c>
      <c r="J201" s="52" t="str">
        <f t="shared" si="9"/>
        <v>OK</v>
      </c>
      <c r="K201" s="52" t="str">
        <f t="shared" si="10"/>
        <v>OK</v>
      </c>
      <c r="L201" s="52" t="str">
        <f>IF(AND(E201&lt;&gt;"",E201&lt;&gt;"N/A",VALUE(E201)&lt;5,COUNTIF('Executive Recommendations'!$A$8:$A$414,A201)=0),"Missing recommended action","OK")</f>
        <v>Missing recommended action</v>
      </c>
      <c r="M201" s="52" t="s">
        <v>3708</v>
      </c>
      <c r="N201" s="52" t="s">
        <v>7357</v>
      </c>
    </row>
    <row r="202" spans="1:14" ht="51">
      <c r="A202" s="64" t="s">
        <v>3716</v>
      </c>
      <c r="B202" s="64" t="s">
        <v>75</v>
      </c>
      <c r="C202" s="64" t="s">
        <v>1288</v>
      </c>
      <c r="D202" s="64" t="s">
        <v>3717</v>
      </c>
      <c r="E202" s="64">
        <f>'Delivery Ops'!$H$28</f>
        <v>0</v>
      </c>
      <c r="F202" s="64" t="str">
        <f>'Delivery Ops'!$L$28</f>
        <v/>
      </c>
      <c r="G202" s="64" t="str">
        <f>'Delivery Ops'!$T$28</f>
        <v>COO / Delivery</v>
      </c>
      <c r="H202" s="64">
        <f>'Delivery Ops'!$U$28</f>
        <v>0</v>
      </c>
      <c r="I202" s="64" t="str">
        <f t="shared" si="8"/>
        <v>OK</v>
      </c>
      <c r="J202" s="64" t="str">
        <f t="shared" si="9"/>
        <v>OK</v>
      </c>
      <c r="K202" s="64" t="str">
        <f t="shared" si="10"/>
        <v>OK</v>
      </c>
      <c r="L202" s="64" t="str">
        <f>IF(AND(E202&lt;&gt;"",E202&lt;&gt;"N/A",VALUE(E202)&lt;5,COUNTIF('Executive Recommendations'!$A$8:$A$414,A202)=0),"Missing recommended action","OK")</f>
        <v>Missing recommended action</v>
      </c>
      <c r="M202" s="64" t="s">
        <v>3718</v>
      </c>
      <c r="N202" s="64" t="s">
        <v>7364</v>
      </c>
    </row>
    <row r="203" spans="1:14" ht="63.75">
      <c r="A203" s="52" t="s">
        <v>3728</v>
      </c>
      <c r="B203" s="52" t="s">
        <v>78</v>
      </c>
      <c r="C203" s="52" t="s">
        <v>1296</v>
      </c>
      <c r="D203" s="52" t="s">
        <v>3729</v>
      </c>
      <c r="E203" s="52">
        <f>'Supply Chain'!$H$5</f>
        <v>0</v>
      </c>
      <c r="F203" s="52" t="str">
        <f>'Supply Chain'!$L$5</f>
        <v/>
      </c>
      <c r="G203" s="52" t="str">
        <f>'Supply Chain'!$T$5</f>
        <v>Supply Chain / Procurement</v>
      </c>
      <c r="H203" s="52">
        <f>'Supply Chain'!$U$5</f>
        <v>0</v>
      </c>
      <c r="I203" s="52" t="str">
        <f t="shared" si="8"/>
        <v>OK</v>
      </c>
      <c r="J203" s="52" t="str">
        <f t="shared" si="9"/>
        <v>OK</v>
      </c>
      <c r="K203" s="52" t="str">
        <f t="shared" si="10"/>
        <v>OK</v>
      </c>
      <c r="L203" s="52" t="str">
        <f>IF(AND(E203&lt;&gt;"",E203&lt;&gt;"N/A",VALUE(E203)&lt;5,COUNTIF('Executive Recommendations'!$A$8:$A$414,A203)=0),"Missing recommended action","OK")</f>
        <v>Missing recommended action</v>
      </c>
      <c r="M203" s="52" t="s">
        <v>3732</v>
      </c>
      <c r="N203" s="52" t="s">
        <v>7372</v>
      </c>
    </row>
    <row r="204" spans="1:14" ht="51">
      <c r="A204" s="64" t="s">
        <v>3742</v>
      </c>
      <c r="B204" s="64" t="s">
        <v>78</v>
      </c>
      <c r="C204" s="64" t="s">
        <v>1296</v>
      </c>
      <c r="D204" s="64" t="s">
        <v>3743</v>
      </c>
      <c r="E204" s="64">
        <f>'Supply Chain'!$H$6</f>
        <v>0</v>
      </c>
      <c r="F204" s="64" t="str">
        <f>'Supply Chain'!$L$6</f>
        <v/>
      </c>
      <c r="G204" s="64" t="str">
        <f>'Supply Chain'!$T$6</f>
        <v>Supply Chain / Procurement</v>
      </c>
      <c r="H204" s="64">
        <f>'Supply Chain'!$U$6</f>
        <v>0</v>
      </c>
      <c r="I204" s="64" t="str">
        <f t="shared" si="8"/>
        <v>OK</v>
      </c>
      <c r="J204" s="64" t="str">
        <f t="shared" si="9"/>
        <v>OK</v>
      </c>
      <c r="K204" s="64" t="str">
        <f t="shared" si="10"/>
        <v>OK</v>
      </c>
      <c r="L204" s="64" t="str">
        <f>IF(AND(E204&lt;&gt;"",E204&lt;&gt;"N/A",VALUE(E204)&lt;5,COUNTIF('Executive Recommendations'!$A$8:$A$414,A204)=0),"Missing recommended action","OK")</f>
        <v>Missing recommended action</v>
      </c>
      <c r="M204" s="64" t="s">
        <v>3744</v>
      </c>
      <c r="N204" s="64" t="s">
        <v>7379</v>
      </c>
    </row>
    <row r="205" spans="1:14" ht="63.75">
      <c r="A205" s="52" t="s">
        <v>3752</v>
      </c>
      <c r="B205" s="52" t="s">
        <v>78</v>
      </c>
      <c r="C205" s="52" t="s">
        <v>1296</v>
      </c>
      <c r="D205" s="52" t="s">
        <v>3753</v>
      </c>
      <c r="E205" s="52">
        <f>'Supply Chain'!$H$7</f>
        <v>0</v>
      </c>
      <c r="F205" s="52" t="str">
        <f>'Supply Chain'!$L$7</f>
        <v/>
      </c>
      <c r="G205" s="52" t="str">
        <f>'Supply Chain'!$T$7</f>
        <v>Supply Chain / Procurement</v>
      </c>
      <c r="H205" s="52">
        <f>'Supply Chain'!$U$7</f>
        <v>0</v>
      </c>
      <c r="I205" s="52" t="str">
        <f t="shared" si="8"/>
        <v>OK</v>
      </c>
      <c r="J205" s="52" t="str">
        <f t="shared" si="9"/>
        <v>OK</v>
      </c>
      <c r="K205" s="52" t="str">
        <f t="shared" si="10"/>
        <v>OK</v>
      </c>
      <c r="L205" s="52" t="str">
        <f>IF(AND(E205&lt;&gt;"",E205&lt;&gt;"N/A",VALUE(E205)&lt;5,COUNTIF('Executive Recommendations'!$A$8:$A$414,A205)=0),"Missing recommended action","OK")</f>
        <v>Missing recommended action</v>
      </c>
      <c r="M205" s="52" t="s">
        <v>3754</v>
      </c>
      <c r="N205" s="52" t="s">
        <v>7386</v>
      </c>
    </row>
    <row r="206" spans="1:14" ht="51">
      <c r="A206" s="64" t="s">
        <v>3762</v>
      </c>
      <c r="B206" s="64" t="s">
        <v>78</v>
      </c>
      <c r="C206" s="64" t="s">
        <v>1296</v>
      </c>
      <c r="D206" s="64" t="s">
        <v>3763</v>
      </c>
      <c r="E206" s="64">
        <f>'Supply Chain'!$H$8</f>
        <v>0</v>
      </c>
      <c r="F206" s="64" t="str">
        <f>'Supply Chain'!$L$8</f>
        <v/>
      </c>
      <c r="G206" s="64" t="str">
        <f>'Supply Chain'!$T$8</f>
        <v>Supply Chain / Procurement</v>
      </c>
      <c r="H206" s="64">
        <f>'Supply Chain'!$U$8</f>
        <v>0</v>
      </c>
      <c r="I206" s="64" t="str">
        <f t="shared" si="8"/>
        <v>OK</v>
      </c>
      <c r="J206" s="64" t="str">
        <f t="shared" si="9"/>
        <v>OK</v>
      </c>
      <c r="K206" s="64" t="str">
        <f t="shared" si="10"/>
        <v>OK</v>
      </c>
      <c r="L206" s="64" t="str">
        <f>IF(AND(E206&lt;&gt;"",E206&lt;&gt;"N/A",VALUE(E206)&lt;5,COUNTIF('Executive Recommendations'!$A$8:$A$414,A206)=0),"Missing recommended action","OK")</f>
        <v>Missing recommended action</v>
      </c>
      <c r="M206" s="64" t="s">
        <v>3764</v>
      </c>
      <c r="N206" s="64" t="s">
        <v>7393</v>
      </c>
    </row>
    <row r="207" spans="1:14" ht="51">
      <c r="A207" s="52" t="s">
        <v>3772</v>
      </c>
      <c r="B207" s="52" t="s">
        <v>78</v>
      </c>
      <c r="C207" s="52" t="s">
        <v>1296</v>
      </c>
      <c r="D207" s="52" t="s">
        <v>3773</v>
      </c>
      <c r="E207" s="52">
        <f>'Supply Chain'!$H$9</f>
        <v>0</v>
      </c>
      <c r="F207" s="52" t="str">
        <f>'Supply Chain'!$L$9</f>
        <v/>
      </c>
      <c r="G207" s="52" t="str">
        <f>'Supply Chain'!$T$9</f>
        <v>Supply Chain / Procurement</v>
      </c>
      <c r="H207" s="52">
        <f>'Supply Chain'!$U$9</f>
        <v>0</v>
      </c>
      <c r="I207" s="52" t="str">
        <f t="shared" si="8"/>
        <v>OK</v>
      </c>
      <c r="J207" s="52" t="str">
        <f t="shared" si="9"/>
        <v>OK</v>
      </c>
      <c r="K207" s="52" t="str">
        <f t="shared" si="10"/>
        <v>OK</v>
      </c>
      <c r="L207" s="52" t="str">
        <f>IF(AND(E207&lt;&gt;"",E207&lt;&gt;"N/A",VALUE(E207)&lt;5,COUNTIF('Executive Recommendations'!$A$8:$A$414,A207)=0),"Missing recommended action","OK")</f>
        <v>Missing recommended action</v>
      </c>
      <c r="M207" s="52" t="s">
        <v>3774</v>
      </c>
      <c r="N207" s="52" t="s">
        <v>7400</v>
      </c>
    </row>
    <row r="208" spans="1:14" ht="51">
      <c r="A208" s="64" t="s">
        <v>3782</v>
      </c>
      <c r="B208" s="64" t="s">
        <v>78</v>
      </c>
      <c r="C208" s="64" t="s">
        <v>1296</v>
      </c>
      <c r="D208" s="64" t="s">
        <v>3783</v>
      </c>
      <c r="E208" s="64">
        <f>'Supply Chain'!$H$10</f>
        <v>0</v>
      </c>
      <c r="F208" s="64" t="str">
        <f>'Supply Chain'!$L$10</f>
        <v/>
      </c>
      <c r="G208" s="64" t="str">
        <f>'Supply Chain'!$T$10</f>
        <v>Supply Chain / Procurement</v>
      </c>
      <c r="H208" s="64">
        <f>'Supply Chain'!$U$10</f>
        <v>0</v>
      </c>
      <c r="I208" s="64" t="str">
        <f t="shared" si="8"/>
        <v>OK</v>
      </c>
      <c r="J208" s="64" t="str">
        <f t="shared" si="9"/>
        <v>OK</v>
      </c>
      <c r="K208" s="64" t="str">
        <f t="shared" si="10"/>
        <v>OK</v>
      </c>
      <c r="L208" s="64" t="str">
        <f>IF(AND(E208&lt;&gt;"",E208&lt;&gt;"N/A",VALUE(E208)&lt;5,COUNTIF('Executive Recommendations'!$A$8:$A$414,A208)=0),"Missing recommended action","OK")</f>
        <v>Missing recommended action</v>
      </c>
      <c r="M208" s="64" t="s">
        <v>3784</v>
      </c>
      <c r="N208" s="64" t="s">
        <v>7407</v>
      </c>
    </row>
    <row r="209" spans="1:14" ht="51">
      <c r="A209" s="52" t="s">
        <v>3792</v>
      </c>
      <c r="B209" s="52" t="s">
        <v>78</v>
      </c>
      <c r="C209" s="52" t="s">
        <v>1307</v>
      </c>
      <c r="D209" s="52" t="s">
        <v>3793</v>
      </c>
      <c r="E209" s="52">
        <f>'Supply Chain'!$H$11</f>
        <v>0</v>
      </c>
      <c r="F209" s="52" t="str">
        <f>'Supply Chain'!$L$11</f>
        <v/>
      </c>
      <c r="G209" s="52" t="str">
        <f>'Supply Chain'!$T$11</f>
        <v>Supply Chain / Procurement</v>
      </c>
      <c r="H209" s="52">
        <f>'Supply Chain'!$U$11</f>
        <v>0</v>
      </c>
      <c r="I209" s="52" t="str">
        <f t="shared" si="8"/>
        <v>OK</v>
      </c>
      <c r="J209" s="52" t="str">
        <f t="shared" si="9"/>
        <v>OK</v>
      </c>
      <c r="K209" s="52" t="str">
        <f t="shared" si="10"/>
        <v>OK</v>
      </c>
      <c r="L209" s="52" t="str">
        <f>IF(AND(E209&lt;&gt;"",E209&lt;&gt;"N/A",VALUE(E209)&lt;5,COUNTIF('Executive Recommendations'!$A$8:$A$414,A209)=0),"Missing recommended action","OK")</f>
        <v>Missing recommended action</v>
      </c>
      <c r="M209" s="52" t="s">
        <v>3794</v>
      </c>
      <c r="N209" s="52" t="s">
        <v>7415</v>
      </c>
    </row>
    <row r="210" spans="1:14" ht="51">
      <c r="A210" s="64" t="s">
        <v>3802</v>
      </c>
      <c r="B210" s="64" t="s">
        <v>78</v>
      </c>
      <c r="C210" s="64" t="s">
        <v>1307</v>
      </c>
      <c r="D210" s="64" t="s">
        <v>3803</v>
      </c>
      <c r="E210" s="64">
        <f>'Supply Chain'!$H$12</f>
        <v>0</v>
      </c>
      <c r="F210" s="64" t="str">
        <f>'Supply Chain'!$L$12</f>
        <v/>
      </c>
      <c r="G210" s="64" t="str">
        <f>'Supply Chain'!$T$12</f>
        <v>Supply Chain / Procurement</v>
      </c>
      <c r="H210" s="64">
        <f>'Supply Chain'!$U$12</f>
        <v>0</v>
      </c>
      <c r="I210" s="64" t="str">
        <f t="shared" si="8"/>
        <v>OK</v>
      </c>
      <c r="J210" s="64" t="str">
        <f t="shared" si="9"/>
        <v>OK</v>
      </c>
      <c r="K210" s="64" t="str">
        <f t="shared" si="10"/>
        <v>OK</v>
      </c>
      <c r="L210" s="64" t="str">
        <f>IF(AND(E210&lt;&gt;"",E210&lt;&gt;"N/A",VALUE(E210)&lt;5,COUNTIF('Executive Recommendations'!$A$8:$A$414,A210)=0),"Missing recommended action","OK")</f>
        <v>Missing recommended action</v>
      </c>
      <c r="M210" s="64" t="s">
        <v>3804</v>
      </c>
      <c r="N210" s="64" t="s">
        <v>7422</v>
      </c>
    </row>
    <row r="211" spans="1:14" ht="51">
      <c r="A211" s="52" t="s">
        <v>3812</v>
      </c>
      <c r="B211" s="52" t="s">
        <v>78</v>
      </c>
      <c r="C211" s="52" t="s">
        <v>1307</v>
      </c>
      <c r="D211" s="52" t="s">
        <v>3813</v>
      </c>
      <c r="E211" s="52">
        <f>'Supply Chain'!$H$13</f>
        <v>0</v>
      </c>
      <c r="F211" s="52" t="str">
        <f>'Supply Chain'!$L$13</f>
        <v/>
      </c>
      <c r="G211" s="52" t="str">
        <f>'Supply Chain'!$T$13</f>
        <v>Supply Chain / Procurement</v>
      </c>
      <c r="H211" s="52">
        <f>'Supply Chain'!$U$13</f>
        <v>0</v>
      </c>
      <c r="I211" s="52" t="str">
        <f t="shared" si="8"/>
        <v>OK</v>
      </c>
      <c r="J211" s="52" t="str">
        <f t="shared" si="9"/>
        <v>OK</v>
      </c>
      <c r="K211" s="52" t="str">
        <f t="shared" si="10"/>
        <v>OK</v>
      </c>
      <c r="L211" s="52" t="str">
        <f>IF(AND(E211&lt;&gt;"",E211&lt;&gt;"N/A",VALUE(E211)&lt;5,COUNTIF('Executive Recommendations'!$A$8:$A$414,A211)=0),"Missing recommended action","OK")</f>
        <v>Missing recommended action</v>
      </c>
      <c r="M211" s="52" t="s">
        <v>3814</v>
      </c>
      <c r="N211" s="52" t="s">
        <v>7429</v>
      </c>
    </row>
    <row r="212" spans="1:14" ht="51">
      <c r="A212" s="64" t="s">
        <v>3822</v>
      </c>
      <c r="B212" s="64" t="s">
        <v>78</v>
      </c>
      <c r="C212" s="64" t="s">
        <v>1307</v>
      </c>
      <c r="D212" s="64" t="s">
        <v>3823</v>
      </c>
      <c r="E212" s="64">
        <f>'Supply Chain'!$H$14</f>
        <v>0</v>
      </c>
      <c r="F212" s="64" t="str">
        <f>'Supply Chain'!$L$14</f>
        <v/>
      </c>
      <c r="G212" s="64" t="str">
        <f>'Supply Chain'!$T$14</f>
        <v>Supply Chain / Procurement</v>
      </c>
      <c r="H212" s="64">
        <f>'Supply Chain'!$U$14</f>
        <v>0</v>
      </c>
      <c r="I212" s="64" t="str">
        <f t="shared" ref="I212:I275" si="11">IF(E212="","Missing score",IF(E212="N/A","OK",IF(AND(ISNUMBER(VALUE(E212)),VALUE(E212)&gt;=0,VALUE(E212)&lt;=5),"OK","Invalid score")))</f>
        <v>OK</v>
      </c>
      <c r="J212" s="64" t="str">
        <f t="shared" ref="J212:J275" si="12">IF(OR(F212="Critical",F212="High"),IF(H212="","Missing comments for high/critical risk","OK"),"OK")</f>
        <v>OK</v>
      </c>
      <c r="K212" s="64" t="str">
        <f t="shared" ref="K212:K275" si="13">IF(G212="","Missing owner","OK")</f>
        <v>OK</v>
      </c>
      <c r="L212" s="64" t="str">
        <f>IF(AND(E212&lt;&gt;"",E212&lt;&gt;"N/A",VALUE(E212)&lt;5,COUNTIF('Executive Recommendations'!$A$8:$A$414,A212)=0),"Missing recommended action","OK")</f>
        <v>Missing recommended action</v>
      </c>
      <c r="M212" s="64" t="s">
        <v>3824</v>
      </c>
      <c r="N212" s="64" t="s">
        <v>7436</v>
      </c>
    </row>
    <row r="213" spans="1:14" ht="51">
      <c r="A213" s="52" t="s">
        <v>3832</v>
      </c>
      <c r="B213" s="52" t="s">
        <v>78</v>
      </c>
      <c r="C213" s="52" t="s">
        <v>1307</v>
      </c>
      <c r="D213" s="52" t="s">
        <v>3833</v>
      </c>
      <c r="E213" s="52">
        <f>'Supply Chain'!$H$15</f>
        <v>0</v>
      </c>
      <c r="F213" s="52" t="str">
        <f>'Supply Chain'!$L$15</f>
        <v/>
      </c>
      <c r="G213" s="52" t="str">
        <f>'Supply Chain'!$T$15</f>
        <v>Supply Chain / Procurement</v>
      </c>
      <c r="H213" s="52">
        <f>'Supply Chain'!$U$15</f>
        <v>0</v>
      </c>
      <c r="I213" s="52" t="str">
        <f t="shared" si="11"/>
        <v>OK</v>
      </c>
      <c r="J213" s="52" t="str">
        <f t="shared" si="12"/>
        <v>OK</v>
      </c>
      <c r="K213" s="52" t="str">
        <f t="shared" si="13"/>
        <v>OK</v>
      </c>
      <c r="L213" s="52" t="str">
        <f>IF(AND(E213&lt;&gt;"",E213&lt;&gt;"N/A",VALUE(E213)&lt;5,COUNTIF('Executive Recommendations'!$A$8:$A$414,A213)=0),"Missing recommended action","OK")</f>
        <v>Missing recommended action</v>
      </c>
      <c r="M213" s="52" t="s">
        <v>3834</v>
      </c>
      <c r="N213" s="52" t="s">
        <v>7443</v>
      </c>
    </row>
    <row r="214" spans="1:14" ht="51">
      <c r="A214" s="64" t="s">
        <v>3842</v>
      </c>
      <c r="B214" s="64" t="s">
        <v>78</v>
      </c>
      <c r="C214" s="64" t="s">
        <v>1307</v>
      </c>
      <c r="D214" s="64" t="s">
        <v>3843</v>
      </c>
      <c r="E214" s="64">
        <f>'Supply Chain'!$H$16</f>
        <v>0</v>
      </c>
      <c r="F214" s="64" t="str">
        <f>'Supply Chain'!$L$16</f>
        <v/>
      </c>
      <c r="G214" s="64" t="str">
        <f>'Supply Chain'!$T$16</f>
        <v>Supply Chain / Procurement</v>
      </c>
      <c r="H214" s="64">
        <f>'Supply Chain'!$U$16</f>
        <v>0</v>
      </c>
      <c r="I214" s="64" t="str">
        <f t="shared" si="11"/>
        <v>OK</v>
      </c>
      <c r="J214" s="64" t="str">
        <f t="shared" si="12"/>
        <v>OK</v>
      </c>
      <c r="K214" s="64" t="str">
        <f t="shared" si="13"/>
        <v>OK</v>
      </c>
      <c r="L214" s="64" t="str">
        <f>IF(AND(E214&lt;&gt;"",E214&lt;&gt;"N/A",VALUE(E214)&lt;5,COUNTIF('Executive Recommendations'!$A$8:$A$414,A214)=0),"Missing recommended action","OK")</f>
        <v>Missing recommended action</v>
      </c>
      <c r="M214" s="64" t="s">
        <v>3844</v>
      </c>
      <c r="N214" s="64" t="s">
        <v>7450</v>
      </c>
    </row>
    <row r="215" spans="1:14" ht="63.75">
      <c r="A215" s="52" t="s">
        <v>3852</v>
      </c>
      <c r="B215" s="52" t="s">
        <v>78</v>
      </c>
      <c r="C215" s="52" t="s">
        <v>1315</v>
      </c>
      <c r="D215" s="52" t="s">
        <v>3853</v>
      </c>
      <c r="E215" s="52">
        <f>'Supply Chain'!$H$17</f>
        <v>0</v>
      </c>
      <c r="F215" s="52" t="str">
        <f>'Supply Chain'!$L$17</f>
        <v/>
      </c>
      <c r="G215" s="52" t="str">
        <f>'Supply Chain'!$T$17</f>
        <v>Supply Chain / Procurement</v>
      </c>
      <c r="H215" s="52">
        <f>'Supply Chain'!$U$17</f>
        <v>0</v>
      </c>
      <c r="I215" s="52" t="str">
        <f t="shared" si="11"/>
        <v>OK</v>
      </c>
      <c r="J215" s="52" t="str">
        <f t="shared" si="12"/>
        <v>OK</v>
      </c>
      <c r="K215" s="52" t="str">
        <f t="shared" si="13"/>
        <v>OK</v>
      </c>
      <c r="L215" s="52" t="str">
        <f>IF(AND(E215&lt;&gt;"",E215&lt;&gt;"N/A",VALUE(E215)&lt;5,COUNTIF('Executive Recommendations'!$A$8:$A$414,A215)=0),"Missing recommended action","OK")</f>
        <v>Missing recommended action</v>
      </c>
      <c r="M215" s="52" t="s">
        <v>3854</v>
      </c>
      <c r="N215" s="52" t="s">
        <v>7458</v>
      </c>
    </row>
    <row r="216" spans="1:14" ht="51">
      <c r="A216" s="64" t="s">
        <v>3862</v>
      </c>
      <c r="B216" s="64" t="s">
        <v>78</v>
      </c>
      <c r="C216" s="64" t="s">
        <v>1315</v>
      </c>
      <c r="D216" s="64" t="s">
        <v>3863</v>
      </c>
      <c r="E216" s="64">
        <f>'Supply Chain'!$H$18</f>
        <v>0</v>
      </c>
      <c r="F216" s="64" t="str">
        <f>'Supply Chain'!$L$18</f>
        <v/>
      </c>
      <c r="G216" s="64" t="str">
        <f>'Supply Chain'!$T$18</f>
        <v>Supply Chain / Procurement</v>
      </c>
      <c r="H216" s="64">
        <f>'Supply Chain'!$U$18</f>
        <v>0</v>
      </c>
      <c r="I216" s="64" t="str">
        <f t="shared" si="11"/>
        <v>OK</v>
      </c>
      <c r="J216" s="64" t="str">
        <f t="shared" si="12"/>
        <v>OK</v>
      </c>
      <c r="K216" s="64" t="str">
        <f t="shared" si="13"/>
        <v>OK</v>
      </c>
      <c r="L216" s="64" t="str">
        <f>IF(AND(E216&lt;&gt;"",E216&lt;&gt;"N/A",VALUE(E216)&lt;5,COUNTIF('Executive Recommendations'!$A$8:$A$414,A216)=0),"Missing recommended action","OK")</f>
        <v>Missing recommended action</v>
      </c>
      <c r="M216" s="64" t="s">
        <v>3864</v>
      </c>
      <c r="N216" s="64" t="s">
        <v>7465</v>
      </c>
    </row>
    <row r="217" spans="1:14" ht="63.75">
      <c r="A217" s="52" t="s">
        <v>3872</v>
      </c>
      <c r="B217" s="52" t="s">
        <v>78</v>
      </c>
      <c r="C217" s="52" t="s">
        <v>1315</v>
      </c>
      <c r="D217" s="52" t="s">
        <v>3873</v>
      </c>
      <c r="E217" s="52">
        <f>'Supply Chain'!$H$19</f>
        <v>0</v>
      </c>
      <c r="F217" s="52" t="str">
        <f>'Supply Chain'!$L$19</f>
        <v/>
      </c>
      <c r="G217" s="52" t="str">
        <f>'Supply Chain'!$T$19</f>
        <v>Supply Chain / Procurement</v>
      </c>
      <c r="H217" s="52">
        <f>'Supply Chain'!$U$19</f>
        <v>0</v>
      </c>
      <c r="I217" s="52" t="str">
        <f t="shared" si="11"/>
        <v>OK</v>
      </c>
      <c r="J217" s="52" t="str">
        <f t="shared" si="12"/>
        <v>OK</v>
      </c>
      <c r="K217" s="52" t="str">
        <f t="shared" si="13"/>
        <v>OK</v>
      </c>
      <c r="L217" s="52" t="str">
        <f>IF(AND(E217&lt;&gt;"",E217&lt;&gt;"N/A",VALUE(E217)&lt;5,COUNTIF('Executive Recommendations'!$A$8:$A$414,A217)=0),"Missing recommended action","OK")</f>
        <v>Missing recommended action</v>
      </c>
      <c r="M217" s="52" t="s">
        <v>3874</v>
      </c>
      <c r="N217" s="52" t="s">
        <v>7472</v>
      </c>
    </row>
    <row r="218" spans="1:14" ht="63.75">
      <c r="A218" s="64" t="s">
        <v>3882</v>
      </c>
      <c r="B218" s="64" t="s">
        <v>78</v>
      </c>
      <c r="C218" s="64" t="s">
        <v>1315</v>
      </c>
      <c r="D218" s="64" t="s">
        <v>3883</v>
      </c>
      <c r="E218" s="64">
        <f>'Supply Chain'!$H$20</f>
        <v>0</v>
      </c>
      <c r="F218" s="64" t="str">
        <f>'Supply Chain'!$L$20</f>
        <v/>
      </c>
      <c r="G218" s="64" t="str">
        <f>'Supply Chain'!$T$20</f>
        <v>Supply Chain / Procurement</v>
      </c>
      <c r="H218" s="64">
        <f>'Supply Chain'!$U$20</f>
        <v>0</v>
      </c>
      <c r="I218" s="64" t="str">
        <f t="shared" si="11"/>
        <v>OK</v>
      </c>
      <c r="J218" s="64" t="str">
        <f t="shared" si="12"/>
        <v>OK</v>
      </c>
      <c r="K218" s="64" t="str">
        <f t="shared" si="13"/>
        <v>OK</v>
      </c>
      <c r="L218" s="64" t="str">
        <f>IF(AND(E218&lt;&gt;"",E218&lt;&gt;"N/A",VALUE(E218)&lt;5,COUNTIF('Executive Recommendations'!$A$8:$A$414,A218)=0),"Missing recommended action","OK")</f>
        <v>Missing recommended action</v>
      </c>
      <c r="M218" s="64" t="s">
        <v>3884</v>
      </c>
      <c r="N218" s="64" t="s">
        <v>7479</v>
      </c>
    </row>
    <row r="219" spans="1:14" ht="63.75">
      <c r="A219" s="52" t="s">
        <v>3892</v>
      </c>
      <c r="B219" s="52" t="s">
        <v>78</v>
      </c>
      <c r="C219" s="52" t="s">
        <v>1315</v>
      </c>
      <c r="D219" s="52" t="s">
        <v>3893</v>
      </c>
      <c r="E219" s="52">
        <f>'Supply Chain'!$H$21</f>
        <v>0</v>
      </c>
      <c r="F219" s="52" t="str">
        <f>'Supply Chain'!$L$21</f>
        <v/>
      </c>
      <c r="G219" s="52" t="str">
        <f>'Supply Chain'!$T$21</f>
        <v>Supply Chain / Procurement</v>
      </c>
      <c r="H219" s="52">
        <f>'Supply Chain'!$U$21</f>
        <v>0</v>
      </c>
      <c r="I219" s="52" t="str">
        <f t="shared" si="11"/>
        <v>OK</v>
      </c>
      <c r="J219" s="52" t="str">
        <f t="shared" si="12"/>
        <v>OK</v>
      </c>
      <c r="K219" s="52" t="str">
        <f t="shared" si="13"/>
        <v>OK</v>
      </c>
      <c r="L219" s="52" t="str">
        <f>IF(AND(E219&lt;&gt;"",E219&lt;&gt;"N/A",VALUE(E219)&lt;5,COUNTIF('Executive Recommendations'!$A$8:$A$414,A219)=0),"Missing recommended action","OK")</f>
        <v>Missing recommended action</v>
      </c>
      <c r="M219" s="52" t="s">
        <v>3894</v>
      </c>
      <c r="N219" s="52" t="s">
        <v>7486</v>
      </c>
    </row>
    <row r="220" spans="1:14" ht="51">
      <c r="A220" s="64" t="s">
        <v>3902</v>
      </c>
      <c r="B220" s="64" t="s">
        <v>78</v>
      </c>
      <c r="C220" s="64" t="s">
        <v>1315</v>
      </c>
      <c r="D220" s="64" t="s">
        <v>3903</v>
      </c>
      <c r="E220" s="64">
        <f>'Supply Chain'!$H$22</f>
        <v>0</v>
      </c>
      <c r="F220" s="64" t="str">
        <f>'Supply Chain'!$L$22</f>
        <v/>
      </c>
      <c r="G220" s="64" t="str">
        <f>'Supply Chain'!$T$22</f>
        <v>Supply Chain / Procurement</v>
      </c>
      <c r="H220" s="64">
        <f>'Supply Chain'!$U$22</f>
        <v>0</v>
      </c>
      <c r="I220" s="64" t="str">
        <f t="shared" si="11"/>
        <v>OK</v>
      </c>
      <c r="J220" s="64" t="str">
        <f t="shared" si="12"/>
        <v>OK</v>
      </c>
      <c r="K220" s="64" t="str">
        <f t="shared" si="13"/>
        <v>OK</v>
      </c>
      <c r="L220" s="64" t="str">
        <f>IF(AND(E220&lt;&gt;"",E220&lt;&gt;"N/A",VALUE(E220)&lt;5,COUNTIF('Executive Recommendations'!$A$8:$A$414,A220)=0),"Missing recommended action","OK")</f>
        <v>Missing recommended action</v>
      </c>
      <c r="M220" s="64" t="s">
        <v>3904</v>
      </c>
      <c r="N220" s="64" t="s">
        <v>7493</v>
      </c>
    </row>
    <row r="221" spans="1:14" ht="51">
      <c r="A221" s="52" t="s">
        <v>3912</v>
      </c>
      <c r="B221" s="52" t="s">
        <v>78</v>
      </c>
      <c r="C221" s="52" t="s">
        <v>1315</v>
      </c>
      <c r="D221" s="52" t="s">
        <v>3913</v>
      </c>
      <c r="E221" s="52">
        <f>'Supply Chain'!$H$23</f>
        <v>0</v>
      </c>
      <c r="F221" s="52" t="str">
        <f>'Supply Chain'!$L$23</f>
        <v/>
      </c>
      <c r="G221" s="52" t="str">
        <f>'Supply Chain'!$T$23</f>
        <v>Supply Chain / Procurement</v>
      </c>
      <c r="H221" s="52">
        <f>'Supply Chain'!$U$23</f>
        <v>0</v>
      </c>
      <c r="I221" s="52" t="str">
        <f t="shared" si="11"/>
        <v>OK</v>
      </c>
      <c r="J221" s="52" t="str">
        <f t="shared" si="12"/>
        <v>OK</v>
      </c>
      <c r="K221" s="52" t="str">
        <f t="shared" si="13"/>
        <v>OK</v>
      </c>
      <c r="L221" s="52" t="str">
        <f>IF(AND(E221&lt;&gt;"",E221&lt;&gt;"N/A",VALUE(E221)&lt;5,COUNTIF('Executive Recommendations'!$A$8:$A$414,A221)=0),"Missing recommended action","OK")</f>
        <v>Missing recommended action</v>
      </c>
      <c r="M221" s="52" t="s">
        <v>3914</v>
      </c>
      <c r="N221" s="52" t="s">
        <v>7500</v>
      </c>
    </row>
    <row r="222" spans="1:14" ht="51">
      <c r="A222" s="64" t="s">
        <v>3922</v>
      </c>
      <c r="B222" s="64" t="s">
        <v>78</v>
      </c>
      <c r="C222" s="64" t="s">
        <v>1323</v>
      </c>
      <c r="D222" s="64" t="s">
        <v>3923</v>
      </c>
      <c r="E222" s="64">
        <f>'Supply Chain'!$H$24</f>
        <v>0</v>
      </c>
      <c r="F222" s="64" t="str">
        <f>'Supply Chain'!$L$24</f>
        <v/>
      </c>
      <c r="G222" s="64" t="str">
        <f>'Supply Chain'!$T$24</f>
        <v>Supply Chain / Procurement</v>
      </c>
      <c r="H222" s="64">
        <f>'Supply Chain'!$U$24</f>
        <v>0</v>
      </c>
      <c r="I222" s="64" t="str">
        <f t="shared" si="11"/>
        <v>OK</v>
      </c>
      <c r="J222" s="64" t="str">
        <f t="shared" si="12"/>
        <v>OK</v>
      </c>
      <c r="K222" s="64" t="str">
        <f t="shared" si="13"/>
        <v>OK</v>
      </c>
      <c r="L222" s="64" t="str">
        <f>IF(AND(E222&lt;&gt;"",E222&lt;&gt;"N/A",VALUE(E222)&lt;5,COUNTIF('Executive Recommendations'!$A$8:$A$414,A222)=0),"Missing recommended action","OK")</f>
        <v>Missing recommended action</v>
      </c>
      <c r="M222" s="64" t="s">
        <v>3924</v>
      </c>
      <c r="N222" s="64" t="s">
        <v>7508</v>
      </c>
    </row>
    <row r="223" spans="1:14" ht="63.75">
      <c r="A223" s="52" t="s">
        <v>3932</v>
      </c>
      <c r="B223" s="52" t="s">
        <v>78</v>
      </c>
      <c r="C223" s="52" t="s">
        <v>1323</v>
      </c>
      <c r="D223" s="52" t="s">
        <v>3933</v>
      </c>
      <c r="E223" s="52">
        <f>'Supply Chain'!$H$25</f>
        <v>0</v>
      </c>
      <c r="F223" s="52" t="str">
        <f>'Supply Chain'!$L$25</f>
        <v/>
      </c>
      <c r="G223" s="52" t="str">
        <f>'Supply Chain'!$T$25</f>
        <v>Supply Chain / Procurement</v>
      </c>
      <c r="H223" s="52">
        <f>'Supply Chain'!$U$25</f>
        <v>0</v>
      </c>
      <c r="I223" s="52" t="str">
        <f t="shared" si="11"/>
        <v>OK</v>
      </c>
      <c r="J223" s="52" t="str">
        <f t="shared" si="12"/>
        <v>OK</v>
      </c>
      <c r="K223" s="52" t="str">
        <f t="shared" si="13"/>
        <v>OK</v>
      </c>
      <c r="L223" s="52" t="str">
        <f>IF(AND(E223&lt;&gt;"",E223&lt;&gt;"N/A",VALUE(E223)&lt;5,COUNTIF('Executive Recommendations'!$A$8:$A$414,A223)=0),"Missing recommended action","OK")</f>
        <v>Missing recommended action</v>
      </c>
      <c r="M223" s="52" t="s">
        <v>3934</v>
      </c>
      <c r="N223" s="52" t="s">
        <v>7515</v>
      </c>
    </row>
    <row r="224" spans="1:14" ht="51">
      <c r="A224" s="64" t="s">
        <v>3942</v>
      </c>
      <c r="B224" s="64" t="s">
        <v>78</v>
      </c>
      <c r="C224" s="64" t="s">
        <v>1323</v>
      </c>
      <c r="D224" s="64" t="s">
        <v>3943</v>
      </c>
      <c r="E224" s="64">
        <f>'Supply Chain'!$H$26</f>
        <v>0</v>
      </c>
      <c r="F224" s="64" t="str">
        <f>'Supply Chain'!$L$26</f>
        <v/>
      </c>
      <c r="G224" s="64" t="str">
        <f>'Supply Chain'!$T$26</f>
        <v>Supply Chain / Procurement</v>
      </c>
      <c r="H224" s="64">
        <f>'Supply Chain'!$U$26</f>
        <v>0</v>
      </c>
      <c r="I224" s="64" t="str">
        <f t="shared" si="11"/>
        <v>OK</v>
      </c>
      <c r="J224" s="64" t="str">
        <f t="shared" si="12"/>
        <v>OK</v>
      </c>
      <c r="K224" s="64" t="str">
        <f t="shared" si="13"/>
        <v>OK</v>
      </c>
      <c r="L224" s="64" t="str">
        <f>IF(AND(E224&lt;&gt;"",E224&lt;&gt;"N/A",VALUE(E224)&lt;5,COUNTIF('Executive Recommendations'!$A$8:$A$414,A224)=0),"Missing recommended action","OK")</f>
        <v>Missing recommended action</v>
      </c>
      <c r="M224" s="64" t="s">
        <v>3944</v>
      </c>
      <c r="N224" s="64" t="s">
        <v>7522</v>
      </c>
    </row>
    <row r="225" spans="1:14" ht="51">
      <c r="A225" s="52" t="s">
        <v>3952</v>
      </c>
      <c r="B225" s="52" t="s">
        <v>78</v>
      </c>
      <c r="C225" s="52" t="s">
        <v>1323</v>
      </c>
      <c r="D225" s="52" t="s">
        <v>3953</v>
      </c>
      <c r="E225" s="52">
        <f>'Supply Chain'!$H$27</f>
        <v>0</v>
      </c>
      <c r="F225" s="52" t="str">
        <f>'Supply Chain'!$L$27</f>
        <v/>
      </c>
      <c r="G225" s="52" t="str">
        <f>'Supply Chain'!$T$27</f>
        <v>Supply Chain / Procurement</v>
      </c>
      <c r="H225" s="52">
        <f>'Supply Chain'!$U$27</f>
        <v>0</v>
      </c>
      <c r="I225" s="52" t="str">
        <f t="shared" si="11"/>
        <v>OK</v>
      </c>
      <c r="J225" s="52" t="str">
        <f t="shared" si="12"/>
        <v>OK</v>
      </c>
      <c r="K225" s="52" t="str">
        <f t="shared" si="13"/>
        <v>OK</v>
      </c>
      <c r="L225" s="52" t="str">
        <f>IF(AND(E225&lt;&gt;"",E225&lt;&gt;"N/A",VALUE(E225)&lt;5,COUNTIF('Executive Recommendations'!$A$8:$A$414,A225)=0),"Missing recommended action","OK")</f>
        <v>Missing recommended action</v>
      </c>
      <c r="M225" s="52" t="s">
        <v>3954</v>
      </c>
      <c r="N225" s="52" t="s">
        <v>7529</v>
      </c>
    </row>
    <row r="226" spans="1:14" ht="51">
      <c r="A226" s="64" t="s">
        <v>3962</v>
      </c>
      <c r="B226" s="64" t="s">
        <v>78</v>
      </c>
      <c r="C226" s="64" t="s">
        <v>1323</v>
      </c>
      <c r="D226" s="64" t="s">
        <v>3963</v>
      </c>
      <c r="E226" s="64">
        <f>'Supply Chain'!$H$28</f>
        <v>0</v>
      </c>
      <c r="F226" s="64" t="str">
        <f>'Supply Chain'!$L$28</f>
        <v/>
      </c>
      <c r="G226" s="64" t="str">
        <f>'Supply Chain'!$T$28</f>
        <v>Supply Chain / Procurement</v>
      </c>
      <c r="H226" s="64">
        <f>'Supply Chain'!$U$28</f>
        <v>0</v>
      </c>
      <c r="I226" s="64" t="str">
        <f t="shared" si="11"/>
        <v>OK</v>
      </c>
      <c r="J226" s="64" t="str">
        <f t="shared" si="12"/>
        <v>OK</v>
      </c>
      <c r="K226" s="64" t="str">
        <f t="shared" si="13"/>
        <v>OK</v>
      </c>
      <c r="L226" s="64" t="str">
        <f>IF(AND(E226&lt;&gt;"",E226&lt;&gt;"N/A",VALUE(E226)&lt;5,COUNTIF('Executive Recommendations'!$A$8:$A$414,A226)=0),"Missing recommended action","OK")</f>
        <v>Missing recommended action</v>
      </c>
      <c r="M226" s="64" t="s">
        <v>3964</v>
      </c>
      <c r="N226" s="64" t="s">
        <v>7536</v>
      </c>
    </row>
    <row r="227" spans="1:14" ht="51">
      <c r="A227" s="52" t="s">
        <v>3972</v>
      </c>
      <c r="B227" s="52" t="s">
        <v>78</v>
      </c>
      <c r="C227" s="52" t="s">
        <v>1323</v>
      </c>
      <c r="D227" s="52" t="s">
        <v>3973</v>
      </c>
      <c r="E227" s="52">
        <f>'Supply Chain'!$H$29</f>
        <v>0</v>
      </c>
      <c r="F227" s="52" t="str">
        <f>'Supply Chain'!$L$29</f>
        <v/>
      </c>
      <c r="G227" s="52" t="str">
        <f>'Supply Chain'!$T$29</f>
        <v>Supply Chain / Procurement</v>
      </c>
      <c r="H227" s="52">
        <f>'Supply Chain'!$U$29</f>
        <v>0</v>
      </c>
      <c r="I227" s="52" t="str">
        <f t="shared" si="11"/>
        <v>OK</v>
      </c>
      <c r="J227" s="52" t="str">
        <f t="shared" si="12"/>
        <v>OK</v>
      </c>
      <c r="K227" s="52" t="str">
        <f t="shared" si="13"/>
        <v>OK</v>
      </c>
      <c r="L227" s="52" t="str">
        <f>IF(AND(E227&lt;&gt;"",E227&lt;&gt;"N/A",VALUE(E227)&lt;5,COUNTIF('Executive Recommendations'!$A$8:$A$414,A227)=0),"Missing recommended action","OK")</f>
        <v>Missing recommended action</v>
      </c>
      <c r="M227" s="52" t="s">
        <v>3974</v>
      </c>
      <c r="N227" s="52" t="s">
        <v>7543</v>
      </c>
    </row>
    <row r="228" spans="1:14" ht="63.75">
      <c r="A228" s="64" t="s">
        <v>3984</v>
      </c>
      <c r="B228" s="64" t="s">
        <v>81</v>
      </c>
      <c r="C228" s="64" t="s">
        <v>1331</v>
      </c>
      <c r="D228" s="64" t="s">
        <v>3985</v>
      </c>
      <c r="E228" s="64">
        <f>'Manufacturing MES'!$H$5</f>
        <v>0</v>
      </c>
      <c r="F228" s="64" t="str">
        <f>'Manufacturing MES'!$L$5</f>
        <v/>
      </c>
      <c r="G228" s="64" t="str">
        <f>'Manufacturing MES'!$T$5</f>
        <v>COO / Plant / Manufacturing</v>
      </c>
      <c r="H228" s="64">
        <f>'Manufacturing MES'!$U$5</f>
        <v>0</v>
      </c>
      <c r="I228" s="64" t="str">
        <f t="shared" si="11"/>
        <v>OK</v>
      </c>
      <c r="J228" s="64" t="str">
        <f t="shared" si="12"/>
        <v>OK</v>
      </c>
      <c r="K228" s="64" t="str">
        <f t="shared" si="13"/>
        <v>OK</v>
      </c>
      <c r="L228" s="64" t="str">
        <f>IF(AND(E228&lt;&gt;"",E228&lt;&gt;"N/A",VALUE(E228)&lt;5,COUNTIF('Executive Recommendations'!$A$8:$A$414,A228)=0),"Missing recommended action","OK")</f>
        <v>Missing recommended action</v>
      </c>
      <c r="M228" s="64" t="s">
        <v>3988</v>
      </c>
      <c r="N228" s="64" t="s">
        <v>7551</v>
      </c>
    </row>
    <row r="229" spans="1:14" ht="63.75">
      <c r="A229" s="52" t="s">
        <v>3998</v>
      </c>
      <c r="B229" s="52" t="s">
        <v>81</v>
      </c>
      <c r="C229" s="52" t="s">
        <v>1331</v>
      </c>
      <c r="D229" s="52" t="s">
        <v>3999</v>
      </c>
      <c r="E229" s="52">
        <f>'Manufacturing MES'!$H$6</f>
        <v>0</v>
      </c>
      <c r="F229" s="52" t="str">
        <f>'Manufacturing MES'!$L$6</f>
        <v/>
      </c>
      <c r="G229" s="52" t="str">
        <f>'Manufacturing MES'!$T$6</f>
        <v>COO / Plant / Manufacturing</v>
      </c>
      <c r="H229" s="52">
        <f>'Manufacturing MES'!$U$6</f>
        <v>0</v>
      </c>
      <c r="I229" s="52" t="str">
        <f t="shared" si="11"/>
        <v>OK</v>
      </c>
      <c r="J229" s="52" t="str">
        <f t="shared" si="12"/>
        <v>OK</v>
      </c>
      <c r="K229" s="52" t="str">
        <f t="shared" si="13"/>
        <v>OK</v>
      </c>
      <c r="L229" s="52" t="str">
        <f>IF(AND(E229&lt;&gt;"",E229&lt;&gt;"N/A",VALUE(E229)&lt;5,COUNTIF('Executive Recommendations'!$A$8:$A$414,A229)=0),"Missing recommended action","OK")</f>
        <v>Missing recommended action</v>
      </c>
      <c r="M229" s="52" t="s">
        <v>4000</v>
      </c>
      <c r="N229" s="52" t="s">
        <v>7558</v>
      </c>
    </row>
    <row r="230" spans="1:14" ht="51">
      <c r="A230" s="64" t="s">
        <v>4008</v>
      </c>
      <c r="B230" s="64" t="s">
        <v>81</v>
      </c>
      <c r="C230" s="64" t="s">
        <v>1331</v>
      </c>
      <c r="D230" s="64" t="s">
        <v>4009</v>
      </c>
      <c r="E230" s="64">
        <f>'Manufacturing MES'!$H$7</f>
        <v>0</v>
      </c>
      <c r="F230" s="64" t="str">
        <f>'Manufacturing MES'!$L$7</f>
        <v/>
      </c>
      <c r="G230" s="64" t="str">
        <f>'Manufacturing MES'!$T$7</f>
        <v>COO / Plant / Manufacturing</v>
      </c>
      <c r="H230" s="64">
        <f>'Manufacturing MES'!$U$7</f>
        <v>0</v>
      </c>
      <c r="I230" s="64" t="str">
        <f t="shared" si="11"/>
        <v>OK</v>
      </c>
      <c r="J230" s="64" t="str">
        <f t="shared" si="12"/>
        <v>OK</v>
      </c>
      <c r="K230" s="64" t="str">
        <f t="shared" si="13"/>
        <v>OK</v>
      </c>
      <c r="L230" s="64" t="str">
        <f>IF(AND(E230&lt;&gt;"",E230&lt;&gt;"N/A",VALUE(E230)&lt;5,COUNTIF('Executive Recommendations'!$A$8:$A$414,A230)=0),"Missing recommended action","OK")</f>
        <v>Missing recommended action</v>
      </c>
      <c r="M230" s="64" t="s">
        <v>4010</v>
      </c>
      <c r="N230" s="64" t="s">
        <v>7565</v>
      </c>
    </row>
    <row r="231" spans="1:14" ht="51">
      <c r="A231" s="52" t="s">
        <v>4018</v>
      </c>
      <c r="B231" s="52" t="s">
        <v>81</v>
      </c>
      <c r="C231" s="52" t="s">
        <v>1331</v>
      </c>
      <c r="D231" s="52" t="s">
        <v>4019</v>
      </c>
      <c r="E231" s="52">
        <f>'Manufacturing MES'!$H$8</f>
        <v>0</v>
      </c>
      <c r="F231" s="52" t="str">
        <f>'Manufacturing MES'!$L$8</f>
        <v/>
      </c>
      <c r="G231" s="52" t="str">
        <f>'Manufacturing MES'!$T$8</f>
        <v>COO / Plant / Manufacturing</v>
      </c>
      <c r="H231" s="52">
        <f>'Manufacturing MES'!$U$8</f>
        <v>0</v>
      </c>
      <c r="I231" s="52" t="str">
        <f t="shared" si="11"/>
        <v>OK</v>
      </c>
      <c r="J231" s="52" t="str">
        <f t="shared" si="12"/>
        <v>OK</v>
      </c>
      <c r="K231" s="52" t="str">
        <f t="shared" si="13"/>
        <v>OK</v>
      </c>
      <c r="L231" s="52" t="str">
        <f>IF(AND(E231&lt;&gt;"",E231&lt;&gt;"N/A",VALUE(E231)&lt;5,COUNTIF('Executive Recommendations'!$A$8:$A$414,A231)=0),"Missing recommended action","OK")</f>
        <v>Missing recommended action</v>
      </c>
      <c r="M231" s="52" t="s">
        <v>4020</v>
      </c>
      <c r="N231" s="52" t="s">
        <v>7572</v>
      </c>
    </row>
    <row r="232" spans="1:14" ht="51">
      <c r="A232" s="64" t="s">
        <v>4028</v>
      </c>
      <c r="B232" s="64" t="s">
        <v>81</v>
      </c>
      <c r="C232" s="64" t="s">
        <v>1331</v>
      </c>
      <c r="D232" s="64" t="s">
        <v>4029</v>
      </c>
      <c r="E232" s="64">
        <f>'Manufacturing MES'!$H$9</f>
        <v>0</v>
      </c>
      <c r="F232" s="64" t="str">
        <f>'Manufacturing MES'!$L$9</f>
        <v/>
      </c>
      <c r="G232" s="64" t="str">
        <f>'Manufacturing MES'!$T$9</f>
        <v>COO / Plant / Manufacturing</v>
      </c>
      <c r="H232" s="64">
        <f>'Manufacturing MES'!$U$9</f>
        <v>0</v>
      </c>
      <c r="I232" s="64" t="str">
        <f t="shared" si="11"/>
        <v>OK</v>
      </c>
      <c r="J232" s="64" t="str">
        <f t="shared" si="12"/>
        <v>OK</v>
      </c>
      <c r="K232" s="64" t="str">
        <f t="shared" si="13"/>
        <v>OK</v>
      </c>
      <c r="L232" s="64" t="str">
        <f>IF(AND(E232&lt;&gt;"",E232&lt;&gt;"N/A",VALUE(E232)&lt;5,COUNTIF('Executive Recommendations'!$A$8:$A$414,A232)=0),"Missing recommended action","OK")</f>
        <v>Missing recommended action</v>
      </c>
      <c r="M232" s="64" t="s">
        <v>4030</v>
      </c>
      <c r="N232" s="64" t="s">
        <v>7579</v>
      </c>
    </row>
    <row r="233" spans="1:14" ht="51">
      <c r="A233" s="52" t="s">
        <v>4038</v>
      </c>
      <c r="B233" s="52" t="s">
        <v>81</v>
      </c>
      <c r="C233" s="52" t="s">
        <v>1331</v>
      </c>
      <c r="D233" s="52" t="s">
        <v>4039</v>
      </c>
      <c r="E233" s="52">
        <f>'Manufacturing MES'!$H$10</f>
        <v>0</v>
      </c>
      <c r="F233" s="52" t="str">
        <f>'Manufacturing MES'!$L$10</f>
        <v/>
      </c>
      <c r="G233" s="52" t="str">
        <f>'Manufacturing MES'!$T$10</f>
        <v>COO / Plant / Manufacturing</v>
      </c>
      <c r="H233" s="52">
        <f>'Manufacturing MES'!$U$10</f>
        <v>0</v>
      </c>
      <c r="I233" s="52" t="str">
        <f t="shared" si="11"/>
        <v>OK</v>
      </c>
      <c r="J233" s="52" t="str">
        <f t="shared" si="12"/>
        <v>OK</v>
      </c>
      <c r="K233" s="52" t="str">
        <f t="shared" si="13"/>
        <v>OK</v>
      </c>
      <c r="L233" s="52" t="str">
        <f>IF(AND(E233&lt;&gt;"",E233&lt;&gt;"N/A",VALUE(E233)&lt;5,COUNTIF('Executive Recommendations'!$A$8:$A$414,A233)=0),"Missing recommended action","OK")</f>
        <v>Missing recommended action</v>
      </c>
      <c r="M233" s="52" t="s">
        <v>4040</v>
      </c>
      <c r="N233" s="52" t="s">
        <v>7586</v>
      </c>
    </row>
    <row r="234" spans="1:14" ht="63.75">
      <c r="A234" s="64" t="s">
        <v>4048</v>
      </c>
      <c r="B234" s="64" t="s">
        <v>81</v>
      </c>
      <c r="C234" s="64" t="s">
        <v>1346</v>
      </c>
      <c r="D234" s="64" t="s">
        <v>4049</v>
      </c>
      <c r="E234" s="64">
        <f>'Manufacturing MES'!$H$11</f>
        <v>0</v>
      </c>
      <c r="F234" s="64" t="str">
        <f>'Manufacturing MES'!$L$11</f>
        <v/>
      </c>
      <c r="G234" s="64" t="str">
        <f>'Manufacturing MES'!$T$11</f>
        <v>COO / Plant / Manufacturing</v>
      </c>
      <c r="H234" s="64">
        <f>'Manufacturing MES'!$U$11</f>
        <v>0</v>
      </c>
      <c r="I234" s="64" t="str">
        <f t="shared" si="11"/>
        <v>OK</v>
      </c>
      <c r="J234" s="64" t="str">
        <f t="shared" si="12"/>
        <v>OK</v>
      </c>
      <c r="K234" s="64" t="str">
        <f t="shared" si="13"/>
        <v>OK</v>
      </c>
      <c r="L234" s="64" t="str">
        <f>IF(AND(E234&lt;&gt;"",E234&lt;&gt;"N/A",VALUE(E234)&lt;5,COUNTIF('Executive Recommendations'!$A$8:$A$414,A234)=0),"Missing recommended action","OK")</f>
        <v>Missing recommended action</v>
      </c>
      <c r="M234" s="64" t="s">
        <v>4050</v>
      </c>
      <c r="N234" s="64" t="s">
        <v>7594</v>
      </c>
    </row>
    <row r="235" spans="1:14" ht="51">
      <c r="A235" s="52" t="s">
        <v>4058</v>
      </c>
      <c r="B235" s="52" t="s">
        <v>81</v>
      </c>
      <c r="C235" s="52" t="s">
        <v>1346</v>
      </c>
      <c r="D235" s="52" t="s">
        <v>4059</v>
      </c>
      <c r="E235" s="52">
        <f>'Manufacturing MES'!$H$12</f>
        <v>0</v>
      </c>
      <c r="F235" s="52" t="str">
        <f>'Manufacturing MES'!$L$12</f>
        <v/>
      </c>
      <c r="G235" s="52" t="str">
        <f>'Manufacturing MES'!$T$12</f>
        <v>COO / Plant / Manufacturing</v>
      </c>
      <c r="H235" s="52">
        <f>'Manufacturing MES'!$U$12</f>
        <v>0</v>
      </c>
      <c r="I235" s="52" t="str">
        <f t="shared" si="11"/>
        <v>OK</v>
      </c>
      <c r="J235" s="52" t="str">
        <f t="shared" si="12"/>
        <v>OK</v>
      </c>
      <c r="K235" s="52" t="str">
        <f t="shared" si="13"/>
        <v>OK</v>
      </c>
      <c r="L235" s="52" t="str">
        <f>IF(AND(E235&lt;&gt;"",E235&lt;&gt;"N/A",VALUE(E235)&lt;5,COUNTIF('Executive Recommendations'!$A$8:$A$414,A235)=0),"Missing recommended action","OK")</f>
        <v>Missing recommended action</v>
      </c>
      <c r="M235" s="52" t="s">
        <v>4060</v>
      </c>
      <c r="N235" s="52" t="s">
        <v>7601</v>
      </c>
    </row>
    <row r="236" spans="1:14" ht="51">
      <c r="A236" s="64" t="s">
        <v>4068</v>
      </c>
      <c r="B236" s="64" t="s">
        <v>81</v>
      </c>
      <c r="C236" s="64" t="s">
        <v>1346</v>
      </c>
      <c r="D236" s="64" t="s">
        <v>4069</v>
      </c>
      <c r="E236" s="64">
        <f>'Manufacturing MES'!$H$13</f>
        <v>0</v>
      </c>
      <c r="F236" s="64" t="str">
        <f>'Manufacturing MES'!$L$13</f>
        <v/>
      </c>
      <c r="G236" s="64" t="str">
        <f>'Manufacturing MES'!$T$13</f>
        <v>COO / Plant / Manufacturing</v>
      </c>
      <c r="H236" s="64">
        <f>'Manufacturing MES'!$U$13</f>
        <v>0</v>
      </c>
      <c r="I236" s="64" t="str">
        <f t="shared" si="11"/>
        <v>OK</v>
      </c>
      <c r="J236" s="64" t="str">
        <f t="shared" si="12"/>
        <v>OK</v>
      </c>
      <c r="K236" s="64" t="str">
        <f t="shared" si="13"/>
        <v>OK</v>
      </c>
      <c r="L236" s="64" t="str">
        <f>IF(AND(E236&lt;&gt;"",E236&lt;&gt;"N/A",VALUE(E236)&lt;5,COUNTIF('Executive Recommendations'!$A$8:$A$414,A236)=0),"Missing recommended action","OK")</f>
        <v>Missing recommended action</v>
      </c>
      <c r="M236" s="64" t="s">
        <v>4070</v>
      </c>
      <c r="N236" s="64" t="s">
        <v>7608</v>
      </c>
    </row>
    <row r="237" spans="1:14" ht="51">
      <c r="A237" s="52" t="s">
        <v>4078</v>
      </c>
      <c r="B237" s="52" t="s">
        <v>81</v>
      </c>
      <c r="C237" s="52" t="s">
        <v>1346</v>
      </c>
      <c r="D237" s="52" t="s">
        <v>4079</v>
      </c>
      <c r="E237" s="52">
        <f>'Manufacturing MES'!$H$14</f>
        <v>0</v>
      </c>
      <c r="F237" s="52" t="str">
        <f>'Manufacturing MES'!$L$14</f>
        <v/>
      </c>
      <c r="G237" s="52" t="str">
        <f>'Manufacturing MES'!$T$14</f>
        <v>COO / Plant / Manufacturing</v>
      </c>
      <c r="H237" s="52">
        <f>'Manufacturing MES'!$U$14</f>
        <v>0</v>
      </c>
      <c r="I237" s="52" t="str">
        <f t="shared" si="11"/>
        <v>OK</v>
      </c>
      <c r="J237" s="52" t="str">
        <f t="shared" si="12"/>
        <v>OK</v>
      </c>
      <c r="K237" s="52" t="str">
        <f t="shared" si="13"/>
        <v>OK</v>
      </c>
      <c r="L237" s="52" t="str">
        <f>IF(AND(E237&lt;&gt;"",E237&lt;&gt;"N/A",VALUE(E237)&lt;5,COUNTIF('Executive Recommendations'!$A$8:$A$414,A237)=0),"Missing recommended action","OK")</f>
        <v>Missing recommended action</v>
      </c>
      <c r="M237" s="52" t="s">
        <v>4080</v>
      </c>
      <c r="N237" s="52" t="s">
        <v>7615</v>
      </c>
    </row>
    <row r="238" spans="1:14" ht="51">
      <c r="A238" s="64" t="s">
        <v>4088</v>
      </c>
      <c r="B238" s="64" t="s">
        <v>81</v>
      </c>
      <c r="C238" s="64" t="s">
        <v>1346</v>
      </c>
      <c r="D238" s="64" t="s">
        <v>4089</v>
      </c>
      <c r="E238" s="64">
        <f>'Manufacturing MES'!$H$15</f>
        <v>0</v>
      </c>
      <c r="F238" s="64" t="str">
        <f>'Manufacturing MES'!$L$15</f>
        <v/>
      </c>
      <c r="G238" s="64" t="str">
        <f>'Manufacturing MES'!$T$15</f>
        <v>COO / Plant / Manufacturing</v>
      </c>
      <c r="H238" s="64">
        <f>'Manufacturing MES'!$U$15</f>
        <v>0</v>
      </c>
      <c r="I238" s="64" t="str">
        <f t="shared" si="11"/>
        <v>OK</v>
      </c>
      <c r="J238" s="64" t="str">
        <f t="shared" si="12"/>
        <v>OK</v>
      </c>
      <c r="K238" s="64" t="str">
        <f t="shared" si="13"/>
        <v>OK</v>
      </c>
      <c r="L238" s="64" t="str">
        <f>IF(AND(E238&lt;&gt;"",E238&lt;&gt;"N/A",VALUE(E238)&lt;5,COUNTIF('Executive Recommendations'!$A$8:$A$414,A238)=0),"Missing recommended action","OK")</f>
        <v>Missing recommended action</v>
      </c>
      <c r="M238" s="64" t="s">
        <v>4090</v>
      </c>
      <c r="N238" s="64" t="s">
        <v>7622</v>
      </c>
    </row>
    <row r="239" spans="1:14" ht="51">
      <c r="A239" s="52" t="s">
        <v>4098</v>
      </c>
      <c r="B239" s="52" t="s">
        <v>81</v>
      </c>
      <c r="C239" s="52" t="s">
        <v>1346</v>
      </c>
      <c r="D239" s="52" t="s">
        <v>4099</v>
      </c>
      <c r="E239" s="52">
        <f>'Manufacturing MES'!$H$16</f>
        <v>0</v>
      </c>
      <c r="F239" s="52" t="str">
        <f>'Manufacturing MES'!$L$16</f>
        <v/>
      </c>
      <c r="G239" s="52" t="str">
        <f>'Manufacturing MES'!$T$16</f>
        <v>COO / Plant / Manufacturing</v>
      </c>
      <c r="H239" s="52">
        <f>'Manufacturing MES'!$U$16</f>
        <v>0</v>
      </c>
      <c r="I239" s="52" t="str">
        <f t="shared" si="11"/>
        <v>OK</v>
      </c>
      <c r="J239" s="52" t="str">
        <f t="shared" si="12"/>
        <v>OK</v>
      </c>
      <c r="K239" s="52" t="str">
        <f t="shared" si="13"/>
        <v>OK</v>
      </c>
      <c r="L239" s="52" t="str">
        <f>IF(AND(E239&lt;&gt;"",E239&lt;&gt;"N/A",VALUE(E239)&lt;5,COUNTIF('Executive Recommendations'!$A$8:$A$414,A239)=0),"Missing recommended action","OK")</f>
        <v>Missing recommended action</v>
      </c>
      <c r="M239" s="52" t="s">
        <v>4100</v>
      </c>
      <c r="N239" s="52" t="s">
        <v>7629</v>
      </c>
    </row>
    <row r="240" spans="1:14" ht="63.75">
      <c r="A240" s="64" t="s">
        <v>4108</v>
      </c>
      <c r="B240" s="64" t="s">
        <v>81</v>
      </c>
      <c r="C240" s="64" t="s">
        <v>1354</v>
      </c>
      <c r="D240" s="64" t="s">
        <v>4109</v>
      </c>
      <c r="E240" s="64">
        <f>'Manufacturing MES'!$H$17</f>
        <v>0</v>
      </c>
      <c r="F240" s="64" t="str">
        <f>'Manufacturing MES'!$L$17</f>
        <v/>
      </c>
      <c r="G240" s="64" t="str">
        <f>'Manufacturing MES'!$T$17</f>
        <v>COO / Plant / Manufacturing</v>
      </c>
      <c r="H240" s="64">
        <f>'Manufacturing MES'!$U$17</f>
        <v>0</v>
      </c>
      <c r="I240" s="64" t="str">
        <f t="shared" si="11"/>
        <v>OK</v>
      </c>
      <c r="J240" s="64" t="str">
        <f t="shared" si="12"/>
        <v>OK</v>
      </c>
      <c r="K240" s="64" t="str">
        <f t="shared" si="13"/>
        <v>OK</v>
      </c>
      <c r="L240" s="64" t="str">
        <f>IF(AND(E240&lt;&gt;"",E240&lt;&gt;"N/A",VALUE(E240)&lt;5,COUNTIF('Executive Recommendations'!$A$8:$A$414,A240)=0),"Missing recommended action","OK")</f>
        <v>Missing recommended action</v>
      </c>
      <c r="M240" s="64" t="s">
        <v>4110</v>
      </c>
      <c r="N240" s="64" t="s">
        <v>7637</v>
      </c>
    </row>
    <row r="241" spans="1:14" ht="51">
      <c r="A241" s="52" t="s">
        <v>4118</v>
      </c>
      <c r="B241" s="52" t="s">
        <v>81</v>
      </c>
      <c r="C241" s="52" t="s">
        <v>1354</v>
      </c>
      <c r="D241" s="52" t="s">
        <v>4119</v>
      </c>
      <c r="E241" s="52">
        <f>'Manufacturing MES'!$H$18</f>
        <v>0</v>
      </c>
      <c r="F241" s="52" t="str">
        <f>'Manufacturing MES'!$L$18</f>
        <v/>
      </c>
      <c r="G241" s="52" t="str">
        <f>'Manufacturing MES'!$T$18</f>
        <v>COO / Plant / Manufacturing</v>
      </c>
      <c r="H241" s="52">
        <f>'Manufacturing MES'!$U$18</f>
        <v>0</v>
      </c>
      <c r="I241" s="52" t="str">
        <f t="shared" si="11"/>
        <v>OK</v>
      </c>
      <c r="J241" s="52" t="str">
        <f t="shared" si="12"/>
        <v>OK</v>
      </c>
      <c r="K241" s="52" t="str">
        <f t="shared" si="13"/>
        <v>OK</v>
      </c>
      <c r="L241" s="52" t="str">
        <f>IF(AND(E241&lt;&gt;"",E241&lt;&gt;"N/A",VALUE(E241)&lt;5,COUNTIF('Executive Recommendations'!$A$8:$A$414,A241)=0),"Missing recommended action","OK")</f>
        <v>Missing recommended action</v>
      </c>
      <c r="M241" s="52" t="s">
        <v>4120</v>
      </c>
      <c r="N241" s="52" t="s">
        <v>7644</v>
      </c>
    </row>
    <row r="242" spans="1:14" ht="63.75">
      <c r="A242" s="64" t="s">
        <v>4128</v>
      </c>
      <c r="B242" s="64" t="s">
        <v>81</v>
      </c>
      <c r="C242" s="64" t="s">
        <v>1354</v>
      </c>
      <c r="D242" s="64" t="s">
        <v>4129</v>
      </c>
      <c r="E242" s="64">
        <f>'Manufacturing MES'!$H$19</f>
        <v>0</v>
      </c>
      <c r="F242" s="64" t="str">
        <f>'Manufacturing MES'!$L$19</f>
        <v/>
      </c>
      <c r="G242" s="64" t="str">
        <f>'Manufacturing MES'!$T$19</f>
        <v>COO / Plant / Manufacturing</v>
      </c>
      <c r="H242" s="64">
        <f>'Manufacturing MES'!$U$19</f>
        <v>0</v>
      </c>
      <c r="I242" s="64" t="str">
        <f t="shared" si="11"/>
        <v>OK</v>
      </c>
      <c r="J242" s="64" t="str">
        <f t="shared" si="12"/>
        <v>OK</v>
      </c>
      <c r="K242" s="64" t="str">
        <f t="shared" si="13"/>
        <v>OK</v>
      </c>
      <c r="L242" s="64" t="str">
        <f>IF(AND(E242&lt;&gt;"",E242&lt;&gt;"N/A",VALUE(E242)&lt;5,COUNTIF('Executive Recommendations'!$A$8:$A$414,A242)=0),"Missing recommended action","OK")</f>
        <v>Missing recommended action</v>
      </c>
      <c r="M242" s="64" t="s">
        <v>4130</v>
      </c>
      <c r="N242" s="64" t="s">
        <v>7651</v>
      </c>
    </row>
    <row r="243" spans="1:14" ht="63.75">
      <c r="A243" s="52" t="s">
        <v>4138</v>
      </c>
      <c r="B243" s="52" t="s">
        <v>81</v>
      </c>
      <c r="C243" s="52" t="s">
        <v>1354</v>
      </c>
      <c r="D243" s="52" t="s">
        <v>4139</v>
      </c>
      <c r="E243" s="52">
        <f>'Manufacturing MES'!$H$20</f>
        <v>0</v>
      </c>
      <c r="F243" s="52" t="str">
        <f>'Manufacturing MES'!$L$20</f>
        <v/>
      </c>
      <c r="G243" s="52" t="str">
        <f>'Manufacturing MES'!$T$20</f>
        <v>COO / Plant / Manufacturing</v>
      </c>
      <c r="H243" s="52">
        <f>'Manufacturing MES'!$U$20</f>
        <v>0</v>
      </c>
      <c r="I243" s="52" t="str">
        <f t="shared" si="11"/>
        <v>OK</v>
      </c>
      <c r="J243" s="52" t="str">
        <f t="shared" si="12"/>
        <v>OK</v>
      </c>
      <c r="K243" s="52" t="str">
        <f t="shared" si="13"/>
        <v>OK</v>
      </c>
      <c r="L243" s="52" t="str">
        <f>IF(AND(E243&lt;&gt;"",E243&lt;&gt;"N/A",VALUE(E243)&lt;5,COUNTIF('Executive Recommendations'!$A$8:$A$414,A243)=0),"Missing recommended action","OK")</f>
        <v>Missing recommended action</v>
      </c>
      <c r="M243" s="52" t="s">
        <v>4140</v>
      </c>
      <c r="N243" s="52" t="s">
        <v>7658</v>
      </c>
    </row>
    <row r="244" spans="1:14" ht="51">
      <c r="A244" s="64" t="s">
        <v>4148</v>
      </c>
      <c r="B244" s="64" t="s">
        <v>81</v>
      </c>
      <c r="C244" s="64" t="s">
        <v>1354</v>
      </c>
      <c r="D244" s="64" t="s">
        <v>4149</v>
      </c>
      <c r="E244" s="64">
        <f>'Manufacturing MES'!$H$21</f>
        <v>0</v>
      </c>
      <c r="F244" s="64" t="str">
        <f>'Manufacturing MES'!$L$21</f>
        <v/>
      </c>
      <c r="G244" s="64" t="str">
        <f>'Manufacturing MES'!$T$21</f>
        <v>COO / Plant / Manufacturing</v>
      </c>
      <c r="H244" s="64">
        <f>'Manufacturing MES'!$U$21</f>
        <v>0</v>
      </c>
      <c r="I244" s="64" t="str">
        <f t="shared" si="11"/>
        <v>OK</v>
      </c>
      <c r="J244" s="64" t="str">
        <f t="shared" si="12"/>
        <v>OK</v>
      </c>
      <c r="K244" s="64" t="str">
        <f t="shared" si="13"/>
        <v>OK</v>
      </c>
      <c r="L244" s="64" t="str">
        <f>IF(AND(E244&lt;&gt;"",E244&lt;&gt;"N/A",VALUE(E244)&lt;5,COUNTIF('Executive Recommendations'!$A$8:$A$414,A244)=0),"Missing recommended action","OK")</f>
        <v>Missing recommended action</v>
      </c>
      <c r="M244" s="64" t="s">
        <v>4150</v>
      </c>
      <c r="N244" s="64" t="s">
        <v>7665</v>
      </c>
    </row>
    <row r="245" spans="1:14" ht="51">
      <c r="A245" s="52" t="s">
        <v>4158</v>
      </c>
      <c r="B245" s="52" t="s">
        <v>81</v>
      </c>
      <c r="C245" s="52" t="s">
        <v>1354</v>
      </c>
      <c r="D245" s="52" t="s">
        <v>4159</v>
      </c>
      <c r="E245" s="52">
        <f>'Manufacturing MES'!$H$22</f>
        <v>0</v>
      </c>
      <c r="F245" s="52" t="str">
        <f>'Manufacturing MES'!$L$22</f>
        <v/>
      </c>
      <c r="G245" s="52" t="str">
        <f>'Manufacturing MES'!$T$22</f>
        <v>COO / Plant / Manufacturing</v>
      </c>
      <c r="H245" s="52">
        <f>'Manufacturing MES'!$U$22</f>
        <v>0</v>
      </c>
      <c r="I245" s="52" t="str">
        <f t="shared" si="11"/>
        <v>OK</v>
      </c>
      <c r="J245" s="52" t="str">
        <f t="shared" si="12"/>
        <v>OK</v>
      </c>
      <c r="K245" s="52" t="str">
        <f t="shared" si="13"/>
        <v>OK</v>
      </c>
      <c r="L245" s="52" t="str">
        <f>IF(AND(E245&lt;&gt;"",E245&lt;&gt;"N/A",VALUE(E245)&lt;5,COUNTIF('Executive Recommendations'!$A$8:$A$414,A245)=0),"Missing recommended action","OK")</f>
        <v>Missing recommended action</v>
      </c>
      <c r="M245" s="52" t="s">
        <v>4160</v>
      </c>
      <c r="N245" s="52" t="s">
        <v>7672</v>
      </c>
    </row>
    <row r="246" spans="1:14" ht="63.75">
      <c r="A246" s="64" t="s">
        <v>4168</v>
      </c>
      <c r="B246" s="64" t="s">
        <v>81</v>
      </c>
      <c r="C246" s="64" t="s">
        <v>1362</v>
      </c>
      <c r="D246" s="64" t="s">
        <v>4169</v>
      </c>
      <c r="E246" s="64">
        <f>'Manufacturing MES'!$H$23</f>
        <v>0</v>
      </c>
      <c r="F246" s="64" t="str">
        <f>'Manufacturing MES'!$L$23</f>
        <v/>
      </c>
      <c r="G246" s="64" t="str">
        <f>'Manufacturing MES'!$T$23</f>
        <v>COO / Plant / Manufacturing</v>
      </c>
      <c r="H246" s="64">
        <f>'Manufacturing MES'!$U$23</f>
        <v>0</v>
      </c>
      <c r="I246" s="64" t="str">
        <f t="shared" si="11"/>
        <v>OK</v>
      </c>
      <c r="J246" s="64" t="str">
        <f t="shared" si="12"/>
        <v>OK</v>
      </c>
      <c r="K246" s="64" t="str">
        <f t="shared" si="13"/>
        <v>OK</v>
      </c>
      <c r="L246" s="64" t="str">
        <f>IF(AND(E246&lt;&gt;"",E246&lt;&gt;"N/A",VALUE(E246)&lt;5,COUNTIF('Executive Recommendations'!$A$8:$A$414,A246)=0),"Missing recommended action","OK")</f>
        <v>Missing recommended action</v>
      </c>
      <c r="M246" s="64" t="s">
        <v>4170</v>
      </c>
      <c r="N246" s="64" t="s">
        <v>7680</v>
      </c>
    </row>
    <row r="247" spans="1:14" ht="51">
      <c r="A247" s="52" t="s">
        <v>4178</v>
      </c>
      <c r="B247" s="52" t="s">
        <v>81</v>
      </c>
      <c r="C247" s="52" t="s">
        <v>1362</v>
      </c>
      <c r="D247" s="52" t="s">
        <v>4179</v>
      </c>
      <c r="E247" s="52">
        <f>'Manufacturing MES'!$H$24</f>
        <v>0</v>
      </c>
      <c r="F247" s="52" t="str">
        <f>'Manufacturing MES'!$L$24</f>
        <v/>
      </c>
      <c r="G247" s="52" t="str">
        <f>'Manufacturing MES'!$T$24</f>
        <v>COO / Plant / Manufacturing</v>
      </c>
      <c r="H247" s="52">
        <f>'Manufacturing MES'!$U$24</f>
        <v>0</v>
      </c>
      <c r="I247" s="52" t="str">
        <f t="shared" si="11"/>
        <v>OK</v>
      </c>
      <c r="J247" s="52" t="str">
        <f t="shared" si="12"/>
        <v>OK</v>
      </c>
      <c r="K247" s="52" t="str">
        <f t="shared" si="13"/>
        <v>OK</v>
      </c>
      <c r="L247" s="52" t="str">
        <f>IF(AND(E247&lt;&gt;"",E247&lt;&gt;"N/A",VALUE(E247)&lt;5,COUNTIF('Executive Recommendations'!$A$8:$A$414,A247)=0),"Missing recommended action","OK")</f>
        <v>Missing recommended action</v>
      </c>
      <c r="M247" s="52" t="s">
        <v>4180</v>
      </c>
      <c r="N247" s="52" t="s">
        <v>7687</v>
      </c>
    </row>
    <row r="248" spans="1:14" ht="63.75">
      <c r="A248" s="64" t="s">
        <v>4188</v>
      </c>
      <c r="B248" s="64" t="s">
        <v>81</v>
      </c>
      <c r="C248" s="64" t="s">
        <v>1362</v>
      </c>
      <c r="D248" s="64" t="s">
        <v>4189</v>
      </c>
      <c r="E248" s="64">
        <f>'Manufacturing MES'!$H$25</f>
        <v>0</v>
      </c>
      <c r="F248" s="64" t="str">
        <f>'Manufacturing MES'!$L$25</f>
        <v/>
      </c>
      <c r="G248" s="64" t="str">
        <f>'Manufacturing MES'!$T$25</f>
        <v>COO / Plant / Manufacturing</v>
      </c>
      <c r="H248" s="64">
        <f>'Manufacturing MES'!$U$25</f>
        <v>0</v>
      </c>
      <c r="I248" s="64" t="str">
        <f t="shared" si="11"/>
        <v>OK</v>
      </c>
      <c r="J248" s="64" t="str">
        <f t="shared" si="12"/>
        <v>OK</v>
      </c>
      <c r="K248" s="64" t="str">
        <f t="shared" si="13"/>
        <v>OK</v>
      </c>
      <c r="L248" s="64" t="str">
        <f>IF(AND(E248&lt;&gt;"",E248&lt;&gt;"N/A",VALUE(E248)&lt;5,COUNTIF('Executive Recommendations'!$A$8:$A$414,A248)=0),"Missing recommended action","OK")</f>
        <v>Missing recommended action</v>
      </c>
      <c r="M248" s="64" t="s">
        <v>4190</v>
      </c>
      <c r="N248" s="64" t="s">
        <v>7694</v>
      </c>
    </row>
    <row r="249" spans="1:14" ht="51">
      <c r="A249" s="52" t="s">
        <v>4198</v>
      </c>
      <c r="B249" s="52" t="s">
        <v>81</v>
      </c>
      <c r="C249" s="52" t="s">
        <v>1362</v>
      </c>
      <c r="D249" s="52" t="s">
        <v>4199</v>
      </c>
      <c r="E249" s="52">
        <f>'Manufacturing MES'!$H$26</f>
        <v>0</v>
      </c>
      <c r="F249" s="52" t="str">
        <f>'Manufacturing MES'!$L$26</f>
        <v/>
      </c>
      <c r="G249" s="52" t="str">
        <f>'Manufacturing MES'!$T$26</f>
        <v>COO / Plant / Manufacturing</v>
      </c>
      <c r="H249" s="52">
        <f>'Manufacturing MES'!$U$26</f>
        <v>0</v>
      </c>
      <c r="I249" s="52" t="str">
        <f t="shared" si="11"/>
        <v>OK</v>
      </c>
      <c r="J249" s="52" t="str">
        <f t="shared" si="12"/>
        <v>OK</v>
      </c>
      <c r="K249" s="52" t="str">
        <f t="shared" si="13"/>
        <v>OK</v>
      </c>
      <c r="L249" s="52" t="str">
        <f>IF(AND(E249&lt;&gt;"",E249&lt;&gt;"N/A",VALUE(E249)&lt;5,COUNTIF('Executive Recommendations'!$A$8:$A$414,A249)=0),"Missing recommended action","OK")</f>
        <v>Missing recommended action</v>
      </c>
      <c r="M249" s="52" t="s">
        <v>4200</v>
      </c>
      <c r="N249" s="52" t="s">
        <v>7701</v>
      </c>
    </row>
    <row r="250" spans="1:14" ht="51">
      <c r="A250" s="64" t="s">
        <v>4208</v>
      </c>
      <c r="B250" s="64" t="s">
        <v>81</v>
      </c>
      <c r="C250" s="64" t="s">
        <v>1362</v>
      </c>
      <c r="D250" s="64" t="s">
        <v>4209</v>
      </c>
      <c r="E250" s="64">
        <f>'Manufacturing MES'!$H$27</f>
        <v>0</v>
      </c>
      <c r="F250" s="64" t="str">
        <f>'Manufacturing MES'!$L$27</f>
        <v/>
      </c>
      <c r="G250" s="64" t="str">
        <f>'Manufacturing MES'!$T$27</f>
        <v>COO / Plant / Manufacturing</v>
      </c>
      <c r="H250" s="64">
        <f>'Manufacturing MES'!$U$27</f>
        <v>0</v>
      </c>
      <c r="I250" s="64" t="str">
        <f t="shared" si="11"/>
        <v>OK</v>
      </c>
      <c r="J250" s="64" t="str">
        <f t="shared" si="12"/>
        <v>OK</v>
      </c>
      <c r="K250" s="64" t="str">
        <f t="shared" si="13"/>
        <v>OK</v>
      </c>
      <c r="L250" s="64" t="str">
        <f>IF(AND(E250&lt;&gt;"",E250&lt;&gt;"N/A",VALUE(E250)&lt;5,COUNTIF('Executive Recommendations'!$A$8:$A$414,A250)=0),"Missing recommended action","OK")</f>
        <v>Missing recommended action</v>
      </c>
      <c r="M250" s="64" t="s">
        <v>4210</v>
      </c>
      <c r="N250" s="64" t="s">
        <v>7708</v>
      </c>
    </row>
    <row r="251" spans="1:14" ht="51">
      <c r="A251" s="52" t="s">
        <v>4218</v>
      </c>
      <c r="B251" s="52" t="s">
        <v>81</v>
      </c>
      <c r="C251" s="52" t="s">
        <v>1362</v>
      </c>
      <c r="D251" s="52" t="s">
        <v>4219</v>
      </c>
      <c r="E251" s="52">
        <f>'Manufacturing MES'!$H$28</f>
        <v>0</v>
      </c>
      <c r="F251" s="52" t="str">
        <f>'Manufacturing MES'!$L$28</f>
        <v/>
      </c>
      <c r="G251" s="52" t="str">
        <f>'Manufacturing MES'!$T$28</f>
        <v>COO / Plant / Manufacturing</v>
      </c>
      <c r="H251" s="52">
        <f>'Manufacturing MES'!$U$28</f>
        <v>0</v>
      </c>
      <c r="I251" s="52" t="str">
        <f t="shared" si="11"/>
        <v>OK</v>
      </c>
      <c r="J251" s="52" t="str">
        <f t="shared" si="12"/>
        <v>OK</v>
      </c>
      <c r="K251" s="52" t="str">
        <f t="shared" si="13"/>
        <v>OK</v>
      </c>
      <c r="L251" s="52" t="str">
        <f>IF(AND(E251&lt;&gt;"",E251&lt;&gt;"N/A",VALUE(E251)&lt;5,COUNTIF('Executive Recommendations'!$A$8:$A$414,A251)=0),"Missing recommended action","OK")</f>
        <v>Missing recommended action</v>
      </c>
      <c r="M251" s="52" t="s">
        <v>4220</v>
      </c>
      <c r="N251" s="52" t="s">
        <v>7715</v>
      </c>
    </row>
    <row r="252" spans="1:14" ht="63.75">
      <c r="A252" s="64" t="s">
        <v>4228</v>
      </c>
      <c r="B252" s="64" t="s">
        <v>81</v>
      </c>
      <c r="C252" s="64" t="s">
        <v>1370</v>
      </c>
      <c r="D252" s="64" t="s">
        <v>4229</v>
      </c>
      <c r="E252" s="64">
        <f>'Manufacturing MES'!$H$29</f>
        <v>0</v>
      </c>
      <c r="F252" s="64" t="str">
        <f>'Manufacturing MES'!$L$29</f>
        <v/>
      </c>
      <c r="G252" s="64" t="str">
        <f>'Manufacturing MES'!$T$29</f>
        <v>COO / Plant / Manufacturing</v>
      </c>
      <c r="H252" s="64">
        <f>'Manufacturing MES'!$U$29</f>
        <v>0</v>
      </c>
      <c r="I252" s="64" t="str">
        <f t="shared" si="11"/>
        <v>OK</v>
      </c>
      <c r="J252" s="64" t="str">
        <f t="shared" si="12"/>
        <v>OK</v>
      </c>
      <c r="K252" s="64" t="str">
        <f t="shared" si="13"/>
        <v>OK</v>
      </c>
      <c r="L252" s="64" t="str">
        <f>IF(AND(E252&lt;&gt;"",E252&lt;&gt;"N/A",VALUE(E252)&lt;5,COUNTIF('Executive Recommendations'!$A$8:$A$414,A252)=0),"Missing recommended action","OK")</f>
        <v>Missing recommended action</v>
      </c>
      <c r="M252" s="64" t="s">
        <v>4230</v>
      </c>
      <c r="N252" s="64" t="s">
        <v>7723</v>
      </c>
    </row>
    <row r="253" spans="1:14" ht="51">
      <c r="A253" s="52" t="s">
        <v>4238</v>
      </c>
      <c r="B253" s="52" t="s">
        <v>81</v>
      </c>
      <c r="C253" s="52" t="s">
        <v>1370</v>
      </c>
      <c r="D253" s="52" t="s">
        <v>4239</v>
      </c>
      <c r="E253" s="52">
        <f>'Manufacturing MES'!$H$30</f>
        <v>0</v>
      </c>
      <c r="F253" s="52" t="str">
        <f>'Manufacturing MES'!$L$30</f>
        <v/>
      </c>
      <c r="G253" s="52" t="str">
        <f>'Manufacturing MES'!$T$30</f>
        <v>COO / Plant / Manufacturing</v>
      </c>
      <c r="H253" s="52">
        <f>'Manufacturing MES'!$U$30</f>
        <v>0</v>
      </c>
      <c r="I253" s="52" t="str">
        <f t="shared" si="11"/>
        <v>OK</v>
      </c>
      <c r="J253" s="52" t="str">
        <f t="shared" si="12"/>
        <v>OK</v>
      </c>
      <c r="K253" s="52" t="str">
        <f t="shared" si="13"/>
        <v>OK</v>
      </c>
      <c r="L253" s="52" t="str">
        <f>IF(AND(E253&lt;&gt;"",E253&lt;&gt;"N/A",VALUE(E253)&lt;5,COUNTIF('Executive Recommendations'!$A$8:$A$414,A253)=0),"Missing recommended action","OK")</f>
        <v>Missing recommended action</v>
      </c>
      <c r="M253" s="52" t="s">
        <v>4240</v>
      </c>
      <c r="N253" s="52" t="s">
        <v>7730</v>
      </c>
    </row>
    <row r="254" spans="1:14" ht="51">
      <c r="A254" s="64" t="s">
        <v>4248</v>
      </c>
      <c r="B254" s="64" t="s">
        <v>81</v>
      </c>
      <c r="C254" s="64" t="s">
        <v>1370</v>
      </c>
      <c r="D254" s="64" t="s">
        <v>4249</v>
      </c>
      <c r="E254" s="64">
        <f>'Manufacturing MES'!$H$31</f>
        <v>0</v>
      </c>
      <c r="F254" s="64" t="str">
        <f>'Manufacturing MES'!$L$31</f>
        <v/>
      </c>
      <c r="G254" s="64" t="str">
        <f>'Manufacturing MES'!$T$31</f>
        <v>COO / Plant / Manufacturing</v>
      </c>
      <c r="H254" s="64">
        <f>'Manufacturing MES'!$U$31</f>
        <v>0</v>
      </c>
      <c r="I254" s="64" t="str">
        <f t="shared" si="11"/>
        <v>OK</v>
      </c>
      <c r="J254" s="64" t="str">
        <f t="shared" si="12"/>
        <v>OK</v>
      </c>
      <c r="K254" s="64" t="str">
        <f t="shared" si="13"/>
        <v>OK</v>
      </c>
      <c r="L254" s="64" t="str">
        <f>IF(AND(E254&lt;&gt;"",E254&lt;&gt;"N/A",VALUE(E254)&lt;5,COUNTIF('Executive Recommendations'!$A$8:$A$414,A254)=0),"Missing recommended action","OK")</f>
        <v>Missing recommended action</v>
      </c>
      <c r="M254" s="64" t="s">
        <v>4250</v>
      </c>
      <c r="N254" s="64" t="s">
        <v>7737</v>
      </c>
    </row>
    <row r="255" spans="1:14" ht="51">
      <c r="A255" s="52" t="s">
        <v>4258</v>
      </c>
      <c r="B255" s="52" t="s">
        <v>81</v>
      </c>
      <c r="C255" s="52" t="s">
        <v>1370</v>
      </c>
      <c r="D255" s="52" t="s">
        <v>4259</v>
      </c>
      <c r="E255" s="52">
        <f>'Manufacturing MES'!$H$32</f>
        <v>0</v>
      </c>
      <c r="F255" s="52" t="str">
        <f>'Manufacturing MES'!$L$32</f>
        <v/>
      </c>
      <c r="G255" s="52" t="str">
        <f>'Manufacturing MES'!$T$32</f>
        <v>COO / Plant / Manufacturing</v>
      </c>
      <c r="H255" s="52">
        <f>'Manufacturing MES'!$U$32</f>
        <v>0</v>
      </c>
      <c r="I255" s="52" t="str">
        <f t="shared" si="11"/>
        <v>OK</v>
      </c>
      <c r="J255" s="52" t="str">
        <f t="shared" si="12"/>
        <v>OK</v>
      </c>
      <c r="K255" s="52" t="str">
        <f t="shared" si="13"/>
        <v>OK</v>
      </c>
      <c r="L255" s="52" t="str">
        <f>IF(AND(E255&lt;&gt;"",E255&lt;&gt;"N/A",VALUE(E255)&lt;5,COUNTIF('Executive Recommendations'!$A$8:$A$414,A255)=0),"Missing recommended action","OK")</f>
        <v>Missing recommended action</v>
      </c>
      <c r="M255" s="52" t="s">
        <v>4260</v>
      </c>
      <c r="N255" s="52" t="s">
        <v>7744</v>
      </c>
    </row>
    <row r="256" spans="1:14" ht="63.75">
      <c r="A256" s="64" t="s">
        <v>4270</v>
      </c>
      <c r="B256" s="64" t="s">
        <v>84</v>
      </c>
      <c r="C256" s="64" t="s">
        <v>1378</v>
      </c>
      <c r="D256" s="64" t="s">
        <v>4271</v>
      </c>
      <c r="E256" s="64">
        <f>'Sales CRM'!$H$5</f>
        <v>0</v>
      </c>
      <c r="F256" s="64" t="str">
        <f>'Sales CRM'!$L$5</f>
        <v/>
      </c>
      <c r="G256" s="64" t="str">
        <f>'Sales CRM'!$T$5</f>
        <v>CCO / Sales Ops</v>
      </c>
      <c r="H256" s="64">
        <f>'Sales CRM'!$U$5</f>
        <v>0</v>
      </c>
      <c r="I256" s="64" t="str">
        <f t="shared" si="11"/>
        <v>OK</v>
      </c>
      <c r="J256" s="64" t="str">
        <f t="shared" si="12"/>
        <v>OK</v>
      </c>
      <c r="K256" s="64" t="str">
        <f t="shared" si="13"/>
        <v>OK</v>
      </c>
      <c r="L256" s="64" t="str">
        <f>IF(AND(E256&lt;&gt;"",E256&lt;&gt;"N/A",VALUE(E256)&lt;5,COUNTIF('Executive Recommendations'!$A$8:$A$414,A256)=0),"Missing recommended action","OK")</f>
        <v>Missing recommended action</v>
      </c>
      <c r="M256" s="64" t="s">
        <v>4274</v>
      </c>
      <c r="N256" s="64" t="s">
        <v>7752</v>
      </c>
    </row>
    <row r="257" spans="1:14" ht="63.75">
      <c r="A257" s="52" t="s">
        <v>4284</v>
      </c>
      <c r="B257" s="52" t="s">
        <v>84</v>
      </c>
      <c r="C257" s="52" t="s">
        <v>1378</v>
      </c>
      <c r="D257" s="52" t="s">
        <v>4285</v>
      </c>
      <c r="E257" s="52">
        <f>'Sales CRM'!$H$6</f>
        <v>0</v>
      </c>
      <c r="F257" s="52" t="str">
        <f>'Sales CRM'!$L$6</f>
        <v/>
      </c>
      <c r="G257" s="52" t="str">
        <f>'Sales CRM'!$T$6</f>
        <v>CCO / Sales Ops</v>
      </c>
      <c r="H257" s="52">
        <f>'Sales CRM'!$U$6</f>
        <v>0</v>
      </c>
      <c r="I257" s="52" t="str">
        <f t="shared" si="11"/>
        <v>OK</v>
      </c>
      <c r="J257" s="52" t="str">
        <f t="shared" si="12"/>
        <v>OK</v>
      </c>
      <c r="K257" s="52" t="str">
        <f t="shared" si="13"/>
        <v>OK</v>
      </c>
      <c r="L257" s="52" t="str">
        <f>IF(AND(E257&lt;&gt;"",E257&lt;&gt;"N/A",VALUE(E257)&lt;5,COUNTIF('Executive Recommendations'!$A$8:$A$414,A257)=0),"Missing recommended action","OK")</f>
        <v>Missing recommended action</v>
      </c>
      <c r="M257" s="52" t="s">
        <v>4286</v>
      </c>
      <c r="N257" s="52" t="s">
        <v>7759</v>
      </c>
    </row>
    <row r="258" spans="1:14" ht="51">
      <c r="A258" s="64" t="s">
        <v>4294</v>
      </c>
      <c r="B258" s="64" t="s">
        <v>84</v>
      </c>
      <c r="C258" s="64" t="s">
        <v>1378</v>
      </c>
      <c r="D258" s="64" t="s">
        <v>4295</v>
      </c>
      <c r="E258" s="64">
        <f>'Sales CRM'!$H$7</f>
        <v>0</v>
      </c>
      <c r="F258" s="64" t="str">
        <f>'Sales CRM'!$L$7</f>
        <v/>
      </c>
      <c r="G258" s="64" t="str">
        <f>'Sales CRM'!$T$7</f>
        <v>CCO / Sales Ops</v>
      </c>
      <c r="H258" s="64">
        <f>'Sales CRM'!$U$7</f>
        <v>0</v>
      </c>
      <c r="I258" s="64" t="str">
        <f t="shared" si="11"/>
        <v>OK</v>
      </c>
      <c r="J258" s="64" t="str">
        <f t="shared" si="12"/>
        <v>OK</v>
      </c>
      <c r="K258" s="64" t="str">
        <f t="shared" si="13"/>
        <v>OK</v>
      </c>
      <c r="L258" s="64" t="str">
        <f>IF(AND(E258&lt;&gt;"",E258&lt;&gt;"N/A",VALUE(E258)&lt;5,COUNTIF('Executive Recommendations'!$A$8:$A$414,A258)=0),"Missing recommended action","OK")</f>
        <v>Missing recommended action</v>
      </c>
      <c r="M258" s="64" t="s">
        <v>4296</v>
      </c>
      <c r="N258" s="64" t="s">
        <v>7766</v>
      </c>
    </row>
    <row r="259" spans="1:14" ht="51">
      <c r="A259" s="52" t="s">
        <v>4304</v>
      </c>
      <c r="B259" s="52" t="s">
        <v>84</v>
      </c>
      <c r="C259" s="52" t="s">
        <v>1378</v>
      </c>
      <c r="D259" s="52" t="s">
        <v>4305</v>
      </c>
      <c r="E259" s="52">
        <f>'Sales CRM'!$H$8</f>
        <v>0</v>
      </c>
      <c r="F259" s="52" t="str">
        <f>'Sales CRM'!$L$8</f>
        <v/>
      </c>
      <c r="G259" s="52" t="str">
        <f>'Sales CRM'!$T$8</f>
        <v>CCO / Sales Ops</v>
      </c>
      <c r="H259" s="52">
        <f>'Sales CRM'!$U$8</f>
        <v>0</v>
      </c>
      <c r="I259" s="52" t="str">
        <f t="shared" si="11"/>
        <v>OK</v>
      </c>
      <c r="J259" s="52" t="str">
        <f t="shared" si="12"/>
        <v>OK</v>
      </c>
      <c r="K259" s="52" t="str">
        <f t="shared" si="13"/>
        <v>OK</v>
      </c>
      <c r="L259" s="52" t="str">
        <f>IF(AND(E259&lt;&gt;"",E259&lt;&gt;"N/A",VALUE(E259)&lt;5,COUNTIF('Executive Recommendations'!$A$8:$A$414,A259)=0),"Missing recommended action","OK")</f>
        <v>Missing recommended action</v>
      </c>
      <c r="M259" s="52" t="s">
        <v>4306</v>
      </c>
      <c r="N259" s="52" t="s">
        <v>7773</v>
      </c>
    </row>
    <row r="260" spans="1:14" ht="51">
      <c r="A260" s="64" t="s">
        <v>4314</v>
      </c>
      <c r="B260" s="64" t="s">
        <v>84</v>
      </c>
      <c r="C260" s="64" t="s">
        <v>1378</v>
      </c>
      <c r="D260" s="64" t="s">
        <v>4315</v>
      </c>
      <c r="E260" s="64">
        <f>'Sales CRM'!$H$9</f>
        <v>0</v>
      </c>
      <c r="F260" s="64" t="str">
        <f>'Sales CRM'!$L$9</f>
        <v/>
      </c>
      <c r="G260" s="64" t="str">
        <f>'Sales CRM'!$T$9</f>
        <v>CCO / Sales Ops</v>
      </c>
      <c r="H260" s="64">
        <f>'Sales CRM'!$U$9</f>
        <v>0</v>
      </c>
      <c r="I260" s="64" t="str">
        <f t="shared" si="11"/>
        <v>OK</v>
      </c>
      <c r="J260" s="64" t="str">
        <f t="shared" si="12"/>
        <v>OK</v>
      </c>
      <c r="K260" s="64" t="str">
        <f t="shared" si="13"/>
        <v>OK</v>
      </c>
      <c r="L260" s="64" t="str">
        <f>IF(AND(E260&lt;&gt;"",E260&lt;&gt;"N/A",VALUE(E260)&lt;5,COUNTIF('Executive Recommendations'!$A$8:$A$414,A260)=0),"Missing recommended action","OK")</f>
        <v>Missing recommended action</v>
      </c>
      <c r="M260" s="64" t="s">
        <v>4316</v>
      </c>
      <c r="N260" s="64" t="s">
        <v>7780</v>
      </c>
    </row>
    <row r="261" spans="1:14" ht="51">
      <c r="A261" s="52" t="s">
        <v>4324</v>
      </c>
      <c r="B261" s="52" t="s">
        <v>84</v>
      </c>
      <c r="C261" s="52" t="s">
        <v>1391</v>
      </c>
      <c r="D261" s="52" t="s">
        <v>4325</v>
      </c>
      <c r="E261" s="52">
        <f>'Sales CRM'!$H$10</f>
        <v>0</v>
      </c>
      <c r="F261" s="52" t="str">
        <f>'Sales CRM'!$L$10</f>
        <v/>
      </c>
      <c r="G261" s="52" t="str">
        <f>'Sales CRM'!$T$10</f>
        <v>CCO / Sales Ops</v>
      </c>
      <c r="H261" s="52">
        <f>'Sales CRM'!$U$10</f>
        <v>0</v>
      </c>
      <c r="I261" s="52" t="str">
        <f t="shared" si="11"/>
        <v>OK</v>
      </c>
      <c r="J261" s="52" t="str">
        <f t="shared" si="12"/>
        <v>OK</v>
      </c>
      <c r="K261" s="52" t="str">
        <f t="shared" si="13"/>
        <v>OK</v>
      </c>
      <c r="L261" s="52" t="str">
        <f>IF(AND(E261&lt;&gt;"",E261&lt;&gt;"N/A",VALUE(E261)&lt;5,COUNTIF('Executive Recommendations'!$A$8:$A$414,A261)=0),"Missing recommended action","OK")</f>
        <v>Missing recommended action</v>
      </c>
      <c r="M261" s="52" t="s">
        <v>4326</v>
      </c>
      <c r="N261" s="52" t="s">
        <v>7788</v>
      </c>
    </row>
    <row r="262" spans="1:14" ht="51">
      <c r="A262" s="64" t="s">
        <v>4334</v>
      </c>
      <c r="B262" s="64" t="s">
        <v>84</v>
      </c>
      <c r="C262" s="64" t="s">
        <v>1391</v>
      </c>
      <c r="D262" s="64" t="s">
        <v>4335</v>
      </c>
      <c r="E262" s="64">
        <f>'Sales CRM'!$H$11</f>
        <v>0</v>
      </c>
      <c r="F262" s="64" t="str">
        <f>'Sales CRM'!$L$11</f>
        <v/>
      </c>
      <c r="G262" s="64" t="str">
        <f>'Sales CRM'!$T$11</f>
        <v>CCO / Sales Ops</v>
      </c>
      <c r="H262" s="64">
        <f>'Sales CRM'!$U$11</f>
        <v>0</v>
      </c>
      <c r="I262" s="64" t="str">
        <f t="shared" si="11"/>
        <v>OK</v>
      </c>
      <c r="J262" s="64" t="str">
        <f t="shared" si="12"/>
        <v>OK</v>
      </c>
      <c r="K262" s="64" t="str">
        <f t="shared" si="13"/>
        <v>OK</v>
      </c>
      <c r="L262" s="64" t="str">
        <f>IF(AND(E262&lt;&gt;"",E262&lt;&gt;"N/A",VALUE(E262)&lt;5,COUNTIF('Executive Recommendations'!$A$8:$A$414,A262)=0),"Missing recommended action","OK")</f>
        <v>Missing recommended action</v>
      </c>
      <c r="M262" s="64" t="s">
        <v>4336</v>
      </c>
      <c r="N262" s="64" t="s">
        <v>7795</v>
      </c>
    </row>
    <row r="263" spans="1:14" ht="51">
      <c r="A263" s="52" t="s">
        <v>4344</v>
      </c>
      <c r="B263" s="52" t="s">
        <v>84</v>
      </c>
      <c r="C263" s="52" t="s">
        <v>1391</v>
      </c>
      <c r="D263" s="52" t="s">
        <v>4345</v>
      </c>
      <c r="E263" s="52">
        <f>'Sales CRM'!$H$12</f>
        <v>0</v>
      </c>
      <c r="F263" s="52" t="str">
        <f>'Sales CRM'!$L$12</f>
        <v/>
      </c>
      <c r="G263" s="52" t="str">
        <f>'Sales CRM'!$T$12</f>
        <v>CCO / Sales Ops</v>
      </c>
      <c r="H263" s="52">
        <f>'Sales CRM'!$U$12</f>
        <v>0</v>
      </c>
      <c r="I263" s="52" t="str">
        <f t="shared" si="11"/>
        <v>OK</v>
      </c>
      <c r="J263" s="52" t="str">
        <f t="shared" si="12"/>
        <v>OK</v>
      </c>
      <c r="K263" s="52" t="str">
        <f t="shared" si="13"/>
        <v>OK</v>
      </c>
      <c r="L263" s="52" t="str">
        <f>IF(AND(E263&lt;&gt;"",E263&lt;&gt;"N/A",VALUE(E263)&lt;5,COUNTIF('Executive Recommendations'!$A$8:$A$414,A263)=0),"Missing recommended action","OK")</f>
        <v>Missing recommended action</v>
      </c>
      <c r="M263" s="52" t="s">
        <v>4346</v>
      </c>
      <c r="N263" s="52" t="s">
        <v>7802</v>
      </c>
    </row>
    <row r="264" spans="1:14" ht="51">
      <c r="A264" s="64" t="s">
        <v>4354</v>
      </c>
      <c r="B264" s="64" t="s">
        <v>84</v>
      </c>
      <c r="C264" s="64" t="s">
        <v>1391</v>
      </c>
      <c r="D264" s="64" t="s">
        <v>4355</v>
      </c>
      <c r="E264" s="64">
        <f>'Sales CRM'!$H$13</f>
        <v>0</v>
      </c>
      <c r="F264" s="64" t="str">
        <f>'Sales CRM'!$L$13</f>
        <v/>
      </c>
      <c r="G264" s="64" t="str">
        <f>'Sales CRM'!$T$13</f>
        <v>CCO / Sales Ops</v>
      </c>
      <c r="H264" s="64">
        <f>'Sales CRM'!$U$13</f>
        <v>0</v>
      </c>
      <c r="I264" s="64" t="str">
        <f t="shared" si="11"/>
        <v>OK</v>
      </c>
      <c r="J264" s="64" t="str">
        <f t="shared" si="12"/>
        <v>OK</v>
      </c>
      <c r="K264" s="64" t="str">
        <f t="shared" si="13"/>
        <v>OK</v>
      </c>
      <c r="L264" s="64" t="str">
        <f>IF(AND(E264&lt;&gt;"",E264&lt;&gt;"N/A",VALUE(E264)&lt;5,COUNTIF('Executive Recommendations'!$A$8:$A$414,A264)=0),"Missing recommended action","OK")</f>
        <v>Missing recommended action</v>
      </c>
      <c r="M264" s="64" t="s">
        <v>4356</v>
      </c>
      <c r="N264" s="64" t="s">
        <v>7809</v>
      </c>
    </row>
    <row r="265" spans="1:14" ht="51">
      <c r="A265" s="52" t="s">
        <v>4364</v>
      </c>
      <c r="B265" s="52" t="s">
        <v>84</v>
      </c>
      <c r="C265" s="52" t="s">
        <v>1391</v>
      </c>
      <c r="D265" s="52" t="s">
        <v>4365</v>
      </c>
      <c r="E265" s="52">
        <f>'Sales CRM'!$H$14</f>
        <v>0</v>
      </c>
      <c r="F265" s="52" t="str">
        <f>'Sales CRM'!$L$14</f>
        <v/>
      </c>
      <c r="G265" s="52" t="str">
        <f>'Sales CRM'!$T$14</f>
        <v>CCO / Sales Ops</v>
      </c>
      <c r="H265" s="52">
        <f>'Sales CRM'!$U$14</f>
        <v>0</v>
      </c>
      <c r="I265" s="52" t="str">
        <f t="shared" si="11"/>
        <v>OK</v>
      </c>
      <c r="J265" s="52" t="str">
        <f t="shared" si="12"/>
        <v>OK</v>
      </c>
      <c r="K265" s="52" t="str">
        <f t="shared" si="13"/>
        <v>OK</v>
      </c>
      <c r="L265" s="52" t="str">
        <f>IF(AND(E265&lt;&gt;"",E265&lt;&gt;"N/A",VALUE(E265)&lt;5,COUNTIF('Executive Recommendations'!$A$8:$A$414,A265)=0),"Missing recommended action","OK")</f>
        <v>Missing recommended action</v>
      </c>
      <c r="M265" s="52" t="s">
        <v>4366</v>
      </c>
      <c r="N265" s="52" t="s">
        <v>7816</v>
      </c>
    </row>
    <row r="266" spans="1:14" ht="63.75">
      <c r="A266" s="64" t="s">
        <v>4374</v>
      </c>
      <c r="B266" s="64" t="s">
        <v>84</v>
      </c>
      <c r="C266" s="64" t="s">
        <v>1399</v>
      </c>
      <c r="D266" s="64" t="s">
        <v>4375</v>
      </c>
      <c r="E266" s="64">
        <f>'Sales CRM'!$H$15</f>
        <v>0</v>
      </c>
      <c r="F266" s="64" t="str">
        <f>'Sales CRM'!$L$15</f>
        <v/>
      </c>
      <c r="G266" s="64" t="str">
        <f>'Sales CRM'!$T$15</f>
        <v>CCO / Sales Ops</v>
      </c>
      <c r="H266" s="64">
        <f>'Sales CRM'!$U$15</f>
        <v>0</v>
      </c>
      <c r="I266" s="64" t="str">
        <f t="shared" si="11"/>
        <v>OK</v>
      </c>
      <c r="J266" s="64" t="str">
        <f t="shared" si="12"/>
        <v>OK</v>
      </c>
      <c r="K266" s="64" t="str">
        <f t="shared" si="13"/>
        <v>OK</v>
      </c>
      <c r="L266" s="64" t="str">
        <f>IF(AND(E266&lt;&gt;"",E266&lt;&gt;"N/A",VALUE(E266)&lt;5,COUNTIF('Executive Recommendations'!$A$8:$A$414,A266)=0),"Missing recommended action","OK")</f>
        <v>Missing recommended action</v>
      </c>
      <c r="M266" s="64" t="s">
        <v>4376</v>
      </c>
      <c r="N266" s="64" t="s">
        <v>7824</v>
      </c>
    </row>
    <row r="267" spans="1:14" ht="51">
      <c r="A267" s="52" t="s">
        <v>4384</v>
      </c>
      <c r="B267" s="52" t="s">
        <v>84</v>
      </c>
      <c r="C267" s="52" t="s">
        <v>1399</v>
      </c>
      <c r="D267" s="52" t="s">
        <v>4385</v>
      </c>
      <c r="E267" s="52">
        <f>'Sales CRM'!$H$16</f>
        <v>0</v>
      </c>
      <c r="F267" s="52" t="str">
        <f>'Sales CRM'!$L$16</f>
        <v/>
      </c>
      <c r="G267" s="52" t="str">
        <f>'Sales CRM'!$T$16</f>
        <v>CCO / Sales Ops</v>
      </c>
      <c r="H267" s="52">
        <f>'Sales CRM'!$U$16</f>
        <v>0</v>
      </c>
      <c r="I267" s="52" t="str">
        <f t="shared" si="11"/>
        <v>OK</v>
      </c>
      <c r="J267" s="52" t="str">
        <f t="shared" si="12"/>
        <v>OK</v>
      </c>
      <c r="K267" s="52" t="str">
        <f t="shared" si="13"/>
        <v>OK</v>
      </c>
      <c r="L267" s="52" t="str">
        <f>IF(AND(E267&lt;&gt;"",E267&lt;&gt;"N/A",VALUE(E267)&lt;5,COUNTIF('Executive Recommendations'!$A$8:$A$414,A267)=0),"Missing recommended action","OK")</f>
        <v>Missing recommended action</v>
      </c>
      <c r="M267" s="52" t="s">
        <v>4386</v>
      </c>
      <c r="N267" s="52" t="s">
        <v>7831</v>
      </c>
    </row>
    <row r="268" spans="1:14" ht="51">
      <c r="A268" s="64" t="s">
        <v>4394</v>
      </c>
      <c r="B268" s="64" t="s">
        <v>84</v>
      </c>
      <c r="C268" s="64" t="s">
        <v>1399</v>
      </c>
      <c r="D268" s="64" t="s">
        <v>4395</v>
      </c>
      <c r="E268" s="64">
        <f>'Sales CRM'!$H$17</f>
        <v>0</v>
      </c>
      <c r="F268" s="64" t="str">
        <f>'Sales CRM'!$L$17</f>
        <v/>
      </c>
      <c r="G268" s="64" t="str">
        <f>'Sales CRM'!$T$17</f>
        <v>CCO / Sales Ops</v>
      </c>
      <c r="H268" s="64">
        <f>'Sales CRM'!$U$17</f>
        <v>0</v>
      </c>
      <c r="I268" s="64" t="str">
        <f t="shared" si="11"/>
        <v>OK</v>
      </c>
      <c r="J268" s="64" t="str">
        <f t="shared" si="12"/>
        <v>OK</v>
      </c>
      <c r="K268" s="64" t="str">
        <f t="shared" si="13"/>
        <v>OK</v>
      </c>
      <c r="L268" s="64" t="str">
        <f>IF(AND(E268&lt;&gt;"",E268&lt;&gt;"N/A",VALUE(E268)&lt;5,COUNTIF('Executive Recommendations'!$A$8:$A$414,A268)=0),"Missing recommended action","OK")</f>
        <v>Missing recommended action</v>
      </c>
      <c r="M268" s="64" t="s">
        <v>4396</v>
      </c>
      <c r="N268" s="64" t="s">
        <v>7838</v>
      </c>
    </row>
    <row r="269" spans="1:14" ht="63.75">
      <c r="A269" s="52" t="s">
        <v>4404</v>
      </c>
      <c r="B269" s="52" t="s">
        <v>84</v>
      </c>
      <c r="C269" s="52" t="s">
        <v>1399</v>
      </c>
      <c r="D269" s="52" t="s">
        <v>4405</v>
      </c>
      <c r="E269" s="52">
        <f>'Sales CRM'!$H$18</f>
        <v>0</v>
      </c>
      <c r="F269" s="52" t="str">
        <f>'Sales CRM'!$L$18</f>
        <v/>
      </c>
      <c r="G269" s="52" t="str">
        <f>'Sales CRM'!$T$18</f>
        <v>CCO / Sales Ops</v>
      </c>
      <c r="H269" s="52">
        <f>'Sales CRM'!$U$18</f>
        <v>0</v>
      </c>
      <c r="I269" s="52" t="str">
        <f t="shared" si="11"/>
        <v>OK</v>
      </c>
      <c r="J269" s="52" t="str">
        <f t="shared" si="12"/>
        <v>OK</v>
      </c>
      <c r="K269" s="52" t="str">
        <f t="shared" si="13"/>
        <v>OK</v>
      </c>
      <c r="L269" s="52" t="str">
        <f>IF(AND(E269&lt;&gt;"",E269&lt;&gt;"N/A",VALUE(E269)&lt;5,COUNTIF('Executive Recommendations'!$A$8:$A$414,A269)=0),"Missing recommended action","OK")</f>
        <v>Missing recommended action</v>
      </c>
      <c r="M269" s="52" t="s">
        <v>4406</v>
      </c>
      <c r="N269" s="52" t="s">
        <v>7845</v>
      </c>
    </row>
    <row r="270" spans="1:14" ht="51">
      <c r="A270" s="64" t="s">
        <v>4414</v>
      </c>
      <c r="B270" s="64" t="s">
        <v>84</v>
      </c>
      <c r="C270" s="64" t="s">
        <v>1399</v>
      </c>
      <c r="D270" s="64" t="s">
        <v>4415</v>
      </c>
      <c r="E270" s="64">
        <f>'Sales CRM'!$H$19</f>
        <v>0</v>
      </c>
      <c r="F270" s="64" t="str">
        <f>'Sales CRM'!$L$19</f>
        <v/>
      </c>
      <c r="G270" s="64" t="str">
        <f>'Sales CRM'!$T$19</f>
        <v>CCO / Sales Ops</v>
      </c>
      <c r="H270" s="64">
        <f>'Sales CRM'!$U$19</f>
        <v>0</v>
      </c>
      <c r="I270" s="64" t="str">
        <f t="shared" si="11"/>
        <v>OK</v>
      </c>
      <c r="J270" s="64" t="str">
        <f t="shared" si="12"/>
        <v>OK</v>
      </c>
      <c r="K270" s="64" t="str">
        <f t="shared" si="13"/>
        <v>OK</v>
      </c>
      <c r="L270" s="64" t="str">
        <f>IF(AND(E270&lt;&gt;"",E270&lt;&gt;"N/A",VALUE(E270)&lt;5,COUNTIF('Executive Recommendations'!$A$8:$A$414,A270)=0),"Missing recommended action","OK")</f>
        <v>Missing recommended action</v>
      </c>
      <c r="M270" s="64" t="s">
        <v>4416</v>
      </c>
      <c r="N270" s="64" t="s">
        <v>7852</v>
      </c>
    </row>
    <row r="271" spans="1:14" ht="51">
      <c r="A271" s="52" t="s">
        <v>4424</v>
      </c>
      <c r="B271" s="52" t="s">
        <v>84</v>
      </c>
      <c r="C271" s="52" t="s">
        <v>1399</v>
      </c>
      <c r="D271" s="52" t="s">
        <v>4425</v>
      </c>
      <c r="E271" s="52">
        <f>'Sales CRM'!$H$20</f>
        <v>0</v>
      </c>
      <c r="F271" s="52" t="str">
        <f>'Sales CRM'!$L$20</f>
        <v/>
      </c>
      <c r="G271" s="52" t="str">
        <f>'Sales CRM'!$T$20</f>
        <v>CCO / Sales Ops</v>
      </c>
      <c r="H271" s="52">
        <f>'Sales CRM'!$U$20</f>
        <v>0</v>
      </c>
      <c r="I271" s="52" t="str">
        <f t="shared" si="11"/>
        <v>OK</v>
      </c>
      <c r="J271" s="52" t="str">
        <f t="shared" si="12"/>
        <v>OK</v>
      </c>
      <c r="K271" s="52" t="str">
        <f t="shared" si="13"/>
        <v>OK</v>
      </c>
      <c r="L271" s="52" t="str">
        <f>IF(AND(E271&lt;&gt;"",E271&lt;&gt;"N/A",VALUE(E271)&lt;5,COUNTIF('Executive Recommendations'!$A$8:$A$414,A271)=0),"Missing recommended action","OK")</f>
        <v>Missing recommended action</v>
      </c>
      <c r="M271" s="52" t="s">
        <v>4426</v>
      </c>
      <c r="N271" s="52" t="s">
        <v>7859</v>
      </c>
    </row>
    <row r="272" spans="1:14" ht="51">
      <c r="A272" s="64" t="s">
        <v>4434</v>
      </c>
      <c r="B272" s="64" t="s">
        <v>84</v>
      </c>
      <c r="C272" s="64" t="s">
        <v>1407</v>
      </c>
      <c r="D272" s="64" t="s">
        <v>4435</v>
      </c>
      <c r="E272" s="64">
        <f>'Sales CRM'!$H$21</f>
        <v>0</v>
      </c>
      <c r="F272" s="64" t="str">
        <f>'Sales CRM'!$L$21</f>
        <v/>
      </c>
      <c r="G272" s="64" t="str">
        <f>'Sales CRM'!$T$21</f>
        <v>CCO / Sales Ops</v>
      </c>
      <c r="H272" s="64">
        <f>'Sales CRM'!$U$21</f>
        <v>0</v>
      </c>
      <c r="I272" s="64" t="str">
        <f t="shared" si="11"/>
        <v>OK</v>
      </c>
      <c r="J272" s="64" t="str">
        <f t="shared" si="12"/>
        <v>OK</v>
      </c>
      <c r="K272" s="64" t="str">
        <f t="shared" si="13"/>
        <v>OK</v>
      </c>
      <c r="L272" s="64" t="str">
        <f>IF(AND(E272&lt;&gt;"",E272&lt;&gt;"N/A",VALUE(E272)&lt;5,COUNTIF('Executive Recommendations'!$A$8:$A$414,A272)=0),"Missing recommended action","OK")</f>
        <v>Missing recommended action</v>
      </c>
      <c r="M272" s="64" t="s">
        <v>4436</v>
      </c>
      <c r="N272" s="64" t="s">
        <v>7867</v>
      </c>
    </row>
    <row r="273" spans="1:14" ht="51">
      <c r="A273" s="52" t="s">
        <v>4444</v>
      </c>
      <c r="B273" s="52" t="s">
        <v>84</v>
      </c>
      <c r="C273" s="52" t="s">
        <v>1407</v>
      </c>
      <c r="D273" s="52" t="s">
        <v>4445</v>
      </c>
      <c r="E273" s="52">
        <f>'Sales CRM'!$H$22</f>
        <v>0</v>
      </c>
      <c r="F273" s="52" t="str">
        <f>'Sales CRM'!$L$22</f>
        <v/>
      </c>
      <c r="G273" s="52" t="str">
        <f>'Sales CRM'!$T$22</f>
        <v>CCO / Sales Ops</v>
      </c>
      <c r="H273" s="52">
        <f>'Sales CRM'!$U$22</f>
        <v>0</v>
      </c>
      <c r="I273" s="52" t="str">
        <f t="shared" si="11"/>
        <v>OK</v>
      </c>
      <c r="J273" s="52" t="str">
        <f t="shared" si="12"/>
        <v>OK</v>
      </c>
      <c r="K273" s="52" t="str">
        <f t="shared" si="13"/>
        <v>OK</v>
      </c>
      <c r="L273" s="52" t="str">
        <f>IF(AND(E273&lt;&gt;"",E273&lt;&gt;"N/A",VALUE(E273)&lt;5,COUNTIF('Executive Recommendations'!$A$8:$A$414,A273)=0),"Missing recommended action","OK")</f>
        <v>Missing recommended action</v>
      </c>
      <c r="M273" s="52" t="s">
        <v>4446</v>
      </c>
      <c r="N273" s="52" t="s">
        <v>7874</v>
      </c>
    </row>
    <row r="274" spans="1:14" ht="51">
      <c r="A274" s="64" t="s">
        <v>4454</v>
      </c>
      <c r="B274" s="64" t="s">
        <v>84</v>
      </c>
      <c r="C274" s="64" t="s">
        <v>1407</v>
      </c>
      <c r="D274" s="64" t="s">
        <v>4455</v>
      </c>
      <c r="E274" s="64">
        <f>'Sales CRM'!$H$23</f>
        <v>0</v>
      </c>
      <c r="F274" s="64" t="str">
        <f>'Sales CRM'!$L$23</f>
        <v/>
      </c>
      <c r="G274" s="64" t="str">
        <f>'Sales CRM'!$T$23</f>
        <v>CCO / Sales Ops</v>
      </c>
      <c r="H274" s="64">
        <f>'Sales CRM'!$U$23</f>
        <v>0</v>
      </c>
      <c r="I274" s="64" t="str">
        <f t="shared" si="11"/>
        <v>OK</v>
      </c>
      <c r="J274" s="64" t="str">
        <f t="shared" si="12"/>
        <v>OK</v>
      </c>
      <c r="K274" s="64" t="str">
        <f t="shared" si="13"/>
        <v>OK</v>
      </c>
      <c r="L274" s="64" t="str">
        <f>IF(AND(E274&lt;&gt;"",E274&lt;&gt;"N/A",VALUE(E274)&lt;5,COUNTIF('Executive Recommendations'!$A$8:$A$414,A274)=0),"Missing recommended action","OK")</f>
        <v>Missing recommended action</v>
      </c>
      <c r="M274" s="64" t="s">
        <v>4456</v>
      </c>
      <c r="N274" s="64" t="s">
        <v>7881</v>
      </c>
    </row>
    <row r="275" spans="1:14" ht="51">
      <c r="A275" s="52" t="s">
        <v>4464</v>
      </c>
      <c r="B275" s="52" t="s">
        <v>84</v>
      </c>
      <c r="C275" s="52" t="s">
        <v>1407</v>
      </c>
      <c r="D275" s="52" t="s">
        <v>4465</v>
      </c>
      <c r="E275" s="52">
        <f>'Sales CRM'!$H$24</f>
        <v>0</v>
      </c>
      <c r="F275" s="52" t="str">
        <f>'Sales CRM'!$L$24</f>
        <v/>
      </c>
      <c r="G275" s="52" t="str">
        <f>'Sales CRM'!$T$24</f>
        <v>CCO / Sales Ops</v>
      </c>
      <c r="H275" s="52">
        <f>'Sales CRM'!$U$24</f>
        <v>0</v>
      </c>
      <c r="I275" s="52" t="str">
        <f t="shared" si="11"/>
        <v>OK</v>
      </c>
      <c r="J275" s="52" t="str">
        <f t="shared" si="12"/>
        <v>OK</v>
      </c>
      <c r="K275" s="52" t="str">
        <f t="shared" si="13"/>
        <v>OK</v>
      </c>
      <c r="L275" s="52" t="str">
        <f>IF(AND(E275&lt;&gt;"",E275&lt;&gt;"N/A",VALUE(E275)&lt;5,COUNTIF('Executive Recommendations'!$A$8:$A$414,A275)=0),"Missing recommended action","OK")</f>
        <v>Missing recommended action</v>
      </c>
      <c r="M275" s="52" t="s">
        <v>4466</v>
      </c>
      <c r="N275" s="52" t="s">
        <v>7888</v>
      </c>
    </row>
    <row r="276" spans="1:14" ht="63.75">
      <c r="A276" s="64" t="s">
        <v>4474</v>
      </c>
      <c r="B276" s="64" t="s">
        <v>84</v>
      </c>
      <c r="C276" s="64" t="s">
        <v>1407</v>
      </c>
      <c r="D276" s="64" t="s">
        <v>4475</v>
      </c>
      <c r="E276" s="64">
        <f>'Sales CRM'!$H$25</f>
        <v>0</v>
      </c>
      <c r="F276" s="64" t="str">
        <f>'Sales CRM'!$L$25</f>
        <v/>
      </c>
      <c r="G276" s="64" t="str">
        <f>'Sales CRM'!$T$25</f>
        <v>CCO / Sales Ops</v>
      </c>
      <c r="H276" s="64">
        <f>'Sales CRM'!$U$25</f>
        <v>0</v>
      </c>
      <c r="I276" s="64" t="str">
        <f t="shared" ref="I276:I339" si="14">IF(E276="","Missing score",IF(E276="N/A","OK",IF(AND(ISNUMBER(VALUE(E276)),VALUE(E276)&gt;=0,VALUE(E276)&lt;=5),"OK","Invalid score")))</f>
        <v>OK</v>
      </c>
      <c r="J276" s="64" t="str">
        <f t="shared" ref="J276:J339" si="15">IF(OR(F276="Critical",F276="High"),IF(H276="","Missing comments for high/critical risk","OK"),"OK")</f>
        <v>OK</v>
      </c>
      <c r="K276" s="64" t="str">
        <f t="shared" ref="K276:K339" si="16">IF(G276="","Missing owner","OK")</f>
        <v>OK</v>
      </c>
      <c r="L276" s="64" t="str">
        <f>IF(AND(E276&lt;&gt;"",E276&lt;&gt;"N/A",VALUE(E276)&lt;5,COUNTIF('Executive Recommendations'!$A$8:$A$414,A276)=0),"Missing recommended action","OK")</f>
        <v>Missing recommended action</v>
      </c>
      <c r="M276" s="64" t="s">
        <v>4476</v>
      </c>
      <c r="N276" s="64" t="s">
        <v>7895</v>
      </c>
    </row>
    <row r="277" spans="1:14" ht="51">
      <c r="A277" s="52" t="s">
        <v>4486</v>
      </c>
      <c r="B277" s="52" t="s">
        <v>87</v>
      </c>
      <c r="C277" s="52" t="s">
        <v>1415</v>
      </c>
      <c r="D277" s="52" t="s">
        <v>4487</v>
      </c>
      <c r="E277" s="52">
        <f>'Marketing Comms'!$H$5</f>
        <v>0</v>
      </c>
      <c r="F277" s="52" t="str">
        <f>'Marketing Comms'!$L$5</f>
        <v/>
      </c>
      <c r="G277" s="52" t="str">
        <f>'Marketing Comms'!$T$5</f>
        <v>CMO / Communications</v>
      </c>
      <c r="H277" s="52">
        <f>'Marketing Comms'!$U$5</f>
        <v>0</v>
      </c>
      <c r="I277" s="52" t="str">
        <f t="shared" si="14"/>
        <v>OK</v>
      </c>
      <c r="J277" s="52" t="str">
        <f t="shared" si="15"/>
        <v>OK</v>
      </c>
      <c r="K277" s="52" t="str">
        <f t="shared" si="16"/>
        <v>OK</v>
      </c>
      <c r="L277" s="52" t="str">
        <f>IF(AND(E277&lt;&gt;"",E277&lt;&gt;"N/A",VALUE(E277)&lt;5,COUNTIF('Executive Recommendations'!$A$8:$A$414,A277)=0),"Missing recommended action","OK")</f>
        <v>Missing recommended action</v>
      </c>
      <c r="M277" s="52" t="s">
        <v>4490</v>
      </c>
      <c r="N277" s="52" t="s">
        <v>7903</v>
      </c>
    </row>
    <row r="278" spans="1:14" ht="63.75">
      <c r="A278" s="64" t="s">
        <v>4500</v>
      </c>
      <c r="B278" s="64" t="s">
        <v>87</v>
      </c>
      <c r="C278" s="64" t="s">
        <v>1415</v>
      </c>
      <c r="D278" s="64" t="s">
        <v>4501</v>
      </c>
      <c r="E278" s="64">
        <f>'Marketing Comms'!$H$6</f>
        <v>0</v>
      </c>
      <c r="F278" s="64" t="str">
        <f>'Marketing Comms'!$L$6</f>
        <v/>
      </c>
      <c r="G278" s="64" t="str">
        <f>'Marketing Comms'!$T$6</f>
        <v>CMO / Communications</v>
      </c>
      <c r="H278" s="64">
        <f>'Marketing Comms'!$U$6</f>
        <v>0</v>
      </c>
      <c r="I278" s="64" t="str">
        <f t="shared" si="14"/>
        <v>OK</v>
      </c>
      <c r="J278" s="64" t="str">
        <f t="shared" si="15"/>
        <v>OK</v>
      </c>
      <c r="K278" s="64" t="str">
        <f t="shared" si="16"/>
        <v>OK</v>
      </c>
      <c r="L278" s="64" t="str">
        <f>IF(AND(E278&lt;&gt;"",E278&lt;&gt;"N/A",VALUE(E278)&lt;5,COUNTIF('Executive Recommendations'!$A$8:$A$414,A278)=0),"Missing recommended action","OK")</f>
        <v>Missing recommended action</v>
      </c>
      <c r="M278" s="64" t="s">
        <v>4502</v>
      </c>
      <c r="N278" s="64" t="s">
        <v>7910</v>
      </c>
    </row>
    <row r="279" spans="1:14" ht="51">
      <c r="A279" s="52" t="s">
        <v>4510</v>
      </c>
      <c r="B279" s="52" t="s">
        <v>87</v>
      </c>
      <c r="C279" s="52" t="s">
        <v>1415</v>
      </c>
      <c r="D279" s="52" t="s">
        <v>4511</v>
      </c>
      <c r="E279" s="52">
        <f>'Marketing Comms'!$H$7</f>
        <v>0</v>
      </c>
      <c r="F279" s="52" t="str">
        <f>'Marketing Comms'!$L$7</f>
        <v/>
      </c>
      <c r="G279" s="52" t="str">
        <f>'Marketing Comms'!$T$7</f>
        <v>CMO / Communications</v>
      </c>
      <c r="H279" s="52">
        <f>'Marketing Comms'!$U$7</f>
        <v>0</v>
      </c>
      <c r="I279" s="52" t="str">
        <f t="shared" si="14"/>
        <v>OK</v>
      </c>
      <c r="J279" s="52" t="str">
        <f t="shared" si="15"/>
        <v>OK</v>
      </c>
      <c r="K279" s="52" t="str">
        <f t="shared" si="16"/>
        <v>OK</v>
      </c>
      <c r="L279" s="52" t="str">
        <f>IF(AND(E279&lt;&gt;"",E279&lt;&gt;"N/A",VALUE(E279)&lt;5,COUNTIF('Executive Recommendations'!$A$8:$A$414,A279)=0),"Missing recommended action","OK")</f>
        <v>Missing recommended action</v>
      </c>
      <c r="M279" s="52" t="s">
        <v>4512</v>
      </c>
      <c r="N279" s="52" t="s">
        <v>7917</v>
      </c>
    </row>
    <row r="280" spans="1:14" ht="51">
      <c r="A280" s="64" t="s">
        <v>4520</v>
      </c>
      <c r="B280" s="64" t="s">
        <v>87</v>
      </c>
      <c r="C280" s="64" t="s">
        <v>1415</v>
      </c>
      <c r="D280" s="64" t="s">
        <v>4521</v>
      </c>
      <c r="E280" s="64">
        <f>'Marketing Comms'!$H$8</f>
        <v>0</v>
      </c>
      <c r="F280" s="64" t="str">
        <f>'Marketing Comms'!$L$8</f>
        <v/>
      </c>
      <c r="G280" s="64" t="str">
        <f>'Marketing Comms'!$T$8</f>
        <v>CMO / Communications</v>
      </c>
      <c r="H280" s="64">
        <f>'Marketing Comms'!$U$8</f>
        <v>0</v>
      </c>
      <c r="I280" s="64" t="str">
        <f t="shared" si="14"/>
        <v>OK</v>
      </c>
      <c r="J280" s="64" t="str">
        <f t="shared" si="15"/>
        <v>OK</v>
      </c>
      <c r="K280" s="64" t="str">
        <f t="shared" si="16"/>
        <v>OK</v>
      </c>
      <c r="L280" s="64" t="str">
        <f>IF(AND(E280&lt;&gt;"",E280&lt;&gt;"N/A",VALUE(E280)&lt;5,COUNTIF('Executive Recommendations'!$A$8:$A$414,A280)=0),"Missing recommended action","OK")</f>
        <v>Missing recommended action</v>
      </c>
      <c r="M280" s="64" t="s">
        <v>4522</v>
      </c>
      <c r="N280" s="64" t="s">
        <v>7924</v>
      </c>
    </row>
    <row r="281" spans="1:14" ht="51">
      <c r="A281" s="52" t="s">
        <v>4530</v>
      </c>
      <c r="B281" s="52" t="s">
        <v>87</v>
      </c>
      <c r="C281" s="52" t="s">
        <v>1415</v>
      </c>
      <c r="D281" s="52" t="s">
        <v>4531</v>
      </c>
      <c r="E281" s="52">
        <f>'Marketing Comms'!$H$9</f>
        <v>0</v>
      </c>
      <c r="F281" s="52" t="str">
        <f>'Marketing Comms'!$L$9</f>
        <v/>
      </c>
      <c r="G281" s="52" t="str">
        <f>'Marketing Comms'!$T$9</f>
        <v>CMO / Communications</v>
      </c>
      <c r="H281" s="52">
        <f>'Marketing Comms'!$U$9</f>
        <v>0</v>
      </c>
      <c r="I281" s="52" t="str">
        <f t="shared" si="14"/>
        <v>OK</v>
      </c>
      <c r="J281" s="52" t="str">
        <f t="shared" si="15"/>
        <v>OK</v>
      </c>
      <c r="K281" s="52" t="str">
        <f t="shared" si="16"/>
        <v>OK</v>
      </c>
      <c r="L281" s="52" t="str">
        <f>IF(AND(E281&lt;&gt;"",E281&lt;&gt;"N/A",VALUE(E281)&lt;5,COUNTIF('Executive Recommendations'!$A$8:$A$414,A281)=0),"Missing recommended action","OK")</f>
        <v>Missing recommended action</v>
      </c>
      <c r="M281" s="52" t="s">
        <v>4532</v>
      </c>
      <c r="N281" s="52" t="s">
        <v>7931</v>
      </c>
    </row>
    <row r="282" spans="1:14" ht="63.75">
      <c r="A282" s="64" t="s">
        <v>4540</v>
      </c>
      <c r="B282" s="64" t="s">
        <v>87</v>
      </c>
      <c r="C282" s="64" t="s">
        <v>1425</v>
      </c>
      <c r="D282" s="64" t="s">
        <v>4541</v>
      </c>
      <c r="E282" s="64">
        <f>'Marketing Comms'!$H$10</f>
        <v>0</v>
      </c>
      <c r="F282" s="64" t="str">
        <f>'Marketing Comms'!$L$10</f>
        <v/>
      </c>
      <c r="G282" s="64" t="str">
        <f>'Marketing Comms'!$T$10</f>
        <v>CMO / Communications</v>
      </c>
      <c r="H282" s="64">
        <f>'Marketing Comms'!$U$10</f>
        <v>0</v>
      </c>
      <c r="I282" s="64" t="str">
        <f t="shared" si="14"/>
        <v>OK</v>
      </c>
      <c r="J282" s="64" t="str">
        <f t="shared" si="15"/>
        <v>OK</v>
      </c>
      <c r="K282" s="64" t="str">
        <f t="shared" si="16"/>
        <v>OK</v>
      </c>
      <c r="L282" s="64" t="str">
        <f>IF(AND(E282&lt;&gt;"",E282&lt;&gt;"N/A",VALUE(E282)&lt;5,COUNTIF('Executive Recommendations'!$A$8:$A$414,A282)=0),"Missing recommended action","OK")</f>
        <v>Missing recommended action</v>
      </c>
      <c r="M282" s="64" t="s">
        <v>4542</v>
      </c>
      <c r="N282" s="64" t="s">
        <v>7939</v>
      </c>
    </row>
    <row r="283" spans="1:14" ht="51">
      <c r="A283" s="52" t="s">
        <v>4550</v>
      </c>
      <c r="B283" s="52" t="s">
        <v>87</v>
      </c>
      <c r="C283" s="52" t="s">
        <v>1425</v>
      </c>
      <c r="D283" s="52" t="s">
        <v>4551</v>
      </c>
      <c r="E283" s="52">
        <f>'Marketing Comms'!$H$11</f>
        <v>0</v>
      </c>
      <c r="F283" s="52" t="str">
        <f>'Marketing Comms'!$L$11</f>
        <v/>
      </c>
      <c r="G283" s="52" t="str">
        <f>'Marketing Comms'!$T$11</f>
        <v>CMO / Communications</v>
      </c>
      <c r="H283" s="52">
        <f>'Marketing Comms'!$U$11</f>
        <v>0</v>
      </c>
      <c r="I283" s="52" t="str">
        <f t="shared" si="14"/>
        <v>OK</v>
      </c>
      <c r="J283" s="52" t="str">
        <f t="shared" si="15"/>
        <v>OK</v>
      </c>
      <c r="K283" s="52" t="str">
        <f t="shared" si="16"/>
        <v>OK</v>
      </c>
      <c r="L283" s="52" t="str">
        <f>IF(AND(E283&lt;&gt;"",E283&lt;&gt;"N/A",VALUE(E283)&lt;5,COUNTIF('Executive Recommendations'!$A$8:$A$414,A283)=0),"Missing recommended action","OK")</f>
        <v>Missing recommended action</v>
      </c>
      <c r="M283" s="52" t="s">
        <v>4552</v>
      </c>
      <c r="N283" s="52" t="s">
        <v>7946</v>
      </c>
    </row>
    <row r="284" spans="1:14" ht="51">
      <c r="A284" s="64" t="s">
        <v>4560</v>
      </c>
      <c r="B284" s="64" t="s">
        <v>87</v>
      </c>
      <c r="C284" s="64" t="s">
        <v>1425</v>
      </c>
      <c r="D284" s="64" t="s">
        <v>4561</v>
      </c>
      <c r="E284" s="64">
        <f>'Marketing Comms'!$H$12</f>
        <v>0</v>
      </c>
      <c r="F284" s="64" t="str">
        <f>'Marketing Comms'!$L$12</f>
        <v/>
      </c>
      <c r="G284" s="64" t="str">
        <f>'Marketing Comms'!$T$12</f>
        <v>CMO / Communications</v>
      </c>
      <c r="H284" s="64">
        <f>'Marketing Comms'!$U$12</f>
        <v>0</v>
      </c>
      <c r="I284" s="64" t="str">
        <f t="shared" si="14"/>
        <v>OK</v>
      </c>
      <c r="J284" s="64" t="str">
        <f t="shared" si="15"/>
        <v>OK</v>
      </c>
      <c r="K284" s="64" t="str">
        <f t="shared" si="16"/>
        <v>OK</v>
      </c>
      <c r="L284" s="64" t="str">
        <f>IF(AND(E284&lt;&gt;"",E284&lt;&gt;"N/A",VALUE(E284)&lt;5,COUNTIF('Executive Recommendations'!$A$8:$A$414,A284)=0),"Missing recommended action","OK")</f>
        <v>Missing recommended action</v>
      </c>
      <c r="M284" s="64" t="s">
        <v>4562</v>
      </c>
      <c r="N284" s="64" t="s">
        <v>7953</v>
      </c>
    </row>
    <row r="285" spans="1:14" ht="51">
      <c r="A285" s="52" t="s">
        <v>4570</v>
      </c>
      <c r="B285" s="52" t="s">
        <v>87</v>
      </c>
      <c r="C285" s="52" t="s">
        <v>1425</v>
      </c>
      <c r="D285" s="52" t="s">
        <v>4571</v>
      </c>
      <c r="E285" s="52">
        <f>'Marketing Comms'!$H$13</f>
        <v>0</v>
      </c>
      <c r="F285" s="52" t="str">
        <f>'Marketing Comms'!$L$13</f>
        <v/>
      </c>
      <c r="G285" s="52" t="str">
        <f>'Marketing Comms'!$T$13</f>
        <v>CMO / Communications</v>
      </c>
      <c r="H285" s="52">
        <f>'Marketing Comms'!$U$13</f>
        <v>0</v>
      </c>
      <c r="I285" s="52" t="str">
        <f t="shared" si="14"/>
        <v>OK</v>
      </c>
      <c r="J285" s="52" t="str">
        <f t="shared" si="15"/>
        <v>OK</v>
      </c>
      <c r="K285" s="52" t="str">
        <f t="shared" si="16"/>
        <v>OK</v>
      </c>
      <c r="L285" s="52" t="str">
        <f>IF(AND(E285&lt;&gt;"",E285&lt;&gt;"N/A",VALUE(E285)&lt;5,COUNTIF('Executive Recommendations'!$A$8:$A$414,A285)=0),"Missing recommended action","OK")</f>
        <v>Missing recommended action</v>
      </c>
      <c r="M285" s="52" t="s">
        <v>4572</v>
      </c>
      <c r="N285" s="52" t="s">
        <v>7960</v>
      </c>
    </row>
    <row r="286" spans="1:14" ht="63.75">
      <c r="A286" s="64" t="s">
        <v>4580</v>
      </c>
      <c r="B286" s="64" t="s">
        <v>87</v>
      </c>
      <c r="C286" s="64" t="s">
        <v>1425</v>
      </c>
      <c r="D286" s="64" t="s">
        <v>4581</v>
      </c>
      <c r="E286" s="64">
        <f>'Marketing Comms'!$H$14</f>
        <v>0</v>
      </c>
      <c r="F286" s="64" t="str">
        <f>'Marketing Comms'!$L$14</f>
        <v/>
      </c>
      <c r="G286" s="64" t="str">
        <f>'Marketing Comms'!$T$14</f>
        <v>CMO / Communications</v>
      </c>
      <c r="H286" s="64">
        <f>'Marketing Comms'!$U$14</f>
        <v>0</v>
      </c>
      <c r="I286" s="64" t="str">
        <f t="shared" si="14"/>
        <v>OK</v>
      </c>
      <c r="J286" s="64" t="str">
        <f t="shared" si="15"/>
        <v>OK</v>
      </c>
      <c r="K286" s="64" t="str">
        <f t="shared" si="16"/>
        <v>OK</v>
      </c>
      <c r="L286" s="64" t="str">
        <f>IF(AND(E286&lt;&gt;"",E286&lt;&gt;"N/A",VALUE(E286)&lt;5,COUNTIF('Executive Recommendations'!$A$8:$A$414,A286)=0),"Missing recommended action","OK")</f>
        <v>Missing recommended action</v>
      </c>
      <c r="M286" s="64" t="s">
        <v>4582</v>
      </c>
      <c r="N286" s="64" t="s">
        <v>7967</v>
      </c>
    </row>
    <row r="287" spans="1:14" ht="51">
      <c r="A287" s="52" t="s">
        <v>4590</v>
      </c>
      <c r="B287" s="52" t="s">
        <v>87</v>
      </c>
      <c r="C287" s="52" t="s">
        <v>1425</v>
      </c>
      <c r="D287" s="52" t="s">
        <v>4591</v>
      </c>
      <c r="E287" s="52">
        <f>'Marketing Comms'!$H$15</f>
        <v>0</v>
      </c>
      <c r="F287" s="52" t="str">
        <f>'Marketing Comms'!$L$15</f>
        <v/>
      </c>
      <c r="G287" s="52" t="str">
        <f>'Marketing Comms'!$T$15</f>
        <v>CMO / Communications</v>
      </c>
      <c r="H287" s="52">
        <f>'Marketing Comms'!$U$15</f>
        <v>0</v>
      </c>
      <c r="I287" s="52" t="str">
        <f t="shared" si="14"/>
        <v>OK</v>
      </c>
      <c r="J287" s="52" t="str">
        <f t="shared" si="15"/>
        <v>OK</v>
      </c>
      <c r="K287" s="52" t="str">
        <f t="shared" si="16"/>
        <v>OK</v>
      </c>
      <c r="L287" s="52" t="str">
        <f>IF(AND(E287&lt;&gt;"",E287&lt;&gt;"N/A",VALUE(E287)&lt;5,COUNTIF('Executive Recommendations'!$A$8:$A$414,A287)=0),"Missing recommended action","OK")</f>
        <v>Missing recommended action</v>
      </c>
      <c r="M287" s="52" t="s">
        <v>4592</v>
      </c>
      <c r="N287" s="52" t="s">
        <v>7974</v>
      </c>
    </row>
    <row r="288" spans="1:14" ht="63.75">
      <c r="A288" s="64" t="s">
        <v>4600</v>
      </c>
      <c r="B288" s="64" t="s">
        <v>87</v>
      </c>
      <c r="C288" s="64" t="s">
        <v>1433</v>
      </c>
      <c r="D288" s="64" t="s">
        <v>4601</v>
      </c>
      <c r="E288" s="64">
        <f>'Marketing Comms'!$H$16</f>
        <v>0</v>
      </c>
      <c r="F288" s="64" t="str">
        <f>'Marketing Comms'!$L$16</f>
        <v/>
      </c>
      <c r="G288" s="64" t="str">
        <f>'Marketing Comms'!$T$16</f>
        <v>CMO / Communications</v>
      </c>
      <c r="H288" s="64">
        <f>'Marketing Comms'!$U$16</f>
        <v>0</v>
      </c>
      <c r="I288" s="64" t="str">
        <f t="shared" si="14"/>
        <v>OK</v>
      </c>
      <c r="J288" s="64" t="str">
        <f t="shared" si="15"/>
        <v>OK</v>
      </c>
      <c r="K288" s="64" t="str">
        <f t="shared" si="16"/>
        <v>OK</v>
      </c>
      <c r="L288" s="64" t="str">
        <f>IF(AND(E288&lt;&gt;"",E288&lt;&gt;"N/A",VALUE(E288)&lt;5,COUNTIF('Executive Recommendations'!$A$8:$A$414,A288)=0),"Missing recommended action","OK")</f>
        <v>Missing recommended action</v>
      </c>
      <c r="M288" s="64" t="s">
        <v>4602</v>
      </c>
      <c r="N288" s="64" t="s">
        <v>7982</v>
      </c>
    </row>
    <row r="289" spans="1:14" ht="63.75">
      <c r="A289" s="52" t="s">
        <v>4610</v>
      </c>
      <c r="B289" s="52" t="s">
        <v>87</v>
      </c>
      <c r="C289" s="52" t="s">
        <v>1433</v>
      </c>
      <c r="D289" s="52" t="s">
        <v>4611</v>
      </c>
      <c r="E289" s="52">
        <f>'Marketing Comms'!$H$17</f>
        <v>0</v>
      </c>
      <c r="F289" s="52" t="str">
        <f>'Marketing Comms'!$L$17</f>
        <v/>
      </c>
      <c r="G289" s="52" t="str">
        <f>'Marketing Comms'!$T$17</f>
        <v>CMO / Communications</v>
      </c>
      <c r="H289" s="52">
        <f>'Marketing Comms'!$U$17</f>
        <v>0</v>
      </c>
      <c r="I289" s="52" t="str">
        <f t="shared" si="14"/>
        <v>OK</v>
      </c>
      <c r="J289" s="52" t="str">
        <f t="shared" si="15"/>
        <v>OK</v>
      </c>
      <c r="K289" s="52" t="str">
        <f t="shared" si="16"/>
        <v>OK</v>
      </c>
      <c r="L289" s="52" t="str">
        <f>IF(AND(E289&lt;&gt;"",E289&lt;&gt;"N/A",VALUE(E289)&lt;5,COUNTIF('Executive Recommendations'!$A$8:$A$414,A289)=0),"Missing recommended action","OK")</f>
        <v>Missing recommended action</v>
      </c>
      <c r="M289" s="52" t="s">
        <v>4612</v>
      </c>
      <c r="N289" s="52" t="s">
        <v>7989</v>
      </c>
    </row>
    <row r="290" spans="1:14" ht="51">
      <c r="A290" s="64" t="s">
        <v>4620</v>
      </c>
      <c r="B290" s="64" t="s">
        <v>87</v>
      </c>
      <c r="C290" s="64" t="s">
        <v>1433</v>
      </c>
      <c r="D290" s="64" t="s">
        <v>4621</v>
      </c>
      <c r="E290" s="64">
        <f>'Marketing Comms'!$H$18</f>
        <v>0</v>
      </c>
      <c r="F290" s="64" t="str">
        <f>'Marketing Comms'!$L$18</f>
        <v/>
      </c>
      <c r="G290" s="64" t="str">
        <f>'Marketing Comms'!$T$18</f>
        <v>CMO / Communications</v>
      </c>
      <c r="H290" s="64">
        <f>'Marketing Comms'!$U$18</f>
        <v>0</v>
      </c>
      <c r="I290" s="64" t="str">
        <f t="shared" si="14"/>
        <v>OK</v>
      </c>
      <c r="J290" s="64" t="str">
        <f t="shared" si="15"/>
        <v>OK</v>
      </c>
      <c r="K290" s="64" t="str">
        <f t="shared" si="16"/>
        <v>OK</v>
      </c>
      <c r="L290" s="64" t="str">
        <f>IF(AND(E290&lt;&gt;"",E290&lt;&gt;"N/A",VALUE(E290)&lt;5,COUNTIF('Executive Recommendations'!$A$8:$A$414,A290)=0),"Missing recommended action","OK")</f>
        <v>Missing recommended action</v>
      </c>
      <c r="M290" s="64" t="s">
        <v>4622</v>
      </c>
      <c r="N290" s="64" t="s">
        <v>7996</v>
      </c>
    </row>
    <row r="291" spans="1:14" ht="63.75">
      <c r="A291" s="52" t="s">
        <v>4630</v>
      </c>
      <c r="B291" s="52" t="s">
        <v>87</v>
      </c>
      <c r="C291" s="52" t="s">
        <v>1433</v>
      </c>
      <c r="D291" s="52" t="s">
        <v>4631</v>
      </c>
      <c r="E291" s="52">
        <f>'Marketing Comms'!$H$19</f>
        <v>0</v>
      </c>
      <c r="F291" s="52" t="str">
        <f>'Marketing Comms'!$L$19</f>
        <v/>
      </c>
      <c r="G291" s="52" t="str">
        <f>'Marketing Comms'!$T$19</f>
        <v>CMO / Communications</v>
      </c>
      <c r="H291" s="52">
        <f>'Marketing Comms'!$U$19</f>
        <v>0</v>
      </c>
      <c r="I291" s="52" t="str">
        <f t="shared" si="14"/>
        <v>OK</v>
      </c>
      <c r="J291" s="52" t="str">
        <f t="shared" si="15"/>
        <v>OK</v>
      </c>
      <c r="K291" s="52" t="str">
        <f t="shared" si="16"/>
        <v>OK</v>
      </c>
      <c r="L291" s="52" t="str">
        <f>IF(AND(E291&lt;&gt;"",E291&lt;&gt;"N/A",VALUE(E291)&lt;5,COUNTIF('Executive Recommendations'!$A$8:$A$414,A291)=0),"Missing recommended action","OK")</f>
        <v>Missing recommended action</v>
      </c>
      <c r="M291" s="52" t="s">
        <v>4632</v>
      </c>
      <c r="N291" s="52" t="s">
        <v>8003</v>
      </c>
    </row>
    <row r="292" spans="1:14" ht="51">
      <c r="A292" s="64" t="s">
        <v>4640</v>
      </c>
      <c r="B292" s="64" t="s">
        <v>87</v>
      </c>
      <c r="C292" s="64" t="s">
        <v>1433</v>
      </c>
      <c r="D292" s="64" t="s">
        <v>4641</v>
      </c>
      <c r="E292" s="64">
        <f>'Marketing Comms'!$H$20</f>
        <v>0</v>
      </c>
      <c r="F292" s="64" t="str">
        <f>'Marketing Comms'!$L$20</f>
        <v/>
      </c>
      <c r="G292" s="64" t="str">
        <f>'Marketing Comms'!$T$20</f>
        <v>CMO / Communications</v>
      </c>
      <c r="H292" s="64">
        <f>'Marketing Comms'!$U$20</f>
        <v>0</v>
      </c>
      <c r="I292" s="64" t="str">
        <f t="shared" si="14"/>
        <v>OK</v>
      </c>
      <c r="J292" s="64" t="str">
        <f t="shared" si="15"/>
        <v>OK</v>
      </c>
      <c r="K292" s="64" t="str">
        <f t="shared" si="16"/>
        <v>OK</v>
      </c>
      <c r="L292" s="64" t="str">
        <f>IF(AND(E292&lt;&gt;"",E292&lt;&gt;"N/A",VALUE(E292)&lt;5,COUNTIF('Executive Recommendations'!$A$8:$A$414,A292)=0),"Missing recommended action","OK")</f>
        <v>Missing recommended action</v>
      </c>
      <c r="M292" s="64" t="s">
        <v>4642</v>
      </c>
      <c r="N292" s="64" t="s">
        <v>8010</v>
      </c>
    </row>
    <row r="293" spans="1:14" ht="63.75">
      <c r="A293" s="52" t="s">
        <v>4650</v>
      </c>
      <c r="B293" s="52" t="s">
        <v>87</v>
      </c>
      <c r="C293" s="52" t="s">
        <v>1433</v>
      </c>
      <c r="D293" s="52" t="s">
        <v>4651</v>
      </c>
      <c r="E293" s="52">
        <f>'Marketing Comms'!$H$21</f>
        <v>0</v>
      </c>
      <c r="F293" s="52" t="str">
        <f>'Marketing Comms'!$L$21</f>
        <v/>
      </c>
      <c r="G293" s="52" t="str">
        <f>'Marketing Comms'!$T$21</f>
        <v>CMO / Communications</v>
      </c>
      <c r="H293" s="52">
        <f>'Marketing Comms'!$U$21</f>
        <v>0</v>
      </c>
      <c r="I293" s="52" t="str">
        <f t="shared" si="14"/>
        <v>OK</v>
      </c>
      <c r="J293" s="52" t="str">
        <f t="shared" si="15"/>
        <v>OK</v>
      </c>
      <c r="K293" s="52" t="str">
        <f t="shared" si="16"/>
        <v>OK</v>
      </c>
      <c r="L293" s="52" t="str">
        <f>IF(AND(E293&lt;&gt;"",E293&lt;&gt;"N/A",VALUE(E293)&lt;5,COUNTIF('Executive Recommendations'!$A$8:$A$414,A293)=0),"Missing recommended action","OK")</f>
        <v>Missing recommended action</v>
      </c>
      <c r="M293" s="52" t="s">
        <v>4652</v>
      </c>
      <c r="N293" s="52" t="s">
        <v>8017</v>
      </c>
    </row>
    <row r="294" spans="1:14" ht="63.75">
      <c r="A294" s="64" t="s">
        <v>4662</v>
      </c>
      <c r="B294" s="64" t="s">
        <v>90</v>
      </c>
      <c r="C294" s="64" t="s">
        <v>1441</v>
      </c>
      <c r="D294" s="64" t="s">
        <v>4663</v>
      </c>
      <c r="E294" s="64">
        <f>'IT Cloud DR'!$H$5</f>
        <v>0</v>
      </c>
      <c r="F294" s="64" t="str">
        <f>'IT Cloud DR'!$L$5</f>
        <v/>
      </c>
      <c r="G294" s="64" t="str">
        <f>'IT Cloud DR'!$T$5</f>
        <v>CIO / CTO / IT Ops</v>
      </c>
      <c r="H294" s="64">
        <f>'IT Cloud DR'!$U$5</f>
        <v>0</v>
      </c>
      <c r="I294" s="64" t="str">
        <f t="shared" si="14"/>
        <v>OK</v>
      </c>
      <c r="J294" s="64" t="str">
        <f t="shared" si="15"/>
        <v>OK</v>
      </c>
      <c r="K294" s="64" t="str">
        <f t="shared" si="16"/>
        <v>OK</v>
      </c>
      <c r="L294" s="64" t="str">
        <f>IF(AND(E294&lt;&gt;"",E294&lt;&gt;"N/A",VALUE(E294)&lt;5,COUNTIF('Executive Recommendations'!$A$8:$A$414,A294)=0),"Missing recommended action","OK")</f>
        <v>Missing recommended action</v>
      </c>
      <c r="M294" s="64" t="s">
        <v>4666</v>
      </c>
      <c r="N294" s="64" t="s">
        <v>8025</v>
      </c>
    </row>
    <row r="295" spans="1:14" ht="63.75">
      <c r="A295" s="52" t="s">
        <v>4676</v>
      </c>
      <c r="B295" s="52" t="s">
        <v>90</v>
      </c>
      <c r="C295" s="52" t="s">
        <v>1441</v>
      </c>
      <c r="D295" s="52" t="s">
        <v>4677</v>
      </c>
      <c r="E295" s="52">
        <f>'IT Cloud DR'!$H$6</f>
        <v>0</v>
      </c>
      <c r="F295" s="52" t="str">
        <f>'IT Cloud DR'!$L$6</f>
        <v/>
      </c>
      <c r="G295" s="52" t="str">
        <f>'IT Cloud DR'!$T$6</f>
        <v>CIO / CTO / IT Ops</v>
      </c>
      <c r="H295" s="52">
        <f>'IT Cloud DR'!$U$6</f>
        <v>0</v>
      </c>
      <c r="I295" s="52" t="str">
        <f t="shared" si="14"/>
        <v>OK</v>
      </c>
      <c r="J295" s="52" t="str">
        <f t="shared" si="15"/>
        <v>OK</v>
      </c>
      <c r="K295" s="52" t="str">
        <f t="shared" si="16"/>
        <v>OK</v>
      </c>
      <c r="L295" s="52" t="str">
        <f>IF(AND(E295&lt;&gt;"",E295&lt;&gt;"N/A",VALUE(E295)&lt;5,COUNTIF('Executive Recommendations'!$A$8:$A$414,A295)=0),"Missing recommended action","OK")</f>
        <v>Missing recommended action</v>
      </c>
      <c r="M295" s="52" t="s">
        <v>4678</v>
      </c>
      <c r="N295" s="52" t="s">
        <v>8032</v>
      </c>
    </row>
    <row r="296" spans="1:14" ht="51">
      <c r="A296" s="64" t="s">
        <v>4686</v>
      </c>
      <c r="B296" s="64" t="s">
        <v>90</v>
      </c>
      <c r="C296" s="64" t="s">
        <v>1441</v>
      </c>
      <c r="D296" s="64" t="s">
        <v>4687</v>
      </c>
      <c r="E296" s="64">
        <f>'IT Cloud DR'!$H$7</f>
        <v>0</v>
      </c>
      <c r="F296" s="64" t="str">
        <f>'IT Cloud DR'!$L$7</f>
        <v/>
      </c>
      <c r="G296" s="64" t="str">
        <f>'IT Cloud DR'!$T$7</f>
        <v>CIO / CTO / IT Ops</v>
      </c>
      <c r="H296" s="64">
        <f>'IT Cloud DR'!$U$7</f>
        <v>0</v>
      </c>
      <c r="I296" s="64" t="str">
        <f t="shared" si="14"/>
        <v>OK</v>
      </c>
      <c r="J296" s="64" t="str">
        <f t="shared" si="15"/>
        <v>OK</v>
      </c>
      <c r="K296" s="64" t="str">
        <f t="shared" si="16"/>
        <v>OK</v>
      </c>
      <c r="L296" s="64" t="str">
        <f>IF(AND(E296&lt;&gt;"",E296&lt;&gt;"N/A",VALUE(E296)&lt;5,COUNTIF('Executive Recommendations'!$A$8:$A$414,A296)=0),"Missing recommended action","OK")</f>
        <v>Missing recommended action</v>
      </c>
      <c r="M296" s="64" t="s">
        <v>4688</v>
      </c>
      <c r="N296" s="64" t="s">
        <v>8039</v>
      </c>
    </row>
    <row r="297" spans="1:14" ht="63.75">
      <c r="A297" s="52" t="s">
        <v>4696</v>
      </c>
      <c r="B297" s="52" t="s">
        <v>90</v>
      </c>
      <c r="C297" s="52" t="s">
        <v>1441</v>
      </c>
      <c r="D297" s="52" t="s">
        <v>4697</v>
      </c>
      <c r="E297" s="52">
        <f>'IT Cloud DR'!$H$8</f>
        <v>0</v>
      </c>
      <c r="F297" s="52" t="str">
        <f>'IT Cloud DR'!$L$8</f>
        <v/>
      </c>
      <c r="G297" s="52" t="str">
        <f>'IT Cloud DR'!$T$8</f>
        <v>CIO / CTO / IT Ops</v>
      </c>
      <c r="H297" s="52">
        <f>'IT Cloud DR'!$U$8</f>
        <v>0</v>
      </c>
      <c r="I297" s="52" t="str">
        <f t="shared" si="14"/>
        <v>OK</v>
      </c>
      <c r="J297" s="52" t="str">
        <f t="shared" si="15"/>
        <v>OK</v>
      </c>
      <c r="K297" s="52" t="str">
        <f t="shared" si="16"/>
        <v>OK</v>
      </c>
      <c r="L297" s="52" t="str">
        <f>IF(AND(E297&lt;&gt;"",E297&lt;&gt;"N/A",VALUE(E297)&lt;5,COUNTIF('Executive Recommendations'!$A$8:$A$414,A297)=0),"Missing recommended action","OK")</f>
        <v>Missing recommended action</v>
      </c>
      <c r="M297" s="52" t="s">
        <v>4698</v>
      </c>
      <c r="N297" s="52" t="s">
        <v>8046</v>
      </c>
    </row>
    <row r="298" spans="1:14" ht="63.75">
      <c r="A298" s="64" t="s">
        <v>4706</v>
      </c>
      <c r="B298" s="64" t="s">
        <v>90</v>
      </c>
      <c r="C298" s="64" t="s">
        <v>1441</v>
      </c>
      <c r="D298" s="64" t="s">
        <v>4707</v>
      </c>
      <c r="E298" s="64">
        <f>'IT Cloud DR'!$H$9</f>
        <v>0</v>
      </c>
      <c r="F298" s="64" t="str">
        <f>'IT Cloud DR'!$L$9</f>
        <v/>
      </c>
      <c r="G298" s="64" t="str">
        <f>'IT Cloud DR'!$T$9</f>
        <v>CIO / CTO / IT Ops</v>
      </c>
      <c r="H298" s="64">
        <f>'IT Cloud DR'!$U$9</f>
        <v>0</v>
      </c>
      <c r="I298" s="64" t="str">
        <f t="shared" si="14"/>
        <v>OK</v>
      </c>
      <c r="J298" s="64" t="str">
        <f t="shared" si="15"/>
        <v>OK</v>
      </c>
      <c r="K298" s="64" t="str">
        <f t="shared" si="16"/>
        <v>OK</v>
      </c>
      <c r="L298" s="64" t="str">
        <f>IF(AND(E298&lt;&gt;"",E298&lt;&gt;"N/A",VALUE(E298)&lt;5,COUNTIF('Executive Recommendations'!$A$8:$A$414,A298)=0),"Missing recommended action","OK")</f>
        <v>Missing recommended action</v>
      </c>
      <c r="M298" s="64" t="s">
        <v>4708</v>
      </c>
      <c r="N298" s="64" t="s">
        <v>8053</v>
      </c>
    </row>
    <row r="299" spans="1:14" ht="51">
      <c r="A299" s="52" t="s">
        <v>4716</v>
      </c>
      <c r="B299" s="52" t="s">
        <v>90</v>
      </c>
      <c r="C299" s="52" t="s">
        <v>1441</v>
      </c>
      <c r="D299" s="52" t="s">
        <v>4717</v>
      </c>
      <c r="E299" s="52">
        <f>'IT Cloud DR'!$H$10</f>
        <v>0</v>
      </c>
      <c r="F299" s="52" t="str">
        <f>'IT Cloud DR'!$L$10</f>
        <v/>
      </c>
      <c r="G299" s="52" t="str">
        <f>'IT Cloud DR'!$T$10</f>
        <v>CIO / CTO / IT Ops</v>
      </c>
      <c r="H299" s="52">
        <f>'IT Cloud DR'!$U$10</f>
        <v>0</v>
      </c>
      <c r="I299" s="52" t="str">
        <f t="shared" si="14"/>
        <v>OK</v>
      </c>
      <c r="J299" s="52" t="str">
        <f t="shared" si="15"/>
        <v>OK</v>
      </c>
      <c r="K299" s="52" t="str">
        <f t="shared" si="16"/>
        <v>OK</v>
      </c>
      <c r="L299" s="52" t="str">
        <f>IF(AND(E299&lt;&gt;"",E299&lt;&gt;"N/A",VALUE(E299)&lt;5,COUNTIF('Executive Recommendations'!$A$8:$A$414,A299)=0),"Missing recommended action","OK")</f>
        <v>Missing recommended action</v>
      </c>
      <c r="M299" s="52" t="s">
        <v>4718</v>
      </c>
      <c r="N299" s="52" t="s">
        <v>8060</v>
      </c>
    </row>
    <row r="300" spans="1:14" ht="63.75">
      <c r="A300" s="64" t="s">
        <v>4726</v>
      </c>
      <c r="B300" s="64" t="s">
        <v>90</v>
      </c>
      <c r="C300" s="64" t="s">
        <v>1457</v>
      </c>
      <c r="D300" s="64" t="s">
        <v>4727</v>
      </c>
      <c r="E300" s="64">
        <f>'IT Cloud DR'!$H$11</f>
        <v>0</v>
      </c>
      <c r="F300" s="64" t="str">
        <f>'IT Cloud DR'!$L$11</f>
        <v/>
      </c>
      <c r="G300" s="64" t="str">
        <f>'IT Cloud DR'!$T$11</f>
        <v>CIO / CTO / IT Ops</v>
      </c>
      <c r="H300" s="64">
        <f>'IT Cloud DR'!$U$11</f>
        <v>0</v>
      </c>
      <c r="I300" s="64" t="str">
        <f t="shared" si="14"/>
        <v>OK</v>
      </c>
      <c r="J300" s="64" t="str">
        <f t="shared" si="15"/>
        <v>OK</v>
      </c>
      <c r="K300" s="64" t="str">
        <f t="shared" si="16"/>
        <v>OK</v>
      </c>
      <c r="L300" s="64" t="str">
        <f>IF(AND(E300&lt;&gt;"",E300&lt;&gt;"N/A",VALUE(E300)&lt;5,COUNTIF('Executive Recommendations'!$A$8:$A$414,A300)=0),"Missing recommended action","OK")</f>
        <v>Missing recommended action</v>
      </c>
      <c r="M300" s="64" t="s">
        <v>4728</v>
      </c>
      <c r="N300" s="64" t="s">
        <v>8068</v>
      </c>
    </row>
    <row r="301" spans="1:14" ht="51">
      <c r="A301" s="52" t="s">
        <v>4736</v>
      </c>
      <c r="B301" s="52" t="s">
        <v>90</v>
      </c>
      <c r="C301" s="52" t="s">
        <v>1457</v>
      </c>
      <c r="D301" s="52" t="s">
        <v>4737</v>
      </c>
      <c r="E301" s="52">
        <f>'IT Cloud DR'!$H$12</f>
        <v>0</v>
      </c>
      <c r="F301" s="52" t="str">
        <f>'IT Cloud DR'!$L$12</f>
        <v/>
      </c>
      <c r="G301" s="52" t="str">
        <f>'IT Cloud DR'!$T$12</f>
        <v>CIO / CTO / IT Ops</v>
      </c>
      <c r="H301" s="52">
        <f>'IT Cloud DR'!$U$12</f>
        <v>0</v>
      </c>
      <c r="I301" s="52" t="str">
        <f t="shared" si="14"/>
        <v>OK</v>
      </c>
      <c r="J301" s="52" t="str">
        <f t="shared" si="15"/>
        <v>OK</v>
      </c>
      <c r="K301" s="52" t="str">
        <f t="shared" si="16"/>
        <v>OK</v>
      </c>
      <c r="L301" s="52" t="str">
        <f>IF(AND(E301&lt;&gt;"",E301&lt;&gt;"N/A",VALUE(E301)&lt;5,COUNTIF('Executive Recommendations'!$A$8:$A$414,A301)=0),"Missing recommended action","OK")</f>
        <v>Missing recommended action</v>
      </c>
      <c r="M301" s="52" t="s">
        <v>4738</v>
      </c>
      <c r="N301" s="52" t="s">
        <v>8075</v>
      </c>
    </row>
    <row r="302" spans="1:14" ht="51">
      <c r="A302" s="64" t="s">
        <v>4746</v>
      </c>
      <c r="B302" s="64" t="s">
        <v>90</v>
      </c>
      <c r="C302" s="64" t="s">
        <v>1457</v>
      </c>
      <c r="D302" s="64" t="s">
        <v>4747</v>
      </c>
      <c r="E302" s="64">
        <f>'IT Cloud DR'!$H$13</f>
        <v>0</v>
      </c>
      <c r="F302" s="64" t="str">
        <f>'IT Cloud DR'!$L$13</f>
        <v/>
      </c>
      <c r="G302" s="64" t="str">
        <f>'IT Cloud DR'!$T$13</f>
        <v>CIO / CTO / IT Ops</v>
      </c>
      <c r="H302" s="64">
        <f>'IT Cloud DR'!$U$13</f>
        <v>0</v>
      </c>
      <c r="I302" s="64" t="str">
        <f t="shared" si="14"/>
        <v>OK</v>
      </c>
      <c r="J302" s="64" t="str">
        <f t="shared" si="15"/>
        <v>OK</v>
      </c>
      <c r="K302" s="64" t="str">
        <f t="shared" si="16"/>
        <v>OK</v>
      </c>
      <c r="L302" s="64" t="str">
        <f>IF(AND(E302&lt;&gt;"",E302&lt;&gt;"N/A",VALUE(E302)&lt;5,COUNTIF('Executive Recommendations'!$A$8:$A$414,A302)=0),"Missing recommended action","OK")</f>
        <v>Missing recommended action</v>
      </c>
      <c r="M302" s="64" t="s">
        <v>4748</v>
      </c>
      <c r="N302" s="64" t="s">
        <v>8082</v>
      </c>
    </row>
    <row r="303" spans="1:14" ht="51">
      <c r="A303" s="52" t="s">
        <v>4756</v>
      </c>
      <c r="B303" s="52" t="s">
        <v>90</v>
      </c>
      <c r="C303" s="52" t="s">
        <v>1457</v>
      </c>
      <c r="D303" s="52" t="s">
        <v>4757</v>
      </c>
      <c r="E303" s="52">
        <f>'IT Cloud DR'!$H$14</f>
        <v>0</v>
      </c>
      <c r="F303" s="52" t="str">
        <f>'IT Cloud DR'!$L$14</f>
        <v/>
      </c>
      <c r="G303" s="52" t="str">
        <f>'IT Cloud DR'!$T$14</f>
        <v>CIO / CTO / IT Ops</v>
      </c>
      <c r="H303" s="52">
        <f>'IT Cloud DR'!$U$14</f>
        <v>0</v>
      </c>
      <c r="I303" s="52" t="str">
        <f t="shared" si="14"/>
        <v>OK</v>
      </c>
      <c r="J303" s="52" t="str">
        <f t="shared" si="15"/>
        <v>OK</v>
      </c>
      <c r="K303" s="52" t="str">
        <f t="shared" si="16"/>
        <v>OK</v>
      </c>
      <c r="L303" s="52" t="str">
        <f>IF(AND(E303&lt;&gt;"",E303&lt;&gt;"N/A",VALUE(E303)&lt;5,COUNTIF('Executive Recommendations'!$A$8:$A$414,A303)=0),"Missing recommended action","OK")</f>
        <v>Missing recommended action</v>
      </c>
      <c r="M303" s="52" t="s">
        <v>4758</v>
      </c>
      <c r="N303" s="52" t="s">
        <v>8089</v>
      </c>
    </row>
    <row r="304" spans="1:14" ht="63.75">
      <c r="A304" s="64" t="s">
        <v>4766</v>
      </c>
      <c r="B304" s="64" t="s">
        <v>90</v>
      </c>
      <c r="C304" s="64" t="s">
        <v>1457</v>
      </c>
      <c r="D304" s="64" t="s">
        <v>4767</v>
      </c>
      <c r="E304" s="64">
        <f>'IT Cloud DR'!$H$15</f>
        <v>0</v>
      </c>
      <c r="F304" s="64" t="str">
        <f>'IT Cloud DR'!$L$15</f>
        <v/>
      </c>
      <c r="G304" s="64" t="str">
        <f>'IT Cloud DR'!$T$15</f>
        <v>CIO / CTO / IT Ops</v>
      </c>
      <c r="H304" s="64">
        <f>'IT Cloud DR'!$U$15</f>
        <v>0</v>
      </c>
      <c r="I304" s="64" t="str">
        <f t="shared" si="14"/>
        <v>OK</v>
      </c>
      <c r="J304" s="64" t="str">
        <f t="shared" si="15"/>
        <v>OK</v>
      </c>
      <c r="K304" s="64" t="str">
        <f t="shared" si="16"/>
        <v>OK</v>
      </c>
      <c r="L304" s="64" t="str">
        <f>IF(AND(E304&lt;&gt;"",E304&lt;&gt;"N/A",VALUE(E304)&lt;5,COUNTIF('Executive Recommendations'!$A$8:$A$414,A304)=0),"Missing recommended action","OK")</f>
        <v>Missing recommended action</v>
      </c>
      <c r="M304" s="64" t="s">
        <v>4768</v>
      </c>
      <c r="N304" s="64" t="s">
        <v>8096</v>
      </c>
    </row>
    <row r="305" spans="1:14" ht="63.75">
      <c r="A305" s="52" t="s">
        <v>4776</v>
      </c>
      <c r="B305" s="52" t="s">
        <v>90</v>
      </c>
      <c r="C305" s="52" t="s">
        <v>1457</v>
      </c>
      <c r="D305" s="52" t="s">
        <v>4777</v>
      </c>
      <c r="E305" s="52">
        <f>'IT Cloud DR'!$H$16</f>
        <v>0</v>
      </c>
      <c r="F305" s="52" t="str">
        <f>'IT Cloud DR'!$L$16</f>
        <v/>
      </c>
      <c r="G305" s="52" t="str">
        <f>'IT Cloud DR'!$T$16</f>
        <v>CIO / CTO / IT Ops</v>
      </c>
      <c r="H305" s="52">
        <f>'IT Cloud DR'!$U$16</f>
        <v>0</v>
      </c>
      <c r="I305" s="52" t="str">
        <f t="shared" si="14"/>
        <v>OK</v>
      </c>
      <c r="J305" s="52" t="str">
        <f t="shared" si="15"/>
        <v>OK</v>
      </c>
      <c r="K305" s="52" t="str">
        <f t="shared" si="16"/>
        <v>OK</v>
      </c>
      <c r="L305" s="52" t="str">
        <f>IF(AND(E305&lt;&gt;"",E305&lt;&gt;"N/A",VALUE(E305)&lt;5,COUNTIF('Executive Recommendations'!$A$8:$A$414,A305)=0),"Missing recommended action","OK")</f>
        <v>Missing recommended action</v>
      </c>
      <c r="M305" s="52" t="s">
        <v>4778</v>
      </c>
      <c r="N305" s="52" t="s">
        <v>8103</v>
      </c>
    </row>
    <row r="306" spans="1:14" ht="63.75">
      <c r="A306" s="64" t="s">
        <v>4786</v>
      </c>
      <c r="B306" s="64" t="s">
        <v>90</v>
      </c>
      <c r="C306" s="64" t="s">
        <v>1465</v>
      </c>
      <c r="D306" s="64" t="s">
        <v>4787</v>
      </c>
      <c r="E306" s="64">
        <f>'IT Cloud DR'!$H$17</f>
        <v>0</v>
      </c>
      <c r="F306" s="64" t="str">
        <f>'IT Cloud DR'!$L$17</f>
        <v/>
      </c>
      <c r="G306" s="64" t="str">
        <f>'IT Cloud DR'!$T$17</f>
        <v>CIO / CTO / IT Ops</v>
      </c>
      <c r="H306" s="64">
        <f>'IT Cloud DR'!$U$17</f>
        <v>0</v>
      </c>
      <c r="I306" s="64" t="str">
        <f t="shared" si="14"/>
        <v>OK</v>
      </c>
      <c r="J306" s="64" t="str">
        <f t="shared" si="15"/>
        <v>OK</v>
      </c>
      <c r="K306" s="64" t="str">
        <f t="shared" si="16"/>
        <v>OK</v>
      </c>
      <c r="L306" s="64" t="str">
        <f>IF(AND(E306&lt;&gt;"",E306&lt;&gt;"N/A",VALUE(E306)&lt;5,COUNTIF('Executive Recommendations'!$A$8:$A$414,A306)=0),"Missing recommended action","OK")</f>
        <v>Missing recommended action</v>
      </c>
      <c r="M306" s="64" t="s">
        <v>4788</v>
      </c>
      <c r="N306" s="64" t="s">
        <v>8111</v>
      </c>
    </row>
    <row r="307" spans="1:14" ht="51">
      <c r="A307" s="52" t="s">
        <v>4796</v>
      </c>
      <c r="B307" s="52" t="s">
        <v>90</v>
      </c>
      <c r="C307" s="52" t="s">
        <v>1465</v>
      </c>
      <c r="D307" s="52" t="s">
        <v>4797</v>
      </c>
      <c r="E307" s="52">
        <f>'IT Cloud DR'!$H$18</f>
        <v>0</v>
      </c>
      <c r="F307" s="52" t="str">
        <f>'IT Cloud DR'!$L$18</f>
        <v/>
      </c>
      <c r="G307" s="52" t="str">
        <f>'IT Cloud DR'!$T$18</f>
        <v>CIO / CTO / IT Ops</v>
      </c>
      <c r="H307" s="52">
        <f>'IT Cloud DR'!$U$18</f>
        <v>0</v>
      </c>
      <c r="I307" s="52" t="str">
        <f t="shared" si="14"/>
        <v>OK</v>
      </c>
      <c r="J307" s="52" t="str">
        <f t="shared" si="15"/>
        <v>OK</v>
      </c>
      <c r="K307" s="52" t="str">
        <f t="shared" si="16"/>
        <v>OK</v>
      </c>
      <c r="L307" s="52" t="str">
        <f>IF(AND(E307&lt;&gt;"",E307&lt;&gt;"N/A",VALUE(E307)&lt;5,COUNTIF('Executive Recommendations'!$A$8:$A$414,A307)=0),"Missing recommended action","OK")</f>
        <v>Missing recommended action</v>
      </c>
      <c r="M307" s="52" t="s">
        <v>4798</v>
      </c>
      <c r="N307" s="52" t="s">
        <v>8118</v>
      </c>
    </row>
    <row r="308" spans="1:14" ht="51">
      <c r="A308" s="64" t="s">
        <v>4806</v>
      </c>
      <c r="B308" s="64" t="s">
        <v>90</v>
      </c>
      <c r="C308" s="64" t="s">
        <v>1465</v>
      </c>
      <c r="D308" s="64" t="s">
        <v>4807</v>
      </c>
      <c r="E308" s="64">
        <f>'IT Cloud DR'!$H$19</f>
        <v>0</v>
      </c>
      <c r="F308" s="64" t="str">
        <f>'IT Cloud DR'!$L$19</f>
        <v/>
      </c>
      <c r="G308" s="64" t="str">
        <f>'IT Cloud DR'!$T$19</f>
        <v>CIO / CTO / IT Ops</v>
      </c>
      <c r="H308" s="64">
        <f>'IT Cloud DR'!$U$19</f>
        <v>0</v>
      </c>
      <c r="I308" s="64" t="str">
        <f t="shared" si="14"/>
        <v>OK</v>
      </c>
      <c r="J308" s="64" t="str">
        <f t="shared" si="15"/>
        <v>OK</v>
      </c>
      <c r="K308" s="64" t="str">
        <f t="shared" si="16"/>
        <v>OK</v>
      </c>
      <c r="L308" s="64" t="str">
        <f>IF(AND(E308&lt;&gt;"",E308&lt;&gt;"N/A",VALUE(E308)&lt;5,COUNTIF('Executive Recommendations'!$A$8:$A$414,A308)=0),"Missing recommended action","OK")</f>
        <v>Missing recommended action</v>
      </c>
      <c r="M308" s="64" t="s">
        <v>4808</v>
      </c>
      <c r="N308" s="64" t="s">
        <v>8125</v>
      </c>
    </row>
    <row r="309" spans="1:14" ht="51">
      <c r="A309" s="52" t="s">
        <v>4816</v>
      </c>
      <c r="B309" s="52" t="s">
        <v>90</v>
      </c>
      <c r="C309" s="52" t="s">
        <v>1465</v>
      </c>
      <c r="D309" s="52" t="s">
        <v>4817</v>
      </c>
      <c r="E309" s="52">
        <f>'IT Cloud DR'!$H$20</f>
        <v>0</v>
      </c>
      <c r="F309" s="52" t="str">
        <f>'IT Cloud DR'!$L$20</f>
        <v/>
      </c>
      <c r="G309" s="52" t="str">
        <f>'IT Cloud DR'!$T$20</f>
        <v>CIO / CTO / IT Ops</v>
      </c>
      <c r="H309" s="52">
        <f>'IT Cloud DR'!$U$20</f>
        <v>0</v>
      </c>
      <c r="I309" s="52" t="str">
        <f t="shared" si="14"/>
        <v>OK</v>
      </c>
      <c r="J309" s="52" t="str">
        <f t="shared" si="15"/>
        <v>OK</v>
      </c>
      <c r="K309" s="52" t="str">
        <f t="shared" si="16"/>
        <v>OK</v>
      </c>
      <c r="L309" s="52" t="str">
        <f>IF(AND(E309&lt;&gt;"",E309&lt;&gt;"N/A",VALUE(E309)&lt;5,COUNTIF('Executive Recommendations'!$A$8:$A$414,A309)=0),"Missing recommended action","OK")</f>
        <v>Missing recommended action</v>
      </c>
      <c r="M309" s="52" t="s">
        <v>4818</v>
      </c>
      <c r="N309" s="52" t="s">
        <v>8132</v>
      </c>
    </row>
    <row r="310" spans="1:14" ht="51">
      <c r="A310" s="64" t="s">
        <v>4826</v>
      </c>
      <c r="B310" s="64" t="s">
        <v>90</v>
      </c>
      <c r="C310" s="64" t="s">
        <v>1465</v>
      </c>
      <c r="D310" s="64" t="s">
        <v>4827</v>
      </c>
      <c r="E310" s="64">
        <f>'IT Cloud DR'!$H$21</f>
        <v>0</v>
      </c>
      <c r="F310" s="64" t="str">
        <f>'IT Cloud DR'!$L$21</f>
        <v/>
      </c>
      <c r="G310" s="64" t="str">
        <f>'IT Cloud DR'!$T$21</f>
        <v>CIO / CTO / IT Ops</v>
      </c>
      <c r="H310" s="64">
        <f>'IT Cloud DR'!$U$21</f>
        <v>0</v>
      </c>
      <c r="I310" s="64" t="str">
        <f t="shared" si="14"/>
        <v>OK</v>
      </c>
      <c r="J310" s="64" t="str">
        <f t="shared" si="15"/>
        <v>OK</v>
      </c>
      <c r="K310" s="64" t="str">
        <f t="shared" si="16"/>
        <v>OK</v>
      </c>
      <c r="L310" s="64" t="str">
        <f>IF(AND(E310&lt;&gt;"",E310&lt;&gt;"N/A",VALUE(E310)&lt;5,COUNTIF('Executive Recommendations'!$A$8:$A$414,A310)=0),"Missing recommended action","OK")</f>
        <v>Missing recommended action</v>
      </c>
      <c r="M310" s="64" t="s">
        <v>4828</v>
      </c>
      <c r="N310" s="64" t="s">
        <v>8139</v>
      </c>
    </row>
    <row r="311" spans="1:14" ht="51">
      <c r="A311" s="52" t="s">
        <v>4836</v>
      </c>
      <c r="B311" s="52" t="s">
        <v>90</v>
      </c>
      <c r="C311" s="52" t="s">
        <v>1465</v>
      </c>
      <c r="D311" s="52" t="s">
        <v>4837</v>
      </c>
      <c r="E311" s="52">
        <f>'IT Cloud DR'!$H$22</f>
        <v>0</v>
      </c>
      <c r="F311" s="52" t="str">
        <f>'IT Cloud DR'!$L$22</f>
        <v/>
      </c>
      <c r="G311" s="52" t="str">
        <f>'IT Cloud DR'!$T$22</f>
        <v>CIO / CTO / IT Ops</v>
      </c>
      <c r="H311" s="52">
        <f>'IT Cloud DR'!$U$22</f>
        <v>0</v>
      </c>
      <c r="I311" s="52" t="str">
        <f t="shared" si="14"/>
        <v>OK</v>
      </c>
      <c r="J311" s="52" t="str">
        <f t="shared" si="15"/>
        <v>OK</v>
      </c>
      <c r="K311" s="52" t="str">
        <f t="shared" si="16"/>
        <v>OK</v>
      </c>
      <c r="L311" s="52" t="str">
        <f>IF(AND(E311&lt;&gt;"",E311&lt;&gt;"N/A",VALUE(E311)&lt;5,COUNTIF('Executive Recommendations'!$A$8:$A$414,A311)=0),"Missing recommended action","OK")</f>
        <v>Missing recommended action</v>
      </c>
      <c r="M311" s="52" t="s">
        <v>4838</v>
      </c>
      <c r="N311" s="52" t="s">
        <v>8146</v>
      </c>
    </row>
    <row r="312" spans="1:14" ht="51">
      <c r="A312" s="64" t="s">
        <v>4846</v>
      </c>
      <c r="B312" s="64" t="s">
        <v>90</v>
      </c>
      <c r="C312" s="64" t="s">
        <v>1473</v>
      </c>
      <c r="D312" s="64" t="s">
        <v>4847</v>
      </c>
      <c r="E312" s="64">
        <f>'IT Cloud DR'!$H$23</f>
        <v>0</v>
      </c>
      <c r="F312" s="64" t="str">
        <f>'IT Cloud DR'!$L$23</f>
        <v/>
      </c>
      <c r="G312" s="64" t="str">
        <f>'IT Cloud DR'!$T$23</f>
        <v>CIO / CTO / IT Ops</v>
      </c>
      <c r="H312" s="64">
        <f>'IT Cloud DR'!$U$23</f>
        <v>0</v>
      </c>
      <c r="I312" s="64" t="str">
        <f t="shared" si="14"/>
        <v>OK</v>
      </c>
      <c r="J312" s="64" t="str">
        <f t="shared" si="15"/>
        <v>OK</v>
      </c>
      <c r="K312" s="64" t="str">
        <f t="shared" si="16"/>
        <v>OK</v>
      </c>
      <c r="L312" s="64" t="str">
        <f>IF(AND(E312&lt;&gt;"",E312&lt;&gt;"N/A",VALUE(E312)&lt;5,COUNTIF('Executive Recommendations'!$A$8:$A$414,A312)=0),"Missing recommended action","OK")</f>
        <v>Missing recommended action</v>
      </c>
      <c r="M312" s="64" t="s">
        <v>4848</v>
      </c>
      <c r="N312" s="64" t="s">
        <v>8154</v>
      </c>
    </row>
    <row r="313" spans="1:14" ht="63.75">
      <c r="A313" s="52" t="s">
        <v>4856</v>
      </c>
      <c r="B313" s="52" t="s">
        <v>90</v>
      </c>
      <c r="C313" s="52" t="s">
        <v>1473</v>
      </c>
      <c r="D313" s="52" t="s">
        <v>4857</v>
      </c>
      <c r="E313" s="52">
        <f>'IT Cloud DR'!$H$24</f>
        <v>0</v>
      </c>
      <c r="F313" s="52" t="str">
        <f>'IT Cloud DR'!$L$24</f>
        <v/>
      </c>
      <c r="G313" s="52" t="str">
        <f>'IT Cloud DR'!$T$24</f>
        <v>CIO / CTO / IT Ops</v>
      </c>
      <c r="H313" s="52">
        <f>'IT Cloud DR'!$U$24</f>
        <v>0</v>
      </c>
      <c r="I313" s="52" t="str">
        <f t="shared" si="14"/>
        <v>OK</v>
      </c>
      <c r="J313" s="52" t="str">
        <f t="shared" si="15"/>
        <v>OK</v>
      </c>
      <c r="K313" s="52" t="str">
        <f t="shared" si="16"/>
        <v>OK</v>
      </c>
      <c r="L313" s="52" t="str">
        <f>IF(AND(E313&lt;&gt;"",E313&lt;&gt;"N/A",VALUE(E313)&lt;5,COUNTIF('Executive Recommendations'!$A$8:$A$414,A313)=0),"Missing recommended action","OK")</f>
        <v>Missing recommended action</v>
      </c>
      <c r="M313" s="52" t="s">
        <v>4858</v>
      </c>
      <c r="N313" s="52" t="s">
        <v>8161</v>
      </c>
    </row>
    <row r="314" spans="1:14" ht="51">
      <c r="A314" s="64" t="s">
        <v>4866</v>
      </c>
      <c r="B314" s="64" t="s">
        <v>90</v>
      </c>
      <c r="C314" s="64" t="s">
        <v>1473</v>
      </c>
      <c r="D314" s="64" t="s">
        <v>4867</v>
      </c>
      <c r="E314" s="64">
        <f>'IT Cloud DR'!$H$25</f>
        <v>0</v>
      </c>
      <c r="F314" s="64" t="str">
        <f>'IT Cloud DR'!$L$25</f>
        <v/>
      </c>
      <c r="G314" s="64" t="str">
        <f>'IT Cloud DR'!$T$25</f>
        <v>CIO / CTO / IT Ops</v>
      </c>
      <c r="H314" s="64">
        <f>'IT Cloud DR'!$U$25</f>
        <v>0</v>
      </c>
      <c r="I314" s="64" t="str">
        <f t="shared" si="14"/>
        <v>OK</v>
      </c>
      <c r="J314" s="64" t="str">
        <f t="shared" si="15"/>
        <v>OK</v>
      </c>
      <c r="K314" s="64" t="str">
        <f t="shared" si="16"/>
        <v>OK</v>
      </c>
      <c r="L314" s="64" t="str">
        <f>IF(AND(E314&lt;&gt;"",E314&lt;&gt;"N/A",VALUE(E314)&lt;5,COUNTIF('Executive Recommendations'!$A$8:$A$414,A314)=0),"Missing recommended action","OK")</f>
        <v>Missing recommended action</v>
      </c>
      <c r="M314" s="64" t="s">
        <v>4868</v>
      </c>
      <c r="N314" s="64" t="s">
        <v>8168</v>
      </c>
    </row>
    <row r="315" spans="1:14" ht="51">
      <c r="A315" s="52" t="s">
        <v>4876</v>
      </c>
      <c r="B315" s="52" t="s">
        <v>90</v>
      </c>
      <c r="C315" s="52" t="s">
        <v>1473</v>
      </c>
      <c r="D315" s="52" t="s">
        <v>4877</v>
      </c>
      <c r="E315" s="52">
        <f>'IT Cloud DR'!$H$26</f>
        <v>0</v>
      </c>
      <c r="F315" s="52" t="str">
        <f>'IT Cloud DR'!$L$26</f>
        <v/>
      </c>
      <c r="G315" s="52" t="str">
        <f>'IT Cloud DR'!$T$26</f>
        <v>CIO / CTO / IT Ops</v>
      </c>
      <c r="H315" s="52">
        <f>'IT Cloud DR'!$U$26</f>
        <v>0</v>
      </c>
      <c r="I315" s="52" t="str">
        <f t="shared" si="14"/>
        <v>OK</v>
      </c>
      <c r="J315" s="52" t="str">
        <f t="shared" si="15"/>
        <v>OK</v>
      </c>
      <c r="K315" s="52" t="str">
        <f t="shared" si="16"/>
        <v>OK</v>
      </c>
      <c r="L315" s="52" t="str">
        <f>IF(AND(E315&lt;&gt;"",E315&lt;&gt;"N/A",VALUE(E315)&lt;5,COUNTIF('Executive Recommendations'!$A$8:$A$414,A315)=0),"Missing recommended action","OK")</f>
        <v>Missing recommended action</v>
      </c>
      <c r="M315" s="52" t="s">
        <v>4878</v>
      </c>
      <c r="N315" s="52" t="s">
        <v>8175</v>
      </c>
    </row>
    <row r="316" spans="1:14" ht="51">
      <c r="A316" s="64" t="s">
        <v>4886</v>
      </c>
      <c r="B316" s="64" t="s">
        <v>90</v>
      </c>
      <c r="C316" s="64" t="s">
        <v>1473</v>
      </c>
      <c r="D316" s="64" t="s">
        <v>4887</v>
      </c>
      <c r="E316" s="64">
        <f>'IT Cloud DR'!$H$27</f>
        <v>0</v>
      </c>
      <c r="F316" s="64" t="str">
        <f>'IT Cloud DR'!$L$27</f>
        <v/>
      </c>
      <c r="G316" s="64" t="str">
        <f>'IT Cloud DR'!$T$27</f>
        <v>CIO / CTO / IT Ops</v>
      </c>
      <c r="H316" s="64">
        <f>'IT Cloud DR'!$U$27</f>
        <v>0</v>
      </c>
      <c r="I316" s="64" t="str">
        <f t="shared" si="14"/>
        <v>OK</v>
      </c>
      <c r="J316" s="64" t="str">
        <f t="shared" si="15"/>
        <v>OK</v>
      </c>
      <c r="K316" s="64" t="str">
        <f t="shared" si="16"/>
        <v>OK</v>
      </c>
      <c r="L316" s="64" t="str">
        <f>IF(AND(E316&lt;&gt;"",E316&lt;&gt;"N/A",VALUE(E316)&lt;5,COUNTIF('Executive Recommendations'!$A$8:$A$414,A316)=0),"Missing recommended action","OK")</f>
        <v>Missing recommended action</v>
      </c>
      <c r="M316" s="64" t="s">
        <v>4888</v>
      </c>
      <c r="N316" s="64" t="s">
        <v>8182</v>
      </c>
    </row>
    <row r="317" spans="1:14" ht="51">
      <c r="A317" s="52" t="s">
        <v>4896</v>
      </c>
      <c r="B317" s="52" t="s">
        <v>90</v>
      </c>
      <c r="C317" s="52" t="s">
        <v>1473</v>
      </c>
      <c r="D317" s="52" t="s">
        <v>4897</v>
      </c>
      <c r="E317" s="52">
        <f>'IT Cloud DR'!$H$28</f>
        <v>0</v>
      </c>
      <c r="F317" s="52" t="str">
        <f>'IT Cloud DR'!$L$28</f>
        <v/>
      </c>
      <c r="G317" s="52" t="str">
        <f>'IT Cloud DR'!$T$28</f>
        <v>CIO / CTO / IT Ops</v>
      </c>
      <c r="H317" s="52">
        <f>'IT Cloud DR'!$U$28</f>
        <v>0</v>
      </c>
      <c r="I317" s="52" t="str">
        <f t="shared" si="14"/>
        <v>OK</v>
      </c>
      <c r="J317" s="52" t="str">
        <f t="shared" si="15"/>
        <v>OK</v>
      </c>
      <c r="K317" s="52" t="str">
        <f t="shared" si="16"/>
        <v>OK</v>
      </c>
      <c r="L317" s="52" t="str">
        <f>IF(AND(E317&lt;&gt;"",E317&lt;&gt;"N/A",VALUE(E317)&lt;5,COUNTIF('Executive Recommendations'!$A$8:$A$414,A317)=0),"Missing recommended action","OK")</f>
        <v>Missing recommended action</v>
      </c>
      <c r="M317" s="52" t="s">
        <v>4898</v>
      </c>
      <c r="N317" s="52" t="s">
        <v>8189</v>
      </c>
    </row>
    <row r="318" spans="1:14" ht="63.75">
      <c r="A318" s="64" t="s">
        <v>4906</v>
      </c>
      <c r="B318" s="64" t="s">
        <v>90</v>
      </c>
      <c r="C318" s="64" t="s">
        <v>1481</v>
      </c>
      <c r="D318" s="64" t="s">
        <v>4907</v>
      </c>
      <c r="E318" s="64">
        <f>'IT Cloud DR'!$H$29</f>
        <v>0</v>
      </c>
      <c r="F318" s="64" t="str">
        <f>'IT Cloud DR'!$L$29</f>
        <v/>
      </c>
      <c r="G318" s="64" t="str">
        <f>'IT Cloud DR'!$T$29</f>
        <v>CIO / CTO / IT Ops</v>
      </c>
      <c r="H318" s="64">
        <f>'IT Cloud DR'!$U$29</f>
        <v>0</v>
      </c>
      <c r="I318" s="64" t="str">
        <f t="shared" si="14"/>
        <v>OK</v>
      </c>
      <c r="J318" s="64" t="str">
        <f t="shared" si="15"/>
        <v>OK</v>
      </c>
      <c r="K318" s="64" t="str">
        <f t="shared" si="16"/>
        <v>OK</v>
      </c>
      <c r="L318" s="64" t="str">
        <f>IF(AND(E318&lt;&gt;"",E318&lt;&gt;"N/A",VALUE(E318)&lt;5,COUNTIF('Executive Recommendations'!$A$8:$A$414,A318)=0),"Missing recommended action","OK")</f>
        <v>Missing recommended action</v>
      </c>
      <c r="M318" s="64" t="s">
        <v>4908</v>
      </c>
      <c r="N318" s="64" t="s">
        <v>8197</v>
      </c>
    </row>
    <row r="319" spans="1:14" ht="51">
      <c r="A319" s="52" t="s">
        <v>4916</v>
      </c>
      <c r="B319" s="52" t="s">
        <v>90</v>
      </c>
      <c r="C319" s="52" t="s">
        <v>1481</v>
      </c>
      <c r="D319" s="52" t="s">
        <v>4917</v>
      </c>
      <c r="E319" s="52">
        <f>'IT Cloud DR'!$H$30</f>
        <v>0</v>
      </c>
      <c r="F319" s="52" t="str">
        <f>'IT Cloud DR'!$L$30</f>
        <v/>
      </c>
      <c r="G319" s="52" t="str">
        <f>'IT Cloud DR'!$T$30</f>
        <v>CIO / CTO / IT Ops</v>
      </c>
      <c r="H319" s="52">
        <f>'IT Cloud DR'!$U$30</f>
        <v>0</v>
      </c>
      <c r="I319" s="52" t="str">
        <f t="shared" si="14"/>
        <v>OK</v>
      </c>
      <c r="J319" s="52" t="str">
        <f t="shared" si="15"/>
        <v>OK</v>
      </c>
      <c r="K319" s="52" t="str">
        <f t="shared" si="16"/>
        <v>OK</v>
      </c>
      <c r="L319" s="52" t="str">
        <f>IF(AND(E319&lt;&gt;"",E319&lt;&gt;"N/A",VALUE(E319)&lt;5,COUNTIF('Executive Recommendations'!$A$8:$A$414,A319)=0),"Missing recommended action","OK")</f>
        <v>Missing recommended action</v>
      </c>
      <c r="M319" s="52" t="s">
        <v>4918</v>
      </c>
      <c r="N319" s="52" t="s">
        <v>8204</v>
      </c>
    </row>
    <row r="320" spans="1:14" ht="51">
      <c r="A320" s="64" t="s">
        <v>4926</v>
      </c>
      <c r="B320" s="64" t="s">
        <v>90</v>
      </c>
      <c r="C320" s="64" t="s">
        <v>1481</v>
      </c>
      <c r="D320" s="64" t="s">
        <v>4927</v>
      </c>
      <c r="E320" s="64">
        <f>'IT Cloud DR'!$H$31</f>
        <v>0</v>
      </c>
      <c r="F320" s="64" t="str">
        <f>'IT Cloud DR'!$L$31</f>
        <v/>
      </c>
      <c r="G320" s="64" t="str">
        <f>'IT Cloud DR'!$T$31</f>
        <v>CIO / CTO / IT Ops</v>
      </c>
      <c r="H320" s="64">
        <f>'IT Cloud DR'!$U$31</f>
        <v>0</v>
      </c>
      <c r="I320" s="64" t="str">
        <f t="shared" si="14"/>
        <v>OK</v>
      </c>
      <c r="J320" s="64" t="str">
        <f t="shared" si="15"/>
        <v>OK</v>
      </c>
      <c r="K320" s="64" t="str">
        <f t="shared" si="16"/>
        <v>OK</v>
      </c>
      <c r="L320" s="64" t="str">
        <f>IF(AND(E320&lt;&gt;"",E320&lt;&gt;"N/A",VALUE(E320)&lt;5,COUNTIF('Executive Recommendations'!$A$8:$A$414,A320)=0),"Missing recommended action","OK")</f>
        <v>Missing recommended action</v>
      </c>
      <c r="M320" s="64" t="s">
        <v>4928</v>
      </c>
      <c r="N320" s="64" t="s">
        <v>8211</v>
      </c>
    </row>
    <row r="321" spans="1:14" ht="51">
      <c r="A321" s="52" t="s">
        <v>4936</v>
      </c>
      <c r="B321" s="52" t="s">
        <v>90</v>
      </c>
      <c r="C321" s="52" t="s">
        <v>1481</v>
      </c>
      <c r="D321" s="52" t="s">
        <v>4937</v>
      </c>
      <c r="E321" s="52">
        <f>'IT Cloud DR'!$H$32</f>
        <v>0</v>
      </c>
      <c r="F321" s="52" t="str">
        <f>'IT Cloud DR'!$L$32</f>
        <v/>
      </c>
      <c r="G321" s="52" t="str">
        <f>'IT Cloud DR'!$T$32</f>
        <v>CIO / CTO / IT Ops</v>
      </c>
      <c r="H321" s="52">
        <f>'IT Cloud DR'!$U$32</f>
        <v>0</v>
      </c>
      <c r="I321" s="52" t="str">
        <f t="shared" si="14"/>
        <v>OK</v>
      </c>
      <c r="J321" s="52" t="str">
        <f t="shared" si="15"/>
        <v>OK</v>
      </c>
      <c r="K321" s="52" t="str">
        <f t="shared" si="16"/>
        <v>OK</v>
      </c>
      <c r="L321" s="52" t="str">
        <f>IF(AND(E321&lt;&gt;"",E321&lt;&gt;"N/A",VALUE(E321)&lt;5,COUNTIF('Executive Recommendations'!$A$8:$A$414,A321)=0),"Missing recommended action","OK")</f>
        <v>Missing recommended action</v>
      </c>
      <c r="M321" s="52" t="s">
        <v>4938</v>
      </c>
      <c r="N321" s="52" t="s">
        <v>8218</v>
      </c>
    </row>
    <row r="322" spans="1:14" ht="51">
      <c r="A322" s="64" t="s">
        <v>4946</v>
      </c>
      <c r="B322" s="64" t="s">
        <v>90</v>
      </c>
      <c r="C322" s="64" t="s">
        <v>1481</v>
      </c>
      <c r="D322" s="64" t="s">
        <v>4947</v>
      </c>
      <c r="E322" s="64">
        <f>'IT Cloud DR'!$H$33</f>
        <v>0</v>
      </c>
      <c r="F322" s="64" t="str">
        <f>'IT Cloud DR'!$L$33</f>
        <v/>
      </c>
      <c r="G322" s="64" t="str">
        <f>'IT Cloud DR'!$T$33</f>
        <v>CIO / CTO / IT Ops</v>
      </c>
      <c r="H322" s="64">
        <f>'IT Cloud DR'!$U$33</f>
        <v>0</v>
      </c>
      <c r="I322" s="64" t="str">
        <f t="shared" si="14"/>
        <v>OK</v>
      </c>
      <c r="J322" s="64" t="str">
        <f t="shared" si="15"/>
        <v>OK</v>
      </c>
      <c r="K322" s="64" t="str">
        <f t="shared" si="16"/>
        <v>OK</v>
      </c>
      <c r="L322" s="64" t="str">
        <f>IF(AND(E322&lt;&gt;"",E322&lt;&gt;"N/A",VALUE(E322)&lt;5,COUNTIF('Executive Recommendations'!$A$8:$A$414,A322)=0),"Missing recommended action","OK")</f>
        <v>Missing recommended action</v>
      </c>
      <c r="M322" s="64" t="s">
        <v>4948</v>
      </c>
      <c r="N322" s="64" t="s">
        <v>8225</v>
      </c>
    </row>
    <row r="323" spans="1:14" ht="63.75">
      <c r="A323" s="52" t="s">
        <v>4958</v>
      </c>
      <c r="B323" s="52" t="s">
        <v>91</v>
      </c>
      <c r="C323" s="52" t="s">
        <v>1489</v>
      </c>
      <c r="D323" s="52" t="s">
        <v>4959</v>
      </c>
      <c r="E323" s="52">
        <f>'Business Systems'!$H$5</f>
        <v>0</v>
      </c>
      <c r="F323" s="52" t="str">
        <f>'Business Systems'!$L$5</f>
        <v/>
      </c>
      <c r="G323" s="52" t="str">
        <f>'Business Systems'!$T$5</f>
        <v>CIO / Business Systems</v>
      </c>
      <c r="H323" s="52">
        <f>'Business Systems'!$U$5</f>
        <v>0</v>
      </c>
      <c r="I323" s="52" t="str">
        <f t="shared" si="14"/>
        <v>OK</v>
      </c>
      <c r="J323" s="52" t="str">
        <f t="shared" si="15"/>
        <v>OK</v>
      </c>
      <c r="K323" s="52" t="str">
        <f t="shared" si="16"/>
        <v>OK</v>
      </c>
      <c r="L323" s="52" t="str">
        <f>IF(AND(E323&lt;&gt;"",E323&lt;&gt;"N/A",VALUE(E323)&lt;5,COUNTIF('Executive Recommendations'!$A$8:$A$414,A323)=0),"Missing recommended action","OK")</f>
        <v>Missing recommended action</v>
      </c>
      <c r="M323" s="52" t="s">
        <v>4962</v>
      </c>
      <c r="N323" s="52" t="s">
        <v>8233</v>
      </c>
    </row>
    <row r="324" spans="1:14" ht="63.75">
      <c r="A324" s="64" t="s">
        <v>4972</v>
      </c>
      <c r="B324" s="64" t="s">
        <v>91</v>
      </c>
      <c r="C324" s="64" t="s">
        <v>1489</v>
      </c>
      <c r="D324" s="64" t="s">
        <v>4973</v>
      </c>
      <c r="E324" s="64">
        <f>'Business Systems'!$H$6</f>
        <v>0</v>
      </c>
      <c r="F324" s="64" t="str">
        <f>'Business Systems'!$L$6</f>
        <v/>
      </c>
      <c r="G324" s="64" t="str">
        <f>'Business Systems'!$T$6</f>
        <v>CIO / Business Systems</v>
      </c>
      <c r="H324" s="64">
        <f>'Business Systems'!$U$6</f>
        <v>0</v>
      </c>
      <c r="I324" s="64" t="str">
        <f t="shared" si="14"/>
        <v>OK</v>
      </c>
      <c r="J324" s="64" t="str">
        <f t="shared" si="15"/>
        <v>OK</v>
      </c>
      <c r="K324" s="64" t="str">
        <f t="shared" si="16"/>
        <v>OK</v>
      </c>
      <c r="L324" s="64" t="str">
        <f>IF(AND(E324&lt;&gt;"",E324&lt;&gt;"N/A",VALUE(E324)&lt;5,COUNTIF('Executive Recommendations'!$A$8:$A$414,A324)=0),"Missing recommended action","OK")</f>
        <v>Missing recommended action</v>
      </c>
      <c r="M324" s="64" t="s">
        <v>4974</v>
      </c>
      <c r="N324" s="64" t="s">
        <v>8240</v>
      </c>
    </row>
    <row r="325" spans="1:14" ht="51">
      <c r="A325" s="52" t="s">
        <v>4982</v>
      </c>
      <c r="B325" s="52" t="s">
        <v>91</v>
      </c>
      <c r="C325" s="52" t="s">
        <v>1489</v>
      </c>
      <c r="D325" s="52" t="s">
        <v>4983</v>
      </c>
      <c r="E325" s="52">
        <f>'Business Systems'!$H$7</f>
        <v>0</v>
      </c>
      <c r="F325" s="52" t="str">
        <f>'Business Systems'!$L$7</f>
        <v/>
      </c>
      <c r="G325" s="52" t="str">
        <f>'Business Systems'!$T$7</f>
        <v>CIO / Business Systems</v>
      </c>
      <c r="H325" s="52">
        <f>'Business Systems'!$U$7</f>
        <v>0</v>
      </c>
      <c r="I325" s="52" t="str">
        <f t="shared" si="14"/>
        <v>OK</v>
      </c>
      <c r="J325" s="52" t="str">
        <f t="shared" si="15"/>
        <v>OK</v>
      </c>
      <c r="K325" s="52" t="str">
        <f t="shared" si="16"/>
        <v>OK</v>
      </c>
      <c r="L325" s="52" t="str">
        <f>IF(AND(E325&lt;&gt;"",E325&lt;&gt;"N/A",VALUE(E325)&lt;5,COUNTIF('Executive Recommendations'!$A$8:$A$414,A325)=0),"Missing recommended action","OK")</f>
        <v>Missing recommended action</v>
      </c>
      <c r="M325" s="52" t="s">
        <v>4984</v>
      </c>
      <c r="N325" s="52" t="s">
        <v>8247</v>
      </c>
    </row>
    <row r="326" spans="1:14" ht="51">
      <c r="A326" s="64" t="s">
        <v>4992</v>
      </c>
      <c r="B326" s="64" t="s">
        <v>91</v>
      </c>
      <c r="C326" s="64" t="s">
        <v>1489</v>
      </c>
      <c r="D326" s="64" t="s">
        <v>4993</v>
      </c>
      <c r="E326" s="64">
        <f>'Business Systems'!$H$8</f>
        <v>0</v>
      </c>
      <c r="F326" s="64" t="str">
        <f>'Business Systems'!$L$8</f>
        <v/>
      </c>
      <c r="G326" s="64" t="str">
        <f>'Business Systems'!$T$8</f>
        <v>CIO / Business Systems</v>
      </c>
      <c r="H326" s="64">
        <f>'Business Systems'!$U$8</f>
        <v>0</v>
      </c>
      <c r="I326" s="64" t="str">
        <f t="shared" si="14"/>
        <v>OK</v>
      </c>
      <c r="J326" s="64" t="str">
        <f t="shared" si="15"/>
        <v>OK</v>
      </c>
      <c r="K326" s="64" t="str">
        <f t="shared" si="16"/>
        <v>OK</v>
      </c>
      <c r="L326" s="64" t="str">
        <f>IF(AND(E326&lt;&gt;"",E326&lt;&gt;"N/A",VALUE(E326)&lt;5,COUNTIF('Executive Recommendations'!$A$8:$A$414,A326)=0),"Missing recommended action","OK")</f>
        <v>Missing recommended action</v>
      </c>
      <c r="M326" s="64" t="s">
        <v>4994</v>
      </c>
      <c r="N326" s="64" t="s">
        <v>8254</v>
      </c>
    </row>
    <row r="327" spans="1:14" ht="63.75">
      <c r="A327" s="52" t="s">
        <v>5002</v>
      </c>
      <c r="B327" s="52" t="s">
        <v>91</v>
      </c>
      <c r="C327" s="52" t="s">
        <v>1489</v>
      </c>
      <c r="D327" s="52" t="s">
        <v>5003</v>
      </c>
      <c r="E327" s="52">
        <f>'Business Systems'!$H$9</f>
        <v>0</v>
      </c>
      <c r="F327" s="52" t="str">
        <f>'Business Systems'!$L$9</f>
        <v/>
      </c>
      <c r="G327" s="52" t="str">
        <f>'Business Systems'!$T$9</f>
        <v>CIO / Business Systems</v>
      </c>
      <c r="H327" s="52">
        <f>'Business Systems'!$U$9</f>
        <v>0</v>
      </c>
      <c r="I327" s="52" t="str">
        <f t="shared" si="14"/>
        <v>OK</v>
      </c>
      <c r="J327" s="52" t="str">
        <f t="shared" si="15"/>
        <v>OK</v>
      </c>
      <c r="K327" s="52" t="str">
        <f t="shared" si="16"/>
        <v>OK</v>
      </c>
      <c r="L327" s="52" t="str">
        <f>IF(AND(E327&lt;&gt;"",E327&lt;&gt;"N/A",VALUE(E327)&lt;5,COUNTIF('Executive Recommendations'!$A$8:$A$414,A327)=0),"Missing recommended action","OK")</f>
        <v>Missing recommended action</v>
      </c>
      <c r="M327" s="52" t="s">
        <v>5004</v>
      </c>
      <c r="N327" s="52" t="s">
        <v>8261</v>
      </c>
    </row>
    <row r="328" spans="1:14" ht="63.75">
      <c r="A328" s="64" t="s">
        <v>5012</v>
      </c>
      <c r="B328" s="64" t="s">
        <v>91</v>
      </c>
      <c r="C328" s="64" t="s">
        <v>1503</v>
      </c>
      <c r="D328" s="64" t="s">
        <v>5013</v>
      </c>
      <c r="E328" s="64">
        <f>'Business Systems'!$H$10</f>
        <v>0</v>
      </c>
      <c r="F328" s="64" t="str">
        <f>'Business Systems'!$L$10</f>
        <v/>
      </c>
      <c r="G328" s="64" t="str">
        <f>'Business Systems'!$T$10</f>
        <v>CIO / Business Systems</v>
      </c>
      <c r="H328" s="64">
        <f>'Business Systems'!$U$10</f>
        <v>0</v>
      </c>
      <c r="I328" s="64" t="str">
        <f t="shared" si="14"/>
        <v>OK</v>
      </c>
      <c r="J328" s="64" t="str">
        <f t="shared" si="15"/>
        <v>OK</v>
      </c>
      <c r="K328" s="64" t="str">
        <f t="shared" si="16"/>
        <v>OK</v>
      </c>
      <c r="L328" s="64" t="str">
        <f>IF(AND(E328&lt;&gt;"",E328&lt;&gt;"N/A",VALUE(E328)&lt;5,COUNTIF('Executive Recommendations'!$A$8:$A$414,A328)=0),"Missing recommended action","OK")</f>
        <v>Missing recommended action</v>
      </c>
      <c r="M328" s="64" t="s">
        <v>5014</v>
      </c>
      <c r="N328" s="64" t="s">
        <v>8269</v>
      </c>
    </row>
    <row r="329" spans="1:14" ht="51">
      <c r="A329" s="52" t="s">
        <v>5022</v>
      </c>
      <c r="B329" s="52" t="s">
        <v>91</v>
      </c>
      <c r="C329" s="52" t="s">
        <v>1503</v>
      </c>
      <c r="D329" s="52" t="s">
        <v>5023</v>
      </c>
      <c r="E329" s="52">
        <f>'Business Systems'!$H$11</f>
        <v>0</v>
      </c>
      <c r="F329" s="52" t="str">
        <f>'Business Systems'!$L$11</f>
        <v/>
      </c>
      <c r="G329" s="52" t="str">
        <f>'Business Systems'!$T$11</f>
        <v>CIO / Business Systems</v>
      </c>
      <c r="H329" s="52">
        <f>'Business Systems'!$U$11</f>
        <v>0</v>
      </c>
      <c r="I329" s="52" t="str">
        <f t="shared" si="14"/>
        <v>OK</v>
      </c>
      <c r="J329" s="52" t="str">
        <f t="shared" si="15"/>
        <v>OK</v>
      </c>
      <c r="K329" s="52" t="str">
        <f t="shared" si="16"/>
        <v>OK</v>
      </c>
      <c r="L329" s="52" t="str">
        <f>IF(AND(E329&lt;&gt;"",E329&lt;&gt;"N/A",VALUE(E329)&lt;5,COUNTIF('Executive Recommendations'!$A$8:$A$414,A329)=0),"Missing recommended action","OK")</f>
        <v>Missing recommended action</v>
      </c>
      <c r="M329" s="52" t="s">
        <v>5024</v>
      </c>
      <c r="N329" s="52" t="s">
        <v>8276</v>
      </c>
    </row>
    <row r="330" spans="1:14" ht="63.75">
      <c r="A330" s="64" t="s">
        <v>5032</v>
      </c>
      <c r="B330" s="64" t="s">
        <v>91</v>
      </c>
      <c r="C330" s="64" t="s">
        <v>1503</v>
      </c>
      <c r="D330" s="64" t="s">
        <v>5033</v>
      </c>
      <c r="E330" s="64">
        <f>'Business Systems'!$H$12</f>
        <v>0</v>
      </c>
      <c r="F330" s="64" t="str">
        <f>'Business Systems'!$L$12</f>
        <v/>
      </c>
      <c r="G330" s="64" t="str">
        <f>'Business Systems'!$T$12</f>
        <v>CIO / Business Systems</v>
      </c>
      <c r="H330" s="64">
        <f>'Business Systems'!$U$12</f>
        <v>0</v>
      </c>
      <c r="I330" s="64" t="str">
        <f t="shared" si="14"/>
        <v>OK</v>
      </c>
      <c r="J330" s="64" t="str">
        <f t="shared" si="15"/>
        <v>OK</v>
      </c>
      <c r="K330" s="64" t="str">
        <f t="shared" si="16"/>
        <v>OK</v>
      </c>
      <c r="L330" s="64" t="str">
        <f>IF(AND(E330&lt;&gt;"",E330&lt;&gt;"N/A",VALUE(E330)&lt;5,COUNTIF('Executive Recommendations'!$A$8:$A$414,A330)=0),"Missing recommended action","OK")</f>
        <v>Missing recommended action</v>
      </c>
      <c r="M330" s="64" t="s">
        <v>5034</v>
      </c>
      <c r="N330" s="64" t="s">
        <v>8283</v>
      </c>
    </row>
    <row r="331" spans="1:14" ht="51">
      <c r="A331" s="52" t="s">
        <v>5042</v>
      </c>
      <c r="B331" s="52" t="s">
        <v>91</v>
      </c>
      <c r="C331" s="52" t="s">
        <v>1503</v>
      </c>
      <c r="D331" s="52" t="s">
        <v>5043</v>
      </c>
      <c r="E331" s="52">
        <f>'Business Systems'!$H$13</f>
        <v>0</v>
      </c>
      <c r="F331" s="52" t="str">
        <f>'Business Systems'!$L$13</f>
        <v/>
      </c>
      <c r="G331" s="52" t="str">
        <f>'Business Systems'!$T$13</f>
        <v>CIO / Business Systems</v>
      </c>
      <c r="H331" s="52">
        <f>'Business Systems'!$U$13</f>
        <v>0</v>
      </c>
      <c r="I331" s="52" t="str">
        <f t="shared" si="14"/>
        <v>OK</v>
      </c>
      <c r="J331" s="52" t="str">
        <f t="shared" si="15"/>
        <v>OK</v>
      </c>
      <c r="K331" s="52" t="str">
        <f t="shared" si="16"/>
        <v>OK</v>
      </c>
      <c r="L331" s="52" t="str">
        <f>IF(AND(E331&lt;&gt;"",E331&lt;&gt;"N/A",VALUE(E331)&lt;5,COUNTIF('Executive Recommendations'!$A$8:$A$414,A331)=0),"Missing recommended action","OK")</f>
        <v>Missing recommended action</v>
      </c>
      <c r="M331" s="52" t="s">
        <v>5044</v>
      </c>
      <c r="N331" s="52" t="s">
        <v>8290</v>
      </c>
    </row>
    <row r="332" spans="1:14" ht="51">
      <c r="A332" s="64" t="s">
        <v>5052</v>
      </c>
      <c r="B332" s="64" t="s">
        <v>91</v>
      </c>
      <c r="C332" s="64" t="s">
        <v>1511</v>
      </c>
      <c r="D332" s="64" t="s">
        <v>5053</v>
      </c>
      <c r="E332" s="64">
        <f>'Business Systems'!$H$14</f>
        <v>0</v>
      </c>
      <c r="F332" s="64" t="str">
        <f>'Business Systems'!$L$14</f>
        <v/>
      </c>
      <c r="G332" s="64" t="str">
        <f>'Business Systems'!$T$14</f>
        <v>CIO / Business Systems</v>
      </c>
      <c r="H332" s="64">
        <f>'Business Systems'!$U$14</f>
        <v>0</v>
      </c>
      <c r="I332" s="64" t="str">
        <f t="shared" si="14"/>
        <v>OK</v>
      </c>
      <c r="J332" s="64" t="str">
        <f t="shared" si="15"/>
        <v>OK</v>
      </c>
      <c r="K332" s="64" t="str">
        <f t="shared" si="16"/>
        <v>OK</v>
      </c>
      <c r="L332" s="64" t="str">
        <f>IF(AND(E332&lt;&gt;"",E332&lt;&gt;"N/A",VALUE(E332)&lt;5,COUNTIF('Executive Recommendations'!$A$8:$A$414,A332)=0),"Missing recommended action","OK")</f>
        <v>Missing recommended action</v>
      </c>
      <c r="M332" s="64" t="s">
        <v>5054</v>
      </c>
      <c r="N332" s="64" t="s">
        <v>8298</v>
      </c>
    </row>
    <row r="333" spans="1:14" ht="51">
      <c r="A333" s="52" t="s">
        <v>5062</v>
      </c>
      <c r="B333" s="52" t="s">
        <v>91</v>
      </c>
      <c r="C333" s="52" t="s">
        <v>1511</v>
      </c>
      <c r="D333" s="52" t="s">
        <v>5063</v>
      </c>
      <c r="E333" s="52">
        <f>'Business Systems'!$H$15</f>
        <v>0</v>
      </c>
      <c r="F333" s="52" t="str">
        <f>'Business Systems'!$L$15</f>
        <v/>
      </c>
      <c r="G333" s="52" t="str">
        <f>'Business Systems'!$T$15</f>
        <v>CIO / Business Systems</v>
      </c>
      <c r="H333" s="52">
        <f>'Business Systems'!$U$15</f>
        <v>0</v>
      </c>
      <c r="I333" s="52" t="str">
        <f t="shared" si="14"/>
        <v>OK</v>
      </c>
      <c r="J333" s="52" t="str">
        <f t="shared" si="15"/>
        <v>OK</v>
      </c>
      <c r="K333" s="52" t="str">
        <f t="shared" si="16"/>
        <v>OK</v>
      </c>
      <c r="L333" s="52" t="str">
        <f>IF(AND(E333&lt;&gt;"",E333&lt;&gt;"N/A",VALUE(E333)&lt;5,COUNTIF('Executive Recommendations'!$A$8:$A$414,A333)=0),"Missing recommended action","OK")</f>
        <v>Missing recommended action</v>
      </c>
      <c r="M333" s="52" t="s">
        <v>5064</v>
      </c>
      <c r="N333" s="52" t="s">
        <v>8305</v>
      </c>
    </row>
    <row r="334" spans="1:14" ht="63.75">
      <c r="A334" s="64" t="s">
        <v>5072</v>
      </c>
      <c r="B334" s="64" t="s">
        <v>91</v>
      </c>
      <c r="C334" s="64" t="s">
        <v>1511</v>
      </c>
      <c r="D334" s="64" t="s">
        <v>5073</v>
      </c>
      <c r="E334" s="64">
        <f>'Business Systems'!$H$16</f>
        <v>0</v>
      </c>
      <c r="F334" s="64" t="str">
        <f>'Business Systems'!$L$16</f>
        <v/>
      </c>
      <c r="G334" s="64" t="str">
        <f>'Business Systems'!$T$16</f>
        <v>CIO / Business Systems</v>
      </c>
      <c r="H334" s="64">
        <f>'Business Systems'!$U$16</f>
        <v>0</v>
      </c>
      <c r="I334" s="64" t="str">
        <f t="shared" si="14"/>
        <v>OK</v>
      </c>
      <c r="J334" s="64" t="str">
        <f t="shared" si="15"/>
        <v>OK</v>
      </c>
      <c r="K334" s="64" t="str">
        <f t="shared" si="16"/>
        <v>OK</v>
      </c>
      <c r="L334" s="64" t="str">
        <f>IF(AND(E334&lt;&gt;"",E334&lt;&gt;"N/A",VALUE(E334)&lt;5,COUNTIF('Executive Recommendations'!$A$8:$A$414,A334)=0),"Missing recommended action","OK")</f>
        <v>Missing recommended action</v>
      </c>
      <c r="M334" s="64" t="s">
        <v>5074</v>
      </c>
      <c r="N334" s="64" t="s">
        <v>8312</v>
      </c>
    </row>
    <row r="335" spans="1:14" ht="51">
      <c r="A335" s="52" t="s">
        <v>5082</v>
      </c>
      <c r="B335" s="52" t="s">
        <v>91</v>
      </c>
      <c r="C335" s="52" t="s">
        <v>1511</v>
      </c>
      <c r="D335" s="52" t="s">
        <v>5083</v>
      </c>
      <c r="E335" s="52">
        <f>'Business Systems'!$H$17</f>
        <v>0</v>
      </c>
      <c r="F335" s="52" t="str">
        <f>'Business Systems'!$L$17</f>
        <v/>
      </c>
      <c r="G335" s="52" t="str">
        <f>'Business Systems'!$T$17</f>
        <v>CIO / Business Systems</v>
      </c>
      <c r="H335" s="52">
        <f>'Business Systems'!$U$17</f>
        <v>0</v>
      </c>
      <c r="I335" s="52" t="str">
        <f t="shared" si="14"/>
        <v>OK</v>
      </c>
      <c r="J335" s="52" t="str">
        <f t="shared" si="15"/>
        <v>OK</v>
      </c>
      <c r="K335" s="52" t="str">
        <f t="shared" si="16"/>
        <v>OK</v>
      </c>
      <c r="L335" s="52" t="str">
        <f>IF(AND(E335&lt;&gt;"",E335&lt;&gt;"N/A",VALUE(E335)&lt;5,COUNTIF('Executive Recommendations'!$A$8:$A$414,A335)=0),"Missing recommended action","OK")</f>
        <v>Missing recommended action</v>
      </c>
      <c r="M335" s="52" t="s">
        <v>5084</v>
      </c>
      <c r="N335" s="52" t="s">
        <v>8319</v>
      </c>
    </row>
    <row r="336" spans="1:14" ht="63.75">
      <c r="A336" s="64" t="s">
        <v>5092</v>
      </c>
      <c r="B336" s="64" t="s">
        <v>91</v>
      </c>
      <c r="C336" s="64" t="s">
        <v>1519</v>
      </c>
      <c r="D336" s="64" t="s">
        <v>5093</v>
      </c>
      <c r="E336" s="64">
        <f>'Business Systems'!$H$18</f>
        <v>0</v>
      </c>
      <c r="F336" s="64" t="str">
        <f>'Business Systems'!$L$18</f>
        <v/>
      </c>
      <c r="G336" s="64" t="str">
        <f>'Business Systems'!$T$18</f>
        <v>CIO / Business Systems</v>
      </c>
      <c r="H336" s="64">
        <f>'Business Systems'!$U$18</f>
        <v>0</v>
      </c>
      <c r="I336" s="64" t="str">
        <f t="shared" si="14"/>
        <v>OK</v>
      </c>
      <c r="J336" s="64" t="str">
        <f t="shared" si="15"/>
        <v>OK</v>
      </c>
      <c r="K336" s="64" t="str">
        <f t="shared" si="16"/>
        <v>OK</v>
      </c>
      <c r="L336" s="64" t="str">
        <f>IF(AND(E336&lt;&gt;"",E336&lt;&gt;"N/A",VALUE(E336)&lt;5,COUNTIF('Executive Recommendations'!$A$8:$A$414,A336)=0),"Missing recommended action","OK")</f>
        <v>Missing recommended action</v>
      </c>
      <c r="M336" s="64" t="s">
        <v>5094</v>
      </c>
      <c r="N336" s="64" t="s">
        <v>8327</v>
      </c>
    </row>
    <row r="337" spans="1:14" ht="51">
      <c r="A337" s="52" t="s">
        <v>5102</v>
      </c>
      <c r="B337" s="52" t="s">
        <v>91</v>
      </c>
      <c r="C337" s="52" t="s">
        <v>1519</v>
      </c>
      <c r="D337" s="52" t="s">
        <v>5103</v>
      </c>
      <c r="E337" s="52">
        <f>'Business Systems'!$H$19</f>
        <v>0</v>
      </c>
      <c r="F337" s="52" t="str">
        <f>'Business Systems'!$L$19</f>
        <v/>
      </c>
      <c r="G337" s="52" t="str">
        <f>'Business Systems'!$T$19</f>
        <v>CIO / Business Systems</v>
      </c>
      <c r="H337" s="52">
        <f>'Business Systems'!$U$19</f>
        <v>0</v>
      </c>
      <c r="I337" s="52" t="str">
        <f t="shared" si="14"/>
        <v>OK</v>
      </c>
      <c r="J337" s="52" t="str">
        <f t="shared" si="15"/>
        <v>OK</v>
      </c>
      <c r="K337" s="52" t="str">
        <f t="shared" si="16"/>
        <v>OK</v>
      </c>
      <c r="L337" s="52" t="str">
        <f>IF(AND(E337&lt;&gt;"",E337&lt;&gt;"N/A",VALUE(E337)&lt;5,COUNTIF('Executive Recommendations'!$A$8:$A$414,A337)=0),"Missing recommended action","OK")</f>
        <v>Missing recommended action</v>
      </c>
      <c r="M337" s="52" t="s">
        <v>5104</v>
      </c>
      <c r="N337" s="52" t="s">
        <v>8334</v>
      </c>
    </row>
    <row r="338" spans="1:14" ht="51">
      <c r="A338" s="64" t="s">
        <v>5112</v>
      </c>
      <c r="B338" s="64" t="s">
        <v>91</v>
      </c>
      <c r="C338" s="64" t="s">
        <v>1519</v>
      </c>
      <c r="D338" s="64" t="s">
        <v>5113</v>
      </c>
      <c r="E338" s="64">
        <f>'Business Systems'!$H$20</f>
        <v>0</v>
      </c>
      <c r="F338" s="64" t="str">
        <f>'Business Systems'!$L$20</f>
        <v/>
      </c>
      <c r="G338" s="64" t="str">
        <f>'Business Systems'!$T$20</f>
        <v>CIO / Business Systems</v>
      </c>
      <c r="H338" s="64">
        <f>'Business Systems'!$U$20</f>
        <v>0</v>
      </c>
      <c r="I338" s="64" t="str">
        <f t="shared" si="14"/>
        <v>OK</v>
      </c>
      <c r="J338" s="64" t="str">
        <f t="shared" si="15"/>
        <v>OK</v>
      </c>
      <c r="K338" s="64" t="str">
        <f t="shared" si="16"/>
        <v>OK</v>
      </c>
      <c r="L338" s="64" t="str">
        <f>IF(AND(E338&lt;&gt;"",E338&lt;&gt;"N/A",VALUE(E338)&lt;5,COUNTIF('Executive Recommendations'!$A$8:$A$414,A338)=0),"Missing recommended action","OK")</f>
        <v>Missing recommended action</v>
      </c>
      <c r="M338" s="64" t="s">
        <v>5114</v>
      </c>
      <c r="N338" s="64" t="s">
        <v>8341</v>
      </c>
    </row>
    <row r="339" spans="1:14" ht="51">
      <c r="A339" s="52" t="s">
        <v>5122</v>
      </c>
      <c r="B339" s="52" t="s">
        <v>91</v>
      </c>
      <c r="C339" s="52" t="s">
        <v>1519</v>
      </c>
      <c r="D339" s="52" t="s">
        <v>5123</v>
      </c>
      <c r="E339" s="52">
        <f>'Business Systems'!$H$21</f>
        <v>0</v>
      </c>
      <c r="F339" s="52" t="str">
        <f>'Business Systems'!$L$21</f>
        <v/>
      </c>
      <c r="G339" s="52" t="str">
        <f>'Business Systems'!$T$21</f>
        <v>CIO / Business Systems</v>
      </c>
      <c r="H339" s="52">
        <f>'Business Systems'!$U$21</f>
        <v>0</v>
      </c>
      <c r="I339" s="52" t="str">
        <f t="shared" si="14"/>
        <v>OK</v>
      </c>
      <c r="J339" s="52" t="str">
        <f t="shared" si="15"/>
        <v>OK</v>
      </c>
      <c r="K339" s="52" t="str">
        <f t="shared" si="16"/>
        <v>OK</v>
      </c>
      <c r="L339" s="52" t="str">
        <f>IF(AND(E339&lt;&gt;"",E339&lt;&gt;"N/A",VALUE(E339)&lt;5,COUNTIF('Executive Recommendations'!$A$8:$A$414,A339)=0),"Missing recommended action","OK")</f>
        <v>Missing recommended action</v>
      </c>
      <c r="M339" s="52" t="s">
        <v>5124</v>
      </c>
      <c r="N339" s="52" t="s">
        <v>8348</v>
      </c>
    </row>
    <row r="340" spans="1:14" ht="51">
      <c r="A340" s="64" t="s">
        <v>5132</v>
      </c>
      <c r="B340" s="64" t="s">
        <v>91</v>
      </c>
      <c r="C340" s="64" t="s">
        <v>1527</v>
      </c>
      <c r="D340" s="64" t="s">
        <v>5133</v>
      </c>
      <c r="E340" s="64">
        <f>'Business Systems'!$H$22</f>
        <v>0</v>
      </c>
      <c r="F340" s="64" t="str">
        <f>'Business Systems'!$L$22</f>
        <v/>
      </c>
      <c r="G340" s="64" t="str">
        <f>'Business Systems'!$T$22</f>
        <v>CIO / Business Systems</v>
      </c>
      <c r="H340" s="64">
        <f>'Business Systems'!$U$22</f>
        <v>0</v>
      </c>
      <c r="I340" s="64" t="str">
        <f t="shared" ref="I340:I403" si="17">IF(E340="","Missing score",IF(E340="N/A","OK",IF(AND(ISNUMBER(VALUE(E340)),VALUE(E340)&gt;=0,VALUE(E340)&lt;=5),"OK","Invalid score")))</f>
        <v>OK</v>
      </c>
      <c r="J340" s="64" t="str">
        <f t="shared" ref="J340:J403" si="18">IF(OR(F340="Critical",F340="High"),IF(H340="","Missing comments for high/critical risk","OK"),"OK")</f>
        <v>OK</v>
      </c>
      <c r="K340" s="64" t="str">
        <f t="shared" ref="K340:K403" si="19">IF(G340="","Missing owner","OK")</f>
        <v>OK</v>
      </c>
      <c r="L340" s="64" t="str">
        <f>IF(AND(E340&lt;&gt;"",E340&lt;&gt;"N/A",VALUE(E340)&lt;5,COUNTIF('Executive Recommendations'!$A$8:$A$414,A340)=0),"Missing recommended action","OK")</f>
        <v>Missing recommended action</v>
      </c>
      <c r="M340" s="64" t="s">
        <v>5134</v>
      </c>
      <c r="N340" s="64" t="s">
        <v>8356</v>
      </c>
    </row>
    <row r="341" spans="1:14" ht="63.75">
      <c r="A341" s="52" t="s">
        <v>5142</v>
      </c>
      <c r="B341" s="52" t="s">
        <v>91</v>
      </c>
      <c r="C341" s="52" t="s">
        <v>1527</v>
      </c>
      <c r="D341" s="52" t="s">
        <v>5143</v>
      </c>
      <c r="E341" s="52">
        <f>'Business Systems'!$H$23</f>
        <v>0</v>
      </c>
      <c r="F341" s="52" t="str">
        <f>'Business Systems'!$L$23</f>
        <v/>
      </c>
      <c r="G341" s="52" t="str">
        <f>'Business Systems'!$T$23</f>
        <v>CIO / Business Systems</v>
      </c>
      <c r="H341" s="52">
        <f>'Business Systems'!$U$23</f>
        <v>0</v>
      </c>
      <c r="I341" s="52" t="str">
        <f t="shared" si="17"/>
        <v>OK</v>
      </c>
      <c r="J341" s="52" t="str">
        <f t="shared" si="18"/>
        <v>OK</v>
      </c>
      <c r="K341" s="52" t="str">
        <f t="shared" si="19"/>
        <v>OK</v>
      </c>
      <c r="L341" s="52" t="str">
        <f>IF(AND(E341&lt;&gt;"",E341&lt;&gt;"N/A",VALUE(E341)&lt;5,COUNTIF('Executive Recommendations'!$A$8:$A$414,A341)=0),"Missing recommended action","OK")</f>
        <v>Missing recommended action</v>
      </c>
      <c r="M341" s="52" t="s">
        <v>5144</v>
      </c>
      <c r="N341" s="52" t="s">
        <v>8363</v>
      </c>
    </row>
    <row r="342" spans="1:14" ht="63.75">
      <c r="A342" s="64" t="s">
        <v>5152</v>
      </c>
      <c r="B342" s="64" t="s">
        <v>91</v>
      </c>
      <c r="C342" s="64" t="s">
        <v>1527</v>
      </c>
      <c r="D342" s="64" t="s">
        <v>5153</v>
      </c>
      <c r="E342" s="64">
        <f>'Business Systems'!$H$24</f>
        <v>0</v>
      </c>
      <c r="F342" s="64" t="str">
        <f>'Business Systems'!$L$24</f>
        <v/>
      </c>
      <c r="G342" s="64" t="str">
        <f>'Business Systems'!$T$24</f>
        <v>CIO / Business Systems</v>
      </c>
      <c r="H342" s="64">
        <f>'Business Systems'!$U$24</f>
        <v>0</v>
      </c>
      <c r="I342" s="64" t="str">
        <f t="shared" si="17"/>
        <v>OK</v>
      </c>
      <c r="J342" s="64" t="str">
        <f t="shared" si="18"/>
        <v>OK</v>
      </c>
      <c r="K342" s="64" t="str">
        <f t="shared" si="19"/>
        <v>OK</v>
      </c>
      <c r="L342" s="64" t="str">
        <f>IF(AND(E342&lt;&gt;"",E342&lt;&gt;"N/A",VALUE(E342)&lt;5,COUNTIF('Executive Recommendations'!$A$8:$A$414,A342)=0),"Missing recommended action","OK")</f>
        <v>Missing recommended action</v>
      </c>
      <c r="M342" s="64" t="s">
        <v>5154</v>
      </c>
      <c r="N342" s="64" t="s">
        <v>8370</v>
      </c>
    </row>
    <row r="343" spans="1:14" ht="51">
      <c r="A343" s="52" t="s">
        <v>5162</v>
      </c>
      <c r="B343" s="52" t="s">
        <v>91</v>
      </c>
      <c r="C343" s="52" t="s">
        <v>1527</v>
      </c>
      <c r="D343" s="52" t="s">
        <v>5163</v>
      </c>
      <c r="E343" s="52">
        <f>'Business Systems'!$H$25</f>
        <v>0</v>
      </c>
      <c r="F343" s="52" t="str">
        <f>'Business Systems'!$L$25</f>
        <v/>
      </c>
      <c r="G343" s="52" t="str">
        <f>'Business Systems'!$T$25</f>
        <v>CIO / Business Systems</v>
      </c>
      <c r="H343" s="52">
        <f>'Business Systems'!$U$25</f>
        <v>0</v>
      </c>
      <c r="I343" s="52" t="str">
        <f t="shared" si="17"/>
        <v>OK</v>
      </c>
      <c r="J343" s="52" t="str">
        <f t="shared" si="18"/>
        <v>OK</v>
      </c>
      <c r="K343" s="52" t="str">
        <f t="shared" si="19"/>
        <v>OK</v>
      </c>
      <c r="L343" s="52" t="str">
        <f>IF(AND(E343&lt;&gt;"",E343&lt;&gt;"N/A",VALUE(E343)&lt;5,COUNTIF('Executive Recommendations'!$A$8:$A$414,A343)=0),"Missing recommended action","OK")</f>
        <v>Missing recommended action</v>
      </c>
      <c r="M343" s="52" t="s">
        <v>5164</v>
      </c>
      <c r="N343" s="52" t="s">
        <v>8377</v>
      </c>
    </row>
    <row r="344" spans="1:14" ht="51">
      <c r="A344" s="64" t="s">
        <v>5172</v>
      </c>
      <c r="B344" s="64" t="s">
        <v>91</v>
      </c>
      <c r="C344" s="64" t="s">
        <v>1527</v>
      </c>
      <c r="D344" s="64" t="s">
        <v>5173</v>
      </c>
      <c r="E344" s="64">
        <f>'Business Systems'!$H$26</f>
        <v>0</v>
      </c>
      <c r="F344" s="64" t="str">
        <f>'Business Systems'!$L$26</f>
        <v/>
      </c>
      <c r="G344" s="64" t="str">
        <f>'Business Systems'!$T$26</f>
        <v>CIO / Business Systems</v>
      </c>
      <c r="H344" s="64">
        <f>'Business Systems'!$U$26</f>
        <v>0</v>
      </c>
      <c r="I344" s="64" t="str">
        <f t="shared" si="17"/>
        <v>OK</v>
      </c>
      <c r="J344" s="64" t="str">
        <f t="shared" si="18"/>
        <v>OK</v>
      </c>
      <c r="K344" s="64" t="str">
        <f t="shared" si="19"/>
        <v>OK</v>
      </c>
      <c r="L344" s="64" t="str">
        <f>IF(AND(E344&lt;&gt;"",E344&lt;&gt;"N/A",VALUE(E344)&lt;5,COUNTIF('Executive Recommendations'!$A$8:$A$414,A344)=0),"Missing recommended action","OK")</f>
        <v>Missing recommended action</v>
      </c>
      <c r="M344" s="64" t="s">
        <v>5174</v>
      </c>
      <c r="N344" s="64" t="s">
        <v>8384</v>
      </c>
    </row>
    <row r="345" spans="1:14" ht="51">
      <c r="A345" s="52" t="s">
        <v>5182</v>
      </c>
      <c r="B345" s="52" t="s">
        <v>91</v>
      </c>
      <c r="C345" s="52" t="s">
        <v>1527</v>
      </c>
      <c r="D345" s="52" t="s">
        <v>5183</v>
      </c>
      <c r="E345" s="52">
        <f>'Business Systems'!$H$27</f>
        <v>0</v>
      </c>
      <c r="F345" s="52" t="str">
        <f>'Business Systems'!$L$27</f>
        <v/>
      </c>
      <c r="G345" s="52" t="str">
        <f>'Business Systems'!$T$27</f>
        <v>CIO / Business Systems</v>
      </c>
      <c r="H345" s="52">
        <f>'Business Systems'!$U$27</f>
        <v>0</v>
      </c>
      <c r="I345" s="52" t="str">
        <f t="shared" si="17"/>
        <v>OK</v>
      </c>
      <c r="J345" s="52" t="str">
        <f t="shared" si="18"/>
        <v>OK</v>
      </c>
      <c r="K345" s="52" t="str">
        <f t="shared" si="19"/>
        <v>OK</v>
      </c>
      <c r="L345" s="52" t="str">
        <f>IF(AND(E345&lt;&gt;"",E345&lt;&gt;"N/A",VALUE(E345)&lt;5,COUNTIF('Executive Recommendations'!$A$8:$A$414,A345)=0),"Missing recommended action","OK")</f>
        <v>Missing recommended action</v>
      </c>
      <c r="M345" s="52" t="s">
        <v>5184</v>
      </c>
      <c r="N345" s="52" t="s">
        <v>8391</v>
      </c>
    </row>
    <row r="346" spans="1:14" ht="51">
      <c r="A346" s="64" t="s">
        <v>5194</v>
      </c>
      <c r="B346" s="64" t="s">
        <v>92</v>
      </c>
      <c r="C346" s="64" t="s">
        <v>1535</v>
      </c>
      <c r="D346" s="64" t="s">
        <v>5195</v>
      </c>
      <c r="E346" s="64">
        <f>'Data BI AI'!$H$5</f>
        <v>0</v>
      </c>
      <c r="F346" s="64" t="str">
        <f>'Data BI AI'!$L$5</f>
        <v/>
      </c>
      <c r="G346" s="64" t="str">
        <f>'Data BI AI'!$T$5</f>
        <v>CDO / BI / Analytics</v>
      </c>
      <c r="H346" s="64">
        <f>'Data BI AI'!$U$5</f>
        <v>0</v>
      </c>
      <c r="I346" s="64" t="str">
        <f t="shared" si="17"/>
        <v>OK</v>
      </c>
      <c r="J346" s="64" t="str">
        <f t="shared" si="18"/>
        <v>OK</v>
      </c>
      <c r="K346" s="64" t="str">
        <f t="shared" si="19"/>
        <v>OK</v>
      </c>
      <c r="L346" s="64" t="str">
        <f>IF(AND(E346&lt;&gt;"",E346&lt;&gt;"N/A",VALUE(E346)&lt;5,COUNTIF('Executive Recommendations'!$A$8:$A$414,A346)=0),"Missing recommended action","OK")</f>
        <v>Missing recommended action</v>
      </c>
      <c r="M346" s="64" t="s">
        <v>5198</v>
      </c>
      <c r="N346" s="64" t="s">
        <v>8399</v>
      </c>
    </row>
    <row r="347" spans="1:14" ht="51">
      <c r="A347" s="52" t="s">
        <v>5208</v>
      </c>
      <c r="B347" s="52" t="s">
        <v>92</v>
      </c>
      <c r="C347" s="52" t="s">
        <v>1535</v>
      </c>
      <c r="D347" s="52" t="s">
        <v>5209</v>
      </c>
      <c r="E347" s="52">
        <f>'Data BI AI'!$H$6</f>
        <v>0</v>
      </c>
      <c r="F347" s="52" t="str">
        <f>'Data BI AI'!$L$6</f>
        <v/>
      </c>
      <c r="G347" s="52" t="str">
        <f>'Data BI AI'!$T$6</f>
        <v>CDO / BI / Analytics</v>
      </c>
      <c r="H347" s="52">
        <f>'Data BI AI'!$U$6</f>
        <v>0</v>
      </c>
      <c r="I347" s="52" t="str">
        <f t="shared" si="17"/>
        <v>OK</v>
      </c>
      <c r="J347" s="52" t="str">
        <f t="shared" si="18"/>
        <v>OK</v>
      </c>
      <c r="K347" s="52" t="str">
        <f t="shared" si="19"/>
        <v>OK</v>
      </c>
      <c r="L347" s="52" t="str">
        <f>IF(AND(E347&lt;&gt;"",E347&lt;&gt;"N/A",VALUE(E347)&lt;5,COUNTIF('Executive Recommendations'!$A$8:$A$414,A347)=0),"Missing recommended action","OK")</f>
        <v>Missing recommended action</v>
      </c>
      <c r="M347" s="52" t="s">
        <v>5210</v>
      </c>
      <c r="N347" s="52" t="s">
        <v>8406</v>
      </c>
    </row>
    <row r="348" spans="1:14" ht="63.75">
      <c r="A348" s="64" t="s">
        <v>5218</v>
      </c>
      <c r="B348" s="64" t="s">
        <v>92</v>
      </c>
      <c r="C348" s="64" t="s">
        <v>1535</v>
      </c>
      <c r="D348" s="64" t="s">
        <v>5219</v>
      </c>
      <c r="E348" s="64">
        <f>'Data BI AI'!$H$7</f>
        <v>0</v>
      </c>
      <c r="F348" s="64" t="str">
        <f>'Data BI AI'!$L$7</f>
        <v/>
      </c>
      <c r="G348" s="64" t="str">
        <f>'Data BI AI'!$T$7</f>
        <v>CDO / BI / Analytics</v>
      </c>
      <c r="H348" s="64">
        <f>'Data BI AI'!$U$7</f>
        <v>0</v>
      </c>
      <c r="I348" s="64" t="str">
        <f t="shared" si="17"/>
        <v>OK</v>
      </c>
      <c r="J348" s="64" t="str">
        <f t="shared" si="18"/>
        <v>OK</v>
      </c>
      <c r="K348" s="64" t="str">
        <f t="shared" si="19"/>
        <v>OK</v>
      </c>
      <c r="L348" s="64" t="str">
        <f>IF(AND(E348&lt;&gt;"",E348&lt;&gt;"N/A",VALUE(E348)&lt;5,COUNTIF('Executive Recommendations'!$A$8:$A$414,A348)=0),"Missing recommended action","OK")</f>
        <v>Missing recommended action</v>
      </c>
      <c r="M348" s="64" t="s">
        <v>5220</v>
      </c>
      <c r="N348" s="64" t="s">
        <v>8413</v>
      </c>
    </row>
    <row r="349" spans="1:14" ht="51">
      <c r="A349" s="52" t="s">
        <v>5228</v>
      </c>
      <c r="B349" s="52" t="s">
        <v>92</v>
      </c>
      <c r="C349" s="52" t="s">
        <v>1535</v>
      </c>
      <c r="D349" s="52" t="s">
        <v>5229</v>
      </c>
      <c r="E349" s="52">
        <f>'Data BI AI'!$H$8</f>
        <v>0</v>
      </c>
      <c r="F349" s="52" t="str">
        <f>'Data BI AI'!$L$8</f>
        <v/>
      </c>
      <c r="G349" s="52" t="str">
        <f>'Data BI AI'!$T$8</f>
        <v>CDO / BI / Analytics</v>
      </c>
      <c r="H349" s="52">
        <f>'Data BI AI'!$U$8</f>
        <v>0</v>
      </c>
      <c r="I349" s="52" t="str">
        <f t="shared" si="17"/>
        <v>OK</v>
      </c>
      <c r="J349" s="52" t="str">
        <f t="shared" si="18"/>
        <v>OK</v>
      </c>
      <c r="K349" s="52" t="str">
        <f t="shared" si="19"/>
        <v>OK</v>
      </c>
      <c r="L349" s="52" t="str">
        <f>IF(AND(E349&lt;&gt;"",E349&lt;&gt;"N/A",VALUE(E349)&lt;5,COUNTIF('Executive Recommendations'!$A$8:$A$414,A349)=0),"Missing recommended action","OK")</f>
        <v>Missing recommended action</v>
      </c>
      <c r="M349" s="52" t="s">
        <v>5230</v>
      </c>
      <c r="N349" s="52" t="s">
        <v>8420</v>
      </c>
    </row>
    <row r="350" spans="1:14" ht="51">
      <c r="A350" s="64" t="s">
        <v>5238</v>
      </c>
      <c r="B350" s="64" t="s">
        <v>92</v>
      </c>
      <c r="C350" s="64" t="s">
        <v>1535</v>
      </c>
      <c r="D350" s="64" t="s">
        <v>5239</v>
      </c>
      <c r="E350" s="64">
        <f>'Data BI AI'!$H$9</f>
        <v>0</v>
      </c>
      <c r="F350" s="64" t="str">
        <f>'Data BI AI'!$L$9</f>
        <v/>
      </c>
      <c r="G350" s="64" t="str">
        <f>'Data BI AI'!$T$9</f>
        <v>CDO / BI / Analytics</v>
      </c>
      <c r="H350" s="64">
        <f>'Data BI AI'!$U$9</f>
        <v>0</v>
      </c>
      <c r="I350" s="64" t="str">
        <f t="shared" si="17"/>
        <v>OK</v>
      </c>
      <c r="J350" s="64" t="str">
        <f t="shared" si="18"/>
        <v>OK</v>
      </c>
      <c r="K350" s="64" t="str">
        <f t="shared" si="19"/>
        <v>OK</v>
      </c>
      <c r="L350" s="64" t="str">
        <f>IF(AND(E350&lt;&gt;"",E350&lt;&gt;"N/A",VALUE(E350)&lt;5,COUNTIF('Executive Recommendations'!$A$8:$A$414,A350)=0),"Missing recommended action","OK")</f>
        <v>Missing recommended action</v>
      </c>
      <c r="M350" s="64" t="s">
        <v>5240</v>
      </c>
      <c r="N350" s="64" t="s">
        <v>8427</v>
      </c>
    </row>
    <row r="351" spans="1:14" ht="63.75">
      <c r="A351" s="52" t="s">
        <v>5248</v>
      </c>
      <c r="B351" s="52" t="s">
        <v>92</v>
      </c>
      <c r="C351" s="52" t="s">
        <v>1535</v>
      </c>
      <c r="D351" s="52" t="s">
        <v>5249</v>
      </c>
      <c r="E351" s="52">
        <f>'Data BI AI'!$H$10</f>
        <v>0</v>
      </c>
      <c r="F351" s="52" t="str">
        <f>'Data BI AI'!$L$10</f>
        <v/>
      </c>
      <c r="G351" s="52" t="str">
        <f>'Data BI AI'!$T$10</f>
        <v>CDO / BI / Analytics</v>
      </c>
      <c r="H351" s="52">
        <f>'Data BI AI'!$U$10</f>
        <v>0</v>
      </c>
      <c r="I351" s="52" t="str">
        <f t="shared" si="17"/>
        <v>OK</v>
      </c>
      <c r="J351" s="52" t="str">
        <f t="shared" si="18"/>
        <v>OK</v>
      </c>
      <c r="K351" s="52" t="str">
        <f t="shared" si="19"/>
        <v>OK</v>
      </c>
      <c r="L351" s="52" t="str">
        <f>IF(AND(E351&lt;&gt;"",E351&lt;&gt;"N/A",VALUE(E351)&lt;5,COUNTIF('Executive Recommendations'!$A$8:$A$414,A351)=0),"Missing recommended action","OK")</f>
        <v>Missing recommended action</v>
      </c>
      <c r="M351" s="52" t="s">
        <v>5250</v>
      </c>
      <c r="N351" s="52" t="s">
        <v>8434</v>
      </c>
    </row>
    <row r="352" spans="1:14" ht="63.75">
      <c r="A352" s="64" t="s">
        <v>5258</v>
      </c>
      <c r="B352" s="64" t="s">
        <v>92</v>
      </c>
      <c r="C352" s="64" t="s">
        <v>1549</v>
      </c>
      <c r="D352" s="64" t="s">
        <v>5259</v>
      </c>
      <c r="E352" s="64">
        <f>'Data BI AI'!$H$11</f>
        <v>0</v>
      </c>
      <c r="F352" s="64" t="str">
        <f>'Data BI AI'!$L$11</f>
        <v/>
      </c>
      <c r="G352" s="64" t="str">
        <f>'Data BI AI'!$T$11</f>
        <v>CDO / BI / Analytics</v>
      </c>
      <c r="H352" s="64">
        <f>'Data BI AI'!$U$11</f>
        <v>0</v>
      </c>
      <c r="I352" s="64" t="str">
        <f t="shared" si="17"/>
        <v>OK</v>
      </c>
      <c r="J352" s="64" t="str">
        <f t="shared" si="18"/>
        <v>OK</v>
      </c>
      <c r="K352" s="64" t="str">
        <f t="shared" si="19"/>
        <v>OK</v>
      </c>
      <c r="L352" s="64" t="str">
        <f>IF(AND(E352&lt;&gt;"",E352&lt;&gt;"N/A",VALUE(E352)&lt;5,COUNTIF('Executive Recommendations'!$A$8:$A$414,A352)=0),"Missing recommended action","OK")</f>
        <v>Missing recommended action</v>
      </c>
      <c r="M352" s="64" t="s">
        <v>5260</v>
      </c>
      <c r="N352" s="64" t="s">
        <v>8442</v>
      </c>
    </row>
    <row r="353" spans="1:14" ht="51">
      <c r="A353" s="52" t="s">
        <v>5268</v>
      </c>
      <c r="B353" s="52" t="s">
        <v>92</v>
      </c>
      <c r="C353" s="52" t="s">
        <v>1549</v>
      </c>
      <c r="D353" s="52" t="s">
        <v>5269</v>
      </c>
      <c r="E353" s="52">
        <f>'Data BI AI'!$H$12</f>
        <v>0</v>
      </c>
      <c r="F353" s="52" t="str">
        <f>'Data BI AI'!$L$12</f>
        <v/>
      </c>
      <c r="G353" s="52" t="str">
        <f>'Data BI AI'!$T$12</f>
        <v>CDO / BI / Analytics</v>
      </c>
      <c r="H353" s="52">
        <f>'Data BI AI'!$U$12</f>
        <v>0</v>
      </c>
      <c r="I353" s="52" t="str">
        <f t="shared" si="17"/>
        <v>OK</v>
      </c>
      <c r="J353" s="52" t="str">
        <f t="shared" si="18"/>
        <v>OK</v>
      </c>
      <c r="K353" s="52" t="str">
        <f t="shared" si="19"/>
        <v>OK</v>
      </c>
      <c r="L353" s="52" t="str">
        <f>IF(AND(E353&lt;&gt;"",E353&lt;&gt;"N/A",VALUE(E353)&lt;5,COUNTIF('Executive Recommendations'!$A$8:$A$414,A353)=0),"Missing recommended action","OK")</f>
        <v>Missing recommended action</v>
      </c>
      <c r="M353" s="52" t="s">
        <v>5270</v>
      </c>
      <c r="N353" s="52" t="s">
        <v>8449</v>
      </c>
    </row>
    <row r="354" spans="1:14" ht="51">
      <c r="A354" s="64" t="s">
        <v>5278</v>
      </c>
      <c r="B354" s="64" t="s">
        <v>92</v>
      </c>
      <c r="C354" s="64" t="s">
        <v>1549</v>
      </c>
      <c r="D354" s="64" t="s">
        <v>5279</v>
      </c>
      <c r="E354" s="64">
        <f>'Data BI AI'!$H$13</f>
        <v>0</v>
      </c>
      <c r="F354" s="64" t="str">
        <f>'Data BI AI'!$L$13</f>
        <v/>
      </c>
      <c r="G354" s="64" t="str">
        <f>'Data BI AI'!$T$13</f>
        <v>CDO / BI / Analytics</v>
      </c>
      <c r="H354" s="64">
        <f>'Data BI AI'!$U$13</f>
        <v>0</v>
      </c>
      <c r="I354" s="64" t="str">
        <f t="shared" si="17"/>
        <v>OK</v>
      </c>
      <c r="J354" s="64" t="str">
        <f t="shared" si="18"/>
        <v>OK</v>
      </c>
      <c r="K354" s="64" t="str">
        <f t="shared" si="19"/>
        <v>OK</v>
      </c>
      <c r="L354" s="64" t="str">
        <f>IF(AND(E354&lt;&gt;"",E354&lt;&gt;"N/A",VALUE(E354)&lt;5,COUNTIF('Executive Recommendations'!$A$8:$A$414,A354)=0),"Missing recommended action","OK")</f>
        <v>Missing recommended action</v>
      </c>
      <c r="M354" s="64" t="s">
        <v>5280</v>
      </c>
      <c r="N354" s="64" t="s">
        <v>8456</v>
      </c>
    </row>
    <row r="355" spans="1:14" ht="51">
      <c r="A355" s="52" t="s">
        <v>5288</v>
      </c>
      <c r="B355" s="52" t="s">
        <v>92</v>
      </c>
      <c r="C355" s="52" t="s">
        <v>1549</v>
      </c>
      <c r="D355" s="52" t="s">
        <v>5289</v>
      </c>
      <c r="E355" s="52">
        <f>'Data BI AI'!$H$14</f>
        <v>0</v>
      </c>
      <c r="F355" s="52" t="str">
        <f>'Data BI AI'!$L$14</f>
        <v/>
      </c>
      <c r="G355" s="52" t="str">
        <f>'Data BI AI'!$T$14</f>
        <v>CDO / BI / Analytics</v>
      </c>
      <c r="H355" s="52">
        <f>'Data BI AI'!$U$14</f>
        <v>0</v>
      </c>
      <c r="I355" s="52" t="str">
        <f t="shared" si="17"/>
        <v>OK</v>
      </c>
      <c r="J355" s="52" t="str">
        <f t="shared" si="18"/>
        <v>OK</v>
      </c>
      <c r="K355" s="52" t="str">
        <f t="shared" si="19"/>
        <v>OK</v>
      </c>
      <c r="L355" s="52" t="str">
        <f>IF(AND(E355&lt;&gt;"",E355&lt;&gt;"N/A",VALUE(E355)&lt;5,COUNTIF('Executive Recommendations'!$A$8:$A$414,A355)=0),"Missing recommended action","OK")</f>
        <v>Missing recommended action</v>
      </c>
      <c r="M355" s="52" t="s">
        <v>5290</v>
      </c>
      <c r="N355" s="52" t="s">
        <v>8463</v>
      </c>
    </row>
    <row r="356" spans="1:14" ht="51">
      <c r="A356" s="64" t="s">
        <v>5298</v>
      </c>
      <c r="B356" s="64" t="s">
        <v>92</v>
      </c>
      <c r="C356" s="64" t="s">
        <v>1549</v>
      </c>
      <c r="D356" s="64" t="s">
        <v>5299</v>
      </c>
      <c r="E356" s="64">
        <f>'Data BI AI'!$H$15</f>
        <v>0</v>
      </c>
      <c r="F356" s="64" t="str">
        <f>'Data BI AI'!$L$15</f>
        <v/>
      </c>
      <c r="G356" s="64" t="str">
        <f>'Data BI AI'!$T$15</f>
        <v>CDO / BI / Analytics</v>
      </c>
      <c r="H356" s="64">
        <f>'Data BI AI'!$U$15</f>
        <v>0</v>
      </c>
      <c r="I356" s="64" t="str">
        <f t="shared" si="17"/>
        <v>OK</v>
      </c>
      <c r="J356" s="64" t="str">
        <f t="shared" si="18"/>
        <v>OK</v>
      </c>
      <c r="K356" s="64" t="str">
        <f t="shared" si="19"/>
        <v>OK</v>
      </c>
      <c r="L356" s="64" t="str">
        <f>IF(AND(E356&lt;&gt;"",E356&lt;&gt;"N/A",VALUE(E356)&lt;5,COUNTIF('Executive Recommendations'!$A$8:$A$414,A356)=0),"Missing recommended action","OK")</f>
        <v>Missing recommended action</v>
      </c>
      <c r="M356" s="64" t="s">
        <v>5300</v>
      </c>
      <c r="N356" s="64" t="s">
        <v>8470</v>
      </c>
    </row>
    <row r="357" spans="1:14" ht="51">
      <c r="A357" s="52" t="s">
        <v>5308</v>
      </c>
      <c r="B357" s="52" t="s">
        <v>92</v>
      </c>
      <c r="C357" s="52" t="s">
        <v>1549</v>
      </c>
      <c r="D357" s="52" t="s">
        <v>5309</v>
      </c>
      <c r="E357" s="52">
        <f>'Data BI AI'!$H$16</f>
        <v>0</v>
      </c>
      <c r="F357" s="52" t="str">
        <f>'Data BI AI'!$L$16</f>
        <v/>
      </c>
      <c r="G357" s="52" t="str">
        <f>'Data BI AI'!$T$16</f>
        <v>CDO / BI / Analytics</v>
      </c>
      <c r="H357" s="52">
        <f>'Data BI AI'!$U$16</f>
        <v>0</v>
      </c>
      <c r="I357" s="52" t="str">
        <f t="shared" si="17"/>
        <v>OK</v>
      </c>
      <c r="J357" s="52" t="str">
        <f t="shared" si="18"/>
        <v>OK</v>
      </c>
      <c r="K357" s="52" t="str">
        <f t="shared" si="19"/>
        <v>OK</v>
      </c>
      <c r="L357" s="52" t="str">
        <f>IF(AND(E357&lt;&gt;"",E357&lt;&gt;"N/A",VALUE(E357)&lt;5,COUNTIF('Executive Recommendations'!$A$8:$A$414,A357)=0),"Missing recommended action","OK")</f>
        <v>Missing recommended action</v>
      </c>
      <c r="M357" s="52" t="s">
        <v>5310</v>
      </c>
      <c r="N357" s="52" t="s">
        <v>8477</v>
      </c>
    </row>
    <row r="358" spans="1:14" ht="63.75">
      <c r="A358" s="64" t="s">
        <v>5318</v>
      </c>
      <c r="B358" s="64" t="s">
        <v>92</v>
      </c>
      <c r="C358" s="64" t="s">
        <v>1557</v>
      </c>
      <c r="D358" s="64" t="s">
        <v>5319</v>
      </c>
      <c r="E358" s="64">
        <f>'Data BI AI'!$H$17</f>
        <v>0</v>
      </c>
      <c r="F358" s="64" t="str">
        <f>'Data BI AI'!$L$17</f>
        <v/>
      </c>
      <c r="G358" s="64" t="str">
        <f>'Data BI AI'!$T$17</f>
        <v>CDO / BI / Analytics</v>
      </c>
      <c r="H358" s="64">
        <f>'Data BI AI'!$U$17</f>
        <v>0</v>
      </c>
      <c r="I358" s="64" t="str">
        <f t="shared" si="17"/>
        <v>OK</v>
      </c>
      <c r="J358" s="64" t="str">
        <f t="shared" si="18"/>
        <v>OK</v>
      </c>
      <c r="K358" s="64" t="str">
        <f t="shared" si="19"/>
        <v>OK</v>
      </c>
      <c r="L358" s="64" t="str">
        <f>IF(AND(E358&lt;&gt;"",E358&lt;&gt;"N/A",VALUE(E358)&lt;5,COUNTIF('Executive Recommendations'!$A$8:$A$414,A358)=0),"Missing recommended action","OK")</f>
        <v>Missing recommended action</v>
      </c>
      <c r="M358" s="64" t="s">
        <v>5320</v>
      </c>
      <c r="N358" s="64" t="s">
        <v>8485</v>
      </c>
    </row>
    <row r="359" spans="1:14" ht="51">
      <c r="A359" s="52" t="s">
        <v>5328</v>
      </c>
      <c r="B359" s="52" t="s">
        <v>92</v>
      </c>
      <c r="C359" s="52" t="s">
        <v>1557</v>
      </c>
      <c r="D359" s="52" t="s">
        <v>5329</v>
      </c>
      <c r="E359" s="52">
        <f>'Data BI AI'!$H$18</f>
        <v>0</v>
      </c>
      <c r="F359" s="52" t="str">
        <f>'Data BI AI'!$L$18</f>
        <v/>
      </c>
      <c r="G359" s="52" t="str">
        <f>'Data BI AI'!$T$18</f>
        <v>CDO / BI / Analytics</v>
      </c>
      <c r="H359" s="52">
        <f>'Data BI AI'!$U$18</f>
        <v>0</v>
      </c>
      <c r="I359" s="52" t="str">
        <f t="shared" si="17"/>
        <v>OK</v>
      </c>
      <c r="J359" s="52" t="str">
        <f t="shared" si="18"/>
        <v>OK</v>
      </c>
      <c r="K359" s="52" t="str">
        <f t="shared" si="19"/>
        <v>OK</v>
      </c>
      <c r="L359" s="52" t="str">
        <f>IF(AND(E359&lt;&gt;"",E359&lt;&gt;"N/A",VALUE(E359)&lt;5,COUNTIF('Executive Recommendations'!$A$8:$A$414,A359)=0),"Missing recommended action","OK")</f>
        <v>Missing recommended action</v>
      </c>
      <c r="M359" s="52" t="s">
        <v>5330</v>
      </c>
      <c r="N359" s="52" t="s">
        <v>8492</v>
      </c>
    </row>
    <row r="360" spans="1:14" ht="51">
      <c r="A360" s="64" t="s">
        <v>5338</v>
      </c>
      <c r="B360" s="64" t="s">
        <v>92</v>
      </c>
      <c r="C360" s="64" t="s">
        <v>1557</v>
      </c>
      <c r="D360" s="64" t="s">
        <v>5339</v>
      </c>
      <c r="E360" s="64">
        <f>'Data BI AI'!$H$19</f>
        <v>0</v>
      </c>
      <c r="F360" s="64" t="str">
        <f>'Data BI AI'!$L$19</f>
        <v/>
      </c>
      <c r="G360" s="64" t="str">
        <f>'Data BI AI'!$T$19</f>
        <v>CDO / BI / Analytics</v>
      </c>
      <c r="H360" s="64">
        <f>'Data BI AI'!$U$19</f>
        <v>0</v>
      </c>
      <c r="I360" s="64" t="str">
        <f t="shared" si="17"/>
        <v>OK</v>
      </c>
      <c r="J360" s="64" t="str">
        <f t="shared" si="18"/>
        <v>OK</v>
      </c>
      <c r="K360" s="64" t="str">
        <f t="shared" si="19"/>
        <v>OK</v>
      </c>
      <c r="L360" s="64" t="str">
        <f>IF(AND(E360&lt;&gt;"",E360&lt;&gt;"N/A",VALUE(E360)&lt;5,COUNTIF('Executive Recommendations'!$A$8:$A$414,A360)=0),"Missing recommended action","OK")</f>
        <v>Missing recommended action</v>
      </c>
      <c r="M360" s="64" t="s">
        <v>5340</v>
      </c>
      <c r="N360" s="64" t="s">
        <v>8499</v>
      </c>
    </row>
    <row r="361" spans="1:14" ht="51">
      <c r="A361" s="52" t="s">
        <v>5348</v>
      </c>
      <c r="B361" s="52" t="s">
        <v>92</v>
      </c>
      <c r="C361" s="52" t="s">
        <v>1557</v>
      </c>
      <c r="D361" s="52" t="s">
        <v>5349</v>
      </c>
      <c r="E361" s="52">
        <f>'Data BI AI'!$H$20</f>
        <v>0</v>
      </c>
      <c r="F361" s="52" t="str">
        <f>'Data BI AI'!$L$20</f>
        <v/>
      </c>
      <c r="G361" s="52" t="str">
        <f>'Data BI AI'!$T$20</f>
        <v>CDO / BI / Analytics</v>
      </c>
      <c r="H361" s="52">
        <f>'Data BI AI'!$U$20</f>
        <v>0</v>
      </c>
      <c r="I361" s="52" t="str">
        <f t="shared" si="17"/>
        <v>OK</v>
      </c>
      <c r="J361" s="52" t="str">
        <f t="shared" si="18"/>
        <v>OK</v>
      </c>
      <c r="K361" s="52" t="str">
        <f t="shared" si="19"/>
        <v>OK</v>
      </c>
      <c r="L361" s="52" t="str">
        <f>IF(AND(E361&lt;&gt;"",E361&lt;&gt;"N/A",VALUE(E361)&lt;5,COUNTIF('Executive Recommendations'!$A$8:$A$414,A361)=0),"Missing recommended action","OK")</f>
        <v>Missing recommended action</v>
      </c>
      <c r="M361" s="52" t="s">
        <v>5350</v>
      </c>
      <c r="N361" s="52" t="s">
        <v>8506</v>
      </c>
    </row>
    <row r="362" spans="1:14" ht="51">
      <c r="A362" s="64" t="s">
        <v>5358</v>
      </c>
      <c r="B362" s="64" t="s">
        <v>92</v>
      </c>
      <c r="C362" s="64" t="s">
        <v>1557</v>
      </c>
      <c r="D362" s="64" t="s">
        <v>5359</v>
      </c>
      <c r="E362" s="64">
        <f>'Data BI AI'!$H$21</f>
        <v>0</v>
      </c>
      <c r="F362" s="64" t="str">
        <f>'Data BI AI'!$L$21</f>
        <v/>
      </c>
      <c r="G362" s="64" t="str">
        <f>'Data BI AI'!$T$21</f>
        <v>CDO / BI / Analytics</v>
      </c>
      <c r="H362" s="64">
        <f>'Data BI AI'!$U$21</f>
        <v>0</v>
      </c>
      <c r="I362" s="64" t="str">
        <f t="shared" si="17"/>
        <v>OK</v>
      </c>
      <c r="J362" s="64" t="str">
        <f t="shared" si="18"/>
        <v>OK</v>
      </c>
      <c r="K362" s="64" t="str">
        <f t="shared" si="19"/>
        <v>OK</v>
      </c>
      <c r="L362" s="64" t="str">
        <f>IF(AND(E362&lt;&gt;"",E362&lt;&gt;"N/A",VALUE(E362)&lt;5,COUNTIF('Executive Recommendations'!$A$8:$A$414,A362)=0),"Missing recommended action","OK")</f>
        <v>Missing recommended action</v>
      </c>
      <c r="M362" s="64" t="s">
        <v>5360</v>
      </c>
      <c r="N362" s="64" t="s">
        <v>8513</v>
      </c>
    </row>
    <row r="363" spans="1:14" ht="51">
      <c r="A363" s="52" t="s">
        <v>5368</v>
      </c>
      <c r="B363" s="52" t="s">
        <v>92</v>
      </c>
      <c r="C363" s="52" t="s">
        <v>1557</v>
      </c>
      <c r="D363" s="52" t="s">
        <v>5369</v>
      </c>
      <c r="E363" s="52">
        <f>'Data BI AI'!$H$22</f>
        <v>0</v>
      </c>
      <c r="F363" s="52" t="str">
        <f>'Data BI AI'!$L$22</f>
        <v/>
      </c>
      <c r="G363" s="52" t="str">
        <f>'Data BI AI'!$T$22</f>
        <v>CDO / BI / Analytics</v>
      </c>
      <c r="H363" s="52">
        <f>'Data BI AI'!$U$22</f>
        <v>0</v>
      </c>
      <c r="I363" s="52" t="str">
        <f t="shared" si="17"/>
        <v>OK</v>
      </c>
      <c r="J363" s="52" t="str">
        <f t="shared" si="18"/>
        <v>OK</v>
      </c>
      <c r="K363" s="52" t="str">
        <f t="shared" si="19"/>
        <v>OK</v>
      </c>
      <c r="L363" s="52" t="str">
        <f>IF(AND(E363&lt;&gt;"",E363&lt;&gt;"N/A",VALUE(E363)&lt;5,COUNTIF('Executive Recommendations'!$A$8:$A$414,A363)=0),"Missing recommended action","OK")</f>
        <v>Missing recommended action</v>
      </c>
      <c r="M363" s="52" t="s">
        <v>5370</v>
      </c>
      <c r="N363" s="52" t="s">
        <v>8520</v>
      </c>
    </row>
    <row r="364" spans="1:14" ht="63.75">
      <c r="A364" s="64" t="s">
        <v>5378</v>
      </c>
      <c r="B364" s="64" t="s">
        <v>92</v>
      </c>
      <c r="C364" s="64" t="s">
        <v>1565</v>
      </c>
      <c r="D364" s="64" t="s">
        <v>5379</v>
      </c>
      <c r="E364" s="64">
        <f>'Data BI AI'!$H$23</f>
        <v>0</v>
      </c>
      <c r="F364" s="64" t="str">
        <f>'Data BI AI'!$L$23</f>
        <v/>
      </c>
      <c r="G364" s="64" t="str">
        <f>'Data BI AI'!$T$23</f>
        <v>CDO / BI / Analytics</v>
      </c>
      <c r="H364" s="64">
        <f>'Data BI AI'!$U$23</f>
        <v>0</v>
      </c>
      <c r="I364" s="64" t="str">
        <f t="shared" si="17"/>
        <v>OK</v>
      </c>
      <c r="J364" s="64" t="str">
        <f t="shared" si="18"/>
        <v>OK</v>
      </c>
      <c r="K364" s="64" t="str">
        <f t="shared" si="19"/>
        <v>OK</v>
      </c>
      <c r="L364" s="64" t="str">
        <f>IF(AND(E364&lt;&gt;"",E364&lt;&gt;"N/A",VALUE(E364)&lt;5,COUNTIF('Executive Recommendations'!$A$8:$A$414,A364)=0),"Missing recommended action","OK")</f>
        <v>Missing recommended action</v>
      </c>
      <c r="M364" s="64" t="s">
        <v>5380</v>
      </c>
      <c r="N364" s="64" t="s">
        <v>8528</v>
      </c>
    </row>
    <row r="365" spans="1:14" ht="63.75">
      <c r="A365" s="52" t="s">
        <v>5388</v>
      </c>
      <c r="B365" s="52" t="s">
        <v>92</v>
      </c>
      <c r="C365" s="52" t="s">
        <v>1565</v>
      </c>
      <c r="D365" s="52" t="s">
        <v>5389</v>
      </c>
      <c r="E365" s="52">
        <f>'Data BI AI'!$H$24</f>
        <v>0</v>
      </c>
      <c r="F365" s="52" t="str">
        <f>'Data BI AI'!$L$24</f>
        <v/>
      </c>
      <c r="G365" s="52" t="str">
        <f>'Data BI AI'!$T$24</f>
        <v>CDO / BI / Analytics</v>
      </c>
      <c r="H365" s="52">
        <f>'Data BI AI'!$U$24</f>
        <v>0</v>
      </c>
      <c r="I365" s="52" t="str">
        <f t="shared" si="17"/>
        <v>OK</v>
      </c>
      <c r="J365" s="52" t="str">
        <f t="shared" si="18"/>
        <v>OK</v>
      </c>
      <c r="K365" s="52" t="str">
        <f t="shared" si="19"/>
        <v>OK</v>
      </c>
      <c r="L365" s="52" t="str">
        <f>IF(AND(E365&lt;&gt;"",E365&lt;&gt;"N/A",VALUE(E365)&lt;5,COUNTIF('Executive Recommendations'!$A$8:$A$414,A365)=0),"Missing recommended action","OK")</f>
        <v>Missing recommended action</v>
      </c>
      <c r="M365" s="52" t="s">
        <v>5390</v>
      </c>
      <c r="N365" s="52" t="s">
        <v>8535</v>
      </c>
    </row>
    <row r="366" spans="1:14" ht="51">
      <c r="A366" s="64" t="s">
        <v>5398</v>
      </c>
      <c r="B366" s="64" t="s">
        <v>92</v>
      </c>
      <c r="C366" s="64" t="s">
        <v>1565</v>
      </c>
      <c r="D366" s="64" t="s">
        <v>5399</v>
      </c>
      <c r="E366" s="64">
        <f>'Data BI AI'!$H$25</f>
        <v>0</v>
      </c>
      <c r="F366" s="64" t="str">
        <f>'Data BI AI'!$L$25</f>
        <v/>
      </c>
      <c r="G366" s="64" t="str">
        <f>'Data BI AI'!$T$25</f>
        <v>CDO / BI / Analytics</v>
      </c>
      <c r="H366" s="64">
        <f>'Data BI AI'!$U$25</f>
        <v>0</v>
      </c>
      <c r="I366" s="64" t="str">
        <f t="shared" si="17"/>
        <v>OK</v>
      </c>
      <c r="J366" s="64" t="str">
        <f t="shared" si="18"/>
        <v>OK</v>
      </c>
      <c r="K366" s="64" t="str">
        <f t="shared" si="19"/>
        <v>OK</v>
      </c>
      <c r="L366" s="64" t="str">
        <f>IF(AND(E366&lt;&gt;"",E366&lt;&gt;"N/A",VALUE(E366)&lt;5,COUNTIF('Executive Recommendations'!$A$8:$A$414,A366)=0),"Missing recommended action","OK")</f>
        <v>Missing recommended action</v>
      </c>
      <c r="M366" s="64" t="s">
        <v>5400</v>
      </c>
      <c r="N366" s="64" t="s">
        <v>8542</v>
      </c>
    </row>
    <row r="367" spans="1:14" ht="51">
      <c r="A367" s="52" t="s">
        <v>5408</v>
      </c>
      <c r="B367" s="52" t="s">
        <v>92</v>
      </c>
      <c r="C367" s="52" t="s">
        <v>1565</v>
      </c>
      <c r="D367" s="52" t="s">
        <v>5409</v>
      </c>
      <c r="E367" s="52">
        <f>'Data BI AI'!$H$26</f>
        <v>0</v>
      </c>
      <c r="F367" s="52" t="str">
        <f>'Data BI AI'!$L$26</f>
        <v/>
      </c>
      <c r="G367" s="52" t="str">
        <f>'Data BI AI'!$T$26</f>
        <v>CDO / BI / Analytics</v>
      </c>
      <c r="H367" s="52">
        <f>'Data BI AI'!$U$26</f>
        <v>0</v>
      </c>
      <c r="I367" s="52" t="str">
        <f t="shared" si="17"/>
        <v>OK</v>
      </c>
      <c r="J367" s="52" t="str">
        <f t="shared" si="18"/>
        <v>OK</v>
      </c>
      <c r="K367" s="52" t="str">
        <f t="shared" si="19"/>
        <v>OK</v>
      </c>
      <c r="L367" s="52" t="str">
        <f>IF(AND(E367&lt;&gt;"",E367&lt;&gt;"N/A",VALUE(E367)&lt;5,COUNTIF('Executive Recommendations'!$A$8:$A$414,A367)=0),"Missing recommended action","OK")</f>
        <v>Missing recommended action</v>
      </c>
      <c r="M367" s="52" t="s">
        <v>5410</v>
      </c>
      <c r="N367" s="52" t="s">
        <v>8549</v>
      </c>
    </row>
    <row r="368" spans="1:14" ht="51">
      <c r="A368" s="64" t="s">
        <v>5418</v>
      </c>
      <c r="B368" s="64" t="s">
        <v>92</v>
      </c>
      <c r="C368" s="64" t="s">
        <v>1573</v>
      </c>
      <c r="D368" s="64" t="s">
        <v>5419</v>
      </c>
      <c r="E368" s="64">
        <f>'Data BI AI'!$H$27</f>
        <v>0</v>
      </c>
      <c r="F368" s="64" t="str">
        <f>'Data BI AI'!$L$27</f>
        <v/>
      </c>
      <c r="G368" s="64" t="str">
        <f>'Data BI AI'!$T$27</f>
        <v>CDO / BI / Analytics</v>
      </c>
      <c r="H368" s="64">
        <f>'Data BI AI'!$U$27</f>
        <v>0</v>
      </c>
      <c r="I368" s="64" t="str">
        <f t="shared" si="17"/>
        <v>OK</v>
      </c>
      <c r="J368" s="64" t="str">
        <f t="shared" si="18"/>
        <v>OK</v>
      </c>
      <c r="K368" s="64" t="str">
        <f t="shared" si="19"/>
        <v>OK</v>
      </c>
      <c r="L368" s="64" t="str">
        <f>IF(AND(E368&lt;&gt;"",E368&lt;&gt;"N/A",VALUE(E368)&lt;5,COUNTIF('Executive Recommendations'!$A$8:$A$414,A368)=0),"Missing recommended action","OK")</f>
        <v>Missing recommended action</v>
      </c>
      <c r="M368" s="64" t="s">
        <v>5420</v>
      </c>
      <c r="N368" s="64" t="s">
        <v>8557</v>
      </c>
    </row>
    <row r="369" spans="1:14" ht="51">
      <c r="A369" s="52" t="s">
        <v>5428</v>
      </c>
      <c r="B369" s="52" t="s">
        <v>92</v>
      </c>
      <c r="C369" s="52" t="s">
        <v>1573</v>
      </c>
      <c r="D369" s="52" t="s">
        <v>5429</v>
      </c>
      <c r="E369" s="52">
        <f>'Data BI AI'!$H$28</f>
        <v>0</v>
      </c>
      <c r="F369" s="52" t="str">
        <f>'Data BI AI'!$L$28</f>
        <v/>
      </c>
      <c r="G369" s="52" t="str">
        <f>'Data BI AI'!$T$28</f>
        <v>CDO / BI / Analytics</v>
      </c>
      <c r="H369" s="52">
        <f>'Data BI AI'!$U$28</f>
        <v>0</v>
      </c>
      <c r="I369" s="52" t="str">
        <f t="shared" si="17"/>
        <v>OK</v>
      </c>
      <c r="J369" s="52" t="str">
        <f t="shared" si="18"/>
        <v>OK</v>
      </c>
      <c r="K369" s="52" t="str">
        <f t="shared" si="19"/>
        <v>OK</v>
      </c>
      <c r="L369" s="52" t="str">
        <f>IF(AND(E369&lt;&gt;"",E369&lt;&gt;"N/A",VALUE(E369)&lt;5,COUNTIF('Executive Recommendations'!$A$8:$A$414,A369)=0),"Missing recommended action","OK")</f>
        <v>Missing recommended action</v>
      </c>
      <c r="M369" s="52" t="s">
        <v>5430</v>
      </c>
      <c r="N369" s="52" t="s">
        <v>8564</v>
      </c>
    </row>
    <row r="370" spans="1:14" ht="51">
      <c r="A370" s="64" t="s">
        <v>5438</v>
      </c>
      <c r="B370" s="64" t="s">
        <v>92</v>
      </c>
      <c r="C370" s="64" t="s">
        <v>1573</v>
      </c>
      <c r="D370" s="64" t="s">
        <v>5439</v>
      </c>
      <c r="E370" s="64">
        <f>'Data BI AI'!$H$29</f>
        <v>0</v>
      </c>
      <c r="F370" s="64" t="str">
        <f>'Data BI AI'!$L$29</f>
        <v/>
      </c>
      <c r="G370" s="64" t="str">
        <f>'Data BI AI'!$T$29</f>
        <v>CDO / BI / Analytics</v>
      </c>
      <c r="H370" s="64">
        <f>'Data BI AI'!$U$29</f>
        <v>0</v>
      </c>
      <c r="I370" s="64" t="str">
        <f t="shared" si="17"/>
        <v>OK</v>
      </c>
      <c r="J370" s="64" t="str">
        <f t="shared" si="18"/>
        <v>OK</v>
      </c>
      <c r="K370" s="64" t="str">
        <f t="shared" si="19"/>
        <v>OK</v>
      </c>
      <c r="L370" s="64" t="str">
        <f>IF(AND(E370&lt;&gt;"",E370&lt;&gt;"N/A",VALUE(E370)&lt;5,COUNTIF('Executive Recommendations'!$A$8:$A$414,A370)=0),"Missing recommended action","OK")</f>
        <v>Missing recommended action</v>
      </c>
      <c r="M370" s="64" t="s">
        <v>5440</v>
      </c>
      <c r="N370" s="64" t="s">
        <v>8571</v>
      </c>
    </row>
    <row r="371" spans="1:14" ht="51">
      <c r="A371" s="52" t="s">
        <v>5448</v>
      </c>
      <c r="B371" s="52" t="s">
        <v>92</v>
      </c>
      <c r="C371" s="52" t="s">
        <v>1573</v>
      </c>
      <c r="D371" s="52" t="s">
        <v>5449</v>
      </c>
      <c r="E371" s="52">
        <f>'Data BI AI'!$H$30</f>
        <v>0</v>
      </c>
      <c r="F371" s="52" t="str">
        <f>'Data BI AI'!$L$30</f>
        <v/>
      </c>
      <c r="G371" s="52" t="str">
        <f>'Data BI AI'!$T$30</f>
        <v>CDO / BI / Analytics</v>
      </c>
      <c r="H371" s="52">
        <f>'Data BI AI'!$U$30</f>
        <v>0</v>
      </c>
      <c r="I371" s="52" t="str">
        <f t="shared" si="17"/>
        <v>OK</v>
      </c>
      <c r="J371" s="52" t="str">
        <f t="shared" si="18"/>
        <v>OK</v>
      </c>
      <c r="K371" s="52" t="str">
        <f t="shared" si="19"/>
        <v>OK</v>
      </c>
      <c r="L371" s="52" t="str">
        <f>IF(AND(E371&lt;&gt;"",E371&lt;&gt;"N/A",VALUE(E371)&lt;5,COUNTIF('Executive Recommendations'!$A$8:$A$414,A371)=0),"Missing recommended action","OK")</f>
        <v>Missing recommended action</v>
      </c>
      <c r="M371" s="52" t="s">
        <v>5450</v>
      </c>
      <c r="N371" s="52" t="s">
        <v>8578</v>
      </c>
    </row>
    <row r="372" spans="1:14" ht="63.75">
      <c r="A372" s="64" t="s">
        <v>5458</v>
      </c>
      <c r="B372" s="64" t="s">
        <v>92</v>
      </c>
      <c r="C372" s="64" t="s">
        <v>1573</v>
      </c>
      <c r="D372" s="64" t="s">
        <v>5459</v>
      </c>
      <c r="E372" s="64">
        <f>'Data BI AI'!$H$31</f>
        <v>0</v>
      </c>
      <c r="F372" s="64" t="str">
        <f>'Data BI AI'!$L$31</f>
        <v/>
      </c>
      <c r="G372" s="64" t="str">
        <f>'Data BI AI'!$T$31</f>
        <v>CDO / BI / Analytics</v>
      </c>
      <c r="H372" s="64">
        <f>'Data BI AI'!$U$31</f>
        <v>0</v>
      </c>
      <c r="I372" s="64" t="str">
        <f t="shared" si="17"/>
        <v>OK</v>
      </c>
      <c r="J372" s="64" t="str">
        <f t="shared" si="18"/>
        <v>OK</v>
      </c>
      <c r="K372" s="64" t="str">
        <f t="shared" si="19"/>
        <v>OK</v>
      </c>
      <c r="L372" s="64" t="str">
        <f>IF(AND(E372&lt;&gt;"",E372&lt;&gt;"N/A",VALUE(E372)&lt;5,COUNTIF('Executive Recommendations'!$A$8:$A$414,A372)=0),"Missing recommended action","OK")</f>
        <v>Missing recommended action</v>
      </c>
      <c r="M372" s="64" t="s">
        <v>5460</v>
      </c>
      <c r="N372" s="64" t="s">
        <v>8585</v>
      </c>
    </row>
    <row r="373" spans="1:14" ht="51">
      <c r="A373" s="52" t="s">
        <v>5470</v>
      </c>
      <c r="B373" s="52" t="s">
        <v>93</v>
      </c>
      <c r="C373" s="52" t="s">
        <v>1581</v>
      </c>
      <c r="D373" s="52" t="s">
        <v>5471</v>
      </c>
      <c r="E373" s="52">
        <f>'Cyber Privacy'!$H$5</f>
        <v>0</v>
      </c>
      <c r="F373" s="52" t="str">
        <f>'Cyber Privacy'!$L$5</f>
        <v/>
      </c>
      <c r="G373" s="52" t="str">
        <f>'Cyber Privacy'!$T$5</f>
        <v>CISO / IT Security</v>
      </c>
      <c r="H373" s="52">
        <f>'Cyber Privacy'!$U$5</f>
        <v>0</v>
      </c>
      <c r="I373" s="52" t="str">
        <f t="shared" si="17"/>
        <v>OK</v>
      </c>
      <c r="J373" s="52" t="str">
        <f t="shared" si="18"/>
        <v>OK</v>
      </c>
      <c r="K373" s="52" t="str">
        <f t="shared" si="19"/>
        <v>OK</v>
      </c>
      <c r="L373" s="52" t="str">
        <f>IF(AND(E373&lt;&gt;"",E373&lt;&gt;"N/A",VALUE(E373)&lt;5,COUNTIF('Executive Recommendations'!$A$8:$A$414,A373)=0),"Missing recommended action","OK")</f>
        <v>Missing recommended action</v>
      </c>
      <c r="M373" s="52" t="s">
        <v>5474</v>
      </c>
      <c r="N373" s="52" t="s">
        <v>8593</v>
      </c>
    </row>
    <row r="374" spans="1:14" ht="51">
      <c r="A374" s="64" t="s">
        <v>5484</v>
      </c>
      <c r="B374" s="64" t="s">
        <v>93</v>
      </c>
      <c r="C374" s="64" t="s">
        <v>1581</v>
      </c>
      <c r="D374" s="64" t="s">
        <v>5485</v>
      </c>
      <c r="E374" s="64">
        <f>'Cyber Privacy'!$H$6</f>
        <v>0</v>
      </c>
      <c r="F374" s="64" t="str">
        <f>'Cyber Privacy'!$L$6</f>
        <v/>
      </c>
      <c r="G374" s="64" t="str">
        <f>'Cyber Privacy'!$T$6</f>
        <v>CISO / IT Security</v>
      </c>
      <c r="H374" s="64">
        <f>'Cyber Privacy'!$U$6</f>
        <v>0</v>
      </c>
      <c r="I374" s="64" t="str">
        <f t="shared" si="17"/>
        <v>OK</v>
      </c>
      <c r="J374" s="64" t="str">
        <f t="shared" si="18"/>
        <v>OK</v>
      </c>
      <c r="K374" s="64" t="str">
        <f t="shared" si="19"/>
        <v>OK</v>
      </c>
      <c r="L374" s="64" t="str">
        <f>IF(AND(E374&lt;&gt;"",E374&lt;&gt;"N/A",VALUE(E374)&lt;5,COUNTIF('Executive Recommendations'!$A$8:$A$414,A374)=0),"Missing recommended action","OK")</f>
        <v>Missing recommended action</v>
      </c>
      <c r="M374" s="64" t="s">
        <v>5486</v>
      </c>
      <c r="N374" s="64" t="s">
        <v>8600</v>
      </c>
    </row>
    <row r="375" spans="1:14" ht="63.75">
      <c r="A375" s="52" t="s">
        <v>5494</v>
      </c>
      <c r="B375" s="52" t="s">
        <v>93</v>
      </c>
      <c r="C375" s="52" t="s">
        <v>1581</v>
      </c>
      <c r="D375" s="52" t="s">
        <v>5495</v>
      </c>
      <c r="E375" s="52">
        <f>'Cyber Privacy'!$H$7</f>
        <v>0</v>
      </c>
      <c r="F375" s="52" t="str">
        <f>'Cyber Privacy'!$L$7</f>
        <v/>
      </c>
      <c r="G375" s="52" t="str">
        <f>'Cyber Privacy'!$T$7</f>
        <v>CISO / IT Security</v>
      </c>
      <c r="H375" s="52">
        <f>'Cyber Privacy'!$U$7</f>
        <v>0</v>
      </c>
      <c r="I375" s="52" t="str">
        <f t="shared" si="17"/>
        <v>OK</v>
      </c>
      <c r="J375" s="52" t="str">
        <f t="shared" si="18"/>
        <v>OK</v>
      </c>
      <c r="K375" s="52" t="str">
        <f t="shared" si="19"/>
        <v>OK</v>
      </c>
      <c r="L375" s="52" t="str">
        <f>IF(AND(E375&lt;&gt;"",E375&lt;&gt;"N/A",VALUE(E375)&lt;5,COUNTIF('Executive Recommendations'!$A$8:$A$414,A375)=0),"Missing recommended action","OK")</f>
        <v>Missing recommended action</v>
      </c>
      <c r="M375" s="52" t="s">
        <v>5496</v>
      </c>
      <c r="N375" s="52" t="s">
        <v>8607</v>
      </c>
    </row>
    <row r="376" spans="1:14" ht="51">
      <c r="A376" s="64" t="s">
        <v>5504</v>
      </c>
      <c r="B376" s="64" t="s">
        <v>93</v>
      </c>
      <c r="C376" s="64" t="s">
        <v>1581</v>
      </c>
      <c r="D376" s="64" t="s">
        <v>5505</v>
      </c>
      <c r="E376" s="64">
        <f>'Cyber Privacy'!$H$8</f>
        <v>0</v>
      </c>
      <c r="F376" s="64" t="str">
        <f>'Cyber Privacy'!$L$8</f>
        <v/>
      </c>
      <c r="G376" s="64" t="str">
        <f>'Cyber Privacy'!$T$8</f>
        <v>CISO / IT Security</v>
      </c>
      <c r="H376" s="64">
        <f>'Cyber Privacy'!$U$8</f>
        <v>0</v>
      </c>
      <c r="I376" s="64" t="str">
        <f t="shared" si="17"/>
        <v>OK</v>
      </c>
      <c r="J376" s="64" t="str">
        <f t="shared" si="18"/>
        <v>OK</v>
      </c>
      <c r="K376" s="64" t="str">
        <f t="shared" si="19"/>
        <v>OK</v>
      </c>
      <c r="L376" s="64" t="str">
        <f>IF(AND(E376&lt;&gt;"",E376&lt;&gt;"N/A",VALUE(E376)&lt;5,COUNTIF('Executive Recommendations'!$A$8:$A$414,A376)=0),"Missing recommended action","OK")</f>
        <v>Missing recommended action</v>
      </c>
      <c r="M376" s="64" t="s">
        <v>5506</v>
      </c>
      <c r="N376" s="64" t="s">
        <v>8614</v>
      </c>
    </row>
    <row r="377" spans="1:14" ht="51">
      <c r="A377" s="52" t="s">
        <v>5514</v>
      </c>
      <c r="B377" s="52" t="s">
        <v>93</v>
      </c>
      <c r="C377" s="52" t="s">
        <v>1581</v>
      </c>
      <c r="D377" s="52" t="s">
        <v>5515</v>
      </c>
      <c r="E377" s="52">
        <f>'Cyber Privacy'!$H$9</f>
        <v>0</v>
      </c>
      <c r="F377" s="52" t="str">
        <f>'Cyber Privacy'!$L$9</f>
        <v/>
      </c>
      <c r="G377" s="52" t="str">
        <f>'Cyber Privacy'!$T$9</f>
        <v>CISO / IT Security</v>
      </c>
      <c r="H377" s="52">
        <f>'Cyber Privacy'!$U$9</f>
        <v>0</v>
      </c>
      <c r="I377" s="52" t="str">
        <f t="shared" si="17"/>
        <v>OK</v>
      </c>
      <c r="J377" s="52" t="str">
        <f t="shared" si="18"/>
        <v>OK</v>
      </c>
      <c r="K377" s="52" t="str">
        <f t="shared" si="19"/>
        <v>OK</v>
      </c>
      <c r="L377" s="52" t="str">
        <f>IF(AND(E377&lt;&gt;"",E377&lt;&gt;"N/A",VALUE(E377)&lt;5,COUNTIF('Executive Recommendations'!$A$8:$A$414,A377)=0),"Missing recommended action","OK")</f>
        <v>Missing recommended action</v>
      </c>
      <c r="M377" s="52" t="s">
        <v>5516</v>
      </c>
      <c r="N377" s="52" t="s">
        <v>8621</v>
      </c>
    </row>
    <row r="378" spans="1:14" ht="51">
      <c r="A378" s="64" t="s">
        <v>5524</v>
      </c>
      <c r="B378" s="64" t="s">
        <v>93</v>
      </c>
      <c r="C378" s="64" t="s">
        <v>1581</v>
      </c>
      <c r="D378" s="64" t="s">
        <v>5525</v>
      </c>
      <c r="E378" s="64">
        <f>'Cyber Privacy'!$H$10</f>
        <v>0</v>
      </c>
      <c r="F378" s="64" t="str">
        <f>'Cyber Privacy'!$L$10</f>
        <v/>
      </c>
      <c r="G378" s="64" t="str">
        <f>'Cyber Privacy'!$T$10</f>
        <v>CISO / IT Security</v>
      </c>
      <c r="H378" s="64">
        <f>'Cyber Privacy'!$U$10</f>
        <v>0</v>
      </c>
      <c r="I378" s="64" t="str">
        <f t="shared" si="17"/>
        <v>OK</v>
      </c>
      <c r="J378" s="64" t="str">
        <f t="shared" si="18"/>
        <v>OK</v>
      </c>
      <c r="K378" s="64" t="str">
        <f t="shared" si="19"/>
        <v>OK</v>
      </c>
      <c r="L378" s="64" t="str">
        <f>IF(AND(E378&lt;&gt;"",E378&lt;&gt;"N/A",VALUE(E378)&lt;5,COUNTIF('Executive Recommendations'!$A$8:$A$414,A378)=0),"Missing recommended action","OK")</f>
        <v>Missing recommended action</v>
      </c>
      <c r="M378" s="64" t="s">
        <v>5526</v>
      </c>
      <c r="N378" s="64" t="s">
        <v>8628</v>
      </c>
    </row>
    <row r="379" spans="1:14" ht="51">
      <c r="A379" s="52" t="s">
        <v>5534</v>
      </c>
      <c r="B379" s="52" t="s">
        <v>93</v>
      </c>
      <c r="C379" s="52" t="s">
        <v>1596</v>
      </c>
      <c r="D379" s="52" t="s">
        <v>5535</v>
      </c>
      <c r="E379" s="52">
        <f>'Cyber Privacy'!$H$11</f>
        <v>0</v>
      </c>
      <c r="F379" s="52" t="str">
        <f>'Cyber Privacy'!$L$11</f>
        <v/>
      </c>
      <c r="G379" s="52" t="str">
        <f>'Cyber Privacy'!$T$11</f>
        <v>CISO / IT Security</v>
      </c>
      <c r="H379" s="52">
        <f>'Cyber Privacy'!$U$11</f>
        <v>0</v>
      </c>
      <c r="I379" s="52" t="str">
        <f t="shared" si="17"/>
        <v>OK</v>
      </c>
      <c r="J379" s="52" t="str">
        <f t="shared" si="18"/>
        <v>OK</v>
      </c>
      <c r="K379" s="52" t="str">
        <f t="shared" si="19"/>
        <v>OK</v>
      </c>
      <c r="L379" s="52" t="str">
        <f>IF(AND(E379&lt;&gt;"",E379&lt;&gt;"N/A",VALUE(E379)&lt;5,COUNTIF('Executive Recommendations'!$A$8:$A$414,A379)=0),"Missing recommended action","OK")</f>
        <v>Missing recommended action</v>
      </c>
      <c r="M379" s="52" t="s">
        <v>5536</v>
      </c>
      <c r="N379" s="52" t="s">
        <v>8636</v>
      </c>
    </row>
    <row r="380" spans="1:14" ht="63.75">
      <c r="A380" s="64" t="s">
        <v>5544</v>
      </c>
      <c r="B380" s="64" t="s">
        <v>93</v>
      </c>
      <c r="C380" s="64" t="s">
        <v>1596</v>
      </c>
      <c r="D380" s="64" t="s">
        <v>5545</v>
      </c>
      <c r="E380" s="64">
        <f>'Cyber Privacy'!$H$12</f>
        <v>0</v>
      </c>
      <c r="F380" s="64" t="str">
        <f>'Cyber Privacy'!$L$12</f>
        <v/>
      </c>
      <c r="G380" s="64" t="str">
        <f>'Cyber Privacy'!$T$12</f>
        <v>CISO / IT Security</v>
      </c>
      <c r="H380" s="64">
        <f>'Cyber Privacy'!$U$12</f>
        <v>0</v>
      </c>
      <c r="I380" s="64" t="str">
        <f t="shared" si="17"/>
        <v>OK</v>
      </c>
      <c r="J380" s="64" t="str">
        <f t="shared" si="18"/>
        <v>OK</v>
      </c>
      <c r="K380" s="64" t="str">
        <f t="shared" si="19"/>
        <v>OK</v>
      </c>
      <c r="L380" s="64" t="str">
        <f>IF(AND(E380&lt;&gt;"",E380&lt;&gt;"N/A",VALUE(E380)&lt;5,COUNTIF('Executive Recommendations'!$A$8:$A$414,A380)=0),"Missing recommended action","OK")</f>
        <v>Missing recommended action</v>
      </c>
      <c r="M380" s="64" t="s">
        <v>5546</v>
      </c>
      <c r="N380" s="64" t="s">
        <v>8643</v>
      </c>
    </row>
    <row r="381" spans="1:14" ht="51">
      <c r="A381" s="52" t="s">
        <v>5554</v>
      </c>
      <c r="B381" s="52" t="s">
        <v>93</v>
      </c>
      <c r="C381" s="52" t="s">
        <v>1596</v>
      </c>
      <c r="D381" s="52" t="s">
        <v>5555</v>
      </c>
      <c r="E381" s="52">
        <f>'Cyber Privacy'!$H$13</f>
        <v>0</v>
      </c>
      <c r="F381" s="52" t="str">
        <f>'Cyber Privacy'!$L$13</f>
        <v/>
      </c>
      <c r="G381" s="52" t="str">
        <f>'Cyber Privacy'!$T$13</f>
        <v>CISO / IT Security</v>
      </c>
      <c r="H381" s="52">
        <f>'Cyber Privacy'!$U$13</f>
        <v>0</v>
      </c>
      <c r="I381" s="52" t="str">
        <f t="shared" si="17"/>
        <v>OK</v>
      </c>
      <c r="J381" s="52" t="str">
        <f t="shared" si="18"/>
        <v>OK</v>
      </c>
      <c r="K381" s="52" t="str">
        <f t="shared" si="19"/>
        <v>OK</v>
      </c>
      <c r="L381" s="52" t="str">
        <f>IF(AND(E381&lt;&gt;"",E381&lt;&gt;"N/A",VALUE(E381)&lt;5,COUNTIF('Executive Recommendations'!$A$8:$A$414,A381)=0),"Missing recommended action","OK")</f>
        <v>Missing recommended action</v>
      </c>
      <c r="M381" s="52" t="s">
        <v>5556</v>
      </c>
      <c r="N381" s="52" t="s">
        <v>8650</v>
      </c>
    </row>
    <row r="382" spans="1:14" ht="51">
      <c r="A382" s="64" t="s">
        <v>5564</v>
      </c>
      <c r="B382" s="64" t="s">
        <v>93</v>
      </c>
      <c r="C382" s="64" t="s">
        <v>1596</v>
      </c>
      <c r="D382" s="64" t="s">
        <v>5565</v>
      </c>
      <c r="E382" s="64">
        <f>'Cyber Privacy'!$H$14</f>
        <v>0</v>
      </c>
      <c r="F382" s="64" t="str">
        <f>'Cyber Privacy'!$L$14</f>
        <v/>
      </c>
      <c r="G382" s="64" t="str">
        <f>'Cyber Privacy'!$T$14</f>
        <v>CISO / IT Security</v>
      </c>
      <c r="H382" s="64">
        <f>'Cyber Privacy'!$U$14</f>
        <v>0</v>
      </c>
      <c r="I382" s="64" t="str">
        <f t="shared" si="17"/>
        <v>OK</v>
      </c>
      <c r="J382" s="64" t="str">
        <f t="shared" si="18"/>
        <v>OK</v>
      </c>
      <c r="K382" s="64" t="str">
        <f t="shared" si="19"/>
        <v>OK</v>
      </c>
      <c r="L382" s="64" t="str">
        <f>IF(AND(E382&lt;&gt;"",E382&lt;&gt;"N/A",VALUE(E382)&lt;5,COUNTIF('Executive Recommendations'!$A$8:$A$414,A382)=0),"Missing recommended action","OK")</f>
        <v>Missing recommended action</v>
      </c>
      <c r="M382" s="64" t="s">
        <v>5566</v>
      </c>
      <c r="N382" s="64" t="s">
        <v>8657</v>
      </c>
    </row>
    <row r="383" spans="1:14" ht="51">
      <c r="A383" s="52" t="s">
        <v>5574</v>
      </c>
      <c r="B383" s="52" t="s">
        <v>93</v>
      </c>
      <c r="C383" s="52" t="s">
        <v>1596</v>
      </c>
      <c r="D383" s="52" t="s">
        <v>5575</v>
      </c>
      <c r="E383" s="52">
        <f>'Cyber Privacy'!$H$15</f>
        <v>0</v>
      </c>
      <c r="F383" s="52" t="str">
        <f>'Cyber Privacy'!$L$15</f>
        <v/>
      </c>
      <c r="G383" s="52" t="str">
        <f>'Cyber Privacy'!$T$15</f>
        <v>CISO / IT Security</v>
      </c>
      <c r="H383" s="52">
        <f>'Cyber Privacy'!$U$15</f>
        <v>0</v>
      </c>
      <c r="I383" s="52" t="str">
        <f t="shared" si="17"/>
        <v>OK</v>
      </c>
      <c r="J383" s="52" t="str">
        <f t="shared" si="18"/>
        <v>OK</v>
      </c>
      <c r="K383" s="52" t="str">
        <f t="shared" si="19"/>
        <v>OK</v>
      </c>
      <c r="L383" s="52" t="str">
        <f>IF(AND(E383&lt;&gt;"",E383&lt;&gt;"N/A",VALUE(E383)&lt;5,COUNTIF('Executive Recommendations'!$A$8:$A$414,A383)=0),"Missing recommended action","OK")</f>
        <v>Missing recommended action</v>
      </c>
      <c r="M383" s="52" t="s">
        <v>5576</v>
      </c>
      <c r="N383" s="52" t="s">
        <v>8664</v>
      </c>
    </row>
    <row r="384" spans="1:14" ht="51">
      <c r="A384" s="64" t="s">
        <v>5584</v>
      </c>
      <c r="B384" s="64" t="s">
        <v>93</v>
      </c>
      <c r="C384" s="64" t="s">
        <v>1596</v>
      </c>
      <c r="D384" s="64" t="s">
        <v>5585</v>
      </c>
      <c r="E384" s="64">
        <f>'Cyber Privacy'!$H$16</f>
        <v>0</v>
      </c>
      <c r="F384" s="64" t="str">
        <f>'Cyber Privacy'!$L$16</f>
        <v/>
      </c>
      <c r="G384" s="64" t="str">
        <f>'Cyber Privacy'!$T$16</f>
        <v>CISO / IT Security</v>
      </c>
      <c r="H384" s="64">
        <f>'Cyber Privacy'!$U$16</f>
        <v>0</v>
      </c>
      <c r="I384" s="64" t="str">
        <f t="shared" si="17"/>
        <v>OK</v>
      </c>
      <c r="J384" s="64" t="str">
        <f t="shared" si="18"/>
        <v>OK</v>
      </c>
      <c r="K384" s="64" t="str">
        <f t="shared" si="19"/>
        <v>OK</v>
      </c>
      <c r="L384" s="64" t="str">
        <f>IF(AND(E384&lt;&gt;"",E384&lt;&gt;"N/A",VALUE(E384)&lt;5,COUNTIF('Executive Recommendations'!$A$8:$A$414,A384)=0),"Missing recommended action","OK")</f>
        <v>Missing recommended action</v>
      </c>
      <c r="M384" s="64" t="s">
        <v>5586</v>
      </c>
      <c r="N384" s="64" t="s">
        <v>8671</v>
      </c>
    </row>
    <row r="385" spans="1:14" ht="51">
      <c r="A385" s="52" t="s">
        <v>5594</v>
      </c>
      <c r="B385" s="52" t="s">
        <v>93</v>
      </c>
      <c r="C385" s="52" t="s">
        <v>1604</v>
      </c>
      <c r="D385" s="52" t="s">
        <v>5595</v>
      </c>
      <c r="E385" s="52">
        <f>'Cyber Privacy'!$H$17</f>
        <v>0</v>
      </c>
      <c r="F385" s="52" t="str">
        <f>'Cyber Privacy'!$L$17</f>
        <v/>
      </c>
      <c r="G385" s="52" t="str">
        <f>'Cyber Privacy'!$T$17</f>
        <v>CISO / IT Security</v>
      </c>
      <c r="H385" s="52">
        <f>'Cyber Privacy'!$U$17</f>
        <v>0</v>
      </c>
      <c r="I385" s="52" t="str">
        <f t="shared" si="17"/>
        <v>OK</v>
      </c>
      <c r="J385" s="52" t="str">
        <f t="shared" si="18"/>
        <v>OK</v>
      </c>
      <c r="K385" s="52" t="str">
        <f t="shared" si="19"/>
        <v>OK</v>
      </c>
      <c r="L385" s="52" t="str">
        <f>IF(AND(E385&lt;&gt;"",E385&lt;&gt;"N/A",VALUE(E385)&lt;5,COUNTIF('Executive Recommendations'!$A$8:$A$414,A385)=0),"Missing recommended action","OK")</f>
        <v>Missing recommended action</v>
      </c>
      <c r="M385" s="52" t="s">
        <v>5596</v>
      </c>
      <c r="N385" s="52" t="s">
        <v>8679</v>
      </c>
    </row>
    <row r="386" spans="1:14" ht="51">
      <c r="A386" s="64" t="s">
        <v>5604</v>
      </c>
      <c r="B386" s="64" t="s">
        <v>93</v>
      </c>
      <c r="C386" s="64" t="s">
        <v>1604</v>
      </c>
      <c r="D386" s="64" t="s">
        <v>5605</v>
      </c>
      <c r="E386" s="64">
        <f>'Cyber Privacy'!$H$18</f>
        <v>0</v>
      </c>
      <c r="F386" s="64" t="str">
        <f>'Cyber Privacy'!$L$18</f>
        <v/>
      </c>
      <c r="G386" s="64" t="str">
        <f>'Cyber Privacy'!$T$18</f>
        <v>CISO / IT Security</v>
      </c>
      <c r="H386" s="64">
        <f>'Cyber Privacy'!$U$18</f>
        <v>0</v>
      </c>
      <c r="I386" s="64" t="str">
        <f t="shared" si="17"/>
        <v>OK</v>
      </c>
      <c r="J386" s="64" t="str">
        <f t="shared" si="18"/>
        <v>OK</v>
      </c>
      <c r="K386" s="64" t="str">
        <f t="shared" si="19"/>
        <v>OK</v>
      </c>
      <c r="L386" s="64" t="str">
        <f>IF(AND(E386&lt;&gt;"",E386&lt;&gt;"N/A",VALUE(E386)&lt;5,COUNTIF('Executive Recommendations'!$A$8:$A$414,A386)=0),"Missing recommended action","OK")</f>
        <v>Missing recommended action</v>
      </c>
      <c r="M386" s="64" t="s">
        <v>5606</v>
      </c>
      <c r="N386" s="64" t="s">
        <v>8686</v>
      </c>
    </row>
    <row r="387" spans="1:14" ht="63.75">
      <c r="A387" s="52" t="s">
        <v>5614</v>
      </c>
      <c r="B387" s="52" t="s">
        <v>93</v>
      </c>
      <c r="C387" s="52" t="s">
        <v>1604</v>
      </c>
      <c r="D387" s="52" t="s">
        <v>5615</v>
      </c>
      <c r="E387" s="52">
        <f>'Cyber Privacy'!$H$19</f>
        <v>0</v>
      </c>
      <c r="F387" s="52" t="str">
        <f>'Cyber Privacy'!$L$19</f>
        <v/>
      </c>
      <c r="G387" s="52" t="str">
        <f>'Cyber Privacy'!$T$19</f>
        <v>CISO / IT Security</v>
      </c>
      <c r="H387" s="52">
        <f>'Cyber Privacy'!$U$19</f>
        <v>0</v>
      </c>
      <c r="I387" s="52" t="str">
        <f t="shared" si="17"/>
        <v>OK</v>
      </c>
      <c r="J387" s="52" t="str">
        <f t="shared" si="18"/>
        <v>OK</v>
      </c>
      <c r="K387" s="52" t="str">
        <f t="shared" si="19"/>
        <v>OK</v>
      </c>
      <c r="L387" s="52" t="str">
        <f>IF(AND(E387&lt;&gt;"",E387&lt;&gt;"N/A",VALUE(E387)&lt;5,COUNTIF('Executive Recommendations'!$A$8:$A$414,A387)=0),"Missing recommended action","OK")</f>
        <v>Missing recommended action</v>
      </c>
      <c r="M387" s="52" t="s">
        <v>5616</v>
      </c>
      <c r="N387" s="52" t="s">
        <v>8693</v>
      </c>
    </row>
    <row r="388" spans="1:14" ht="51">
      <c r="A388" s="64" t="s">
        <v>5624</v>
      </c>
      <c r="B388" s="64" t="s">
        <v>93</v>
      </c>
      <c r="C388" s="64" t="s">
        <v>1604</v>
      </c>
      <c r="D388" s="64" t="s">
        <v>5625</v>
      </c>
      <c r="E388" s="64">
        <f>'Cyber Privacy'!$H$20</f>
        <v>0</v>
      </c>
      <c r="F388" s="64" t="str">
        <f>'Cyber Privacy'!$L$20</f>
        <v/>
      </c>
      <c r="G388" s="64" t="str">
        <f>'Cyber Privacy'!$T$20</f>
        <v>CISO / IT Security</v>
      </c>
      <c r="H388" s="64">
        <f>'Cyber Privacy'!$U$20</f>
        <v>0</v>
      </c>
      <c r="I388" s="64" t="str">
        <f t="shared" si="17"/>
        <v>OK</v>
      </c>
      <c r="J388" s="64" t="str">
        <f t="shared" si="18"/>
        <v>OK</v>
      </c>
      <c r="K388" s="64" t="str">
        <f t="shared" si="19"/>
        <v>OK</v>
      </c>
      <c r="L388" s="64" t="str">
        <f>IF(AND(E388&lt;&gt;"",E388&lt;&gt;"N/A",VALUE(E388)&lt;5,COUNTIF('Executive Recommendations'!$A$8:$A$414,A388)=0),"Missing recommended action","OK")</f>
        <v>Missing recommended action</v>
      </c>
      <c r="M388" s="64" t="s">
        <v>5626</v>
      </c>
      <c r="N388" s="64" t="s">
        <v>8700</v>
      </c>
    </row>
    <row r="389" spans="1:14" ht="63.75">
      <c r="A389" s="52" t="s">
        <v>5634</v>
      </c>
      <c r="B389" s="52" t="s">
        <v>93</v>
      </c>
      <c r="C389" s="52" t="s">
        <v>1604</v>
      </c>
      <c r="D389" s="52" t="s">
        <v>5635</v>
      </c>
      <c r="E389" s="52">
        <f>'Cyber Privacy'!$H$21</f>
        <v>0</v>
      </c>
      <c r="F389" s="52" t="str">
        <f>'Cyber Privacy'!$L$21</f>
        <v/>
      </c>
      <c r="G389" s="52" t="str">
        <f>'Cyber Privacy'!$T$21</f>
        <v>CISO / IT Security</v>
      </c>
      <c r="H389" s="52">
        <f>'Cyber Privacy'!$U$21</f>
        <v>0</v>
      </c>
      <c r="I389" s="52" t="str">
        <f t="shared" si="17"/>
        <v>OK</v>
      </c>
      <c r="J389" s="52" t="str">
        <f t="shared" si="18"/>
        <v>OK</v>
      </c>
      <c r="K389" s="52" t="str">
        <f t="shared" si="19"/>
        <v>OK</v>
      </c>
      <c r="L389" s="52" t="str">
        <f>IF(AND(E389&lt;&gt;"",E389&lt;&gt;"N/A",VALUE(E389)&lt;5,COUNTIF('Executive Recommendations'!$A$8:$A$414,A389)=0),"Missing recommended action","OK")</f>
        <v>Missing recommended action</v>
      </c>
      <c r="M389" s="52" t="s">
        <v>5636</v>
      </c>
      <c r="N389" s="52" t="s">
        <v>8707</v>
      </c>
    </row>
    <row r="390" spans="1:14" ht="51">
      <c r="A390" s="64" t="s">
        <v>5644</v>
      </c>
      <c r="B390" s="64" t="s">
        <v>93</v>
      </c>
      <c r="C390" s="64" t="s">
        <v>1604</v>
      </c>
      <c r="D390" s="64" t="s">
        <v>5645</v>
      </c>
      <c r="E390" s="64">
        <f>'Cyber Privacy'!$H$22</f>
        <v>0</v>
      </c>
      <c r="F390" s="64" t="str">
        <f>'Cyber Privacy'!$L$22</f>
        <v/>
      </c>
      <c r="G390" s="64" t="str">
        <f>'Cyber Privacy'!$T$22</f>
        <v>CISO / IT Security</v>
      </c>
      <c r="H390" s="64">
        <f>'Cyber Privacy'!$U$22</f>
        <v>0</v>
      </c>
      <c r="I390" s="64" t="str">
        <f t="shared" si="17"/>
        <v>OK</v>
      </c>
      <c r="J390" s="64" t="str">
        <f t="shared" si="18"/>
        <v>OK</v>
      </c>
      <c r="K390" s="64" t="str">
        <f t="shared" si="19"/>
        <v>OK</v>
      </c>
      <c r="L390" s="64" t="str">
        <f>IF(AND(E390&lt;&gt;"",E390&lt;&gt;"N/A",VALUE(E390)&lt;5,COUNTIF('Executive Recommendations'!$A$8:$A$414,A390)=0),"Missing recommended action","OK")</f>
        <v>Missing recommended action</v>
      </c>
      <c r="M390" s="64" t="s">
        <v>5646</v>
      </c>
      <c r="N390" s="64" t="s">
        <v>8714</v>
      </c>
    </row>
    <row r="391" spans="1:14" ht="51">
      <c r="A391" s="52" t="s">
        <v>5654</v>
      </c>
      <c r="B391" s="52" t="s">
        <v>93</v>
      </c>
      <c r="C391" s="52" t="s">
        <v>1604</v>
      </c>
      <c r="D391" s="52" t="s">
        <v>5655</v>
      </c>
      <c r="E391" s="52">
        <f>'Cyber Privacy'!$H$23</f>
        <v>0</v>
      </c>
      <c r="F391" s="52" t="str">
        <f>'Cyber Privacy'!$L$23</f>
        <v/>
      </c>
      <c r="G391" s="52" t="str">
        <f>'Cyber Privacy'!$T$23</f>
        <v>CISO / IT Security</v>
      </c>
      <c r="H391" s="52">
        <f>'Cyber Privacy'!$U$23</f>
        <v>0</v>
      </c>
      <c r="I391" s="52" t="str">
        <f t="shared" si="17"/>
        <v>OK</v>
      </c>
      <c r="J391" s="52" t="str">
        <f t="shared" si="18"/>
        <v>OK</v>
      </c>
      <c r="K391" s="52" t="str">
        <f t="shared" si="19"/>
        <v>OK</v>
      </c>
      <c r="L391" s="52" t="str">
        <f>IF(AND(E391&lt;&gt;"",E391&lt;&gt;"N/A",VALUE(E391)&lt;5,COUNTIF('Executive Recommendations'!$A$8:$A$414,A391)=0),"Missing recommended action","OK")</f>
        <v>Missing recommended action</v>
      </c>
      <c r="M391" s="52" t="s">
        <v>5656</v>
      </c>
      <c r="N391" s="52" t="s">
        <v>8721</v>
      </c>
    </row>
    <row r="392" spans="1:14" ht="51">
      <c r="A392" s="64" t="s">
        <v>5664</v>
      </c>
      <c r="B392" s="64" t="s">
        <v>93</v>
      </c>
      <c r="C392" s="64" t="s">
        <v>1604</v>
      </c>
      <c r="D392" s="64" t="s">
        <v>5665</v>
      </c>
      <c r="E392" s="64">
        <f>'Cyber Privacy'!$H$24</f>
        <v>0</v>
      </c>
      <c r="F392" s="64" t="str">
        <f>'Cyber Privacy'!$L$24</f>
        <v/>
      </c>
      <c r="G392" s="64" t="str">
        <f>'Cyber Privacy'!$T$24</f>
        <v>CISO / IT Security</v>
      </c>
      <c r="H392" s="64">
        <f>'Cyber Privacy'!$U$24</f>
        <v>0</v>
      </c>
      <c r="I392" s="64" t="str">
        <f t="shared" si="17"/>
        <v>OK</v>
      </c>
      <c r="J392" s="64" t="str">
        <f t="shared" si="18"/>
        <v>OK</v>
      </c>
      <c r="K392" s="64" t="str">
        <f t="shared" si="19"/>
        <v>OK</v>
      </c>
      <c r="L392" s="64" t="str">
        <f>IF(AND(E392&lt;&gt;"",E392&lt;&gt;"N/A",VALUE(E392)&lt;5,COUNTIF('Executive Recommendations'!$A$8:$A$414,A392)=0),"Missing recommended action","OK")</f>
        <v>Missing recommended action</v>
      </c>
      <c r="M392" s="64" t="s">
        <v>5666</v>
      </c>
      <c r="N392" s="64" t="s">
        <v>8728</v>
      </c>
    </row>
    <row r="393" spans="1:14" ht="63.75">
      <c r="A393" s="52" t="s">
        <v>5674</v>
      </c>
      <c r="B393" s="52" t="s">
        <v>93</v>
      </c>
      <c r="C393" s="52" t="s">
        <v>1612</v>
      </c>
      <c r="D393" s="52" t="s">
        <v>5675</v>
      </c>
      <c r="E393" s="52">
        <f>'Cyber Privacy'!$H$25</f>
        <v>0</v>
      </c>
      <c r="F393" s="52" t="str">
        <f>'Cyber Privacy'!$L$25</f>
        <v/>
      </c>
      <c r="G393" s="52" t="str">
        <f>'Cyber Privacy'!$T$25</f>
        <v>CISO / IT Security</v>
      </c>
      <c r="H393" s="52">
        <f>'Cyber Privacy'!$U$25</f>
        <v>0</v>
      </c>
      <c r="I393" s="52" t="str">
        <f t="shared" si="17"/>
        <v>OK</v>
      </c>
      <c r="J393" s="52" t="str">
        <f t="shared" si="18"/>
        <v>OK</v>
      </c>
      <c r="K393" s="52" t="str">
        <f t="shared" si="19"/>
        <v>OK</v>
      </c>
      <c r="L393" s="52" t="str">
        <f>IF(AND(E393&lt;&gt;"",E393&lt;&gt;"N/A",VALUE(E393)&lt;5,COUNTIF('Executive Recommendations'!$A$8:$A$414,A393)=0),"Missing recommended action","OK")</f>
        <v>Missing recommended action</v>
      </c>
      <c r="M393" s="52" t="s">
        <v>5676</v>
      </c>
      <c r="N393" s="52" t="s">
        <v>8736</v>
      </c>
    </row>
    <row r="394" spans="1:14" ht="51">
      <c r="A394" s="64" t="s">
        <v>5684</v>
      </c>
      <c r="B394" s="64" t="s">
        <v>93</v>
      </c>
      <c r="C394" s="64" t="s">
        <v>1612</v>
      </c>
      <c r="D394" s="64" t="s">
        <v>5685</v>
      </c>
      <c r="E394" s="64">
        <f>'Cyber Privacy'!$H$26</f>
        <v>0</v>
      </c>
      <c r="F394" s="64" t="str">
        <f>'Cyber Privacy'!$L$26</f>
        <v/>
      </c>
      <c r="G394" s="64" t="str">
        <f>'Cyber Privacy'!$T$26</f>
        <v>CISO / IT Security</v>
      </c>
      <c r="H394" s="64">
        <f>'Cyber Privacy'!$U$26</f>
        <v>0</v>
      </c>
      <c r="I394" s="64" t="str">
        <f t="shared" si="17"/>
        <v>OK</v>
      </c>
      <c r="J394" s="64" t="str">
        <f t="shared" si="18"/>
        <v>OK</v>
      </c>
      <c r="K394" s="64" t="str">
        <f t="shared" si="19"/>
        <v>OK</v>
      </c>
      <c r="L394" s="64" t="str">
        <f>IF(AND(E394&lt;&gt;"",E394&lt;&gt;"N/A",VALUE(E394)&lt;5,COUNTIF('Executive Recommendations'!$A$8:$A$414,A394)=0),"Missing recommended action","OK")</f>
        <v>Missing recommended action</v>
      </c>
      <c r="M394" s="64" t="s">
        <v>5686</v>
      </c>
      <c r="N394" s="64" t="s">
        <v>8743</v>
      </c>
    </row>
    <row r="395" spans="1:14" ht="63.75">
      <c r="A395" s="52" t="s">
        <v>5694</v>
      </c>
      <c r="B395" s="52" t="s">
        <v>93</v>
      </c>
      <c r="C395" s="52" t="s">
        <v>1612</v>
      </c>
      <c r="D395" s="52" t="s">
        <v>5695</v>
      </c>
      <c r="E395" s="52">
        <f>'Cyber Privacy'!$H$27</f>
        <v>0</v>
      </c>
      <c r="F395" s="52" t="str">
        <f>'Cyber Privacy'!$L$27</f>
        <v/>
      </c>
      <c r="G395" s="52" t="str">
        <f>'Cyber Privacy'!$T$27</f>
        <v>CISO / IT Security</v>
      </c>
      <c r="H395" s="52">
        <f>'Cyber Privacy'!$U$27</f>
        <v>0</v>
      </c>
      <c r="I395" s="52" t="str">
        <f t="shared" si="17"/>
        <v>OK</v>
      </c>
      <c r="J395" s="52" t="str">
        <f t="shared" si="18"/>
        <v>OK</v>
      </c>
      <c r="K395" s="52" t="str">
        <f t="shared" si="19"/>
        <v>OK</v>
      </c>
      <c r="L395" s="52" t="str">
        <f>IF(AND(E395&lt;&gt;"",E395&lt;&gt;"N/A",VALUE(E395)&lt;5,COUNTIF('Executive Recommendations'!$A$8:$A$414,A395)=0),"Missing recommended action","OK")</f>
        <v>Missing recommended action</v>
      </c>
      <c r="M395" s="52" t="s">
        <v>5696</v>
      </c>
      <c r="N395" s="52" t="s">
        <v>8750</v>
      </c>
    </row>
    <row r="396" spans="1:14" ht="63.75">
      <c r="A396" s="64" t="s">
        <v>5704</v>
      </c>
      <c r="B396" s="64" t="s">
        <v>93</v>
      </c>
      <c r="C396" s="64" t="s">
        <v>1612</v>
      </c>
      <c r="D396" s="64" t="s">
        <v>5705</v>
      </c>
      <c r="E396" s="64">
        <f>'Cyber Privacy'!$H$28</f>
        <v>0</v>
      </c>
      <c r="F396" s="64" t="str">
        <f>'Cyber Privacy'!$L$28</f>
        <v/>
      </c>
      <c r="G396" s="64" t="str">
        <f>'Cyber Privacy'!$T$28</f>
        <v>CISO / IT Security</v>
      </c>
      <c r="H396" s="64">
        <f>'Cyber Privacy'!$U$28</f>
        <v>0</v>
      </c>
      <c r="I396" s="64" t="str">
        <f t="shared" si="17"/>
        <v>OK</v>
      </c>
      <c r="J396" s="64" t="str">
        <f t="shared" si="18"/>
        <v>OK</v>
      </c>
      <c r="K396" s="64" t="str">
        <f t="shared" si="19"/>
        <v>OK</v>
      </c>
      <c r="L396" s="64" t="str">
        <f>IF(AND(E396&lt;&gt;"",E396&lt;&gt;"N/A",VALUE(E396)&lt;5,COUNTIF('Executive Recommendations'!$A$8:$A$414,A396)=0),"Missing recommended action","OK")</f>
        <v>Missing recommended action</v>
      </c>
      <c r="M396" s="64" t="s">
        <v>5706</v>
      </c>
      <c r="N396" s="64" t="s">
        <v>8757</v>
      </c>
    </row>
    <row r="397" spans="1:14" ht="51">
      <c r="A397" s="52" t="s">
        <v>5714</v>
      </c>
      <c r="B397" s="52" t="s">
        <v>93</v>
      </c>
      <c r="C397" s="52" t="s">
        <v>1612</v>
      </c>
      <c r="D397" s="52" t="s">
        <v>5715</v>
      </c>
      <c r="E397" s="52">
        <f>'Cyber Privacy'!$H$29</f>
        <v>0</v>
      </c>
      <c r="F397" s="52" t="str">
        <f>'Cyber Privacy'!$L$29</f>
        <v/>
      </c>
      <c r="G397" s="52" t="str">
        <f>'Cyber Privacy'!$T$29</f>
        <v>CISO / IT Security</v>
      </c>
      <c r="H397" s="52">
        <f>'Cyber Privacy'!$U$29</f>
        <v>0</v>
      </c>
      <c r="I397" s="52" t="str">
        <f t="shared" si="17"/>
        <v>OK</v>
      </c>
      <c r="J397" s="52" t="str">
        <f t="shared" si="18"/>
        <v>OK</v>
      </c>
      <c r="K397" s="52" t="str">
        <f t="shared" si="19"/>
        <v>OK</v>
      </c>
      <c r="L397" s="52" t="str">
        <f>IF(AND(E397&lt;&gt;"",E397&lt;&gt;"N/A",VALUE(E397)&lt;5,COUNTIF('Executive Recommendations'!$A$8:$A$414,A397)=0),"Missing recommended action","OK")</f>
        <v>Missing recommended action</v>
      </c>
      <c r="M397" s="52" t="s">
        <v>5716</v>
      </c>
      <c r="N397" s="52" t="s">
        <v>8764</v>
      </c>
    </row>
    <row r="398" spans="1:14" ht="51">
      <c r="A398" s="64" t="s">
        <v>5724</v>
      </c>
      <c r="B398" s="64" t="s">
        <v>93</v>
      </c>
      <c r="C398" s="64" t="s">
        <v>1612</v>
      </c>
      <c r="D398" s="64" t="s">
        <v>5725</v>
      </c>
      <c r="E398" s="64">
        <f>'Cyber Privacy'!$H$30</f>
        <v>0</v>
      </c>
      <c r="F398" s="64" t="str">
        <f>'Cyber Privacy'!$L$30</f>
        <v/>
      </c>
      <c r="G398" s="64" t="str">
        <f>'Cyber Privacy'!$T$30</f>
        <v>CISO / IT Security</v>
      </c>
      <c r="H398" s="64">
        <f>'Cyber Privacy'!$U$30</f>
        <v>0</v>
      </c>
      <c r="I398" s="64" t="str">
        <f t="shared" si="17"/>
        <v>OK</v>
      </c>
      <c r="J398" s="64" t="str">
        <f t="shared" si="18"/>
        <v>OK</v>
      </c>
      <c r="K398" s="64" t="str">
        <f t="shared" si="19"/>
        <v>OK</v>
      </c>
      <c r="L398" s="64" t="str">
        <f>IF(AND(E398&lt;&gt;"",E398&lt;&gt;"N/A",VALUE(E398)&lt;5,COUNTIF('Executive Recommendations'!$A$8:$A$414,A398)=0),"Missing recommended action","OK")</f>
        <v>Missing recommended action</v>
      </c>
      <c r="M398" s="64" t="s">
        <v>5726</v>
      </c>
      <c r="N398" s="64" t="s">
        <v>8771</v>
      </c>
    </row>
    <row r="399" spans="1:14" ht="51">
      <c r="A399" s="52" t="s">
        <v>5734</v>
      </c>
      <c r="B399" s="52" t="s">
        <v>93</v>
      </c>
      <c r="C399" s="52" t="s">
        <v>1620</v>
      </c>
      <c r="D399" s="52" t="s">
        <v>5735</v>
      </c>
      <c r="E399" s="52">
        <f>'Cyber Privacy'!$H$31</f>
        <v>0</v>
      </c>
      <c r="F399" s="52" t="str">
        <f>'Cyber Privacy'!$L$31</f>
        <v/>
      </c>
      <c r="G399" s="52" t="str">
        <f>'Cyber Privacy'!$T$31</f>
        <v>CISO / IT Security</v>
      </c>
      <c r="H399" s="52">
        <f>'Cyber Privacy'!$U$31</f>
        <v>0</v>
      </c>
      <c r="I399" s="52" t="str">
        <f t="shared" si="17"/>
        <v>OK</v>
      </c>
      <c r="J399" s="52" t="str">
        <f t="shared" si="18"/>
        <v>OK</v>
      </c>
      <c r="K399" s="52" t="str">
        <f t="shared" si="19"/>
        <v>OK</v>
      </c>
      <c r="L399" s="52" t="str">
        <f>IF(AND(E399&lt;&gt;"",E399&lt;&gt;"N/A",VALUE(E399)&lt;5,COUNTIF('Executive Recommendations'!$A$8:$A$414,A399)=0),"Missing recommended action","OK")</f>
        <v>Missing recommended action</v>
      </c>
      <c r="M399" s="52" t="s">
        <v>5736</v>
      </c>
      <c r="N399" s="52" t="s">
        <v>8779</v>
      </c>
    </row>
    <row r="400" spans="1:14" ht="63.75">
      <c r="A400" s="64" t="s">
        <v>5744</v>
      </c>
      <c r="B400" s="64" t="s">
        <v>93</v>
      </c>
      <c r="C400" s="64" t="s">
        <v>1620</v>
      </c>
      <c r="D400" s="64" t="s">
        <v>5745</v>
      </c>
      <c r="E400" s="64">
        <f>'Cyber Privacy'!$H$32</f>
        <v>0</v>
      </c>
      <c r="F400" s="64" t="str">
        <f>'Cyber Privacy'!$L$32</f>
        <v/>
      </c>
      <c r="G400" s="64" t="str">
        <f>'Cyber Privacy'!$T$32</f>
        <v>CISO / IT Security</v>
      </c>
      <c r="H400" s="64">
        <f>'Cyber Privacy'!$U$32</f>
        <v>0</v>
      </c>
      <c r="I400" s="64" t="str">
        <f t="shared" si="17"/>
        <v>OK</v>
      </c>
      <c r="J400" s="64" t="str">
        <f t="shared" si="18"/>
        <v>OK</v>
      </c>
      <c r="K400" s="64" t="str">
        <f t="shared" si="19"/>
        <v>OK</v>
      </c>
      <c r="L400" s="64" t="str">
        <f>IF(AND(E400&lt;&gt;"",E400&lt;&gt;"N/A",VALUE(E400)&lt;5,COUNTIF('Executive Recommendations'!$A$8:$A$414,A400)=0),"Missing recommended action","OK")</f>
        <v>Missing recommended action</v>
      </c>
      <c r="M400" s="64" t="s">
        <v>5746</v>
      </c>
      <c r="N400" s="64" t="s">
        <v>8786</v>
      </c>
    </row>
    <row r="401" spans="1:14" ht="63.75">
      <c r="A401" s="52" t="s">
        <v>5754</v>
      </c>
      <c r="B401" s="52" t="s">
        <v>93</v>
      </c>
      <c r="C401" s="52" t="s">
        <v>1620</v>
      </c>
      <c r="D401" s="52" t="s">
        <v>4229</v>
      </c>
      <c r="E401" s="52">
        <f>'Cyber Privacy'!$H$33</f>
        <v>0</v>
      </c>
      <c r="F401" s="52" t="str">
        <f>'Cyber Privacy'!$L$33</f>
        <v/>
      </c>
      <c r="G401" s="52" t="str">
        <f>'Cyber Privacy'!$T$33</f>
        <v>CISO / IT Security</v>
      </c>
      <c r="H401" s="52">
        <f>'Cyber Privacy'!$U$33</f>
        <v>0</v>
      </c>
      <c r="I401" s="52" t="str">
        <f t="shared" si="17"/>
        <v>OK</v>
      </c>
      <c r="J401" s="52" t="str">
        <f t="shared" si="18"/>
        <v>OK</v>
      </c>
      <c r="K401" s="52" t="str">
        <f t="shared" si="19"/>
        <v>OK</v>
      </c>
      <c r="L401" s="52" t="str">
        <f>IF(AND(E401&lt;&gt;"",E401&lt;&gt;"N/A",VALUE(E401)&lt;5,COUNTIF('Executive Recommendations'!$A$8:$A$414,A401)=0),"Missing recommended action","OK")</f>
        <v>Missing recommended action</v>
      </c>
      <c r="M401" s="52" t="s">
        <v>4230</v>
      </c>
      <c r="N401" s="52" t="s">
        <v>8787</v>
      </c>
    </row>
    <row r="402" spans="1:14" ht="51">
      <c r="A402" s="64" t="s">
        <v>5756</v>
      </c>
      <c r="B402" s="64" t="s">
        <v>93</v>
      </c>
      <c r="C402" s="64" t="s">
        <v>1620</v>
      </c>
      <c r="D402" s="64" t="s">
        <v>5757</v>
      </c>
      <c r="E402" s="64">
        <f>'Cyber Privacy'!$H$34</f>
        <v>0</v>
      </c>
      <c r="F402" s="64" t="str">
        <f>'Cyber Privacy'!$L$34</f>
        <v/>
      </c>
      <c r="G402" s="64" t="str">
        <f>'Cyber Privacy'!$T$34</f>
        <v>CISO / IT Security</v>
      </c>
      <c r="H402" s="64">
        <f>'Cyber Privacy'!$U$34</f>
        <v>0</v>
      </c>
      <c r="I402" s="64" t="str">
        <f t="shared" si="17"/>
        <v>OK</v>
      </c>
      <c r="J402" s="64" t="str">
        <f t="shared" si="18"/>
        <v>OK</v>
      </c>
      <c r="K402" s="64" t="str">
        <f t="shared" si="19"/>
        <v>OK</v>
      </c>
      <c r="L402" s="64" t="str">
        <f>IF(AND(E402&lt;&gt;"",E402&lt;&gt;"N/A",VALUE(E402)&lt;5,COUNTIF('Executive Recommendations'!$A$8:$A$414,A402)=0),"Missing recommended action","OK")</f>
        <v>Missing recommended action</v>
      </c>
      <c r="M402" s="64" t="s">
        <v>5758</v>
      </c>
      <c r="N402" s="64" t="s">
        <v>8794</v>
      </c>
    </row>
    <row r="403" spans="1:14" ht="51">
      <c r="A403" s="52" t="s">
        <v>5766</v>
      </c>
      <c r="B403" s="52" t="s">
        <v>93</v>
      </c>
      <c r="C403" s="52" t="s">
        <v>1620</v>
      </c>
      <c r="D403" s="52" t="s">
        <v>5767</v>
      </c>
      <c r="E403" s="52">
        <f>'Cyber Privacy'!$H$35</f>
        <v>0</v>
      </c>
      <c r="F403" s="52" t="str">
        <f>'Cyber Privacy'!$L$35</f>
        <v/>
      </c>
      <c r="G403" s="52" t="str">
        <f>'Cyber Privacy'!$T$35</f>
        <v>CISO / IT Security</v>
      </c>
      <c r="H403" s="52">
        <f>'Cyber Privacy'!$U$35</f>
        <v>0</v>
      </c>
      <c r="I403" s="52" t="str">
        <f t="shared" si="17"/>
        <v>OK</v>
      </c>
      <c r="J403" s="52" t="str">
        <f t="shared" si="18"/>
        <v>OK</v>
      </c>
      <c r="K403" s="52" t="str">
        <f t="shared" si="19"/>
        <v>OK</v>
      </c>
      <c r="L403" s="52" t="str">
        <f>IF(AND(E403&lt;&gt;"",E403&lt;&gt;"N/A",VALUE(E403)&lt;5,COUNTIF('Executive Recommendations'!$A$8:$A$414,A403)=0),"Missing recommended action","OK")</f>
        <v>Missing recommended action</v>
      </c>
      <c r="M403" s="52" t="s">
        <v>5768</v>
      </c>
      <c r="N403" s="52" t="s">
        <v>8801</v>
      </c>
    </row>
    <row r="404" spans="1:14" ht="51">
      <c r="A404" s="64" t="s">
        <v>5776</v>
      </c>
      <c r="B404" s="64" t="s">
        <v>93</v>
      </c>
      <c r="C404" s="64" t="s">
        <v>1628</v>
      </c>
      <c r="D404" s="64" t="s">
        <v>5777</v>
      </c>
      <c r="E404" s="64">
        <f>'Cyber Privacy'!$H$36</f>
        <v>0</v>
      </c>
      <c r="F404" s="64" t="str">
        <f>'Cyber Privacy'!$L$36</f>
        <v/>
      </c>
      <c r="G404" s="64" t="str">
        <f>'Cyber Privacy'!$T$36</f>
        <v>CISO / IT Security</v>
      </c>
      <c r="H404" s="64">
        <f>'Cyber Privacy'!$U$36</f>
        <v>0</v>
      </c>
      <c r="I404" s="64" t="str">
        <f t="shared" ref="I404:I426" si="20">IF(E404="","Missing score",IF(E404="N/A","OK",IF(AND(ISNUMBER(VALUE(E404)),VALUE(E404)&gt;=0,VALUE(E404)&lt;=5),"OK","Invalid score")))</f>
        <v>OK</v>
      </c>
      <c r="J404" s="64" t="str">
        <f t="shared" ref="J404:J426" si="21">IF(OR(F404="Critical",F404="High"),IF(H404="","Missing comments for high/critical risk","OK"),"OK")</f>
        <v>OK</v>
      </c>
      <c r="K404" s="64" t="str">
        <f t="shared" ref="K404:K426" si="22">IF(G404="","Missing owner","OK")</f>
        <v>OK</v>
      </c>
      <c r="L404" s="64" t="str">
        <f>IF(AND(E404&lt;&gt;"",E404&lt;&gt;"N/A",VALUE(E404)&lt;5,COUNTIF('Executive Recommendations'!$A$8:$A$414,A404)=0),"Missing recommended action","OK")</f>
        <v>Missing recommended action</v>
      </c>
      <c r="M404" s="64" t="s">
        <v>5778</v>
      </c>
      <c r="N404" s="64" t="s">
        <v>8809</v>
      </c>
    </row>
    <row r="405" spans="1:14" ht="51">
      <c r="A405" s="52" t="s">
        <v>5786</v>
      </c>
      <c r="B405" s="52" t="s">
        <v>93</v>
      </c>
      <c r="C405" s="52" t="s">
        <v>1628</v>
      </c>
      <c r="D405" s="52" t="s">
        <v>5787</v>
      </c>
      <c r="E405" s="52">
        <f>'Cyber Privacy'!$H$37</f>
        <v>0</v>
      </c>
      <c r="F405" s="52" t="str">
        <f>'Cyber Privacy'!$L$37</f>
        <v/>
      </c>
      <c r="G405" s="52" t="str">
        <f>'Cyber Privacy'!$T$37</f>
        <v>CISO / IT Security</v>
      </c>
      <c r="H405" s="52">
        <f>'Cyber Privacy'!$U$37</f>
        <v>0</v>
      </c>
      <c r="I405" s="52" t="str">
        <f t="shared" si="20"/>
        <v>OK</v>
      </c>
      <c r="J405" s="52" t="str">
        <f t="shared" si="21"/>
        <v>OK</v>
      </c>
      <c r="K405" s="52" t="str">
        <f t="shared" si="22"/>
        <v>OK</v>
      </c>
      <c r="L405" s="52" t="str">
        <f>IF(AND(E405&lt;&gt;"",E405&lt;&gt;"N/A",VALUE(E405)&lt;5,COUNTIF('Executive Recommendations'!$A$8:$A$414,A405)=0),"Missing recommended action","OK")</f>
        <v>Missing recommended action</v>
      </c>
      <c r="M405" s="52" t="s">
        <v>5788</v>
      </c>
      <c r="N405" s="52" t="s">
        <v>8816</v>
      </c>
    </row>
    <row r="406" spans="1:14" ht="63.75">
      <c r="A406" s="64" t="s">
        <v>5796</v>
      </c>
      <c r="B406" s="64" t="s">
        <v>93</v>
      </c>
      <c r="C406" s="64" t="s">
        <v>1628</v>
      </c>
      <c r="D406" s="64" t="s">
        <v>5797</v>
      </c>
      <c r="E406" s="64">
        <f>'Cyber Privacy'!$H$38</f>
        <v>0</v>
      </c>
      <c r="F406" s="64" t="str">
        <f>'Cyber Privacy'!$L$38</f>
        <v/>
      </c>
      <c r="G406" s="64" t="str">
        <f>'Cyber Privacy'!$T$38</f>
        <v>CISO / IT Security</v>
      </c>
      <c r="H406" s="64">
        <f>'Cyber Privacy'!$U$38</f>
        <v>0</v>
      </c>
      <c r="I406" s="64" t="str">
        <f t="shared" si="20"/>
        <v>OK</v>
      </c>
      <c r="J406" s="64" t="str">
        <f t="shared" si="21"/>
        <v>OK</v>
      </c>
      <c r="K406" s="64" t="str">
        <f t="shared" si="22"/>
        <v>OK</v>
      </c>
      <c r="L406" s="64" t="str">
        <f>IF(AND(E406&lt;&gt;"",E406&lt;&gt;"N/A",VALUE(E406)&lt;5,COUNTIF('Executive Recommendations'!$A$8:$A$414,A406)=0),"Missing recommended action","OK")</f>
        <v>Missing recommended action</v>
      </c>
      <c r="M406" s="64" t="s">
        <v>5798</v>
      </c>
      <c r="N406" s="64" t="s">
        <v>8823</v>
      </c>
    </row>
    <row r="407" spans="1:14" ht="51">
      <c r="A407" s="52" t="s">
        <v>5808</v>
      </c>
      <c r="B407" s="52" t="s">
        <v>94</v>
      </c>
      <c r="C407" s="52" t="s">
        <v>1636</v>
      </c>
      <c r="D407" s="52" t="s">
        <v>5809</v>
      </c>
      <c r="E407" s="52">
        <f>'Quality Portfolio'!$H$5</f>
        <v>0</v>
      </c>
      <c r="F407" s="52" t="str">
        <f>'Quality Portfolio'!$L$5</f>
        <v/>
      </c>
      <c r="G407" s="52" t="str">
        <f>'Quality Portfolio'!$T$5</f>
        <v>COO / PMO / Quality</v>
      </c>
      <c r="H407" s="52">
        <f>'Quality Portfolio'!$U$5</f>
        <v>0</v>
      </c>
      <c r="I407" s="52" t="str">
        <f t="shared" si="20"/>
        <v>OK</v>
      </c>
      <c r="J407" s="52" t="str">
        <f t="shared" si="21"/>
        <v>OK</v>
      </c>
      <c r="K407" s="52" t="str">
        <f t="shared" si="22"/>
        <v>OK</v>
      </c>
      <c r="L407" s="52" t="str">
        <f>IF(AND(E407&lt;&gt;"",E407&lt;&gt;"N/A",VALUE(E407)&lt;5,COUNTIF('Executive Recommendations'!$A$8:$A$414,A407)=0),"Missing recommended action","OK")</f>
        <v>Missing recommended action</v>
      </c>
      <c r="M407" s="52" t="s">
        <v>5812</v>
      </c>
      <c r="N407" s="52" t="s">
        <v>8831</v>
      </c>
    </row>
    <row r="408" spans="1:14" ht="51">
      <c r="A408" s="64" t="s">
        <v>5822</v>
      </c>
      <c r="B408" s="64" t="s">
        <v>94</v>
      </c>
      <c r="C408" s="64" t="s">
        <v>1636</v>
      </c>
      <c r="D408" s="64" t="s">
        <v>5823</v>
      </c>
      <c r="E408" s="64">
        <f>'Quality Portfolio'!$H$6</f>
        <v>0</v>
      </c>
      <c r="F408" s="64" t="str">
        <f>'Quality Portfolio'!$L$6</f>
        <v/>
      </c>
      <c r="G408" s="64" t="str">
        <f>'Quality Portfolio'!$T$6</f>
        <v>COO / PMO / Quality</v>
      </c>
      <c r="H408" s="64">
        <f>'Quality Portfolio'!$U$6</f>
        <v>0</v>
      </c>
      <c r="I408" s="64" t="str">
        <f t="shared" si="20"/>
        <v>OK</v>
      </c>
      <c r="J408" s="64" t="str">
        <f t="shared" si="21"/>
        <v>OK</v>
      </c>
      <c r="K408" s="64" t="str">
        <f t="shared" si="22"/>
        <v>OK</v>
      </c>
      <c r="L408" s="64" t="str">
        <f>IF(AND(E408&lt;&gt;"",E408&lt;&gt;"N/A",VALUE(E408)&lt;5,COUNTIF('Executive Recommendations'!$A$8:$A$414,A408)=0),"Missing recommended action","OK")</f>
        <v>Missing recommended action</v>
      </c>
      <c r="M408" s="64" t="s">
        <v>5824</v>
      </c>
      <c r="N408" s="64" t="s">
        <v>8838</v>
      </c>
    </row>
    <row r="409" spans="1:14" ht="51">
      <c r="A409" s="52" t="s">
        <v>5832</v>
      </c>
      <c r="B409" s="52" t="s">
        <v>94</v>
      </c>
      <c r="C409" s="52" t="s">
        <v>1636</v>
      </c>
      <c r="D409" s="52" t="s">
        <v>5833</v>
      </c>
      <c r="E409" s="52">
        <f>'Quality Portfolio'!$H$7</f>
        <v>0</v>
      </c>
      <c r="F409" s="52" t="str">
        <f>'Quality Portfolio'!$L$7</f>
        <v/>
      </c>
      <c r="G409" s="52" t="str">
        <f>'Quality Portfolio'!$T$7</f>
        <v>COO / PMO / Quality</v>
      </c>
      <c r="H409" s="52">
        <f>'Quality Portfolio'!$U$7</f>
        <v>0</v>
      </c>
      <c r="I409" s="52" t="str">
        <f t="shared" si="20"/>
        <v>OK</v>
      </c>
      <c r="J409" s="52" t="str">
        <f t="shared" si="21"/>
        <v>OK</v>
      </c>
      <c r="K409" s="52" t="str">
        <f t="shared" si="22"/>
        <v>OK</v>
      </c>
      <c r="L409" s="52" t="str">
        <f>IF(AND(E409&lt;&gt;"",E409&lt;&gt;"N/A",VALUE(E409)&lt;5,COUNTIF('Executive Recommendations'!$A$8:$A$414,A409)=0),"Missing recommended action","OK")</f>
        <v>Missing recommended action</v>
      </c>
      <c r="M409" s="52" t="s">
        <v>5834</v>
      </c>
      <c r="N409" s="52" t="s">
        <v>8845</v>
      </c>
    </row>
    <row r="410" spans="1:14" ht="51">
      <c r="A410" s="64" t="s">
        <v>5842</v>
      </c>
      <c r="B410" s="64" t="s">
        <v>94</v>
      </c>
      <c r="C410" s="64" t="s">
        <v>1636</v>
      </c>
      <c r="D410" s="64" t="s">
        <v>5843</v>
      </c>
      <c r="E410" s="64">
        <f>'Quality Portfolio'!$H$8</f>
        <v>0</v>
      </c>
      <c r="F410" s="64" t="str">
        <f>'Quality Portfolio'!$L$8</f>
        <v/>
      </c>
      <c r="G410" s="64" t="str">
        <f>'Quality Portfolio'!$T$8</f>
        <v>COO / PMO / Quality</v>
      </c>
      <c r="H410" s="64">
        <f>'Quality Portfolio'!$U$8</f>
        <v>0</v>
      </c>
      <c r="I410" s="64" t="str">
        <f t="shared" si="20"/>
        <v>OK</v>
      </c>
      <c r="J410" s="64" t="str">
        <f t="shared" si="21"/>
        <v>OK</v>
      </c>
      <c r="K410" s="64" t="str">
        <f t="shared" si="22"/>
        <v>OK</v>
      </c>
      <c r="L410" s="64" t="str">
        <f>IF(AND(E410&lt;&gt;"",E410&lt;&gt;"N/A",VALUE(E410)&lt;5,COUNTIF('Executive Recommendations'!$A$8:$A$414,A410)=0),"Missing recommended action","OK")</f>
        <v>Missing recommended action</v>
      </c>
      <c r="M410" s="64" t="s">
        <v>5844</v>
      </c>
      <c r="N410" s="64" t="s">
        <v>8852</v>
      </c>
    </row>
    <row r="411" spans="1:14" ht="51">
      <c r="A411" s="52" t="s">
        <v>5852</v>
      </c>
      <c r="B411" s="52" t="s">
        <v>94</v>
      </c>
      <c r="C411" s="52" t="s">
        <v>1636</v>
      </c>
      <c r="D411" s="52" t="s">
        <v>5853</v>
      </c>
      <c r="E411" s="52">
        <f>'Quality Portfolio'!$H$9</f>
        <v>0</v>
      </c>
      <c r="F411" s="52" t="str">
        <f>'Quality Portfolio'!$L$9</f>
        <v/>
      </c>
      <c r="G411" s="52" t="str">
        <f>'Quality Portfolio'!$T$9</f>
        <v>COO / PMO / Quality</v>
      </c>
      <c r="H411" s="52">
        <f>'Quality Portfolio'!$U$9</f>
        <v>0</v>
      </c>
      <c r="I411" s="52" t="str">
        <f t="shared" si="20"/>
        <v>OK</v>
      </c>
      <c r="J411" s="52" t="str">
        <f t="shared" si="21"/>
        <v>OK</v>
      </c>
      <c r="K411" s="52" t="str">
        <f t="shared" si="22"/>
        <v>OK</v>
      </c>
      <c r="L411" s="52" t="str">
        <f>IF(AND(E411&lt;&gt;"",E411&lt;&gt;"N/A",VALUE(E411)&lt;5,COUNTIF('Executive Recommendations'!$A$8:$A$414,A411)=0),"Missing recommended action","OK")</f>
        <v>Missing recommended action</v>
      </c>
      <c r="M411" s="52" t="s">
        <v>5854</v>
      </c>
      <c r="N411" s="52" t="s">
        <v>8859</v>
      </c>
    </row>
    <row r="412" spans="1:14" ht="51">
      <c r="A412" s="64" t="s">
        <v>5862</v>
      </c>
      <c r="B412" s="64" t="s">
        <v>94</v>
      </c>
      <c r="C412" s="64" t="s">
        <v>1647</v>
      </c>
      <c r="D412" s="64" t="s">
        <v>5863</v>
      </c>
      <c r="E412" s="64">
        <f>'Quality Portfolio'!$H$10</f>
        <v>0</v>
      </c>
      <c r="F412" s="64" t="str">
        <f>'Quality Portfolio'!$L$10</f>
        <v/>
      </c>
      <c r="G412" s="64" t="str">
        <f>'Quality Portfolio'!$T$10</f>
        <v>COO / PMO / Quality</v>
      </c>
      <c r="H412" s="64">
        <f>'Quality Portfolio'!$U$10</f>
        <v>0</v>
      </c>
      <c r="I412" s="64" t="str">
        <f t="shared" si="20"/>
        <v>OK</v>
      </c>
      <c r="J412" s="64" t="str">
        <f t="shared" si="21"/>
        <v>OK</v>
      </c>
      <c r="K412" s="64" t="str">
        <f t="shared" si="22"/>
        <v>OK</v>
      </c>
      <c r="L412" s="64" t="str">
        <f>IF(AND(E412&lt;&gt;"",E412&lt;&gt;"N/A",VALUE(E412)&lt;5,COUNTIF('Executive Recommendations'!$A$8:$A$414,A412)=0),"Missing recommended action","OK")</f>
        <v>Missing recommended action</v>
      </c>
      <c r="M412" s="64" t="s">
        <v>5864</v>
      </c>
      <c r="N412" s="64" t="s">
        <v>8867</v>
      </c>
    </row>
    <row r="413" spans="1:14" ht="51">
      <c r="A413" s="52" t="s">
        <v>5872</v>
      </c>
      <c r="B413" s="52" t="s">
        <v>94</v>
      </c>
      <c r="C413" s="52" t="s">
        <v>1647</v>
      </c>
      <c r="D413" s="52" t="s">
        <v>5873</v>
      </c>
      <c r="E413" s="52">
        <f>'Quality Portfolio'!$H$11</f>
        <v>0</v>
      </c>
      <c r="F413" s="52" t="str">
        <f>'Quality Portfolio'!$L$11</f>
        <v/>
      </c>
      <c r="G413" s="52" t="str">
        <f>'Quality Portfolio'!$T$11</f>
        <v>COO / PMO / Quality</v>
      </c>
      <c r="H413" s="52">
        <f>'Quality Portfolio'!$U$11</f>
        <v>0</v>
      </c>
      <c r="I413" s="52" t="str">
        <f t="shared" si="20"/>
        <v>OK</v>
      </c>
      <c r="J413" s="52" t="str">
        <f t="shared" si="21"/>
        <v>OK</v>
      </c>
      <c r="K413" s="52" t="str">
        <f t="shared" si="22"/>
        <v>OK</v>
      </c>
      <c r="L413" s="52" t="str">
        <f>IF(AND(E413&lt;&gt;"",E413&lt;&gt;"N/A",VALUE(E413)&lt;5,COUNTIF('Executive Recommendations'!$A$8:$A$414,A413)=0),"Missing recommended action","OK")</f>
        <v>Missing recommended action</v>
      </c>
      <c r="M413" s="52" t="s">
        <v>5874</v>
      </c>
      <c r="N413" s="52" t="s">
        <v>8874</v>
      </c>
    </row>
    <row r="414" spans="1:14" ht="51">
      <c r="A414" s="64" t="s">
        <v>5882</v>
      </c>
      <c r="B414" s="64" t="s">
        <v>94</v>
      </c>
      <c r="C414" s="64" t="s">
        <v>1647</v>
      </c>
      <c r="D414" s="64" t="s">
        <v>5883</v>
      </c>
      <c r="E414" s="64">
        <f>'Quality Portfolio'!$H$12</f>
        <v>0</v>
      </c>
      <c r="F414" s="64" t="str">
        <f>'Quality Portfolio'!$L$12</f>
        <v/>
      </c>
      <c r="G414" s="64" t="str">
        <f>'Quality Portfolio'!$T$12</f>
        <v>COO / PMO / Quality</v>
      </c>
      <c r="H414" s="64">
        <f>'Quality Portfolio'!$U$12</f>
        <v>0</v>
      </c>
      <c r="I414" s="64" t="str">
        <f t="shared" si="20"/>
        <v>OK</v>
      </c>
      <c r="J414" s="64" t="str">
        <f t="shared" si="21"/>
        <v>OK</v>
      </c>
      <c r="K414" s="64" t="str">
        <f t="shared" si="22"/>
        <v>OK</v>
      </c>
      <c r="L414" s="64" t="str">
        <f>IF(AND(E414&lt;&gt;"",E414&lt;&gt;"N/A",VALUE(E414)&lt;5,COUNTIF('Executive Recommendations'!$A$8:$A$414,A414)=0),"Missing recommended action","OK")</f>
        <v>Missing recommended action</v>
      </c>
      <c r="M414" s="64" t="s">
        <v>5884</v>
      </c>
      <c r="N414" s="64" t="s">
        <v>8881</v>
      </c>
    </row>
    <row r="415" spans="1:14" ht="51">
      <c r="A415" s="52" t="s">
        <v>5892</v>
      </c>
      <c r="B415" s="52" t="s">
        <v>94</v>
      </c>
      <c r="C415" s="52" t="s">
        <v>1647</v>
      </c>
      <c r="D415" s="52" t="s">
        <v>5893</v>
      </c>
      <c r="E415" s="52">
        <f>'Quality Portfolio'!$H$13</f>
        <v>0</v>
      </c>
      <c r="F415" s="52" t="str">
        <f>'Quality Portfolio'!$L$13</f>
        <v/>
      </c>
      <c r="G415" s="52" t="str">
        <f>'Quality Portfolio'!$T$13</f>
        <v>COO / PMO / Quality</v>
      </c>
      <c r="H415" s="52">
        <f>'Quality Portfolio'!$U$13</f>
        <v>0</v>
      </c>
      <c r="I415" s="52" t="str">
        <f t="shared" si="20"/>
        <v>OK</v>
      </c>
      <c r="J415" s="52" t="str">
        <f t="shared" si="21"/>
        <v>OK</v>
      </c>
      <c r="K415" s="52" t="str">
        <f t="shared" si="22"/>
        <v>OK</v>
      </c>
      <c r="L415" s="52" t="str">
        <f>IF(AND(E415&lt;&gt;"",E415&lt;&gt;"N/A",VALUE(E415)&lt;5,COUNTIF('Executive Recommendations'!$A$8:$A$414,A415)=0),"Missing recommended action","OK")</f>
        <v>Missing recommended action</v>
      </c>
      <c r="M415" s="52" t="s">
        <v>5894</v>
      </c>
      <c r="N415" s="52" t="s">
        <v>8888</v>
      </c>
    </row>
    <row r="416" spans="1:14" ht="51">
      <c r="A416" s="64" t="s">
        <v>5902</v>
      </c>
      <c r="B416" s="64" t="s">
        <v>94</v>
      </c>
      <c r="C416" s="64" t="s">
        <v>1647</v>
      </c>
      <c r="D416" s="64" t="s">
        <v>5903</v>
      </c>
      <c r="E416" s="64">
        <f>'Quality Portfolio'!$H$14</f>
        <v>0</v>
      </c>
      <c r="F416" s="64" t="str">
        <f>'Quality Portfolio'!$L$14</f>
        <v/>
      </c>
      <c r="G416" s="64" t="str">
        <f>'Quality Portfolio'!$T$14</f>
        <v>COO / PMO / Quality</v>
      </c>
      <c r="H416" s="64">
        <f>'Quality Portfolio'!$U$14</f>
        <v>0</v>
      </c>
      <c r="I416" s="64" t="str">
        <f t="shared" si="20"/>
        <v>OK</v>
      </c>
      <c r="J416" s="64" t="str">
        <f t="shared" si="21"/>
        <v>OK</v>
      </c>
      <c r="K416" s="64" t="str">
        <f t="shared" si="22"/>
        <v>OK</v>
      </c>
      <c r="L416" s="64" t="str">
        <f>IF(AND(E416&lt;&gt;"",E416&lt;&gt;"N/A",VALUE(E416)&lt;5,COUNTIF('Executive Recommendations'!$A$8:$A$414,A416)=0),"Missing recommended action","OK")</f>
        <v>Missing recommended action</v>
      </c>
      <c r="M416" s="64" t="s">
        <v>5904</v>
      </c>
      <c r="N416" s="64" t="s">
        <v>8895</v>
      </c>
    </row>
    <row r="417" spans="1:14" ht="63.75">
      <c r="A417" s="52" t="s">
        <v>5912</v>
      </c>
      <c r="B417" s="52" t="s">
        <v>94</v>
      </c>
      <c r="C417" s="52" t="s">
        <v>1655</v>
      </c>
      <c r="D417" s="52" t="s">
        <v>5913</v>
      </c>
      <c r="E417" s="52">
        <f>'Quality Portfolio'!$H$15</f>
        <v>0</v>
      </c>
      <c r="F417" s="52" t="str">
        <f>'Quality Portfolio'!$L$15</f>
        <v/>
      </c>
      <c r="G417" s="52" t="str">
        <f>'Quality Portfolio'!$T$15</f>
        <v>COO / PMO / Quality</v>
      </c>
      <c r="H417" s="52">
        <f>'Quality Portfolio'!$U$15</f>
        <v>0</v>
      </c>
      <c r="I417" s="52" t="str">
        <f t="shared" si="20"/>
        <v>OK</v>
      </c>
      <c r="J417" s="52" t="str">
        <f t="shared" si="21"/>
        <v>OK</v>
      </c>
      <c r="K417" s="52" t="str">
        <f t="shared" si="22"/>
        <v>OK</v>
      </c>
      <c r="L417" s="52" t="str">
        <f>IF(AND(E417&lt;&gt;"",E417&lt;&gt;"N/A",VALUE(E417)&lt;5,COUNTIF('Executive Recommendations'!$A$8:$A$414,A417)=0),"Missing recommended action","OK")</f>
        <v>Missing recommended action</v>
      </c>
      <c r="M417" s="52" t="s">
        <v>5914</v>
      </c>
      <c r="N417" s="52" t="s">
        <v>8903</v>
      </c>
    </row>
    <row r="418" spans="1:14" ht="51">
      <c r="A418" s="64" t="s">
        <v>5922</v>
      </c>
      <c r="B418" s="64" t="s">
        <v>94</v>
      </c>
      <c r="C418" s="64" t="s">
        <v>1655</v>
      </c>
      <c r="D418" s="64" t="s">
        <v>5923</v>
      </c>
      <c r="E418" s="64">
        <f>'Quality Portfolio'!$H$16</f>
        <v>0</v>
      </c>
      <c r="F418" s="64" t="str">
        <f>'Quality Portfolio'!$L$16</f>
        <v/>
      </c>
      <c r="G418" s="64" t="str">
        <f>'Quality Portfolio'!$T$16</f>
        <v>COO / PMO / Quality</v>
      </c>
      <c r="H418" s="64">
        <f>'Quality Portfolio'!$U$16</f>
        <v>0</v>
      </c>
      <c r="I418" s="64" t="str">
        <f t="shared" si="20"/>
        <v>OK</v>
      </c>
      <c r="J418" s="64" t="str">
        <f t="shared" si="21"/>
        <v>OK</v>
      </c>
      <c r="K418" s="64" t="str">
        <f t="shared" si="22"/>
        <v>OK</v>
      </c>
      <c r="L418" s="64" t="str">
        <f>IF(AND(E418&lt;&gt;"",E418&lt;&gt;"N/A",VALUE(E418)&lt;5,COUNTIF('Executive Recommendations'!$A$8:$A$414,A418)=0),"Missing recommended action","OK")</f>
        <v>Missing recommended action</v>
      </c>
      <c r="M418" s="64" t="s">
        <v>5924</v>
      </c>
      <c r="N418" s="64" t="s">
        <v>8910</v>
      </c>
    </row>
    <row r="419" spans="1:14" ht="51">
      <c r="A419" s="52" t="s">
        <v>5932</v>
      </c>
      <c r="B419" s="52" t="s">
        <v>94</v>
      </c>
      <c r="C419" s="52" t="s">
        <v>1655</v>
      </c>
      <c r="D419" s="52" t="s">
        <v>5933</v>
      </c>
      <c r="E419" s="52">
        <f>'Quality Portfolio'!$H$17</f>
        <v>0</v>
      </c>
      <c r="F419" s="52" t="str">
        <f>'Quality Portfolio'!$L$17</f>
        <v/>
      </c>
      <c r="G419" s="52" t="str">
        <f>'Quality Portfolio'!$T$17</f>
        <v>COO / PMO / Quality</v>
      </c>
      <c r="H419" s="52">
        <f>'Quality Portfolio'!$U$17</f>
        <v>0</v>
      </c>
      <c r="I419" s="52" t="str">
        <f t="shared" si="20"/>
        <v>OK</v>
      </c>
      <c r="J419" s="52" t="str">
        <f t="shared" si="21"/>
        <v>OK</v>
      </c>
      <c r="K419" s="52" t="str">
        <f t="shared" si="22"/>
        <v>OK</v>
      </c>
      <c r="L419" s="52" t="str">
        <f>IF(AND(E419&lt;&gt;"",E419&lt;&gt;"N/A",VALUE(E419)&lt;5,COUNTIF('Executive Recommendations'!$A$8:$A$414,A419)=0),"Missing recommended action","OK")</f>
        <v>Missing recommended action</v>
      </c>
      <c r="M419" s="52" t="s">
        <v>5934</v>
      </c>
      <c r="N419" s="52" t="s">
        <v>8917</v>
      </c>
    </row>
    <row r="420" spans="1:14" ht="63.75">
      <c r="A420" s="64" t="s">
        <v>5942</v>
      </c>
      <c r="B420" s="64" t="s">
        <v>94</v>
      </c>
      <c r="C420" s="64" t="s">
        <v>1655</v>
      </c>
      <c r="D420" s="64" t="s">
        <v>5943</v>
      </c>
      <c r="E420" s="64">
        <f>'Quality Portfolio'!$H$18</f>
        <v>0</v>
      </c>
      <c r="F420" s="64" t="str">
        <f>'Quality Portfolio'!$L$18</f>
        <v/>
      </c>
      <c r="G420" s="64" t="str">
        <f>'Quality Portfolio'!$T$18</f>
        <v>COO / PMO / Quality</v>
      </c>
      <c r="H420" s="64">
        <f>'Quality Portfolio'!$U$18</f>
        <v>0</v>
      </c>
      <c r="I420" s="64" t="str">
        <f t="shared" si="20"/>
        <v>OK</v>
      </c>
      <c r="J420" s="64" t="str">
        <f t="shared" si="21"/>
        <v>OK</v>
      </c>
      <c r="K420" s="64" t="str">
        <f t="shared" si="22"/>
        <v>OK</v>
      </c>
      <c r="L420" s="64" t="str">
        <f>IF(AND(E420&lt;&gt;"",E420&lt;&gt;"N/A",VALUE(E420)&lt;5,COUNTIF('Executive Recommendations'!$A$8:$A$414,A420)=0),"Missing recommended action","OK")</f>
        <v>Missing recommended action</v>
      </c>
      <c r="M420" s="64" t="s">
        <v>5944</v>
      </c>
      <c r="N420" s="64" t="s">
        <v>8924</v>
      </c>
    </row>
    <row r="421" spans="1:14" ht="63.75">
      <c r="A421" s="52" t="s">
        <v>5952</v>
      </c>
      <c r="B421" s="52" t="s">
        <v>94</v>
      </c>
      <c r="C421" s="52" t="s">
        <v>1655</v>
      </c>
      <c r="D421" s="52" t="s">
        <v>5953</v>
      </c>
      <c r="E421" s="52">
        <f>'Quality Portfolio'!$H$19</f>
        <v>0</v>
      </c>
      <c r="F421" s="52" t="str">
        <f>'Quality Portfolio'!$L$19</f>
        <v/>
      </c>
      <c r="G421" s="52" t="str">
        <f>'Quality Portfolio'!$T$19</f>
        <v>COO / PMO / Quality</v>
      </c>
      <c r="H421" s="52">
        <f>'Quality Portfolio'!$U$19</f>
        <v>0</v>
      </c>
      <c r="I421" s="52" t="str">
        <f t="shared" si="20"/>
        <v>OK</v>
      </c>
      <c r="J421" s="52" t="str">
        <f t="shared" si="21"/>
        <v>OK</v>
      </c>
      <c r="K421" s="52" t="str">
        <f t="shared" si="22"/>
        <v>OK</v>
      </c>
      <c r="L421" s="52" t="str">
        <f>IF(AND(E421&lt;&gt;"",E421&lt;&gt;"N/A",VALUE(E421)&lt;5,COUNTIF('Executive Recommendations'!$A$8:$A$414,A421)=0),"Missing recommended action","OK")</f>
        <v>Missing recommended action</v>
      </c>
      <c r="M421" s="52" t="s">
        <v>5954</v>
      </c>
      <c r="N421" s="52" t="s">
        <v>8931</v>
      </c>
    </row>
    <row r="422" spans="1:14" ht="51">
      <c r="A422" s="64" t="s">
        <v>5962</v>
      </c>
      <c r="B422" s="64" t="s">
        <v>94</v>
      </c>
      <c r="C422" s="64" t="s">
        <v>1663</v>
      </c>
      <c r="D422" s="64" t="s">
        <v>5963</v>
      </c>
      <c r="E422" s="64">
        <f>'Quality Portfolio'!$H$20</f>
        <v>0</v>
      </c>
      <c r="F422" s="64" t="str">
        <f>'Quality Portfolio'!$L$20</f>
        <v/>
      </c>
      <c r="G422" s="64" t="str">
        <f>'Quality Portfolio'!$T$20</f>
        <v>COO / PMO / Quality</v>
      </c>
      <c r="H422" s="64">
        <f>'Quality Portfolio'!$U$20</f>
        <v>0</v>
      </c>
      <c r="I422" s="64" t="str">
        <f t="shared" si="20"/>
        <v>OK</v>
      </c>
      <c r="J422" s="64" t="str">
        <f t="shared" si="21"/>
        <v>OK</v>
      </c>
      <c r="K422" s="64" t="str">
        <f t="shared" si="22"/>
        <v>OK</v>
      </c>
      <c r="L422" s="64" t="str">
        <f>IF(AND(E422&lt;&gt;"",E422&lt;&gt;"N/A",VALUE(E422)&lt;5,COUNTIF('Executive Recommendations'!$A$8:$A$414,A422)=0),"Missing recommended action","OK")</f>
        <v>Missing recommended action</v>
      </c>
      <c r="M422" s="64" t="s">
        <v>5964</v>
      </c>
      <c r="N422" s="64" t="s">
        <v>8939</v>
      </c>
    </row>
    <row r="423" spans="1:14" ht="63.75">
      <c r="A423" s="52" t="s">
        <v>5972</v>
      </c>
      <c r="B423" s="52" t="s">
        <v>94</v>
      </c>
      <c r="C423" s="52" t="s">
        <v>1663</v>
      </c>
      <c r="D423" s="52" t="s">
        <v>5973</v>
      </c>
      <c r="E423" s="52">
        <f>'Quality Portfolio'!$H$21</f>
        <v>0</v>
      </c>
      <c r="F423" s="52" t="str">
        <f>'Quality Portfolio'!$L$21</f>
        <v/>
      </c>
      <c r="G423" s="52" t="str">
        <f>'Quality Portfolio'!$T$21</f>
        <v>COO / PMO / Quality</v>
      </c>
      <c r="H423" s="52">
        <f>'Quality Portfolio'!$U$21</f>
        <v>0</v>
      </c>
      <c r="I423" s="52" t="str">
        <f t="shared" si="20"/>
        <v>OK</v>
      </c>
      <c r="J423" s="52" t="str">
        <f t="shared" si="21"/>
        <v>OK</v>
      </c>
      <c r="K423" s="52" t="str">
        <f t="shared" si="22"/>
        <v>OK</v>
      </c>
      <c r="L423" s="52" t="str">
        <f>IF(AND(E423&lt;&gt;"",E423&lt;&gt;"N/A",VALUE(E423)&lt;5,COUNTIF('Executive Recommendations'!$A$8:$A$414,A423)=0),"Missing recommended action","OK")</f>
        <v>Missing recommended action</v>
      </c>
      <c r="M423" s="52" t="s">
        <v>5974</v>
      </c>
      <c r="N423" s="52" t="s">
        <v>8946</v>
      </c>
    </row>
    <row r="424" spans="1:14" ht="51">
      <c r="A424" s="64" t="s">
        <v>5982</v>
      </c>
      <c r="B424" s="64" t="s">
        <v>94</v>
      </c>
      <c r="C424" s="64" t="s">
        <v>1663</v>
      </c>
      <c r="D424" s="64" t="s">
        <v>5983</v>
      </c>
      <c r="E424" s="64">
        <f>'Quality Portfolio'!$H$22</f>
        <v>0</v>
      </c>
      <c r="F424" s="64" t="str">
        <f>'Quality Portfolio'!$L$22</f>
        <v/>
      </c>
      <c r="G424" s="64" t="str">
        <f>'Quality Portfolio'!$T$22</f>
        <v>COO / PMO / Quality</v>
      </c>
      <c r="H424" s="64">
        <f>'Quality Portfolio'!$U$22</f>
        <v>0</v>
      </c>
      <c r="I424" s="64" t="str">
        <f t="shared" si="20"/>
        <v>OK</v>
      </c>
      <c r="J424" s="64" t="str">
        <f t="shared" si="21"/>
        <v>OK</v>
      </c>
      <c r="K424" s="64" t="str">
        <f t="shared" si="22"/>
        <v>OK</v>
      </c>
      <c r="L424" s="64" t="str">
        <f>IF(AND(E424&lt;&gt;"",E424&lt;&gt;"N/A",VALUE(E424)&lt;5,COUNTIF('Executive Recommendations'!$A$8:$A$414,A424)=0),"Missing recommended action","OK")</f>
        <v>Missing recommended action</v>
      </c>
      <c r="M424" s="64" t="s">
        <v>5984</v>
      </c>
      <c r="N424" s="64" t="s">
        <v>8953</v>
      </c>
    </row>
    <row r="425" spans="1:14" ht="51">
      <c r="A425" s="52" t="s">
        <v>5992</v>
      </c>
      <c r="B425" s="52" t="s">
        <v>94</v>
      </c>
      <c r="C425" s="52" t="s">
        <v>1663</v>
      </c>
      <c r="D425" s="52" t="s">
        <v>5993</v>
      </c>
      <c r="E425" s="52">
        <f>'Quality Portfolio'!$H$23</f>
        <v>0</v>
      </c>
      <c r="F425" s="52" t="str">
        <f>'Quality Portfolio'!$L$23</f>
        <v/>
      </c>
      <c r="G425" s="52" t="str">
        <f>'Quality Portfolio'!$T$23</f>
        <v>COO / PMO / Quality</v>
      </c>
      <c r="H425" s="52">
        <f>'Quality Portfolio'!$U$23</f>
        <v>0</v>
      </c>
      <c r="I425" s="52" t="str">
        <f t="shared" si="20"/>
        <v>OK</v>
      </c>
      <c r="J425" s="52" t="str">
        <f t="shared" si="21"/>
        <v>OK</v>
      </c>
      <c r="K425" s="52" t="str">
        <f t="shared" si="22"/>
        <v>OK</v>
      </c>
      <c r="L425" s="52" t="str">
        <f>IF(AND(E425&lt;&gt;"",E425&lt;&gt;"N/A",VALUE(E425)&lt;5,COUNTIF('Executive Recommendations'!$A$8:$A$414,A425)=0),"Missing recommended action","OK")</f>
        <v>Missing recommended action</v>
      </c>
      <c r="M425" s="52" t="s">
        <v>5994</v>
      </c>
      <c r="N425" s="52" t="s">
        <v>8960</v>
      </c>
    </row>
    <row r="426" spans="1:14" ht="51">
      <c r="A426" s="64" t="s">
        <v>6002</v>
      </c>
      <c r="B426" s="64" t="s">
        <v>94</v>
      </c>
      <c r="C426" s="64" t="s">
        <v>1663</v>
      </c>
      <c r="D426" s="64" t="s">
        <v>6003</v>
      </c>
      <c r="E426" s="64">
        <f>'Quality Portfolio'!$H$24</f>
        <v>0</v>
      </c>
      <c r="F426" s="64" t="str">
        <f>'Quality Portfolio'!$L$24</f>
        <v/>
      </c>
      <c r="G426" s="64" t="str">
        <f>'Quality Portfolio'!$T$24</f>
        <v>COO / PMO / Quality</v>
      </c>
      <c r="H426" s="64">
        <f>'Quality Portfolio'!$U$24</f>
        <v>0</v>
      </c>
      <c r="I426" s="64" t="str">
        <f t="shared" si="20"/>
        <v>OK</v>
      </c>
      <c r="J426" s="64" t="str">
        <f t="shared" si="21"/>
        <v>OK</v>
      </c>
      <c r="K426" s="64" t="str">
        <f t="shared" si="22"/>
        <v>OK</v>
      </c>
      <c r="L426" s="64" t="str">
        <f>IF(AND(E426&lt;&gt;"",E426&lt;&gt;"N/A",VALUE(E426)&lt;5,COUNTIF('Executive Recommendations'!$A$8:$A$414,A426)=0),"Missing recommended action","OK")</f>
        <v>Missing recommended action</v>
      </c>
      <c r="M426" s="64" t="s">
        <v>6004</v>
      </c>
      <c r="N426" s="64" t="s">
        <v>8967</v>
      </c>
    </row>
  </sheetData>
  <autoFilter ref="A19:N426" ns2:uid="{00000000-0009-0000-0000-00002C000000}"/>
  <mergeCells count="2">
    <mergeCell ref="A2:N2"/>
    <mergeCell ref="A1:N1"/>
  </mergeCells>
  <conditionalFormatting sqref="B11">
    <cfRule type="cellIs" dxfId="7" priority="3" operator="lessThan">
      <formula>0.9</formula>
    </cfRule>
    <cfRule type="cellIs" dxfId="6" priority="4" operator="greaterThanOrEqual">
      <formula>0.9</formula>
    </cfRule>
  </conditionalFormatting>
  <conditionalFormatting sqref="I20:L426">
    <cfRule type="expression" dxfId="5" priority="1">
      <formula>OR(I20&lt;&gt;"OK",J20&lt;&gt;"OK",K20&lt;&gt;"OK",L20&lt;&gt;"OK")</formula>
    </cfRule>
    <cfRule type="expression" dxfId="4" priority="2">
      <formula>I20="OK"</formula>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2D00-000000000000}">
  <sheetPr>
    <tabColor rgb="FF548235"/>
  </sheetPr>
  <dimension ref="A1:AJ85"/>
  <sheetViews>
    <sheetView workbookViewId="0">
      <pane xSplit="18" ySplit="13" topLeftCell="S14" activePane="bottomRight" state="frozen"/>
      <selection pane="topRight"/>
      <selection pane="bottomLeft"/>
      <selection pane="bottomRight"/>
    </sheetView>
  </sheetViews>
  <sheetFormatPr defaultRowHeight="14.25"/>
  <cols>
    <col min="1" max="1" width="7" customWidth="1"/>
    <col min="2" max="2" width="12" customWidth="1"/>
    <col min="3" max="3" width="34" customWidth="1"/>
    <col min="4" max="4" width="22" customWidth="1"/>
    <col min="5" max="5" width="30" customWidth="1"/>
    <col min="6" max="6" width="10" customWidth="1"/>
    <col min="7" max="7" width="11" customWidth="1"/>
    <col min="8" max="8" width="12" customWidth="1"/>
    <col min="9" max="10" width="14" customWidth="1"/>
    <col min="11" max="11" width="22" customWidth="1"/>
    <col min="12" max="12" width="13" customWidth="1"/>
    <col min="13" max="13" width="14" customWidth="1"/>
    <col min="14" max="15" width="13" customWidth="1"/>
    <col min="16" max="16" width="12" customWidth="1"/>
    <col min="17" max="17" width="36" customWidth="1"/>
    <col min="18" max="18" width="42" customWidth="1"/>
    <col min="19" max="36" width="9" customWidth="1"/>
  </cols>
  <sheetData>
    <row r="1" spans="1:36" ht="24" customHeight="1">
      <c r="A1" s="201" t="s">
        <v>14514</v>
      </c>
      <c r="B1" s="158"/>
      <c r="C1" s="158"/>
      <c r="D1" s="158"/>
      <c r="E1" s="158"/>
      <c r="F1" s="158"/>
      <c r="G1" s="158"/>
      <c r="H1" s="158"/>
    </row>
    <row r="2" spans="1:36" ht="33.950000000000003" customHeight="1">
      <c r="A2" s="200" t="s">
        <v>14515</v>
      </c>
      <c r="B2" s="158"/>
      <c r="C2" s="158"/>
      <c r="D2" s="158"/>
      <c r="E2" s="158"/>
      <c r="F2" s="158"/>
      <c r="G2" s="158"/>
      <c r="H2" s="158"/>
    </row>
    <row r="4" spans="1:36" ht="30" customHeight="1">
      <c r="A4" s="50" t="s">
        <v>14516</v>
      </c>
      <c r="B4" s="93">
        <f>'Company Profile'!$B$6</f>
        <v>46179</v>
      </c>
      <c r="C4" s="50" t="s">
        <v>164</v>
      </c>
      <c r="D4" s="94" t="str">
        <f>'Company Profile'!$B$9</f>
        <v>IT Services</v>
      </c>
      <c r="E4" s="50" t="s">
        <v>140</v>
      </c>
      <c r="F4" s="94" t="str">
        <f>'Crisis Simulator'!$B$4</f>
        <v>War / security crisis</v>
      </c>
      <c r="G4" s="50" t="s">
        <v>178</v>
      </c>
      <c r="H4" s="94">
        <f>'Crisis Simulator'!$B$5</f>
        <v>3</v>
      </c>
    </row>
    <row r="5" spans="1:36" ht="60">
      <c r="A5" s="50" t="s">
        <v>88</v>
      </c>
      <c r="B5" s="94" t="str">
        <f ca="1">'Strategy Selection'!$B$6</f>
        <v/>
      </c>
      <c r="C5" s="50" t="s">
        <v>200</v>
      </c>
      <c r="D5" s="94">
        <f ca="1">COUNTIFS(_TECH_Initiative_Library!$AU$5:$AU$76,"&lt;=72")</f>
        <v>0</v>
      </c>
      <c r="E5" s="50" t="s">
        <v>146</v>
      </c>
      <c r="F5" s="94" t="str">
        <f ca="1">IFERROR(MAX(_TECH_Initiative_Library!$AT$5:$AT$76),"")</f>
        <v/>
      </c>
      <c r="G5" s="50" t="s">
        <v>14517</v>
      </c>
      <c r="H5" s="95">
        <v>18</v>
      </c>
    </row>
    <row r="6" spans="1:36" ht="60">
      <c r="A6" s="50" t="s">
        <v>14518</v>
      </c>
      <c r="B6" s="94">
        <f ca="1">COUNTIF($S$10:$AJ$10,"Overloaded")</f>
        <v>0</v>
      </c>
      <c r="C6" s="50" t="s">
        <v>753</v>
      </c>
      <c r="D6" s="94">
        <f ca="1">COUNTIF(_TECH_Initiative_Library!$AE$5:$AE$76,"0-90 days")</f>
        <v>0</v>
      </c>
      <c r="E6" s="50" t="s">
        <v>754</v>
      </c>
      <c r="F6" s="94">
        <f ca="1">COUNTIF(_TECH_Initiative_Library!$AE$5:$AE$76,"3-6 months")</f>
        <v>0</v>
      </c>
      <c r="G6" s="50" t="s">
        <v>14519</v>
      </c>
      <c r="H6" s="94">
        <f ca="1">COUNTIF(_TECH_Initiative_Library!$AE$5:$AE$76,"6-12 months")+COUNTIF(_TECH_Initiative_Library!$AE$5:$AE$76,"12+ months")</f>
        <v>0</v>
      </c>
    </row>
    <row r="8" spans="1:36" ht="30" customHeight="1">
      <c r="A8" s="199" t="s">
        <v>14520</v>
      </c>
      <c r="B8" s="158"/>
      <c r="C8" s="158"/>
      <c r="D8" s="158"/>
      <c r="E8" s="158"/>
      <c r="F8" s="158"/>
      <c r="G8" s="158"/>
      <c r="H8" s="158"/>
      <c r="I8" s="158"/>
      <c r="J8" s="158"/>
      <c r="K8" s="158"/>
      <c r="L8" s="158"/>
      <c r="M8" s="158"/>
      <c r="N8" s="158"/>
      <c r="O8" s="158"/>
      <c r="P8" s="158"/>
      <c r="Q8" s="158"/>
      <c r="R8" s="158"/>
    </row>
    <row r="9" spans="1:36" ht="21.95" customHeight="1">
      <c r="A9" s="96" t="s">
        <v>199</v>
      </c>
      <c r="S9" s="97">
        <f t="shared" ref="S9:AJ9" ca="1" si="0">SUMPRODUCT(--($N$14:$N$85&lt;=S$13),--($O$14:$O$85&gt;=S$13),$G$14:$G$85)</f>
        <v>0</v>
      </c>
      <c r="T9" s="97">
        <f t="shared" ca="1" si="0"/>
        <v>0</v>
      </c>
      <c r="U9" s="97">
        <f t="shared" ca="1" si="0"/>
        <v>0</v>
      </c>
      <c r="V9" s="97">
        <f t="shared" ca="1" si="0"/>
        <v>0</v>
      </c>
      <c r="W9" s="97">
        <f t="shared" ca="1" si="0"/>
        <v>0</v>
      </c>
      <c r="X9" s="97">
        <f t="shared" ca="1" si="0"/>
        <v>0</v>
      </c>
      <c r="Y9" s="97">
        <f t="shared" ca="1" si="0"/>
        <v>0</v>
      </c>
      <c r="Z9" s="97">
        <f t="shared" ca="1" si="0"/>
        <v>0</v>
      </c>
      <c r="AA9" s="97">
        <f t="shared" ca="1" si="0"/>
        <v>0</v>
      </c>
      <c r="AB9" s="97">
        <f t="shared" ca="1" si="0"/>
        <v>0</v>
      </c>
      <c r="AC9" s="97">
        <f t="shared" ca="1" si="0"/>
        <v>0</v>
      </c>
      <c r="AD9" s="97">
        <f t="shared" ca="1" si="0"/>
        <v>0</v>
      </c>
      <c r="AE9" s="97">
        <f t="shared" ca="1" si="0"/>
        <v>0</v>
      </c>
      <c r="AF9" s="97">
        <f t="shared" ca="1" si="0"/>
        <v>0</v>
      </c>
      <c r="AG9" s="97">
        <f t="shared" ca="1" si="0"/>
        <v>0</v>
      </c>
      <c r="AH9" s="97">
        <f t="shared" ca="1" si="0"/>
        <v>0</v>
      </c>
      <c r="AI9" s="97">
        <f t="shared" ca="1" si="0"/>
        <v>0</v>
      </c>
      <c r="AJ9" s="97">
        <f t="shared" ca="1" si="0"/>
        <v>0</v>
      </c>
    </row>
    <row r="10" spans="1:36" ht="21.95" customHeight="1">
      <c r="A10" s="96" t="s">
        <v>201</v>
      </c>
      <c r="S10" s="94" t="str">
        <f t="shared" ref="S10:AJ10" ca="1" si="1">IF(S$9&gt;$H$5,"Overloaded","OK")</f>
        <v>OK</v>
      </c>
      <c r="T10" s="94" t="str">
        <f t="shared" ca="1" si="1"/>
        <v>OK</v>
      </c>
      <c r="U10" s="94" t="str">
        <f t="shared" ca="1" si="1"/>
        <v>OK</v>
      </c>
      <c r="V10" s="94" t="str">
        <f t="shared" ca="1" si="1"/>
        <v>OK</v>
      </c>
      <c r="W10" s="94" t="str">
        <f t="shared" ca="1" si="1"/>
        <v>OK</v>
      </c>
      <c r="X10" s="94" t="str">
        <f t="shared" ca="1" si="1"/>
        <v>OK</v>
      </c>
      <c r="Y10" s="94" t="str">
        <f t="shared" ca="1" si="1"/>
        <v>OK</v>
      </c>
      <c r="Z10" s="94" t="str">
        <f t="shared" ca="1" si="1"/>
        <v>OK</v>
      </c>
      <c r="AA10" s="94" t="str">
        <f t="shared" ca="1" si="1"/>
        <v>OK</v>
      </c>
      <c r="AB10" s="94" t="str">
        <f t="shared" ca="1" si="1"/>
        <v>OK</v>
      </c>
      <c r="AC10" s="94" t="str">
        <f t="shared" ca="1" si="1"/>
        <v>OK</v>
      </c>
      <c r="AD10" s="94" t="str">
        <f t="shared" ca="1" si="1"/>
        <v>OK</v>
      </c>
      <c r="AE10" s="94" t="str">
        <f t="shared" ca="1" si="1"/>
        <v>OK</v>
      </c>
      <c r="AF10" s="94" t="str">
        <f t="shared" ca="1" si="1"/>
        <v>OK</v>
      </c>
      <c r="AG10" s="94" t="str">
        <f t="shared" ca="1" si="1"/>
        <v>OK</v>
      </c>
      <c r="AH10" s="94" t="str">
        <f t="shared" ca="1" si="1"/>
        <v>OK</v>
      </c>
      <c r="AI10" s="94" t="str">
        <f t="shared" ca="1" si="1"/>
        <v>OK</v>
      </c>
      <c r="AJ10" s="94" t="str">
        <f t="shared" ca="1" si="1"/>
        <v>OK</v>
      </c>
    </row>
    <row r="11" spans="1:36" ht="21.95" customHeight="1">
      <c r="A11" s="96" t="s">
        <v>200</v>
      </c>
      <c r="S11" s="97">
        <f t="shared" ref="S11:AJ11" ca="1" si="2">COUNTIFS($N$14:$N$85,"&lt;="&amp;S$13,$O$14:$O$85,"&gt;="&amp;S$13)</f>
        <v>0</v>
      </c>
      <c r="T11" s="97">
        <f t="shared" ca="1" si="2"/>
        <v>0</v>
      </c>
      <c r="U11" s="97">
        <f t="shared" ca="1" si="2"/>
        <v>0</v>
      </c>
      <c r="V11" s="97">
        <f t="shared" ca="1" si="2"/>
        <v>0</v>
      </c>
      <c r="W11" s="97">
        <f t="shared" ca="1" si="2"/>
        <v>0</v>
      </c>
      <c r="X11" s="97">
        <f t="shared" ca="1" si="2"/>
        <v>0</v>
      </c>
      <c r="Y11" s="97">
        <f t="shared" ca="1" si="2"/>
        <v>0</v>
      </c>
      <c r="Z11" s="97">
        <f t="shared" ca="1" si="2"/>
        <v>0</v>
      </c>
      <c r="AA11" s="97">
        <f t="shared" ca="1" si="2"/>
        <v>0</v>
      </c>
      <c r="AB11" s="97">
        <f t="shared" ca="1" si="2"/>
        <v>0</v>
      </c>
      <c r="AC11" s="97">
        <f t="shared" ca="1" si="2"/>
        <v>0</v>
      </c>
      <c r="AD11" s="97">
        <f t="shared" ca="1" si="2"/>
        <v>0</v>
      </c>
      <c r="AE11" s="97">
        <f t="shared" ca="1" si="2"/>
        <v>0</v>
      </c>
      <c r="AF11" s="97">
        <f t="shared" ca="1" si="2"/>
        <v>0</v>
      </c>
      <c r="AG11" s="97">
        <f t="shared" ca="1" si="2"/>
        <v>0</v>
      </c>
      <c r="AH11" s="97">
        <f t="shared" ca="1" si="2"/>
        <v>0</v>
      </c>
      <c r="AI11" s="97">
        <f t="shared" ca="1" si="2"/>
        <v>0</v>
      </c>
      <c r="AJ11" s="97">
        <f t="shared" ca="1" si="2"/>
        <v>0</v>
      </c>
    </row>
    <row r="12" spans="1:36" ht="33.950000000000003" customHeight="1"/>
    <row r="13" spans="1:36" ht="42" customHeight="1">
      <c r="A13" s="50" t="s">
        <v>196</v>
      </c>
      <c r="B13" s="50" t="s">
        <v>758</v>
      </c>
      <c r="C13" s="50" t="s">
        <v>968</v>
      </c>
      <c r="D13" s="50" t="s">
        <v>36</v>
      </c>
      <c r="E13" s="50" t="s">
        <v>717</v>
      </c>
      <c r="F13" s="50" t="s">
        <v>329</v>
      </c>
      <c r="G13" s="50" t="s">
        <v>765</v>
      </c>
      <c r="H13" s="50" t="s">
        <v>763</v>
      </c>
      <c r="I13" s="50" t="s">
        <v>764</v>
      </c>
      <c r="J13" s="50" t="s">
        <v>380</v>
      </c>
      <c r="K13" s="50" t="s">
        <v>731</v>
      </c>
      <c r="L13" s="50" t="s">
        <v>781</v>
      </c>
      <c r="M13" s="50" t="s">
        <v>14521</v>
      </c>
      <c r="N13" s="50" t="s">
        <v>14522</v>
      </c>
      <c r="O13" s="50" t="s">
        <v>14523</v>
      </c>
      <c r="P13" s="50" t="s">
        <v>14524</v>
      </c>
      <c r="Q13" s="50" t="s">
        <v>984</v>
      </c>
      <c r="R13" s="50" t="s">
        <v>733</v>
      </c>
      <c r="S13" s="89">
        <f>EDATE($B$4,0)</f>
        <v>46179</v>
      </c>
      <c r="T13" s="89">
        <f>EDATE($B$4,1)</f>
        <v>46209</v>
      </c>
      <c r="U13" s="89">
        <f>EDATE($B$4,2)</f>
        <v>46240</v>
      </c>
      <c r="V13" s="89">
        <f>EDATE($B$4,3)</f>
        <v>46271</v>
      </c>
      <c r="W13" s="89">
        <f>EDATE($B$4,4)</f>
        <v>46301</v>
      </c>
      <c r="X13" s="89">
        <f>EDATE($B$4,5)</f>
        <v>46332</v>
      </c>
      <c r="Y13" s="89">
        <f>EDATE($B$4,6)</f>
        <v>46362</v>
      </c>
      <c r="Z13" s="89">
        <f>EDATE($B$4,7)</f>
        <v>46393</v>
      </c>
      <c r="AA13" s="89">
        <f>EDATE($B$4,8)</f>
        <v>46424</v>
      </c>
      <c r="AB13" s="89">
        <f>EDATE($B$4,9)</f>
        <v>46452</v>
      </c>
      <c r="AC13" s="89">
        <f>EDATE($B$4,10)</f>
        <v>46483</v>
      </c>
      <c r="AD13" s="89">
        <f>EDATE($B$4,11)</f>
        <v>46513</v>
      </c>
      <c r="AE13" s="89">
        <f>EDATE($B$4,12)</f>
        <v>46544</v>
      </c>
      <c r="AF13" s="89">
        <f>EDATE($B$4,13)</f>
        <v>46574</v>
      </c>
      <c r="AG13" s="89">
        <f>EDATE($B$4,14)</f>
        <v>46605</v>
      </c>
      <c r="AH13" s="89">
        <f>EDATE($B$4,15)</f>
        <v>46636</v>
      </c>
      <c r="AI13" s="89">
        <f>EDATE($B$4,16)</f>
        <v>46666</v>
      </c>
      <c r="AJ13" s="89">
        <f>EDATE($B$4,17)</f>
        <v>46697</v>
      </c>
    </row>
    <row r="14" spans="1:36" ht="30" customHeight="1">
      <c r="A14" s="91">
        <v>1</v>
      </c>
      <c r="B14" s="91" t="str">
        <f ca="1">IFERROR(INDEX(_TECH_Initiative_Library!$A$5:$A$76,MATCH($A14,_TECH_Initiative_Library!$AU$5:$AU$76,0)),"")</f>
        <v/>
      </c>
      <c r="C14" s="48" t="str">
        <f ca="1">IFERROR(INDEX(_TECH_Initiative_Library!$F$5:$F$76,MATCH($A14,_TECH_Initiative_Library!$AU$5:$AU$76,0)),"")</f>
        <v/>
      </c>
      <c r="D14" s="91" t="str">
        <f ca="1">IFERROR(INDEX(_TECH_Initiative_Library!$B$5:$B$76,MATCH($A14,_TECH_Initiative_Library!$AU$5:$AU$76,0)),"")</f>
        <v/>
      </c>
      <c r="E14" s="48" t="str">
        <f ca="1">IFERROR(INDEX(_TECH_Initiative_Library!$D$5:$D$76,MATCH($A14,_TECH_Initiative_Library!$AU$5:$AU$76,0)),"")</f>
        <v/>
      </c>
      <c r="F14" s="87" t="str">
        <f ca="1">IFERROR(INDEX(_TECH_Initiative_Library!$AT$5:$AT$76,MATCH($A14,_TECH_Initiative_Library!$AU$5:$AU$76,0)),"")</f>
        <v/>
      </c>
      <c r="G14" s="91" t="str">
        <f ca="1">IFERROR(INDEX(_TECH_Initiative_Library!$AB$5:$AB$76,MATCH($A14,_TECH_Initiative_Library!$AU$5:$AU$76,0)),"")</f>
        <v/>
      </c>
      <c r="H14" s="91" t="str">
        <f ca="1">IFERROR(INDEX(_TECH_Initiative_Library!$Z$5:$Z$76,MATCH($A14,_TECH_Initiative_Library!$AU$5:$AU$76,0)),"")</f>
        <v/>
      </c>
      <c r="I14" s="91" t="str">
        <f ca="1">IFERROR(INDEX(_TECH_Initiative_Library!$AA$5:$AA$76,MATCH($A14,_TECH_Initiative_Library!$AU$5:$AU$76,0)),"")</f>
        <v/>
      </c>
      <c r="J14" s="91" t="str">
        <f ca="1">IFERROR(INDEX(_TECH_Initiative_Library!$AE$5:$AE$76,MATCH($A14,_TECH_Initiative_Library!$AU$5:$AU$76,0)),"")</f>
        <v/>
      </c>
      <c r="K14" s="91" t="str">
        <f ca="1">IFERROR(INDEX(_TECH_Initiative_Library!$AF$5:$AF$76,MATCH($A14,_TECH_Initiative_Library!$AU$5:$AU$76,0)),"")</f>
        <v/>
      </c>
      <c r="L14" s="91" t="str">
        <f ca="1">IFERROR(INDEX(_TECH_Initiative_Library!$AO$5:$AO$76,MATCH($A14,_TECH_Initiative_Library!$AU$5:$AU$76,0)),"Not started")</f>
        <v>Not started</v>
      </c>
      <c r="M14" s="91" t="str">
        <f t="shared" ref="M14:M45" ca="1" si="3">IF($B14="","",IF(OR($F14&gt;=4,$H14&gt;=4,$G14&gt;=4),"Yes",""))</f>
        <v/>
      </c>
      <c r="N14" s="98" t="str">
        <f ca="1">IF($B14="","",IF($J14="0-90 days",$B$4,IF($J14="3-6 months",EDATE($B$4,3),IF($J14="6-12 months",EDATE($B$4,6),EDATE($B$4,12))))+(COUNTIF($J$14:$J14,$J14)-1)*14)</f>
        <v/>
      </c>
      <c r="O14" s="98" t="str">
        <f t="shared" ref="O14:O45" ca="1" si="4">IF($N14="","",$N14+($P14*7))</f>
        <v/>
      </c>
      <c r="P14" s="91" t="str">
        <f t="shared" ref="P14:P45" ca="1" si="5">IF($B14="","",IF($G14&lt;=2,6,IF($G14=3,10,IF($G14=4,16,24))))</f>
        <v/>
      </c>
      <c r="Q14" s="48" t="str">
        <f ca="1">IFERROR(INDEX(_TECH_Initiative_Library!$AH$5:$AH$76,MATCH($A14,_TECH_Initiative_Library!$AU$5:$AU$76,0)),"")</f>
        <v/>
      </c>
      <c r="R14" s="48" t="str">
        <f ca="1">IFERROR(INDEX(_TECH_Initiative_Library!$AI$5:$AI$76,MATCH($A14,_TECH_Initiative_Library!$AU$5:$AU$76,0)),"")</f>
        <v/>
      </c>
      <c r="S14" s="91" t="str">
        <f t="shared" ref="S14:AB23" ca="1" si="6">IF(AND(S$13&gt;=$N14,S$13&lt;=$O14),"■","")</f>
        <v/>
      </c>
      <c r="T14" s="91" t="str">
        <f t="shared" ca="1" si="6"/>
        <v/>
      </c>
      <c r="U14" s="91" t="str">
        <f t="shared" ca="1" si="6"/>
        <v/>
      </c>
      <c r="V14" s="91" t="str">
        <f t="shared" ca="1" si="6"/>
        <v/>
      </c>
      <c r="W14" s="91" t="str">
        <f t="shared" ca="1" si="6"/>
        <v/>
      </c>
      <c r="X14" s="91" t="str">
        <f t="shared" ca="1" si="6"/>
        <v/>
      </c>
      <c r="Y14" s="91" t="str">
        <f t="shared" ca="1" si="6"/>
        <v/>
      </c>
      <c r="Z14" s="91" t="str">
        <f t="shared" ca="1" si="6"/>
        <v/>
      </c>
      <c r="AA14" s="91" t="str">
        <f t="shared" ca="1" si="6"/>
        <v/>
      </c>
      <c r="AB14" s="91" t="str">
        <f t="shared" ca="1" si="6"/>
        <v/>
      </c>
      <c r="AC14" s="91" t="str">
        <f t="shared" ref="AC14:AJ23" ca="1" si="7">IF(AND(AC$13&gt;=$N14,AC$13&lt;=$O14),"■","")</f>
        <v/>
      </c>
      <c r="AD14" s="91" t="str">
        <f t="shared" ca="1" si="7"/>
        <v/>
      </c>
      <c r="AE14" s="91" t="str">
        <f t="shared" ca="1" si="7"/>
        <v/>
      </c>
      <c r="AF14" s="91" t="str">
        <f t="shared" ca="1" si="7"/>
        <v/>
      </c>
      <c r="AG14" s="91" t="str">
        <f t="shared" ca="1" si="7"/>
        <v/>
      </c>
      <c r="AH14" s="91" t="str">
        <f t="shared" ca="1" si="7"/>
        <v/>
      </c>
      <c r="AI14" s="91" t="str">
        <f t="shared" ca="1" si="7"/>
        <v/>
      </c>
      <c r="AJ14" s="91" t="str">
        <f t="shared" ca="1" si="7"/>
        <v/>
      </c>
    </row>
    <row r="15" spans="1:36" ht="30" customHeight="1">
      <c r="A15" s="91">
        <v>2</v>
      </c>
      <c r="B15" s="91" t="str">
        <f ca="1">IFERROR(INDEX(_TECH_Initiative_Library!$A$5:$A$76,MATCH($A15,_TECH_Initiative_Library!$AU$5:$AU$76,0)),"")</f>
        <v/>
      </c>
      <c r="C15" s="48" t="str">
        <f ca="1">IFERROR(INDEX(_TECH_Initiative_Library!$F$5:$F$76,MATCH($A15,_TECH_Initiative_Library!$AU$5:$AU$76,0)),"")</f>
        <v/>
      </c>
      <c r="D15" s="91" t="str">
        <f ca="1">IFERROR(INDEX(_TECH_Initiative_Library!$B$5:$B$76,MATCH($A15,_TECH_Initiative_Library!$AU$5:$AU$76,0)),"")</f>
        <v/>
      </c>
      <c r="E15" s="48" t="str">
        <f ca="1">IFERROR(INDEX(_TECH_Initiative_Library!$D$5:$D$76,MATCH($A15,_TECH_Initiative_Library!$AU$5:$AU$76,0)),"")</f>
        <v/>
      </c>
      <c r="F15" s="87" t="str">
        <f ca="1">IFERROR(INDEX(_TECH_Initiative_Library!$AT$5:$AT$76,MATCH($A15,_TECH_Initiative_Library!$AU$5:$AU$76,0)),"")</f>
        <v/>
      </c>
      <c r="G15" s="91" t="str">
        <f ca="1">IFERROR(INDEX(_TECH_Initiative_Library!$AB$5:$AB$76,MATCH($A15,_TECH_Initiative_Library!$AU$5:$AU$76,0)),"")</f>
        <v/>
      </c>
      <c r="H15" s="91" t="str">
        <f ca="1">IFERROR(INDEX(_TECH_Initiative_Library!$Z$5:$Z$76,MATCH($A15,_TECH_Initiative_Library!$AU$5:$AU$76,0)),"")</f>
        <v/>
      </c>
      <c r="I15" s="91" t="str">
        <f ca="1">IFERROR(INDEX(_TECH_Initiative_Library!$AA$5:$AA$76,MATCH($A15,_TECH_Initiative_Library!$AU$5:$AU$76,0)),"")</f>
        <v/>
      </c>
      <c r="J15" s="91" t="str">
        <f ca="1">IFERROR(INDEX(_TECH_Initiative_Library!$AE$5:$AE$76,MATCH($A15,_TECH_Initiative_Library!$AU$5:$AU$76,0)),"")</f>
        <v/>
      </c>
      <c r="K15" s="91" t="str">
        <f ca="1">IFERROR(INDEX(_TECH_Initiative_Library!$AF$5:$AF$76,MATCH($A15,_TECH_Initiative_Library!$AU$5:$AU$76,0)),"")</f>
        <v/>
      </c>
      <c r="L15" s="91" t="str">
        <f ca="1">IFERROR(INDEX(_TECH_Initiative_Library!$AO$5:$AO$76,MATCH($A15,_TECH_Initiative_Library!$AU$5:$AU$76,0)),"Not started")</f>
        <v>Not started</v>
      </c>
      <c r="M15" s="91" t="str">
        <f t="shared" ca="1" si="3"/>
        <v/>
      </c>
      <c r="N15" s="98" t="str">
        <f ca="1">IF($B15="","",IF($J15="0-90 days",$B$4,IF($J15="3-6 months",EDATE($B$4,3),IF($J15="6-12 months",EDATE($B$4,6),EDATE($B$4,12))))+(COUNTIF($J$14:$J15,$J15)-1)*14)</f>
        <v/>
      </c>
      <c r="O15" s="98" t="str">
        <f t="shared" ca="1" si="4"/>
        <v/>
      </c>
      <c r="P15" s="91" t="str">
        <f t="shared" ca="1" si="5"/>
        <v/>
      </c>
      <c r="Q15" s="48" t="str">
        <f ca="1">IFERROR(INDEX(_TECH_Initiative_Library!$AH$5:$AH$76,MATCH($A15,_TECH_Initiative_Library!$AU$5:$AU$76,0)),"")</f>
        <v/>
      </c>
      <c r="R15" s="48" t="str">
        <f ca="1">IFERROR(INDEX(_TECH_Initiative_Library!$AI$5:$AI$76,MATCH($A15,_TECH_Initiative_Library!$AU$5:$AU$76,0)),"")</f>
        <v/>
      </c>
      <c r="S15" s="91" t="str">
        <f t="shared" ca="1" si="6"/>
        <v/>
      </c>
      <c r="T15" s="91" t="str">
        <f t="shared" ca="1" si="6"/>
        <v/>
      </c>
      <c r="U15" s="91" t="str">
        <f t="shared" ca="1" si="6"/>
        <v/>
      </c>
      <c r="V15" s="91" t="str">
        <f t="shared" ca="1" si="6"/>
        <v/>
      </c>
      <c r="W15" s="91" t="str">
        <f t="shared" ca="1" si="6"/>
        <v/>
      </c>
      <c r="X15" s="91" t="str">
        <f t="shared" ca="1" si="6"/>
        <v/>
      </c>
      <c r="Y15" s="91" t="str">
        <f t="shared" ca="1" si="6"/>
        <v/>
      </c>
      <c r="Z15" s="91" t="str">
        <f t="shared" ca="1" si="6"/>
        <v/>
      </c>
      <c r="AA15" s="91" t="str">
        <f t="shared" ca="1" si="6"/>
        <v/>
      </c>
      <c r="AB15" s="91" t="str">
        <f t="shared" ca="1" si="6"/>
        <v/>
      </c>
      <c r="AC15" s="91" t="str">
        <f t="shared" ca="1" si="7"/>
        <v/>
      </c>
      <c r="AD15" s="91" t="str">
        <f t="shared" ca="1" si="7"/>
        <v/>
      </c>
      <c r="AE15" s="91" t="str">
        <f t="shared" ca="1" si="7"/>
        <v/>
      </c>
      <c r="AF15" s="91" t="str">
        <f t="shared" ca="1" si="7"/>
        <v/>
      </c>
      <c r="AG15" s="91" t="str">
        <f t="shared" ca="1" si="7"/>
        <v/>
      </c>
      <c r="AH15" s="91" t="str">
        <f t="shared" ca="1" si="7"/>
        <v/>
      </c>
      <c r="AI15" s="91" t="str">
        <f t="shared" ca="1" si="7"/>
        <v/>
      </c>
      <c r="AJ15" s="91" t="str">
        <f t="shared" ca="1" si="7"/>
        <v/>
      </c>
    </row>
    <row r="16" spans="1:36" ht="30" customHeight="1">
      <c r="A16" s="91">
        <v>3</v>
      </c>
      <c r="B16" s="91" t="str">
        <f ca="1">IFERROR(INDEX(_TECH_Initiative_Library!$A$5:$A$76,MATCH($A16,_TECH_Initiative_Library!$AU$5:$AU$76,0)),"")</f>
        <v/>
      </c>
      <c r="C16" s="48" t="str">
        <f ca="1">IFERROR(INDEX(_TECH_Initiative_Library!$F$5:$F$76,MATCH($A16,_TECH_Initiative_Library!$AU$5:$AU$76,0)),"")</f>
        <v/>
      </c>
      <c r="D16" s="91" t="str">
        <f ca="1">IFERROR(INDEX(_TECH_Initiative_Library!$B$5:$B$76,MATCH($A16,_TECH_Initiative_Library!$AU$5:$AU$76,0)),"")</f>
        <v/>
      </c>
      <c r="E16" s="48" t="str">
        <f ca="1">IFERROR(INDEX(_TECH_Initiative_Library!$D$5:$D$76,MATCH($A16,_TECH_Initiative_Library!$AU$5:$AU$76,0)),"")</f>
        <v/>
      </c>
      <c r="F16" s="87" t="str">
        <f ca="1">IFERROR(INDEX(_TECH_Initiative_Library!$AT$5:$AT$76,MATCH($A16,_TECH_Initiative_Library!$AU$5:$AU$76,0)),"")</f>
        <v/>
      </c>
      <c r="G16" s="91" t="str">
        <f ca="1">IFERROR(INDEX(_TECH_Initiative_Library!$AB$5:$AB$76,MATCH($A16,_TECH_Initiative_Library!$AU$5:$AU$76,0)),"")</f>
        <v/>
      </c>
      <c r="H16" s="91" t="str">
        <f ca="1">IFERROR(INDEX(_TECH_Initiative_Library!$Z$5:$Z$76,MATCH($A16,_TECH_Initiative_Library!$AU$5:$AU$76,0)),"")</f>
        <v/>
      </c>
      <c r="I16" s="91" t="str">
        <f ca="1">IFERROR(INDEX(_TECH_Initiative_Library!$AA$5:$AA$76,MATCH($A16,_TECH_Initiative_Library!$AU$5:$AU$76,0)),"")</f>
        <v/>
      </c>
      <c r="J16" s="91" t="str">
        <f ca="1">IFERROR(INDEX(_TECH_Initiative_Library!$AE$5:$AE$76,MATCH($A16,_TECH_Initiative_Library!$AU$5:$AU$76,0)),"")</f>
        <v/>
      </c>
      <c r="K16" s="91" t="str">
        <f ca="1">IFERROR(INDEX(_TECH_Initiative_Library!$AF$5:$AF$76,MATCH($A16,_TECH_Initiative_Library!$AU$5:$AU$76,0)),"")</f>
        <v/>
      </c>
      <c r="L16" s="91" t="str">
        <f ca="1">IFERROR(INDEX(_TECH_Initiative_Library!$AO$5:$AO$76,MATCH($A16,_TECH_Initiative_Library!$AU$5:$AU$76,0)),"Not started")</f>
        <v>Not started</v>
      </c>
      <c r="M16" s="91" t="str">
        <f t="shared" ca="1" si="3"/>
        <v/>
      </c>
      <c r="N16" s="98" t="str">
        <f ca="1">IF($B16="","",IF($J16="0-90 days",$B$4,IF($J16="3-6 months",EDATE($B$4,3),IF($J16="6-12 months",EDATE($B$4,6),EDATE($B$4,12))))+(COUNTIF($J$14:$J16,$J16)-1)*14)</f>
        <v/>
      </c>
      <c r="O16" s="98" t="str">
        <f t="shared" ca="1" si="4"/>
        <v/>
      </c>
      <c r="P16" s="91" t="str">
        <f t="shared" ca="1" si="5"/>
        <v/>
      </c>
      <c r="Q16" s="48" t="str">
        <f ca="1">IFERROR(INDEX(_TECH_Initiative_Library!$AH$5:$AH$76,MATCH($A16,_TECH_Initiative_Library!$AU$5:$AU$76,0)),"")</f>
        <v/>
      </c>
      <c r="R16" s="48" t="str">
        <f ca="1">IFERROR(INDEX(_TECH_Initiative_Library!$AI$5:$AI$76,MATCH($A16,_TECH_Initiative_Library!$AU$5:$AU$76,0)),"")</f>
        <v/>
      </c>
      <c r="S16" s="91" t="str">
        <f t="shared" ca="1" si="6"/>
        <v/>
      </c>
      <c r="T16" s="91" t="str">
        <f t="shared" ca="1" si="6"/>
        <v/>
      </c>
      <c r="U16" s="91" t="str">
        <f t="shared" ca="1" si="6"/>
        <v/>
      </c>
      <c r="V16" s="91" t="str">
        <f t="shared" ca="1" si="6"/>
        <v/>
      </c>
      <c r="W16" s="91" t="str">
        <f t="shared" ca="1" si="6"/>
        <v/>
      </c>
      <c r="X16" s="91" t="str">
        <f t="shared" ca="1" si="6"/>
        <v/>
      </c>
      <c r="Y16" s="91" t="str">
        <f t="shared" ca="1" si="6"/>
        <v/>
      </c>
      <c r="Z16" s="91" t="str">
        <f t="shared" ca="1" si="6"/>
        <v/>
      </c>
      <c r="AA16" s="91" t="str">
        <f t="shared" ca="1" si="6"/>
        <v/>
      </c>
      <c r="AB16" s="91" t="str">
        <f t="shared" ca="1" si="6"/>
        <v/>
      </c>
      <c r="AC16" s="91" t="str">
        <f t="shared" ca="1" si="7"/>
        <v/>
      </c>
      <c r="AD16" s="91" t="str">
        <f t="shared" ca="1" si="7"/>
        <v/>
      </c>
      <c r="AE16" s="91" t="str">
        <f t="shared" ca="1" si="7"/>
        <v/>
      </c>
      <c r="AF16" s="91" t="str">
        <f t="shared" ca="1" si="7"/>
        <v/>
      </c>
      <c r="AG16" s="91" t="str">
        <f t="shared" ca="1" si="7"/>
        <v/>
      </c>
      <c r="AH16" s="91" t="str">
        <f t="shared" ca="1" si="7"/>
        <v/>
      </c>
      <c r="AI16" s="91" t="str">
        <f t="shared" ca="1" si="7"/>
        <v/>
      </c>
      <c r="AJ16" s="91" t="str">
        <f t="shared" ca="1" si="7"/>
        <v/>
      </c>
    </row>
    <row r="17" spans="1:36" ht="30" customHeight="1">
      <c r="A17" s="91">
        <v>4</v>
      </c>
      <c r="B17" s="91" t="str">
        <f ca="1">IFERROR(INDEX(_TECH_Initiative_Library!$A$5:$A$76,MATCH($A17,_TECH_Initiative_Library!$AU$5:$AU$76,0)),"")</f>
        <v/>
      </c>
      <c r="C17" s="48" t="str">
        <f ca="1">IFERROR(INDEX(_TECH_Initiative_Library!$F$5:$F$76,MATCH($A17,_TECH_Initiative_Library!$AU$5:$AU$76,0)),"")</f>
        <v/>
      </c>
      <c r="D17" s="91" t="str">
        <f ca="1">IFERROR(INDEX(_TECH_Initiative_Library!$B$5:$B$76,MATCH($A17,_TECH_Initiative_Library!$AU$5:$AU$76,0)),"")</f>
        <v/>
      </c>
      <c r="E17" s="48" t="str">
        <f ca="1">IFERROR(INDEX(_TECH_Initiative_Library!$D$5:$D$76,MATCH($A17,_TECH_Initiative_Library!$AU$5:$AU$76,0)),"")</f>
        <v/>
      </c>
      <c r="F17" s="87" t="str">
        <f ca="1">IFERROR(INDEX(_TECH_Initiative_Library!$AT$5:$AT$76,MATCH($A17,_TECH_Initiative_Library!$AU$5:$AU$76,0)),"")</f>
        <v/>
      </c>
      <c r="G17" s="91" t="str">
        <f ca="1">IFERROR(INDEX(_TECH_Initiative_Library!$AB$5:$AB$76,MATCH($A17,_TECH_Initiative_Library!$AU$5:$AU$76,0)),"")</f>
        <v/>
      </c>
      <c r="H17" s="91" t="str">
        <f ca="1">IFERROR(INDEX(_TECH_Initiative_Library!$Z$5:$Z$76,MATCH($A17,_TECH_Initiative_Library!$AU$5:$AU$76,0)),"")</f>
        <v/>
      </c>
      <c r="I17" s="91" t="str">
        <f ca="1">IFERROR(INDEX(_TECH_Initiative_Library!$AA$5:$AA$76,MATCH($A17,_TECH_Initiative_Library!$AU$5:$AU$76,0)),"")</f>
        <v/>
      </c>
      <c r="J17" s="91" t="str">
        <f ca="1">IFERROR(INDEX(_TECH_Initiative_Library!$AE$5:$AE$76,MATCH($A17,_TECH_Initiative_Library!$AU$5:$AU$76,0)),"")</f>
        <v/>
      </c>
      <c r="K17" s="91" t="str">
        <f ca="1">IFERROR(INDEX(_TECH_Initiative_Library!$AF$5:$AF$76,MATCH($A17,_TECH_Initiative_Library!$AU$5:$AU$76,0)),"")</f>
        <v/>
      </c>
      <c r="L17" s="91" t="str">
        <f ca="1">IFERROR(INDEX(_TECH_Initiative_Library!$AO$5:$AO$76,MATCH($A17,_TECH_Initiative_Library!$AU$5:$AU$76,0)),"Not started")</f>
        <v>Not started</v>
      </c>
      <c r="M17" s="91" t="str">
        <f t="shared" ca="1" si="3"/>
        <v/>
      </c>
      <c r="N17" s="98" t="str">
        <f ca="1">IF($B17="","",IF($J17="0-90 days",$B$4,IF($J17="3-6 months",EDATE($B$4,3),IF($J17="6-12 months",EDATE($B$4,6),EDATE($B$4,12))))+(COUNTIF($J$14:$J17,$J17)-1)*14)</f>
        <v/>
      </c>
      <c r="O17" s="98" t="str">
        <f t="shared" ca="1" si="4"/>
        <v/>
      </c>
      <c r="P17" s="91" t="str">
        <f t="shared" ca="1" si="5"/>
        <v/>
      </c>
      <c r="Q17" s="48" t="str">
        <f ca="1">IFERROR(INDEX(_TECH_Initiative_Library!$AH$5:$AH$76,MATCH($A17,_TECH_Initiative_Library!$AU$5:$AU$76,0)),"")</f>
        <v/>
      </c>
      <c r="R17" s="48" t="str">
        <f ca="1">IFERROR(INDEX(_TECH_Initiative_Library!$AI$5:$AI$76,MATCH($A17,_TECH_Initiative_Library!$AU$5:$AU$76,0)),"")</f>
        <v/>
      </c>
      <c r="S17" s="91" t="str">
        <f t="shared" ca="1" si="6"/>
        <v/>
      </c>
      <c r="T17" s="91" t="str">
        <f t="shared" ca="1" si="6"/>
        <v/>
      </c>
      <c r="U17" s="91" t="str">
        <f t="shared" ca="1" si="6"/>
        <v/>
      </c>
      <c r="V17" s="91" t="str">
        <f t="shared" ca="1" si="6"/>
        <v/>
      </c>
      <c r="W17" s="91" t="str">
        <f t="shared" ca="1" si="6"/>
        <v/>
      </c>
      <c r="X17" s="91" t="str">
        <f t="shared" ca="1" si="6"/>
        <v/>
      </c>
      <c r="Y17" s="91" t="str">
        <f t="shared" ca="1" si="6"/>
        <v/>
      </c>
      <c r="Z17" s="91" t="str">
        <f t="shared" ca="1" si="6"/>
        <v/>
      </c>
      <c r="AA17" s="91" t="str">
        <f t="shared" ca="1" si="6"/>
        <v/>
      </c>
      <c r="AB17" s="91" t="str">
        <f t="shared" ca="1" si="6"/>
        <v/>
      </c>
      <c r="AC17" s="91" t="str">
        <f t="shared" ca="1" si="7"/>
        <v/>
      </c>
      <c r="AD17" s="91" t="str">
        <f t="shared" ca="1" si="7"/>
        <v/>
      </c>
      <c r="AE17" s="91" t="str">
        <f t="shared" ca="1" si="7"/>
        <v/>
      </c>
      <c r="AF17" s="91" t="str">
        <f t="shared" ca="1" si="7"/>
        <v/>
      </c>
      <c r="AG17" s="91" t="str">
        <f t="shared" ca="1" si="7"/>
        <v/>
      </c>
      <c r="AH17" s="91" t="str">
        <f t="shared" ca="1" si="7"/>
        <v/>
      </c>
      <c r="AI17" s="91" t="str">
        <f t="shared" ca="1" si="7"/>
        <v/>
      </c>
      <c r="AJ17" s="91" t="str">
        <f t="shared" ca="1" si="7"/>
        <v/>
      </c>
    </row>
    <row r="18" spans="1:36" ht="30" customHeight="1">
      <c r="A18" s="91">
        <v>5</v>
      </c>
      <c r="B18" s="91" t="str">
        <f ca="1">IFERROR(INDEX(_TECH_Initiative_Library!$A$5:$A$76,MATCH($A18,_TECH_Initiative_Library!$AU$5:$AU$76,0)),"")</f>
        <v/>
      </c>
      <c r="C18" s="48" t="str">
        <f ca="1">IFERROR(INDEX(_TECH_Initiative_Library!$F$5:$F$76,MATCH($A18,_TECH_Initiative_Library!$AU$5:$AU$76,0)),"")</f>
        <v/>
      </c>
      <c r="D18" s="91" t="str">
        <f ca="1">IFERROR(INDEX(_TECH_Initiative_Library!$B$5:$B$76,MATCH($A18,_TECH_Initiative_Library!$AU$5:$AU$76,0)),"")</f>
        <v/>
      </c>
      <c r="E18" s="48" t="str">
        <f ca="1">IFERROR(INDEX(_TECH_Initiative_Library!$D$5:$D$76,MATCH($A18,_TECH_Initiative_Library!$AU$5:$AU$76,0)),"")</f>
        <v/>
      </c>
      <c r="F18" s="87" t="str">
        <f ca="1">IFERROR(INDEX(_TECH_Initiative_Library!$AT$5:$AT$76,MATCH($A18,_TECH_Initiative_Library!$AU$5:$AU$76,0)),"")</f>
        <v/>
      </c>
      <c r="G18" s="91" t="str">
        <f ca="1">IFERROR(INDEX(_TECH_Initiative_Library!$AB$5:$AB$76,MATCH($A18,_TECH_Initiative_Library!$AU$5:$AU$76,0)),"")</f>
        <v/>
      </c>
      <c r="H18" s="91" t="str">
        <f ca="1">IFERROR(INDEX(_TECH_Initiative_Library!$Z$5:$Z$76,MATCH($A18,_TECH_Initiative_Library!$AU$5:$AU$76,0)),"")</f>
        <v/>
      </c>
      <c r="I18" s="91" t="str">
        <f ca="1">IFERROR(INDEX(_TECH_Initiative_Library!$AA$5:$AA$76,MATCH($A18,_TECH_Initiative_Library!$AU$5:$AU$76,0)),"")</f>
        <v/>
      </c>
      <c r="J18" s="91" t="str">
        <f ca="1">IFERROR(INDEX(_TECH_Initiative_Library!$AE$5:$AE$76,MATCH($A18,_TECH_Initiative_Library!$AU$5:$AU$76,0)),"")</f>
        <v/>
      </c>
      <c r="K18" s="91" t="str">
        <f ca="1">IFERROR(INDEX(_TECH_Initiative_Library!$AF$5:$AF$76,MATCH($A18,_TECH_Initiative_Library!$AU$5:$AU$76,0)),"")</f>
        <v/>
      </c>
      <c r="L18" s="91" t="str">
        <f ca="1">IFERROR(INDEX(_TECH_Initiative_Library!$AO$5:$AO$76,MATCH($A18,_TECH_Initiative_Library!$AU$5:$AU$76,0)),"Not started")</f>
        <v>Not started</v>
      </c>
      <c r="M18" s="91" t="str">
        <f t="shared" ca="1" si="3"/>
        <v/>
      </c>
      <c r="N18" s="98" t="str">
        <f ca="1">IF($B18="","",IF($J18="0-90 days",$B$4,IF($J18="3-6 months",EDATE($B$4,3),IF($J18="6-12 months",EDATE($B$4,6),EDATE($B$4,12))))+(COUNTIF($J$14:$J18,$J18)-1)*14)</f>
        <v/>
      </c>
      <c r="O18" s="98" t="str">
        <f t="shared" ca="1" si="4"/>
        <v/>
      </c>
      <c r="P18" s="91" t="str">
        <f t="shared" ca="1" si="5"/>
        <v/>
      </c>
      <c r="Q18" s="48" t="str">
        <f ca="1">IFERROR(INDEX(_TECH_Initiative_Library!$AH$5:$AH$76,MATCH($A18,_TECH_Initiative_Library!$AU$5:$AU$76,0)),"")</f>
        <v/>
      </c>
      <c r="R18" s="48" t="str">
        <f ca="1">IFERROR(INDEX(_TECH_Initiative_Library!$AI$5:$AI$76,MATCH($A18,_TECH_Initiative_Library!$AU$5:$AU$76,0)),"")</f>
        <v/>
      </c>
      <c r="S18" s="91" t="str">
        <f t="shared" ca="1" si="6"/>
        <v/>
      </c>
      <c r="T18" s="91" t="str">
        <f t="shared" ca="1" si="6"/>
        <v/>
      </c>
      <c r="U18" s="91" t="str">
        <f t="shared" ca="1" si="6"/>
        <v/>
      </c>
      <c r="V18" s="91" t="str">
        <f t="shared" ca="1" si="6"/>
        <v/>
      </c>
      <c r="W18" s="91" t="str">
        <f t="shared" ca="1" si="6"/>
        <v/>
      </c>
      <c r="X18" s="91" t="str">
        <f t="shared" ca="1" si="6"/>
        <v/>
      </c>
      <c r="Y18" s="91" t="str">
        <f t="shared" ca="1" si="6"/>
        <v/>
      </c>
      <c r="Z18" s="91" t="str">
        <f t="shared" ca="1" si="6"/>
        <v/>
      </c>
      <c r="AA18" s="91" t="str">
        <f t="shared" ca="1" si="6"/>
        <v/>
      </c>
      <c r="AB18" s="91" t="str">
        <f t="shared" ca="1" si="6"/>
        <v/>
      </c>
      <c r="AC18" s="91" t="str">
        <f t="shared" ca="1" si="7"/>
        <v/>
      </c>
      <c r="AD18" s="91" t="str">
        <f t="shared" ca="1" si="7"/>
        <v/>
      </c>
      <c r="AE18" s="91" t="str">
        <f t="shared" ca="1" si="7"/>
        <v/>
      </c>
      <c r="AF18" s="91" t="str">
        <f t="shared" ca="1" si="7"/>
        <v/>
      </c>
      <c r="AG18" s="91" t="str">
        <f t="shared" ca="1" si="7"/>
        <v/>
      </c>
      <c r="AH18" s="91" t="str">
        <f t="shared" ca="1" si="7"/>
        <v/>
      </c>
      <c r="AI18" s="91" t="str">
        <f t="shared" ca="1" si="7"/>
        <v/>
      </c>
      <c r="AJ18" s="91" t="str">
        <f t="shared" ca="1" si="7"/>
        <v/>
      </c>
    </row>
    <row r="19" spans="1:36" ht="30" customHeight="1">
      <c r="A19" s="91">
        <v>6</v>
      </c>
      <c r="B19" s="91" t="str">
        <f ca="1">IFERROR(INDEX(_TECH_Initiative_Library!$A$5:$A$76,MATCH($A19,_TECH_Initiative_Library!$AU$5:$AU$76,0)),"")</f>
        <v/>
      </c>
      <c r="C19" s="48" t="str">
        <f ca="1">IFERROR(INDEX(_TECH_Initiative_Library!$F$5:$F$76,MATCH($A19,_TECH_Initiative_Library!$AU$5:$AU$76,0)),"")</f>
        <v/>
      </c>
      <c r="D19" s="91" t="str">
        <f ca="1">IFERROR(INDEX(_TECH_Initiative_Library!$B$5:$B$76,MATCH($A19,_TECH_Initiative_Library!$AU$5:$AU$76,0)),"")</f>
        <v/>
      </c>
      <c r="E19" s="48" t="str">
        <f ca="1">IFERROR(INDEX(_TECH_Initiative_Library!$D$5:$D$76,MATCH($A19,_TECH_Initiative_Library!$AU$5:$AU$76,0)),"")</f>
        <v/>
      </c>
      <c r="F19" s="87" t="str">
        <f ca="1">IFERROR(INDEX(_TECH_Initiative_Library!$AT$5:$AT$76,MATCH($A19,_TECH_Initiative_Library!$AU$5:$AU$76,0)),"")</f>
        <v/>
      </c>
      <c r="G19" s="91" t="str">
        <f ca="1">IFERROR(INDEX(_TECH_Initiative_Library!$AB$5:$AB$76,MATCH($A19,_TECH_Initiative_Library!$AU$5:$AU$76,0)),"")</f>
        <v/>
      </c>
      <c r="H19" s="91" t="str">
        <f ca="1">IFERROR(INDEX(_TECH_Initiative_Library!$Z$5:$Z$76,MATCH($A19,_TECH_Initiative_Library!$AU$5:$AU$76,0)),"")</f>
        <v/>
      </c>
      <c r="I19" s="91" t="str">
        <f ca="1">IFERROR(INDEX(_TECH_Initiative_Library!$AA$5:$AA$76,MATCH($A19,_TECH_Initiative_Library!$AU$5:$AU$76,0)),"")</f>
        <v/>
      </c>
      <c r="J19" s="91" t="str">
        <f ca="1">IFERROR(INDEX(_TECH_Initiative_Library!$AE$5:$AE$76,MATCH($A19,_TECH_Initiative_Library!$AU$5:$AU$76,0)),"")</f>
        <v/>
      </c>
      <c r="K19" s="91" t="str">
        <f ca="1">IFERROR(INDEX(_TECH_Initiative_Library!$AF$5:$AF$76,MATCH($A19,_TECH_Initiative_Library!$AU$5:$AU$76,0)),"")</f>
        <v/>
      </c>
      <c r="L19" s="91" t="str">
        <f ca="1">IFERROR(INDEX(_TECH_Initiative_Library!$AO$5:$AO$76,MATCH($A19,_TECH_Initiative_Library!$AU$5:$AU$76,0)),"Not started")</f>
        <v>Not started</v>
      </c>
      <c r="M19" s="91" t="str">
        <f t="shared" ca="1" si="3"/>
        <v/>
      </c>
      <c r="N19" s="98" t="str">
        <f ca="1">IF($B19="","",IF($J19="0-90 days",$B$4,IF($J19="3-6 months",EDATE($B$4,3),IF($J19="6-12 months",EDATE($B$4,6),EDATE($B$4,12))))+(COUNTIF($J$14:$J19,$J19)-1)*14)</f>
        <v/>
      </c>
      <c r="O19" s="98" t="str">
        <f t="shared" ca="1" si="4"/>
        <v/>
      </c>
      <c r="P19" s="91" t="str">
        <f t="shared" ca="1" si="5"/>
        <v/>
      </c>
      <c r="Q19" s="48" t="str">
        <f ca="1">IFERROR(INDEX(_TECH_Initiative_Library!$AH$5:$AH$76,MATCH($A19,_TECH_Initiative_Library!$AU$5:$AU$76,0)),"")</f>
        <v/>
      </c>
      <c r="R19" s="48" t="str">
        <f ca="1">IFERROR(INDEX(_TECH_Initiative_Library!$AI$5:$AI$76,MATCH($A19,_TECH_Initiative_Library!$AU$5:$AU$76,0)),"")</f>
        <v/>
      </c>
      <c r="S19" s="91" t="str">
        <f t="shared" ca="1" si="6"/>
        <v/>
      </c>
      <c r="T19" s="91" t="str">
        <f t="shared" ca="1" si="6"/>
        <v/>
      </c>
      <c r="U19" s="91" t="str">
        <f t="shared" ca="1" si="6"/>
        <v/>
      </c>
      <c r="V19" s="91" t="str">
        <f t="shared" ca="1" si="6"/>
        <v/>
      </c>
      <c r="W19" s="91" t="str">
        <f t="shared" ca="1" si="6"/>
        <v/>
      </c>
      <c r="X19" s="91" t="str">
        <f t="shared" ca="1" si="6"/>
        <v/>
      </c>
      <c r="Y19" s="91" t="str">
        <f t="shared" ca="1" si="6"/>
        <v/>
      </c>
      <c r="Z19" s="91" t="str">
        <f t="shared" ca="1" si="6"/>
        <v/>
      </c>
      <c r="AA19" s="91" t="str">
        <f t="shared" ca="1" si="6"/>
        <v/>
      </c>
      <c r="AB19" s="91" t="str">
        <f t="shared" ca="1" si="6"/>
        <v/>
      </c>
      <c r="AC19" s="91" t="str">
        <f t="shared" ca="1" si="7"/>
        <v/>
      </c>
      <c r="AD19" s="91" t="str">
        <f t="shared" ca="1" si="7"/>
        <v/>
      </c>
      <c r="AE19" s="91" t="str">
        <f t="shared" ca="1" si="7"/>
        <v/>
      </c>
      <c r="AF19" s="91" t="str">
        <f t="shared" ca="1" si="7"/>
        <v/>
      </c>
      <c r="AG19" s="91" t="str">
        <f t="shared" ca="1" si="7"/>
        <v/>
      </c>
      <c r="AH19" s="91" t="str">
        <f t="shared" ca="1" si="7"/>
        <v/>
      </c>
      <c r="AI19" s="91" t="str">
        <f t="shared" ca="1" si="7"/>
        <v/>
      </c>
      <c r="AJ19" s="91" t="str">
        <f t="shared" ca="1" si="7"/>
        <v/>
      </c>
    </row>
    <row r="20" spans="1:36" ht="30" customHeight="1">
      <c r="A20" s="91">
        <v>7</v>
      </c>
      <c r="B20" s="91" t="str">
        <f ca="1">IFERROR(INDEX(_TECH_Initiative_Library!$A$5:$A$76,MATCH($A20,_TECH_Initiative_Library!$AU$5:$AU$76,0)),"")</f>
        <v/>
      </c>
      <c r="C20" s="48" t="str">
        <f ca="1">IFERROR(INDEX(_TECH_Initiative_Library!$F$5:$F$76,MATCH($A20,_TECH_Initiative_Library!$AU$5:$AU$76,0)),"")</f>
        <v/>
      </c>
      <c r="D20" s="91" t="str">
        <f ca="1">IFERROR(INDEX(_TECH_Initiative_Library!$B$5:$B$76,MATCH($A20,_TECH_Initiative_Library!$AU$5:$AU$76,0)),"")</f>
        <v/>
      </c>
      <c r="E20" s="48" t="str">
        <f ca="1">IFERROR(INDEX(_TECH_Initiative_Library!$D$5:$D$76,MATCH($A20,_TECH_Initiative_Library!$AU$5:$AU$76,0)),"")</f>
        <v/>
      </c>
      <c r="F20" s="87" t="str">
        <f ca="1">IFERROR(INDEX(_TECH_Initiative_Library!$AT$5:$AT$76,MATCH($A20,_TECH_Initiative_Library!$AU$5:$AU$76,0)),"")</f>
        <v/>
      </c>
      <c r="G20" s="91" t="str">
        <f ca="1">IFERROR(INDEX(_TECH_Initiative_Library!$AB$5:$AB$76,MATCH($A20,_TECH_Initiative_Library!$AU$5:$AU$76,0)),"")</f>
        <v/>
      </c>
      <c r="H20" s="91" t="str">
        <f ca="1">IFERROR(INDEX(_TECH_Initiative_Library!$Z$5:$Z$76,MATCH($A20,_TECH_Initiative_Library!$AU$5:$AU$76,0)),"")</f>
        <v/>
      </c>
      <c r="I20" s="91" t="str">
        <f ca="1">IFERROR(INDEX(_TECH_Initiative_Library!$AA$5:$AA$76,MATCH($A20,_TECH_Initiative_Library!$AU$5:$AU$76,0)),"")</f>
        <v/>
      </c>
      <c r="J20" s="91" t="str">
        <f ca="1">IFERROR(INDEX(_TECH_Initiative_Library!$AE$5:$AE$76,MATCH($A20,_TECH_Initiative_Library!$AU$5:$AU$76,0)),"")</f>
        <v/>
      </c>
      <c r="K20" s="91" t="str">
        <f ca="1">IFERROR(INDEX(_TECH_Initiative_Library!$AF$5:$AF$76,MATCH($A20,_TECH_Initiative_Library!$AU$5:$AU$76,0)),"")</f>
        <v/>
      </c>
      <c r="L20" s="91" t="str">
        <f ca="1">IFERROR(INDEX(_TECH_Initiative_Library!$AO$5:$AO$76,MATCH($A20,_TECH_Initiative_Library!$AU$5:$AU$76,0)),"Not started")</f>
        <v>Not started</v>
      </c>
      <c r="M20" s="91" t="str">
        <f t="shared" ca="1" si="3"/>
        <v/>
      </c>
      <c r="N20" s="98" t="str">
        <f ca="1">IF($B20="","",IF($J20="0-90 days",$B$4,IF($J20="3-6 months",EDATE($B$4,3),IF($J20="6-12 months",EDATE($B$4,6),EDATE($B$4,12))))+(COUNTIF($J$14:$J20,$J20)-1)*14)</f>
        <v/>
      </c>
      <c r="O20" s="98" t="str">
        <f t="shared" ca="1" si="4"/>
        <v/>
      </c>
      <c r="P20" s="91" t="str">
        <f t="shared" ca="1" si="5"/>
        <v/>
      </c>
      <c r="Q20" s="48" t="str">
        <f ca="1">IFERROR(INDEX(_TECH_Initiative_Library!$AH$5:$AH$76,MATCH($A20,_TECH_Initiative_Library!$AU$5:$AU$76,0)),"")</f>
        <v/>
      </c>
      <c r="R20" s="48" t="str">
        <f ca="1">IFERROR(INDEX(_TECH_Initiative_Library!$AI$5:$AI$76,MATCH($A20,_TECH_Initiative_Library!$AU$5:$AU$76,0)),"")</f>
        <v/>
      </c>
      <c r="S20" s="91" t="str">
        <f t="shared" ca="1" si="6"/>
        <v/>
      </c>
      <c r="T20" s="91" t="str">
        <f t="shared" ca="1" si="6"/>
        <v/>
      </c>
      <c r="U20" s="91" t="str">
        <f t="shared" ca="1" si="6"/>
        <v/>
      </c>
      <c r="V20" s="91" t="str">
        <f t="shared" ca="1" si="6"/>
        <v/>
      </c>
      <c r="W20" s="91" t="str">
        <f t="shared" ca="1" si="6"/>
        <v/>
      </c>
      <c r="X20" s="91" t="str">
        <f t="shared" ca="1" si="6"/>
        <v/>
      </c>
      <c r="Y20" s="91" t="str">
        <f t="shared" ca="1" si="6"/>
        <v/>
      </c>
      <c r="Z20" s="91" t="str">
        <f t="shared" ca="1" si="6"/>
        <v/>
      </c>
      <c r="AA20" s="91" t="str">
        <f t="shared" ca="1" si="6"/>
        <v/>
      </c>
      <c r="AB20" s="91" t="str">
        <f t="shared" ca="1" si="6"/>
        <v/>
      </c>
      <c r="AC20" s="91" t="str">
        <f t="shared" ca="1" si="7"/>
        <v/>
      </c>
      <c r="AD20" s="91" t="str">
        <f t="shared" ca="1" si="7"/>
        <v/>
      </c>
      <c r="AE20" s="91" t="str">
        <f t="shared" ca="1" si="7"/>
        <v/>
      </c>
      <c r="AF20" s="91" t="str">
        <f t="shared" ca="1" si="7"/>
        <v/>
      </c>
      <c r="AG20" s="91" t="str">
        <f t="shared" ca="1" si="7"/>
        <v/>
      </c>
      <c r="AH20" s="91" t="str">
        <f t="shared" ca="1" si="7"/>
        <v/>
      </c>
      <c r="AI20" s="91" t="str">
        <f t="shared" ca="1" si="7"/>
        <v/>
      </c>
      <c r="AJ20" s="91" t="str">
        <f t="shared" ca="1" si="7"/>
        <v/>
      </c>
    </row>
    <row r="21" spans="1:36" ht="30" customHeight="1">
      <c r="A21" s="91">
        <v>8</v>
      </c>
      <c r="B21" s="91" t="str">
        <f ca="1">IFERROR(INDEX(_TECH_Initiative_Library!$A$5:$A$76,MATCH($A21,_TECH_Initiative_Library!$AU$5:$AU$76,0)),"")</f>
        <v/>
      </c>
      <c r="C21" s="48" t="str">
        <f ca="1">IFERROR(INDEX(_TECH_Initiative_Library!$F$5:$F$76,MATCH($A21,_TECH_Initiative_Library!$AU$5:$AU$76,0)),"")</f>
        <v/>
      </c>
      <c r="D21" s="91" t="str">
        <f ca="1">IFERROR(INDEX(_TECH_Initiative_Library!$B$5:$B$76,MATCH($A21,_TECH_Initiative_Library!$AU$5:$AU$76,0)),"")</f>
        <v/>
      </c>
      <c r="E21" s="48" t="str">
        <f ca="1">IFERROR(INDEX(_TECH_Initiative_Library!$D$5:$D$76,MATCH($A21,_TECH_Initiative_Library!$AU$5:$AU$76,0)),"")</f>
        <v/>
      </c>
      <c r="F21" s="87" t="str">
        <f ca="1">IFERROR(INDEX(_TECH_Initiative_Library!$AT$5:$AT$76,MATCH($A21,_TECH_Initiative_Library!$AU$5:$AU$76,0)),"")</f>
        <v/>
      </c>
      <c r="G21" s="91" t="str">
        <f ca="1">IFERROR(INDEX(_TECH_Initiative_Library!$AB$5:$AB$76,MATCH($A21,_TECH_Initiative_Library!$AU$5:$AU$76,0)),"")</f>
        <v/>
      </c>
      <c r="H21" s="91" t="str">
        <f ca="1">IFERROR(INDEX(_TECH_Initiative_Library!$Z$5:$Z$76,MATCH($A21,_TECH_Initiative_Library!$AU$5:$AU$76,0)),"")</f>
        <v/>
      </c>
      <c r="I21" s="91" t="str">
        <f ca="1">IFERROR(INDEX(_TECH_Initiative_Library!$AA$5:$AA$76,MATCH($A21,_TECH_Initiative_Library!$AU$5:$AU$76,0)),"")</f>
        <v/>
      </c>
      <c r="J21" s="91" t="str">
        <f ca="1">IFERROR(INDEX(_TECH_Initiative_Library!$AE$5:$AE$76,MATCH($A21,_TECH_Initiative_Library!$AU$5:$AU$76,0)),"")</f>
        <v/>
      </c>
      <c r="K21" s="91" t="str">
        <f ca="1">IFERROR(INDEX(_TECH_Initiative_Library!$AF$5:$AF$76,MATCH($A21,_TECH_Initiative_Library!$AU$5:$AU$76,0)),"")</f>
        <v/>
      </c>
      <c r="L21" s="91" t="str">
        <f ca="1">IFERROR(INDEX(_TECH_Initiative_Library!$AO$5:$AO$76,MATCH($A21,_TECH_Initiative_Library!$AU$5:$AU$76,0)),"Not started")</f>
        <v>Not started</v>
      </c>
      <c r="M21" s="91" t="str">
        <f t="shared" ca="1" si="3"/>
        <v/>
      </c>
      <c r="N21" s="98" t="str">
        <f ca="1">IF($B21="","",IF($J21="0-90 days",$B$4,IF($J21="3-6 months",EDATE($B$4,3),IF($J21="6-12 months",EDATE($B$4,6),EDATE($B$4,12))))+(COUNTIF($J$14:$J21,$J21)-1)*14)</f>
        <v/>
      </c>
      <c r="O21" s="98" t="str">
        <f t="shared" ca="1" si="4"/>
        <v/>
      </c>
      <c r="P21" s="91" t="str">
        <f t="shared" ca="1" si="5"/>
        <v/>
      </c>
      <c r="Q21" s="48" t="str">
        <f ca="1">IFERROR(INDEX(_TECH_Initiative_Library!$AH$5:$AH$76,MATCH($A21,_TECH_Initiative_Library!$AU$5:$AU$76,0)),"")</f>
        <v/>
      </c>
      <c r="R21" s="48" t="str">
        <f ca="1">IFERROR(INDEX(_TECH_Initiative_Library!$AI$5:$AI$76,MATCH($A21,_TECH_Initiative_Library!$AU$5:$AU$76,0)),"")</f>
        <v/>
      </c>
      <c r="S21" s="91" t="str">
        <f t="shared" ca="1" si="6"/>
        <v/>
      </c>
      <c r="T21" s="91" t="str">
        <f t="shared" ca="1" si="6"/>
        <v/>
      </c>
      <c r="U21" s="91" t="str">
        <f t="shared" ca="1" si="6"/>
        <v/>
      </c>
      <c r="V21" s="91" t="str">
        <f t="shared" ca="1" si="6"/>
        <v/>
      </c>
      <c r="W21" s="91" t="str">
        <f t="shared" ca="1" si="6"/>
        <v/>
      </c>
      <c r="X21" s="91" t="str">
        <f t="shared" ca="1" si="6"/>
        <v/>
      </c>
      <c r="Y21" s="91" t="str">
        <f t="shared" ca="1" si="6"/>
        <v/>
      </c>
      <c r="Z21" s="91" t="str">
        <f t="shared" ca="1" si="6"/>
        <v/>
      </c>
      <c r="AA21" s="91" t="str">
        <f t="shared" ca="1" si="6"/>
        <v/>
      </c>
      <c r="AB21" s="91" t="str">
        <f t="shared" ca="1" si="6"/>
        <v/>
      </c>
      <c r="AC21" s="91" t="str">
        <f t="shared" ca="1" si="7"/>
        <v/>
      </c>
      <c r="AD21" s="91" t="str">
        <f t="shared" ca="1" si="7"/>
        <v/>
      </c>
      <c r="AE21" s="91" t="str">
        <f t="shared" ca="1" si="7"/>
        <v/>
      </c>
      <c r="AF21" s="91" t="str">
        <f t="shared" ca="1" si="7"/>
        <v/>
      </c>
      <c r="AG21" s="91" t="str">
        <f t="shared" ca="1" si="7"/>
        <v/>
      </c>
      <c r="AH21" s="91" t="str">
        <f t="shared" ca="1" si="7"/>
        <v/>
      </c>
      <c r="AI21" s="91" t="str">
        <f t="shared" ca="1" si="7"/>
        <v/>
      </c>
      <c r="AJ21" s="91" t="str">
        <f t="shared" ca="1" si="7"/>
        <v/>
      </c>
    </row>
    <row r="22" spans="1:36" ht="30" customHeight="1">
      <c r="A22" s="91">
        <v>9</v>
      </c>
      <c r="B22" s="91" t="str">
        <f ca="1">IFERROR(INDEX(_TECH_Initiative_Library!$A$5:$A$76,MATCH($A22,_TECH_Initiative_Library!$AU$5:$AU$76,0)),"")</f>
        <v/>
      </c>
      <c r="C22" s="48" t="str">
        <f ca="1">IFERROR(INDEX(_TECH_Initiative_Library!$F$5:$F$76,MATCH($A22,_TECH_Initiative_Library!$AU$5:$AU$76,0)),"")</f>
        <v/>
      </c>
      <c r="D22" s="91" t="str">
        <f ca="1">IFERROR(INDEX(_TECH_Initiative_Library!$B$5:$B$76,MATCH($A22,_TECH_Initiative_Library!$AU$5:$AU$76,0)),"")</f>
        <v/>
      </c>
      <c r="E22" s="48" t="str">
        <f ca="1">IFERROR(INDEX(_TECH_Initiative_Library!$D$5:$D$76,MATCH($A22,_TECH_Initiative_Library!$AU$5:$AU$76,0)),"")</f>
        <v/>
      </c>
      <c r="F22" s="87" t="str">
        <f ca="1">IFERROR(INDEX(_TECH_Initiative_Library!$AT$5:$AT$76,MATCH($A22,_TECH_Initiative_Library!$AU$5:$AU$76,0)),"")</f>
        <v/>
      </c>
      <c r="G22" s="91" t="str">
        <f ca="1">IFERROR(INDEX(_TECH_Initiative_Library!$AB$5:$AB$76,MATCH($A22,_TECH_Initiative_Library!$AU$5:$AU$76,0)),"")</f>
        <v/>
      </c>
      <c r="H22" s="91" t="str">
        <f ca="1">IFERROR(INDEX(_TECH_Initiative_Library!$Z$5:$Z$76,MATCH($A22,_TECH_Initiative_Library!$AU$5:$AU$76,0)),"")</f>
        <v/>
      </c>
      <c r="I22" s="91" t="str">
        <f ca="1">IFERROR(INDEX(_TECH_Initiative_Library!$AA$5:$AA$76,MATCH($A22,_TECH_Initiative_Library!$AU$5:$AU$76,0)),"")</f>
        <v/>
      </c>
      <c r="J22" s="91" t="str">
        <f ca="1">IFERROR(INDEX(_TECH_Initiative_Library!$AE$5:$AE$76,MATCH($A22,_TECH_Initiative_Library!$AU$5:$AU$76,0)),"")</f>
        <v/>
      </c>
      <c r="K22" s="91" t="str">
        <f ca="1">IFERROR(INDEX(_TECH_Initiative_Library!$AF$5:$AF$76,MATCH($A22,_TECH_Initiative_Library!$AU$5:$AU$76,0)),"")</f>
        <v/>
      </c>
      <c r="L22" s="91" t="str">
        <f ca="1">IFERROR(INDEX(_TECH_Initiative_Library!$AO$5:$AO$76,MATCH($A22,_TECH_Initiative_Library!$AU$5:$AU$76,0)),"Not started")</f>
        <v>Not started</v>
      </c>
      <c r="M22" s="91" t="str">
        <f t="shared" ca="1" si="3"/>
        <v/>
      </c>
      <c r="N22" s="98" t="str">
        <f ca="1">IF($B22="","",IF($J22="0-90 days",$B$4,IF($J22="3-6 months",EDATE($B$4,3),IF($J22="6-12 months",EDATE($B$4,6),EDATE($B$4,12))))+(COUNTIF($J$14:$J22,$J22)-1)*14)</f>
        <v/>
      </c>
      <c r="O22" s="98" t="str">
        <f t="shared" ca="1" si="4"/>
        <v/>
      </c>
      <c r="P22" s="91" t="str">
        <f t="shared" ca="1" si="5"/>
        <v/>
      </c>
      <c r="Q22" s="48" t="str">
        <f ca="1">IFERROR(INDEX(_TECH_Initiative_Library!$AH$5:$AH$76,MATCH($A22,_TECH_Initiative_Library!$AU$5:$AU$76,0)),"")</f>
        <v/>
      </c>
      <c r="R22" s="48" t="str">
        <f ca="1">IFERROR(INDEX(_TECH_Initiative_Library!$AI$5:$AI$76,MATCH($A22,_TECH_Initiative_Library!$AU$5:$AU$76,0)),"")</f>
        <v/>
      </c>
      <c r="S22" s="91" t="str">
        <f t="shared" ca="1" si="6"/>
        <v/>
      </c>
      <c r="T22" s="91" t="str">
        <f t="shared" ca="1" si="6"/>
        <v/>
      </c>
      <c r="U22" s="91" t="str">
        <f t="shared" ca="1" si="6"/>
        <v/>
      </c>
      <c r="V22" s="91" t="str">
        <f t="shared" ca="1" si="6"/>
        <v/>
      </c>
      <c r="W22" s="91" t="str">
        <f t="shared" ca="1" si="6"/>
        <v/>
      </c>
      <c r="X22" s="91" t="str">
        <f t="shared" ca="1" si="6"/>
        <v/>
      </c>
      <c r="Y22" s="91" t="str">
        <f t="shared" ca="1" si="6"/>
        <v/>
      </c>
      <c r="Z22" s="91" t="str">
        <f t="shared" ca="1" si="6"/>
        <v/>
      </c>
      <c r="AA22" s="91" t="str">
        <f t="shared" ca="1" si="6"/>
        <v/>
      </c>
      <c r="AB22" s="91" t="str">
        <f t="shared" ca="1" si="6"/>
        <v/>
      </c>
      <c r="AC22" s="91" t="str">
        <f t="shared" ca="1" si="7"/>
        <v/>
      </c>
      <c r="AD22" s="91" t="str">
        <f t="shared" ca="1" si="7"/>
        <v/>
      </c>
      <c r="AE22" s="91" t="str">
        <f t="shared" ca="1" si="7"/>
        <v/>
      </c>
      <c r="AF22" s="91" t="str">
        <f t="shared" ca="1" si="7"/>
        <v/>
      </c>
      <c r="AG22" s="91" t="str">
        <f t="shared" ca="1" si="7"/>
        <v/>
      </c>
      <c r="AH22" s="91" t="str">
        <f t="shared" ca="1" si="7"/>
        <v/>
      </c>
      <c r="AI22" s="91" t="str">
        <f t="shared" ca="1" si="7"/>
        <v/>
      </c>
      <c r="AJ22" s="91" t="str">
        <f t="shared" ca="1" si="7"/>
        <v/>
      </c>
    </row>
    <row r="23" spans="1:36" ht="30" customHeight="1">
      <c r="A23" s="91">
        <v>10</v>
      </c>
      <c r="B23" s="91" t="str">
        <f ca="1">IFERROR(INDEX(_TECH_Initiative_Library!$A$5:$A$76,MATCH($A23,_TECH_Initiative_Library!$AU$5:$AU$76,0)),"")</f>
        <v/>
      </c>
      <c r="C23" s="48" t="str">
        <f ca="1">IFERROR(INDEX(_TECH_Initiative_Library!$F$5:$F$76,MATCH($A23,_TECH_Initiative_Library!$AU$5:$AU$76,0)),"")</f>
        <v/>
      </c>
      <c r="D23" s="91" t="str">
        <f ca="1">IFERROR(INDEX(_TECH_Initiative_Library!$B$5:$B$76,MATCH($A23,_TECH_Initiative_Library!$AU$5:$AU$76,0)),"")</f>
        <v/>
      </c>
      <c r="E23" s="48" t="str">
        <f ca="1">IFERROR(INDEX(_TECH_Initiative_Library!$D$5:$D$76,MATCH($A23,_TECH_Initiative_Library!$AU$5:$AU$76,0)),"")</f>
        <v/>
      </c>
      <c r="F23" s="87" t="str">
        <f ca="1">IFERROR(INDEX(_TECH_Initiative_Library!$AT$5:$AT$76,MATCH($A23,_TECH_Initiative_Library!$AU$5:$AU$76,0)),"")</f>
        <v/>
      </c>
      <c r="G23" s="91" t="str">
        <f ca="1">IFERROR(INDEX(_TECH_Initiative_Library!$AB$5:$AB$76,MATCH($A23,_TECH_Initiative_Library!$AU$5:$AU$76,0)),"")</f>
        <v/>
      </c>
      <c r="H23" s="91" t="str">
        <f ca="1">IFERROR(INDEX(_TECH_Initiative_Library!$Z$5:$Z$76,MATCH($A23,_TECH_Initiative_Library!$AU$5:$AU$76,0)),"")</f>
        <v/>
      </c>
      <c r="I23" s="91" t="str">
        <f ca="1">IFERROR(INDEX(_TECH_Initiative_Library!$AA$5:$AA$76,MATCH($A23,_TECH_Initiative_Library!$AU$5:$AU$76,0)),"")</f>
        <v/>
      </c>
      <c r="J23" s="91" t="str">
        <f ca="1">IFERROR(INDEX(_TECH_Initiative_Library!$AE$5:$AE$76,MATCH($A23,_TECH_Initiative_Library!$AU$5:$AU$76,0)),"")</f>
        <v/>
      </c>
      <c r="K23" s="91" t="str">
        <f ca="1">IFERROR(INDEX(_TECH_Initiative_Library!$AF$5:$AF$76,MATCH($A23,_TECH_Initiative_Library!$AU$5:$AU$76,0)),"")</f>
        <v/>
      </c>
      <c r="L23" s="91" t="str">
        <f ca="1">IFERROR(INDEX(_TECH_Initiative_Library!$AO$5:$AO$76,MATCH($A23,_TECH_Initiative_Library!$AU$5:$AU$76,0)),"Not started")</f>
        <v>Not started</v>
      </c>
      <c r="M23" s="91" t="str">
        <f t="shared" ca="1" si="3"/>
        <v/>
      </c>
      <c r="N23" s="98" t="str">
        <f ca="1">IF($B23="","",IF($J23="0-90 days",$B$4,IF($J23="3-6 months",EDATE($B$4,3),IF($J23="6-12 months",EDATE($B$4,6),EDATE($B$4,12))))+(COUNTIF($J$14:$J23,$J23)-1)*14)</f>
        <v/>
      </c>
      <c r="O23" s="98" t="str">
        <f t="shared" ca="1" si="4"/>
        <v/>
      </c>
      <c r="P23" s="91" t="str">
        <f t="shared" ca="1" si="5"/>
        <v/>
      </c>
      <c r="Q23" s="48" t="str">
        <f ca="1">IFERROR(INDEX(_TECH_Initiative_Library!$AH$5:$AH$76,MATCH($A23,_TECH_Initiative_Library!$AU$5:$AU$76,0)),"")</f>
        <v/>
      </c>
      <c r="R23" s="48" t="str">
        <f ca="1">IFERROR(INDEX(_TECH_Initiative_Library!$AI$5:$AI$76,MATCH($A23,_TECH_Initiative_Library!$AU$5:$AU$76,0)),"")</f>
        <v/>
      </c>
      <c r="S23" s="91" t="str">
        <f t="shared" ca="1" si="6"/>
        <v/>
      </c>
      <c r="T23" s="91" t="str">
        <f t="shared" ca="1" si="6"/>
        <v/>
      </c>
      <c r="U23" s="91" t="str">
        <f t="shared" ca="1" si="6"/>
        <v/>
      </c>
      <c r="V23" s="91" t="str">
        <f t="shared" ca="1" si="6"/>
        <v/>
      </c>
      <c r="W23" s="91" t="str">
        <f t="shared" ca="1" si="6"/>
        <v/>
      </c>
      <c r="X23" s="91" t="str">
        <f t="shared" ca="1" si="6"/>
        <v/>
      </c>
      <c r="Y23" s="91" t="str">
        <f t="shared" ca="1" si="6"/>
        <v/>
      </c>
      <c r="Z23" s="91" t="str">
        <f t="shared" ca="1" si="6"/>
        <v/>
      </c>
      <c r="AA23" s="91" t="str">
        <f t="shared" ca="1" si="6"/>
        <v/>
      </c>
      <c r="AB23" s="91" t="str">
        <f t="shared" ca="1" si="6"/>
        <v/>
      </c>
      <c r="AC23" s="91" t="str">
        <f t="shared" ca="1" si="7"/>
        <v/>
      </c>
      <c r="AD23" s="91" t="str">
        <f t="shared" ca="1" si="7"/>
        <v/>
      </c>
      <c r="AE23" s="91" t="str">
        <f t="shared" ca="1" si="7"/>
        <v/>
      </c>
      <c r="AF23" s="91" t="str">
        <f t="shared" ca="1" si="7"/>
        <v/>
      </c>
      <c r="AG23" s="91" t="str">
        <f t="shared" ca="1" si="7"/>
        <v/>
      </c>
      <c r="AH23" s="91" t="str">
        <f t="shared" ca="1" si="7"/>
        <v/>
      </c>
      <c r="AI23" s="91" t="str">
        <f t="shared" ca="1" si="7"/>
        <v/>
      </c>
      <c r="AJ23" s="91" t="str">
        <f t="shared" ca="1" si="7"/>
        <v/>
      </c>
    </row>
    <row r="24" spans="1:36" ht="30" customHeight="1">
      <c r="A24" s="91">
        <v>11</v>
      </c>
      <c r="B24" s="91" t="str">
        <f ca="1">IFERROR(INDEX(_TECH_Initiative_Library!$A$5:$A$76,MATCH($A24,_TECH_Initiative_Library!$AU$5:$AU$76,0)),"")</f>
        <v/>
      </c>
      <c r="C24" s="48" t="str">
        <f ca="1">IFERROR(INDEX(_TECH_Initiative_Library!$F$5:$F$76,MATCH($A24,_TECH_Initiative_Library!$AU$5:$AU$76,0)),"")</f>
        <v/>
      </c>
      <c r="D24" s="91" t="str">
        <f ca="1">IFERROR(INDEX(_TECH_Initiative_Library!$B$5:$B$76,MATCH($A24,_TECH_Initiative_Library!$AU$5:$AU$76,0)),"")</f>
        <v/>
      </c>
      <c r="E24" s="48" t="str">
        <f ca="1">IFERROR(INDEX(_TECH_Initiative_Library!$D$5:$D$76,MATCH($A24,_TECH_Initiative_Library!$AU$5:$AU$76,0)),"")</f>
        <v/>
      </c>
      <c r="F24" s="87" t="str">
        <f ca="1">IFERROR(INDEX(_TECH_Initiative_Library!$AT$5:$AT$76,MATCH($A24,_TECH_Initiative_Library!$AU$5:$AU$76,0)),"")</f>
        <v/>
      </c>
      <c r="G24" s="91" t="str">
        <f ca="1">IFERROR(INDEX(_TECH_Initiative_Library!$AB$5:$AB$76,MATCH($A24,_TECH_Initiative_Library!$AU$5:$AU$76,0)),"")</f>
        <v/>
      </c>
      <c r="H24" s="91" t="str">
        <f ca="1">IFERROR(INDEX(_TECH_Initiative_Library!$Z$5:$Z$76,MATCH($A24,_TECH_Initiative_Library!$AU$5:$AU$76,0)),"")</f>
        <v/>
      </c>
      <c r="I24" s="91" t="str">
        <f ca="1">IFERROR(INDEX(_TECH_Initiative_Library!$AA$5:$AA$76,MATCH($A24,_TECH_Initiative_Library!$AU$5:$AU$76,0)),"")</f>
        <v/>
      </c>
      <c r="J24" s="91" t="str">
        <f ca="1">IFERROR(INDEX(_TECH_Initiative_Library!$AE$5:$AE$76,MATCH($A24,_TECH_Initiative_Library!$AU$5:$AU$76,0)),"")</f>
        <v/>
      </c>
      <c r="K24" s="91" t="str">
        <f ca="1">IFERROR(INDEX(_TECH_Initiative_Library!$AF$5:$AF$76,MATCH($A24,_TECH_Initiative_Library!$AU$5:$AU$76,0)),"")</f>
        <v/>
      </c>
      <c r="L24" s="91" t="str">
        <f ca="1">IFERROR(INDEX(_TECH_Initiative_Library!$AO$5:$AO$76,MATCH($A24,_TECH_Initiative_Library!$AU$5:$AU$76,0)),"Not started")</f>
        <v>Not started</v>
      </c>
      <c r="M24" s="91" t="str">
        <f t="shared" ca="1" si="3"/>
        <v/>
      </c>
      <c r="N24" s="98" t="str">
        <f ca="1">IF($B24="","",IF($J24="0-90 days",$B$4,IF($J24="3-6 months",EDATE($B$4,3),IF($J24="6-12 months",EDATE($B$4,6),EDATE($B$4,12))))+(COUNTIF($J$14:$J24,$J24)-1)*14)</f>
        <v/>
      </c>
      <c r="O24" s="98" t="str">
        <f t="shared" ca="1" si="4"/>
        <v/>
      </c>
      <c r="P24" s="91" t="str">
        <f t="shared" ca="1" si="5"/>
        <v/>
      </c>
      <c r="Q24" s="48" t="str">
        <f ca="1">IFERROR(INDEX(_TECH_Initiative_Library!$AH$5:$AH$76,MATCH($A24,_TECH_Initiative_Library!$AU$5:$AU$76,0)),"")</f>
        <v/>
      </c>
      <c r="R24" s="48" t="str">
        <f ca="1">IFERROR(INDEX(_TECH_Initiative_Library!$AI$5:$AI$76,MATCH($A24,_TECH_Initiative_Library!$AU$5:$AU$76,0)),"")</f>
        <v/>
      </c>
      <c r="S24" s="91" t="str">
        <f t="shared" ref="S24:AB33" ca="1" si="8">IF(AND(S$13&gt;=$N24,S$13&lt;=$O24),"■","")</f>
        <v/>
      </c>
      <c r="T24" s="91" t="str">
        <f t="shared" ca="1" si="8"/>
        <v/>
      </c>
      <c r="U24" s="91" t="str">
        <f t="shared" ca="1" si="8"/>
        <v/>
      </c>
      <c r="V24" s="91" t="str">
        <f t="shared" ca="1" si="8"/>
        <v/>
      </c>
      <c r="W24" s="91" t="str">
        <f t="shared" ca="1" si="8"/>
        <v/>
      </c>
      <c r="X24" s="91" t="str">
        <f t="shared" ca="1" si="8"/>
        <v/>
      </c>
      <c r="Y24" s="91" t="str">
        <f t="shared" ca="1" si="8"/>
        <v/>
      </c>
      <c r="Z24" s="91" t="str">
        <f t="shared" ca="1" si="8"/>
        <v/>
      </c>
      <c r="AA24" s="91" t="str">
        <f t="shared" ca="1" si="8"/>
        <v/>
      </c>
      <c r="AB24" s="91" t="str">
        <f t="shared" ca="1" si="8"/>
        <v/>
      </c>
      <c r="AC24" s="91" t="str">
        <f t="shared" ref="AC24:AJ33" ca="1" si="9">IF(AND(AC$13&gt;=$N24,AC$13&lt;=$O24),"■","")</f>
        <v/>
      </c>
      <c r="AD24" s="91" t="str">
        <f t="shared" ca="1" si="9"/>
        <v/>
      </c>
      <c r="AE24" s="91" t="str">
        <f t="shared" ca="1" si="9"/>
        <v/>
      </c>
      <c r="AF24" s="91" t="str">
        <f t="shared" ca="1" si="9"/>
        <v/>
      </c>
      <c r="AG24" s="91" t="str">
        <f t="shared" ca="1" si="9"/>
        <v/>
      </c>
      <c r="AH24" s="91" t="str">
        <f t="shared" ca="1" si="9"/>
        <v/>
      </c>
      <c r="AI24" s="91" t="str">
        <f t="shared" ca="1" si="9"/>
        <v/>
      </c>
      <c r="AJ24" s="91" t="str">
        <f t="shared" ca="1" si="9"/>
        <v/>
      </c>
    </row>
    <row r="25" spans="1:36" ht="30" customHeight="1">
      <c r="A25" s="91">
        <v>12</v>
      </c>
      <c r="B25" s="91" t="str">
        <f ca="1">IFERROR(INDEX(_TECH_Initiative_Library!$A$5:$A$76,MATCH($A25,_TECH_Initiative_Library!$AU$5:$AU$76,0)),"")</f>
        <v/>
      </c>
      <c r="C25" s="48" t="str">
        <f ca="1">IFERROR(INDEX(_TECH_Initiative_Library!$F$5:$F$76,MATCH($A25,_TECH_Initiative_Library!$AU$5:$AU$76,0)),"")</f>
        <v/>
      </c>
      <c r="D25" s="91" t="str">
        <f ca="1">IFERROR(INDEX(_TECH_Initiative_Library!$B$5:$B$76,MATCH($A25,_TECH_Initiative_Library!$AU$5:$AU$76,0)),"")</f>
        <v/>
      </c>
      <c r="E25" s="48" t="str">
        <f ca="1">IFERROR(INDEX(_TECH_Initiative_Library!$D$5:$D$76,MATCH($A25,_TECH_Initiative_Library!$AU$5:$AU$76,0)),"")</f>
        <v/>
      </c>
      <c r="F25" s="87" t="str">
        <f ca="1">IFERROR(INDEX(_TECH_Initiative_Library!$AT$5:$AT$76,MATCH($A25,_TECH_Initiative_Library!$AU$5:$AU$76,0)),"")</f>
        <v/>
      </c>
      <c r="G25" s="91" t="str">
        <f ca="1">IFERROR(INDEX(_TECH_Initiative_Library!$AB$5:$AB$76,MATCH($A25,_TECH_Initiative_Library!$AU$5:$AU$76,0)),"")</f>
        <v/>
      </c>
      <c r="H25" s="91" t="str">
        <f ca="1">IFERROR(INDEX(_TECH_Initiative_Library!$Z$5:$Z$76,MATCH($A25,_TECH_Initiative_Library!$AU$5:$AU$76,0)),"")</f>
        <v/>
      </c>
      <c r="I25" s="91" t="str">
        <f ca="1">IFERROR(INDEX(_TECH_Initiative_Library!$AA$5:$AA$76,MATCH($A25,_TECH_Initiative_Library!$AU$5:$AU$76,0)),"")</f>
        <v/>
      </c>
      <c r="J25" s="91" t="str">
        <f ca="1">IFERROR(INDEX(_TECH_Initiative_Library!$AE$5:$AE$76,MATCH($A25,_TECH_Initiative_Library!$AU$5:$AU$76,0)),"")</f>
        <v/>
      </c>
      <c r="K25" s="91" t="str">
        <f ca="1">IFERROR(INDEX(_TECH_Initiative_Library!$AF$5:$AF$76,MATCH($A25,_TECH_Initiative_Library!$AU$5:$AU$76,0)),"")</f>
        <v/>
      </c>
      <c r="L25" s="91" t="str">
        <f ca="1">IFERROR(INDEX(_TECH_Initiative_Library!$AO$5:$AO$76,MATCH($A25,_TECH_Initiative_Library!$AU$5:$AU$76,0)),"Not started")</f>
        <v>Not started</v>
      </c>
      <c r="M25" s="91" t="str">
        <f t="shared" ca="1" si="3"/>
        <v/>
      </c>
      <c r="N25" s="98" t="str">
        <f ca="1">IF($B25="","",IF($J25="0-90 days",$B$4,IF($J25="3-6 months",EDATE($B$4,3),IF($J25="6-12 months",EDATE($B$4,6),EDATE($B$4,12))))+(COUNTIF($J$14:$J25,$J25)-1)*14)</f>
        <v/>
      </c>
      <c r="O25" s="98" t="str">
        <f t="shared" ca="1" si="4"/>
        <v/>
      </c>
      <c r="P25" s="91" t="str">
        <f t="shared" ca="1" si="5"/>
        <v/>
      </c>
      <c r="Q25" s="48" t="str">
        <f ca="1">IFERROR(INDEX(_TECH_Initiative_Library!$AH$5:$AH$76,MATCH($A25,_TECH_Initiative_Library!$AU$5:$AU$76,0)),"")</f>
        <v/>
      </c>
      <c r="R25" s="48" t="str">
        <f ca="1">IFERROR(INDEX(_TECH_Initiative_Library!$AI$5:$AI$76,MATCH($A25,_TECH_Initiative_Library!$AU$5:$AU$76,0)),"")</f>
        <v/>
      </c>
      <c r="S25" s="91" t="str">
        <f t="shared" ca="1" si="8"/>
        <v/>
      </c>
      <c r="T25" s="91" t="str">
        <f t="shared" ca="1" si="8"/>
        <v/>
      </c>
      <c r="U25" s="91" t="str">
        <f t="shared" ca="1" si="8"/>
        <v/>
      </c>
      <c r="V25" s="91" t="str">
        <f t="shared" ca="1" si="8"/>
        <v/>
      </c>
      <c r="W25" s="91" t="str">
        <f t="shared" ca="1" si="8"/>
        <v/>
      </c>
      <c r="X25" s="91" t="str">
        <f t="shared" ca="1" si="8"/>
        <v/>
      </c>
      <c r="Y25" s="91" t="str">
        <f t="shared" ca="1" si="8"/>
        <v/>
      </c>
      <c r="Z25" s="91" t="str">
        <f t="shared" ca="1" si="8"/>
        <v/>
      </c>
      <c r="AA25" s="91" t="str">
        <f t="shared" ca="1" si="8"/>
        <v/>
      </c>
      <c r="AB25" s="91" t="str">
        <f t="shared" ca="1" si="8"/>
        <v/>
      </c>
      <c r="AC25" s="91" t="str">
        <f t="shared" ca="1" si="9"/>
        <v/>
      </c>
      <c r="AD25" s="91" t="str">
        <f t="shared" ca="1" si="9"/>
        <v/>
      </c>
      <c r="AE25" s="91" t="str">
        <f t="shared" ca="1" si="9"/>
        <v/>
      </c>
      <c r="AF25" s="91" t="str">
        <f t="shared" ca="1" si="9"/>
        <v/>
      </c>
      <c r="AG25" s="91" t="str">
        <f t="shared" ca="1" si="9"/>
        <v/>
      </c>
      <c r="AH25" s="91" t="str">
        <f t="shared" ca="1" si="9"/>
        <v/>
      </c>
      <c r="AI25" s="91" t="str">
        <f t="shared" ca="1" si="9"/>
        <v/>
      </c>
      <c r="AJ25" s="91" t="str">
        <f t="shared" ca="1" si="9"/>
        <v/>
      </c>
    </row>
    <row r="26" spans="1:36" ht="30" customHeight="1">
      <c r="A26" s="91">
        <v>13</v>
      </c>
      <c r="B26" s="91" t="str">
        <f ca="1">IFERROR(INDEX(_TECH_Initiative_Library!$A$5:$A$76,MATCH($A26,_TECH_Initiative_Library!$AU$5:$AU$76,0)),"")</f>
        <v/>
      </c>
      <c r="C26" s="48" t="str">
        <f ca="1">IFERROR(INDEX(_TECH_Initiative_Library!$F$5:$F$76,MATCH($A26,_TECH_Initiative_Library!$AU$5:$AU$76,0)),"")</f>
        <v/>
      </c>
      <c r="D26" s="91" t="str">
        <f ca="1">IFERROR(INDEX(_TECH_Initiative_Library!$B$5:$B$76,MATCH($A26,_TECH_Initiative_Library!$AU$5:$AU$76,0)),"")</f>
        <v/>
      </c>
      <c r="E26" s="48" t="str">
        <f ca="1">IFERROR(INDEX(_TECH_Initiative_Library!$D$5:$D$76,MATCH($A26,_TECH_Initiative_Library!$AU$5:$AU$76,0)),"")</f>
        <v/>
      </c>
      <c r="F26" s="87" t="str">
        <f ca="1">IFERROR(INDEX(_TECH_Initiative_Library!$AT$5:$AT$76,MATCH($A26,_TECH_Initiative_Library!$AU$5:$AU$76,0)),"")</f>
        <v/>
      </c>
      <c r="G26" s="91" t="str">
        <f ca="1">IFERROR(INDEX(_TECH_Initiative_Library!$AB$5:$AB$76,MATCH($A26,_TECH_Initiative_Library!$AU$5:$AU$76,0)),"")</f>
        <v/>
      </c>
      <c r="H26" s="91" t="str">
        <f ca="1">IFERROR(INDEX(_TECH_Initiative_Library!$Z$5:$Z$76,MATCH($A26,_TECH_Initiative_Library!$AU$5:$AU$76,0)),"")</f>
        <v/>
      </c>
      <c r="I26" s="91" t="str">
        <f ca="1">IFERROR(INDEX(_TECH_Initiative_Library!$AA$5:$AA$76,MATCH($A26,_TECH_Initiative_Library!$AU$5:$AU$76,0)),"")</f>
        <v/>
      </c>
      <c r="J26" s="91" t="str">
        <f ca="1">IFERROR(INDEX(_TECH_Initiative_Library!$AE$5:$AE$76,MATCH($A26,_TECH_Initiative_Library!$AU$5:$AU$76,0)),"")</f>
        <v/>
      </c>
      <c r="K26" s="91" t="str">
        <f ca="1">IFERROR(INDEX(_TECH_Initiative_Library!$AF$5:$AF$76,MATCH($A26,_TECH_Initiative_Library!$AU$5:$AU$76,0)),"")</f>
        <v/>
      </c>
      <c r="L26" s="91" t="str">
        <f ca="1">IFERROR(INDEX(_TECH_Initiative_Library!$AO$5:$AO$76,MATCH($A26,_TECH_Initiative_Library!$AU$5:$AU$76,0)),"Not started")</f>
        <v>Not started</v>
      </c>
      <c r="M26" s="91" t="str">
        <f t="shared" ca="1" si="3"/>
        <v/>
      </c>
      <c r="N26" s="98" t="str">
        <f ca="1">IF($B26="","",IF($J26="0-90 days",$B$4,IF($J26="3-6 months",EDATE($B$4,3),IF($J26="6-12 months",EDATE($B$4,6),EDATE($B$4,12))))+(COUNTIF($J$14:$J26,$J26)-1)*14)</f>
        <v/>
      </c>
      <c r="O26" s="98" t="str">
        <f t="shared" ca="1" si="4"/>
        <v/>
      </c>
      <c r="P26" s="91" t="str">
        <f t="shared" ca="1" si="5"/>
        <v/>
      </c>
      <c r="Q26" s="48" t="str">
        <f ca="1">IFERROR(INDEX(_TECH_Initiative_Library!$AH$5:$AH$76,MATCH($A26,_TECH_Initiative_Library!$AU$5:$AU$76,0)),"")</f>
        <v/>
      </c>
      <c r="R26" s="48" t="str">
        <f ca="1">IFERROR(INDEX(_TECH_Initiative_Library!$AI$5:$AI$76,MATCH($A26,_TECH_Initiative_Library!$AU$5:$AU$76,0)),"")</f>
        <v/>
      </c>
      <c r="S26" s="91" t="str">
        <f t="shared" ca="1" si="8"/>
        <v/>
      </c>
      <c r="T26" s="91" t="str">
        <f t="shared" ca="1" si="8"/>
        <v/>
      </c>
      <c r="U26" s="91" t="str">
        <f t="shared" ca="1" si="8"/>
        <v/>
      </c>
      <c r="V26" s="91" t="str">
        <f t="shared" ca="1" si="8"/>
        <v/>
      </c>
      <c r="W26" s="91" t="str">
        <f t="shared" ca="1" si="8"/>
        <v/>
      </c>
      <c r="X26" s="91" t="str">
        <f t="shared" ca="1" si="8"/>
        <v/>
      </c>
      <c r="Y26" s="91" t="str">
        <f t="shared" ca="1" si="8"/>
        <v/>
      </c>
      <c r="Z26" s="91" t="str">
        <f t="shared" ca="1" si="8"/>
        <v/>
      </c>
      <c r="AA26" s="91" t="str">
        <f t="shared" ca="1" si="8"/>
        <v/>
      </c>
      <c r="AB26" s="91" t="str">
        <f t="shared" ca="1" si="8"/>
        <v/>
      </c>
      <c r="AC26" s="91" t="str">
        <f t="shared" ca="1" si="9"/>
        <v/>
      </c>
      <c r="AD26" s="91" t="str">
        <f t="shared" ca="1" si="9"/>
        <v/>
      </c>
      <c r="AE26" s="91" t="str">
        <f t="shared" ca="1" si="9"/>
        <v/>
      </c>
      <c r="AF26" s="91" t="str">
        <f t="shared" ca="1" si="9"/>
        <v/>
      </c>
      <c r="AG26" s="91" t="str">
        <f t="shared" ca="1" si="9"/>
        <v/>
      </c>
      <c r="AH26" s="91" t="str">
        <f t="shared" ca="1" si="9"/>
        <v/>
      </c>
      <c r="AI26" s="91" t="str">
        <f t="shared" ca="1" si="9"/>
        <v/>
      </c>
      <c r="AJ26" s="91" t="str">
        <f t="shared" ca="1" si="9"/>
        <v/>
      </c>
    </row>
    <row r="27" spans="1:36" ht="30" customHeight="1">
      <c r="A27" s="91">
        <v>14</v>
      </c>
      <c r="B27" s="91" t="str">
        <f ca="1">IFERROR(INDEX(_TECH_Initiative_Library!$A$5:$A$76,MATCH($A27,_TECH_Initiative_Library!$AU$5:$AU$76,0)),"")</f>
        <v/>
      </c>
      <c r="C27" s="48" t="str">
        <f ca="1">IFERROR(INDEX(_TECH_Initiative_Library!$F$5:$F$76,MATCH($A27,_TECH_Initiative_Library!$AU$5:$AU$76,0)),"")</f>
        <v/>
      </c>
      <c r="D27" s="91" t="str">
        <f ca="1">IFERROR(INDEX(_TECH_Initiative_Library!$B$5:$B$76,MATCH($A27,_TECH_Initiative_Library!$AU$5:$AU$76,0)),"")</f>
        <v/>
      </c>
      <c r="E27" s="48" t="str">
        <f ca="1">IFERROR(INDEX(_TECH_Initiative_Library!$D$5:$D$76,MATCH($A27,_TECH_Initiative_Library!$AU$5:$AU$76,0)),"")</f>
        <v/>
      </c>
      <c r="F27" s="87" t="str">
        <f ca="1">IFERROR(INDEX(_TECH_Initiative_Library!$AT$5:$AT$76,MATCH($A27,_TECH_Initiative_Library!$AU$5:$AU$76,0)),"")</f>
        <v/>
      </c>
      <c r="G27" s="91" t="str">
        <f ca="1">IFERROR(INDEX(_TECH_Initiative_Library!$AB$5:$AB$76,MATCH($A27,_TECH_Initiative_Library!$AU$5:$AU$76,0)),"")</f>
        <v/>
      </c>
      <c r="H27" s="91" t="str">
        <f ca="1">IFERROR(INDEX(_TECH_Initiative_Library!$Z$5:$Z$76,MATCH($A27,_TECH_Initiative_Library!$AU$5:$AU$76,0)),"")</f>
        <v/>
      </c>
      <c r="I27" s="91" t="str">
        <f ca="1">IFERROR(INDEX(_TECH_Initiative_Library!$AA$5:$AA$76,MATCH($A27,_TECH_Initiative_Library!$AU$5:$AU$76,0)),"")</f>
        <v/>
      </c>
      <c r="J27" s="91" t="str">
        <f ca="1">IFERROR(INDEX(_TECH_Initiative_Library!$AE$5:$AE$76,MATCH($A27,_TECH_Initiative_Library!$AU$5:$AU$76,0)),"")</f>
        <v/>
      </c>
      <c r="K27" s="91" t="str">
        <f ca="1">IFERROR(INDEX(_TECH_Initiative_Library!$AF$5:$AF$76,MATCH($A27,_TECH_Initiative_Library!$AU$5:$AU$76,0)),"")</f>
        <v/>
      </c>
      <c r="L27" s="91" t="str">
        <f ca="1">IFERROR(INDEX(_TECH_Initiative_Library!$AO$5:$AO$76,MATCH($A27,_TECH_Initiative_Library!$AU$5:$AU$76,0)),"Not started")</f>
        <v>Not started</v>
      </c>
      <c r="M27" s="91" t="str">
        <f t="shared" ca="1" si="3"/>
        <v/>
      </c>
      <c r="N27" s="98" t="str">
        <f ca="1">IF($B27="","",IF($J27="0-90 days",$B$4,IF($J27="3-6 months",EDATE($B$4,3),IF($J27="6-12 months",EDATE($B$4,6),EDATE($B$4,12))))+(COUNTIF($J$14:$J27,$J27)-1)*14)</f>
        <v/>
      </c>
      <c r="O27" s="98" t="str">
        <f t="shared" ca="1" si="4"/>
        <v/>
      </c>
      <c r="P27" s="91" t="str">
        <f t="shared" ca="1" si="5"/>
        <v/>
      </c>
      <c r="Q27" s="48" t="str">
        <f ca="1">IFERROR(INDEX(_TECH_Initiative_Library!$AH$5:$AH$76,MATCH($A27,_TECH_Initiative_Library!$AU$5:$AU$76,0)),"")</f>
        <v/>
      </c>
      <c r="R27" s="48" t="str">
        <f ca="1">IFERROR(INDEX(_TECH_Initiative_Library!$AI$5:$AI$76,MATCH($A27,_TECH_Initiative_Library!$AU$5:$AU$76,0)),"")</f>
        <v/>
      </c>
      <c r="S27" s="91" t="str">
        <f t="shared" ca="1" si="8"/>
        <v/>
      </c>
      <c r="T27" s="91" t="str">
        <f t="shared" ca="1" si="8"/>
        <v/>
      </c>
      <c r="U27" s="91" t="str">
        <f t="shared" ca="1" si="8"/>
        <v/>
      </c>
      <c r="V27" s="91" t="str">
        <f t="shared" ca="1" si="8"/>
        <v/>
      </c>
      <c r="W27" s="91" t="str">
        <f t="shared" ca="1" si="8"/>
        <v/>
      </c>
      <c r="X27" s="91" t="str">
        <f t="shared" ca="1" si="8"/>
        <v/>
      </c>
      <c r="Y27" s="91" t="str">
        <f t="shared" ca="1" si="8"/>
        <v/>
      </c>
      <c r="Z27" s="91" t="str">
        <f t="shared" ca="1" si="8"/>
        <v/>
      </c>
      <c r="AA27" s="91" t="str">
        <f t="shared" ca="1" si="8"/>
        <v/>
      </c>
      <c r="AB27" s="91" t="str">
        <f t="shared" ca="1" si="8"/>
        <v/>
      </c>
      <c r="AC27" s="91" t="str">
        <f t="shared" ca="1" si="9"/>
        <v/>
      </c>
      <c r="AD27" s="91" t="str">
        <f t="shared" ca="1" si="9"/>
        <v/>
      </c>
      <c r="AE27" s="91" t="str">
        <f t="shared" ca="1" si="9"/>
        <v/>
      </c>
      <c r="AF27" s="91" t="str">
        <f t="shared" ca="1" si="9"/>
        <v/>
      </c>
      <c r="AG27" s="91" t="str">
        <f t="shared" ca="1" si="9"/>
        <v/>
      </c>
      <c r="AH27" s="91" t="str">
        <f t="shared" ca="1" si="9"/>
        <v/>
      </c>
      <c r="AI27" s="91" t="str">
        <f t="shared" ca="1" si="9"/>
        <v/>
      </c>
      <c r="AJ27" s="91" t="str">
        <f t="shared" ca="1" si="9"/>
        <v/>
      </c>
    </row>
    <row r="28" spans="1:36" ht="30" customHeight="1">
      <c r="A28" s="91">
        <v>15</v>
      </c>
      <c r="B28" s="91" t="str">
        <f ca="1">IFERROR(INDEX(_TECH_Initiative_Library!$A$5:$A$76,MATCH($A28,_TECH_Initiative_Library!$AU$5:$AU$76,0)),"")</f>
        <v/>
      </c>
      <c r="C28" s="48" t="str">
        <f ca="1">IFERROR(INDEX(_TECH_Initiative_Library!$F$5:$F$76,MATCH($A28,_TECH_Initiative_Library!$AU$5:$AU$76,0)),"")</f>
        <v/>
      </c>
      <c r="D28" s="91" t="str">
        <f ca="1">IFERROR(INDEX(_TECH_Initiative_Library!$B$5:$B$76,MATCH($A28,_TECH_Initiative_Library!$AU$5:$AU$76,0)),"")</f>
        <v/>
      </c>
      <c r="E28" s="48" t="str">
        <f ca="1">IFERROR(INDEX(_TECH_Initiative_Library!$D$5:$D$76,MATCH($A28,_TECH_Initiative_Library!$AU$5:$AU$76,0)),"")</f>
        <v/>
      </c>
      <c r="F28" s="87" t="str">
        <f ca="1">IFERROR(INDEX(_TECH_Initiative_Library!$AT$5:$AT$76,MATCH($A28,_TECH_Initiative_Library!$AU$5:$AU$76,0)),"")</f>
        <v/>
      </c>
      <c r="G28" s="91" t="str">
        <f ca="1">IFERROR(INDEX(_TECH_Initiative_Library!$AB$5:$AB$76,MATCH($A28,_TECH_Initiative_Library!$AU$5:$AU$76,0)),"")</f>
        <v/>
      </c>
      <c r="H28" s="91" t="str">
        <f ca="1">IFERROR(INDEX(_TECH_Initiative_Library!$Z$5:$Z$76,MATCH($A28,_TECH_Initiative_Library!$AU$5:$AU$76,0)),"")</f>
        <v/>
      </c>
      <c r="I28" s="91" t="str">
        <f ca="1">IFERROR(INDEX(_TECH_Initiative_Library!$AA$5:$AA$76,MATCH($A28,_TECH_Initiative_Library!$AU$5:$AU$76,0)),"")</f>
        <v/>
      </c>
      <c r="J28" s="91" t="str">
        <f ca="1">IFERROR(INDEX(_TECH_Initiative_Library!$AE$5:$AE$76,MATCH($A28,_TECH_Initiative_Library!$AU$5:$AU$76,0)),"")</f>
        <v/>
      </c>
      <c r="K28" s="91" t="str">
        <f ca="1">IFERROR(INDEX(_TECH_Initiative_Library!$AF$5:$AF$76,MATCH($A28,_TECH_Initiative_Library!$AU$5:$AU$76,0)),"")</f>
        <v/>
      </c>
      <c r="L28" s="91" t="str">
        <f ca="1">IFERROR(INDEX(_TECH_Initiative_Library!$AO$5:$AO$76,MATCH($A28,_TECH_Initiative_Library!$AU$5:$AU$76,0)),"Not started")</f>
        <v>Not started</v>
      </c>
      <c r="M28" s="91" t="str">
        <f t="shared" ca="1" si="3"/>
        <v/>
      </c>
      <c r="N28" s="98" t="str">
        <f ca="1">IF($B28="","",IF($J28="0-90 days",$B$4,IF($J28="3-6 months",EDATE($B$4,3),IF($J28="6-12 months",EDATE($B$4,6),EDATE($B$4,12))))+(COUNTIF($J$14:$J28,$J28)-1)*14)</f>
        <v/>
      </c>
      <c r="O28" s="98" t="str">
        <f t="shared" ca="1" si="4"/>
        <v/>
      </c>
      <c r="P28" s="91" t="str">
        <f t="shared" ca="1" si="5"/>
        <v/>
      </c>
      <c r="Q28" s="48" t="str">
        <f ca="1">IFERROR(INDEX(_TECH_Initiative_Library!$AH$5:$AH$76,MATCH($A28,_TECH_Initiative_Library!$AU$5:$AU$76,0)),"")</f>
        <v/>
      </c>
      <c r="R28" s="48" t="str">
        <f ca="1">IFERROR(INDEX(_TECH_Initiative_Library!$AI$5:$AI$76,MATCH($A28,_TECH_Initiative_Library!$AU$5:$AU$76,0)),"")</f>
        <v/>
      </c>
      <c r="S28" s="91" t="str">
        <f t="shared" ca="1" si="8"/>
        <v/>
      </c>
      <c r="T28" s="91" t="str">
        <f t="shared" ca="1" si="8"/>
        <v/>
      </c>
      <c r="U28" s="91" t="str">
        <f t="shared" ca="1" si="8"/>
        <v/>
      </c>
      <c r="V28" s="91" t="str">
        <f t="shared" ca="1" si="8"/>
        <v/>
      </c>
      <c r="W28" s="91" t="str">
        <f t="shared" ca="1" si="8"/>
        <v/>
      </c>
      <c r="X28" s="91" t="str">
        <f t="shared" ca="1" si="8"/>
        <v/>
      </c>
      <c r="Y28" s="91" t="str">
        <f t="shared" ca="1" si="8"/>
        <v/>
      </c>
      <c r="Z28" s="91" t="str">
        <f t="shared" ca="1" si="8"/>
        <v/>
      </c>
      <c r="AA28" s="91" t="str">
        <f t="shared" ca="1" si="8"/>
        <v/>
      </c>
      <c r="AB28" s="91" t="str">
        <f t="shared" ca="1" si="8"/>
        <v/>
      </c>
      <c r="AC28" s="91" t="str">
        <f t="shared" ca="1" si="9"/>
        <v/>
      </c>
      <c r="AD28" s="91" t="str">
        <f t="shared" ca="1" si="9"/>
        <v/>
      </c>
      <c r="AE28" s="91" t="str">
        <f t="shared" ca="1" si="9"/>
        <v/>
      </c>
      <c r="AF28" s="91" t="str">
        <f t="shared" ca="1" si="9"/>
        <v/>
      </c>
      <c r="AG28" s="91" t="str">
        <f t="shared" ca="1" si="9"/>
        <v/>
      </c>
      <c r="AH28" s="91" t="str">
        <f t="shared" ca="1" si="9"/>
        <v/>
      </c>
      <c r="AI28" s="91" t="str">
        <f t="shared" ca="1" si="9"/>
        <v/>
      </c>
      <c r="AJ28" s="91" t="str">
        <f t="shared" ca="1" si="9"/>
        <v/>
      </c>
    </row>
    <row r="29" spans="1:36" ht="30" customHeight="1">
      <c r="A29" s="91">
        <v>16</v>
      </c>
      <c r="B29" s="91" t="str">
        <f ca="1">IFERROR(INDEX(_TECH_Initiative_Library!$A$5:$A$76,MATCH($A29,_TECH_Initiative_Library!$AU$5:$AU$76,0)),"")</f>
        <v/>
      </c>
      <c r="C29" s="48" t="str">
        <f ca="1">IFERROR(INDEX(_TECH_Initiative_Library!$F$5:$F$76,MATCH($A29,_TECH_Initiative_Library!$AU$5:$AU$76,0)),"")</f>
        <v/>
      </c>
      <c r="D29" s="91" t="str">
        <f ca="1">IFERROR(INDEX(_TECH_Initiative_Library!$B$5:$B$76,MATCH($A29,_TECH_Initiative_Library!$AU$5:$AU$76,0)),"")</f>
        <v/>
      </c>
      <c r="E29" s="48" t="str">
        <f ca="1">IFERROR(INDEX(_TECH_Initiative_Library!$D$5:$D$76,MATCH($A29,_TECH_Initiative_Library!$AU$5:$AU$76,0)),"")</f>
        <v/>
      </c>
      <c r="F29" s="87" t="str">
        <f ca="1">IFERROR(INDEX(_TECH_Initiative_Library!$AT$5:$AT$76,MATCH($A29,_TECH_Initiative_Library!$AU$5:$AU$76,0)),"")</f>
        <v/>
      </c>
      <c r="G29" s="91" t="str">
        <f ca="1">IFERROR(INDEX(_TECH_Initiative_Library!$AB$5:$AB$76,MATCH($A29,_TECH_Initiative_Library!$AU$5:$AU$76,0)),"")</f>
        <v/>
      </c>
      <c r="H29" s="91" t="str">
        <f ca="1">IFERROR(INDEX(_TECH_Initiative_Library!$Z$5:$Z$76,MATCH($A29,_TECH_Initiative_Library!$AU$5:$AU$76,0)),"")</f>
        <v/>
      </c>
      <c r="I29" s="91" t="str">
        <f ca="1">IFERROR(INDEX(_TECH_Initiative_Library!$AA$5:$AA$76,MATCH($A29,_TECH_Initiative_Library!$AU$5:$AU$76,0)),"")</f>
        <v/>
      </c>
      <c r="J29" s="91" t="str">
        <f ca="1">IFERROR(INDEX(_TECH_Initiative_Library!$AE$5:$AE$76,MATCH($A29,_TECH_Initiative_Library!$AU$5:$AU$76,0)),"")</f>
        <v/>
      </c>
      <c r="K29" s="91" t="str">
        <f ca="1">IFERROR(INDEX(_TECH_Initiative_Library!$AF$5:$AF$76,MATCH($A29,_TECH_Initiative_Library!$AU$5:$AU$76,0)),"")</f>
        <v/>
      </c>
      <c r="L29" s="91" t="str">
        <f ca="1">IFERROR(INDEX(_TECH_Initiative_Library!$AO$5:$AO$76,MATCH($A29,_TECH_Initiative_Library!$AU$5:$AU$76,0)),"Not started")</f>
        <v>Not started</v>
      </c>
      <c r="M29" s="91" t="str">
        <f t="shared" ca="1" si="3"/>
        <v/>
      </c>
      <c r="N29" s="98" t="str">
        <f ca="1">IF($B29="","",IF($J29="0-90 days",$B$4,IF($J29="3-6 months",EDATE($B$4,3),IF($J29="6-12 months",EDATE($B$4,6),EDATE($B$4,12))))+(COUNTIF($J$14:$J29,$J29)-1)*14)</f>
        <v/>
      </c>
      <c r="O29" s="98" t="str">
        <f t="shared" ca="1" si="4"/>
        <v/>
      </c>
      <c r="P29" s="91" t="str">
        <f t="shared" ca="1" si="5"/>
        <v/>
      </c>
      <c r="Q29" s="48" t="str">
        <f ca="1">IFERROR(INDEX(_TECH_Initiative_Library!$AH$5:$AH$76,MATCH($A29,_TECH_Initiative_Library!$AU$5:$AU$76,0)),"")</f>
        <v/>
      </c>
      <c r="R29" s="48" t="str">
        <f ca="1">IFERROR(INDEX(_TECH_Initiative_Library!$AI$5:$AI$76,MATCH($A29,_TECH_Initiative_Library!$AU$5:$AU$76,0)),"")</f>
        <v/>
      </c>
      <c r="S29" s="91" t="str">
        <f t="shared" ca="1" si="8"/>
        <v/>
      </c>
      <c r="T29" s="91" t="str">
        <f t="shared" ca="1" si="8"/>
        <v/>
      </c>
      <c r="U29" s="91" t="str">
        <f t="shared" ca="1" si="8"/>
        <v/>
      </c>
      <c r="V29" s="91" t="str">
        <f t="shared" ca="1" si="8"/>
        <v/>
      </c>
      <c r="W29" s="91" t="str">
        <f t="shared" ca="1" si="8"/>
        <v/>
      </c>
      <c r="X29" s="91" t="str">
        <f t="shared" ca="1" si="8"/>
        <v/>
      </c>
      <c r="Y29" s="91" t="str">
        <f t="shared" ca="1" si="8"/>
        <v/>
      </c>
      <c r="Z29" s="91" t="str">
        <f t="shared" ca="1" si="8"/>
        <v/>
      </c>
      <c r="AA29" s="91" t="str">
        <f t="shared" ca="1" si="8"/>
        <v/>
      </c>
      <c r="AB29" s="91" t="str">
        <f t="shared" ca="1" si="8"/>
        <v/>
      </c>
      <c r="AC29" s="91" t="str">
        <f t="shared" ca="1" si="9"/>
        <v/>
      </c>
      <c r="AD29" s="91" t="str">
        <f t="shared" ca="1" si="9"/>
        <v/>
      </c>
      <c r="AE29" s="91" t="str">
        <f t="shared" ca="1" si="9"/>
        <v/>
      </c>
      <c r="AF29" s="91" t="str">
        <f t="shared" ca="1" si="9"/>
        <v/>
      </c>
      <c r="AG29" s="91" t="str">
        <f t="shared" ca="1" si="9"/>
        <v/>
      </c>
      <c r="AH29" s="91" t="str">
        <f t="shared" ca="1" si="9"/>
        <v/>
      </c>
      <c r="AI29" s="91" t="str">
        <f t="shared" ca="1" si="9"/>
        <v/>
      </c>
      <c r="AJ29" s="91" t="str">
        <f t="shared" ca="1" si="9"/>
        <v/>
      </c>
    </row>
    <row r="30" spans="1:36" ht="30" customHeight="1">
      <c r="A30" s="91">
        <v>17</v>
      </c>
      <c r="B30" s="91" t="str">
        <f ca="1">IFERROR(INDEX(_TECH_Initiative_Library!$A$5:$A$76,MATCH($A30,_TECH_Initiative_Library!$AU$5:$AU$76,0)),"")</f>
        <v/>
      </c>
      <c r="C30" s="48" t="str">
        <f ca="1">IFERROR(INDEX(_TECH_Initiative_Library!$F$5:$F$76,MATCH($A30,_TECH_Initiative_Library!$AU$5:$AU$76,0)),"")</f>
        <v/>
      </c>
      <c r="D30" s="91" t="str">
        <f ca="1">IFERROR(INDEX(_TECH_Initiative_Library!$B$5:$B$76,MATCH($A30,_TECH_Initiative_Library!$AU$5:$AU$76,0)),"")</f>
        <v/>
      </c>
      <c r="E30" s="48" t="str">
        <f ca="1">IFERROR(INDEX(_TECH_Initiative_Library!$D$5:$D$76,MATCH($A30,_TECH_Initiative_Library!$AU$5:$AU$76,0)),"")</f>
        <v/>
      </c>
      <c r="F30" s="87" t="str">
        <f ca="1">IFERROR(INDEX(_TECH_Initiative_Library!$AT$5:$AT$76,MATCH($A30,_TECH_Initiative_Library!$AU$5:$AU$76,0)),"")</f>
        <v/>
      </c>
      <c r="G30" s="91" t="str">
        <f ca="1">IFERROR(INDEX(_TECH_Initiative_Library!$AB$5:$AB$76,MATCH($A30,_TECH_Initiative_Library!$AU$5:$AU$76,0)),"")</f>
        <v/>
      </c>
      <c r="H30" s="91" t="str">
        <f ca="1">IFERROR(INDEX(_TECH_Initiative_Library!$Z$5:$Z$76,MATCH($A30,_TECH_Initiative_Library!$AU$5:$AU$76,0)),"")</f>
        <v/>
      </c>
      <c r="I30" s="91" t="str">
        <f ca="1">IFERROR(INDEX(_TECH_Initiative_Library!$AA$5:$AA$76,MATCH($A30,_TECH_Initiative_Library!$AU$5:$AU$76,0)),"")</f>
        <v/>
      </c>
      <c r="J30" s="91" t="str">
        <f ca="1">IFERROR(INDEX(_TECH_Initiative_Library!$AE$5:$AE$76,MATCH($A30,_TECH_Initiative_Library!$AU$5:$AU$76,0)),"")</f>
        <v/>
      </c>
      <c r="K30" s="91" t="str">
        <f ca="1">IFERROR(INDEX(_TECH_Initiative_Library!$AF$5:$AF$76,MATCH($A30,_TECH_Initiative_Library!$AU$5:$AU$76,0)),"")</f>
        <v/>
      </c>
      <c r="L30" s="91" t="str">
        <f ca="1">IFERROR(INDEX(_TECH_Initiative_Library!$AO$5:$AO$76,MATCH($A30,_TECH_Initiative_Library!$AU$5:$AU$76,0)),"Not started")</f>
        <v>Not started</v>
      </c>
      <c r="M30" s="91" t="str">
        <f t="shared" ca="1" si="3"/>
        <v/>
      </c>
      <c r="N30" s="98" t="str">
        <f ca="1">IF($B30="","",IF($J30="0-90 days",$B$4,IF($J30="3-6 months",EDATE($B$4,3),IF($J30="6-12 months",EDATE($B$4,6),EDATE($B$4,12))))+(COUNTIF($J$14:$J30,$J30)-1)*14)</f>
        <v/>
      </c>
      <c r="O30" s="98" t="str">
        <f t="shared" ca="1" si="4"/>
        <v/>
      </c>
      <c r="P30" s="91" t="str">
        <f t="shared" ca="1" si="5"/>
        <v/>
      </c>
      <c r="Q30" s="48" t="str">
        <f ca="1">IFERROR(INDEX(_TECH_Initiative_Library!$AH$5:$AH$76,MATCH($A30,_TECH_Initiative_Library!$AU$5:$AU$76,0)),"")</f>
        <v/>
      </c>
      <c r="R30" s="48" t="str">
        <f ca="1">IFERROR(INDEX(_TECH_Initiative_Library!$AI$5:$AI$76,MATCH($A30,_TECH_Initiative_Library!$AU$5:$AU$76,0)),"")</f>
        <v/>
      </c>
      <c r="S30" s="91" t="str">
        <f t="shared" ca="1" si="8"/>
        <v/>
      </c>
      <c r="T30" s="91" t="str">
        <f t="shared" ca="1" si="8"/>
        <v/>
      </c>
      <c r="U30" s="91" t="str">
        <f t="shared" ca="1" si="8"/>
        <v/>
      </c>
      <c r="V30" s="91" t="str">
        <f t="shared" ca="1" si="8"/>
        <v/>
      </c>
      <c r="W30" s="91" t="str">
        <f t="shared" ca="1" si="8"/>
        <v/>
      </c>
      <c r="X30" s="91" t="str">
        <f t="shared" ca="1" si="8"/>
        <v/>
      </c>
      <c r="Y30" s="91" t="str">
        <f t="shared" ca="1" si="8"/>
        <v/>
      </c>
      <c r="Z30" s="91" t="str">
        <f t="shared" ca="1" si="8"/>
        <v/>
      </c>
      <c r="AA30" s="91" t="str">
        <f t="shared" ca="1" si="8"/>
        <v/>
      </c>
      <c r="AB30" s="91" t="str">
        <f t="shared" ca="1" si="8"/>
        <v/>
      </c>
      <c r="AC30" s="91" t="str">
        <f t="shared" ca="1" si="9"/>
        <v/>
      </c>
      <c r="AD30" s="91" t="str">
        <f t="shared" ca="1" si="9"/>
        <v/>
      </c>
      <c r="AE30" s="91" t="str">
        <f t="shared" ca="1" si="9"/>
        <v/>
      </c>
      <c r="AF30" s="91" t="str">
        <f t="shared" ca="1" si="9"/>
        <v/>
      </c>
      <c r="AG30" s="91" t="str">
        <f t="shared" ca="1" si="9"/>
        <v/>
      </c>
      <c r="AH30" s="91" t="str">
        <f t="shared" ca="1" si="9"/>
        <v/>
      </c>
      <c r="AI30" s="91" t="str">
        <f t="shared" ca="1" si="9"/>
        <v/>
      </c>
      <c r="AJ30" s="91" t="str">
        <f t="shared" ca="1" si="9"/>
        <v/>
      </c>
    </row>
    <row r="31" spans="1:36" ht="30" customHeight="1">
      <c r="A31" s="91">
        <v>18</v>
      </c>
      <c r="B31" s="91" t="str">
        <f ca="1">IFERROR(INDEX(_TECH_Initiative_Library!$A$5:$A$76,MATCH($A31,_TECH_Initiative_Library!$AU$5:$AU$76,0)),"")</f>
        <v/>
      </c>
      <c r="C31" s="48" t="str">
        <f ca="1">IFERROR(INDEX(_TECH_Initiative_Library!$F$5:$F$76,MATCH($A31,_TECH_Initiative_Library!$AU$5:$AU$76,0)),"")</f>
        <v/>
      </c>
      <c r="D31" s="91" t="str">
        <f ca="1">IFERROR(INDEX(_TECH_Initiative_Library!$B$5:$B$76,MATCH($A31,_TECH_Initiative_Library!$AU$5:$AU$76,0)),"")</f>
        <v/>
      </c>
      <c r="E31" s="48" t="str">
        <f ca="1">IFERROR(INDEX(_TECH_Initiative_Library!$D$5:$D$76,MATCH($A31,_TECH_Initiative_Library!$AU$5:$AU$76,0)),"")</f>
        <v/>
      </c>
      <c r="F31" s="87" t="str">
        <f ca="1">IFERROR(INDEX(_TECH_Initiative_Library!$AT$5:$AT$76,MATCH($A31,_TECH_Initiative_Library!$AU$5:$AU$76,0)),"")</f>
        <v/>
      </c>
      <c r="G31" s="91" t="str">
        <f ca="1">IFERROR(INDEX(_TECH_Initiative_Library!$AB$5:$AB$76,MATCH($A31,_TECH_Initiative_Library!$AU$5:$AU$76,0)),"")</f>
        <v/>
      </c>
      <c r="H31" s="91" t="str">
        <f ca="1">IFERROR(INDEX(_TECH_Initiative_Library!$Z$5:$Z$76,MATCH($A31,_TECH_Initiative_Library!$AU$5:$AU$76,0)),"")</f>
        <v/>
      </c>
      <c r="I31" s="91" t="str">
        <f ca="1">IFERROR(INDEX(_TECH_Initiative_Library!$AA$5:$AA$76,MATCH($A31,_TECH_Initiative_Library!$AU$5:$AU$76,0)),"")</f>
        <v/>
      </c>
      <c r="J31" s="91" t="str">
        <f ca="1">IFERROR(INDEX(_TECH_Initiative_Library!$AE$5:$AE$76,MATCH($A31,_TECH_Initiative_Library!$AU$5:$AU$76,0)),"")</f>
        <v/>
      </c>
      <c r="K31" s="91" t="str">
        <f ca="1">IFERROR(INDEX(_TECH_Initiative_Library!$AF$5:$AF$76,MATCH($A31,_TECH_Initiative_Library!$AU$5:$AU$76,0)),"")</f>
        <v/>
      </c>
      <c r="L31" s="91" t="str">
        <f ca="1">IFERROR(INDEX(_TECH_Initiative_Library!$AO$5:$AO$76,MATCH($A31,_TECH_Initiative_Library!$AU$5:$AU$76,0)),"Not started")</f>
        <v>Not started</v>
      </c>
      <c r="M31" s="91" t="str">
        <f t="shared" ca="1" si="3"/>
        <v/>
      </c>
      <c r="N31" s="98" t="str">
        <f ca="1">IF($B31="","",IF($J31="0-90 days",$B$4,IF($J31="3-6 months",EDATE($B$4,3),IF($J31="6-12 months",EDATE($B$4,6),EDATE($B$4,12))))+(COUNTIF($J$14:$J31,$J31)-1)*14)</f>
        <v/>
      </c>
      <c r="O31" s="98" t="str">
        <f t="shared" ca="1" si="4"/>
        <v/>
      </c>
      <c r="P31" s="91" t="str">
        <f t="shared" ca="1" si="5"/>
        <v/>
      </c>
      <c r="Q31" s="48" t="str">
        <f ca="1">IFERROR(INDEX(_TECH_Initiative_Library!$AH$5:$AH$76,MATCH($A31,_TECH_Initiative_Library!$AU$5:$AU$76,0)),"")</f>
        <v/>
      </c>
      <c r="R31" s="48" t="str">
        <f ca="1">IFERROR(INDEX(_TECH_Initiative_Library!$AI$5:$AI$76,MATCH($A31,_TECH_Initiative_Library!$AU$5:$AU$76,0)),"")</f>
        <v/>
      </c>
      <c r="S31" s="91" t="str">
        <f t="shared" ca="1" si="8"/>
        <v/>
      </c>
      <c r="T31" s="91" t="str">
        <f t="shared" ca="1" si="8"/>
        <v/>
      </c>
      <c r="U31" s="91" t="str">
        <f t="shared" ca="1" si="8"/>
        <v/>
      </c>
      <c r="V31" s="91" t="str">
        <f t="shared" ca="1" si="8"/>
        <v/>
      </c>
      <c r="W31" s="91" t="str">
        <f t="shared" ca="1" si="8"/>
        <v/>
      </c>
      <c r="X31" s="91" t="str">
        <f t="shared" ca="1" si="8"/>
        <v/>
      </c>
      <c r="Y31" s="91" t="str">
        <f t="shared" ca="1" si="8"/>
        <v/>
      </c>
      <c r="Z31" s="91" t="str">
        <f t="shared" ca="1" si="8"/>
        <v/>
      </c>
      <c r="AA31" s="91" t="str">
        <f t="shared" ca="1" si="8"/>
        <v/>
      </c>
      <c r="AB31" s="91" t="str">
        <f t="shared" ca="1" si="8"/>
        <v/>
      </c>
      <c r="AC31" s="91" t="str">
        <f t="shared" ca="1" si="9"/>
        <v/>
      </c>
      <c r="AD31" s="91" t="str">
        <f t="shared" ca="1" si="9"/>
        <v/>
      </c>
      <c r="AE31" s="91" t="str">
        <f t="shared" ca="1" si="9"/>
        <v/>
      </c>
      <c r="AF31" s="91" t="str">
        <f t="shared" ca="1" si="9"/>
        <v/>
      </c>
      <c r="AG31" s="91" t="str">
        <f t="shared" ca="1" si="9"/>
        <v/>
      </c>
      <c r="AH31" s="91" t="str">
        <f t="shared" ca="1" si="9"/>
        <v/>
      </c>
      <c r="AI31" s="91" t="str">
        <f t="shared" ca="1" si="9"/>
        <v/>
      </c>
      <c r="AJ31" s="91" t="str">
        <f t="shared" ca="1" si="9"/>
        <v/>
      </c>
    </row>
    <row r="32" spans="1:36" ht="30" customHeight="1">
      <c r="A32" s="91">
        <v>19</v>
      </c>
      <c r="B32" s="91" t="str">
        <f ca="1">IFERROR(INDEX(_TECH_Initiative_Library!$A$5:$A$76,MATCH($A32,_TECH_Initiative_Library!$AU$5:$AU$76,0)),"")</f>
        <v/>
      </c>
      <c r="C32" s="48" t="str">
        <f ca="1">IFERROR(INDEX(_TECH_Initiative_Library!$F$5:$F$76,MATCH($A32,_TECH_Initiative_Library!$AU$5:$AU$76,0)),"")</f>
        <v/>
      </c>
      <c r="D32" s="91" t="str">
        <f ca="1">IFERROR(INDEX(_TECH_Initiative_Library!$B$5:$B$76,MATCH($A32,_TECH_Initiative_Library!$AU$5:$AU$76,0)),"")</f>
        <v/>
      </c>
      <c r="E32" s="48" t="str">
        <f ca="1">IFERROR(INDEX(_TECH_Initiative_Library!$D$5:$D$76,MATCH($A32,_TECH_Initiative_Library!$AU$5:$AU$76,0)),"")</f>
        <v/>
      </c>
      <c r="F32" s="87" t="str">
        <f ca="1">IFERROR(INDEX(_TECH_Initiative_Library!$AT$5:$AT$76,MATCH($A32,_TECH_Initiative_Library!$AU$5:$AU$76,0)),"")</f>
        <v/>
      </c>
      <c r="G32" s="91" t="str">
        <f ca="1">IFERROR(INDEX(_TECH_Initiative_Library!$AB$5:$AB$76,MATCH($A32,_TECH_Initiative_Library!$AU$5:$AU$76,0)),"")</f>
        <v/>
      </c>
      <c r="H32" s="91" t="str">
        <f ca="1">IFERROR(INDEX(_TECH_Initiative_Library!$Z$5:$Z$76,MATCH($A32,_TECH_Initiative_Library!$AU$5:$AU$76,0)),"")</f>
        <v/>
      </c>
      <c r="I32" s="91" t="str">
        <f ca="1">IFERROR(INDEX(_TECH_Initiative_Library!$AA$5:$AA$76,MATCH($A32,_TECH_Initiative_Library!$AU$5:$AU$76,0)),"")</f>
        <v/>
      </c>
      <c r="J32" s="91" t="str">
        <f ca="1">IFERROR(INDEX(_TECH_Initiative_Library!$AE$5:$AE$76,MATCH($A32,_TECH_Initiative_Library!$AU$5:$AU$76,0)),"")</f>
        <v/>
      </c>
      <c r="K32" s="91" t="str">
        <f ca="1">IFERROR(INDEX(_TECH_Initiative_Library!$AF$5:$AF$76,MATCH($A32,_TECH_Initiative_Library!$AU$5:$AU$76,0)),"")</f>
        <v/>
      </c>
      <c r="L32" s="91" t="str">
        <f ca="1">IFERROR(INDEX(_TECH_Initiative_Library!$AO$5:$AO$76,MATCH($A32,_TECH_Initiative_Library!$AU$5:$AU$76,0)),"Not started")</f>
        <v>Not started</v>
      </c>
      <c r="M32" s="91" t="str">
        <f t="shared" ca="1" si="3"/>
        <v/>
      </c>
      <c r="N32" s="98" t="str">
        <f ca="1">IF($B32="","",IF($J32="0-90 days",$B$4,IF($J32="3-6 months",EDATE($B$4,3),IF($J32="6-12 months",EDATE($B$4,6),EDATE($B$4,12))))+(COUNTIF($J$14:$J32,$J32)-1)*14)</f>
        <v/>
      </c>
      <c r="O32" s="98" t="str">
        <f t="shared" ca="1" si="4"/>
        <v/>
      </c>
      <c r="P32" s="91" t="str">
        <f t="shared" ca="1" si="5"/>
        <v/>
      </c>
      <c r="Q32" s="48" t="str">
        <f ca="1">IFERROR(INDEX(_TECH_Initiative_Library!$AH$5:$AH$76,MATCH($A32,_TECH_Initiative_Library!$AU$5:$AU$76,0)),"")</f>
        <v/>
      </c>
      <c r="R32" s="48" t="str">
        <f ca="1">IFERROR(INDEX(_TECH_Initiative_Library!$AI$5:$AI$76,MATCH($A32,_TECH_Initiative_Library!$AU$5:$AU$76,0)),"")</f>
        <v/>
      </c>
      <c r="S32" s="91" t="str">
        <f t="shared" ca="1" si="8"/>
        <v/>
      </c>
      <c r="T32" s="91" t="str">
        <f t="shared" ca="1" si="8"/>
        <v/>
      </c>
      <c r="U32" s="91" t="str">
        <f t="shared" ca="1" si="8"/>
        <v/>
      </c>
      <c r="V32" s="91" t="str">
        <f t="shared" ca="1" si="8"/>
        <v/>
      </c>
      <c r="W32" s="91" t="str">
        <f t="shared" ca="1" si="8"/>
        <v/>
      </c>
      <c r="X32" s="91" t="str">
        <f t="shared" ca="1" si="8"/>
        <v/>
      </c>
      <c r="Y32" s="91" t="str">
        <f t="shared" ca="1" si="8"/>
        <v/>
      </c>
      <c r="Z32" s="91" t="str">
        <f t="shared" ca="1" si="8"/>
        <v/>
      </c>
      <c r="AA32" s="91" t="str">
        <f t="shared" ca="1" si="8"/>
        <v/>
      </c>
      <c r="AB32" s="91" t="str">
        <f t="shared" ca="1" si="8"/>
        <v/>
      </c>
      <c r="AC32" s="91" t="str">
        <f t="shared" ca="1" si="9"/>
        <v/>
      </c>
      <c r="AD32" s="91" t="str">
        <f t="shared" ca="1" si="9"/>
        <v/>
      </c>
      <c r="AE32" s="91" t="str">
        <f t="shared" ca="1" si="9"/>
        <v/>
      </c>
      <c r="AF32" s="91" t="str">
        <f t="shared" ca="1" si="9"/>
        <v/>
      </c>
      <c r="AG32" s="91" t="str">
        <f t="shared" ca="1" si="9"/>
        <v/>
      </c>
      <c r="AH32" s="91" t="str">
        <f t="shared" ca="1" si="9"/>
        <v/>
      </c>
      <c r="AI32" s="91" t="str">
        <f t="shared" ca="1" si="9"/>
        <v/>
      </c>
      <c r="AJ32" s="91" t="str">
        <f t="shared" ca="1" si="9"/>
        <v/>
      </c>
    </row>
    <row r="33" spans="1:36" ht="30" customHeight="1">
      <c r="A33" s="91">
        <v>20</v>
      </c>
      <c r="B33" s="91" t="str">
        <f ca="1">IFERROR(INDEX(_TECH_Initiative_Library!$A$5:$A$76,MATCH($A33,_TECH_Initiative_Library!$AU$5:$AU$76,0)),"")</f>
        <v/>
      </c>
      <c r="C33" s="48" t="str">
        <f ca="1">IFERROR(INDEX(_TECH_Initiative_Library!$F$5:$F$76,MATCH($A33,_TECH_Initiative_Library!$AU$5:$AU$76,0)),"")</f>
        <v/>
      </c>
      <c r="D33" s="91" t="str">
        <f ca="1">IFERROR(INDEX(_TECH_Initiative_Library!$B$5:$B$76,MATCH($A33,_TECH_Initiative_Library!$AU$5:$AU$76,0)),"")</f>
        <v/>
      </c>
      <c r="E33" s="48" t="str">
        <f ca="1">IFERROR(INDEX(_TECH_Initiative_Library!$D$5:$D$76,MATCH($A33,_TECH_Initiative_Library!$AU$5:$AU$76,0)),"")</f>
        <v/>
      </c>
      <c r="F33" s="87" t="str">
        <f ca="1">IFERROR(INDEX(_TECH_Initiative_Library!$AT$5:$AT$76,MATCH($A33,_TECH_Initiative_Library!$AU$5:$AU$76,0)),"")</f>
        <v/>
      </c>
      <c r="G33" s="91" t="str">
        <f ca="1">IFERROR(INDEX(_TECH_Initiative_Library!$AB$5:$AB$76,MATCH($A33,_TECH_Initiative_Library!$AU$5:$AU$76,0)),"")</f>
        <v/>
      </c>
      <c r="H33" s="91" t="str">
        <f ca="1">IFERROR(INDEX(_TECH_Initiative_Library!$Z$5:$Z$76,MATCH($A33,_TECH_Initiative_Library!$AU$5:$AU$76,0)),"")</f>
        <v/>
      </c>
      <c r="I33" s="91" t="str">
        <f ca="1">IFERROR(INDEX(_TECH_Initiative_Library!$AA$5:$AA$76,MATCH($A33,_TECH_Initiative_Library!$AU$5:$AU$76,0)),"")</f>
        <v/>
      </c>
      <c r="J33" s="91" t="str">
        <f ca="1">IFERROR(INDEX(_TECH_Initiative_Library!$AE$5:$AE$76,MATCH($A33,_TECH_Initiative_Library!$AU$5:$AU$76,0)),"")</f>
        <v/>
      </c>
      <c r="K33" s="91" t="str">
        <f ca="1">IFERROR(INDEX(_TECH_Initiative_Library!$AF$5:$AF$76,MATCH($A33,_TECH_Initiative_Library!$AU$5:$AU$76,0)),"")</f>
        <v/>
      </c>
      <c r="L33" s="91" t="str">
        <f ca="1">IFERROR(INDEX(_TECH_Initiative_Library!$AO$5:$AO$76,MATCH($A33,_TECH_Initiative_Library!$AU$5:$AU$76,0)),"Not started")</f>
        <v>Not started</v>
      </c>
      <c r="M33" s="91" t="str">
        <f t="shared" ca="1" si="3"/>
        <v/>
      </c>
      <c r="N33" s="98" t="str">
        <f ca="1">IF($B33="","",IF($J33="0-90 days",$B$4,IF($J33="3-6 months",EDATE($B$4,3),IF($J33="6-12 months",EDATE($B$4,6),EDATE($B$4,12))))+(COUNTIF($J$14:$J33,$J33)-1)*14)</f>
        <v/>
      </c>
      <c r="O33" s="98" t="str">
        <f t="shared" ca="1" si="4"/>
        <v/>
      </c>
      <c r="P33" s="91" t="str">
        <f t="shared" ca="1" si="5"/>
        <v/>
      </c>
      <c r="Q33" s="48" t="str">
        <f ca="1">IFERROR(INDEX(_TECH_Initiative_Library!$AH$5:$AH$76,MATCH($A33,_TECH_Initiative_Library!$AU$5:$AU$76,0)),"")</f>
        <v/>
      </c>
      <c r="R33" s="48" t="str">
        <f ca="1">IFERROR(INDEX(_TECH_Initiative_Library!$AI$5:$AI$76,MATCH($A33,_TECH_Initiative_Library!$AU$5:$AU$76,0)),"")</f>
        <v/>
      </c>
      <c r="S33" s="91" t="str">
        <f t="shared" ca="1" si="8"/>
        <v/>
      </c>
      <c r="T33" s="91" t="str">
        <f t="shared" ca="1" si="8"/>
        <v/>
      </c>
      <c r="U33" s="91" t="str">
        <f t="shared" ca="1" si="8"/>
        <v/>
      </c>
      <c r="V33" s="91" t="str">
        <f t="shared" ca="1" si="8"/>
        <v/>
      </c>
      <c r="W33" s="91" t="str">
        <f t="shared" ca="1" si="8"/>
        <v/>
      </c>
      <c r="X33" s="91" t="str">
        <f t="shared" ca="1" si="8"/>
        <v/>
      </c>
      <c r="Y33" s="91" t="str">
        <f t="shared" ca="1" si="8"/>
        <v/>
      </c>
      <c r="Z33" s="91" t="str">
        <f t="shared" ca="1" si="8"/>
        <v/>
      </c>
      <c r="AA33" s="91" t="str">
        <f t="shared" ca="1" si="8"/>
        <v/>
      </c>
      <c r="AB33" s="91" t="str">
        <f t="shared" ca="1" si="8"/>
        <v/>
      </c>
      <c r="AC33" s="91" t="str">
        <f t="shared" ca="1" si="9"/>
        <v/>
      </c>
      <c r="AD33" s="91" t="str">
        <f t="shared" ca="1" si="9"/>
        <v/>
      </c>
      <c r="AE33" s="91" t="str">
        <f t="shared" ca="1" si="9"/>
        <v/>
      </c>
      <c r="AF33" s="91" t="str">
        <f t="shared" ca="1" si="9"/>
        <v/>
      </c>
      <c r="AG33" s="91" t="str">
        <f t="shared" ca="1" si="9"/>
        <v/>
      </c>
      <c r="AH33" s="91" t="str">
        <f t="shared" ca="1" si="9"/>
        <v/>
      </c>
      <c r="AI33" s="91" t="str">
        <f t="shared" ca="1" si="9"/>
        <v/>
      </c>
      <c r="AJ33" s="91" t="str">
        <f t="shared" ca="1" si="9"/>
        <v/>
      </c>
    </row>
    <row r="34" spans="1:36" ht="30" customHeight="1">
      <c r="A34" s="91">
        <v>21</v>
      </c>
      <c r="B34" s="91" t="str">
        <f ca="1">IFERROR(INDEX(_TECH_Initiative_Library!$A$5:$A$76,MATCH($A34,_TECH_Initiative_Library!$AU$5:$AU$76,0)),"")</f>
        <v/>
      </c>
      <c r="C34" s="48" t="str">
        <f ca="1">IFERROR(INDEX(_TECH_Initiative_Library!$F$5:$F$76,MATCH($A34,_TECH_Initiative_Library!$AU$5:$AU$76,0)),"")</f>
        <v/>
      </c>
      <c r="D34" s="91" t="str">
        <f ca="1">IFERROR(INDEX(_TECH_Initiative_Library!$B$5:$B$76,MATCH($A34,_TECH_Initiative_Library!$AU$5:$AU$76,0)),"")</f>
        <v/>
      </c>
      <c r="E34" s="48" t="str">
        <f ca="1">IFERROR(INDEX(_TECH_Initiative_Library!$D$5:$D$76,MATCH($A34,_TECH_Initiative_Library!$AU$5:$AU$76,0)),"")</f>
        <v/>
      </c>
      <c r="F34" s="87" t="str">
        <f ca="1">IFERROR(INDEX(_TECH_Initiative_Library!$AT$5:$AT$76,MATCH($A34,_TECH_Initiative_Library!$AU$5:$AU$76,0)),"")</f>
        <v/>
      </c>
      <c r="G34" s="91" t="str">
        <f ca="1">IFERROR(INDEX(_TECH_Initiative_Library!$AB$5:$AB$76,MATCH($A34,_TECH_Initiative_Library!$AU$5:$AU$76,0)),"")</f>
        <v/>
      </c>
      <c r="H34" s="91" t="str">
        <f ca="1">IFERROR(INDEX(_TECH_Initiative_Library!$Z$5:$Z$76,MATCH($A34,_TECH_Initiative_Library!$AU$5:$AU$76,0)),"")</f>
        <v/>
      </c>
      <c r="I34" s="91" t="str">
        <f ca="1">IFERROR(INDEX(_TECH_Initiative_Library!$AA$5:$AA$76,MATCH($A34,_TECH_Initiative_Library!$AU$5:$AU$76,0)),"")</f>
        <v/>
      </c>
      <c r="J34" s="91" t="str">
        <f ca="1">IFERROR(INDEX(_TECH_Initiative_Library!$AE$5:$AE$76,MATCH($A34,_TECH_Initiative_Library!$AU$5:$AU$76,0)),"")</f>
        <v/>
      </c>
      <c r="K34" s="91" t="str">
        <f ca="1">IFERROR(INDEX(_TECH_Initiative_Library!$AF$5:$AF$76,MATCH($A34,_TECH_Initiative_Library!$AU$5:$AU$76,0)),"")</f>
        <v/>
      </c>
      <c r="L34" s="91" t="str">
        <f ca="1">IFERROR(INDEX(_TECH_Initiative_Library!$AO$5:$AO$76,MATCH($A34,_TECH_Initiative_Library!$AU$5:$AU$76,0)),"Not started")</f>
        <v>Not started</v>
      </c>
      <c r="M34" s="91" t="str">
        <f t="shared" ca="1" si="3"/>
        <v/>
      </c>
      <c r="N34" s="98" t="str">
        <f ca="1">IF($B34="","",IF($J34="0-90 days",$B$4,IF($J34="3-6 months",EDATE($B$4,3),IF($J34="6-12 months",EDATE($B$4,6),EDATE($B$4,12))))+(COUNTIF($J$14:$J34,$J34)-1)*14)</f>
        <v/>
      </c>
      <c r="O34" s="98" t="str">
        <f t="shared" ca="1" si="4"/>
        <v/>
      </c>
      <c r="P34" s="91" t="str">
        <f t="shared" ca="1" si="5"/>
        <v/>
      </c>
      <c r="Q34" s="48" t="str">
        <f ca="1">IFERROR(INDEX(_TECH_Initiative_Library!$AH$5:$AH$76,MATCH($A34,_TECH_Initiative_Library!$AU$5:$AU$76,0)),"")</f>
        <v/>
      </c>
      <c r="R34" s="48" t="str">
        <f ca="1">IFERROR(INDEX(_TECH_Initiative_Library!$AI$5:$AI$76,MATCH($A34,_TECH_Initiative_Library!$AU$5:$AU$76,0)),"")</f>
        <v/>
      </c>
      <c r="S34" s="91" t="str">
        <f t="shared" ref="S34:AB43" ca="1" si="10">IF(AND(S$13&gt;=$N34,S$13&lt;=$O34),"■","")</f>
        <v/>
      </c>
      <c r="T34" s="91" t="str">
        <f t="shared" ca="1" si="10"/>
        <v/>
      </c>
      <c r="U34" s="91" t="str">
        <f t="shared" ca="1" si="10"/>
        <v/>
      </c>
      <c r="V34" s="91" t="str">
        <f t="shared" ca="1" si="10"/>
        <v/>
      </c>
      <c r="W34" s="91" t="str">
        <f t="shared" ca="1" si="10"/>
        <v/>
      </c>
      <c r="X34" s="91" t="str">
        <f t="shared" ca="1" si="10"/>
        <v/>
      </c>
      <c r="Y34" s="91" t="str">
        <f t="shared" ca="1" si="10"/>
        <v/>
      </c>
      <c r="Z34" s="91" t="str">
        <f t="shared" ca="1" si="10"/>
        <v/>
      </c>
      <c r="AA34" s="91" t="str">
        <f t="shared" ca="1" si="10"/>
        <v/>
      </c>
      <c r="AB34" s="91" t="str">
        <f t="shared" ca="1" si="10"/>
        <v/>
      </c>
      <c r="AC34" s="91" t="str">
        <f t="shared" ref="AC34:AJ43" ca="1" si="11">IF(AND(AC$13&gt;=$N34,AC$13&lt;=$O34),"■","")</f>
        <v/>
      </c>
      <c r="AD34" s="91" t="str">
        <f t="shared" ca="1" si="11"/>
        <v/>
      </c>
      <c r="AE34" s="91" t="str">
        <f t="shared" ca="1" si="11"/>
        <v/>
      </c>
      <c r="AF34" s="91" t="str">
        <f t="shared" ca="1" si="11"/>
        <v/>
      </c>
      <c r="AG34" s="91" t="str">
        <f t="shared" ca="1" si="11"/>
        <v/>
      </c>
      <c r="AH34" s="91" t="str">
        <f t="shared" ca="1" si="11"/>
        <v/>
      </c>
      <c r="AI34" s="91" t="str">
        <f t="shared" ca="1" si="11"/>
        <v/>
      </c>
      <c r="AJ34" s="91" t="str">
        <f t="shared" ca="1" si="11"/>
        <v/>
      </c>
    </row>
    <row r="35" spans="1:36" ht="30" customHeight="1">
      <c r="A35" s="91">
        <v>22</v>
      </c>
      <c r="B35" s="91" t="str">
        <f ca="1">IFERROR(INDEX(_TECH_Initiative_Library!$A$5:$A$76,MATCH($A35,_TECH_Initiative_Library!$AU$5:$AU$76,0)),"")</f>
        <v/>
      </c>
      <c r="C35" s="48" t="str">
        <f ca="1">IFERROR(INDEX(_TECH_Initiative_Library!$F$5:$F$76,MATCH($A35,_TECH_Initiative_Library!$AU$5:$AU$76,0)),"")</f>
        <v/>
      </c>
      <c r="D35" s="91" t="str">
        <f ca="1">IFERROR(INDEX(_TECH_Initiative_Library!$B$5:$B$76,MATCH($A35,_TECH_Initiative_Library!$AU$5:$AU$76,0)),"")</f>
        <v/>
      </c>
      <c r="E35" s="48" t="str">
        <f ca="1">IFERROR(INDEX(_TECH_Initiative_Library!$D$5:$D$76,MATCH($A35,_TECH_Initiative_Library!$AU$5:$AU$76,0)),"")</f>
        <v/>
      </c>
      <c r="F35" s="87" t="str">
        <f ca="1">IFERROR(INDEX(_TECH_Initiative_Library!$AT$5:$AT$76,MATCH($A35,_TECH_Initiative_Library!$AU$5:$AU$76,0)),"")</f>
        <v/>
      </c>
      <c r="G35" s="91" t="str">
        <f ca="1">IFERROR(INDEX(_TECH_Initiative_Library!$AB$5:$AB$76,MATCH($A35,_TECH_Initiative_Library!$AU$5:$AU$76,0)),"")</f>
        <v/>
      </c>
      <c r="H35" s="91" t="str">
        <f ca="1">IFERROR(INDEX(_TECH_Initiative_Library!$Z$5:$Z$76,MATCH($A35,_TECH_Initiative_Library!$AU$5:$AU$76,0)),"")</f>
        <v/>
      </c>
      <c r="I35" s="91" t="str">
        <f ca="1">IFERROR(INDEX(_TECH_Initiative_Library!$AA$5:$AA$76,MATCH($A35,_TECH_Initiative_Library!$AU$5:$AU$76,0)),"")</f>
        <v/>
      </c>
      <c r="J35" s="91" t="str">
        <f ca="1">IFERROR(INDEX(_TECH_Initiative_Library!$AE$5:$AE$76,MATCH($A35,_TECH_Initiative_Library!$AU$5:$AU$76,0)),"")</f>
        <v/>
      </c>
      <c r="K35" s="91" t="str">
        <f ca="1">IFERROR(INDEX(_TECH_Initiative_Library!$AF$5:$AF$76,MATCH($A35,_TECH_Initiative_Library!$AU$5:$AU$76,0)),"")</f>
        <v/>
      </c>
      <c r="L35" s="91" t="str">
        <f ca="1">IFERROR(INDEX(_TECH_Initiative_Library!$AO$5:$AO$76,MATCH($A35,_TECH_Initiative_Library!$AU$5:$AU$76,0)),"Not started")</f>
        <v>Not started</v>
      </c>
      <c r="M35" s="91" t="str">
        <f t="shared" ca="1" si="3"/>
        <v/>
      </c>
      <c r="N35" s="98" t="str">
        <f ca="1">IF($B35="","",IF($J35="0-90 days",$B$4,IF($J35="3-6 months",EDATE($B$4,3),IF($J35="6-12 months",EDATE($B$4,6),EDATE($B$4,12))))+(COUNTIF($J$14:$J35,$J35)-1)*14)</f>
        <v/>
      </c>
      <c r="O35" s="98" t="str">
        <f t="shared" ca="1" si="4"/>
        <v/>
      </c>
      <c r="P35" s="91" t="str">
        <f t="shared" ca="1" si="5"/>
        <v/>
      </c>
      <c r="Q35" s="48" t="str">
        <f ca="1">IFERROR(INDEX(_TECH_Initiative_Library!$AH$5:$AH$76,MATCH($A35,_TECH_Initiative_Library!$AU$5:$AU$76,0)),"")</f>
        <v/>
      </c>
      <c r="R35" s="48" t="str">
        <f ca="1">IFERROR(INDEX(_TECH_Initiative_Library!$AI$5:$AI$76,MATCH($A35,_TECH_Initiative_Library!$AU$5:$AU$76,0)),"")</f>
        <v/>
      </c>
      <c r="S35" s="91" t="str">
        <f t="shared" ca="1" si="10"/>
        <v/>
      </c>
      <c r="T35" s="91" t="str">
        <f t="shared" ca="1" si="10"/>
        <v/>
      </c>
      <c r="U35" s="91" t="str">
        <f t="shared" ca="1" si="10"/>
        <v/>
      </c>
      <c r="V35" s="91" t="str">
        <f t="shared" ca="1" si="10"/>
        <v/>
      </c>
      <c r="W35" s="91" t="str">
        <f t="shared" ca="1" si="10"/>
        <v/>
      </c>
      <c r="X35" s="91" t="str">
        <f t="shared" ca="1" si="10"/>
        <v/>
      </c>
      <c r="Y35" s="91" t="str">
        <f t="shared" ca="1" si="10"/>
        <v/>
      </c>
      <c r="Z35" s="91" t="str">
        <f t="shared" ca="1" si="10"/>
        <v/>
      </c>
      <c r="AA35" s="91" t="str">
        <f t="shared" ca="1" si="10"/>
        <v/>
      </c>
      <c r="AB35" s="91" t="str">
        <f t="shared" ca="1" si="10"/>
        <v/>
      </c>
      <c r="AC35" s="91" t="str">
        <f t="shared" ca="1" si="11"/>
        <v/>
      </c>
      <c r="AD35" s="91" t="str">
        <f t="shared" ca="1" si="11"/>
        <v/>
      </c>
      <c r="AE35" s="91" t="str">
        <f t="shared" ca="1" si="11"/>
        <v/>
      </c>
      <c r="AF35" s="91" t="str">
        <f t="shared" ca="1" si="11"/>
        <v/>
      </c>
      <c r="AG35" s="91" t="str">
        <f t="shared" ca="1" si="11"/>
        <v/>
      </c>
      <c r="AH35" s="91" t="str">
        <f t="shared" ca="1" si="11"/>
        <v/>
      </c>
      <c r="AI35" s="91" t="str">
        <f t="shared" ca="1" si="11"/>
        <v/>
      </c>
      <c r="AJ35" s="91" t="str">
        <f t="shared" ca="1" si="11"/>
        <v/>
      </c>
    </row>
    <row r="36" spans="1:36" ht="30" customHeight="1">
      <c r="A36" s="91">
        <v>23</v>
      </c>
      <c r="B36" s="91" t="str">
        <f ca="1">IFERROR(INDEX(_TECH_Initiative_Library!$A$5:$A$76,MATCH($A36,_TECH_Initiative_Library!$AU$5:$AU$76,0)),"")</f>
        <v/>
      </c>
      <c r="C36" s="48" t="str">
        <f ca="1">IFERROR(INDEX(_TECH_Initiative_Library!$F$5:$F$76,MATCH($A36,_TECH_Initiative_Library!$AU$5:$AU$76,0)),"")</f>
        <v/>
      </c>
      <c r="D36" s="91" t="str">
        <f ca="1">IFERROR(INDEX(_TECH_Initiative_Library!$B$5:$B$76,MATCH($A36,_TECH_Initiative_Library!$AU$5:$AU$76,0)),"")</f>
        <v/>
      </c>
      <c r="E36" s="48" t="str">
        <f ca="1">IFERROR(INDEX(_TECH_Initiative_Library!$D$5:$D$76,MATCH($A36,_TECH_Initiative_Library!$AU$5:$AU$76,0)),"")</f>
        <v/>
      </c>
      <c r="F36" s="87" t="str">
        <f ca="1">IFERROR(INDEX(_TECH_Initiative_Library!$AT$5:$AT$76,MATCH($A36,_TECH_Initiative_Library!$AU$5:$AU$76,0)),"")</f>
        <v/>
      </c>
      <c r="G36" s="91" t="str">
        <f ca="1">IFERROR(INDEX(_TECH_Initiative_Library!$AB$5:$AB$76,MATCH($A36,_TECH_Initiative_Library!$AU$5:$AU$76,0)),"")</f>
        <v/>
      </c>
      <c r="H36" s="91" t="str">
        <f ca="1">IFERROR(INDEX(_TECH_Initiative_Library!$Z$5:$Z$76,MATCH($A36,_TECH_Initiative_Library!$AU$5:$AU$76,0)),"")</f>
        <v/>
      </c>
      <c r="I36" s="91" t="str">
        <f ca="1">IFERROR(INDEX(_TECH_Initiative_Library!$AA$5:$AA$76,MATCH($A36,_TECH_Initiative_Library!$AU$5:$AU$76,0)),"")</f>
        <v/>
      </c>
      <c r="J36" s="91" t="str">
        <f ca="1">IFERROR(INDEX(_TECH_Initiative_Library!$AE$5:$AE$76,MATCH($A36,_TECH_Initiative_Library!$AU$5:$AU$76,0)),"")</f>
        <v/>
      </c>
      <c r="K36" s="91" t="str">
        <f ca="1">IFERROR(INDEX(_TECH_Initiative_Library!$AF$5:$AF$76,MATCH($A36,_TECH_Initiative_Library!$AU$5:$AU$76,0)),"")</f>
        <v/>
      </c>
      <c r="L36" s="91" t="str">
        <f ca="1">IFERROR(INDEX(_TECH_Initiative_Library!$AO$5:$AO$76,MATCH($A36,_TECH_Initiative_Library!$AU$5:$AU$76,0)),"Not started")</f>
        <v>Not started</v>
      </c>
      <c r="M36" s="91" t="str">
        <f t="shared" ca="1" si="3"/>
        <v/>
      </c>
      <c r="N36" s="98" t="str">
        <f ca="1">IF($B36="","",IF($J36="0-90 days",$B$4,IF($J36="3-6 months",EDATE($B$4,3),IF($J36="6-12 months",EDATE($B$4,6),EDATE($B$4,12))))+(COUNTIF($J$14:$J36,$J36)-1)*14)</f>
        <v/>
      </c>
      <c r="O36" s="98" t="str">
        <f t="shared" ca="1" si="4"/>
        <v/>
      </c>
      <c r="P36" s="91" t="str">
        <f t="shared" ca="1" si="5"/>
        <v/>
      </c>
      <c r="Q36" s="48" t="str">
        <f ca="1">IFERROR(INDEX(_TECH_Initiative_Library!$AH$5:$AH$76,MATCH($A36,_TECH_Initiative_Library!$AU$5:$AU$76,0)),"")</f>
        <v/>
      </c>
      <c r="R36" s="48" t="str">
        <f ca="1">IFERROR(INDEX(_TECH_Initiative_Library!$AI$5:$AI$76,MATCH($A36,_TECH_Initiative_Library!$AU$5:$AU$76,0)),"")</f>
        <v/>
      </c>
      <c r="S36" s="91" t="str">
        <f t="shared" ca="1" si="10"/>
        <v/>
      </c>
      <c r="T36" s="91" t="str">
        <f t="shared" ca="1" si="10"/>
        <v/>
      </c>
      <c r="U36" s="91" t="str">
        <f t="shared" ca="1" si="10"/>
        <v/>
      </c>
      <c r="V36" s="91" t="str">
        <f t="shared" ca="1" si="10"/>
        <v/>
      </c>
      <c r="W36" s="91" t="str">
        <f t="shared" ca="1" si="10"/>
        <v/>
      </c>
      <c r="X36" s="91" t="str">
        <f t="shared" ca="1" si="10"/>
        <v/>
      </c>
      <c r="Y36" s="91" t="str">
        <f t="shared" ca="1" si="10"/>
        <v/>
      </c>
      <c r="Z36" s="91" t="str">
        <f t="shared" ca="1" si="10"/>
        <v/>
      </c>
      <c r="AA36" s="91" t="str">
        <f t="shared" ca="1" si="10"/>
        <v/>
      </c>
      <c r="AB36" s="91" t="str">
        <f t="shared" ca="1" si="10"/>
        <v/>
      </c>
      <c r="AC36" s="91" t="str">
        <f t="shared" ca="1" si="11"/>
        <v/>
      </c>
      <c r="AD36" s="91" t="str">
        <f t="shared" ca="1" si="11"/>
        <v/>
      </c>
      <c r="AE36" s="91" t="str">
        <f t="shared" ca="1" si="11"/>
        <v/>
      </c>
      <c r="AF36" s="91" t="str">
        <f t="shared" ca="1" si="11"/>
        <v/>
      </c>
      <c r="AG36" s="91" t="str">
        <f t="shared" ca="1" si="11"/>
        <v/>
      </c>
      <c r="AH36" s="91" t="str">
        <f t="shared" ca="1" si="11"/>
        <v/>
      </c>
      <c r="AI36" s="91" t="str">
        <f t="shared" ca="1" si="11"/>
        <v/>
      </c>
      <c r="AJ36" s="91" t="str">
        <f t="shared" ca="1" si="11"/>
        <v/>
      </c>
    </row>
    <row r="37" spans="1:36" ht="30" customHeight="1">
      <c r="A37" s="91">
        <v>24</v>
      </c>
      <c r="B37" s="91" t="str">
        <f ca="1">IFERROR(INDEX(_TECH_Initiative_Library!$A$5:$A$76,MATCH($A37,_TECH_Initiative_Library!$AU$5:$AU$76,0)),"")</f>
        <v/>
      </c>
      <c r="C37" s="48" t="str">
        <f ca="1">IFERROR(INDEX(_TECH_Initiative_Library!$F$5:$F$76,MATCH($A37,_TECH_Initiative_Library!$AU$5:$AU$76,0)),"")</f>
        <v/>
      </c>
      <c r="D37" s="91" t="str">
        <f ca="1">IFERROR(INDEX(_TECH_Initiative_Library!$B$5:$B$76,MATCH($A37,_TECH_Initiative_Library!$AU$5:$AU$76,0)),"")</f>
        <v/>
      </c>
      <c r="E37" s="48" t="str">
        <f ca="1">IFERROR(INDEX(_TECH_Initiative_Library!$D$5:$D$76,MATCH($A37,_TECH_Initiative_Library!$AU$5:$AU$76,0)),"")</f>
        <v/>
      </c>
      <c r="F37" s="87" t="str">
        <f ca="1">IFERROR(INDEX(_TECH_Initiative_Library!$AT$5:$AT$76,MATCH($A37,_TECH_Initiative_Library!$AU$5:$AU$76,0)),"")</f>
        <v/>
      </c>
      <c r="G37" s="91" t="str">
        <f ca="1">IFERROR(INDEX(_TECH_Initiative_Library!$AB$5:$AB$76,MATCH($A37,_TECH_Initiative_Library!$AU$5:$AU$76,0)),"")</f>
        <v/>
      </c>
      <c r="H37" s="91" t="str">
        <f ca="1">IFERROR(INDEX(_TECH_Initiative_Library!$Z$5:$Z$76,MATCH($A37,_TECH_Initiative_Library!$AU$5:$AU$76,0)),"")</f>
        <v/>
      </c>
      <c r="I37" s="91" t="str">
        <f ca="1">IFERROR(INDEX(_TECH_Initiative_Library!$AA$5:$AA$76,MATCH($A37,_TECH_Initiative_Library!$AU$5:$AU$76,0)),"")</f>
        <v/>
      </c>
      <c r="J37" s="91" t="str">
        <f ca="1">IFERROR(INDEX(_TECH_Initiative_Library!$AE$5:$AE$76,MATCH($A37,_TECH_Initiative_Library!$AU$5:$AU$76,0)),"")</f>
        <v/>
      </c>
      <c r="K37" s="91" t="str">
        <f ca="1">IFERROR(INDEX(_TECH_Initiative_Library!$AF$5:$AF$76,MATCH($A37,_TECH_Initiative_Library!$AU$5:$AU$76,0)),"")</f>
        <v/>
      </c>
      <c r="L37" s="91" t="str">
        <f ca="1">IFERROR(INDEX(_TECH_Initiative_Library!$AO$5:$AO$76,MATCH($A37,_TECH_Initiative_Library!$AU$5:$AU$76,0)),"Not started")</f>
        <v>Not started</v>
      </c>
      <c r="M37" s="91" t="str">
        <f t="shared" ca="1" si="3"/>
        <v/>
      </c>
      <c r="N37" s="98" t="str">
        <f ca="1">IF($B37="","",IF($J37="0-90 days",$B$4,IF($J37="3-6 months",EDATE($B$4,3),IF($J37="6-12 months",EDATE($B$4,6),EDATE($B$4,12))))+(COUNTIF($J$14:$J37,$J37)-1)*14)</f>
        <v/>
      </c>
      <c r="O37" s="98" t="str">
        <f t="shared" ca="1" si="4"/>
        <v/>
      </c>
      <c r="P37" s="91" t="str">
        <f t="shared" ca="1" si="5"/>
        <v/>
      </c>
      <c r="Q37" s="48" t="str">
        <f ca="1">IFERROR(INDEX(_TECH_Initiative_Library!$AH$5:$AH$76,MATCH($A37,_TECH_Initiative_Library!$AU$5:$AU$76,0)),"")</f>
        <v/>
      </c>
      <c r="R37" s="48" t="str">
        <f ca="1">IFERROR(INDEX(_TECH_Initiative_Library!$AI$5:$AI$76,MATCH($A37,_TECH_Initiative_Library!$AU$5:$AU$76,0)),"")</f>
        <v/>
      </c>
      <c r="S37" s="91" t="str">
        <f t="shared" ca="1" si="10"/>
        <v/>
      </c>
      <c r="T37" s="91" t="str">
        <f t="shared" ca="1" si="10"/>
        <v/>
      </c>
      <c r="U37" s="91" t="str">
        <f t="shared" ca="1" si="10"/>
        <v/>
      </c>
      <c r="V37" s="91" t="str">
        <f t="shared" ca="1" si="10"/>
        <v/>
      </c>
      <c r="W37" s="91" t="str">
        <f t="shared" ca="1" si="10"/>
        <v/>
      </c>
      <c r="X37" s="91" t="str">
        <f t="shared" ca="1" si="10"/>
        <v/>
      </c>
      <c r="Y37" s="91" t="str">
        <f t="shared" ca="1" si="10"/>
        <v/>
      </c>
      <c r="Z37" s="91" t="str">
        <f t="shared" ca="1" si="10"/>
        <v/>
      </c>
      <c r="AA37" s="91" t="str">
        <f t="shared" ca="1" si="10"/>
        <v/>
      </c>
      <c r="AB37" s="91" t="str">
        <f t="shared" ca="1" si="10"/>
        <v/>
      </c>
      <c r="AC37" s="91" t="str">
        <f t="shared" ca="1" si="11"/>
        <v/>
      </c>
      <c r="AD37" s="91" t="str">
        <f t="shared" ca="1" si="11"/>
        <v/>
      </c>
      <c r="AE37" s="91" t="str">
        <f t="shared" ca="1" si="11"/>
        <v/>
      </c>
      <c r="AF37" s="91" t="str">
        <f t="shared" ca="1" si="11"/>
        <v/>
      </c>
      <c r="AG37" s="91" t="str">
        <f t="shared" ca="1" si="11"/>
        <v/>
      </c>
      <c r="AH37" s="91" t="str">
        <f t="shared" ca="1" si="11"/>
        <v/>
      </c>
      <c r="AI37" s="91" t="str">
        <f t="shared" ca="1" si="11"/>
        <v/>
      </c>
      <c r="AJ37" s="91" t="str">
        <f t="shared" ca="1" si="11"/>
        <v/>
      </c>
    </row>
    <row r="38" spans="1:36" ht="30" customHeight="1">
      <c r="A38" s="91">
        <v>25</v>
      </c>
      <c r="B38" s="91" t="str">
        <f ca="1">IFERROR(INDEX(_TECH_Initiative_Library!$A$5:$A$76,MATCH($A38,_TECH_Initiative_Library!$AU$5:$AU$76,0)),"")</f>
        <v/>
      </c>
      <c r="C38" s="48" t="str">
        <f ca="1">IFERROR(INDEX(_TECH_Initiative_Library!$F$5:$F$76,MATCH($A38,_TECH_Initiative_Library!$AU$5:$AU$76,0)),"")</f>
        <v/>
      </c>
      <c r="D38" s="91" t="str">
        <f ca="1">IFERROR(INDEX(_TECH_Initiative_Library!$B$5:$B$76,MATCH($A38,_TECH_Initiative_Library!$AU$5:$AU$76,0)),"")</f>
        <v/>
      </c>
      <c r="E38" s="48" t="str">
        <f ca="1">IFERROR(INDEX(_TECH_Initiative_Library!$D$5:$D$76,MATCH($A38,_TECH_Initiative_Library!$AU$5:$AU$76,0)),"")</f>
        <v/>
      </c>
      <c r="F38" s="87" t="str">
        <f ca="1">IFERROR(INDEX(_TECH_Initiative_Library!$AT$5:$AT$76,MATCH($A38,_TECH_Initiative_Library!$AU$5:$AU$76,0)),"")</f>
        <v/>
      </c>
      <c r="G38" s="91" t="str">
        <f ca="1">IFERROR(INDEX(_TECH_Initiative_Library!$AB$5:$AB$76,MATCH($A38,_TECH_Initiative_Library!$AU$5:$AU$76,0)),"")</f>
        <v/>
      </c>
      <c r="H38" s="91" t="str">
        <f ca="1">IFERROR(INDEX(_TECH_Initiative_Library!$Z$5:$Z$76,MATCH($A38,_TECH_Initiative_Library!$AU$5:$AU$76,0)),"")</f>
        <v/>
      </c>
      <c r="I38" s="91" t="str">
        <f ca="1">IFERROR(INDEX(_TECH_Initiative_Library!$AA$5:$AA$76,MATCH($A38,_TECH_Initiative_Library!$AU$5:$AU$76,0)),"")</f>
        <v/>
      </c>
      <c r="J38" s="91" t="str">
        <f ca="1">IFERROR(INDEX(_TECH_Initiative_Library!$AE$5:$AE$76,MATCH($A38,_TECH_Initiative_Library!$AU$5:$AU$76,0)),"")</f>
        <v/>
      </c>
      <c r="K38" s="91" t="str">
        <f ca="1">IFERROR(INDEX(_TECH_Initiative_Library!$AF$5:$AF$76,MATCH($A38,_TECH_Initiative_Library!$AU$5:$AU$76,0)),"")</f>
        <v/>
      </c>
      <c r="L38" s="91" t="str">
        <f ca="1">IFERROR(INDEX(_TECH_Initiative_Library!$AO$5:$AO$76,MATCH($A38,_TECH_Initiative_Library!$AU$5:$AU$76,0)),"Not started")</f>
        <v>Not started</v>
      </c>
      <c r="M38" s="91" t="str">
        <f t="shared" ca="1" si="3"/>
        <v/>
      </c>
      <c r="N38" s="98" t="str">
        <f ca="1">IF($B38="","",IF($J38="0-90 days",$B$4,IF($J38="3-6 months",EDATE($B$4,3),IF($J38="6-12 months",EDATE($B$4,6),EDATE($B$4,12))))+(COUNTIF($J$14:$J38,$J38)-1)*14)</f>
        <v/>
      </c>
      <c r="O38" s="98" t="str">
        <f t="shared" ca="1" si="4"/>
        <v/>
      </c>
      <c r="P38" s="91" t="str">
        <f t="shared" ca="1" si="5"/>
        <v/>
      </c>
      <c r="Q38" s="48" t="str">
        <f ca="1">IFERROR(INDEX(_TECH_Initiative_Library!$AH$5:$AH$76,MATCH($A38,_TECH_Initiative_Library!$AU$5:$AU$76,0)),"")</f>
        <v/>
      </c>
      <c r="R38" s="48" t="str">
        <f ca="1">IFERROR(INDEX(_TECH_Initiative_Library!$AI$5:$AI$76,MATCH($A38,_TECH_Initiative_Library!$AU$5:$AU$76,0)),"")</f>
        <v/>
      </c>
      <c r="S38" s="91" t="str">
        <f t="shared" ca="1" si="10"/>
        <v/>
      </c>
      <c r="T38" s="91" t="str">
        <f t="shared" ca="1" si="10"/>
        <v/>
      </c>
      <c r="U38" s="91" t="str">
        <f t="shared" ca="1" si="10"/>
        <v/>
      </c>
      <c r="V38" s="91" t="str">
        <f t="shared" ca="1" si="10"/>
        <v/>
      </c>
      <c r="W38" s="91" t="str">
        <f t="shared" ca="1" si="10"/>
        <v/>
      </c>
      <c r="X38" s="91" t="str">
        <f t="shared" ca="1" si="10"/>
        <v/>
      </c>
      <c r="Y38" s="91" t="str">
        <f t="shared" ca="1" si="10"/>
        <v/>
      </c>
      <c r="Z38" s="91" t="str">
        <f t="shared" ca="1" si="10"/>
        <v/>
      </c>
      <c r="AA38" s="91" t="str">
        <f t="shared" ca="1" si="10"/>
        <v/>
      </c>
      <c r="AB38" s="91" t="str">
        <f t="shared" ca="1" si="10"/>
        <v/>
      </c>
      <c r="AC38" s="91" t="str">
        <f t="shared" ca="1" si="11"/>
        <v/>
      </c>
      <c r="AD38" s="91" t="str">
        <f t="shared" ca="1" si="11"/>
        <v/>
      </c>
      <c r="AE38" s="91" t="str">
        <f t="shared" ca="1" si="11"/>
        <v/>
      </c>
      <c r="AF38" s="91" t="str">
        <f t="shared" ca="1" si="11"/>
        <v/>
      </c>
      <c r="AG38" s="91" t="str">
        <f t="shared" ca="1" si="11"/>
        <v/>
      </c>
      <c r="AH38" s="91" t="str">
        <f t="shared" ca="1" si="11"/>
        <v/>
      </c>
      <c r="AI38" s="91" t="str">
        <f t="shared" ca="1" si="11"/>
        <v/>
      </c>
      <c r="AJ38" s="91" t="str">
        <f t="shared" ca="1" si="11"/>
        <v/>
      </c>
    </row>
    <row r="39" spans="1:36" ht="30" customHeight="1">
      <c r="A39" s="91">
        <v>26</v>
      </c>
      <c r="B39" s="91" t="str">
        <f ca="1">IFERROR(INDEX(_TECH_Initiative_Library!$A$5:$A$76,MATCH($A39,_TECH_Initiative_Library!$AU$5:$AU$76,0)),"")</f>
        <v/>
      </c>
      <c r="C39" s="48" t="str">
        <f ca="1">IFERROR(INDEX(_TECH_Initiative_Library!$F$5:$F$76,MATCH($A39,_TECH_Initiative_Library!$AU$5:$AU$76,0)),"")</f>
        <v/>
      </c>
      <c r="D39" s="91" t="str">
        <f ca="1">IFERROR(INDEX(_TECH_Initiative_Library!$B$5:$B$76,MATCH($A39,_TECH_Initiative_Library!$AU$5:$AU$76,0)),"")</f>
        <v/>
      </c>
      <c r="E39" s="48" t="str">
        <f ca="1">IFERROR(INDEX(_TECH_Initiative_Library!$D$5:$D$76,MATCH($A39,_TECH_Initiative_Library!$AU$5:$AU$76,0)),"")</f>
        <v/>
      </c>
      <c r="F39" s="87" t="str">
        <f ca="1">IFERROR(INDEX(_TECH_Initiative_Library!$AT$5:$AT$76,MATCH($A39,_TECH_Initiative_Library!$AU$5:$AU$76,0)),"")</f>
        <v/>
      </c>
      <c r="G39" s="91" t="str">
        <f ca="1">IFERROR(INDEX(_TECH_Initiative_Library!$AB$5:$AB$76,MATCH($A39,_TECH_Initiative_Library!$AU$5:$AU$76,0)),"")</f>
        <v/>
      </c>
      <c r="H39" s="91" t="str">
        <f ca="1">IFERROR(INDEX(_TECH_Initiative_Library!$Z$5:$Z$76,MATCH($A39,_TECH_Initiative_Library!$AU$5:$AU$76,0)),"")</f>
        <v/>
      </c>
      <c r="I39" s="91" t="str">
        <f ca="1">IFERROR(INDEX(_TECH_Initiative_Library!$AA$5:$AA$76,MATCH($A39,_TECH_Initiative_Library!$AU$5:$AU$76,0)),"")</f>
        <v/>
      </c>
      <c r="J39" s="91" t="str">
        <f ca="1">IFERROR(INDEX(_TECH_Initiative_Library!$AE$5:$AE$76,MATCH($A39,_TECH_Initiative_Library!$AU$5:$AU$76,0)),"")</f>
        <v/>
      </c>
      <c r="K39" s="91" t="str">
        <f ca="1">IFERROR(INDEX(_TECH_Initiative_Library!$AF$5:$AF$76,MATCH($A39,_TECH_Initiative_Library!$AU$5:$AU$76,0)),"")</f>
        <v/>
      </c>
      <c r="L39" s="91" t="str">
        <f ca="1">IFERROR(INDEX(_TECH_Initiative_Library!$AO$5:$AO$76,MATCH($A39,_TECH_Initiative_Library!$AU$5:$AU$76,0)),"Not started")</f>
        <v>Not started</v>
      </c>
      <c r="M39" s="91" t="str">
        <f t="shared" ca="1" si="3"/>
        <v/>
      </c>
      <c r="N39" s="98" t="str">
        <f ca="1">IF($B39="","",IF($J39="0-90 days",$B$4,IF($J39="3-6 months",EDATE($B$4,3),IF($J39="6-12 months",EDATE($B$4,6),EDATE($B$4,12))))+(COUNTIF($J$14:$J39,$J39)-1)*14)</f>
        <v/>
      </c>
      <c r="O39" s="98" t="str">
        <f t="shared" ca="1" si="4"/>
        <v/>
      </c>
      <c r="P39" s="91" t="str">
        <f t="shared" ca="1" si="5"/>
        <v/>
      </c>
      <c r="Q39" s="48" t="str">
        <f ca="1">IFERROR(INDEX(_TECH_Initiative_Library!$AH$5:$AH$76,MATCH($A39,_TECH_Initiative_Library!$AU$5:$AU$76,0)),"")</f>
        <v/>
      </c>
      <c r="R39" s="48" t="str">
        <f ca="1">IFERROR(INDEX(_TECH_Initiative_Library!$AI$5:$AI$76,MATCH($A39,_TECH_Initiative_Library!$AU$5:$AU$76,0)),"")</f>
        <v/>
      </c>
      <c r="S39" s="91" t="str">
        <f t="shared" ca="1" si="10"/>
        <v/>
      </c>
      <c r="T39" s="91" t="str">
        <f t="shared" ca="1" si="10"/>
        <v/>
      </c>
      <c r="U39" s="91" t="str">
        <f t="shared" ca="1" si="10"/>
        <v/>
      </c>
      <c r="V39" s="91" t="str">
        <f t="shared" ca="1" si="10"/>
        <v/>
      </c>
      <c r="W39" s="91" t="str">
        <f t="shared" ca="1" si="10"/>
        <v/>
      </c>
      <c r="X39" s="91" t="str">
        <f t="shared" ca="1" si="10"/>
        <v/>
      </c>
      <c r="Y39" s="91" t="str">
        <f t="shared" ca="1" si="10"/>
        <v/>
      </c>
      <c r="Z39" s="91" t="str">
        <f t="shared" ca="1" si="10"/>
        <v/>
      </c>
      <c r="AA39" s="91" t="str">
        <f t="shared" ca="1" si="10"/>
        <v/>
      </c>
      <c r="AB39" s="91" t="str">
        <f t="shared" ca="1" si="10"/>
        <v/>
      </c>
      <c r="AC39" s="91" t="str">
        <f t="shared" ca="1" si="11"/>
        <v/>
      </c>
      <c r="AD39" s="91" t="str">
        <f t="shared" ca="1" si="11"/>
        <v/>
      </c>
      <c r="AE39" s="91" t="str">
        <f t="shared" ca="1" si="11"/>
        <v/>
      </c>
      <c r="AF39" s="91" t="str">
        <f t="shared" ca="1" si="11"/>
        <v/>
      </c>
      <c r="AG39" s="91" t="str">
        <f t="shared" ca="1" si="11"/>
        <v/>
      </c>
      <c r="AH39" s="91" t="str">
        <f t="shared" ca="1" si="11"/>
        <v/>
      </c>
      <c r="AI39" s="91" t="str">
        <f t="shared" ca="1" si="11"/>
        <v/>
      </c>
      <c r="AJ39" s="91" t="str">
        <f t="shared" ca="1" si="11"/>
        <v/>
      </c>
    </row>
    <row r="40" spans="1:36" ht="30" customHeight="1">
      <c r="A40" s="91">
        <v>27</v>
      </c>
      <c r="B40" s="91" t="str">
        <f ca="1">IFERROR(INDEX(_TECH_Initiative_Library!$A$5:$A$76,MATCH($A40,_TECH_Initiative_Library!$AU$5:$AU$76,0)),"")</f>
        <v/>
      </c>
      <c r="C40" s="48" t="str">
        <f ca="1">IFERROR(INDEX(_TECH_Initiative_Library!$F$5:$F$76,MATCH($A40,_TECH_Initiative_Library!$AU$5:$AU$76,0)),"")</f>
        <v/>
      </c>
      <c r="D40" s="91" t="str">
        <f ca="1">IFERROR(INDEX(_TECH_Initiative_Library!$B$5:$B$76,MATCH($A40,_TECH_Initiative_Library!$AU$5:$AU$76,0)),"")</f>
        <v/>
      </c>
      <c r="E40" s="48" t="str">
        <f ca="1">IFERROR(INDEX(_TECH_Initiative_Library!$D$5:$D$76,MATCH($A40,_TECH_Initiative_Library!$AU$5:$AU$76,0)),"")</f>
        <v/>
      </c>
      <c r="F40" s="87" t="str">
        <f ca="1">IFERROR(INDEX(_TECH_Initiative_Library!$AT$5:$AT$76,MATCH($A40,_TECH_Initiative_Library!$AU$5:$AU$76,0)),"")</f>
        <v/>
      </c>
      <c r="G40" s="91" t="str">
        <f ca="1">IFERROR(INDEX(_TECH_Initiative_Library!$AB$5:$AB$76,MATCH($A40,_TECH_Initiative_Library!$AU$5:$AU$76,0)),"")</f>
        <v/>
      </c>
      <c r="H40" s="91" t="str">
        <f ca="1">IFERROR(INDEX(_TECH_Initiative_Library!$Z$5:$Z$76,MATCH($A40,_TECH_Initiative_Library!$AU$5:$AU$76,0)),"")</f>
        <v/>
      </c>
      <c r="I40" s="91" t="str">
        <f ca="1">IFERROR(INDEX(_TECH_Initiative_Library!$AA$5:$AA$76,MATCH($A40,_TECH_Initiative_Library!$AU$5:$AU$76,0)),"")</f>
        <v/>
      </c>
      <c r="J40" s="91" t="str">
        <f ca="1">IFERROR(INDEX(_TECH_Initiative_Library!$AE$5:$AE$76,MATCH($A40,_TECH_Initiative_Library!$AU$5:$AU$76,0)),"")</f>
        <v/>
      </c>
      <c r="K40" s="91" t="str">
        <f ca="1">IFERROR(INDEX(_TECH_Initiative_Library!$AF$5:$AF$76,MATCH($A40,_TECH_Initiative_Library!$AU$5:$AU$76,0)),"")</f>
        <v/>
      </c>
      <c r="L40" s="91" t="str">
        <f ca="1">IFERROR(INDEX(_TECH_Initiative_Library!$AO$5:$AO$76,MATCH($A40,_TECH_Initiative_Library!$AU$5:$AU$76,0)),"Not started")</f>
        <v>Not started</v>
      </c>
      <c r="M40" s="91" t="str">
        <f t="shared" ca="1" si="3"/>
        <v/>
      </c>
      <c r="N40" s="98" t="str">
        <f ca="1">IF($B40="","",IF($J40="0-90 days",$B$4,IF($J40="3-6 months",EDATE($B$4,3),IF($J40="6-12 months",EDATE($B$4,6),EDATE($B$4,12))))+(COUNTIF($J$14:$J40,$J40)-1)*14)</f>
        <v/>
      </c>
      <c r="O40" s="98" t="str">
        <f t="shared" ca="1" si="4"/>
        <v/>
      </c>
      <c r="P40" s="91" t="str">
        <f t="shared" ca="1" si="5"/>
        <v/>
      </c>
      <c r="Q40" s="48" t="str">
        <f ca="1">IFERROR(INDEX(_TECH_Initiative_Library!$AH$5:$AH$76,MATCH($A40,_TECH_Initiative_Library!$AU$5:$AU$76,0)),"")</f>
        <v/>
      </c>
      <c r="R40" s="48" t="str">
        <f ca="1">IFERROR(INDEX(_TECH_Initiative_Library!$AI$5:$AI$76,MATCH($A40,_TECH_Initiative_Library!$AU$5:$AU$76,0)),"")</f>
        <v/>
      </c>
      <c r="S40" s="91" t="str">
        <f t="shared" ca="1" si="10"/>
        <v/>
      </c>
      <c r="T40" s="91" t="str">
        <f t="shared" ca="1" si="10"/>
        <v/>
      </c>
      <c r="U40" s="91" t="str">
        <f t="shared" ca="1" si="10"/>
        <v/>
      </c>
      <c r="V40" s="91" t="str">
        <f t="shared" ca="1" si="10"/>
        <v/>
      </c>
      <c r="W40" s="91" t="str">
        <f t="shared" ca="1" si="10"/>
        <v/>
      </c>
      <c r="X40" s="91" t="str">
        <f t="shared" ca="1" si="10"/>
        <v/>
      </c>
      <c r="Y40" s="91" t="str">
        <f t="shared" ca="1" si="10"/>
        <v/>
      </c>
      <c r="Z40" s="91" t="str">
        <f t="shared" ca="1" si="10"/>
        <v/>
      </c>
      <c r="AA40" s="91" t="str">
        <f t="shared" ca="1" si="10"/>
        <v/>
      </c>
      <c r="AB40" s="91" t="str">
        <f t="shared" ca="1" si="10"/>
        <v/>
      </c>
      <c r="AC40" s="91" t="str">
        <f t="shared" ca="1" si="11"/>
        <v/>
      </c>
      <c r="AD40" s="91" t="str">
        <f t="shared" ca="1" si="11"/>
        <v/>
      </c>
      <c r="AE40" s="91" t="str">
        <f t="shared" ca="1" si="11"/>
        <v/>
      </c>
      <c r="AF40" s="91" t="str">
        <f t="shared" ca="1" si="11"/>
        <v/>
      </c>
      <c r="AG40" s="91" t="str">
        <f t="shared" ca="1" si="11"/>
        <v/>
      </c>
      <c r="AH40" s="91" t="str">
        <f t="shared" ca="1" si="11"/>
        <v/>
      </c>
      <c r="AI40" s="91" t="str">
        <f t="shared" ca="1" si="11"/>
        <v/>
      </c>
      <c r="AJ40" s="91" t="str">
        <f t="shared" ca="1" si="11"/>
        <v/>
      </c>
    </row>
    <row r="41" spans="1:36" ht="30" customHeight="1">
      <c r="A41" s="91">
        <v>28</v>
      </c>
      <c r="B41" s="91" t="str">
        <f ca="1">IFERROR(INDEX(_TECH_Initiative_Library!$A$5:$A$76,MATCH($A41,_TECH_Initiative_Library!$AU$5:$AU$76,0)),"")</f>
        <v/>
      </c>
      <c r="C41" s="48" t="str">
        <f ca="1">IFERROR(INDEX(_TECH_Initiative_Library!$F$5:$F$76,MATCH($A41,_TECH_Initiative_Library!$AU$5:$AU$76,0)),"")</f>
        <v/>
      </c>
      <c r="D41" s="91" t="str">
        <f ca="1">IFERROR(INDEX(_TECH_Initiative_Library!$B$5:$B$76,MATCH($A41,_TECH_Initiative_Library!$AU$5:$AU$76,0)),"")</f>
        <v/>
      </c>
      <c r="E41" s="48" t="str">
        <f ca="1">IFERROR(INDEX(_TECH_Initiative_Library!$D$5:$D$76,MATCH($A41,_TECH_Initiative_Library!$AU$5:$AU$76,0)),"")</f>
        <v/>
      </c>
      <c r="F41" s="87" t="str">
        <f ca="1">IFERROR(INDEX(_TECH_Initiative_Library!$AT$5:$AT$76,MATCH($A41,_TECH_Initiative_Library!$AU$5:$AU$76,0)),"")</f>
        <v/>
      </c>
      <c r="G41" s="91" t="str">
        <f ca="1">IFERROR(INDEX(_TECH_Initiative_Library!$AB$5:$AB$76,MATCH($A41,_TECH_Initiative_Library!$AU$5:$AU$76,0)),"")</f>
        <v/>
      </c>
      <c r="H41" s="91" t="str">
        <f ca="1">IFERROR(INDEX(_TECH_Initiative_Library!$Z$5:$Z$76,MATCH($A41,_TECH_Initiative_Library!$AU$5:$AU$76,0)),"")</f>
        <v/>
      </c>
      <c r="I41" s="91" t="str">
        <f ca="1">IFERROR(INDEX(_TECH_Initiative_Library!$AA$5:$AA$76,MATCH($A41,_TECH_Initiative_Library!$AU$5:$AU$76,0)),"")</f>
        <v/>
      </c>
      <c r="J41" s="91" t="str">
        <f ca="1">IFERROR(INDEX(_TECH_Initiative_Library!$AE$5:$AE$76,MATCH($A41,_TECH_Initiative_Library!$AU$5:$AU$76,0)),"")</f>
        <v/>
      </c>
      <c r="K41" s="91" t="str">
        <f ca="1">IFERROR(INDEX(_TECH_Initiative_Library!$AF$5:$AF$76,MATCH($A41,_TECH_Initiative_Library!$AU$5:$AU$76,0)),"")</f>
        <v/>
      </c>
      <c r="L41" s="91" t="str">
        <f ca="1">IFERROR(INDEX(_TECH_Initiative_Library!$AO$5:$AO$76,MATCH($A41,_TECH_Initiative_Library!$AU$5:$AU$76,0)),"Not started")</f>
        <v>Not started</v>
      </c>
      <c r="M41" s="91" t="str">
        <f t="shared" ca="1" si="3"/>
        <v/>
      </c>
      <c r="N41" s="98" t="str">
        <f ca="1">IF($B41="","",IF($J41="0-90 days",$B$4,IF($J41="3-6 months",EDATE($B$4,3),IF($J41="6-12 months",EDATE($B$4,6),EDATE($B$4,12))))+(COUNTIF($J$14:$J41,$J41)-1)*14)</f>
        <v/>
      </c>
      <c r="O41" s="98" t="str">
        <f t="shared" ca="1" si="4"/>
        <v/>
      </c>
      <c r="P41" s="91" t="str">
        <f t="shared" ca="1" si="5"/>
        <v/>
      </c>
      <c r="Q41" s="48" t="str">
        <f ca="1">IFERROR(INDEX(_TECH_Initiative_Library!$AH$5:$AH$76,MATCH($A41,_TECH_Initiative_Library!$AU$5:$AU$76,0)),"")</f>
        <v/>
      </c>
      <c r="R41" s="48" t="str">
        <f ca="1">IFERROR(INDEX(_TECH_Initiative_Library!$AI$5:$AI$76,MATCH($A41,_TECH_Initiative_Library!$AU$5:$AU$76,0)),"")</f>
        <v/>
      </c>
      <c r="S41" s="91" t="str">
        <f t="shared" ca="1" si="10"/>
        <v/>
      </c>
      <c r="T41" s="91" t="str">
        <f t="shared" ca="1" si="10"/>
        <v/>
      </c>
      <c r="U41" s="91" t="str">
        <f t="shared" ca="1" si="10"/>
        <v/>
      </c>
      <c r="V41" s="91" t="str">
        <f t="shared" ca="1" si="10"/>
        <v/>
      </c>
      <c r="W41" s="91" t="str">
        <f t="shared" ca="1" si="10"/>
        <v/>
      </c>
      <c r="X41" s="91" t="str">
        <f t="shared" ca="1" si="10"/>
        <v/>
      </c>
      <c r="Y41" s="91" t="str">
        <f t="shared" ca="1" si="10"/>
        <v/>
      </c>
      <c r="Z41" s="91" t="str">
        <f t="shared" ca="1" si="10"/>
        <v/>
      </c>
      <c r="AA41" s="91" t="str">
        <f t="shared" ca="1" si="10"/>
        <v/>
      </c>
      <c r="AB41" s="91" t="str">
        <f t="shared" ca="1" si="10"/>
        <v/>
      </c>
      <c r="AC41" s="91" t="str">
        <f t="shared" ca="1" si="11"/>
        <v/>
      </c>
      <c r="AD41" s="91" t="str">
        <f t="shared" ca="1" si="11"/>
        <v/>
      </c>
      <c r="AE41" s="91" t="str">
        <f t="shared" ca="1" si="11"/>
        <v/>
      </c>
      <c r="AF41" s="91" t="str">
        <f t="shared" ca="1" si="11"/>
        <v/>
      </c>
      <c r="AG41" s="91" t="str">
        <f t="shared" ca="1" si="11"/>
        <v/>
      </c>
      <c r="AH41" s="91" t="str">
        <f t="shared" ca="1" si="11"/>
        <v/>
      </c>
      <c r="AI41" s="91" t="str">
        <f t="shared" ca="1" si="11"/>
        <v/>
      </c>
      <c r="AJ41" s="91" t="str">
        <f t="shared" ca="1" si="11"/>
        <v/>
      </c>
    </row>
    <row r="42" spans="1:36" ht="30" customHeight="1">
      <c r="A42" s="91">
        <v>29</v>
      </c>
      <c r="B42" s="91" t="str">
        <f ca="1">IFERROR(INDEX(_TECH_Initiative_Library!$A$5:$A$76,MATCH($A42,_TECH_Initiative_Library!$AU$5:$AU$76,0)),"")</f>
        <v/>
      </c>
      <c r="C42" s="48" t="str">
        <f ca="1">IFERROR(INDEX(_TECH_Initiative_Library!$F$5:$F$76,MATCH($A42,_TECH_Initiative_Library!$AU$5:$AU$76,0)),"")</f>
        <v/>
      </c>
      <c r="D42" s="91" t="str">
        <f ca="1">IFERROR(INDEX(_TECH_Initiative_Library!$B$5:$B$76,MATCH($A42,_TECH_Initiative_Library!$AU$5:$AU$76,0)),"")</f>
        <v/>
      </c>
      <c r="E42" s="48" t="str">
        <f ca="1">IFERROR(INDEX(_TECH_Initiative_Library!$D$5:$D$76,MATCH($A42,_TECH_Initiative_Library!$AU$5:$AU$76,0)),"")</f>
        <v/>
      </c>
      <c r="F42" s="87" t="str">
        <f ca="1">IFERROR(INDEX(_TECH_Initiative_Library!$AT$5:$AT$76,MATCH($A42,_TECH_Initiative_Library!$AU$5:$AU$76,0)),"")</f>
        <v/>
      </c>
      <c r="G42" s="91" t="str">
        <f ca="1">IFERROR(INDEX(_TECH_Initiative_Library!$AB$5:$AB$76,MATCH($A42,_TECH_Initiative_Library!$AU$5:$AU$76,0)),"")</f>
        <v/>
      </c>
      <c r="H42" s="91" t="str">
        <f ca="1">IFERROR(INDEX(_TECH_Initiative_Library!$Z$5:$Z$76,MATCH($A42,_TECH_Initiative_Library!$AU$5:$AU$76,0)),"")</f>
        <v/>
      </c>
      <c r="I42" s="91" t="str">
        <f ca="1">IFERROR(INDEX(_TECH_Initiative_Library!$AA$5:$AA$76,MATCH($A42,_TECH_Initiative_Library!$AU$5:$AU$76,0)),"")</f>
        <v/>
      </c>
      <c r="J42" s="91" t="str">
        <f ca="1">IFERROR(INDEX(_TECH_Initiative_Library!$AE$5:$AE$76,MATCH($A42,_TECH_Initiative_Library!$AU$5:$AU$76,0)),"")</f>
        <v/>
      </c>
      <c r="K42" s="91" t="str">
        <f ca="1">IFERROR(INDEX(_TECH_Initiative_Library!$AF$5:$AF$76,MATCH($A42,_TECH_Initiative_Library!$AU$5:$AU$76,0)),"")</f>
        <v/>
      </c>
      <c r="L42" s="91" t="str">
        <f ca="1">IFERROR(INDEX(_TECH_Initiative_Library!$AO$5:$AO$76,MATCH($A42,_TECH_Initiative_Library!$AU$5:$AU$76,0)),"Not started")</f>
        <v>Not started</v>
      </c>
      <c r="M42" s="91" t="str">
        <f t="shared" ca="1" si="3"/>
        <v/>
      </c>
      <c r="N42" s="98" t="str">
        <f ca="1">IF($B42="","",IF($J42="0-90 days",$B$4,IF($J42="3-6 months",EDATE($B$4,3),IF($J42="6-12 months",EDATE($B$4,6),EDATE($B$4,12))))+(COUNTIF($J$14:$J42,$J42)-1)*14)</f>
        <v/>
      </c>
      <c r="O42" s="98" t="str">
        <f t="shared" ca="1" si="4"/>
        <v/>
      </c>
      <c r="P42" s="91" t="str">
        <f t="shared" ca="1" si="5"/>
        <v/>
      </c>
      <c r="Q42" s="48" t="str">
        <f ca="1">IFERROR(INDEX(_TECH_Initiative_Library!$AH$5:$AH$76,MATCH($A42,_TECH_Initiative_Library!$AU$5:$AU$76,0)),"")</f>
        <v/>
      </c>
      <c r="R42" s="48" t="str">
        <f ca="1">IFERROR(INDEX(_TECH_Initiative_Library!$AI$5:$AI$76,MATCH($A42,_TECH_Initiative_Library!$AU$5:$AU$76,0)),"")</f>
        <v/>
      </c>
      <c r="S42" s="91" t="str">
        <f t="shared" ca="1" si="10"/>
        <v/>
      </c>
      <c r="T42" s="91" t="str">
        <f t="shared" ca="1" si="10"/>
        <v/>
      </c>
      <c r="U42" s="91" t="str">
        <f t="shared" ca="1" si="10"/>
        <v/>
      </c>
      <c r="V42" s="91" t="str">
        <f t="shared" ca="1" si="10"/>
        <v/>
      </c>
      <c r="W42" s="91" t="str">
        <f t="shared" ca="1" si="10"/>
        <v/>
      </c>
      <c r="X42" s="91" t="str">
        <f t="shared" ca="1" si="10"/>
        <v/>
      </c>
      <c r="Y42" s="91" t="str">
        <f t="shared" ca="1" si="10"/>
        <v/>
      </c>
      <c r="Z42" s="91" t="str">
        <f t="shared" ca="1" si="10"/>
        <v/>
      </c>
      <c r="AA42" s="91" t="str">
        <f t="shared" ca="1" si="10"/>
        <v/>
      </c>
      <c r="AB42" s="91" t="str">
        <f t="shared" ca="1" si="10"/>
        <v/>
      </c>
      <c r="AC42" s="91" t="str">
        <f t="shared" ca="1" si="11"/>
        <v/>
      </c>
      <c r="AD42" s="91" t="str">
        <f t="shared" ca="1" si="11"/>
        <v/>
      </c>
      <c r="AE42" s="91" t="str">
        <f t="shared" ca="1" si="11"/>
        <v/>
      </c>
      <c r="AF42" s="91" t="str">
        <f t="shared" ca="1" si="11"/>
        <v/>
      </c>
      <c r="AG42" s="91" t="str">
        <f t="shared" ca="1" si="11"/>
        <v/>
      </c>
      <c r="AH42" s="91" t="str">
        <f t="shared" ca="1" si="11"/>
        <v/>
      </c>
      <c r="AI42" s="91" t="str">
        <f t="shared" ca="1" si="11"/>
        <v/>
      </c>
      <c r="AJ42" s="91" t="str">
        <f t="shared" ca="1" si="11"/>
        <v/>
      </c>
    </row>
    <row r="43" spans="1:36" ht="30" customHeight="1">
      <c r="A43" s="91">
        <v>30</v>
      </c>
      <c r="B43" s="91" t="str">
        <f ca="1">IFERROR(INDEX(_TECH_Initiative_Library!$A$5:$A$76,MATCH($A43,_TECH_Initiative_Library!$AU$5:$AU$76,0)),"")</f>
        <v/>
      </c>
      <c r="C43" s="48" t="str">
        <f ca="1">IFERROR(INDEX(_TECH_Initiative_Library!$F$5:$F$76,MATCH($A43,_TECH_Initiative_Library!$AU$5:$AU$76,0)),"")</f>
        <v/>
      </c>
      <c r="D43" s="91" t="str">
        <f ca="1">IFERROR(INDEX(_TECH_Initiative_Library!$B$5:$B$76,MATCH($A43,_TECH_Initiative_Library!$AU$5:$AU$76,0)),"")</f>
        <v/>
      </c>
      <c r="E43" s="48" t="str">
        <f ca="1">IFERROR(INDEX(_TECH_Initiative_Library!$D$5:$D$76,MATCH($A43,_TECH_Initiative_Library!$AU$5:$AU$76,0)),"")</f>
        <v/>
      </c>
      <c r="F43" s="87" t="str">
        <f ca="1">IFERROR(INDEX(_TECH_Initiative_Library!$AT$5:$AT$76,MATCH($A43,_TECH_Initiative_Library!$AU$5:$AU$76,0)),"")</f>
        <v/>
      </c>
      <c r="G43" s="91" t="str">
        <f ca="1">IFERROR(INDEX(_TECH_Initiative_Library!$AB$5:$AB$76,MATCH($A43,_TECH_Initiative_Library!$AU$5:$AU$76,0)),"")</f>
        <v/>
      </c>
      <c r="H43" s="91" t="str">
        <f ca="1">IFERROR(INDEX(_TECH_Initiative_Library!$Z$5:$Z$76,MATCH($A43,_TECH_Initiative_Library!$AU$5:$AU$76,0)),"")</f>
        <v/>
      </c>
      <c r="I43" s="91" t="str">
        <f ca="1">IFERROR(INDEX(_TECH_Initiative_Library!$AA$5:$AA$76,MATCH($A43,_TECH_Initiative_Library!$AU$5:$AU$76,0)),"")</f>
        <v/>
      </c>
      <c r="J43" s="91" t="str">
        <f ca="1">IFERROR(INDEX(_TECH_Initiative_Library!$AE$5:$AE$76,MATCH($A43,_TECH_Initiative_Library!$AU$5:$AU$76,0)),"")</f>
        <v/>
      </c>
      <c r="K43" s="91" t="str">
        <f ca="1">IFERROR(INDEX(_TECH_Initiative_Library!$AF$5:$AF$76,MATCH($A43,_TECH_Initiative_Library!$AU$5:$AU$76,0)),"")</f>
        <v/>
      </c>
      <c r="L43" s="91" t="str">
        <f ca="1">IFERROR(INDEX(_TECH_Initiative_Library!$AO$5:$AO$76,MATCH($A43,_TECH_Initiative_Library!$AU$5:$AU$76,0)),"Not started")</f>
        <v>Not started</v>
      </c>
      <c r="M43" s="91" t="str">
        <f t="shared" ca="1" si="3"/>
        <v/>
      </c>
      <c r="N43" s="98" t="str">
        <f ca="1">IF($B43="","",IF($J43="0-90 days",$B$4,IF($J43="3-6 months",EDATE($B$4,3),IF($J43="6-12 months",EDATE($B$4,6),EDATE($B$4,12))))+(COUNTIF($J$14:$J43,$J43)-1)*14)</f>
        <v/>
      </c>
      <c r="O43" s="98" t="str">
        <f t="shared" ca="1" si="4"/>
        <v/>
      </c>
      <c r="P43" s="91" t="str">
        <f t="shared" ca="1" si="5"/>
        <v/>
      </c>
      <c r="Q43" s="48" t="str">
        <f ca="1">IFERROR(INDEX(_TECH_Initiative_Library!$AH$5:$AH$76,MATCH($A43,_TECH_Initiative_Library!$AU$5:$AU$76,0)),"")</f>
        <v/>
      </c>
      <c r="R43" s="48" t="str">
        <f ca="1">IFERROR(INDEX(_TECH_Initiative_Library!$AI$5:$AI$76,MATCH($A43,_TECH_Initiative_Library!$AU$5:$AU$76,0)),"")</f>
        <v/>
      </c>
      <c r="S43" s="91" t="str">
        <f t="shared" ca="1" si="10"/>
        <v/>
      </c>
      <c r="T43" s="91" t="str">
        <f t="shared" ca="1" si="10"/>
        <v/>
      </c>
      <c r="U43" s="91" t="str">
        <f t="shared" ca="1" si="10"/>
        <v/>
      </c>
      <c r="V43" s="91" t="str">
        <f t="shared" ca="1" si="10"/>
        <v/>
      </c>
      <c r="W43" s="91" t="str">
        <f t="shared" ca="1" si="10"/>
        <v/>
      </c>
      <c r="X43" s="91" t="str">
        <f t="shared" ca="1" si="10"/>
        <v/>
      </c>
      <c r="Y43" s="91" t="str">
        <f t="shared" ca="1" si="10"/>
        <v/>
      </c>
      <c r="Z43" s="91" t="str">
        <f t="shared" ca="1" si="10"/>
        <v/>
      </c>
      <c r="AA43" s="91" t="str">
        <f t="shared" ca="1" si="10"/>
        <v/>
      </c>
      <c r="AB43" s="91" t="str">
        <f t="shared" ca="1" si="10"/>
        <v/>
      </c>
      <c r="AC43" s="91" t="str">
        <f t="shared" ca="1" si="11"/>
        <v/>
      </c>
      <c r="AD43" s="91" t="str">
        <f t="shared" ca="1" si="11"/>
        <v/>
      </c>
      <c r="AE43" s="91" t="str">
        <f t="shared" ca="1" si="11"/>
        <v/>
      </c>
      <c r="AF43" s="91" t="str">
        <f t="shared" ca="1" si="11"/>
        <v/>
      </c>
      <c r="AG43" s="91" t="str">
        <f t="shared" ca="1" si="11"/>
        <v/>
      </c>
      <c r="AH43" s="91" t="str">
        <f t="shared" ca="1" si="11"/>
        <v/>
      </c>
      <c r="AI43" s="91" t="str">
        <f t="shared" ca="1" si="11"/>
        <v/>
      </c>
      <c r="AJ43" s="91" t="str">
        <f t="shared" ca="1" si="11"/>
        <v/>
      </c>
    </row>
    <row r="44" spans="1:36" ht="30" customHeight="1">
      <c r="A44" s="91">
        <v>31</v>
      </c>
      <c r="B44" s="91" t="str">
        <f ca="1">IFERROR(INDEX(_TECH_Initiative_Library!$A$5:$A$76,MATCH($A44,_TECH_Initiative_Library!$AU$5:$AU$76,0)),"")</f>
        <v/>
      </c>
      <c r="C44" s="48" t="str">
        <f ca="1">IFERROR(INDEX(_TECH_Initiative_Library!$F$5:$F$76,MATCH($A44,_TECH_Initiative_Library!$AU$5:$AU$76,0)),"")</f>
        <v/>
      </c>
      <c r="D44" s="91" t="str">
        <f ca="1">IFERROR(INDEX(_TECH_Initiative_Library!$B$5:$B$76,MATCH($A44,_TECH_Initiative_Library!$AU$5:$AU$76,0)),"")</f>
        <v/>
      </c>
      <c r="E44" s="48" t="str">
        <f ca="1">IFERROR(INDEX(_TECH_Initiative_Library!$D$5:$D$76,MATCH($A44,_TECH_Initiative_Library!$AU$5:$AU$76,0)),"")</f>
        <v/>
      </c>
      <c r="F44" s="87" t="str">
        <f ca="1">IFERROR(INDEX(_TECH_Initiative_Library!$AT$5:$AT$76,MATCH($A44,_TECH_Initiative_Library!$AU$5:$AU$76,0)),"")</f>
        <v/>
      </c>
      <c r="G44" s="91" t="str">
        <f ca="1">IFERROR(INDEX(_TECH_Initiative_Library!$AB$5:$AB$76,MATCH($A44,_TECH_Initiative_Library!$AU$5:$AU$76,0)),"")</f>
        <v/>
      </c>
      <c r="H44" s="91" t="str">
        <f ca="1">IFERROR(INDEX(_TECH_Initiative_Library!$Z$5:$Z$76,MATCH($A44,_TECH_Initiative_Library!$AU$5:$AU$76,0)),"")</f>
        <v/>
      </c>
      <c r="I44" s="91" t="str">
        <f ca="1">IFERROR(INDEX(_TECH_Initiative_Library!$AA$5:$AA$76,MATCH($A44,_TECH_Initiative_Library!$AU$5:$AU$76,0)),"")</f>
        <v/>
      </c>
      <c r="J44" s="91" t="str">
        <f ca="1">IFERROR(INDEX(_TECH_Initiative_Library!$AE$5:$AE$76,MATCH($A44,_TECH_Initiative_Library!$AU$5:$AU$76,0)),"")</f>
        <v/>
      </c>
      <c r="K44" s="91" t="str">
        <f ca="1">IFERROR(INDEX(_TECH_Initiative_Library!$AF$5:$AF$76,MATCH($A44,_TECH_Initiative_Library!$AU$5:$AU$76,0)),"")</f>
        <v/>
      </c>
      <c r="L44" s="91" t="str">
        <f ca="1">IFERROR(INDEX(_TECH_Initiative_Library!$AO$5:$AO$76,MATCH($A44,_TECH_Initiative_Library!$AU$5:$AU$76,0)),"Not started")</f>
        <v>Not started</v>
      </c>
      <c r="M44" s="91" t="str">
        <f t="shared" ca="1" si="3"/>
        <v/>
      </c>
      <c r="N44" s="98" t="str">
        <f ca="1">IF($B44="","",IF($J44="0-90 days",$B$4,IF($J44="3-6 months",EDATE($B$4,3),IF($J44="6-12 months",EDATE($B$4,6),EDATE($B$4,12))))+(COUNTIF($J$14:$J44,$J44)-1)*14)</f>
        <v/>
      </c>
      <c r="O44" s="98" t="str">
        <f t="shared" ca="1" si="4"/>
        <v/>
      </c>
      <c r="P44" s="91" t="str">
        <f t="shared" ca="1" si="5"/>
        <v/>
      </c>
      <c r="Q44" s="48" t="str">
        <f ca="1">IFERROR(INDEX(_TECH_Initiative_Library!$AH$5:$AH$76,MATCH($A44,_TECH_Initiative_Library!$AU$5:$AU$76,0)),"")</f>
        <v/>
      </c>
      <c r="R44" s="48" t="str">
        <f ca="1">IFERROR(INDEX(_TECH_Initiative_Library!$AI$5:$AI$76,MATCH($A44,_TECH_Initiative_Library!$AU$5:$AU$76,0)),"")</f>
        <v/>
      </c>
      <c r="S44" s="91" t="str">
        <f t="shared" ref="S44:AB53" ca="1" si="12">IF(AND(S$13&gt;=$N44,S$13&lt;=$O44),"■","")</f>
        <v/>
      </c>
      <c r="T44" s="91" t="str">
        <f t="shared" ca="1" si="12"/>
        <v/>
      </c>
      <c r="U44" s="91" t="str">
        <f t="shared" ca="1" si="12"/>
        <v/>
      </c>
      <c r="V44" s="91" t="str">
        <f t="shared" ca="1" si="12"/>
        <v/>
      </c>
      <c r="W44" s="91" t="str">
        <f t="shared" ca="1" si="12"/>
        <v/>
      </c>
      <c r="X44" s="91" t="str">
        <f t="shared" ca="1" si="12"/>
        <v/>
      </c>
      <c r="Y44" s="91" t="str">
        <f t="shared" ca="1" si="12"/>
        <v/>
      </c>
      <c r="Z44" s="91" t="str">
        <f t="shared" ca="1" si="12"/>
        <v/>
      </c>
      <c r="AA44" s="91" t="str">
        <f t="shared" ca="1" si="12"/>
        <v/>
      </c>
      <c r="AB44" s="91" t="str">
        <f t="shared" ca="1" si="12"/>
        <v/>
      </c>
      <c r="AC44" s="91" t="str">
        <f t="shared" ref="AC44:AJ53" ca="1" si="13">IF(AND(AC$13&gt;=$N44,AC$13&lt;=$O44),"■","")</f>
        <v/>
      </c>
      <c r="AD44" s="91" t="str">
        <f t="shared" ca="1" si="13"/>
        <v/>
      </c>
      <c r="AE44" s="91" t="str">
        <f t="shared" ca="1" si="13"/>
        <v/>
      </c>
      <c r="AF44" s="91" t="str">
        <f t="shared" ca="1" si="13"/>
        <v/>
      </c>
      <c r="AG44" s="91" t="str">
        <f t="shared" ca="1" si="13"/>
        <v/>
      </c>
      <c r="AH44" s="91" t="str">
        <f t="shared" ca="1" si="13"/>
        <v/>
      </c>
      <c r="AI44" s="91" t="str">
        <f t="shared" ca="1" si="13"/>
        <v/>
      </c>
      <c r="AJ44" s="91" t="str">
        <f t="shared" ca="1" si="13"/>
        <v/>
      </c>
    </row>
    <row r="45" spans="1:36" ht="30" customHeight="1">
      <c r="A45" s="91">
        <v>32</v>
      </c>
      <c r="B45" s="91" t="str">
        <f ca="1">IFERROR(INDEX(_TECH_Initiative_Library!$A$5:$A$76,MATCH($A45,_TECH_Initiative_Library!$AU$5:$AU$76,0)),"")</f>
        <v/>
      </c>
      <c r="C45" s="48" t="str">
        <f ca="1">IFERROR(INDEX(_TECH_Initiative_Library!$F$5:$F$76,MATCH($A45,_TECH_Initiative_Library!$AU$5:$AU$76,0)),"")</f>
        <v/>
      </c>
      <c r="D45" s="91" t="str">
        <f ca="1">IFERROR(INDEX(_TECH_Initiative_Library!$B$5:$B$76,MATCH($A45,_TECH_Initiative_Library!$AU$5:$AU$76,0)),"")</f>
        <v/>
      </c>
      <c r="E45" s="48" t="str">
        <f ca="1">IFERROR(INDEX(_TECH_Initiative_Library!$D$5:$D$76,MATCH($A45,_TECH_Initiative_Library!$AU$5:$AU$76,0)),"")</f>
        <v/>
      </c>
      <c r="F45" s="87" t="str">
        <f ca="1">IFERROR(INDEX(_TECH_Initiative_Library!$AT$5:$AT$76,MATCH($A45,_TECH_Initiative_Library!$AU$5:$AU$76,0)),"")</f>
        <v/>
      </c>
      <c r="G45" s="91" t="str">
        <f ca="1">IFERROR(INDEX(_TECH_Initiative_Library!$AB$5:$AB$76,MATCH($A45,_TECH_Initiative_Library!$AU$5:$AU$76,0)),"")</f>
        <v/>
      </c>
      <c r="H45" s="91" t="str">
        <f ca="1">IFERROR(INDEX(_TECH_Initiative_Library!$Z$5:$Z$76,MATCH($A45,_TECH_Initiative_Library!$AU$5:$AU$76,0)),"")</f>
        <v/>
      </c>
      <c r="I45" s="91" t="str">
        <f ca="1">IFERROR(INDEX(_TECH_Initiative_Library!$AA$5:$AA$76,MATCH($A45,_TECH_Initiative_Library!$AU$5:$AU$76,0)),"")</f>
        <v/>
      </c>
      <c r="J45" s="91" t="str">
        <f ca="1">IFERROR(INDEX(_TECH_Initiative_Library!$AE$5:$AE$76,MATCH($A45,_TECH_Initiative_Library!$AU$5:$AU$76,0)),"")</f>
        <v/>
      </c>
      <c r="K45" s="91" t="str">
        <f ca="1">IFERROR(INDEX(_TECH_Initiative_Library!$AF$5:$AF$76,MATCH($A45,_TECH_Initiative_Library!$AU$5:$AU$76,0)),"")</f>
        <v/>
      </c>
      <c r="L45" s="91" t="str">
        <f ca="1">IFERROR(INDEX(_TECH_Initiative_Library!$AO$5:$AO$76,MATCH($A45,_TECH_Initiative_Library!$AU$5:$AU$76,0)),"Not started")</f>
        <v>Not started</v>
      </c>
      <c r="M45" s="91" t="str">
        <f t="shared" ca="1" si="3"/>
        <v/>
      </c>
      <c r="N45" s="98" t="str">
        <f ca="1">IF($B45="","",IF($J45="0-90 days",$B$4,IF($J45="3-6 months",EDATE($B$4,3),IF($J45="6-12 months",EDATE($B$4,6),EDATE($B$4,12))))+(COUNTIF($J$14:$J45,$J45)-1)*14)</f>
        <v/>
      </c>
      <c r="O45" s="98" t="str">
        <f t="shared" ca="1" si="4"/>
        <v/>
      </c>
      <c r="P45" s="91" t="str">
        <f t="shared" ca="1" si="5"/>
        <v/>
      </c>
      <c r="Q45" s="48" t="str">
        <f ca="1">IFERROR(INDEX(_TECH_Initiative_Library!$AH$5:$AH$76,MATCH($A45,_TECH_Initiative_Library!$AU$5:$AU$76,0)),"")</f>
        <v/>
      </c>
      <c r="R45" s="48" t="str">
        <f ca="1">IFERROR(INDEX(_TECH_Initiative_Library!$AI$5:$AI$76,MATCH($A45,_TECH_Initiative_Library!$AU$5:$AU$76,0)),"")</f>
        <v/>
      </c>
      <c r="S45" s="91" t="str">
        <f t="shared" ca="1" si="12"/>
        <v/>
      </c>
      <c r="T45" s="91" t="str">
        <f t="shared" ca="1" si="12"/>
        <v/>
      </c>
      <c r="U45" s="91" t="str">
        <f t="shared" ca="1" si="12"/>
        <v/>
      </c>
      <c r="V45" s="91" t="str">
        <f t="shared" ca="1" si="12"/>
        <v/>
      </c>
      <c r="W45" s="91" t="str">
        <f t="shared" ca="1" si="12"/>
        <v/>
      </c>
      <c r="X45" s="91" t="str">
        <f t="shared" ca="1" si="12"/>
        <v/>
      </c>
      <c r="Y45" s="91" t="str">
        <f t="shared" ca="1" si="12"/>
        <v/>
      </c>
      <c r="Z45" s="91" t="str">
        <f t="shared" ca="1" si="12"/>
        <v/>
      </c>
      <c r="AA45" s="91" t="str">
        <f t="shared" ca="1" si="12"/>
        <v/>
      </c>
      <c r="AB45" s="91" t="str">
        <f t="shared" ca="1" si="12"/>
        <v/>
      </c>
      <c r="AC45" s="91" t="str">
        <f t="shared" ca="1" si="13"/>
        <v/>
      </c>
      <c r="AD45" s="91" t="str">
        <f t="shared" ca="1" si="13"/>
        <v/>
      </c>
      <c r="AE45" s="91" t="str">
        <f t="shared" ca="1" si="13"/>
        <v/>
      </c>
      <c r="AF45" s="91" t="str">
        <f t="shared" ca="1" si="13"/>
        <v/>
      </c>
      <c r="AG45" s="91" t="str">
        <f t="shared" ca="1" si="13"/>
        <v/>
      </c>
      <c r="AH45" s="91" t="str">
        <f t="shared" ca="1" si="13"/>
        <v/>
      </c>
      <c r="AI45" s="91" t="str">
        <f t="shared" ca="1" si="13"/>
        <v/>
      </c>
      <c r="AJ45" s="91" t="str">
        <f t="shared" ca="1" si="13"/>
        <v/>
      </c>
    </row>
    <row r="46" spans="1:36" ht="30" customHeight="1">
      <c r="A46" s="91">
        <v>33</v>
      </c>
      <c r="B46" s="91" t="str">
        <f ca="1">IFERROR(INDEX(_TECH_Initiative_Library!$A$5:$A$76,MATCH($A46,_TECH_Initiative_Library!$AU$5:$AU$76,0)),"")</f>
        <v/>
      </c>
      <c r="C46" s="48" t="str">
        <f ca="1">IFERROR(INDEX(_TECH_Initiative_Library!$F$5:$F$76,MATCH($A46,_TECH_Initiative_Library!$AU$5:$AU$76,0)),"")</f>
        <v/>
      </c>
      <c r="D46" s="91" t="str">
        <f ca="1">IFERROR(INDEX(_TECH_Initiative_Library!$B$5:$B$76,MATCH($A46,_TECH_Initiative_Library!$AU$5:$AU$76,0)),"")</f>
        <v/>
      </c>
      <c r="E46" s="48" t="str">
        <f ca="1">IFERROR(INDEX(_TECH_Initiative_Library!$D$5:$D$76,MATCH($A46,_TECH_Initiative_Library!$AU$5:$AU$76,0)),"")</f>
        <v/>
      </c>
      <c r="F46" s="87" t="str">
        <f ca="1">IFERROR(INDEX(_TECH_Initiative_Library!$AT$5:$AT$76,MATCH($A46,_TECH_Initiative_Library!$AU$5:$AU$76,0)),"")</f>
        <v/>
      </c>
      <c r="G46" s="91" t="str">
        <f ca="1">IFERROR(INDEX(_TECH_Initiative_Library!$AB$5:$AB$76,MATCH($A46,_TECH_Initiative_Library!$AU$5:$AU$76,0)),"")</f>
        <v/>
      </c>
      <c r="H46" s="91" t="str">
        <f ca="1">IFERROR(INDEX(_TECH_Initiative_Library!$Z$5:$Z$76,MATCH($A46,_TECH_Initiative_Library!$AU$5:$AU$76,0)),"")</f>
        <v/>
      </c>
      <c r="I46" s="91" t="str">
        <f ca="1">IFERROR(INDEX(_TECH_Initiative_Library!$AA$5:$AA$76,MATCH($A46,_TECH_Initiative_Library!$AU$5:$AU$76,0)),"")</f>
        <v/>
      </c>
      <c r="J46" s="91" t="str">
        <f ca="1">IFERROR(INDEX(_TECH_Initiative_Library!$AE$5:$AE$76,MATCH($A46,_TECH_Initiative_Library!$AU$5:$AU$76,0)),"")</f>
        <v/>
      </c>
      <c r="K46" s="91" t="str">
        <f ca="1">IFERROR(INDEX(_TECH_Initiative_Library!$AF$5:$AF$76,MATCH($A46,_TECH_Initiative_Library!$AU$5:$AU$76,0)),"")</f>
        <v/>
      </c>
      <c r="L46" s="91" t="str">
        <f ca="1">IFERROR(INDEX(_TECH_Initiative_Library!$AO$5:$AO$76,MATCH($A46,_TECH_Initiative_Library!$AU$5:$AU$76,0)),"Not started")</f>
        <v>Not started</v>
      </c>
      <c r="M46" s="91" t="str">
        <f t="shared" ref="M46:M77" ca="1" si="14">IF($B46="","",IF(OR($F46&gt;=4,$H46&gt;=4,$G46&gt;=4),"Yes",""))</f>
        <v/>
      </c>
      <c r="N46" s="98" t="str">
        <f ca="1">IF($B46="","",IF($J46="0-90 days",$B$4,IF($J46="3-6 months",EDATE($B$4,3),IF($J46="6-12 months",EDATE($B$4,6),EDATE($B$4,12))))+(COUNTIF($J$14:$J46,$J46)-1)*14)</f>
        <v/>
      </c>
      <c r="O46" s="98" t="str">
        <f t="shared" ref="O46:O77" ca="1" si="15">IF($N46="","",$N46+($P46*7))</f>
        <v/>
      </c>
      <c r="P46" s="91" t="str">
        <f t="shared" ref="P46:P77" ca="1" si="16">IF($B46="","",IF($G46&lt;=2,6,IF($G46=3,10,IF($G46=4,16,24))))</f>
        <v/>
      </c>
      <c r="Q46" s="48" t="str">
        <f ca="1">IFERROR(INDEX(_TECH_Initiative_Library!$AH$5:$AH$76,MATCH($A46,_TECH_Initiative_Library!$AU$5:$AU$76,0)),"")</f>
        <v/>
      </c>
      <c r="R46" s="48" t="str">
        <f ca="1">IFERROR(INDEX(_TECH_Initiative_Library!$AI$5:$AI$76,MATCH($A46,_TECH_Initiative_Library!$AU$5:$AU$76,0)),"")</f>
        <v/>
      </c>
      <c r="S46" s="91" t="str">
        <f t="shared" ca="1" si="12"/>
        <v/>
      </c>
      <c r="T46" s="91" t="str">
        <f t="shared" ca="1" si="12"/>
        <v/>
      </c>
      <c r="U46" s="91" t="str">
        <f t="shared" ca="1" si="12"/>
        <v/>
      </c>
      <c r="V46" s="91" t="str">
        <f t="shared" ca="1" si="12"/>
        <v/>
      </c>
      <c r="W46" s="91" t="str">
        <f t="shared" ca="1" si="12"/>
        <v/>
      </c>
      <c r="X46" s="91" t="str">
        <f t="shared" ca="1" si="12"/>
        <v/>
      </c>
      <c r="Y46" s="91" t="str">
        <f t="shared" ca="1" si="12"/>
        <v/>
      </c>
      <c r="Z46" s="91" t="str">
        <f t="shared" ca="1" si="12"/>
        <v/>
      </c>
      <c r="AA46" s="91" t="str">
        <f t="shared" ca="1" si="12"/>
        <v/>
      </c>
      <c r="AB46" s="91" t="str">
        <f t="shared" ca="1" si="12"/>
        <v/>
      </c>
      <c r="AC46" s="91" t="str">
        <f t="shared" ca="1" si="13"/>
        <v/>
      </c>
      <c r="AD46" s="91" t="str">
        <f t="shared" ca="1" si="13"/>
        <v/>
      </c>
      <c r="AE46" s="91" t="str">
        <f t="shared" ca="1" si="13"/>
        <v/>
      </c>
      <c r="AF46" s="91" t="str">
        <f t="shared" ca="1" si="13"/>
        <v/>
      </c>
      <c r="AG46" s="91" t="str">
        <f t="shared" ca="1" si="13"/>
        <v/>
      </c>
      <c r="AH46" s="91" t="str">
        <f t="shared" ca="1" si="13"/>
        <v/>
      </c>
      <c r="AI46" s="91" t="str">
        <f t="shared" ca="1" si="13"/>
        <v/>
      </c>
      <c r="AJ46" s="91" t="str">
        <f t="shared" ca="1" si="13"/>
        <v/>
      </c>
    </row>
    <row r="47" spans="1:36" ht="30" customHeight="1">
      <c r="A47" s="91">
        <v>34</v>
      </c>
      <c r="B47" s="91" t="str">
        <f ca="1">IFERROR(INDEX(_TECH_Initiative_Library!$A$5:$A$76,MATCH($A47,_TECH_Initiative_Library!$AU$5:$AU$76,0)),"")</f>
        <v/>
      </c>
      <c r="C47" s="48" t="str">
        <f ca="1">IFERROR(INDEX(_TECH_Initiative_Library!$F$5:$F$76,MATCH($A47,_TECH_Initiative_Library!$AU$5:$AU$76,0)),"")</f>
        <v/>
      </c>
      <c r="D47" s="91" t="str">
        <f ca="1">IFERROR(INDEX(_TECH_Initiative_Library!$B$5:$B$76,MATCH($A47,_TECH_Initiative_Library!$AU$5:$AU$76,0)),"")</f>
        <v/>
      </c>
      <c r="E47" s="48" t="str">
        <f ca="1">IFERROR(INDEX(_TECH_Initiative_Library!$D$5:$D$76,MATCH($A47,_TECH_Initiative_Library!$AU$5:$AU$76,0)),"")</f>
        <v/>
      </c>
      <c r="F47" s="87" t="str">
        <f ca="1">IFERROR(INDEX(_TECH_Initiative_Library!$AT$5:$AT$76,MATCH($A47,_TECH_Initiative_Library!$AU$5:$AU$76,0)),"")</f>
        <v/>
      </c>
      <c r="G47" s="91" t="str">
        <f ca="1">IFERROR(INDEX(_TECH_Initiative_Library!$AB$5:$AB$76,MATCH($A47,_TECH_Initiative_Library!$AU$5:$AU$76,0)),"")</f>
        <v/>
      </c>
      <c r="H47" s="91" t="str">
        <f ca="1">IFERROR(INDEX(_TECH_Initiative_Library!$Z$5:$Z$76,MATCH($A47,_TECH_Initiative_Library!$AU$5:$AU$76,0)),"")</f>
        <v/>
      </c>
      <c r="I47" s="91" t="str">
        <f ca="1">IFERROR(INDEX(_TECH_Initiative_Library!$AA$5:$AA$76,MATCH($A47,_TECH_Initiative_Library!$AU$5:$AU$76,0)),"")</f>
        <v/>
      </c>
      <c r="J47" s="91" t="str">
        <f ca="1">IFERROR(INDEX(_TECH_Initiative_Library!$AE$5:$AE$76,MATCH($A47,_TECH_Initiative_Library!$AU$5:$AU$76,0)),"")</f>
        <v/>
      </c>
      <c r="K47" s="91" t="str">
        <f ca="1">IFERROR(INDEX(_TECH_Initiative_Library!$AF$5:$AF$76,MATCH($A47,_TECH_Initiative_Library!$AU$5:$AU$76,0)),"")</f>
        <v/>
      </c>
      <c r="L47" s="91" t="str">
        <f ca="1">IFERROR(INDEX(_TECH_Initiative_Library!$AO$5:$AO$76,MATCH($A47,_TECH_Initiative_Library!$AU$5:$AU$76,0)),"Not started")</f>
        <v>Not started</v>
      </c>
      <c r="M47" s="91" t="str">
        <f t="shared" ca="1" si="14"/>
        <v/>
      </c>
      <c r="N47" s="98" t="str">
        <f ca="1">IF($B47="","",IF($J47="0-90 days",$B$4,IF($J47="3-6 months",EDATE($B$4,3),IF($J47="6-12 months",EDATE($B$4,6),EDATE($B$4,12))))+(COUNTIF($J$14:$J47,$J47)-1)*14)</f>
        <v/>
      </c>
      <c r="O47" s="98" t="str">
        <f t="shared" ca="1" si="15"/>
        <v/>
      </c>
      <c r="P47" s="91" t="str">
        <f t="shared" ca="1" si="16"/>
        <v/>
      </c>
      <c r="Q47" s="48" t="str">
        <f ca="1">IFERROR(INDEX(_TECH_Initiative_Library!$AH$5:$AH$76,MATCH($A47,_TECH_Initiative_Library!$AU$5:$AU$76,0)),"")</f>
        <v/>
      </c>
      <c r="R47" s="48" t="str">
        <f ca="1">IFERROR(INDEX(_TECH_Initiative_Library!$AI$5:$AI$76,MATCH($A47,_TECH_Initiative_Library!$AU$5:$AU$76,0)),"")</f>
        <v/>
      </c>
      <c r="S47" s="91" t="str">
        <f t="shared" ca="1" si="12"/>
        <v/>
      </c>
      <c r="T47" s="91" t="str">
        <f t="shared" ca="1" si="12"/>
        <v/>
      </c>
      <c r="U47" s="91" t="str">
        <f t="shared" ca="1" si="12"/>
        <v/>
      </c>
      <c r="V47" s="91" t="str">
        <f t="shared" ca="1" si="12"/>
        <v/>
      </c>
      <c r="W47" s="91" t="str">
        <f t="shared" ca="1" si="12"/>
        <v/>
      </c>
      <c r="X47" s="91" t="str">
        <f t="shared" ca="1" si="12"/>
        <v/>
      </c>
      <c r="Y47" s="91" t="str">
        <f t="shared" ca="1" si="12"/>
        <v/>
      </c>
      <c r="Z47" s="91" t="str">
        <f t="shared" ca="1" si="12"/>
        <v/>
      </c>
      <c r="AA47" s="91" t="str">
        <f t="shared" ca="1" si="12"/>
        <v/>
      </c>
      <c r="AB47" s="91" t="str">
        <f t="shared" ca="1" si="12"/>
        <v/>
      </c>
      <c r="AC47" s="91" t="str">
        <f t="shared" ca="1" si="13"/>
        <v/>
      </c>
      <c r="AD47" s="91" t="str">
        <f t="shared" ca="1" si="13"/>
        <v/>
      </c>
      <c r="AE47" s="91" t="str">
        <f t="shared" ca="1" si="13"/>
        <v/>
      </c>
      <c r="AF47" s="91" t="str">
        <f t="shared" ca="1" si="13"/>
        <v/>
      </c>
      <c r="AG47" s="91" t="str">
        <f t="shared" ca="1" si="13"/>
        <v/>
      </c>
      <c r="AH47" s="91" t="str">
        <f t="shared" ca="1" si="13"/>
        <v/>
      </c>
      <c r="AI47" s="91" t="str">
        <f t="shared" ca="1" si="13"/>
        <v/>
      </c>
      <c r="AJ47" s="91" t="str">
        <f t="shared" ca="1" si="13"/>
        <v/>
      </c>
    </row>
    <row r="48" spans="1:36" ht="30" customHeight="1">
      <c r="A48" s="91">
        <v>35</v>
      </c>
      <c r="B48" s="91" t="str">
        <f ca="1">IFERROR(INDEX(_TECH_Initiative_Library!$A$5:$A$76,MATCH($A48,_TECH_Initiative_Library!$AU$5:$AU$76,0)),"")</f>
        <v/>
      </c>
      <c r="C48" s="48" t="str">
        <f ca="1">IFERROR(INDEX(_TECH_Initiative_Library!$F$5:$F$76,MATCH($A48,_TECH_Initiative_Library!$AU$5:$AU$76,0)),"")</f>
        <v/>
      </c>
      <c r="D48" s="91" t="str">
        <f ca="1">IFERROR(INDEX(_TECH_Initiative_Library!$B$5:$B$76,MATCH($A48,_TECH_Initiative_Library!$AU$5:$AU$76,0)),"")</f>
        <v/>
      </c>
      <c r="E48" s="48" t="str">
        <f ca="1">IFERROR(INDEX(_TECH_Initiative_Library!$D$5:$D$76,MATCH($A48,_TECH_Initiative_Library!$AU$5:$AU$76,0)),"")</f>
        <v/>
      </c>
      <c r="F48" s="87" t="str">
        <f ca="1">IFERROR(INDEX(_TECH_Initiative_Library!$AT$5:$AT$76,MATCH($A48,_TECH_Initiative_Library!$AU$5:$AU$76,0)),"")</f>
        <v/>
      </c>
      <c r="G48" s="91" t="str">
        <f ca="1">IFERROR(INDEX(_TECH_Initiative_Library!$AB$5:$AB$76,MATCH($A48,_TECH_Initiative_Library!$AU$5:$AU$76,0)),"")</f>
        <v/>
      </c>
      <c r="H48" s="91" t="str">
        <f ca="1">IFERROR(INDEX(_TECH_Initiative_Library!$Z$5:$Z$76,MATCH($A48,_TECH_Initiative_Library!$AU$5:$AU$76,0)),"")</f>
        <v/>
      </c>
      <c r="I48" s="91" t="str">
        <f ca="1">IFERROR(INDEX(_TECH_Initiative_Library!$AA$5:$AA$76,MATCH($A48,_TECH_Initiative_Library!$AU$5:$AU$76,0)),"")</f>
        <v/>
      </c>
      <c r="J48" s="91" t="str">
        <f ca="1">IFERROR(INDEX(_TECH_Initiative_Library!$AE$5:$AE$76,MATCH($A48,_TECH_Initiative_Library!$AU$5:$AU$76,0)),"")</f>
        <v/>
      </c>
      <c r="K48" s="91" t="str">
        <f ca="1">IFERROR(INDEX(_TECH_Initiative_Library!$AF$5:$AF$76,MATCH($A48,_TECH_Initiative_Library!$AU$5:$AU$76,0)),"")</f>
        <v/>
      </c>
      <c r="L48" s="91" t="str">
        <f ca="1">IFERROR(INDEX(_TECH_Initiative_Library!$AO$5:$AO$76,MATCH($A48,_TECH_Initiative_Library!$AU$5:$AU$76,0)),"Not started")</f>
        <v>Not started</v>
      </c>
      <c r="M48" s="91" t="str">
        <f t="shared" ca="1" si="14"/>
        <v/>
      </c>
      <c r="N48" s="98" t="str">
        <f ca="1">IF($B48="","",IF($J48="0-90 days",$B$4,IF($J48="3-6 months",EDATE($B$4,3),IF($J48="6-12 months",EDATE($B$4,6),EDATE($B$4,12))))+(COUNTIF($J$14:$J48,$J48)-1)*14)</f>
        <v/>
      </c>
      <c r="O48" s="98" t="str">
        <f t="shared" ca="1" si="15"/>
        <v/>
      </c>
      <c r="P48" s="91" t="str">
        <f t="shared" ca="1" si="16"/>
        <v/>
      </c>
      <c r="Q48" s="48" t="str">
        <f ca="1">IFERROR(INDEX(_TECH_Initiative_Library!$AH$5:$AH$76,MATCH($A48,_TECH_Initiative_Library!$AU$5:$AU$76,0)),"")</f>
        <v/>
      </c>
      <c r="R48" s="48" t="str">
        <f ca="1">IFERROR(INDEX(_TECH_Initiative_Library!$AI$5:$AI$76,MATCH($A48,_TECH_Initiative_Library!$AU$5:$AU$76,0)),"")</f>
        <v/>
      </c>
      <c r="S48" s="91" t="str">
        <f t="shared" ca="1" si="12"/>
        <v/>
      </c>
      <c r="T48" s="91" t="str">
        <f t="shared" ca="1" si="12"/>
        <v/>
      </c>
      <c r="U48" s="91" t="str">
        <f t="shared" ca="1" si="12"/>
        <v/>
      </c>
      <c r="V48" s="91" t="str">
        <f t="shared" ca="1" si="12"/>
        <v/>
      </c>
      <c r="W48" s="91" t="str">
        <f t="shared" ca="1" si="12"/>
        <v/>
      </c>
      <c r="X48" s="91" t="str">
        <f t="shared" ca="1" si="12"/>
        <v/>
      </c>
      <c r="Y48" s="91" t="str">
        <f t="shared" ca="1" si="12"/>
        <v/>
      </c>
      <c r="Z48" s="91" t="str">
        <f t="shared" ca="1" si="12"/>
        <v/>
      </c>
      <c r="AA48" s="91" t="str">
        <f t="shared" ca="1" si="12"/>
        <v/>
      </c>
      <c r="AB48" s="91" t="str">
        <f t="shared" ca="1" si="12"/>
        <v/>
      </c>
      <c r="AC48" s="91" t="str">
        <f t="shared" ca="1" si="13"/>
        <v/>
      </c>
      <c r="AD48" s="91" t="str">
        <f t="shared" ca="1" si="13"/>
        <v/>
      </c>
      <c r="AE48" s="91" t="str">
        <f t="shared" ca="1" si="13"/>
        <v/>
      </c>
      <c r="AF48" s="91" t="str">
        <f t="shared" ca="1" si="13"/>
        <v/>
      </c>
      <c r="AG48" s="91" t="str">
        <f t="shared" ca="1" si="13"/>
        <v/>
      </c>
      <c r="AH48" s="91" t="str">
        <f t="shared" ca="1" si="13"/>
        <v/>
      </c>
      <c r="AI48" s="91" t="str">
        <f t="shared" ca="1" si="13"/>
        <v/>
      </c>
      <c r="AJ48" s="91" t="str">
        <f t="shared" ca="1" si="13"/>
        <v/>
      </c>
    </row>
    <row r="49" spans="1:36" ht="30" customHeight="1">
      <c r="A49" s="91">
        <v>36</v>
      </c>
      <c r="B49" s="91" t="str">
        <f ca="1">IFERROR(INDEX(_TECH_Initiative_Library!$A$5:$A$76,MATCH($A49,_TECH_Initiative_Library!$AU$5:$AU$76,0)),"")</f>
        <v/>
      </c>
      <c r="C49" s="48" t="str">
        <f ca="1">IFERROR(INDEX(_TECH_Initiative_Library!$F$5:$F$76,MATCH($A49,_TECH_Initiative_Library!$AU$5:$AU$76,0)),"")</f>
        <v/>
      </c>
      <c r="D49" s="91" t="str">
        <f ca="1">IFERROR(INDEX(_TECH_Initiative_Library!$B$5:$B$76,MATCH($A49,_TECH_Initiative_Library!$AU$5:$AU$76,0)),"")</f>
        <v/>
      </c>
      <c r="E49" s="48" t="str">
        <f ca="1">IFERROR(INDEX(_TECH_Initiative_Library!$D$5:$D$76,MATCH($A49,_TECH_Initiative_Library!$AU$5:$AU$76,0)),"")</f>
        <v/>
      </c>
      <c r="F49" s="87" t="str">
        <f ca="1">IFERROR(INDEX(_TECH_Initiative_Library!$AT$5:$AT$76,MATCH($A49,_TECH_Initiative_Library!$AU$5:$AU$76,0)),"")</f>
        <v/>
      </c>
      <c r="G49" s="91" t="str">
        <f ca="1">IFERROR(INDEX(_TECH_Initiative_Library!$AB$5:$AB$76,MATCH($A49,_TECH_Initiative_Library!$AU$5:$AU$76,0)),"")</f>
        <v/>
      </c>
      <c r="H49" s="91" t="str">
        <f ca="1">IFERROR(INDEX(_TECH_Initiative_Library!$Z$5:$Z$76,MATCH($A49,_TECH_Initiative_Library!$AU$5:$AU$76,0)),"")</f>
        <v/>
      </c>
      <c r="I49" s="91" t="str">
        <f ca="1">IFERROR(INDEX(_TECH_Initiative_Library!$AA$5:$AA$76,MATCH($A49,_TECH_Initiative_Library!$AU$5:$AU$76,0)),"")</f>
        <v/>
      </c>
      <c r="J49" s="91" t="str">
        <f ca="1">IFERROR(INDEX(_TECH_Initiative_Library!$AE$5:$AE$76,MATCH($A49,_TECH_Initiative_Library!$AU$5:$AU$76,0)),"")</f>
        <v/>
      </c>
      <c r="K49" s="91" t="str">
        <f ca="1">IFERROR(INDEX(_TECH_Initiative_Library!$AF$5:$AF$76,MATCH($A49,_TECH_Initiative_Library!$AU$5:$AU$76,0)),"")</f>
        <v/>
      </c>
      <c r="L49" s="91" t="str">
        <f ca="1">IFERROR(INDEX(_TECH_Initiative_Library!$AO$5:$AO$76,MATCH($A49,_TECH_Initiative_Library!$AU$5:$AU$76,0)),"Not started")</f>
        <v>Not started</v>
      </c>
      <c r="M49" s="91" t="str">
        <f t="shared" ca="1" si="14"/>
        <v/>
      </c>
      <c r="N49" s="98" t="str">
        <f ca="1">IF($B49="","",IF($J49="0-90 days",$B$4,IF($J49="3-6 months",EDATE($B$4,3),IF($J49="6-12 months",EDATE($B$4,6),EDATE($B$4,12))))+(COUNTIF($J$14:$J49,$J49)-1)*14)</f>
        <v/>
      </c>
      <c r="O49" s="98" t="str">
        <f t="shared" ca="1" si="15"/>
        <v/>
      </c>
      <c r="P49" s="91" t="str">
        <f t="shared" ca="1" si="16"/>
        <v/>
      </c>
      <c r="Q49" s="48" t="str">
        <f ca="1">IFERROR(INDEX(_TECH_Initiative_Library!$AH$5:$AH$76,MATCH($A49,_TECH_Initiative_Library!$AU$5:$AU$76,0)),"")</f>
        <v/>
      </c>
      <c r="R49" s="48" t="str">
        <f ca="1">IFERROR(INDEX(_TECH_Initiative_Library!$AI$5:$AI$76,MATCH($A49,_TECH_Initiative_Library!$AU$5:$AU$76,0)),"")</f>
        <v/>
      </c>
      <c r="S49" s="91" t="str">
        <f t="shared" ca="1" si="12"/>
        <v/>
      </c>
      <c r="T49" s="91" t="str">
        <f t="shared" ca="1" si="12"/>
        <v/>
      </c>
      <c r="U49" s="91" t="str">
        <f t="shared" ca="1" si="12"/>
        <v/>
      </c>
      <c r="V49" s="91" t="str">
        <f t="shared" ca="1" si="12"/>
        <v/>
      </c>
      <c r="W49" s="91" t="str">
        <f t="shared" ca="1" si="12"/>
        <v/>
      </c>
      <c r="X49" s="91" t="str">
        <f t="shared" ca="1" si="12"/>
        <v/>
      </c>
      <c r="Y49" s="91" t="str">
        <f t="shared" ca="1" si="12"/>
        <v/>
      </c>
      <c r="Z49" s="91" t="str">
        <f t="shared" ca="1" si="12"/>
        <v/>
      </c>
      <c r="AA49" s="91" t="str">
        <f t="shared" ca="1" si="12"/>
        <v/>
      </c>
      <c r="AB49" s="91" t="str">
        <f t="shared" ca="1" si="12"/>
        <v/>
      </c>
      <c r="AC49" s="91" t="str">
        <f t="shared" ca="1" si="13"/>
        <v/>
      </c>
      <c r="AD49" s="91" t="str">
        <f t="shared" ca="1" si="13"/>
        <v/>
      </c>
      <c r="AE49" s="91" t="str">
        <f t="shared" ca="1" si="13"/>
        <v/>
      </c>
      <c r="AF49" s="91" t="str">
        <f t="shared" ca="1" si="13"/>
        <v/>
      </c>
      <c r="AG49" s="91" t="str">
        <f t="shared" ca="1" si="13"/>
        <v/>
      </c>
      <c r="AH49" s="91" t="str">
        <f t="shared" ca="1" si="13"/>
        <v/>
      </c>
      <c r="AI49" s="91" t="str">
        <f t="shared" ca="1" si="13"/>
        <v/>
      </c>
      <c r="AJ49" s="91" t="str">
        <f t="shared" ca="1" si="13"/>
        <v/>
      </c>
    </row>
    <row r="50" spans="1:36" ht="30" customHeight="1">
      <c r="A50" s="91">
        <v>37</v>
      </c>
      <c r="B50" s="91" t="str">
        <f ca="1">IFERROR(INDEX(_TECH_Initiative_Library!$A$5:$A$76,MATCH($A50,_TECH_Initiative_Library!$AU$5:$AU$76,0)),"")</f>
        <v/>
      </c>
      <c r="C50" s="48" t="str">
        <f ca="1">IFERROR(INDEX(_TECH_Initiative_Library!$F$5:$F$76,MATCH($A50,_TECH_Initiative_Library!$AU$5:$AU$76,0)),"")</f>
        <v/>
      </c>
      <c r="D50" s="91" t="str">
        <f ca="1">IFERROR(INDEX(_TECH_Initiative_Library!$B$5:$B$76,MATCH($A50,_TECH_Initiative_Library!$AU$5:$AU$76,0)),"")</f>
        <v/>
      </c>
      <c r="E50" s="48" t="str">
        <f ca="1">IFERROR(INDEX(_TECH_Initiative_Library!$D$5:$D$76,MATCH($A50,_TECH_Initiative_Library!$AU$5:$AU$76,0)),"")</f>
        <v/>
      </c>
      <c r="F50" s="87" t="str">
        <f ca="1">IFERROR(INDEX(_TECH_Initiative_Library!$AT$5:$AT$76,MATCH($A50,_TECH_Initiative_Library!$AU$5:$AU$76,0)),"")</f>
        <v/>
      </c>
      <c r="G50" s="91" t="str">
        <f ca="1">IFERROR(INDEX(_TECH_Initiative_Library!$AB$5:$AB$76,MATCH($A50,_TECH_Initiative_Library!$AU$5:$AU$76,0)),"")</f>
        <v/>
      </c>
      <c r="H50" s="91" t="str">
        <f ca="1">IFERROR(INDEX(_TECH_Initiative_Library!$Z$5:$Z$76,MATCH($A50,_TECH_Initiative_Library!$AU$5:$AU$76,0)),"")</f>
        <v/>
      </c>
      <c r="I50" s="91" t="str">
        <f ca="1">IFERROR(INDEX(_TECH_Initiative_Library!$AA$5:$AA$76,MATCH($A50,_TECH_Initiative_Library!$AU$5:$AU$76,0)),"")</f>
        <v/>
      </c>
      <c r="J50" s="91" t="str">
        <f ca="1">IFERROR(INDEX(_TECH_Initiative_Library!$AE$5:$AE$76,MATCH($A50,_TECH_Initiative_Library!$AU$5:$AU$76,0)),"")</f>
        <v/>
      </c>
      <c r="K50" s="91" t="str">
        <f ca="1">IFERROR(INDEX(_TECH_Initiative_Library!$AF$5:$AF$76,MATCH($A50,_TECH_Initiative_Library!$AU$5:$AU$76,0)),"")</f>
        <v/>
      </c>
      <c r="L50" s="91" t="str">
        <f ca="1">IFERROR(INDEX(_TECH_Initiative_Library!$AO$5:$AO$76,MATCH($A50,_TECH_Initiative_Library!$AU$5:$AU$76,0)),"Not started")</f>
        <v>Not started</v>
      </c>
      <c r="M50" s="91" t="str">
        <f t="shared" ca="1" si="14"/>
        <v/>
      </c>
      <c r="N50" s="98" t="str">
        <f ca="1">IF($B50="","",IF($J50="0-90 days",$B$4,IF($J50="3-6 months",EDATE($B$4,3),IF($J50="6-12 months",EDATE($B$4,6),EDATE($B$4,12))))+(COUNTIF($J$14:$J50,$J50)-1)*14)</f>
        <v/>
      </c>
      <c r="O50" s="98" t="str">
        <f t="shared" ca="1" si="15"/>
        <v/>
      </c>
      <c r="P50" s="91" t="str">
        <f t="shared" ca="1" si="16"/>
        <v/>
      </c>
      <c r="Q50" s="48" t="str">
        <f ca="1">IFERROR(INDEX(_TECH_Initiative_Library!$AH$5:$AH$76,MATCH($A50,_TECH_Initiative_Library!$AU$5:$AU$76,0)),"")</f>
        <v/>
      </c>
      <c r="R50" s="48" t="str">
        <f ca="1">IFERROR(INDEX(_TECH_Initiative_Library!$AI$5:$AI$76,MATCH($A50,_TECH_Initiative_Library!$AU$5:$AU$76,0)),"")</f>
        <v/>
      </c>
      <c r="S50" s="91" t="str">
        <f t="shared" ca="1" si="12"/>
        <v/>
      </c>
      <c r="T50" s="91" t="str">
        <f t="shared" ca="1" si="12"/>
        <v/>
      </c>
      <c r="U50" s="91" t="str">
        <f t="shared" ca="1" si="12"/>
        <v/>
      </c>
      <c r="V50" s="91" t="str">
        <f t="shared" ca="1" si="12"/>
        <v/>
      </c>
      <c r="W50" s="91" t="str">
        <f t="shared" ca="1" si="12"/>
        <v/>
      </c>
      <c r="X50" s="91" t="str">
        <f t="shared" ca="1" si="12"/>
        <v/>
      </c>
      <c r="Y50" s="91" t="str">
        <f t="shared" ca="1" si="12"/>
        <v/>
      </c>
      <c r="Z50" s="91" t="str">
        <f t="shared" ca="1" si="12"/>
        <v/>
      </c>
      <c r="AA50" s="91" t="str">
        <f t="shared" ca="1" si="12"/>
        <v/>
      </c>
      <c r="AB50" s="91" t="str">
        <f t="shared" ca="1" si="12"/>
        <v/>
      </c>
      <c r="AC50" s="91" t="str">
        <f t="shared" ca="1" si="13"/>
        <v/>
      </c>
      <c r="AD50" s="91" t="str">
        <f t="shared" ca="1" si="13"/>
        <v/>
      </c>
      <c r="AE50" s="91" t="str">
        <f t="shared" ca="1" si="13"/>
        <v/>
      </c>
      <c r="AF50" s="91" t="str">
        <f t="shared" ca="1" si="13"/>
        <v/>
      </c>
      <c r="AG50" s="91" t="str">
        <f t="shared" ca="1" si="13"/>
        <v/>
      </c>
      <c r="AH50" s="91" t="str">
        <f t="shared" ca="1" si="13"/>
        <v/>
      </c>
      <c r="AI50" s="91" t="str">
        <f t="shared" ca="1" si="13"/>
        <v/>
      </c>
      <c r="AJ50" s="91" t="str">
        <f t="shared" ca="1" si="13"/>
        <v/>
      </c>
    </row>
    <row r="51" spans="1:36" ht="30" customHeight="1">
      <c r="A51" s="91">
        <v>38</v>
      </c>
      <c r="B51" s="91" t="str">
        <f ca="1">IFERROR(INDEX(_TECH_Initiative_Library!$A$5:$A$76,MATCH($A51,_TECH_Initiative_Library!$AU$5:$AU$76,0)),"")</f>
        <v/>
      </c>
      <c r="C51" s="48" t="str">
        <f ca="1">IFERROR(INDEX(_TECH_Initiative_Library!$F$5:$F$76,MATCH($A51,_TECH_Initiative_Library!$AU$5:$AU$76,0)),"")</f>
        <v/>
      </c>
      <c r="D51" s="91" t="str">
        <f ca="1">IFERROR(INDEX(_TECH_Initiative_Library!$B$5:$B$76,MATCH($A51,_TECH_Initiative_Library!$AU$5:$AU$76,0)),"")</f>
        <v/>
      </c>
      <c r="E51" s="48" t="str">
        <f ca="1">IFERROR(INDEX(_TECH_Initiative_Library!$D$5:$D$76,MATCH($A51,_TECH_Initiative_Library!$AU$5:$AU$76,0)),"")</f>
        <v/>
      </c>
      <c r="F51" s="87" t="str">
        <f ca="1">IFERROR(INDEX(_TECH_Initiative_Library!$AT$5:$AT$76,MATCH($A51,_TECH_Initiative_Library!$AU$5:$AU$76,0)),"")</f>
        <v/>
      </c>
      <c r="G51" s="91" t="str">
        <f ca="1">IFERROR(INDEX(_TECH_Initiative_Library!$AB$5:$AB$76,MATCH($A51,_TECH_Initiative_Library!$AU$5:$AU$76,0)),"")</f>
        <v/>
      </c>
      <c r="H51" s="91" t="str">
        <f ca="1">IFERROR(INDEX(_TECH_Initiative_Library!$Z$5:$Z$76,MATCH($A51,_TECH_Initiative_Library!$AU$5:$AU$76,0)),"")</f>
        <v/>
      </c>
      <c r="I51" s="91" t="str">
        <f ca="1">IFERROR(INDEX(_TECH_Initiative_Library!$AA$5:$AA$76,MATCH($A51,_TECH_Initiative_Library!$AU$5:$AU$76,0)),"")</f>
        <v/>
      </c>
      <c r="J51" s="91" t="str">
        <f ca="1">IFERROR(INDEX(_TECH_Initiative_Library!$AE$5:$AE$76,MATCH($A51,_TECH_Initiative_Library!$AU$5:$AU$76,0)),"")</f>
        <v/>
      </c>
      <c r="K51" s="91" t="str">
        <f ca="1">IFERROR(INDEX(_TECH_Initiative_Library!$AF$5:$AF$76,MATCH($A51,_TECH_Initiative_Library!$AU$5:$AU$76,0)),"")</f>
        <v/>
      </c>
      <c r="L51" s="91" t="str">
        <f ca="1">IFERROR(INDEX(_TECH_Initiative_Library!$AO$5:$AO$76,MATCH($A51,_TECH_Initiative_Library!$AU$5:$AU$76,0)),"Not started")</f>
        <v>Not started</v>
      </c>
      <c r="M51" s="91" t="str">
        <f t="shared" ca="1" si="14"/>
        <v/>
      </c>
      <c r="N51" s="98" t="str">
        <f ca="1">IF($B51="","",IF($J51="0-90 days",$B$4,IF($J51="3-6 months",EDATE($B$4,3),IF($J51="6-12 months",EDATE($B$4,6),EDATE($B$4,12))))+(COUNTIF($J$14:$J51,$J51)-1)*14)</f>
        <v/>
      </c>
      <c r="O51" s="98" t="str">
        <f t="shared" ca="1" si="15"/>
        <v/>
      </c>
      <c r="P51" s="91" t="str">
        <f t="shared" ca="1" si="16"/>
        <v/>
      </c>
      <c r="Q51" s="48" t="str">
        <f ca="1">IFERROR(INDEX(_TECH_Initiative_Library!$AH$5:$AH$76,MATCH($A51,_TECH_Initiative_Library!$AU$5:$AU$76,0)),"")</f>
        <v/>
      </c>
      <c r="R51" s="48" t="str">
        <f ca="1">IFERROR(INDEX(_TECH_Initiative_Library!$AI$5:$AI$76,MATCH($A51,_TECH_Initiative_Library!$AU$5:$AU$76,0)),"")</f>
        <v/>
      </c>
      <c r="S51" s="91" t="str">
        <f t="shared" ca="1" si="12"/>
        <v/>
      </c>
      <c r="T51" s="91" t="str">
        <f t="shared" ca="1" si="12"/>
        <v/>
      </c>
      <c r="U51" s="91" t="str">
        <f t="shared" ca="1" si="12"/>
        <v/>
      </c>
      <c r="V51" s="91" t="str">
        <f t="shared" ca="1" si="12"/>
        <v/>
      </c>
      <c r="W51" s="91" t="str">
        <f t="shared" ca="1" si="12"/>
        <v/>
      </c>
      <c r="X51" s="91" t="str">
        <f t="shared" ca="1" si="12"/>
        <v/>
      </c>
      <c r="Y51" s="91" t="str">
        <f t="shared" ca="1" si="12"/>
        <v/>
      </c>
      <c r="Z51" s="91" t="str">
        <f t="shared" ca="1" si="12"/>
        <v/>
      </c>
      <c r="AA51" s="91" t="str">
        <f t="shared" ca="1" si="12"/>
        <v/>
      </c>
      <c r="AB51" s="91" t="str">
        <f t="shared" ca="1" si="12"/>
        <v/>
      </c>
      <c r="AC51" s="91" t="str">
        <f t="shared" ca="1" si="13"/>
        <v/>
      </c>
      <c r="AD51" s="91" t="str">
        <f t="shared" ca="1" si="13"/>
        <v/>
      </c>
      <c r="AE51" s="91" t="str">
        <f t="shared" ca="1" si="13"/>
        <v/>
      </c>
      <c r="AF51" s="91" t="str">
        <f t="shared" ca="1" si="13"/>
        <v/>
      </c>
      <c r="AG51" s="91" t="str">
        <f t="shared" ca="1" si="13"/>
        <v/>
      </c>
      <c r="AH51" s="91" t="str">
        <f t="shared" ca="1" si="13"/>
        <v/>
      </c>
      <c r="AI51" s="91" t="str">
        <f t="shared" ca="1" si="13"/>
        <v/>
      </c>
      <c r="AJ51" s="91" t="str">
        <f t="shared" ca="1" si="13"/>
        <v/>
      </c>
    </row>
    <row r="52" spans="1:36" ht="30" customHeight="1">
      <c r="A52" s="91">
        <v>39</v>
      </c>
      <c r="B52" s="91" t="str">
        <f ca="1">IFERROR(INDEX(_TECH_Initiative_Library!$A$5:$A$76,MATCH($A52,_TECH_Initiative_Library!$AU$5:$AU$76,0)),"")</f>
        <v/>
      </c>
      <c r="C52" s="48" t="str">
        <f ca="1">IFERROR(INDEX(_TECH_Initiative_Library!$F$5:$F$76,MATCH($A52,_TECH_Initiative_Library!$AU$5:$AU$76,0)),"")</f>
        <v/>
      </c>
      <c r="D52" s="91" t="str">
        <f ca="1">IFERROR(INDEX(_TECH_Initiative_Library!$B$5:$B$76,MATCH($A52,_TECH_Initiative_Library!$AU$5:$AU$76,0)),"")</f>
        <v/>
      </c>
      <c r="E52" s="48" t="str">
        <f ca="1">IFERROR(INDEX(_TECH_Initiative_Library!$D$5:$D$76,MATCH($A52,_TECH_Initiative_Library!$AU$5:$AU$76,0)),"")</f>
        <v/>
      </c>
      <c r="F52" s="87" t="str">
        <f ca="1">IFERROR(INDEX(_TECH_Initiative_Library!$AT$5:$AT$76,MATCH($A52,_TECH_Initiative_Library!$AU$5:$AU$76,0)),"")</f>
        <v/>
      </c>
      <c r="G52" s="91" t="str">
        <f ca="1">IFERROR(INDEX(_TECH_Initiative_Library!$AB$5:$AB$76,MATCH($A52,_TECH_Initiative_Library!$AU$5:$AU$76,0)),"")</f>
        <v/>
      </c>
      <c r="H52" s="91" t="str">
        <f ca="1">IFERROR(INDEX(_TECH_Initiative_Library!$Z$5:$Z$76,MATCH($A52,_TECH_Initiative_Library!$AU$5:$AU$76,0)),"")</f>
        <v/>
      </c>
      <c r="I52" s="91" t="str">
        <f ca="1">IFERROR(INDEX(_TECH_Initiative_Library!$AA$5:$AA$76,MATCH($A52,_TECH_Initiative_Library!$AU$5:$AU$76,0)),"")</f>
        <v/>
      </c>
      <c r="J52" s="91" t="str">
        <f ca="1">IFERROR(INDEX(_TECH_Initiative_Library!$AE$5:$AE$76,MATCH($A52,_TECH_Initiative_Library!$AU$5:$AU$76,0)),"")</f>
        <v/>
      </c>
      <c r="K52" s="91" t="str">
        <f ca="1">IFERROR(INDEX(_TECH_Initiative_Library!$AF$5:$AF$76,MATCH($A52,_TECH_Initiative_Library!$AU$5:$AU$76,0)),"")</f>
        <v/>
      </c>
      <c r="L52" s="91" t="str">
        <f ca="1">IFERROR(INDEX(_TECH_Initiative_Library!$AO$5:$AO$76,MATCH($A52,_TECH_Initiative_Library!$AU$5:$AU$76,0)),"Not started")</f>
        <v>Not started</v>
      </c>
      <c r="M52" s="91" t="str">
        <f t="shared" ca="1" si="14"/>
        <v/>
      </c>
      <c r="N52" s="98" t="str">
        <f ca="1">IF($B52="","",IF($J52="0-90 days",$B$4,IF($J52="3-6 months",EDATE($B$4,3),IF($J52="6-12 months",EDATE($B$4,6),EDATE($B$4,12))))+(COUNTIF($J$14:$J52,$J52)-1)*14)</f>
        <v/>
      </c>
      <c r="O52" s="98" t="str">
        <f t="shared" ca="1" si="15"/>
        <v/>
      </c>
      <c r="P52" s="91" t="str">
        <f t="shared" ca="1" si="16"/>
        <v/>
      </c>
      <c r="Q52" s="48" t="str">
        <f ca="1">IFERROR(INDEX(_TECH_Initiative_Library!$AH$5:$AH$76,MATCH($A52,_TECH_Initiative_Library!$AU$5:$AU$76,0)),"")</f>
        <v/>
      </c>
      <c r="R52" s="48" t="str">
        <f ca="1">IFERROR(INDEX(_TECH_Initiative_Library!$AI$5:$AI$76,MATCH($A52,_TECH_Initiative_Library!$AU$5:$AU$76,0)),"")</f>
        <v/>
      </c>
      <c r="S52" s="91" t="str">
        <f t="shared" ca="1" si="12"/>
        <v/>
      </c>
      <c r="T52" s="91" t="str">
        <f t="shared" ca="1" si="12"/>
        <v/>
      </c>
      <c r="U52" s="91" t="str">
        <f t="shared" ca="1" si="12"/>
        <v/>
      </c>
      <c r="V52" s="91" t="str">
        <f t="shared" ca="1" si="12"/>
        <v/>
      </c>
      <c r="W52" s="91" t="str">
        <f t="shared" ca="1" si="12"/>
        <v/>
      </c>
      <c r="X52" s="91" t="str">
        <f t="shared" ca="1" si="12"/>
        <v/>
      </c>
      <c r="Y52" s="91" t="str">
        <f t="shared" ca="1" si="12"/>
        <v/>
      </c>
      <c r="Z52" s="91" t="str">
        <f t="shared" ca="1" si="12"/>
        <v/>
      </c>
      <c r="AA52" s="91" t="str">
        <f t="shared" ca="1" si="12"/>
        <v/>
      </c>
      <c r="AB52" s="91" t="str">
        <f t="shared" ca="1" si="12"/>
        <v/>
      </c>
      <c r="AC52" s="91" t="str">
        <f t="shared" ca="1" si="13"/>
        <v/>
      </c>
      <c r="AD52" s="91" t="str">
        <f t="shared" ca="1" si="13"/>
        <v/>
      </c>
      <c r="AE52" s="91" t="str">
        <f t="shared" ca="1" si="13"/>
        <v/>
      </c>
      <c r="AF52" s="91" t="str">
        <f t="shared" ca="1" si="13"/>
        <v/>
      </c>
      <c r="AG52" s="91" t="str">
        <f t="shared" ca="1" si="13"/>
        <v/>
      </c>
      <c r="AH52" s="91" t="str">
        <f t="shared" ca="1" si="13"/>
        <v/>
      </c>
      <c r="AI52" s="91" t="str">
        <f t="shared" ca="1" si="13"/>
        <v/>
      </c>
      <c r="AJ52" s="91" t="str">
        <f t="shared" ca="1" si="13"/>
        <v/>
      </c>
    </row>
    <row r="53" spans="1:36" ht="30" customHeight="1">
      <c r="A53" s="91">
        <v>40</v>
      </c>
      <c r="B53" s="91" t="str">
        <f ca="1">IFERROR(INDEX(_TECH_Initiative_Library!$A$5:$A$76,MATCH($A53,_TECH_Initiative_Library!$AU$5:$AU$76,0)),"")</f>
        <v/>
      </c>
      <c r="C53" s="48" t="str">
        <f ca="1">IFERROR(INDEX(_TECH_Initiative_Library!$F$5:$F$76,MATCH($A53,_TECH_Initiative_Library!$AU$5:$AU$76,0)),"")</f>
        <v/>
      </c>
      <c r="D53" s="91" t="str">
        <f ca="1">IFERROR(INDEX(_TECH_Initiative_Library!$B$5:$B$76,MATCH($A53,_TECH_Initiative_Library!$AU$5:$AU$76,0)),"")</f>
        <v/>
      </c>
      <c r="E53" s="48" t="str">
        <f ca="1">IFERROR(INDEX(_TECH_Initiative_Library!$D$5:$D$76,MATCH($A53,_TECH_Initiative_Library!$AU$5:$AU$76,0)),"")</f>
        <v/>
      </c>
      <c r="F53" s="87" t="str">
        <f ca="1">IFERROR(INDEX(_TECH_Initiative_Library!$AT$5:$AT$76,MATCH($A53,_TECH_Initiative_Library!$AU$5:$AU$76,0)),"")</f>
        <v/>
      </c>
      <c r="G53" s="91" t="str">
        <f ca="1">IFERROR(INDEX(_TECH_Initiative_Library!$AB$5:$AB$76,MATCH($A53,_TECH_Initiative_Library!$AU$5:$AU$76,0)),"")</f>
        <v/>
      </c>
      <c r="H53" s="91" t="str">
        <f ca="1">IFERROR(INDEX(_TECH_Initiative_Library!$Z$5:$Z$76,MATCH($A53,_TECH_Initiative_Library!$AU$5:$AU$76,0)),"")</f>
        <v/>
      </c>
      <c r="I53" s="91" t="str">
        <f ca="1">IFERROR(INDEX(_TECH_Initiative_Library!$AA$5:$AA$76,MATCH($A53,_TECH_Initiative_Library!$AU$5:$AU$76,0)),"")</f>
        <v/>
      </c>
      <c r="J53" s="91" t="str">
        <f ca="1">IFERROR(INDEX(_TECH_Initiative_Library!$AE$5:$AE$76,MATCH($A53,_TECH_Initiative_Library!$AU$5:$AU$76,0)),"")</f>
        <v/>
      </c>
      <c r="K53" s="91" t="str">
        <f ca="1">IFERROR(INDEX(_TECH_Initiative_Library!$AF$5:$AF$76,MATCH($A53,_TECH_Initiative_Library!$AU$5:$AU$76,0)),"")</f>
        <v/>
      </c>
      <c r="L53" s="91" t="str">
        <f ca="1">IFERROR(INDEX(_TECH_Initiative_Library!$AO$5:$AO$76,MATCH($A53,_TECH_Initiative_Library!$AU$5:$AU$76,0)),"Not started")</f>
        <v>Not started</v>
      </c>
      <c r="M53" s="91" t="str">
        <f t="shared" ca="1" si="14"/>
        <v/>
      </c>
      <c r="N53" s="98" t="str">
        <f ca="1">IF($B53="","",IF($J53="0-90 days",$B$4,IF($J53="3-6 months",EDATE($B$4,3),IF($J53="6-12 months",EDATE($B$4,6),EDATE($B$4,12))))+(COUNTIF($J$14:$J53,$J53)-1)*14)</f>
        <v/>
      </c>
      <c r="O53" s="98" t="str">
        <f t="shared" ca="1" si="15"/>
        <v/>
      </c>
      <c r="P53" s="91" t="str">
        <f t="shared" ca="1" si="16"/>
        <v/>
      </c>
      <c r="Q53" s="48" t="str">
        <f ca="1">IFERROR(INDEX(_TECH_Initiative_Library!$AH$5:$AH$76,MATCH($A53,_TECH_Initiative_Library!$AU$5:$AU$76,0)),"")</f>
        <v/>
      </c>
      <c r="R53" s="48" t="str">
        <f ca="1">IFERROR(INDEX(_TECH_Initiative_Library!$AI$5:$AI$76,MATCH($A53,_TECH_Initiative_Library!$AU$5:$AU$76,0)),"")</f>
        <v/>
      </c>
      <c r="S53" s="91" t="str">
        <f t="shared" ca="1" si="12"/>
        <v/>
      </c>
      <c r="T53" s="91" t="str">
        <f t="shared" ca="1" si="12"/>
        <v/>
      </c>
      <c r="U53" s="91" t="str">
        <f t="shared" ca="1" si="12"/>
        <v/>
      </c>
      <c r="V53" s="91" t="str">
        <f t="shared" ca="1" si="12"/>
        <v/>
      </c>
      <c r="W53" s="91" t="str">
        <f t="shared" ca="1" si="12"/>
        <v/>
      </c>
      <c r="X53" s="91" t="str">
        <f t="shared" ca="1" si="12"/>
        <v/>
      </c>
      <c r="Y53" s="91" t="str">
        <f t="shared" ca="1" si="12"/>
        <v/>
      </c>
      <c r="Z53" s="91" t="str">
        <f t="shared" ca="1" si="12"/>
        <v/>
      </c>
      <c r="AA53" s="91" t="str">
        <f t="shared" ca="1" si="12"/>
        <v/>
      </c>
      <c r="AB53" s="91" t="str">
        <f t="shared" ca="1" si="12"/>
        <v/>
      </c>
      <c r="AC53" s="91" t="str">
        <f t="shared" ca="1" si="13"/>
        <v/>
      </c>
      <c r="AD53" s="91" t="str">
        <f t="shared" ca="1" si="13"/>
        <v/>
      </c>
      <c r="AE53" s="91" t="str">
        <f t="shared" ca="1" si="13"/>
        <v/>
      </c>
      <c r="AF53" s="91" t="str">
        <f t="shared" ca="1" si="13"/>
        <v/>
      </c>
      <c r="AG53" s="91" t="str">
        <f t="shared" ca="1" si="13"/>
        <v/>
      </c>
      <c r="AH53" s="91" t="str">
        <f t="shared" ca="1" si="13"/>
        <v/>
      </c>
      <c r="AI53" s="91" t="str">
        <f t="shared" ca="1" si="13"/>
        <v/>
      </c>
      <c r="AJ53" s="91" t="str">
        <f t="shared" ca="1" si="13"/>
        <v/>
      </c>
    </row>
    <row r="54" spans="1:36" ht="30" customHeight="1">
      <c r="A54" s="91">
        <v>41</v>
      </c>
      <c r="B54" s="91" t="str">
        <f ca="1">IFERROR(INDEX(_TECH_Initiative_Library!$A$5:$A$76,MATCH($A54,_TECH_Initiative_Library!$AU$5:$AU$76,0)),"")</f>
        <v/>
      </c>
      <c r="C54" s="48" t="str">
        <f ca="1">IFERROR(INDEX(_TECH_Initiative_Library!$F$5:$F$76,MATCH($A54,_TECH_Initiative_Library!$AU$5:$AU$76,0)),"")</f>
        <v/>
      </c>
      <c r="D54" s="91" t="str">
        <f ca="1">IFERROR(INDEX(_TECH_Initiative_Library!$B$5:$B$76,MATCH($A54,_TECH_Initiative_Library!$AU$5:$AU$76,0)),"")</f>
        <v/>
      </c>
      <c r="E54" s="48" t="str">
        <f ca="1">IFERROR(INDEX(_TECH_Initiative_Library!$D$5:$D$76,MATCH($A54,_TECH_Initiative_Library!$AU$5:$AU$76,0)),"")</f>
        <v/>
      </c>
      <c r="F54" s="87" t="str">
        <f ca="1">IFERROR(INDEX(_TECH_Initiative_Library!$AT$5:$AT$76,MATCH($A54,_TECH_Initiative_Library!$AU$5:$AU$76,0)),"")</f>
        <v/>
      </c>
      <c r="G54" s="91" t="str">
        <f ca="1">IFERROR(INDEX(_TECH_Initiative_Library!$AB$5:$AB$76,MATCH($A54,_TECH_Initiative_Library!$AU$5:$AU$76,0)),"")</f>
        <v/>
      </c>
      <c r="H54" s="91" t="str">
        <f ca="1">IFERROR(INDEX(_TECH_Initiative_Library!$Z$5:$Z$76,MATCH($A54,_TECH_Initiative_Library!$AU$5:$AU$76,0)),"")</f>
        <v/>
      </c>
      <c r="I54" s="91" t="str">
        <f ca="1">IFERROR(INDEX(_TECH_Initiative_Library!$AA$5:$AA$76,MATCH($A54,_TECH_Initiative_Library!$AU$5:$AU$76,0)),"")</f>
        <v/>
      </c>
      <c r="J54" s="91" t="str">
        <f ca="1">IFERROR(INDEX(_TECH_Initiative_Library!$AE$5:$AE$76,MATCH($A54,_TECH_Initiative_Library!$AU$5:$AU$76,0)),"")</f>
        <v/>
      </c>
      <c r="K54" s="91" t="str">
        <f ca="1">IFERROR(INDEX(_TECH_Initiative_Library!$AF$5:$AF$76,MATCH($A54,_TECH_Initiative_Library!$AU$5:$AU$76,0)),"")</f>
        <v/>
      </c>
      <c r="L54" s="91" t="str">
        <f ca="1">IFERROR(INDEX(_TECH_Initiative_Library!$AO$5:$AO$76,MATCH($A54,_TECH_Initiative_Library!$AU$5:$AU$76,0)),"Not started")</f>
        <v>Not started</v>
      </c>
      <c r="M54" s="91" t="str">
        <f t="shared" ca="1" si="14"/>
        <v/>
      </c>
      <c r="N54" s="98" t="str">
        <f ca="1">IF($B54="","",IF($J54="0-90 days",$B$4,IF($J54="3-6 months",EDATE($B$4,3),IF($J54="6-12 months",EDATE($B$4,6),EDATE($B$4,12))))+(COUNTIF($J$14:$J54,$J54)-1)*14)</f>
        <v/>
      </c>
      <c r="O54" s="98" t="str">
        <f t="shared" ca="1" si="15"/>
        <v/>
      </c>
      <c r="P54" s="91" t="str">
        <f t="shared" ca="1" si="16"/>
        <v/>
      </c>
      <c r="Q54" s="48" t="str">
        <f ca="1">IFERROR(INDEX(_TECH_Initiative_Library!$AH$5:$AH$76,MATCH($A54,_TECH_Initiative_Library!$AU$5:$AU$76,0)),"")</f>
        <v/>
      </c>
      <c r="R54" s="48" t="str">
        <f ca="1">IFERROR(INDEX(_TECH_Initiative_Library!$AI$5:$AI$76,MATCH($A54,_TECH_Initiative_Library!$AU$5:$AU$76,0)),"")</f>
        <v/>
      </c>
      <c r="S54" s="91" t="str">
        <f t="shared" ref="S54:AB63" ca="1" si="17">IF(AND(S$13&gt;=$N54,S$13&lt;=$O54),"■","")</f>
        <v/>
      </c>
      <c r="T54" s="91" t="str">
        <f t="shared" ca="1" si="17"/>
        <v/>
      </c>
      <c r="U54" s="91" t="str">
        <f t="shared" ca="1" si="17"/>
        <v/>
      </c>
      <c r="V54" s="91" t="str">
        <f t="shared" ca="1" si="17"/>
        <v/>
      </c>
      <c r="W54" s="91" t="str">
        <f t="shared" ca="1" si="17"/>
        <v/>
      </c>
      <c r="X54" s="91" t="str">
        <f t="shared" ca="1" si="17"/>
        <v/>
      </c>
      <c r="Y54" s="91" t="str">
        <f t="shared" ca="1" si="17"/>
        <v/>
      </c>
      <c r="Z54" s="91" t="str">
        <f t="shared" ca="1" si="17"/>
        <v/>
      </c>
      <c r="AA54" s="91" t="str">
        <f t="shared" ca="1" si="17"/>
        <v/>
      </c>
      <c r="AB54" s="91" t="str">
        <f t="shared" ca="1" si="17"/>
        <v/>
      </c>
      <c r="AC54" s="91" t="str">
        <f t="shared" ref="AC54:AJ63" ca="1" si="18">IF(AND(AC$13&gt;=$N54,AC$13&lt;=$O54),"■","")</f>
        <v/>
      </c>
      <c r="AD54" s="91" t="str">
        <f t="shared" ca="1" si="18"/>
        <v/>
      </c>
      <c r="AE54" s="91" t="str">
        <f t="shared" ca="1" si="18"/>
        <v/>
      </c>
      <c r="AF54" s="91" t="str">
        <f t="shared" ca="1" si="18"/>
        <v/>
      </c>
      <c r="AG54" s="91" t="str">
        <f t="shared" ca="1" si="18"/>
        <v/>
      </c>
      <c r="AH54" s="91" t="str">
        <f t="shared" ca="1" si="18"/>
        <v/>
      </c>
      <c r="AI54" s="91" t="str">
        <f t="shared" ca="1" si="18"/>
        <v/>
      </c>
      <c r="AJ54" s="91" t="str">
        <f t="shared" ca="1" si="18"/>
        <v/>
      </c>
    </row>
    <row r="55" spans="1:36" ht="30" customHeight="1">
      <c r="A55" s="91">
        <v>42</v>
      </c>
      <c r="B55" s="91" t="str">
        <f ca="1">IFERROR(INDEX(_TECH_Initiative_Library!$A$5:$A$76,MATCH($A55,_TECH_Initiative_Library!$AU$5:$AU$76,0)),"")</f>
        <v/>
      </c>
      <c r="C55" s="48" t="str">
        <f ca="1">IFERROR(INDEX(_TECH_Initiative_Library!$F$5:$F$76,MATCH($A55,_TECH_Initiative_Library!$AU$5:$AU$76,0)),"")</f>
        <v/>
      </c>
      <c r="D55" s="91" t="str">
        <f ca="1">IFERROR(INDEX(_TECH_Initiative_Library!$B$5:$B$76,MATCH($A55,_TECH_Initiative_Library!$AU$5:$AU$76,0)),"")</f>
        <v/>
      </c>
      <c r="E55" s="48" t="str">
        <f ca="1">IFERROR(INDEX(_TECH_Initiative_Library!$D$5:$D$76,MATCH($A55,_TECH_Initiative_Library!$AU$5:$AU$76,0)),"")</f>
        <v/>
      </c>
      <c r="F55" s="87" t="str">
        <f ca="1">IFERROR(INDEX(_TECH_Initiative_Library!$AT$5:$AT$76,MATCH($A55,_TECH_Initiative_Library!$AU$5:$AU$76,0)),"")</f>
        <v/>
      </c>
      <c r="G55" s="91" t="str">
        <f ca="1">IFERROR(INDEX(_TECH_Initiative_Library!$AB$5:$AB$76,MATCH($A55,_TECH_Initiative_Library!$AU$5:$AU$76,0)),"")</f>
        <v/>
      </c>
      <c r="H55" s="91" t="str">
        <f ca="1">IFERROR(INDEX(_TECH_Initiative_Library!$Z$5:$Z$76,MATCH($A55,_TECH_Initiative_Library!$AU$5:$AU$76,0)),"")</f>
        <v/>
      </c>
      <c r="I55" s="91" t="str">
        <f ca="1">IFERROR(INDEX(_TECH_Initiative_Library!$AA$5:$AA$76,MATCH($A55,_TECH_Initiative_Library!$AU$5:$AU$76,0)),"")</f>
        <v/>
      </c>
      <c r="J55" s="91" t="str">
        <f ca="1">IFERROR(INDEX(_TECH_Initiative_Library!$AE$5:$AE$76,MATCH($A55,_TECH_Initiative_Library!$AU$5:$AU$76,0)),"")</f>
        <v/>
      </c>
      <c r="K55" s="91" t="str">
        <f ca="1">IFERROR(INDEX(_TECH_Initiative_Library!$AF$5:$AF$76,MATCH($A55,_TECH_Initiative_Library!$AU$5:$AU$76,0)),"")</f>
        <v/>
      </c>
      <c r="L55" s="91" t="str">
        <f ca="1">IFERROR(INDEX(_TECH_Initiative_Library!$AO$5:$AO$76,MATCH($A55,_TECH_Initiative_Library!$AU$5:$AU$76,0)),"Not started")</f>
        <v>Not started</v>
      </c>
      <c r="M55" s="91" t="str">
        <f t="shared" ca="1" si="14"/>
        <v/>
      </c>
      <c r="N55" s="98" t="str">
        <f ca="1">IF($B55="","",IF($J55="0-90 days",$B$4,IF($J55="3-6 months",EDATE($B$4,3),IF($J55="6-12 months",EDATE($B$4,6),EDATE($B$4,12))))+(COUNTIF($J$14:$J55,$J55)-1)*14)</f>
        <v/>
      </c>
      <c r="O55" s="98" t="str">
        <f t="shared" ca="1" si="15"/>
        <v/>
      </c>
      <c r="P55" s="91" t="str">
        <f t="shared" ca="1" si="16"/>
        <v/>
      </c>
      <c r="Q55" s="48" t="str">
        <f ca="1">IFERROR(INDEX(_TECH_Initiative_Library!$AH$5:$AH$76,MATCH($A55,_TECH_Initiative_Library!$AU$5:$AU$76,0)),"")</f>
        <v/>
      </c>
      <c r="R55" s="48" t="str">
        <f ca="1">IFERROR(INDEX(_TECH_Initiative_Library!$AI$5:$AI$76,MATCH($A55,_TECH_Initiative_Library!$AU$5:$AU$76,0)),"")</f>
        <v/>
      </c>
      <c r="S55" s="91" t="str">
        <f t="shared" ca="1" si="17"/>
        <v/>
      </c>
      <c r="T55" s="91" t="str">
        <f t="shared" ca="1" si="17"/>
        <v/>
      </c>
      <c r="U55" s="91" t="str">
        <f t="shared" ca="1" si="17"/>
        <v/>
      </c>
      <c r="V55" s="91" t="str">
        <f t="shared" ca="1" si="17"/>
        <v/>
      </c>
      <c r="W55" s="91" t="str">
        <f t="shared" ca="1" si="17"/>
        <v/>
      </c>
      <c r="X55" s="91" t="str">
        <f t="shared" ca="1" si="17"/>
        <v/>
      </c>
      <c r="Y55" s="91" t="str">
        <f t="shared" ca="1" si="17"/>
        <v/>
      </c>
      <c r="Z55" s="91" t="str">
        <f t="shared" ca="1" si="17"/>
        <v/>
      </c>
      <c r="AA55" s="91" t="str">
        <f t="shared" ca="1" si="17"/>
        <v/>
      </c>
      <c r="AB55" s="91" t="str">
        <f t="shared" ca="1" si="17"/>
        <v/>
      </c>
      <c r="AC55" s="91" t="str">
        <f t="shared" ca="1" si="18"/>
        <v/>
      </c>
      <c r="AD55" s="91" t="str">
        <f t="shared" ca="1" si="18"/>
        <v/>
      </c>
      <c r="AE55" s="91" t="str">
        <f t="shared" ca="1" si="18"/>
        <v/>
      </c>
      <c r="AF55" s="91" t="str">
        <f t="shared" ca="1" si="18"/>
        <v/>
      </c>
      <c r="AG55" s="91" t="str">
        <f t="shared" ca="1" si="18"/>
        <v/>
      </c>
      <c r="AH55" s="91" t="str">
        <f t="shared" ca="1" si="18"/>
        <v/>
      </c>
      <c r="AI55" s="91" t="str">
        <f t="shared" ca="1" si="18"/>
        <v/>
      </c>
      <c r="AJ55" s="91" t="str">
        <f t="shared" ca="1" si="18"/>
        <v/>
      </c>
    </row>
    <row r="56" spans="1:36" ht="30" customHeight="1">
      <c r="A56" s="91">
        <v>43</v>
      </c>
      <c r="B56" s="91" t="str">
        <f ca="1">IFERROR(INDEX(_TECH_Initiative_Library!$A$5:$A$76,MATCH($A56,_TECH_Initiative_Library!$AU$5:$AU$76,0)),"")</f>
        <v/>
      </c>
      <c r="C56" s="48" t="str">
        <f ca="1">IFERROR(INDEX(_TECH_Initiative_Library!$F$5:$F$76,MATCH($A56,_TECH_Initiative_Library!$AU$5:$AU$76,0)),"")</f>
        <v/>
      </c>
      <c r="D56" s="91" t="str">
        <f ca="1">IFERROR(INDEX(_TECH_Initiative_Library!$B$5:$B$76,MATCH($A56,_TECH_Initiative_Library!$AU$5:$AU$76,0)),"")</f>
        <v/>
      </c>
      <c r="E56" s="48" t="str">
        <f ca="1">IFERROR(INDEX(_TECH_Initiative_Library!$D$5:$D$76,MATCH($A56,_TECH_Initiative_Library!$AU$5:$AU$76,0)),"")</f>
        <v/>
      </c>
      <c r="F56" s="87" t="str">
        <f ca="1">IFERROR(INDEX(_TECH_Initiative_Library!$AT$5:$AT$76,MATCH($A56,_TECH_Initiative_Library!$AU$5:$AU$76,0)),"")</f>
        <v/>
      </c>
      <c r="G56" s="91" t="str">
        <f ca="1">IFERROR(INDEX(_TECH_Initiative_Library!$AB$5:$AB$76,MATCH($A56,_TECH_Initiative_Library!$AU$5:$AU$76,0)),"")</f>
        <v/>
      </c>
      <c r="H56" s="91" t="str">
        <f ca="1">IFERROR(INDEX(_TECH_Initiative_Library!$Z$5:$Z$76,MATCH($A56,_TECH_Initiative_Library!$AU$5:$AU$76,0)),"")</f>
        <v/>
      </c>
      <c r="I56" s="91" t="str">
        <f ca="1">IFERROR(INDEX(_TECH_Initiative_Library!$AA$5:$AA$76,MATCH($A56,_TECH_Initiative_Library!$AU$5:$AU$76,0)),"")</f>
        <v/>
      </c>
      <c r="J56" s="91" t="str">
        <f ca="1">IFERROR(INDEX(_TECH_Initiative_Library!$AE$5:$AE$76,MATCH($A56,_TECH_Initiative_Library!$AU$5:$AU$76,0)),"")</f>
        <v/>
      </c>
      <c r="K56" s="91" t="str">
        <f ca="1">IFERROR(INDEX(_TECH_Initiative_Library!$AF$5:$AF$76,MATCH($A56,_TECH_Initiative_Library!$AU$5:$AU$76,0)),"")</f>
        <v/>
      </c>
      <c r="L56" s="91" t="str">
        <f ca="1">IFERROR(INDEX(_TECH_Initiative_Library!$AO$5:$AO$76,MATCH($A56,_TECH_Initiative_Library!$AU$5:$AU$76,0)),"Not started")</f>
        <v>Not started</v>
      </c>
      <c r="M56" s="91" t="str">
        <f t="shared" ca="1" si="14"/>
        <v/>
      </c>
      <c r="N56" s="98" t="str">
        <f ca="1">IF($B56="","",IF($J56="0-90 days",$B$4,IF($J56="3-6 months",EDATE($B$4,3),IF($J56="6-12 months",EDATE($B$4,6),EDATE($B$4,12))))+(COUNTIF($J$14:$J56,$J56)-1)*14)</f>
        <v/>
      </c>
      <c r="O56" s="98" t="str">
        <f t="shared" ca="1" si="15"/>
        <v/>
      </c>
      <c r="P56" s="91" t="str">
        <f t="shared" ca="1" si="16"/>
        <v/>
      </c>
      <c r="Q56" s="48" t="str">
        <f ca="1">IFERROR(INDEX(_TECH_Initiative_Library!$AH$5:$AH$76,MATCH($A56,_TECH_Initiative_Library!$AU$5:$AU$76,0)),"")</f>
        <v/>
      </c>
      <c r="R56" s="48" t="str">
        <f ca="1">IFERROR(INDEX(_TECH_Initiative_Library!$AI$5:$AI$76,MATCH($A56,_TECH_Initiative_Library!$AU$5:$AU$76,0)),"")</f>
        <v/>
      </c>
      <c r="S56" s="91" t="str">
        <f t="shared" ca="1" si="17"/>
        <v/>
      </c>
      <c r="T56" s="91" t="str">
        <f t="shared" ca="1" si="17"/>
        <v/>
      </c>
      <c r="U56" s="91" t="str">
        <f t="shared" ca="1" si="17"/>
        <v/>
      </c>
      <c r="V56" s="91" t="str">
        <f t="shared" ca="1" si="17"/>
        <v/>
      </c>
      <c r="W56" s="91" t="str">
        <f t="shared" ca="1" si="17"/>
        <v/>
      </c>
      <c r="X56" s="91" t="str">
        <f t="shared" ca="1" si="17"/>
        <v/>
      </c>
      <c r="Y56" s="91" t="str">
        <f t="shared" ca="1" si="17"/>
        <v/>
      </c>
      <c r="Z56" s="91" t="str">
        <f t="shared" ca="1" si="17"/>
        <v/>
      </c>
      <c r="AA56" s="91" t="str">
        <f t="shared" ca="1" si="17"/>
        <v/>
      </c>
      <c r="AB56" s="91" t="str">
        <f t="shared" ca="1" si="17"/>
        <v/>
      </c>
      <c r="AC56" s="91" t="str">
        <f t="shared" ca="1" si="18"/>
        <v/>
      </c>
      <c r="AD56" s="91" t="str">
        <f t="shared" ca="1" si="18"/>
        <v/>
      </c>
      <c r="AE56" s="91" t="str">
        <f t="shared" ca="1" si="18"/>
        <v/>
      </c>
      <c r="AF56" s="91" t="str">
        <f t="shared" ca="1" si="18"/>
        <v/>
      </c>
      <c r="AG56" s="91" t="str">
        <f t="shared" ca="1" si="18"/>
        <v/>
      </c>
      <c r="AH56" s="91" t="str">
        <f t="shared" ca="1" si="18"/>
        <v/>
      </c>
      <c r="AI56" s="91" t="str">
        <f t="shared" ca="1" si="18"/>
        <v/>
      </c>
      <c r="AJ56" s="91" t="str">
        <f t="shared" ca="1" si="18"/>
        <v/>
      </c>
    </row>
    <row r="57" spans="1:36" ht="30" customHeight="1">
      <c r="A57" s="91">
        <v>44</v>
      </c>
      <c r="B57" s="91" t="str">
        <f ca="1">IFERROR(INDEX(_TECH_Initiative_Library!$A$5:$A$76,MATCH($A57,_TECH_Initiative_Library!$AU$5:$AU$76,0)),"")</f>
        <v/>
      </c>
      <c r="C57" s="48" t="str">
        <f ca="1">IFERROR(INDEX(_TECH_Initiative_Library!$F$5:$F$76,MATCH($A57,_TECH_Initiative_Library!$AU$5:$AU$76,0)),"")</f>
        <v/>
      </c>
      <c r="D57" s="91" t="str">
        <f ca="1">IFERROR(INDEX(_TECH_Initiative_Library!$B$5:$B$76,MATCH($A57,_TECH_Initiative_Library!$AU$5:$AU$76,0)),"")</f>
        <v/>
      </c>
      <c r="E57" s="48" t="str">
        <f ca="1">IFERROR(INDEX(_TECH_Initiative_Library!$D$5:$D$76,MATCH($A57,_TECH_Initiative_Library!$AU$5:$AU$76,0)),"")</f>
        <v/>
      </c>
      <c r="F57" s="87" t="str">
        <f ca="1">IFERROR(INDEX(_TECH_Initiative_Library!$AT$5:$AT$76,MATCH($A57,_TECH_Initiative_Library!$AU$5:$AU$76,0)),"")</f>
        <v/>
      </c>
      <c r="G57" s="91" t="str">
        <f ca="1">IFERROR(INDEX(_TECH_Initiative_Library!$AB$5:$AB$76,MATCH($A57,_TECH_Initiative_Library!$AU$5:$AU$76,0)),"")</f>
        <v/>
      </c>
      <c r="H57" s="91" t="str">
        <f ca="1">IFERROR(INDEX(_TECH_Initiative_Library!$Z$5:$Z$76,MATCH($A57,_TECH_Initiative_Library!$AU$5:$AU$76,0)),"")</f>
        <v/>
      </c>
      <c r="I57" s="91" t="str">
        <f ca="1">IFERROR(INDEX(_TECH_Initiative_Library!$AA$5:$AA$76,MATCH($A57,_TECH_Initiative_Library!$AU$5:$AU$76,0)),"")</f>
        <v/>
      </c>
      <c r="J57" s="91" t="str">
        <f ca="1">IFERROR(INDEX(_TECH_Initiative_Library!$AE$5:$AE$76,MATCH($A57,_TECH_Initiative_Library!$AU$5:$AU$76,0)),"")</f>
        <v/>
      </c>
      <c r="K57" s="91" t="str">
        <f ca="1">IFERROR(INDEX(_TECH_Initiative_Library!$AF$5:$AF$76,MATCH($A57,_TECH_Initiative_Library!$AU$5:$AU$76,0)),"")</f>
        <v/>
      </c>
      <c r="L57" s="91" t="str">
        <f ca="1">IFERROR(INDEX(_TECH_Initiative_Library!$AO$5:$AO$76,MATCH($A57,_TECH_Initiative_Library!$AU$5:$AU$76,0)),"Not started")</f>
        <v>Not started</v>
      </c>
      <c r="M57" s="91" t="str">
        <f t="shared" ca="1" si="14"/>
        <v/>
      </c>
      <c r="N57" s="98" t="str">
        <f ca="1">IF($B57="","",IF($J57="0-90 days",$B$4,IF($J57="3-6 months",EDATE($B$4,3),IF($J57="6-12 months",EDATE($B$4,6),EDATE($B$4,12))))+(COUNTIF($J$14:$J57,$J57)-1)*14)</f>
        <v/>
      </c>
      <c r="O57" s="98" t="str">
        <f t="shared" ca="1" si="15"/>
        <v/>
      </c>
      <c r="P57" s="91" t="str">
        <f t="shared" ca="1" si="16"/>
        <v/>
      </c>
      <c r="Q57" s="48" t="str">
        <f ca="1">IFERROR(INDEX(_TECH_Initiative_Library!$AH$5:$AH$76,MATCH($A57,_TECH_Initiative_Library!$AU$5:$AU$76,0)),"")</f>
        <v/>
      </c>
      <c r="R57" s="48" t="str">
        <f ca="1">IFERROR(INDEX(_TECH_Initiative_Library!$AI$5:$AI$76,MATCH($A57,_TECH_Initiative_Library!$AU$5:$AU$76,0)),"")</f>
        <v/>
      </c>
      <c r="S57" s="91" t="str">
        <f t="shared" ca="1" si="17"/>
        <v/>
      </c>
      <c r="T57" s="91" t="str">
        <f t="shared" ca="1" si="17"/>
        <v/>
      </c>
      <c r="U57" s="91" t="str">
        <f t="shared" ca="1" si="17"/>
        <v/>
      </c>
      <c r="V57" s="91" t="str">
        <f t="shared" ca="1" si="17"/>
        <v/>
      </c>
      <c r="W57" s="91" t="str">
        <f t="shared" ca="1" si="17"/>
        <v/>
      </c>
      <c r="X57" s="91" t="str">
        <f t="shared" ca="1" si="17"/>
        <v/>
      </c>
      <c r="Y57" s="91" t="str">
        <f t="shared" ca="1" si="17"/>
        <v/>
      </c>
      <c r="Z57" s="91" t="str">
        <f t="shared" ca="1" si="17"/>
        <v/>
      </c>
      <c r="AA57" s="91" t="str">
        <f t="shared" ca="1" si="17"/>
        <v/>
      </c>
      <c r="AB57" s="91" t="str">
        <f t="shared" ca="1" si="17"/>
        <v/>
      </c>
      <c r="AC57" s="91" t="str">
        <f t="shared" ca="1" si="18"/>
        <v/>
      </c>
      <c r="AD57" s="91" t="str">
        <f t="shared" ca="1" si="18"/>
        <v/>
      </c>
      <c r="AE57" s="91" t="str">
        <f t="shared" ca="1" si="18"/>
        <v/>
      </c>
      <c r="AF57" s="91" t="str">
        <f t="shared" ca="1" si="18"/>
        <v/>
      </c>
      <c r="AG57" s="91" t="str">
        <f t="shared" ca="1" si="18"/>
        <v/>
      </c>
      <c r="AH57" s="91" t="str">
        <f t="shared" ca="1" si="18"/>
        <v/>
      </c>
      <c r="AI57" s="91" t="str">
        <f t="shared" ca="1" si="18"/>
        <v/>
      </c>
      <c r="AJ57" s="91" t="str">
        <f t="shared" ca="1" si="18"/>
        <v/>
      </c>
    </row>
    <row r="58" spans="1:36" ht="30" customHeight="1">
      <c r="A58" s="91">
        <v>45</v>
      </c>
      <c r="B58" s="91" t="str">
        <f ca="1">IFERROR(INDEX(_TECH_Initiative_Library!$A$5:$A$76,MATCH($A58,_TECH_Initiative_Library!$AU$5:$AU$76,0)),"")</f>
        <v/>
      </c>
      <c r="C58" s="48" t="str">
        <f ca="1">IFERROR(INDEX(_TECH_Initiative_Library!$F$5:$F$76,MATCH($A58,_TECH_Initiative_Library!$AU$5:$AU$76,0)),"")</f>
        <v/>
      </c>
      <c r="D58" s="91" t="str">
        <f ca="1">IFERROR(INDEX(_TECH_Initiative_Library!$B$5:$B$76,MATCH($A58,_TECH_Initiative_Library!$AU$5:$AU$76,0)),"")</f>
        <v/>
      </c>
      <c r="E58" s="48" t="str">
        <f ca="1">IFERROR(INDEX(_TECH_Initiative_Library!$D$5:$D$76,MATCH($A58,_TECH_Initiative_Library!$AU$5:$AU$76,0)),"")</f>
        <v/>
      </c>
      <c r="F58" s="87" t="str">
        <f ca="1">IFERROR(INDEX(_TECH_Initiative_Library!$AT$5:$AT$76,MATCH($A58,_TECH_Initiative_Library!$AU$5:$AU$76,0)),"")</f>
        <v/>
      </c>
      <c r="G58" s="91" t="str">
        <f ca="1">IFERROR(INDEX(_TECH_Initiative_Library!$AB$5:$AB$76,MATCH($A58,_TECH_Initiative_Library!$AU$5:$AU$76,0)),"")</f>
        <v/>
      </c>
      <c r="H58" s="91" t="str">
        <f ca="1">IFERROR(INDEX(_TECH_Initiative_Library!$Z$5:$Z$76,MATCH($A58,_TECH_Initiative_Library!$AU$5:$AU$76,0)),"")</f>
        <v/>
      </c>
      <c r="I58" s="91" t="str">
        <f ca="1">IFERROR(INDEX(_TECH_Initiative_Library!$AA$5:$AA$76,MATCH($A58,_TECH_Initiative_Library!$AU$5:$AU$76,0)),"")</f>
        <v/>
      </c>
      <c r="J58" s="91" t="str">
        <f ca="1">IFERROR(INDEX(_TECH_Initiative_Library!$AE$5:$AE$76,MATCH($A58,_TECH_Initiative_Library!$AU$5:$AU$76,0)),"")</f>
        <v/>
      </c>
      <c r="K58" s="91" t="str">
        <f ca="1">IFERROR(INDEX(_TECH_Initiative_Library!$AF$5:$AF$76,MATCH($A58,_TECH_Initiative_Library!$AU$5:$AU$76,0)),"")</f>
        <v/>
      </c>
      <c r="L58" s="91" t="str">
        <f ca="1">IFERROR(INDEX(_TECH_Initiative_Library!$AO$5:$AO$76,MATCH($A58,_TECH_Initiative_Library!$AU$5:$AU$76,0)),"Not started")</f>
        <v>Not started</v>
      </c>
      <c r="M58" s="91" t="str">
        <f t="shared" ca="1" si="14"/>
        <v/>
      </c>
      <c r="N58" s="98" t="str">
        <f ca="1">IF($B58="","",IF($J58="0-90 days",$B$4,IF($J58="3-6 months",EDATE($B$4,3),IF($J58="6-12 months",EDATE($B$4,6),EDATE($B$4,12))))+(COUNTIF($J$14:$J58,$J58)-1)*14)</f>
        <v/>
      </c>
      <c r="O58" s="98" t="str">
        <f t="shared" ca="1" si="15"/>
        <v/>
      </c>
      <c r="P58" s="91" t="str">
        <f t="shared" ca="1" si="16"/>
        <v/>
      </c>
      <c r="Q58" s="48" t="str">
        <f ca="1">IFERROR(INDEX(_TECH_Initiative_Library!$AH$5:$AH$76,MATCH($A58,_TECH_Initiative_Library!$AU$5:$AU$76,0)),"")</f>
        <v/>
      </c>
      <c r="R58" s="48" t="str">
        <f ca="1">IFERROR(INDEX(_TECH_Initiative_Library!$AI$5:$AI$76,MATCH($A58,_TECH_Initiative_Library!$AU$5:$AU$76,0)),"")</f>
        <v/>
      </c>
      <c r="S58" s="91" t="str">
        <f t="shared" ca="1" si="17"/>
        <v/>
      </c>
      <c r="T58" s="91" t="str">
        <f t="shared" ca="1" si="17"/>
        <v/>
      </c>
      <c r="U58" s="91" t="str">
        <f t="shared" ca="1" si="17"/>
        <v/>
      </c>
      <c r="V58" s="91" t="str">
        <f t="shared" ca="1" si="17"/>
        <v/>
      </c>
      <c r="W58" s="91" t="str">
        <f t="shared" ca="1" si="17"/>
        <v/>
      </c>
      <c r="X58" s="91" t="str">
        <f t="shared" ca="1" si="17"/>
        <v/>
      </c>
      <c r="Y58" s="91" t="str">
        <f t="shared" ca="1" si="17"/>
        <v/>
      </c>
      <c r="Z58" s="91" t="str">
        <f t="shared" ca="1" si="17"/>
        <v/>
      </c>
      <c r="AA58" s="91" t="str">
        <f t="shared" ca="1" si="17"/>
        <v/>
      </c>
      <c r="AB58" s="91" t="str">
        <f t="shared" ca="1" si="17"/>
        <v/>
      </c>
      <c r="AC58" s="91" t="str">
        <f t="shared" ca="1" si="18"/>
        <v/>
      </c>
      <c r="AD58" s="91" t="str">
        <f t="shared" ca="1" si="18"/>
        <v/>
      </c>
      <c r="AE58" s="91" t="str">
        <f t="shared" ca="1" si="18"/>
        <v/>
      </c>
      <c r="AF58" s="91" t="str">
        <f t="shared" ca="1" si="18"/>
        <v/>
      </c>
      <c r="AG58" s="91" t="str">
        <f t="shared" ca="1" si="18"/>
        <v/>
      </c>
      <c r="AH58" s="91" t="str">
        <f t="shared" ca="1" si="18"/>
        <v/>
      </c>
      <c r="AI58" s="91" t="str">
        <f t="shared" ca="1" si="18"/>
        <v/>
      </c>
      <c r="AJ58" s="91" t="str">
        <f t="shared" ca="1" si="18"/>
        <v/>
      </c>
    </row>
    <row r="59" spans="1:36" ht="30" customHeight="1">
      <c r="A59" s="91">
        <v>46</v>
      </c>
      <c r="B59" s="91" t="str">
        <f ca="1">IFERROR(INDEX(_TECH_Initiative_Library!$A$5:$A$76,MATCH($A59,_TECH_Initiative_Library!$AU$5:$AU$76,0)),"")</f>
        <v/>
      </c>
      <c r="C59" s="48" t="str">
        <f ca="1">IFERROR(INDEX(_TECH_Initiative_Library!$F$5:$F$76,MATCH($A59,_TECH_Initiative_Library!$AU$5:$AU$76,0)),"")</f>
        <v/>
      </c>
      <c r="D59" s="91" t="str">
        <f ca="1">IFERROR(INDEX(_TECH_Initiative_Library!$B$5:$B$76,MATCH($A59,_TECH_Initiative_Library!$AU$5:$AU$76,0)),"")</f>
        <v/>
      </c>
      <c r="E59" s="48" t="str">
        <f ca="1">IFERROR(INDEX(_TECH_Initiative_Library!$D$5:$D$76,MATCH($A59,_TECH_Initiative_Library!$AU$5:$AU$76,0)),"")</f>
        <v/>
      </c>
      <c r="F59" s="87" t="str">
        <f ca="1">IFERROR(INDEX(_TECH_Initiative_Library!$AT$5:$AT$76,MATCH($A59,_TECH_Initiative_Library!$AU$5:$AU$76,0)),"")</f>
        <v/>
      </c>
      <c r="G59" s="91" t="str">
        <f ca="1">IFERROR(INDEX(_TECH_Initiative_Library!$AB$5:$AB$76,MATCH($A59,_TECH_Initiative_Library!$AU$5:$AU$76,0)),"")</f>
        <v/>
      </c>
      <c r="H59" s="91" t="str">
        <f ca="1">IFERROR(INDEX(_TECH_Initiative_Library!$Z$5:$Z$76,MATCH($A59,_TECH_Initiative_Library!$AU$5:$AU$76,0)),"")</f>
        <v/>
      </c>
      <c r="I59" s="91" t="str">
        <f ca="1">IFERROR(INDEX(_TECH_Initiative_Library!$AA$5:$AA$76,MATCH($A59,_TECH_Initiative_Library!$AU$5:$AU$76,0)),"")</f>
        <v/>
      </c>
      <c r="J59" s="91" t="str">
        <f ca="1">IFERROR(INDEX(_TECH_Initiative_Library!$AE$5:$AE$76,MATCH($A59,_TECH_Initiative_Library!$AU$5:$AU$76,0)),"")</f>
        <v/>
      </c>
      <c r="K59" s="91" t="str">
        <f ca="1">IFERROR(INDEX(_TECH_Initiative_Library!$AF$5:$AF$76,MATCH($A59,_TECH_Initiative_Library!$AU$5:$AU$76,0)),"")</f>
        <v/>
      </c>
      <c r="L59" s="91" t="str">
        <f ca="1">IFERROR(INDEX(_TECH_Initiative_Library!$AO$5:$AO$76,MATCH($A59,_TECH_Initiative_Library!$AU$5:$AU$76,0)),"Not started")</f>
        <v>Not started</v>
      </c>
      <c r="M59" s="91" t="str">
        <f t="shared" ca="1" si="14"/>
        <v/>
      </c>
      <c r="N59" s="98" t="str">
        <f ca="1">IF($B59="","",IF($J59="0-90 days",$B$4,IF($J59="3-6 months",EDATE($B$4,3),IF($J59="6-12 months",EDATE($B$4,6),EDATE($B$4,12))))+(COUNTIF($J$14:$J59,$J59)-1)*14)</f>
        <v/>
      </c>
      <c r="O59" s="98" t="str">
        <f t="shared" ca="1" si="15"/>
        <v/>
      </c>
      <c r="P59" s="91" t="str">
        <f t="shared" ca="1" si="16"/>
        <v/>
      </c>
      <c r="Q59" s="48" t="str">
        <f ca="1">IFERROR(INDEX(_TECH_Initiative_Library!$AH$5:$AH$76,MATCH($A59,_TECH_Initiative_Library!$AU$5:$AU$76,0)),"")</f>
        <v/>
      </c>
      <c r="R59" s="48" t="str">
        <f ca="1">IFERROR(INDEX(_TECH_Initiative_Library!$AI$5:$AI$76,MATCH($A59,_TECH_Initiative_Library!$AU$5:$AU$76,0)),"")</f>
        <v/>
      </c>
      <c r="S59" s="91" t="str">
        <f t="shared" ca="1" si="17"/>
        <v/>
      </c>
      <c r="T59" s="91" t="str">
        <f t="shared" ca="1" si="17"/>
        <v/>
      </c>
      <c r="U59" s="91" t="str">
        <f t="shared" ca="1" si="17"/>
        <v/>
      </c>
      <c r="V59" s="91" t="str">
        <f t="shared" ca="1" si="17"/>
        <v/>
      </c>
      <c r="W59" s="91" t="str">
        <f t="shared" ca="1" si="17"/>
        <v/>
      </c>
      <c r="X59" s="91" t="str">
        <f t="shared" ca="1" si="17"/>
        <v/>
      </c>
      <c r="Y59" s="91" t="str">
        <f t="shared" ca="1" si="17"/>
        <v/>
      </c>
      <c r="Z59" s="91" t="str">
        <f t="shared" ca="1" si="17"/>
        <v/>
      </c>
      <c r="AA59" s="91" t="str">
        <f t="shared" ca="1" si="17"/>
        <v/>
      </c>
      <c r="AB59" s="91" t="str">
        <f t="shared" ca="1" si="17"/>
        <v/>
      </c>
      <c r="AC59" s="91" t="str">
        <f t="shared" ca="1" si="18"/>
        <v/>
      </c>
      <c r="AD59" s="91" t="str">
        <f t="shared" ca="1" si="18"/>
        <v/>
      </c>
      <c r="AE59" s="91" t="str">
        <f t="shared" ca="1" si="18"/>
        <v/>
      </c>
      <c r="AF59" s="91" t="str">
        <f t="shared" ca="1" si="18"/>
        <v/>
      </c>
      <c r="AG59" s="91" t="str">
        <f t="shared" ca="1" si="18"/>
        <v/>
      </c>
      <c r="AH59" s="91" t="str">
        <f t="shared" ca="1" si="18"/>
        <v/>
      </c>
      <c r="AI59" s="91" t="str">
        <f t="shared" ca="1" si="18"/>
        <v/>
      </c>
      <c r="AJ59" s="91" t="str">
        <f t="shared" ca="1" si="18"/>
        <v/>
      </c>
    </row>
    <row r="60" spans="1:36" ht="30" customHeight="1">
      <c r="A60" s="91">
        <v>47</v>
      </c>
      <c r="B60" s="91" t="str">
        <f ca="1">IFERROR(INDEX(_TECH_Initiative_Library!$A$5:$A$76,MATCH($A60,_TECH_Initiative_Library!$AU$5:$AU$76,0)),"")</f>
        <v/>
      </c>
      <c r="C60" s="48" t="str">
        <f ca="1">IFERROR(INDEX(_TECH_Initiative_Library!$F$5:$F$76,MATCH($A60,_TECH_Initiative_Library!$AU$5:$AU$76,0)),"")</f>
        <v/>
      </c>
      <c r="D60" s="91" t="str">
        <f ca="1">IFERROR(INDEX(_TECH_Initiative_Library!$B$5:$B$76,MATCH($A60,_TECH_Initiative_Library!$AU$5:$AU$76,0)),"")</f>
        <v/>
      </c>
      <c r="E60" s="48" t="str">
        <f ca="1">IFERROR(INDEX(_TECH_Initiative_Library!$D$5:$D$76,MATCH($A60,_TECH_Initiative_Library!$AU$5:$AU$76,0)),"")</f>
        <v/>
      </c>
      <c r="F60" s="87" t="str">
        <f ca="1">IFERROR(INDEX(_TECH_Initiative_Library!$AT$5:$AT$76,MATCH($A60,_TECH_Initiative_Library!$AU$5:$AU$76,0)),"")</f>
        <v/>
      </c>
      <c r="G60" s="91" t="str">
        <f ca="1">IFERROR(INDEX(_TECH_Initiative_Library!$AB$5:$AB$76,MATCH($A60,_TECH_Initiative_Library!$AU$5:$AU$76,0)),"")</f>
        <v/>
      </c>
      <c r="H60" s="91" t="str">
        <f ca="1">IFERROR(INDEX(_TECH_Initiative_Library!$Z$5:$Z$76,MATCH($A60,_TECH_Initiative_Library!$AU$5:$AU$76,0)),"")</f>
        <v/>
      </c>
      <c r="I60" s="91" t="str">
        <f ca="1">IFERROR(INDEX(_TECH_Initiative_Library!$AA$5:$AA$76,MATCH($A60,_TECH_Initiative_Library!$AU$5:$AU$76,0)),"")</f>
        <v/>
      </c>
      <c r="J60" s="91" t="str">
        <f ca="1">IFERROR(INDEX(_TECH_Initiative_Library!$AE$5:$AE$76,MATCH($A60,_TECH_Initiative_Library!$AU$5:$AU$76,0)),"")</f>
        <v/>
      </c>
      <c r="K60" s="91" t="str">
        <f ca="1">IFERROR(INDEX(_TECH_Initiative_Library!$AF$5:$AF$76,MATCH($A60,_TECH_Initiative_Library!$AU$5:$AU$76,0)),"")</f>
        <v/>
      </c>
      <c r="L60" s="91" t="str">
        <f ca="1">IFERROR(INDEX(_TECH_Initiative_Library!$AO$5:$AO$76,MATCH($A60,_TECH_Initiative_Library!$AU$5:$AU$76,0)),"Not started")</f>
        <v>Not started</v>
      </c>
      <c r="M60" s="91" t="str">
        <f t="shared" ca="1" si="14"/>
        <v/>
      </c>
      <c r="N60" s="98" t="str">
        <f ca="1">IF($B60="","",IF($J60="0-90 days",$B$4,IF($J60="3-6 months",EDATE($B$4,3),IF($J60="6-12 months",EDATE($B$4,6),EDATE($B$4,12))))+(COUNTIF($J$14:$J60,$J60)-1)*14)</f>
        <v/>
      </c>
      <c r="O60" s="98" t="str">
        <f t="shared" ca="1" si="15"/>
        <v/>
      </c>
      <c r="P60" s="91" t="str">
        <f t="shared" ca="1" si="16"/>
        <v/>
      </c>
      <c r="Q60" s="48" t="str">
        <f ca="1">IFERROR(INDEX(_TECH_Initiative_Library!$AH$5:$AH$76,MATCH($A60,_TECH_Initiative_Library!$AU$5:$AU$76,0)),"")</f>
        <v/>
      </c>
      <c r="R60" s="48" t="str">
        <f ca="1">IFERROR(INDEX(_TECH_Initiative_Library!$AI$5:$AI$76,MATCH($A60,_TECH_Initiative_Library!$AU$5:$AU$76,0)),"")</f>
        <v/>
      </c>
      <c r="S60" s="91" t="str">
        <f t="shared" ca="1" si="17"/>
        <v/>
      </c>
      <c r="T60" s="91" t="str">
        <f t="shared" ca="1" si="17"/>
        <v/>
      </c>
      <c r="U60" s="91" t="str">
        <f t="shared" ca="1" si="17"/>
        <v/>
      </c>
      <c r="V60" s="91" t="str">
        <f t="shared" ca="1" si="17"/>
        <v/>
      </c>
      <c r="W60" s="91" t="str">
        <f t="shared" ca="1" si="17"/>
        <v/>
      </c>
      <c r="X60" s="91" t="str">
        <f t="shared" ca="1" si="17"/>
        <v/>
      </c>
      <c r="Y60" s="91" t="str">
        <f t="shared" ca="1" si="17"/>
        <v/>
      </c>
      <c r="Z60" s="91" t="str">
        <f t="shared" ca="1" si="17"/>
        <v/>
      </c>
      <c r="AA60" s="91" t="str">
        <f t="shared" ca="1" si="17"/>
        <v/>
      </c>
      <c r="AB60" s="91" t="str">
        <f t="shared" ca="1" si="17"/>
        <v/>
      </c>
      <c r="AC60" s="91" t="str">
        <f t="shared" ca="1" si="18"/>
        <v/>
      </c>
      <c r="AD60" s="91" t="str">
        <f t="shared" ca="1" si="18"/>
        <v/>
      </c>
      <c r="AE60" s="91" t="str">
        <f t="shared" ca="1" si="18"/>
        <v/>
      </c>
      <c r="AF60" s="91" t="str">
        <f t="shared" ca="1" si="18"/>
        <v/>
      </c>
      <c r="AG60" s="91" t="str">
        <f t="shared" ca="1" si="18"/>
        <v/>
      </c>
      <c r="AH60" s="91" t="str">
        <f t="shared" ca="1" si="18"/>
        <v/>
      </c>
      <c r="AI60" s="91" t="str">
        <f t="shared" ca="1" si="18"/>
        <v/>
      </c>
      <c r="AJ60" s="91" t="str">
        <f t="shared" ca="1" si="18"/>
        <v/>
      </c>
    </row>
    <row r="61" spans="1:36" ht="30" customHeight="1">
      <c r="A61" s="91">
        <v>48</v>
      </c>
      <c r="B61" s="91" t="str">
        <f ca="1">IFERROR(INDEX(_TECH_Initiative_Library!$A$5:$A$76,MATCH($A61,_TECH_Initiative_Library!$AU$5:$AU$76,0)),"")</f>
        <v/>
      </c>
      <c r="C61" s="48" t="str">
        <f ca="1">IFERROR(INDEX(_TECH_Initiative_Library!$F$5:$F$76,MATCH($A61,_TECH_Initiative_Library!$AU$5:$AU$76,0)),"")</f>
        <v/>
      </c>
      <c r="D61" s="91" t="str">
        <f ca="1">IFERROR(INDEX(_TECH_Initiative_Library!$B$5:$B$76,MATCH($A61,_TECH_Initiative_Library!$AU$5:$AU$76,0)),"")</f>
        <v/>
      </c>
      <c r="E61" s="48" t="str">
        <f ca="1">IFERROR(INDEX(_TECH_Initiative_Library!$D$5:$D$76,MATCH($A61,_TECH_Initiative_Library!$AU$5:$AU$76,0)),"")</f>
        <v/>
      </c>
      <c r="F61" s="87" t="str">
        <f ca="1">IFERROR(INDEX(_TECH_Initiative_Library!$AT$5:$AT$76,MATCH($A61,_TECH_Initiative_Library!$AU$5:$AU$76,0)),"")</f>
        <v/>
      </c>
      <c r="G61" s="91" t="str">
        <f ca="1">IFERROR(INDEX(_TECH_Initiative_Library!$AB$5:$AB$76,MATCH($A61,_TECH_Initiative_Library!$AU$5:$AU$76,0)),"")</f>
        <v/>
      </c>
      <c r="H61" s="91" t="str">
        <f ca="1">IFERROR(INDEX(_TECH_Initiative_Library!$Z$5:$Z$76,MATCH($A61,_TECH_Initiative_Library!$AU$5:$AU$76,0)),"")</f>
        <v/>
      </c>
      <c r="I61" s="91" t="str">
        <f ca="1">IFERROR(INDEX(_TECH_Initiative_Library!$AA$5:$AA$76,MATCH($A61,_TECH_Initiative_Library!$AU$5:$AU$76,0)),"")</f>
        <v/>
      </c>
      <c r="J61" s="91" t="str">
        <f ca="1">IFERROR(INDEX(_TECH_Initiative_Library!$AE$5:$AE$76,MATCH($A61,_TECH_Initiative_Library!$AU$5:$AU$76,0)),"")</f>
        <v/>
      </c>
      <c r="K61" s="91" t="str">
        <f ca="1">IFERROR(INDEX(_TECH_Initiative_Library!$AF$5:$AF$76,MATCH($A61,_TECH_Initiative_Library!$AU$5:$AU$76,0)),"")</f>
        <v/>
      </c>
      <c r="L61" s="91" t="str">
        <f ca="1">IFERROR(INDEX(_TECH_Initiative_Library!$AO$5:$AO$76,MATCH($A61,_TECH_Initiative_Library!$AU$5:$AU$76,0)),"Not started")</f>
        <v>Not started</v>
      </c>
      <c r="M61" s="91" t="str">
        <f t="shared" ca="1" si="14"/>
        <v/>
      </c>
      <c r="N61" s="98" t="str">
        <f ca="1">IF($B61="","",IF($J61="0-90 days",$B$4,IF($J61="3-6 months",EDATE($B$4,3),IF($J61="6-12 months",EDATE($B$4,6),EDATE($B$4,12))))+(COUNTIF($J$14:$J61,$J61)-1)*14)</f>
        <v/>
      </c>
      <c r="O61" s="98" t="str">
        <f t="shared" ca="1" si="15"/>
        <v/>
      </c>
      <c r="P61" s="91" t="str">
        <f t="shared" ca="1" si="16"/>
        <v/>
      </c>
      <c r="Q61" s="48" t="str">
        <f ca="1">IFERROR(INDEX(_TECH_Initiative_Library!$AH$5:$AH$76,MATCH($A61,_TECH_Initiative_Library!$AU$5:$AU$76,0)),"")</f>
        <v/>
      </c>
      <c r="R61" s="48" t="str">
        <f ca="1">IFERROR(INDEX(_TECH_Initiative_Library!$AI$5:$AI$76,MATCH($A61,_TECH_Initiative_Library!$AU$5:$AU$76,0)),"")</f>
        <v/>
      </c>
      <c r="S61" s="91" t="str">
        <f t="shared" ca="1" si="17"/>
        <v/>
      </c>
      <c r="T61" s="91" t="str">
        <f t="shared" ca="1" si="17"/>
        <v/>
      </c>
      <c r="U61" s="91" t="str">
        <f t="shared" ca="1" si="17"/>
        <v/>
      </c>
      <c r="V61" s="91" t="str">
        <f t="shared" ca="1" si="17"/>
        <v/>
      </c>
      <c r="W61" s="91" t="str">
        <f t="shared" ca="1" si="17"/>
        <v/>
      </c>
      <c r="X61" s="91" t="str">
        <f t="shared" ca="1" si="17"/>
        <v/>
      </c>
      <c r="Y61" s="91" t="str">
        <f t="shared" ca="1" si="17"/>
        <v/>
      </c>
      <c r="Z61" s="91" t="str">
        <f t="shared" ca="1" si="17"/>
        <v/>
      </c>
      <c r="AA61" s="91" t="str">
        <f t="shared" ca="1" si="17"/>
        <v/>
      </c>
      <c r="AB61" s="91" t="str">
        <f t="shared" ca="1" si="17"/>
        <v/>
      </c>
      <c r="AC61" s="91" t="str">
        <f t="shared" ca="1" si="18"/>
        <v/>
      </c>
      <c r="AD61" s="91" t="str">
        <f t="shared" ca="1" si="18"/>
        <v/>
      </c>
      <c r="AE61" s="91" t="str">
        <f t="shared" ca="1" si="18"/>
        <v/>
      </c>
      <c r="AF61" s="91" t="str">
        <f t="shared" ca="1" si="18"/>
        <v/>
      </c>
      <c r="AG61" s="91" t="str">
        <f t="shared" ca="1" si="18"/>
        <v/>
      </c>
      <c r="AH61" s="91" t="str">
        <f t="shared" ca="1" si="18"/>
        <v/>
      </c>
      <c r="AI61" s="91" t="str">
        <f t="shared" ca="1" si="18"/>
        <v/>
      </c>
      <c r="AJ61" s="91" t="str">
        <f t="shared" ca="1" si="18"/>
        <v/>
      </c>
    </row>
    <row r="62" spans="1:36" ht="30" customHeight="1">
      <c r="A62" s="91">
        <v>49</v>
      </c>
      <c r="B62" s="91" t="str">
        <f ca="1">IFERROR(INDEX(_TECH_Initiative_Library!$A$5:$A$76,MATCH($A62,_TECH_Initiative_Library!$AU$5:$AU$76,0)),"")</f>
        <v/>
      </c>
      <c r="C62" s="48" t="str">
        <f ca="1">IFERROR(INDEX(_TECH_Initiative_Library!$F$5:$F$76,MATCH($A62,_TECH_Initiative_Library!$AU$5:$AU$76,0)),"")</f>
        <v/>
      </c>
      <c r="D62" s="91" t="str">
        <f ca="1">IFERROR(INDEX(_TECH_Initiative_Library!$B$5:$B$76,MATCH($A62,_TECH_Initiative_Library!$AU$5:$AU$76,0)),"")</f>
        <v/>
      </c>
      <c r="E62" s="48" t="str">
        <f ca="1">IFERROR(INDEX(_TECH_Initiative_Library!$D$5:$D$76,MATCH($A62,_TECH_Initiative_Library!$AU$5:$AU$76,0)),"")</f>
        <v/>
      </c>
      <c r="F62" s="87" t="str">
        <f ca="1">IFERROR(INDEX(_TECH_Initiative_Library!$AT$5:$AT$76,MATCH($A62,_TECH_Initiative_Library!$AU$5:$AU$76,0)),"")</f>
        <v/>
      </c>
      <c r="G62" s="91" t="str">
        <f ca="1">IFERROR(INDEX(_TECH_Initiative_Library!$AB$5:$AB$76,MATCH($A62,_TECH_Initiative_Library!$AU$5:$AU$76,0)),"")</f>
        <v/>
      </c>
      <c r="H62" s="91" t="str">
        <f ca="1">IFERROR(INDEX(_TECH_Initiative_Library!$Z$5:$Z$76,MATCH($A62,_TECH_Initiative_Library!$AU$5:$AU$76,0)),"")</f>
        <v/>
      </c>
      <c r="I62" s="91" t="str">
        <f ca="1">IFERROR(INDEX(_TECH_Initiative_Library!$AA$5:$AA$76,MATCH($A62,_TECH_Initiative_Library!$AU$5:$AU$76,0)),"")</f>
        <v/>
      </c>
      <c r="J62" s="91" t="str">
        <f ca="1">IFERROR(INDEX(_TECH_Initiative_Library!$AE$5:$AE$76,MATCH($A62,_TECH_Initiative_Library!$AU$5:$AU$76,0)),"")</f>
        <v/>
      </c>
      <c r="K62" s="91" t="str">
        <f ca="1">IFERROR(INDEX(_TECH_Initiative_Library!$AF$5:$AF$76,MATCH($A62,_TECH_Initiative_Library!$AU$5:$AU$76,0)),"")</f>
        <v/>
      </c>
      <c r="L62" s="91" t="str">
        <f ca="1">IFERROR(INDEX(_TECH_Initiative_Library!$AO$5:$AO$76,MATCH($A62,_TECH_Initiative_Library!$AU$5:$AU$76,0)),"Not started")</f>
        <v>Not started</v>
      </c>
      <c r="M62" s="91" t="str">
        <f t="shared" ca="1" si="14"/>
        <v/>
      </c>
      <c r="N62" s="98" t="str">
        <f ca="1">IF($B62="","",IF($J62="0-90 days",$B$4,IF($J62="3-6 months",EDATE($B$4,3),IF($J62="6-12 months",EDATE($B$4,6),EDATE($B$4,12))))+(COUNTIF($J$14:$J62,$J62)-1)*14)</f>
        <v/>
      </c>
      <c r="O62" s="98" t="str">
        <f t="shared" ca="1" si="15"/>
        <v/>
      </c>
      <c r="P62" s="91" t="str">
        <f t="shared" ca="1" si="16"/>
        <v/>
      </c>
      <c r="Q62" s="48" t="str">
        <f ca="1">IFERROR(INDEX(_TECH_Initiative_Library!$AH$5:$AH$76,MATCH($A62,_TECH_Initiative_Library!$AU$5:$AU$76,0)),"")</f>
        <v/>
      </c>
      <c r="R62" s="48" t="str">
        <f ca="1">IFERROR(INDEX(_TECH_Initiative_Library!$AI$5:$AI$76,MATCH($A62,_TECH_Initiative_Library!$AU$5:$AU$76,0)),"")</f>
        <v/>
      </c>
      <c r="S62" s="91" t="str">
        <f t="shared" ca="1" si="17"/>
        <v/>
      </c>
      <c r="T62" s="91" t="str">
        <f t="shared" ca="1" si="17"/>
        <v/>
      </c>
      <c r="U62" s="91" t="str">
        <f t="shared" ca="1" si="17"/>
        <v/>
      </c>
      <c r="V62" s="91" t="str">
        <f t="shared" ca="1" si="17"/>
        <v/>
      </c>
      <c r="W62" s="91" t="str">
        <f t="shared" ca="1" si="17"/>
        <v/>
      </c>
      <c r="X62" s="91" t="str">
        <f t="shared" ca="1" si="17"/>
        <v/>
      </c>
      <c r="Y62" s="91" t="str">
        <f t="shared" ca="1" si="17"/>
        <v/>
      </c>
      <c r="Z62" s="91" t="str">
        <f t="shared" ca="1" si="17"/>
        <v/>
      </c>
      <c r="AA62" s="91" t="str">
        <f t="shared" ca="1" si="17"/>
        <v/>
      </c>
      <c r="AB62" s="91" t="str">
        <f t="shared" ca="1" si="17"/>
        <v/>
      </c>
      <c r="AC62" s="91" t="str">
        <f t="shared" ca="1" si="18"/>
        <v/>
      </c>
      <c r="AD62" s="91" t="str">
        <f t="shared" ca="1" si="18"/>
        <v/>
      </c>
      <c r="AE62" s="91" t="str">
        <f t="shared" ca="1" si="18"/>
        <v/>
      </c>
      <c r="AF62" s="91" t="str">
        <f t="shared" ca="1" si="18"/>
        <v/>
      </c>
      <c r="AG62" s="91" t="str">
        <f t="shared" ca="1" si="18"/>
        <v/>
      </c>
      <c r="AH62" s="91" t="str">
        <f t="shared" ca="1" si="18"/>
        <v/>
      </c>
      <c r="AI62" s="91" t="str">
        <f t="shared" ca="1" si="18"/>
        <v/>
      </c>
      <c r="AJ62" s="91" t="str">
        <f t="shared" ca="1" si="18"/>
        <v/>
      </c>
    </row>
    <row r="63" spans="1:36" ht="30" customHeight="1">
      <c r="A63" s="91">
        <v>50</v>
      </c>
      <c r="B63" s="91" t="str">
        <f ca="1">IFERROR(INDEX(_TECH_Initiative_Library!$A$5:$A$76,MATCH($A63,_TECH_Initiative_Library!$AU$5:$AU$76,0)),"")</f>
        <v/>
      </c>
      <c r="C63" s="48" t="str">
        <f ca="1">IFERROR(INDEX(_TECH_Initiative_Library!$F$5:$F$76,MATCH($A63,_TECH_Initiative_Library!$AU$5:$AU$76,0)),"")</f>
        <v/>
      </c>
      <c r="D63" s="91" t="str">
        <f ca="1">IFERROR(INDEX(_TECH_Initiative_Library!$B$5:$B$76,MATCH($A63,_TECH_Initiative_Library!$AU$5:$AU$76,0)),"")</f>
        <v/>
      </c>
      <c r="E63" s="48" t="str">
        <f ca="1">IFERROR(INDEX(_TECH_Initiative_Library!$D$5:$D$76,MATCH($A63,_TECH_Initiative_Library!$AU$5:$AU$76,0)),"")</f>
        <v/>
      </c>
      <c r="F63" s="87" t="str">
        <f ca="1">IFERROR(INDEX(_TECH_Initiative_Library!$AT$5:$AT$76,MATCH($A63,_TECH_Initiative_Library!$AU$5:$AU$76,0)),"")</f>
        <v/>
      </c>
      <c r="G63" s="91" t="str">
        <f ca="1">IFERROR(INDEX(_TECH_Initiative_Library!$AB$5:$AB$76,MATCH($A63,_TECH_Initiative_Library!$AU$5:$AU$76,0)),"")</f>
        <v/>
      </c>
      <c r="H63" s="91" t="str">
        <f ca="1">IFERROR(INDEX(_TECH_Initiative_Library!$Z$5:$Z$76,MATCH($A63,_TECH_Initiative_Library!$AU$5:$AU$76,0)),"")</f>
        <v/>
      </c>
      <c r="I63" s="91" t="str">
        <f ca="1">IFERROR(INDEX(_TECH_Initiative_Library!$AA$5:$AA$76,MATCH($A63,_TECH_Initiative_Library!$AU$5:$AU$76,0)),"")</f>
        <v/>
      </c>
      <c r="J63" s="91" t="str">
        <f ca="1">IFERROR(INDEX(_TECH_Initiative_Library!$AE$5:$AE$76,MATCH($A63,_TECH_Initiative_Library!$AU$5:$AU$76,0)),"")</f>
        <v/>
      </c>
      <c r="K63" s="91" t="str">
        <f ca="1">IFERROR(INDEX(_TECH_Initiative_Library!$AF$5:$AF$76,MATCH($A63,_TECH_Initiative_Library!$AU$5:$AU$76,0)),"")</f>
        <v/>
      </c>
      <c r="L63" s="91" t="str">
        <f ca="1">IFERROR(INDEX(_TECH_Initiative_Library!$AO$5:$AO$76,MATCH($A63,_TECH_Initiative_Library!$AU$5:$AU$76,0)),"Not started")</f>
        <v>Not started</v>
      </c>
      <c r="M63" s="91" t="str">
        <f t="shared" ca="1" si="14"/>
        <v/>
      </c>
      <c r="N63" s="98" t="str">
        <f ca="1">IF($B63="","",IF($J63="0-90 days",$B$4,IF($J63="3-6 months",EDATE($B$4,3),IF($J63="6-12 months",EDATE($B$4,6),EDATE($B$4,12))))+(COUNTIF($J$14:$J63,$J63)-1)*14)</f>
        <v/>
      </c>
      <c r="O63" s="98" t="str">
        <f t="shared" ca="1" si="15"/>
        <v/>
      </c>
      <c r="P63" s="91" t="str">
        <f t="shared" ca="1" si="16"/>
        <v/>
      </c>
      <c r="Q63" s="48" t="str">
        <f ca="1">IFERROR(INDEX(_TECH_Initiative_Library!$AH$5:$AH$76,MATCH($A63,_TECH_Initiative_Library!$AU$5:$AU$76,0)),"")</f>
        <v/>
      </c>
      <c r="R63" s="48" t="str">
        <f ca="1">IFERROR(INDEX(_TECH_Initiative_Library!$AI$5:$AI$76,MATCH($A63,_TECH_Initiative_Library!$AU$5:$AU$76,0)),"")</f>
        <v/>
      </c>
      <c r="S63" s="91" t="str">
        <f t="shared" ca="1" si="17"/>
        <v/>
      </c>
      <c r="T63" s="91" t="str">
        <f t="shared" ca="1" si="17"/>
        <v/>
      </c>
      <c r="U63" s="91" t="str">
        <f t="shared" ca="1" si="17"/>
        <v/>
      </c>
      <c r="V63" s="91" t="str">
        <f t="shared" ca="1" si="17"/>
        <v/>
      </c>
      <c r="W63" s="91" t="str">
        <f t="shared" ca="1" si="17"/>
        <v/>
      </c>
      <c r="X63" s="91" t="str">
        <f t="shared" ca="1" si="17"/>
        <v/>
      </c>
      <c r="Y63" s="91" t="str">
        <f t="shared" ca="1" si="17"/>
        <v/>
      </c>
      <c r="Z63" s="91" t="str">
        <f t="shared" ca="1" si="17"/>
        <v/>
      </c>
      <c r="AA63" s="91" t="str">
        <f t="shared" ca="1" si="17"/>
        <v/>
      </c>
      <c r="AB63" s="91" t="str">
        <f t="shared" ca="1" si="17"/>
        <v/>
      </c>
      <c r="AC63" s="91" t="str">
        <f t="shared" ca="1" si="18"/>
        <v/>
      </c>
      <c r="AD63" s="91" t="str">
        <f t="shared" ca="1" si="18"/>
        <v/>
      </c>
      <c r="AE63" s="91" t="str">
        <f t="shared" ca="1" si="18"/>
        <v/>
      </c>
      <c r="AF63" s="91" t="str">
        <f t="shared" ca="1" si="18"/>
        <v/>
      </c>
      <c r="AG63" s="91" t="str">
        <f t="shared" ca="1" si="18"/>
        <v/>
      </c>
      <c r="AH63" s="91" t="str">
        <f t="shared" ca="1" si="18"/>
        <v/>
      </c>
      <c r="AI63" s="91" t="str">
        <f t="shared" ca="1" si="18"/>
        <v/>
      </c>
      <c r="AJ63" s="91" t="str">
        <f t="shared" ca="1" si="18"/>
        <v/>
      </c>
    </row>
    <row r="64" spans="1:36" ht="30" customHeight="1">
      <c r="A64" s="91">
        <v>51</v>
      </c>
      <c r="B64" s="91" t="str">
        <f ca="1">IFERROR(INDEX(_TECH_Initiative_Library!$A$5:$A$76,MATCH($A64,_TECH_Initiative_Library!$AU$5:$AU$76,0)),"")</f>
        <v/>
      </c>
      <c r="C64" s="48" t="str">
        <f ca="1">IFERROR(INDEX(_TECH_Initiative_Library!$F$5:$F$76,MATCH($A64,_TECH_Initiative_Library!$AU$5:$AU$76,0)),"")</f>
        <v/>
      </c>
      <c r="D64" s="91" t="str">
        <f ca="1">IFERROR(INDEX(_TECH_Initiative_Library!$B$5:$B$76,MATCH($A64,_TECH_Initiative_Library!$AU$5:$AU$76,0)),"")</f>
        <v/>
      </c>
      <c r="E64" s="48" t="str">
        <f ca="1">IFERROR(INDEX(_TECH_Initiative_Library!$D$5:$D$76,MATCH($A64,_TECH_Initiative_Library!$AU$5:$AU$76,0)),"")</f>
        <v/>
      </c>
      <c r="F64" s="87" t="str">
        <f ca="1">IFERROR(INDEX(_TECH_Initiative_Library!$AT$5:$AT$76,MATCH($A64,_TECH_Initiative_Library!$AU$5:$AU$76,0)),"")</f>
        <v/>
      </c>
      <c r="G64" s="91" t="str">
        <f ca="1">IFERROR(INDEX(_TECH_Initiative_Library!$AB$5:$AB$76,MATCH($A64,_TECH_Initiative_Library!$AU$5:$AU$76,0)),"")</f>
        <v/>
      </c>
      <c r="H64" s="91" t="str">
        <f ca="1">IFERROR(INDEX(_TECH_Initiative_Library!$Z$5:$Z$76,MATCH($A64,_TECH_Initiative_Library!$AU$5:$AU$76,0)),"")</f>
        <v/>
      </c>
      <c r="I64" s="91" t="str">
        <f ca="1">IFERROR(INDEX(_TECH_Initiative_Library!$AA$5:$AA$76,MATCH($A64,_TECH_Initiative_Library!$AU$5:$AU$76,0)),"")</f>
        <v/>
      </c>
      <c r="J64" s="91" t="str">
        <f ca="1">IFERROR(INDEX(_TECH_Initiative_Library!$AE$5:$AE$76,MATCH($A64,_TECH_Initiative_Library!$AU$5:$AU$76,0)),"")</f>
        <v/>
      </c>
      <c r="K64" s="91" t="str">
        <f ca="1">IFERROR(INDEX(_TECH_Initiative_Library!$AF$5:$AF$76,MATCH($A64,_TECH_Initiative_Library!$AU$5:$AU$76,0)),"")</f>
        <v/>
      </c>
      <c r="L64" s="91" t="str">
        <f ca="1">IFERROR(INDEX(_TECH_Initiative_Library!$AO$5:$AO$76,MATCH($A64,_TECH_Initiative_Library!$AU$5:$AU$76,0)),"Not started")</f>
        <v>Not started</v>
      </c>
      <c r="M64" s="91" t="str">
        <f t="shared" ca="1" si="14"/>
        <v/>
      </c>
      <c r="N64" s="98" t="str">
        <f ca="1">IF($B64="","",IF($J64="0-90 days",$B$4,IF($J64="3-6 months",EDATE($B$4,3),IF($J64="6-12 months",EDATE($B$4,6),EDATE($B$4,12))))+(COUNTIF($J$14:$J64,$J64)-1)*14)</f>
        <v/>
      </c>
      <c r="O64" s="98" t="str">
        <f t="shared" ca="1" si="15"/>
        <v/>
      </c>
      <c r="P64" s="91" t="str">
        <f t="shared" ca="1" si="16"/>
        <v/>
      </c>
      <c r="Q64" s="48" t="str">
        <f ca="1">IFERROR(INDEX(_TECH_Initiative_Library!$AH$5:$AH$76,MATCH($A64,_TECH_Initiative_Library!$AU$5:$AU$76,0)),"")</f>
        <v/>
      </c>
      <c r="R64" s="48" t="str">
        <f ca="1">IFERROR(INDEX(_TECH_Initiative_Library!$AI$5:$AI$76,MATCH($A64,_TECH_Initiative_Library!$AU$5:$AU$76,0)),"")</f>
        <v/>
      </c>
      <c r="S64" s="91" t="str">
        <f t="shared" ref="S64:AB73" ca="1" si="19">IF(AND(S$13&gt;=$N64,S$13&lt;=$O64),"■","")</f>
        <v/>
      </c>
      <c r="T64" s="91" t="str">
        <f t="shared" ca="1" si="19"/>
        <v/>
      </c>
      <c r="U64" s="91" t="str">
        <f t="shared" ca="1" si="19"/>
        <v/>
      </c>
      <c r="V64" s="91" t="str">
        <f t="shared" ca="1" si="19"/>
        <v/>
      </c>
      <c r="W64" s="91" t="str">
        <f t="shared" ca="1" si="19"/>
        <v/>
      </c>
      <c r="X64" s="91" t="str">
        <f t="shared" ca="1" si="19"/>
        <v/>
      </c>
      <c r="Y64" s="91" t="str">
        <f t="shared" ca="1" si="19"/>
        <v/>
      </c>
      <c r="Z64" s="91" t="str">
        <f t="shared" ca="1" si="19"/>
        <v/>
      </c>
      <c r="AA64" s="91" t="str">
        <f t="shared" ca="1" si="19"/>
        <v/>
      </c>
      <c r="AB64" s="91" t="str">
        <f t="shared" ca="1" si="19"/>
        <v/>
      </c>
      <c r="AC64" s="91" t="str">
        <f t="shared" ref="AC64:AJ73" ca="1" si="20">IF(AND(AC$13&gt;=$N64,AC$13&lt;=$O64),"■","")</f>
        <v/>
      </c>
      <c r="AD64" s="91" t="str">
        <f t="shared" ca="1" si="20"/>
        <v/>
      </c>
      <c r="AE64" s="91" t="str">
        <f t="shared" ca="1" si="20"/>
        <v/>
      </c>
      <c r="AF64" s="91" t="str">
        <f t="shared" ca="1" si="20"/>
        <v/>
      </c>
      <c r="AG64" s="91" t="str">
        <f t="shared" ca="1" si="20"/>
        <v/>
      </c>
      <c r="AH64" s="91" t="str">
        <f t="shared" ca="1" si="20"/>
        <v/>
      </c>
      <c r="AI64" s="91" t="str">
        <f t="shared" ca="1" si="20"/>
        <v/>
      </c>
      <c r="AJ64" s="91" t="str">
        <f t="shared" ca="1" si="20"/>
        <v/>
      </c>
    </row>
    <row r="65" spans="1:36" ht="30" customHeight="1">
      <c r="A65" s="91">
        <v>52</v>
      </c>
      <c r="B65" s="91" t="str">
        <f ca="1">IFERROR(INDEX(_TECH_Initiative_Library!$A$5:$A$76,MATCH($A65,_TECH_Initiative_Library!$AU$5:$AU$76,0)),"")</f>
        <v/>
      </c>
      <c r="C65" s="48" t="str">
        <f ca="1">IFERROR(INDEX(_TECH_Initiative_Library!$F$5:$F$76,MATCH($A65,_TECH_Initiative_Library!$AU$5:$AU$76,0)),"")</f>
        <v/>
      </c>
      <c r="D65" s="91" t="str">
        <f ca="1">IFERROR(INDEX(_TECH_Initiative_Library!$B$5:$B$76,MATCH($A65,_TECH_Initiative_Library!$AU$5:$AU$76,0)),"")</f>
        <v/>
      </c>
      <c r="E65" s="48" t="str">
        <f ca="1">IFERROR(INDEX(_TECH_Initiative_Library!$D$5:$D$76,MATCH($A65,_TECH_Initiative_Library!$AU$5:$AU$76,0)),"")</f>
        <v/>
      </c>
      <c r="F65" s="87" t="str">
        <f ca="1">IFERROR(INDEX(_TECH_Initiative_Library!$AT$5:$AT$76,MATCH($A65,_TECH_Initiative_Library!$AU$5:$AU$76,0)),"")</f>
        <v/>
      </c>
      <c r="G65" s="91" t="str">
        <f ca="1">IFERROR(INDEX(_TECH_Initiative_Library!$AB$5:$AB$76,MATCH($A65,_TECH_Initiative_Library!$AU$5:$AU$76,0)),"")</f>
        <v/>
      </c>
      <c r="H65" s="91" t="str">
        <f ca="1">IFERROR(INDEX(_TECH_Initiative_Library!$Z$5:$Z$76,MATCH($A65,_TECH_Initiative_Library!$AU$5:$AU$76,0)),"")</f>
        <v/>
      </c>
      <c r="I65" s="91" t="str">
        <f ca="1">IFERROR(INDEX(_TECH_Initiative_Library!$AA$5:$AA$76,MATCH($A65,_TECH_Initiative_Library!$AU$5:$AU$76,0)),"")</f>
        <v/>
      </c>
      <c r="J65" s="91" t="str">
        <f ca="1">IFERROR(INDEX(_TECH_Initiative_Library!$AE$5:$AE$76,MATCH($A65,_TECH_Initiative_Library!$AU$5:$AU$76,0)),"")</f>
        <v/>
      </c>
      <c r="K65" s="91" t="str">
        <f ca="1">IFERROR(INDEX(_TECH_Initiative_Library!$AF$5:$AF$76,MATCH($A65,_TECH_Initiative_Library!$AU$5:$AU$76,0)),"")</f>
        <v/>
      </c>
      <c r="L65" s="91" t="str">
        <f ca="1">IFERROR(INDEX(_TECH_Initiative_Library!$AO$5:$AO$76,MATCH($A65,_TECH_Initiative_Library!$AU$5:$AU$76,0)),"Not started")</f>
        <v>Not started</v>
      </c>
      <c r="M65" s="91" t="str">
        <f t="shared" ca="1" si="14"/>
        <v/>
      </c>
      <c r="N65" s="98" t="str">
        <f ca="1">IF($B65="","",IF($J65="0-90 days",$B$4,IF($J65="3-6 months",EDATE($B$4,3),IF($J65="6-12 months",EDATE($B$4,6),EDATE($B$4,12))))+(COUNTIF($J$14:$J65,$J65)-1)*14)</f>
        <v/>
      </c>
      <c r="O65" s="98" t="str">
        <f t="shared" ca="1" si="15"/>
        <v/>
      </c>
      <c r="P65" s="91" t="str">
        <f t="shared" ca="1" si="16"/>
        <v/>
      </c>
      <c r="Q65" s="48" t="str">
        <f ca="1">IFERROR(INDEX(_TECH_Initiative_Library!$AH$5:$AH$76,MATCH($A65,_TECH_Initiative_Library!$AU$5:$AU$76,0)),"")</f>
        <v/>
      </c>
      <c r="R65" s="48" t="str">
        <f ca="1">IFERROR(INDEX(_TECH_Initiative_Library!$AI$5:$AI$76,MATCH($A65,_TECH_Initiative_Library!$AU$5:$AU$76,0)),"")</f>
        <v/>
      </c>
      <c r="S65" s="91" t="str">
        <f t="shared" ca="1" si="19"/>
        <v/>
      </c>
      <c r="T65" s="91" t="str">
        <f t="shared" ca="1" si="19"/>
        <v/>
      </c>
      <c r="U65" s="91" t="str">
        <f t="shared" ca="1" si="19"/>
        <v/>
      </c>
      <c r="V65" s="91" t="str">
        <f t="shared" ca="1" si="19"/>
        <v/>
      </c>
      <c r="W65" s="91" t="str">
        <f t="shared" ca="1" si="19"/>
        <v/>
      </c>
      <c r="X65" s="91" t="str">
        <f t="shared" ca="1" si="19"/>
        <v/>
      </c>
      <c r="Y65" s="91" t="str">
        <f t="shared" ca="1" si="19"/>
        <v/>
      </c>
      <c r="Z65" s="91" t="str">
        <f t="shared" ca="1" si="19"/>
        <v/>
      </c>
      <c r="AA65" s="91" t="str">
        <f t="shared" ca="1" si="19"/>
        <v/>
      </c>
      <c r="AB65" s="91" t="str">
        <f t="shared" ca="1" si="19"/>
        <v/>
      </c>
      <c r="AC65" s="91" t="str">
        <f t="shared" ca="1" si="20"/>
        <v/>
      </c>
      <c r="AD65" s="91" t="str">
        <f t="shared" ca="1" si="20"/>
        <v/>
      </c>
      <c r="AE65" s="91" t="str">
        <f t="shared" ca="1" si="20"/>
        <v/>
      </c>
      <c r="AF65" s="91" t="str">
        <f t="shared" ca="1" si="20"/>
        <v/>
      </c>
      <c r="AG65" s="91" t="str">
        <f t="shared" ca="1" si="20"/>
        <v/>
      </c>
      <c r="AH65" s="91" t="str">
        <f t="shared" ca="1" si="20"/>
        <v/>
      </c>
      <c r="AI65" s="91" t="str">
        <f t="shared" ca="1" si="20"/>
        <v/>
      </c>
      <c r="AJ65" s="91" t="str">
        <f t="shared" ca="1" si="20"/>
        <v/>
      </c>
    </row>
    <row r="66" spans="1:36" ht="30" customHeight="1">
      <c r="A66" s="91">
        <v>53</v>
      </c>
      <c r="B66" s="91" t="str">
        <f ca="1">IFERROR(INDEX(_TECH_Initiative_Library!$A$5:$A$76,MATCH($A66,_TECH_Initiative_Library!$AU$5:$AU$76,0)),"")</f>
        <v/>
      </c>
      <c r="C66" s="48" t="str">
        <f ca="1">IFERROR(INDEX(_TECH_Initiative_Library!$F$5:$F$76,MATCH($A66,_TECH_Initiative_Library!$AU$5:$AU$76,0)),"")</f>
        <v/>
      </c>
      <c r="D66" s="91" t="str">
        <f ca="1">IFERROR(INDEX(_TECH_Initiative_Library!$B$5:$B$76,MATCH($A66,_TECH_Initiative_Library!$AU$5:$AU$76,0)),"")</f>
        <v/>
      </c>
      <c r="E66" s="48" t="str">
        <f ca="1">IFERROR(INDEX(_TECH_Initiative_Library!$D$5:$D$76,MATCH($A66,_TECH_Initiative_Library!$AU$5:$AU$76,0)),"")</f>
        <v/>
      </c>
      <c r="F66" s="87" t="str">
        <f ca="1">IFERROR(INDEX(_TECH_Initiative_Library!$AT$5:$AT$76,MATCH($A66,_TECH_Initiative_Library!$AU$5:$AU$76,0)),"")</f>
        <v/>
      </c>
      <c r="G66" s="91" t="str">
        <f ca="1">IFERROR(INDEX(_TECH_Initiative_Library!$AB$5:$AB$76,MATCH($A66,_TECH_Initiative_Library!$AU$5:$AU$76,0)),"")</f>
        <v/>
      </c>
      <c r="H66" s="91" t="str">
        <f ca="1">IFERROR(INDEX(_TECH_Initiative_Library!$Z$5:$Z$76,MATCH($A66,_TECH_Initiative_Library!$AU$5:$AU$76,0)),"")</f>
        <v/>
      </c>
      <c r="I66" s="91" t="str">
        <f ca="1">IFERROR(INDEX(_TECH_Initiative_Library!$AA$5:$AA$76,MATCH($A66,_TECH_Initiative_Library!$AU$5:$AU$76,0)),"")</f>
        <v/>
      </c>
      <c r="J66" s="91" t="str">
        <f ca="1">IFERROR(INDEX(_TECH_Initiative_Library!$AE$5:$AE$76,MATCH($A66,_TECH_Initiative_Library!$AU$5:$AU$76,0)),"")</f>
        <v/>
      </c>
      <c r="K66" s="91" t="str">
        <f ca="1">IFERROR(INDEX(_TECH_Initiative_Library!$AF$5:$AF$76,MATCH($A66,_TECH_Initiative_Library!$AU$5:$AU$76,0)),"")</f>
        <v/>
      </c>
      <c r="L66" s="91" t="str">
        <f ca="1">IFERROR(INDEX(_TECH_Initiative_Library!$AO$5:$AO$76,MATCH($A66,_TECH_Initiative_Library!$AU$5:$AU$76,0)),"Not started")</f>
        <v>Not started</v>
      </c>
      <c r="M66" s="91" t="str">
        <f t="shared" ca="1" si="14"/>
        <v/>
      </c>
      <c r="N66" s="98" t="str">
        <f ca="1">IF($B66="","",IF($J66="0-90 days",$B$4,IF($J66="3-6 months",EDATE($B$4,3),IF($J66="6-12 months",EDATE($B$4,6),EDATE($B$4,12))))+(COUNTIF($J$14:$J66,$J66)-1)*14)</f>
        <v/>
      </c>
      <c r="O66" s="98" t="str">
        <f t="shared" ca="1" si="15"/>
        <v/>
      </c>
      <c r="P66" s="91" t="str">
        <f t="shared" ca="1" si="16"/>
        <v/>
      </c>
      <c r="Q66" s="48" t="str">
        <f ca="1">IFERROR(INDEX(_TECH_Initiative_Library!$AH$5:$AH$76,MATCH($A66,_TECH_Initiative_Library!$AU$5:$AU$76,0)),"")</f>
        <v/>
      </c>
      <c r="R66" s="48" t="str">
        <f ca="1">IFERROR(INDEX(_TECH_Initiative_Library!$AI$5:$AI$76,MATCH($A66,_TECH_Initiative_Library!$AU$5:$AU$76,0)),"")</f>
        <v/>
      </c>
      <c r="S66" s="91" t="str">
        <f t="shared" ca="1" si="19"/>
        <v/>
      </c>
      <c r="T66" s="91" t="str">
        <f t="shared" ca="1" si="19"/>
        <v/>
      </c>
      <c r="U66" s="91" t="str">
        <f t="shared" ca="1" si="19"/>
        <v/>
      </c>
      <c r="V66" s="91" t="str">
        <f t="shared" ca="1" si="19"/>
        <v/>
      </c>
      <c r="W66" s="91" t="str">
        <f t="shared" ca="1" si="19"/>
        <v/>
      </c>
      <c r="X66" s="91" t="str">
        <f t="shared" ca="1" si="19"/>
        <v/>
      </c>
      <c r="Y66" s="91" t="str">
        <f t="shared" ca="1" si="19"/>
        <v/>
      </c>
      <c r="Z66" s="91" t="str">
        <f t="shared" ca="1" si="19"/>
        <v/>
      </c>
      <c r="AA66" s="91" t="str">
        <f t="shared" ca="1" si="19"/>
        <v/>
      </c>
      <c r="AB66" s="91" t="str">
        <f t="shared" ca="1" si="19"/>
        <v/>
      </c>
      <c r="AC66" s="91" t="str">
        <f t="shared" ca="1" si="20"/>
        <v/>
      </c>
      <c r="AD66" s="91" t="str">
        <f t="shared" ca="1" si="20"/>
        <v/>
      </c>
      <c r="AE66" s="91" t="str">
        <f t="shared" ca="1" si="20"/>
        <v/>
      </c>
      <c r="AF66" s="91" t="str">
        <f t="shared" ca="1" si="20"/>
        <v/>
      </c>
      <c r="AG66" s="91" t="str">
        <f t="shared" ca="1" si="20"/>
        <v/>
      </c>
      <c r="AH66" s="91" t="str">
        <f t="shared" ca="1" si="20"/>
        <v/>
      </c>
      <c r="AI66" s="91" t="str">
        <f t="shared" ca="1" si="20"/>
        <v/>
      </c>
      <c r="AJ66" s="91" t="str">
        <f t="shared" ca="1" si="20"/>
        <v/>
      </c>
    </row>
    <row r="67" spans="1:36" ht="30" customHeight="1">
      <c r="A67" s="91">
        <v>54</v>
      </c>
      <c r="B67" s="91" t="str">
        <f ca="1">IFERROR(INDEX(_TECH_Initiative_Library!$A$5:$A$76,MATCH($A67,_TECH_Initiative_Library!$AU$5:$AU$76,0)),"")</f>
        <v/>
      </c>
      <c r="C67" s="48" t="str">
        <f ca="1">IFERROR(INDEX(_TECH_Initiative_Library!$F$5:$F$76,MATCH($A67,_TECH_Initiative_Library!$AU$5:$AU$76,0)),"")</f>
        <v/>
      </c>
      <c r="D67" s="91" t="str">
        <f ca="1">IFERROR(INDEX(_TECH_Initiative_Library!$B$5:$B$76,MATCH($A67,_TECH_Initiative_Library!$AU$5:$AU$76,0)),"")</f>
        <v/>
      </c>
      <c r="E67" s="48" t="str">
        <f ca="1">IFERROR(INDEX(_TECH_Initiative_Library!$D$5:$D$76,MATCH($A67,_TECH_Initiative_Library!$AU$5:$AU$76,0)),"")</f>
        <v/>
      </c>
      <c r="F67" s="87" t="str">
        <f ca="1">IFERROR(INDEX(_TECH_Initiative_Library!$AT$5:$AT$76,MATCH($A67,_TECH_Initiative_Library!$AU$5:$AU$76,0)),"")</f>
        <v/>
      </c>
      <c r="G67" s="91" t="str">
        <f ca="1">IFERROR(INDEX(_TECH_Initiative_Library!$AB$5:$AB$76,MATCH($A67,_TECH_Initiative_Library!$AU$5:$AU$76,0)),"")</f>
        <v/>
      </c>
      <c r="H67" s="91" t="str">
        <f ca="1">IFERROR(INDEX(_TECH_Initiative_Library!$Z$5:$Z$76,MATCH($A67,_TECH_Initiative_Library!$AU$5:$AU$76,0)),"")</f>
        <v/>
      </c>
      <c r="I67" s="91" t="str">
        <f ca="1">IFERROR(INDEX(_TECH_Initiative_Library!$AA$5:$AA$76,MATCH($A67,_TECH_Initiative_Library!$AU$5:$AU$76,0)),"")</f>
        <v/>
      </c>
      <c r="J67" s="91" t="str">
        <f ca="1">IFERROR(INDEX(_TECH_Initiative_Library!$AE$5:$AE$76,MATCH($A67,_TECH_Initiative_Library!$AU$5:$AU$76,0)),"")</f>
        <v/>
      </c>
      <c r="K67" s="91" t="str">
        <f ca="1">IFERROR(INDEX(_TECH_Initiative_Library!$AF$5:$AF$76,MATCH($A67,_TECH_Initiative_Library!$AU$5:$AU$76,0)),"")</f>
        <v/>
      </c>
      <c r="L67" s="91" t="str">
        <f ca="1">IFERROR(INDEX(_TECH_Initiative_Library!$AO$5:$AO$76,MATCH($A67,_TECH_Initiative_Library!$AU$5:$AU$76,0)),"Not started")</f>
        <v>Not started</v>
      </c>
      <c r="M67" s="91" t="str">
        <f t="shared" ca="1" si="14"/>
        <v/>
      </c>
      <c r="N67" s="98" t="str">
        <f ca="1">IF($B67="","",IF($J67="0-90 days",$B$4,IF($J67="3-6 months",EDATE($B$4,3),IF($J67="6-12 months",EDATE($B$4,6),EDATE($B$4,12))))+(COUNTIF($J$14:$J67,$J67)-1)*14)</f>
        <v/>
      </c>
      <c r="O67" s="98" t="str">
        <f t="shared" ca="1" si="15"/>
        <v/>
      </c>
      <c r="P67" s="91" t="str">
        <f t="shared" ca="1" si="16"/>
        <v/>
      </c>
      <c r="Q67" s="48" t="str">
        <f ca="1">IFERROR(INDEX(_TECH_Initiative_Library!$AH$5:$AH$76,MATCH($A67,_TECH_Initiative_Library!$AU$5:$AU$76,0)),"")</f>
        <v/>
      </c>
      <c r="R67" s="48" t="str">
        <f ca="1">IFERROR(INDEX(_TECH_Initiative_Library!$AI$5:$AI$76,MATCH($A67,_TECH_Initiative_Library!$AU$5:$AU$76,0)),"")</f>
        <v/>
      </c>
      <c r="S67" s="91" t="str">
        <f t="shared" ca="1" si="19"/>
        <v/>
      </c>
      <c r="T67" s="91" t="str">
        <f t="shared" ca="1" si="19"/>
        <v/>
      </c>
      <c r="U67" s="91" t="str">
        <f t="shared" ca="1" si="19"/>
        <v/>
      </c>
      <c r="V67" s="91" t="str">
        <f t="shared" ca="1" si="19"/>
        <v/>
      </c>
      <c r="W67" s="91" t="str">
        <f t="shared" ca="1" si="19"/>
        <v/>
      </c>
      <c r="X67" s="91" t="str">
        <f t="shared" ca="1" si="19"/>
        <v/>
      </c>
      <c r="Y67" s="91" t="str">
        <f t="shared" ca="1" si="19"/>
        <v/>
      </c>
      <c r="Z67" s="91" t="str">
        <f t="shared" ca="1" si="19"/>
        <v/>
      </c>
      <c r="AA67" s="91" t="str">
        <f t="shared" ca="1" si="19"/>
        <v/>
      </c>
      <c r="AB67" s="91" t="str">
        <f t="shared" ca="1" si="19"/>
        <v/>
      </c>
      <c r="AC67" s="91" t="str">
        <f t="shared" ca="1" si="20"/>
        <v/>
      </c>
      <c r="AD67" s="91" t="str">
        <f t="shared" ca="1" si="20"/>
        <v/>
      </c>
      <c r="AE67" s="91" t="str">
        <f t="shared" ca="1" si="20"/>
        <v/>
      </c>
      <c r="AF67" s="91" t="str">
        <f t="shared" ca="1" si="20"/>
        <v/>
      </c>
      <c r="AG67" s="91" t="str">
        <f t="shared" ca="1" si="20"/>
        <v/>
      </c>
      <c r="AH67" s="91" t="str">
        <f t="shared" ca="1" si="20"/>
        <v/>
      </c>
      <c r="AI67" s="91" t="str">
        <f t="shared" ca="1" si="20"/>
        <v/>
      </c>
      <c r="AJ67" s="91" t="str">
        <f t="shared" ca="1" si="20"/>
        <v/>
      </c>
    </row>
    <row r="68" spans="1:36" ht="30" customHeight="1">
      <c r="A68" s="91">
        <v>55</v>
      </c>
      <c r="B68" s="91" t="str">
        <f ca="1">IFERROR(INDEX(_TECH_Initiative_Library!$A$5:$A$76,MATCH($A68,_TECH_Initiative_Library!$AU$5:$AU$76,0)),"")</f>
        <v/>
      </c>
      <c r="C68" s="48" t="str">
        <f ca="1">IFERROR(INDEX(_TECH_Initiative_Library!$F$5:$F$76,MATCH($A68,_TECH_Initiative_Library!$AU$5:$AU$76,0)),"")</f>
        <v/>
      </c>
      <c r="D68" s="91" t="str">
        <f ca="1">IFERROR(INDEX(_TECH_Initiative_Library!$B$5:$B$76,MATCH($A68,_TECH_Initiative_Library!$AU$5:$AU$76,0)),"")</f>
        <v/>
      </c>
      <c r="E68" s="48" t="str">
        <f ca="1">IFERROR(INDEX(_TECH_Initiative_Library!$D$5:$D$76,MATCH($A68,_TECH_Initiative_Library!$AU$5:$AU$76,0)),"")</f>
        <v/>
      </c>
      <c r="F68" s="87" t="str">
        <f ca="1">IFERROR(INDEX(_TECH_Initiative_Library!$AT$5:$AT$76,MATCH($A68,_TECH_Initiative_Library!$AU$5:$AU$76,0)),"")</f>
        <v/>
      </c>
      <c r="G68" s="91" t="str">
        <f ca="1">IFERROR(INDEX(_TECH_Initiative_Library!$AB$5:$AB$76,MATCH($A68,_TECH_Initiative_Library!$AU$5:$AU$76,0)),"")</f>
        <v/>
      </c>
      <c r="H68" s="91" t="str">
        <f ca="1">IFERROR(INDEX(_TECH_Initiative_Library!$Z$5:$Z$76,MATCH($A68,_TECH_Initiative_Library!$AU$5:$AU$76,0)),"")</f>
        <v/>
      </c>
      <c r="I68" s="91" t="str">
        <f ca="1">IFERROR(INDEX(_TECH_Initiative_Library!$AA$5:$AA$76,MATCH($A68,_TECH_Initiative_Library!$AU$5:$AU$76,0)),"")</f>
        <v/>
      </c>
      <c r="J68" s="91" t="str">
        <f ca="1">IFERROR(INDEX(_TECH_Initiative_Library!$AE$5:$AE$76,MATCH($A68,_TECH_Initiative_Library!$AU$5:$AU$76,0)),"")</f>
        <v/>
      </c>
      <c r="K68" s="91" t="str">
        <f ca="1">IFERROR(INDEX(_TECH_Initiative_Library!$AF$5:$AF$76,MATCH($A68,_TECH_Initiative_Library!$AU$5:$AU$76,0)),"")</f>
        <v/>
      </c>
      <c r="L68" s="91" t="str">
        <f ca="1">IFERROR(INDEX(_TECH_Initiative_Library!$AO$5:$AO$76,MATCH($A68,_TECH_Initiative_Library!$AU$5:$AU$76,0)),"Not started")</f>
        <v>Not started</v>
      </c>
      <c r="M68" s="91" t="str">
        <f t="shared" ca="1" si="14"/>
        <v/>
      </c>
      <c r="N68" s="98" t="str">
        <f ca="1">IF($B68="","",IF($J68="0-90 days",$B$4,IF($J68="3-6 months",EDATE($B$4,3),IF($J68="6-12 months",EDATE($B$4,6),EDATE($B$4,12))))+(COUNTIF($J$14:$J68,$J68)-1)*14)</f>
        <v/>
      </c>
      <c r="O68" s="98" t="str">
        <f t="shared" ca="1" si="15"/>
        <v/>
      </c>
      <c r="P68" s="91" t="str">
        <f t="shared" ca="1" si="16"/>
        <v/>
      </c>
      <c r="Q68" s="48" t="str">
        <f ca="1">IFERROR(INDEX(_TECH_Initiative_Library!$AH$5:$AH$76,MATCH($A68,_TECH_Initiative_Library!$AU$5:$AU$76,0)),"")</f>
        <v/>
      </c>
      <c r="R68" s="48" t="str">
        <f ca="1">IFERROR(INDEX(_TECH_Initiative_Library!$AI$5:$AI$76,MATCH($A68,_TECH_Initiative_Library!$AU$5:$AU$76,0)),"")</f>
        <v/>
      </c>
      <c r="S68" s="91" t="str">
        <f t="shared" ca="1" si="19"/>
        <v/>
      </c>
      <c r="T68" s="91" t="str">
        <f t="shared" ca="1" si="19"/>
        <v/>
      </c>
      <c r="U68" s="91" t="str">
        <f t="shared" ca="1" si="19"/>
        <v/>
      </c>
      <c r="V68" s="91" t="str">
        <f t="shared" ca="1" si="19"/>
        <v/>
      </c>
      <c r="W68" s="91" t="str">
        <f t="shared" ca="1" si="19"/>
        <v/>
      </c>
      <c r="X68" s="91" t="str">
        <f t="shared" ca="1" si="19"/>
        <v/>
      </c>
      <c r="Y68" s="91" t="str">
        <f t="shared" ca="1" si="19"/>
        <v/>
      </c>
      <c r="Z68" s="91" t="str">
        <f t="shared" ca="1" si="19"/>
        <v/>
      </c>
      <c r="AA68" s="91" t="str">
        <f t="shared" ca="1" si="19"/>
        <v/>
      </c>
      <c r="AB68" s="91" t="str">
        <f t="shared" ca="1" si="19"/>
        <v/>
      </c>
      <c r="AC68" s="91" t="str">
        <f t="shared" ca="1" si="20"/>
        <v/>
      </c>
      <c r="AD68" s="91" t="str">
        <f t="shared" ca="1" si="20"/>
        <v/>
      </c>
      <c r="AE68" s="91" t="str">
        <f t="shared" ca="1" si="20"/>
        <v/>
      </c>
      <c r="AF68" s="91" t="str">
        <f t="shared" ca="1" si="20"/>
        <v/>
      </c>
      <c r="AG68" s="91" t="str">
        <f t="shared" ca="1" si="20"/>
        <v/>
      </c>
      <c r="AH68" s="91" t="str">
        <f t="shared" ca="1" si="20"/>
        <v/>
      </c>
      <c r="AI68" s="91" t="str">
        <f t="shared" ca="1" si="20"/>
        <v/>
      </c>
      <c r="AJ68" s="91" t="str">
        <f t="shared" ca="1" si="20"/>
        <v/>
      </c>
    </row>
    <row r="69" spans="1:36" ht="30" customHeight="1">
      <c r="A69" s="91">
        <v>56</v>
      </c>
      <c r="B69" s="91" t="str">
        <f ca="1">IFERROR(INDEX(_TECH_Initiative_Library!$A$5:$A$76,MATCH($A69,_TECH_Initiative_Library!$AU$5:$AU$76,0)),"")</f>
        <v/>
      </c>
      <c r="C69" s="48" t="str">
        <f ca="1">IFERROR(INDEX(_TECH_Initiative_Library!$F$5:$F$76,MATCH($A69,_TECH_Initiative_Library!$AU$5:$AU$76,0)),"")</f>
        <v/>
      </c>
      <c r="D69" s="91" t="str">
        <f ca="1">IFERROR(INDEX(_TECH_Initiative_Library!$B$5:$B$76,MATCH($A69,_TECH_Initiative_Library!$AU$5:$AU$76,0)),"")</f>
        <v/>
      </c>
      <c r="E69" s="48" t="str">
        <f ca="1">IFERROR(INDEX(_TECH_Initiative_Library!$D$5:$D$76,MATCH($A69,_TECH_Initiative_Library!$AU$5:$AU$76,0)),"")</f>
        <v/>
      </c>
      <c r="F69" s="87" t="str">
        <f ca="1">IFERROR(INDEX(_TECH_Initiative_Library!$AT$5:$AT$76,MATCH($A69,_TECH_Initiative_Library!$AU$5:$AU$76,0)),"")</f>
        <v/>
      </c>
      <c r="G69" s="91" t="str">
        <f ca="1">IFERROR(INDEX(_TECH_Initiative_Library!$AB$5:$AB$76,MATCH($A69,_TECH_Initiative_Library!$AU$5:$AU$76,0)),"")</f>
        <v/>
      </c>
      <c r="H69" s="91" t="str">
        <f ca="1">IFERROR(INDEX(_TECH_Initiative_Library!$Z$5:$Z$76,MATCH($A69,_TECH_Initiative_Library!$AU$5:$AU$76,0)),"")</f>
        <v/>
      </c>
      <c r="I69" s="91" t="str">
        <f ca="1">IFERROR(INDEX(_TECH_Initiative_Library!$AA$5:$AA$76,MATCH($A69,_TECH_Initiative_Library!$AU$5:$AU$76,0)),"")</f>
        <v/>
      </c>
      <c r="J69" s="91" t="str">
        <f ca="1">IFERROR(INDEX(_TECH_Initiative_Library!$AE$5:$AE$76,MATCH($A69,_TECH_Initiative_Library!$AU$5:$AU$76,0)),"")</f>
        <v/>
      </c>
      <c r="K69" s="91" t="str">
        <f ca="1">IFERROR(INDEX(_TECH_Initiative_Library!$AF$5:$AF$76,MATCH($A69,_TECH_Initiative_Library!$AU$5:$AU$76,0)),"")</f>
        <v/>
      </c>
      <c r="L69" s="91" t="str">
        <f ca="1">IFERROR(INDEX(_TECH_Initiative_Library!$AO$5:$AO$76,MATCH($A69,_TECH_Initiative_Library!$AU$5:$AU$76,0)),"Not started")</f>
        <v>Not started</v>
      </c>
      <c r="M69" s="91" t="str">
        <f t="shared" ca="1" si="14"/>
        <v/>
      </c>
      <c r="N69" s="98" t="str">
        <f ca="1">IF($B69="","",IF($J69="0-90 days",$B$4,IF($J69="3-6 months",EDATE($B$4,3),IF($J69="6-12 months",EDATE($B$4,6),EDATE($B$4,12))))+(COUNTIF($J$14:$J69,$J69)-1)*14)</f>
        <v/>
      </c>
      <c r="O69" s="98" t="str">
        <f t="shared" ca="1" si="15"/>
        <v/>
      </c>
      <c r="P69" s="91" t="str">
        <f t="shared" ca="1" si="16"/>
        <v/>
      </c>
      <c r="Q69" s="48" t="str">
        <f ca="1">IFERROR(INDEX(_TECH_Initiative_Library!$AH$5:$AH$76,MATCH($A69,_TECH_Initiative_Library!$AU$5:$AU$76,0)),"")</f>
        <v/>
      </c>
      <c r="R69" s="48" t="str">
        <f ca="1">IFERROR(INDEX(_TECH_Initiative_Library!$AI$5:$AI$76,MATCH($A69,_TECH_Initiative_Library!$AU$5:$AU$76,0)),"")</f>
        <v/>
      </c>
      <c r="S69" s="91" t="str">
        <f t="shared" ca="1" si="19"/>
        <v/>
      </c>
      <c r="T69" s="91" t="str">
        <f t="shared" ca="1" si="19"/>
        <v/>
      </c>
      <c r="U69" s="91" t="str">
        <f t="shared" ca="1" si="19"/>
        <v/>
      </c>
      <c r="V69" s="91" t="str">
        <f t="shared" ca="1" si="19"/>
        <v/>
      </c>
      <c r="W69" s="91" t="str">
        <f t="shared" ca="1" si="19"/>
        <v/>
      </c>
      <c r="X69" s="91" t="str">
        <f t="shared" ca="1" si="19"/>
        <v/>
      </c>
      <c r="Y69" s="91" t="str">
        <f t="shared" ca="1" si="19"/>
        <v/>
      </c>
      <c r="Z69" s="91" t="str">
        <f t="shared" ca="1" si="19"/>
        <v/>
      </c>
      <c r="AA69" s="91" t="str">
        <f t="shared" ca="1" si="19"/>
        <v/>
      </c>
      <c r="AB69" s="91" t="str">
        <f t="shared" ca="1" si="19"/>
        <v/>
      </c>
      <c r="AC69" s="91" t="str">
        <f t="shared" ca="1" si="20"/>
        <v/>
      </c>
      <c r="AD69" s="91" t="str">
        <f t="shared" ca="1" si="20"/>
        <v/>
      </c>
      <c r="AE69" s="91" t="str">
        <f t="shared" ca="1" si="20"/>
        <v/>
      </c>
      <c r="AF69" s="91" t="str">
        <f t="shared" ca="1" si="20"/>
        <v/>
      </c>
      <c r="AG69" s="91" t="str">
        <f t="shared" ca="1" si="20"/>
        <v/>
      </c>
      <c r="AH69" s="91" t="str">
        <f t="shared" ca="1" si="20"/>
        <v/>
      </c>
      <c r="AI69" s="91" t="str">
        <f t="shared" ca="1" si="20"/>
        <v/>
      </c>
      <c r="AJ69" s="91" t="str">
        <f t="shared" ca="1" si="20"/>
        <v/>
      </c>
    </row>
    <row r="70" spans="1:36" ht="30" customHeight="1">
      <c r="A70" s="91">
        <v>57</v>
      </c>
      <c r="B70" s="91" t="str">
        <f ca="1">IFERROR(INDEX(_TECH_Initiative_Library!$A$5:$A$76,MATCH($A70,_TECH_Initiative_Library!$AU$5:$AU$76,0)),"")</f>
        <v/>
      </c>
      <c r="C70" s="48" t="str">
        <f ca="1">IFERROR(INDEX(_TECH_Initiative_Library!$F$5:$F$76,MATCH($A70,_TECH_Initiative_Library!$AU$5:$AU$76,0)),"")</f>
        <v/>
      </c>
      <c r="D70" s="91" t="str">
        <f ca="1">IFERROR(INDEX(_TECH_Initiative_Library!$B$5:$B$76,MATCH($A70,_TECH_Initiative_Library!$AU$5:$AU$76,0)),"")</f>
        <v/>
      </c>
      <c r="E70" s="48" t="str">
        <f ca="1">IFERROR(INDEX(_TECH_Initiative_Library!$D$5:$D$76,MATCH($A70,_TECH_Initiative_Library!$AU$5:$AU$76,0)),"")</f>
        <v/>
      </c>
      <c r="F70" s="87" t="str">
        <f ca="1">IFERROR(INDEX(_TECH_Initiative_Library!$AT$5:$AT$76,MATCH($A70,_TECH_Initiative_Library!$AU$5:$AU$76,0)),"")</f>
        <v/>
      </c>
      <c r="G70" s="91" t="str">
        <f ca="1">IFERROR(INDEX(_TECH_Initiative_Library!$AB$5:$AB$76,MATCH($A70,_TECH_Initiative_Library!$AU$5:$AU$76,0)),"")</f>
        <v/>
      </c>
      <c r="H70" s="91" t="str">
        <f ca="1">IFERROR(INDEX(_TECH_Initiative_Library!$Z$5:$Z$76,MATCH($A70,_TECH_Initiative_Library!$AU$5:$AU$76,0)),"")</f>
        <v/>
      </c>
      <c r="I70" s="91" t="str">
        <f ca="1">IFERROR(INDEX(_TECH_Initiative_Library!$AA$5:$AA$76,MATCH($A70,_TECH_Initiative_Library!$AU$5:$AU$76,0)),"")</f>
        <v/>
      </c>
      <c r="J70" s="91" t="str">
        <f ca="1">IFERROR(INDEX(_TECH_Initiative_Library!$AE$5:$AE$76,MATCH($A70,_TECH_Initiative_Library!$AU$5:$AU$76,0)),"")</f>
        <v/>
      </c>
      <c r="K70" s="91" t="str">
        <f ca="1">IFERROR(INDEX(_TECH_Initiative_Library!$AF$5:$AF$76,MATCH($A70,_TECH_Initiative_Library!$AU$5:$AU$76,0)),"")</f>
        <v/>
      </c>
      <c r="L70" s="91" t="str">
        <f ca="1">IFERROR(INDEX(_TECH_Initiative_Library!$AO$5:$AO$76,MATCH($A70,_TECH_Initiative_Library!$AU$5:$AU$76,0)),"Not started")</f>
        <v>Not started</v>
      </c>
      <c r="M70" s="91" t="str">
        <f t="shared" ca="1" si="14"/>
        <v/>
      </c>
      <c r="N70" s="98" t="str">
        <f ca="1">IF($B70="","",IF($J70="0-90 days",$B$4,IF($J70="3-6 months",EDATE($B$4,3),IF($J70="6-12 months",EDATE($B$4,6),EDATE($B$4,12))))+(COUNTIF($J$14:$J70,$J70)-1)*14)</f>
        <v/>
      </c>
      <c r="O70" s="98" t="str">
        <f t="shared" ca="1" si="15"/>
        <v/>
      </c>
      <c r="P70" s="91" t="str">
        <f t="shared" ca="1" si="16"/>
        <v/>
      </c>
      <c r="Q70" s="48" t="str">
        <f ca="1">IFERROR(INDEX(_TECH_Initiative_Library!$AH$5:$AH$76,MATCH($A70,_TECH_Initiative_Library!$AU$5:$AU$76,0)),"")</f>
        <v/>
      </c>
      <c r="R70" s="48" t="str">
        <f ca="1">IFERROR(INDEX(_TECH_Initiative_Library!$AI$5:$AI$76,MATCH($A70,_TECH_Initiative_Library!$AU$5:$AU$76,0)),"")</f>
        <v/>
      </c>
      <c r="S70" s="91" t="str">
        <f t="shared" ca="1" si="19"/>
        <v/>
      </c>
      <c r="T70" s="91" t="str">
        <f t="shared" ca="1" si="19"/>
        <v/>
      </c>
      <c r="U70" s="91" t="str">
        <f t="shared" ca="1" si="19"/>
        <v/>
      </c>
      <c r="V70" s="91" t="str">
        <f t="shared" ca="1" si="19"/>
        <v/>
      </c>
      <c r="W70" s="91" t="str">
        <f t="shared" ca="1" si="19"/>
        <v/>
      </c>
      <c r="X70" s="91" t="str">
        <f t="shared" ca="1" si="19"/>
        <v/>
      </c>
      <c r="Y70" s="91" t="str">
        <f t="shared" ca="1" si="19"/>
        <v/>
      </c>
      <c r="Z70" s="91" t="str">
        <f t="shared" ca="1" si="19"/>
        <v/>
      </c>
      <c r="AA70" s="91" t="str">
        <f t="shared" ca="1" si="19"/>
        <v/>
      </c>
      <c r="AB70" s="91" t="str">
        <f t="shared" ca="1" si="19"/>
        <v/>
      </c>
      <c r="AC70" s="91" t="str">
        <f t="shared" ca="1" si="20"/>
        <v/>
      </c>
      <c r="AD70" s="91" t="str">
        <f t="shared" ca="1" si="20"/>
        <v/>
      </c>
      <c r="AE70" s="91" t="str">
        <f t="shared" ca="1" si="20"/>
        <v/>
      </c>
      <c r="AF70" s="91" t="str">
        <f t="shared" ca="1" si="20"/>
        <v/>
      </c>
      <c r="AG70" s="91" t="str">
        <f t="shared" ca="1" si="20"/>
        <v/>
      </c>
      <c r="AH70" s="91" t="str">
        <f t="shared" ca="1" si="20"/>
        <v/>
      </c>
      <c r="AI70" s="91" t="str">
        <f t="shared" ca="1" si="20"/>
        <v/>
      </c>
      <c r="AJ70" s="91" t="str">
        <f t="shared" ca="1" si="20"/>
        <v/>
      </c>
    </row>
    <row r="71" spans="1:36" ht="30" customHeight="1">
      <c r="A71" s="91">
        <v>58</v>
      </c>
      <c r="B71" s="91" t="str">
        <f ca="1">IFERROR(INDEX(_TECH_Initiative_Library!$A$5:$A$76,MATCH($A71,_TECH_Initiative_Library!$AU$5:$AU$76,0)),"")</f>
        <v/>
      </c>
      <c r="C71" s="48" t="str">
        <f ca="1">IFERROR(INDEX(_TECH_Initiative_Library!$F$5:$F$76,MATCH($A71,_TECH_Initiative_Library!$AU$5:$AU$76,0)),"")</f>
        <v/>
      </c>
      <c r="D71" s="91" t="str">
        <f ca="1">IFERROR(INDEX(_TECH_Initiative_Library!$B$5:$B$76,MATCH($A71,_TECH_Initiative_Library!$AU$5:$AU$76,0)),"")</f>
        <v/>
      </c>
      <c r="E71" s="48" t="str">
        <f ca="1">IFERROR(INDEX(_TECH_Initiative_Library!$D$5:$D$76,MATCH($A71,_TECH_Initiative_Library!$AU$5:$AU$76,0)),"")</f>
        <v/>
      </c>
      <c r="F71" s="87" t="str">
        <f ca="1">IFERROR(INDEX(_TECH_Initiative_Library!$AT$5:$AT$76,MATCH($A71,_TECH_Initiative_Library!$AU$5:$AU$76,0)),"")</f>
        <v/>
      </c>
      <c r="G71" s="91" t="str">
        <f ca="1">IFERROR(INDEX(_TECH_Initiative_Library!$AB$5:$AB$76,MATCH($A71,_TECH_Initiative_Library!$AU$5:$AU$76,0)),"")</f>
        <v/>
      </c>
      <c r="H71" s="91" t="str">
        <f ca="1">IFERROR(INDEX(_TECH_Initiative_Library!$Z$5:$Z$76,MATCH($A71,_TECH_Initiative_Library!$AU$5:$AU$76,0)),"")</f>
        <v/>
      </c>
      <c r="I71" s="91" t="str">
        <f ca="1">IFERROR(INDEX(_TECH_Initiative_Library!$AA$5:$AA$76,MATCH($A71,_TECH_Initiative_Library!$AU$5:$AU$76,0)),"")</f>
        <v/>
      </c>
      <c r="J71" s="91" t="str">
        <f ca="1">IFERROR(INDEX(_TECH_Initiative_Library!$AE$5:$AE$76,MATCH($A71,_TECH_Initiative_Library!$AU$5:$AU$76,0)),"")</f>
        <v/>
      </c>
      <c r="K71" s="91" t="str">
        <f ca="1">IFERROR(INDEX(_TECH_Initiative_Library!$AF$5:$AF$76,MATCH($A71,_TECH_Initiative_Library!$AU$5:$AU$76,0)),"")</f>
        <v/>
      </c>
      <c r="L71" s="91" t="str">
        <f ca="1">IFERROR(INDEX(_TECH_Initiative_Library!$AO$5:$AO$76,MATCH($A71,_TECH_Initiative_Library!$AU$5:$AU$76,0)),"Not started")</f>
        <v>Not started</v>
      </c>
      <c r="M71" s="91" t="str">
        <f t="shared" ca="1" si="14"/>
        <v/>
      </c>
      <c r="N71" s="98" t="str">
        <f ca="1">IF($B71="","",IF($J71="0-90 days",$B$4,IF($J71="3-6 months",EDATE($B$4,3),IF($J71="6-12 months",EDATE($B$4,6),EDATE($B$4,12))))+(COUNTIF($J$14:$J71,$J71)-1)*14)</f>
        <v/>
      </c>
      <c r="O71" s="98" t="str">
        <f t="shared" ca="1" si="15"/>
        <v/>
      </c>
      <c r="P71" s="91" t="str">
        <f t="shared" ca="1" si="16"/>
        <v/>
      </c>
      <c r="Q71" s="48" t="str">
        <f ca="1">IFERROR(INDEX(_TECH_Initiative_Library!$AH$5:$AH$76,MATCH($A71,_TECH_Initiative_Library!$AU$5:$AU$76,0)),"")</f>
        <v/>
      </c>
      <c r="R71" s="48" t="str">
        <f ca="1">IFERROR(INDEX(_TECH_Initiative_Library!$AI$5:$AI$76,MATCH($A71,_TECH_Initiative_Library!$AU$5:$AU$76,0)),"")</f>
        <v/>
      </c>
      <c r="S71" s="91" t="str">
        <f t="shared" ca="1" si="19"/>
        <v/>
      </c>
      <c r="T71" s="91" t="str">
        <f t="shared" ca="1" si="19"/>
        <v/>
      </c>
      <c r="U71" s="91" t="str">
        <f t="shared" ca="1" si="19"/>
        <v/>
      </c>
      <c r="V71" s="91" t="str">
        <f t="shared" ca="1" si="19"/>
        <v/>
      </c>
      <c r="W71" s="91" t="str">
        <f t="shared" ca="1" si="19"/>
        <v/>
      </c>
      <c r="X71" s="91" t="str">
        <f t="shared" ca="1" si="19"/>
        <v/>
      </c>
      <c r="Y71" s="91" t="str">
        <f t="shared" ca="1" si="19"/>
        <v/>
      </c>
      <c r="Z71" s="91" t="str">
        <f t="shared" ca="1" si="19"/>
        <v/>
      </c>
      <c r="AA71" s="91" t="str">
        <f t="shared" ca="1" si="19"/>
        <v/>
      </c>
      <c r="AB71" s="91" t="str">
        <f t="shared" ca="1" si="19"/>
        <v/>
      </c>
      <c r="AC71" s="91" t="str">
        <f t="shared" ca="1" si="20"/>
        <v/>
      </c>
      <c r="AD71" s="91" t="str">
        <f t="shared" ca="1" si="20"/>
        <v/>
      </c>
      <c r="AE71" s="91" t="str">
        <f t="shared" ca="1" si="20"/>
        <v/>
      </c>
      <c r="AF71" s="91" t="str">
        <f t="shared" ca="1" si="20"/>
        <v/>
      </c>
      <c r="AG71" s="91" t="str">
        <f t="shared" ca="1" si="20"/>
        <v/>
      </c>
      <c r="AH71" s="91" t="str">
        <f t="shared" ca="1" si="20"/>
        <v/>
      </c>
      <c r="AI71" s="91" t="str">
        <f t="shared" ca="1" si="20"/>
        <v/>
      </c>
      <c r="AJ71" s="91" t="str">
        <f t="shared" ca="1" si="20"/>
        <v/>
      </c>
    </row>
    <row r="72" spans="1:36" ht="30" customHeight="1">
      <c r="A72" s="91">
        <v>59</v>
      </c>
      <c r="B72" s="91" t="str">
        <f ca="1">IFERROR(INDEX(_TECH_Initiative_Library!$A$5:$A$76,MATCH($A72,_TECH_Initiative_Library!$AU$5:$AU$76,0)),"")</f>
        <v/>
      </c>
      <c r="C72" s="48" t="str">
        <f ca="1">IFERROR(INDEX(_TECH_Initiative_Library!$F$5:$F$76,MATCH($A72,_TECH_Initiative_Library!$AU$5:$AU$76,0)),"")</f>
        <v/>
      </c>
      <c r="D72" s="91" t="str">
        <f ca="1">IFERROR(INDEX(_TECH_Initiative_Library!$B$5:$B$76,MATCH($A72,_TECH_Initiative_Library!$AU$5:$AU$76,0)),"")</f>
        <v/>
      </c>
      <c r="E72" s="48" t="str">
        <f ca="1">IFERROR(INDEX(_TECH_Initiative_Library!$D$5:$D$76,MATCH($A72,_TECH_Initiative_Library!$AU$5:$AU$76,0)),"")</f>
        <v/>
      </c>
      <c r="F72" s="87" t="str">
        <f ca="1">IFERROR(INDEX(_TECH_Initiative_Library!$AT$5:$AT$76,MATCH($A72,_TECH_Initiative_Library!$AU$5:$AU$76,0)),"")</f>
        <v/>
      </c>
      <c r="G72" s="91" t="str">
        <f ca="1">IFERROR(INDEX(_TECH_Initiative_Library!$AB$5:$AB$76,MATCH($A72,_TECH_Initiative_Library!$AU$5:$AU$76,0)),"")</f>
        <v/>
      </c>
      <c r="H72" s="91" t="str">
        <f ca="1">IFERROR(INDEX(_TECH_Initiative_Library!$Z$5:$Z$76,MATCH($A72,_TECH_Initiative_Library!$AU$5:$AU$76,0)),"")</f>
        <v/>
      </c>
      <c r="I72" s="91" t="str">
        <f ca="1">IFERROR(INDEX(_TECH_Initiative_Library!$AA$5:$AA$76,MATCH($A72,_TECH_Initiative_Library!$AU$5:$AU$76,0)),"")</f>
        <v/>
      </c>
      <c r="J72" s="91" t="str">
        <f ca="1">IFERROR(INDEX(_TECH_Initiative_Library!$AE$5:$AE$76,MATCH($A72,_TECH_Initiative_Library!$AU$5:$AU$76,0)),"")</f>
        <v/>
      </c>
      <c r="K72" s="91" t="str">
        <f ca="1">IFERROR(INDEX(_TECH_Initiative_Library!$AF$5:$AF$76,MATCH($A72,_TECH_Initiative_Library!$AU$5:$AU$76,0)),"")</f>
        <v/>
      </c>
      <c r="L72" s="91" t="str">
        <f ca="1">IFERROR(INDEX(_TECH_Initiative_Library!$AO$5:$AO$76,MATCH($A72,_TECH_Initiative_Library!$AU$5:$AU$76,0)),"Not started")</f>
        <v>Not started</v>
      </c>
      <c r="M72" s="91" t="str">
        <f t="shared" ca="1" si="14"/>
        <v/>
      </c>
      <c r="N72" s="98" t="str">
        <f ca="1">IF($B72="","",IF($J72="0-90 days",$B$4,IF($J72="3-6 months",EDATE($B$4,3),IF($J72="6-12 months",EDATE($B$4,6),EDATE($B$4,12))))+(COUNTIF($J$14:$J72,$J72)-1)*14)</f>
        <v/>
      </c>
      <c r="O72" s="98" t="str">
        <f t="shared" ca="1" si="15"/>
        <v/>
      </c>
      <c r="P72" s="91" t="str">
        <f t="shared" ca="1" si="16"/>
        <v/>
      </c>
      <c r="Q72" s="48" t="str">
        <f ca="1">IFERROR(INDEX(_TECH_Initiative_Library!$AH$5:$AH$76,MATCH($A72,_TECH_Initiative_Library!$AU$5:$AU$76,0)),"")</f>
        <v/>
      </c>
      <c r="R72" s="48" t="str">
        <f ca="1">IFERROR(INDEX(_TECH_Initiative_Library!$AI$5:$AI$76,MATCH($A72,_TECH_Initiative_Library!$AU$5:$AU$76,0)),"")</f>
        <v/>
      </c>
      <c r="S72" s="91" t="str">
        <f t="shared" ca="1" si="19"/>
        <v/>
      </c>
      <c r="T72" s="91" t="str">
        <f t="shared" ca="1" si="19"/>
        <v/>
      </c>
      <c r="U72" s="91" t="str">
        <f t="shared" ca="1" si="19"/>
        <v/>
      </c>
      <c r="V72" s="91" t="str">
        <f t="shared" ca="1" si="19"/>
        <v/>
      </c>
      <c r="W72" s="91" t="str">
        <f t="shared" ca="1" si="19"/>
        <v/>
      </c>
      <c r="X72" s="91" t="str">
        <f t="shared" ca="1" si="19"/>
        <v/>
      </c>
      <c r="Y72" s="91" t="str">
        <f t="shared" ca="1" si="19"/>
        <v/>
      </c>
      <c r="Z72" s="91" t="str">
        <f t="shared" ca="1" si="19"/>
        <v/>
      </c>
      <c r="AA72" s="91" t="str">
        <f t="shared" ca="1" si="19"/>
        <v/>
      </c>
      <c r="AB72" s="91" t="str">
        <f t="shared" ca="1" si="19"/>
        <v/>
      </c>
      <c r="AC72" s="91" t="str">
        <f t="shared" ca="1" si="20"/>
        <v/>
      </c>
      <c r="AD72" s="91" t="str">
        <f t="shared" ca="1" si="20"/>
        <v/>
      </c>
      <c r="AE72" s="91" t="str">
        <f t="shared" ca="1" si="20"/>
        <v/>
      </c>
      <c r="AF72" s="91" t="str">
        <f t="shared" ca="1" si="20"/>
        <v/>
      </c>
      <c r="AG72" s="91" t="str">
        <f t="shared" ca="1" si="20"/>
        <v/>
      </c>
      <c r="AH72" s="91" t="str">
        <f t="shared" ca="1" si="20"/>
        <v/>
      </c>
      <c r="AI72" s="91" t="str">
        <f t="shared" ca="1" si="20"/>
        <v/>
      </c>
      <c r="AJ72" s="91" t="str">
        <f t="shared" ca="1" si="20"/>
        <v/>
      </c>
    </row>
    <row r="73" spans="1:36" ht="30" customHeight="1">
      <c r="A73" s="91">
        <v>60</v>
      </c>
      <c r="B73" s="91" t="str">
        <f ca="1">IFERROR(INDEX(_TECH_Initiative_Library!$A$5:$A$76,MATCH($A73,_TECH_Initiative_Library!$AU$5:$AU$76,0)),"")</f>
        <v/>
      </c>
      <c r="C73" s="48" t="str">
        <f ca="1">IFERROR(INDEX(_TECH_Initiative_Library!$F$5:$F$76,MATCH($A73,_TECH_Initiative_Library!$AU$5:$AU$76,0)),"")</f>
        <v/>
      </c>
      <c r="D73" s="91" t="str">
        <f ca="1">IFERROR(INDEX(_TECH_Initiative_Library!$B$5:$B$76,MATCH($A73,_TECH_Initiative_Library!$AU$5:$AU$76,0)),"")</f>
        <v/>
      </c>
      <c r="E73" s="48" t="str">
        <f ca="1">IFERROR(INDEX(_TECH_Initiative_Library!$D$5:$D$76,MATCH($A73,_TECH_Initiative_Library!$AU$5:$AU$76,0)),"")</f>
        <v/>
      </c>
      <c r="F73" s="87" t="str">
        <f ca="1">IFERROR(INDEX(_TECH_Initiative_Library!$AT$5:$AT$76,MATCH($A73,_TECH_Initiative_Library!$AU$5:$AU$76,0)),"")</f>
        <v/>
      </c>
      <c r="G73" s="91" t="str">
        <f ca="1">IFERROR(INDEX(_TECH_Initiative_Library!$AB$5:$AB$76,MATCH($A73,_TECH_Initiative_Library!$AU$5:$AU$76,0)),"")</f>
        <v/>
      </c>
      <c r="H73" s="91" t="str">
        <f ca="1">IFERROR(INDEX(_TECH_Initiative_Library!$Z$5:$Z$76,MATCH($A73,_TECH_Initiative_Library!$AU$5:$AU$76,0)),"")</f>
        <v/>
      </c>
      <c r="I73" s="91" t="str">
        <f ca="1">IFERROR(INDEX(_TECH_Initiative_Library!$AA$5:$AA$76,MATCH($A73,_TECH_Initiative_Library!$AU$5:$AU$76,0)),"")</f>
        <v/>
      </c>
      <c r="J73" s="91" t="str">
        <f ca="1">IFERROR(INDEX(_TECH_Initiative_Library!$AE$5:$AE$76,MATCH($A73,_TECH_Initiative_Library!$AU$5:$AU$76,0)),"")</f>
        <v/>
      </c>
      <c r="K73" s="91" t="str">
        <f ca="1">IFERROR(INDEX(_TECH_Initiative_Library!$AF$5:$AF$76,MATCH($A73,_TECH_Initiative_Library!$AU$5:$AU$76,0)),"")</f>
        <v/>
      </c>
      <c r="L73" s="91" t="str">
        <f ca="1">IFERROR(INDEX(_TECH_Initiative_Library!$AO$5:$AO$76,MATCH($A73,_TECH_Initiative_Library!$AU$5:$AU$76,0)),"Not started")</f>
        <v>Not started</v>
      </c>
      <c r="M73" s="91" t="str">
        <f t="shared" ca="1" si="14"/>
        <v/>
      </c>
      <c r="N73" s="98" t="str">
        <f ca="1">IF($B73="","",IF($J73="0-90 days",$B$4,IF($J73="3-6 months",EDATE($B$4,3),IF($J73="6-12 months",EDATE($B$4,6),EDATE($B$4,12))))+(COUNTIF($J$14:$J73,$J73)-1)*14)</f>
        <v/>
      </c>
      <c r="O73" s="98" t="str">
        <f t="shared" ca="1" si="15"/>
        <v/>
      </c>
      <c r="P73" s="91" t="str">
        <f t="shared" ca="1" si="16"/>
        <v/>
      </c>
      <c r="Q73" s="48" t="str">
        <f ca="1">IFERROR(INDEX(_TECH_Initiative_Library!$AH$5:$AH$76,MATCH($A73,_TECH_Initiative_Library!$AU$5:$AU$76,0)),"")</f>
        <v/>
      </c>
      <c r="R73" s="48" t="str">
        <f ca="1">IFERROR(INDEX(_TECH_Initiative_Library!$AI$5:$AI$76,MATCH($A73,_TECH_Initiative_Library!$AU$5:$AU$76,0)),"")</f>
        <v/>
      </c>
      <c r="S73" s="91" t="str">
        <f t="shared" ca="1" si="19"/>
        <v/>
      </c>
      <c r="T73" s="91" t="str">
        <f t="shared" ca="1" si="19"/>
        <v/>
      </c>
      <c r="U73" s="91" t="str">
        <f t="shared" ca="1" si="19"/>
        <v/>
      </c>
      <c r="V73" s="91" t="str">
        <f t="shared" ca="1" si="19"/>
        <v/>
      </c>
      <c r="W73" s="91" t="str">
        <f t="shared" ca="1" si="19"/>
        <v/>
      </c>
      <c r="X73" s="91" t="str">
        <f t="shared" ca="1" si="19"/>
        <v/>
      </c>
      <c r="Y73" s="91" t="str">
        <f t="shared" ca="1" si="19"/>
        <v/>
      </c>
      <c r="Z73" s="91" t="str">
        <f t="shared" ca="1" si="19"/>
        <v/>
      </c>
      <c r="AA73" s="91" t="str">
        <f t="shared" ca="1" si="19"/>
        <v/>
      </c>
      <c r="AB73" s="91" t="str">
        <f t="shared" ca="1" si="19"/>
        <v/>
      </c>
      <c r="AC73" s="91" t="str">
        <f t="shared" ca="1" si="20"/>
        <v/>
      </c>
      <c r="AD73" s="91" t="str">
        <f t="shared" ca="1" si="20"/>
        <v/>
      </c>
      <c r="AE73" s="91" t="str">
        <f t="shared" ca="1" si="20"/>
        <v/>
      </c>
      <c r="AF73" s="91" t="str">
        <f t="shared" ca="1" si="20"/>
        <v/>
      </c>
      <c r="AG73" s="91" t="str">
        <f t="shared" ca="1" si="20"/>
        <v/>
      </c>
      <c r="AH73" s="91" t="str">
        <f t="shared" ca="1" si="20"/>
        <v/>
      </c>
      <c r="AI73" s="91" t="str">
        <f t="shared" ca="1" si="20"/>
        <v/>
      </c>
      <c r="AJ73" s="91" t="str">
        <f t="shared" ca="1" si="20"/>
        <v/>
      </c>
    </row>
    <row r="74" spans="1:36" ht="30" customHeight="1">
      <c r="A74" s="91">
        <v>61</v>
      </c>
      <c r="B74" s="91" t="str">
        <f ca="1">IFERROR(INDEX(_TECH_Initiative_Library!$A$5:$A$76,MATCH($A74,_TECH_Initiative_Library!$AU$5:$AU$76,0)),"")</f>
        <v/>
      </c>
      <c r="C74" s="48" t="str">
        <f ca="1">IFERROR(INDEX(_TECH_Initiative_Library!$F$5:$F$76,MATCH($A74,_TECH_Initiative_Library!$AU$5:$AU$76,0)),"")</f>
        <v/>
      </c>
      <c r="D74" s="91" t="str">
        <f ca="1">IFERROR(INDEX(_TECH_Initiative_Library!$B$5:$B$76,MATCH($A74,_TECH_Initiative_Library!$AU$5:$AU$76,0)),"")</f>
        <v/>
      </c>
      <c r="E74" s="48" t="str">
        <f ca="1">IFERROR(INDEX(_TECH_Initiative_Library!$D$5:$D$76,MATCH($A74,_TECH_Initiative_Library!$AU$5:$AU$76,0)),"")</f>
        <v/>
      </c>
      <c r="F74" s="87" t="str">
        <f ca="1">IFERROR(INDEX(_TECH_Initiative_Library!$AT$5:$AT$76,MATCH($A74,_TECH_Initiative_Library!$AU$5:$AU$76,0)),"")</f>
        <v/>
      </c>
      <c r="G74" s="91" t="str">
        <f ca="1">IFERROR(INDEX(_TECH_Initiative_Library!$AB$5:$AB$76,MATCH($A74,_TECH_Initiative_Library!$AU$5:$AU$76,0)),"")</f>
        <v/>
      </c>
      <c r="H74" s="91" t="str">
        <f ca="1">IFERROR(INDEX(_TECH_Initiative_Library!$Z$5:$Z$76,MATCH($A74,_TECH_Initiative_Library!$AU$5:$AU$76,0)),"")</f>
        <v/>
      </c>
      <c r="I74" s="91" t="str">
        <f ca="1">IFERROR(INDEX(_TECH_Initiative_Library!$AA$5:$AA$76,MATCH($A74,_TECH_Initiative_Library!$AU$5:$AU$76,0)),"")</f>
        <v/>
      </c>
      <c r="J74" s="91" t="str">
        <f ca="1">IFERROR(INDEX(_TECH_Initiative_Library!$AE$5:$AE$76,MATCH($A74,_TECH_Initiative_Library!$AU$5:$AU$76,0)),"")</f>
        <v/>
      </c>
      <c r="K74" s="91" t="str">
        <f ca="1">IFERROR(INDEX(_TECH_Initiative_Library!$AF$5:$AF$76,MATCH($A74,_TECH_Initiative_Library!$AU$5:$AU$76,0)),"")</f>
        <v/>
      </c>
      <c r="L74" s="91" t="str">
        <f ca="1">IFERROR(INDEX(_TECH_Initiative_Library!$AO$5:$AO$76,MATCH($A74,_TECH_Initiative_Library!$AU$5:$AU$76,0)),"Not started")</f>
        <v>Not started</v>
      </c>
      <c r="M74" s="91" t="str">
        <f t="shared" ca="1" si="14"/>
        <v/>
      </c>
      <c r="N74" s="98" t="str">
        <f ca="1">IF($B74="","",IF($J74="0-90 days",$B$4,IF($J74="3-6 months",EDATE($B$4,3),IF($J74="6-12 months",EDATE($B$4,6),EDATE($B$4,12))))+(COUNTIF($J$14:$J74,$J74)-1)*14)</f>
        <v/>
      </c>
      <c r="O74" s="98" t="str">
        <f t="shared" ca="1" si="15"/>
        <v/>
      </c>
      <c r="P74" s="91" t="str">
        <f t="shared" ca="1" si="16"/>
        <v/>
      </c>
      <c r="Q74" s="48" t="str">
        <f ca="1">IFERROR(INDEX(_TECH_Initiative_Library!$AH$5:$AH$76,MATCH($A74,_TECH_Initiative_Library!$AU$5:$AU$76,0)),"")</f>
        <v/>
      </c>
      <c r="R74" s="48" t="str">
        <f ca="1">IFERROR(INDEX(_TECH_Initiative_Library!$AI$5:$AI$76,MATCH($A74,_TECH_Initiative_Library!$AU$5:$AU$76,0)),"")</f>
        <v/>
      </c>
      <c r="S74" s="91" t="str">
        <f t="shared" ref="S74:AB85" ca="1" si="21">IF(AND(S$13&gt;=$N74,S$13&lt;=$O74),"■","")</f>
        <v/>
      </c>
      <c r="T74" s="91" t="str">
        <f t="shared" ca="1" si="21"/>
        <v/>
      </c>
      <c r="U74" s="91" t="str">
        <f t="shared" ca="1" si="21"/>
        <v/>
      </c>
      <c r="V74" s="91" t="str">
        <f t="shared" ca="1" si="21"/>
        <v/>
      </c>
      <c r="W74" s="91" t="str">
        <f t="shared" ca="1" si="21"/>
        <v/>
      </c>
      <c r="X74" s="91" t="str">
        <f t="shared" ca="1" si="21"/>
        <v/>
      </c>
      <c r="Y74" s="91" t="str">
        <f t="shared" ca="1" si="21"/>
        <v/>
      </c>
      <c r="Z74" s="91" t="str">
        <f t="shared" ca="1" si="21"/>
        <v/>
      </c>
      <c r="AA74" s="91" t="str">
        <f t="shared" ca="1" si="21"/>
        <v/>
      </c>
      <c r="AB74" s="91" t="str">
        <f t="shared" ca="1" si="21"/>
        <v/>
      </c>
      <c r="AC74" s="91" t="str">
        <f t="shared" ref="AC74:AJ85" ca="1" si="22">IF(AND(AC$13&gt;=$N74,AC$13&lt;=$O74),"■","")</f>
        <v/>
      </c>
      <c r="AD74" s="91" t="str">
        <f t="shared" ca="1" si="22"/>
        <v/>
      </c>
      <c r="AE74" s="91" t="str">
        <f t="shared" ca="1" si="22"/>
        <v/>
      </c>
      <c r="AF74" s="91" t="str">
        <f t="shared" ca="1" si="22"/>
        <v/>
      </c>
      <c r="AG74" s="91" t="str">
        <f t="shared" ca="1" si="22"/>
        <v/>
      </c>
      <c r="AH74" s="91" t="str">
        <f t="shared" ca="1" si="22"/>
        <v/>
      </c>
      <c r="AI74" s="91" t="str">
        <f t="shared" ca="1" si="22"/>
        <v/>
      </c>
      <c r="AJ74" s="91" t="str">
        <f t="shared" ca="1" si="22"/>
        <v/>
      </c>
    </row>
    <row r="75" spans="1:36" ht="30" customHeight="1">
      <c r="A75" s="91">
        <v>62</v>
      </c>
      <c r="B75" s="91" t="str">
        <f ca="1">IFERROR(INDEX(_TECH_Initiative_Library!$A$5:$A$76,MATCH($A75,_TECH_Initiative_Library!$AU$5:$AU$76,0)),"")</f>
        <v/>
      </c>
      <c r="C75" s="48" t="str">
        <f ca="1">IFERROR(INDEX(_TECH_Initiative_Library!$F$5:$F$76,MATCH($A75,_TECH_Initiative_Library!$AU$5:$AU$76,0)),"")</f>
        <v/>
      </c>
      <c r="D75" s="91" t="str">
        <f ca="1">IFERROR(INDEX(_TECH_Initiative_Library!$B$5:$B$76,MATCH($A75,_TECH_Initiative_Library!$AU$5:$AU$76,0)),"")</f>
        <v/>
      </c>
      <c r="E75" s="48" t="str">
        <f ca="1">IFERROR(INDEX(_TECH_Initiative_Library!$D$5:$D$76,MATCH($A75,_TECH_Initiative_Library!$AU$5:$AU$76,0)),"")</f>
        <v/>
      </c>
      <c r="F75" s="87" t="str">
        <f ca="1">IFERROR(INDEX(_TECH_Initiative_Library!$AT$5:$AT$76,MATCH($A75,_TECH_Initiative_Library!$AU$5:$AU$76,0)),"")</f>
        <v/>
      </c>
      <c r="G75" s="91" t="str">
        <f ca="1">IFERROR(INDEX(_TECH_Initiative_Library!$AB$5:$AB$76,MATCH($A75,_TECH_Initiative_Library!$AU$5:$AU$76,0)),"")</f>
        <v/>
      </c>
      <c r="H75" s="91" t="str">
        <f ca="1">IFERROR(INDEX(_TECH_Initiative_Library!$Z$5:$Z$76,MATCH($A75,_TECH_Initiative_Library!$AU$5:$AU$76,0)),"")</f>
        <v/>
      </c>
      <c r="I75" s="91" t="str">
        <f ca="1">IFERROR(INDEX(_TECH_Initiative_Library!$AA$5:$AA$76,MATCH($A75,_TECH_Initiative_Library!$AU$5:$AU$76,0)),"")</f>
        <v/>
      </c>
      <c r="J75" s="91" t="str">
        <f ca="1">IFERROR(INDEX(_TECH_Initiative_Library!$AE$5:$AE$76,MATCH($A75,_TECH_Initiative_Library!$AU$5:$AU$76,0)),"")</f>
        <v/>
      </c>
      <c r="K75" s="91" t="str">
        <f ca="1">IFERROR(INDEX(_TECH_Initiative_Library!$AF$5:$AF$76,MATCH($A75,_TECH_Initiative_Library!$AU$5:$AU$76,0)),"")</f>
        <v/>
      </c>
      <c r="L75" s="91" t="str">
        <f ca="1">IFERROR(INDEX(_TECH_Initiative_Library!$AO$5:$AO$76,MATCH($A75,_TECH_Initiative_Library!$AU$5:$AU$76,0)),"Not started")</f>
        <v>Not started</v>
      </c>
      <c r="M75" s="91" t="str">
        <f t="shared" ca="1" si="14"/>
        <v/>
      </c>
      <c r="N75" s="98" t="str">
        <f ca="1">IF($B75="","",IF($J75="0-90 days",$B$4,IF($J75="3-6 months",EDATE($B$4,3),IF($J75="6-12 months",EDATE($B$4,6),EDATE($B$4,12))))+(COUNTIF($J$14:$J75,$J75)-1)*14)</f>
        <v/>
      </c>
      <c r="O75" s="98" t="str">
        <f t="shared" ca="1" si="15"/>
        <v/>
      </c>
      <c r="P75" s="91" t="str">
        <f t="shared" ca="1" si="16"/>
        <v/>
      </c>
      <c r="Q75" s="48" t="str">
        <f ca="1">IFERROR(INDEX(_TECH_Initiative_Library!$AH$5:$AH$76,MATCH($A75,_TECH_Initiative_Library!$AU$5:$AU$76,0)),"")</f>
        <v/>
      </c>
      <c r="R75" s="48" t="str">
        <f ca="1">IFERROR(INDEX(_TECH_Initiative_Library!$AI$5:$AI$76,MATCH($A75,_TECH_Initiative_Library!$AU$5:$AU$76,0)),"")</f>
        <v/>
      </c>
      <c r="S75" s="91" t="str">
        <f t="shared" ca="1" si="21"/>
        <v/>
      </c>
      <c r="T75" s="91" t="str">
        <f t="shared" ca="1" si="21"/>
        <v/>
      </c>
      <c r="U75" s="91" t="str">
        <f t="shared" ca="1" si="21"/>
        <v/>
      </c>
      <c r="V75" s="91" t="str">
        <f t="shared" ca="1" si="21"/>
        <v/>
      </c>
      <c r="W75" s="91" t="str">
        <f t="shared" ca="1" si="21"/>
        <v/>
      </c>
      <c r="X75" s="91" t="str">
        <f t="shared" ca="1" si="21"/>
        <v/>
      </c>
      <c r="Y75" s="91" t="str">
        <f t="shared" ca="1" si="21"/>
        <v/>
      </c>
      <c r="Z75" s="91" t="str">
        <f t="shared" ca="1" si="21"/>
        <v/>
      </c>
      <c r="AA75" s="91" t="str">
        <f t="shared" ca="1" si="21"/>
        <v/>
      </c>
      <c r="AB75" s="91" t="str">
        <f t="shared" ca="1" si="21"/>
        <v/>
      </c>
      <c r="AC75" s="91" t="str">
        <f t="shared" ca="1" si="22"/>
        <v/>
      </c>
      <c r="AD75" s="91" t="str">
        <f t="shared" ca="1" si="22"/>
        <v/>
      </c>
      <c r="AE75" s="91" t="str">
        <f t="shared" ca="1" si="22"/>
        <v/>
      </c>
      <c r="AF75" s="91" t="str">
        <f t="shared" ca="1" si="22"/>
        <v/>
      </c>
      <c r="AG75" s="91" t="str">
        <f t="shared" ca="1" si="22"/>
        <v/>
      </c>
      <c r="AH75" s="91" t="str">
        <f t="shared" ca="1" si="22"/>
        <v/>
      </c>
      <c r="AI75" s="91" t="str">
        <f t="shared" ca="1" si="22"/>
        <v/>
      </c>
      <c r="AJ75" s="91" t="str">
        <f t="shared" ca="1" si="22"/>
        <v/>
      </c>
    </row>
    <row r="76" spans="1:36" ht="30" customHeight="1">
      <c r="A76" s="91">
        <v>63</v>
      </c>
      <c r="B76" s="91" t="str">
        <f ca="1">IFERROR(INDEX(_TECH_Initiative_Library!$A$5:$A$76,MATCH($A76,_TECH_Initiative_Library!$AU$5:$AU$76,0)),"")</f>
        <v/>
      </c>
      <c r="C76" s="48" t="str">
        <f ca="1">IFERROR(INDEX(_TECH_Initiative_Library!$F$5:$F$76,MATCH($A76,_TECH_Initiative_Library!$AU$5:$AU$76,0)),"")</f>
        <v/>
      </c>
      <c r="D76" s="91" t="str">
        <f ca="1">IFERROR(INDEX(_TECH_Initiative_Library!$B$5:$B$76,MATCH($A76,_TECH_Initiative_Library!$AU$5:$AU$76,0)),"")</f>
        <v/>
      </c>
      <c r="E76" s="48" t="str">
        <f ca="1">IFERROR(INDEX(_TECH_Initiative_Library!$D$5:$D$76,MATCH($A76,_TECH_Initiative_Library!$AU$5:$AU$76,0)),"")</f>
        <v/>
      </c>
      <c r="F76" s="87" t="str">
        <f ca="1">IFERROR(INDEX(_TECH_Initiative_Library!$AT$5:$AT$76,MATCH($A76,_TECH_Initiative_Library!$AU$5:$AU$76,0)),"")</f>
        <v/>
      </c>
      <c r="G76" s="91" t="str">
        <f ca="1">IFERROR(INDEX(_TECH_Initiative_Library!$AB$5:$AB$76,MATCH($A76,_TECH_Initiative_Library!$AU$5:$AU$76,0)),"")</f>
        <v/>
      </c>
      <c r="H76" s="91" t="str">
        <f ca="1">IFERROR(INDEX(_TECH_Initiative_Library!$Z$5:$Z$76,MATCH($A76,_TECH_Initiative_Library!$AU$5:$AU$76,0)),"")</f>
        <v/>
      </c>
      <c r="I76" s="91" t="str">
        <f ca="1">IFERROR(INDEX(_TECH_Initiative_Library!$AA$5:$AA$76,MATCH($A76,_TECH_Initiative_Library!$AU$5:$AU$76,0)),"")</f>
        <v/>
      </c>
      <c r="J76" s="91" t="str">
        <f ca="1">IFERROR(INDEX(_TECH_Initiative_Library!$AE$5:$AE$76,MATCH($A76,_TECH_Initiative_Library!$AU$5:$AU$76,0)),"")</f>
        <v/>
      </c>
      <c r="K76" s="91" t="str">
        <f ca="1">IFERROR(INDEX(_TECH_Initiative_Library!$AF$5:$AF$76,MATCH($A76,_TECH_Initiative_Library!$AU$5:$AU$76,0)),"")</f>
        <v/>
      </c>
      <c r="L76" s="91" t="str">
        <f ca="1">IFERROR(INDEX(_TECH_Initiative_Library!$AO$5:$AO$76,MATCH($A76,_TECH_Initiative_Library!$AU$5:$AU$76,0)),"Not started")</f>
        <v>Not started</v>
      </c>
      <c r="M76" s="91" t="str">
        <f t="shared" ca="1" si="14"/>
        <v/>
      </c>
      <c r="N76" s="98" t="str">
        <f ca="1">IF($B76="","",IF($J76="0-90 days",$B$4,IF($J76="3-6 months",EDATE($B$4,3),IF($J76="6-12 months",EDATE($B$4,6),EDATE($B$4,12))))+(COUNTIF($J$14:$J76,$J76)-1)*14)</f>
        <v/>
      </c>
      <c r="O76" s="98" t="str">
        <f t="shared" ca="1" si="15"/>
        <v/>
      </c>
      <c r="P76" s="91" t="str">
        <f t="shared" ca="1" si="16"/>
        <v/>
      </c>
      <c r="Q76" s="48" t="str">
        <f ca="1">IFERROR(INDEX(_TECH_Initiative_Library!$AH$5:$AH$76,MATCH($A76,_TECH_Initiative_Library!$AU$5:$AU$76,0)),"")</f>
        <v/>
      </c>
      <c r="R76" s="48" t="str">
        <f ca="1">IFERROR(INDEX(_TECH_Initiative_Library!$AI$5:$AI$76,MATCH($A76,_TECH_Initiative_Library!$AU$5:$AU$76,0)),"")</f>
        <v/>
      </c>
      <c r="S76" s="91" t="str">
        <f t="shared" ca="1" si="21"/>
        <v/>
      </c>
      <c r="T76" s="91" t="str">
        <f t="shared" ca="1" si="21"/>
        <v/>
      </c>
      <c r="U76" s="91" t="str">
        <f t="shared" ca="1" si="21"/>
        <v/>
      </c>
      <c r="V76" s="91" t="str">
        <f t="shared" ca="1" si="21"/>
        <v/>
      </c>
      <c r="W76" s="91" t="str">
        <f t="shared" ca="1" si="21"/>
        <v/>
      </c>
      <c r="X76" s="91" t="str">
        <f t="shared" ca="1" si="21"/>
        <v/>
      </c>
      <c r="Y76" s="91" t="str">
        <f t="shared" ca="1" si="21"/>
        <v/>
      </c>
      <c r="Z76" s="91" t="str">
        <f t="shared" ca="1" si="21"/>
        <v/>
      </c>
      <c r="AA76" s="91" t="str">
        <f t="shared" ca="1" si="21"/>
        <v/>
      </c>
      <c r="AB76" s="91" t="str">
        <f t="shared" ca="1" si="21"/>
        <v/>
      </c>
      <c r="AC76" s="91" t="str">
        <f t="shared" ca="1" si="22"/>
        <v/>
      </c>
      <c r="AD76" s="91" t="str">
        <f t="shared" ca="1" si="22"/>
        <v/>
      </c>
      <c r="AE76" s="91" t="str">
        <f t="shared" ca="1" si="22"/>
        <v/>
      </c>
      <c r="AF76" s="91" t="str">
        <f t="shared" ca="1" si="22"/>
        <v/>
      </c>
      <c r="AG76" s="91" t="str">
        <f t="shared" ca="1" si="22"/>
        <v/>
      </c>
      <c r="AH76" s="91" t="str">
        <f t="shared" ca="1" si="22"/>
        <v/>
      </c>
      <c r="AI76" s="91" t="str">
        <f t="shared" ca="1" si="22"/>
        <v/>
      </c>
      <c r="AJ76" s="91" t="str">
        <f t="shared" ca="1" si="22"/>
        <v/>
      </c>
    </row>
    <row r="77" spans="1:36" ht="30" customHeight="1">
      <c r="A77" s="91">
        <v>64</v>
      </c>
      <c r="B77" s="91" t="str">
        <f ca="1">IFERROR(INDEX(_TECH_Initiative_Library!$A$5:$A$76,MATCH($A77,_TECH_Initiative_Library!$AU$5:$AU$76,0)),"")</f>
        <v/>
      </c>
      <c r="C77" s="48" t="str">
        <f ca="1">IFERROR(INDEX(_TECH_Initiative_Library!$F$5:$F$76,MATCH($A77,_TECH_Initiative_Library!$AU$5:$AU$76,0)),"")</f>
        <v/>
      </c>
      <c r="D77" s="91" t="str">
        <f ca="1">IFERROR(INDEX(_TECH_Initiative_Library!$B$5:$B$76,MATCH($A77,_TECH_Initiative_Library!$AU$5:$AU$76,0)),"")</f>
        <v/>
      </c>
      <c r="E77" s="48" t="str">
        <f ca="1">IFERROR(INDEX(_TECH_Initiative_Library!$D$5:$D$76,MATCH($A77,_TECH_Initiative_Library!$AU$5:$AU$76,0)),"")</f>
        <v/>
      </c>
      <c r="F77" s="87" t="str">
        <f ca="1">IFERROR(INDEX(_TECH_Initiative_Library!$AT$5:$AT$76,MATCH($A77,_TECH_Initiative_Library!$AU$5:$AU$76,0)),"")</f>
        <v/>
      </c>
      <c r="G77" s="91" t="str">
        <f ca="1">IFERROR(INDEX(_TECH_Initiative_Library!$AB$5:$AB$76,MATCH($A77,_TECH_Initiative_Library!$AU$5:$AU$76,0)),"")</f>
        <v/>
      </c>
      <c r="H77" s="91" t="str">
        <f ca="1">IFERROR(INDEX(_TECH_Initiative_Library!$Z$5:$Z$76,MATCH($A77,_TECH_Initiative_Library!$AU$5:$AU$76,0)),"")</f>
        <v/>
      </c>
      <c r="I77" s="91" t="str">
        <f ca="1">IFERROR(INDEX(_TECH_Initiative_Library!$AA$5:$AA$76,MATCH($A77,_TECH_Initiative_Library!$AU$5:$AU$76,0)),"")</f>
        <v/>
      </c>
      <c r="J77" s="91" t="str">
        <f ca="1">IFERROR(INDEX(_TECH_Initiative_Library!$AE$5:$AE$76,MATCH($A77,_TECH_Initiative_Library!$AU$5:$AU$76,0)),"")</f>
        <v/>
      </c>
      <c r="K77" s="91" t="str">
        <f ca="1">IFERROR(INDEX(_TECH_Initiative_Library!$AF$5:$AF$76,MATCH($A77,_TECH_Initiative_Library!$AU$5:$AU$76,0)),"")</f>
        <v/>
      </c>
      <c r="L77" s="91" t="str">
        <f ca="1">IFERROR(INDEX(_TECH_Initiative_Library!$AO$5:$AO$76,MATCH($A77,_TECH_Initiative_Library!$AU$5:$AU$76,0)),"Not started")</f>
        <v>Not started</v>
      </c>
      <c r="M77" s="91" t="str">
        <f t="shared" ca="1" si="14"/>
        <v/>
      </c>
      <c r="N77" s="98" t="str">
        <f ca="1">IF($B77="","",IF($J77="0-90 days",$B$4,IF($J77="3-6 months",EDATE($B$4,3),IF($J77="6-12 months",EDATE($B$4,6),EDATE($B$4,12))))+(COUNTIF($J$14:$J77,$J77)-1)*14)</f>
        <v/>
      </c>
      <c r="O77" s="98" t="str">
        <f t="shared" ca="1" si="15"/>
        <v/>
      </c>
      <c r="P77" s="91" t="str">
        <f t="shared" ca="1" si="16"/>
        <v/>
      </c>
      <c r="Q77" s="48" t="str">
        <f ca="1">IFERROR(INDEX(_TECH_Initiative_Library!$AH$5:$AH$76,MATCH($A77,_TECH_Initiative_Library!$AU$5:$AU$76,0)),"")</f>
        <v/>
      </c>
      <c r="R77" s="48" t="str">
        <f ca="1">IFERROR(INDEX(_TECH_Initiative_Library!$AI$5:$AI$76,MATCH($A77,_TECH_Initiative_Library!$AU$5:$AU$76,0)),"")</f>
        <v/>
      </c>
      <c r="S77" s="91" t="str">
        <f t="shared" ca="1" si="21"/>
        <v/>
      </c>
      <c r="T77" s="91" t="str">
        <f t="shared" ca="1" si="21"/>
        <v/>
      </c>
      <c r="U77" s="91" t="str">
        <f t="shared" ca="1" si="21"/>
        <v/>
      </c>
      <c r="V77" s="91" t="str">
        <f t="shared" ca="1" si="21"/>
        <v/>
      </c>
      <c r="W77" s="91" t="str">
        <f t="shared" ca="1" si="21"/>
        <v/>
      </c>
      <c r="X77" s="91" t="str">
        <f t="shared" ca="1" si="21"/>
        <v/>
      </c>
      <c r="Y77" s="91" t="str">
        <f t="shared" ca="1" si="21"/>
        <v/>
      </c>
      <c r="Z77" s="91" t="str">
        <f t="shared" ca="1" si="21"/>
        <v/>
      </c>
      <c r="AA77" s="91" t="str">
        <f t="shared" ca="1" si="21"/>
        <v/>
      </c>
      <c r="AB77" s="91" t="str">
        <f t="shared" ca="1" si="21"/>
        <v/>
      </c>
      <c r="AC77" s="91" t="str">
        <f t="shared" ca="1" si="22"/>
        <v/>
      </c>
      <c r="AD77" s="91" t="str">
        <f t="shared" ca="1" si="22"/>
        <v/>
      </c>
      <c r="AE77" s="91" t="str">
        <f t="shared" ca="1" si="22"/>
        <v/>
      </c>
      <c r="AF77" s="91" t="str">
        <f t="shared" ca="1" si="22"/>
        <v/>
      </c>
      <c r="AG77" s="91" t="str">
        <f t="shared" ca="1" si="22"/>
        <v/>
      </c>
      <c r="AH77" s="91" t="str">
        <f t="shared" ca="1" si="22"/>
        <v/>
      </c>
      <c r="AI77" s="91" t="str">
        <f t="shared" ca="1" si="22"/>
        <v/>
      </c>
      <c r="AJ77" s="91" t="str">
        <f t="shared" ca="1" si="22"/>
        <v/>
      </c>
    </row>
    <row r="78" spans="1:36" ht="30" customHeight="1">
      <c r="A78" s="91">
        <v>65</v>
      </c>
      <c r="B78" s="91" t="str">
        <f ca="1">IFERROR(INDEX(_TECH_Initiative_Library!$A$5:$A$76,MATCH($A78,_TECH_Initiative_Library!$AU$5:$AU$76,0)),"")</f>
        <v/>
      </c>
      <c r="C78" s="48" t="str">
        <f ca="1">IFERROR(INDEX(_TECH_Initiative_Library!$F$5:$F$76,MATCH($A78,_TECH_Initiative_Library!$AU$5:$AU$76,0)),"")</f>
        <v/>
      </c>
      <c r="D78" s="91" t="str">
        <f ca="1">IFERROR(INDEX(_TECH_Initiative_Library!$B$5:$B$76,MATCH($A78,_TECH_Initiative_Library!$AU$5:$AU$76,0)),"")</f>
        <v/>
      </c>
      <c r="E78" s="48" t="str">
        <f ca="1">IFERROR(INDEX(_TECH_Initiative_Library!$D$5:$D$76,MATCH($A78,_TECH_Initiative_Library!$AU$5:$AU$76,0)),"")</f>
        <v/>
      </c>
      <c r="F78" s="87" t="str">
        <f ca="1">IFERROR(INDEX(_TECH_Initiative_Library!$AT$5:$AT$76,MATCH($A78,_TECH_Initiative_Library!$AU$5:$AU$76,0)),"")</f>
        <v/>
      </c>
      <c r="G78" s="91" t="str">
        <f ca="1">IFERROR(INDEX(_TECH_Initiative_Library!$AB$5:$AB$76,MATCH($A78,_TECH_Initiative_Library!$AU$5:$AU$76,0)),"")</f>
        <v/>
      </c>
      <c r="H78" s="91" t="str">
        <f ca="1">IFERROR(INDEX(_TECH_Initiative_Library!$Z$5:$Z$76,MATCH($A78,_TECH_Initiative_Library!$AU$5:$AU$76,0)),"")</f>
        <v/>
      </c>
      <c r="I78" s="91" t="str">
        <f ca="1">IFERROR(INDEX(_TECH_Initiative_Library!$AA$5:$AA$76,MATCH($A78,_TECH_Initiative_Library!$AU$5:$AU$76,0)),"")</f>
        <v/>
      </c>
      <c r="J78" s="91" t="str">
        <f ca="1">IFERROR(INDEX(_TECH_Initiative_Library!$AE$5:$AE$76,MATCH($A78,_TECH_Initiative_Library!$AU$5:$AU$76,0)),"")</f>
        <v/>
      </c>
      <c r="K78" s="91" t="str">
        <f ca="1">IFERROR(INDEX(_TECH_Initiative_Library!$AF$5:$AF$76,MATCH($A78,_TECH_Initiative_Library!$AU$5:$AU$76,0)),"")</f>
        <v/>
      </c>
      <c r="L78" s="91" t="str">
        <f ca="1">IFERROR(INDEX(_TECH_Initiative_Library!$AO$5:$AO$76,MATCH($A78,_TECH_Initiative_Library!$AU$5:$AU$76,0)),"Not started")</f>
        <v>Not started</v>
      </c>
      <c r="M78" s="91" t="str">
        <f t="shared" ref="M78:M85" ca="1" si="23">IF($B78="","",IF(OR($F78&gt;=4,$H78&gt;=4,$G78&gt;=4),"Yes",""))</f>
        <v/>
      </c>
      <c r="N78" s="98" t="str">
        <f ca="1">IF($B78="","",IF($J78="0-90 days",$B$4,IF($J78="3-6 months",EDATE($B$4,3),IF($J78="6-12 months",EDATE($B$4,6),EDATE($B$4,12))))+(COUNTIF($J$14:$J78,$J78)-1)*14)</f>
        <v/>
      </c>
      <c r="O78" s="98" t="str">
        <f t="shared" ref="O78:O85" ca="1" si="24">IF($N78="","",$N78+($P78*7))</f>
        <v/>
      </c>
      <c r="P78" s="91" t="str">
        <f t="shared" ref="P78:P85" ca="1" si="25">IF($B78="","",IF($G78&lt;=2,6,IF($G78=3,10,IF($G78=4,16,24))))</f>
        <v/>
      </c>
      <c r="Q78" s="48" t="str">
        <f ca="1">IFERROR(INDEX(_TECH_Initiative_Library!$AH$5:$AH$76,MATCH($A78,_TECH_Initiative_Library!$AU$5:$AU$76,0)),"")</f>
        <v/>
      </c>
      <c r="R78" s="48" t="str">
        <f ca="1">IFERROR(INDEX(_TECH_Initiative_Library!$AI$5:$AI$76,MATCH($A78,_TECH_Initiative_Library!$AU$5:$AU$76,0)),"")</f>
        <v/>
      </c>
      <c r="S78" s="91" t="str">
        <f t="shared" ca="1" si="21"/>
        <v/>
      </c>
      <c r="T78" s="91" t="str">
        <f t="shared" ca="1" si="21"/>
        <v/>
      </c>
      <c r="U78" s="91" t="str">
        <f t="shared" ca="1" si="21"/>
        <v/>
      </c>
      <c r="V78" s="91" t="str">
        <f t="shared" ca="1" si="21"/>
        <v/>
      </c>
      <c r="W78" s="91" t="str">
        <f t="shared" ca="1" si="21"/>
        <v/>
      </c>
      <c r="X78" s="91" t="str">
        <f t="shared" ca="1" si="21"/>
        <v/>
      </c>
      <c r="Y78" s="91" t="str">
        <f t="shared" ca="1" si="21"/>
        <v/>
      </c>
      <c r="Z78" s="91" t="str">
        <f t="shared" ca="1" si="21"/>
        <v/>
      </c>
      <c r="AA78" s="91" t="str">
        <f t="shared" ca="1" si="21"/>
        <v/>
      </c>
      <c r="AB78" s="91" t="str">
        <f t="shared" ca="1" si="21"/>
        <v/>
      </c>
      <c r="AC78" s="91" t="str">
        <f t="shared" ca="1" si="22"/>
        <v/>
      </c>
      <c r="AD78" s="91" t="str">
        <f t="shared" ca="1" si="22"/>
        <v/>
      </c>
      <c r="AE78" s="91" t="str">
        <f t="shared" ca="1" si="22"/>
        <v/>
      </c>
      <c r="AF78" s="91" t="str">
        <f t="shared" ca="1" si="22"/>
        <v/>
      </c>
      <c r="AG78" s="91" t="str">
        <f t="shared" ca="1" si="22"/>
        <v/>
      </c>
      <c r="AH78" s="91" t="str">
        <f t="shared" ca="1" si="22"/>
        <v/>
      </c>
      <c r="AI78" s="91" t="str">
        <f t="shared" ca="1" si="22"/>
        <v/>
      </c>
      <c r="AJ78" s="91" t="str">
        <f t="shared" ca="1" si="22"/>
        <v/>
      </c>
    </row>
    <row r="79" spans="1:36" ht="30" customHeight="1">
      <c r="A79" s="91">
        <v>66</v>
      </c>
      <c r="B79" s="91" t="str">
        <f ca="1">IFERROR(INDEX(_TECH_Initiative_Library!$A$5:$A$76,MATCH($A79,_TECH_Initiative_Library!$AU$5:$AU$76,0)),"")</f>
        <v/>
      </c>
      <c r="C79" s="48" t="str">
        <f ca="1">IFERROR(INDEX(_TECH_Initiative_Library!$F$5:$F$76,MATCH($A79,_TECH_Initiative_Library!$AU$5:$AU$76,0)),"")</f>
        <v/>
      </c>
      <c r="D79" s="91" t="str">
        <f ca="1">IFERROR(INDEX(_TECH_Initiative_Library!$B$5:$B$76,MATCH($A79,_TECH_Initiative_Library!$AU$5:$AU$76,0)),"")</f>
        <v/>
      </c>
      <c r="E79" s="48" t="str">
        <f ca="1">IFERROR(INDEX(_TECH_Initiative_Library!$D$5:$D$76,MATCH($A79,_TECH_Initiative_Library!$AU$5:$AU$76,0)),"")</f>
        <v/>
      </c>
      <c r="F79" s="87" t="str">
        <f ca="1">IFERROR(INDEX(_TECH_Initiative_Library!$AT$5:$AT$76,MATCH($A79,_TECH_Initiative_Library!$AU$5:$AU$76,0)),"")</f>
        <v/>
      </c>
      <c r="G79" s="91" t="str">
        <f ca="1">IFERROR(INDEX(_TECH_Initiative_Library!$AB$5:$AB$76,MATCH($A79,_TECH_Initiative_Library!$AU$5:$AU$76,0)),"")</f>
        <v/>
      </c>
      <c r="H79" s="91" t="str">
        <f ca="1">IFERROR(INDEX(_TECH_Initiative_Library!$Z$5:$Z$76,MATCH($A79,_TECH_Initiative_Library!$AU$5:$AU$76,0)),"")</f>
        <v/>
      </c>
      <c r="I79" s="91" t="str">
        <f ca="1">IFERROR(INDEX(_TECH_Initiative_Library!$AA$5:$AA$76,MATCH($A79,_TECH_Initiative_Library!$AU$5:$AU$76,0)),"")</f>
        <v/>
      </c>
      <c r="J79" s="91" t="str">
        <f ca="1">IFERROR(INDEX(_TECH_Initiative_Library!$AE$5:$AE$76,MATCH($A79,_TECH_Initiative_Library!$AU$5:$AU$76,0)),"")</f>
        <v/>
      </c>
      <c r="K79" s="91" t="str">
        <f ca="1">IFERROR(INDEX(_TECH_Initiative_Library!$AF$5:$AF$76,MATCH($A79,_TECH_Initiative_Library!$AU$5:$AU$76,0)),"")</f>
        <v/>
      </c>
      <c r="L79" s="91" t="str">
        <f ca="1">IFERROR(INDEX(_TECH_Initiative_Library!$AO$5:$AO$76,MATCH($A79,_TECH_Initiative_Library!$AU$5:$AU$76,0)),"Not started")</f>
        <v>Not started</v>
      </c>
      <c r="M79" s="91" t="str">
        <f t="shared" ca="1" si="23"/>
        <v/>
      </c>
      <c r="N79" s="98" t="str">
        <f ca="1">IF($B79="","",IF($J79="0-90 days",$B$4,IF($J79="3-6 months",EDATE($B$4,3),IF($J79="6-12 months",EDATE($B$4,6),EDATE($B$4,12))))+(COUNTIF($J$14:$J79,$J79)-1)*14)</f>
        <v/>
      </c>
      <c r="O79" s="98" t="str">
        <f t="shared" ca="1" si="24"/>
        <v/>
      </c>
      <c r="P79" s="91" t="str">
        <f t="shared" ca="1" si="25"/>
        <v/>
      </c>
      <c r="Q79" s="48" t="str">
        <f ca="1">IFERROR(INDEX(_TECH_Initiative_Library!$AH$5:$AH$76,MATCH($A79,_TECH_Initiative_Library!$AU$5:$AU$76,0)),"")</f>
        <v/>
      </c>
      <c r="R79" s="48" t="str">
        <f ca="1">IFERROR(INDEX(_TECH_Initiative_Library!$AI$5:$AI$76,MATCH($A79,_TECH_Initiative_Library!$AU$5:$AU$76,0)),"")</f>
        <v/>
      </c>
      <c r="S79" s="91" t="str">
        <f t="shared" ca="1" si="21"/>
        <v/>
      </c>
      <c r="T79" s="91" t="str">
        <f t="shared" ca="1" si="21"/>
        <v/>
      </c>
      <c r="U79" s="91" t="str">
        <f t="shared" ca="1" si="21"/>
        <v/>
      </c>
      <c r="V79" s="91" t="str">
        <f t="shared" ca="1" si="21"/>
        <v/>
      </c>
      <c r="W79" s="91" t="str">
        <f t="shared" ca="1" si="21"/>
        <v/>
      </c>
      <c r="X79" s="91" t="str">
        <f t="shared" ca="1" si="21"/>
        <v/>
      </c>
      <c r="Y79" s="91" t="str">
        <f t="shared" ca="1" si="21"/>
        <v/>
      </c>
      <c r="Z79" s="91" t="str">
        <f t="shared" ca="1" si="21"/>
        <v/>
      </c>
      <c r="AA79" s="91" t="str">
        <f t="shared" ca="1" si="21"/>
        <v/>
      </c>
      <c r="AB79" s="91" t="str">
        <f t="shared" ca="1" si="21"/>
        <v/>
      </c>
      <c r="AC79" s="91" t="str">
        <f t="shared" ca="1" si="22"/>
        <v/>
      </c>
      <c r="AD79" s="91" t="str">
        <f t="shared" ca="1" si="22"/>
        <v/>
      </c>
      <c r="AE79" s="91" t="str">
        <f t="shared" ca="1" si="22"/>
        <v/>
      </c>
      <c r="AF79" s="91" t="str">
        <f t="shared" ca="1" si="22"/>
        <v/>
      </c>
      <c r="AG79" s="91" t="str">
        <f t="shared" ca="1" si="22"/>
        <v/>
      </c>
      <c r="AH79" s="91" t="str">
        <f t="shared" ca="1" si="22"/>
        <v/>
      </c>
      <c r="AI79" s="91" t="str">
        <f t="shared" ca="1" si="22"/>
        <v/>
      </c>
      <c r="AJ79" s="91" t="str">
        <f t="shared" ca="1" si="22"/>
        <v/>
      </c>
    </row>
    <row r="80" spans="1:36" ht="30" customHeight="1">
      <c r="A80" s="91">
        <v>67</v>
      </c>
      <c r="B80" s="91" t="str">
        <f ca="1">IFERROR(INDEX(_TECH_Initiative_Library!$A$5:$A$76,MATCH($A80,_TECH_Initiative_Library!$AU$5:$AU$76,0)),"")</f>
        <v/>
      </c>
      <c r="C80" s="48" t="str">
        <f ca="1">IFERROR(INDEX(_TECH_Initiative_Library!$F$5:$F$76,MATCH($A80,_TECH_Initiative_Library!$AU$5:$AU$76,0)),"")</f>
        <v/>
      </c>
      <c r="D80" s="91" t="str">
        <f ca="1">IFERROR(INDEX(_TECH_Initiative_Library!$B$5:$B$76,MATCH($A80,_TECH_Initiative_Library!$AU$5:$AU$76,0)),"")</f>
        <v/>
      </c>
      <c r="E80" s="48" t="str">
        <f ca="1">IFERROR(INDEX(_TECH_Initiative_Library!$D$5:$D$76,MATCH($A80,_TECH_Initiative_Library!$AU$5:$AU$76,0)),"")</f>
        <v/>
      </c>
      <c r="F80" s="87" t="str">
        <f ca="1">IFERROR(INDEX(_TECH_Initiative_Library!$AT$5:$AT$76,MATCH($A80,_TECH_Initiative_Library!$AU$5:$AU$76,0)),"")</f>
        <v/>
      </c>
      <c r="G80" s="91" t="str">
        <f ca="1">IFERROR(INDEX(_TECH_Initiative_Library!$AB$5:$AB$76,MATCH($A80,_TECH_Initiative_Library!$AU$5:$AU$76,0)),"")</f>
        <v/>
      </c>
      <c r="H80" s="91" t="str">
        <f ca="1">IFERROR(INDEX(_TECH_Initiative_Library!$Z$5:$Z$76,MATCH($A80,_TECH_Initiative_Library!$AU$5:$AU$76,0)),"")</f>
        <v/>
      </c>
      <c r="I80" s="91" t="str">
        <f ca="1">IFERROR(INDEX(_TECH_Initiative_Library!$AA$5:$AA$76,MATCH($A80,_TECH_Initiative_Library!$AU$5:$AU$76,0)),"")</f>
        <v/>
      </c>
      <c r="J80" s="91" t="str">
        <f ca="1">IFERROR(INDEX(_TECH_Initiative_Library!$AE$5:$AE$76,MATCH($A80,_TECH_Initiative_Library!$AU$5:$AU$76,0)),"")</f>
        <v/>
      </c>
      <c r="K80" s="91" t="str">
        <f ca="1">IFERROR(INDEX(_TECH_Initiative_Library!$AF$5:$AF$76,MATCH($A80,_TECH_Initiative_Library!$AU$5:$AU$76,0)),"")</f>
        <v/>
      </c>
      <c r="L80" s="91" t="str">
        <f ca="1">IFERROR(INDEX(_TECH_Initiative_Library!$AO$5:$AO$76,MATCH($A80,_TECH_Initiative_Library!$AU$5:$AU$76,0)),"Not started")</f>
        <v>Not started</v>
      </c>
      <c r="M80" s="91" t="str">
        <f t="shared" ca="1" si="23"/>
        <v/>
      </c>
      <c r="N80" s="98" t="str">
        <f ca="1">IF($B80="","",IF($J80="0-90 days",$B$4,IF($J80="3-6 months",EDATE($B$4,3),IF($J80="6-12 months",EDATE($B$4,6),EDATE($B$4,12))))+(COUNTIF($J$14:$J80,$J80)-1)*14)</f>
        <v/>
      </c>
      <c r="O80" s="98" t="str">
        <f t="shared" ca="1" si="24"/>
        <v/>
      </c>
      <c r="P80" s="91" t="str">
        <f t="shared" ca="1" si="25"/>
        <v/>
      </c>
      <c r="Q80" s="48" t="str">
        <f ca="1">IFERROR(INDEX(_TECH_Initiative_Library!$AH$5:$AH$76,MATCH($A80,_TECH_Initiative_Library!$AU$5:$AU$76,0)),"")</f>
        <v/>
      </c>
      <c r="R80" s="48" t="str">
        <f ca="1">IFERROR(INDEX(_TECH_Initiative_Library!$AI$5:$AI$76,MATCH($A80,_TECH_Initiative_Library!$AU$5:$AU$76,0)),"")</f>
        <v/>
      </c>
      <c r="S80" s="91" t="str">
        <f t="shared" ca="1" si="21"/>
        <v/>
      </c>
      <c r="T80" s="91" t="str">
        <f t="shared" ca="1" si="21"/>
        <v/>
      </c>
      <c r="U80" s="91" t="str">
        <f t="shared" ca="1" si="21"/>
        <v/>
      </c>
      <c r="V80" s="91" t="str">
        <f t="shared" ca="1" si="21"/>
        <v/>
      </c>
      <c r="W80" s="91" t="str">
        <f t="shared" ca="1" si="21"/>
        <v/>
      </c>
      <c r="X80" s="91" t="str">
        <f t="shared" ca="1" si="21"/>
        <v/>
      </c>
      <c r="Y80" s="91" t="str">
        <f t="shared" ca="1" si="21"/>
        <v/>
      </c>
      <c r="Z80" s="91" t="str">
        <f t="shared" ca="1" si="21"/>
        <v/>
      </c>
      <c r="AA80" s="91" t="str">
        <f t="shared" ca="1" si="21"/>
        <v/>
      </c>
      <c r="AB80" s="91" t="str">
        <f t="shared" ca="1" si="21"/>
        <v/>
      </c>
      <c r="AC80" s="91" t="str">
        <f t="shared" ca="1" si="22"/>
        <v/>
      </c>
      <c r="AD80" s="91" t="str">
        <f t="shared" ca="1" si="22"/>
        <v/>
      </c>
      <c r="AE80" s="91" t="str">
        <f t="shared" ca="1" si="22"/>
        <v/>
      </c>
      <c r="AF80" s="91" t="str">
        <f t="shared" ca="1" si="22"/>
        <v/>
      </c>
      <c r="AG80" s="91" t="str">
        <f t="shared" ca="1" si="22"/>
        <v/>
      </c>
      <c r="AH80" s="91" t="str">
        <f t="shared" ca="1" si="22"/>
        <v/>
      </c>
      <c r="AI80" s="91" t="str">
        <f t="shared" ca="1" si="22"/>
        <v/>
      </c>
      <c r="AJ80" s="91" t="str">
        <f t="shared" ca="1" si="22"/>
        <v/>
      </c>
    </row>
    <row r="81" spans="1:36" ht="30" customHeight="1">
      <c r="A81" s="91">
        <v>68</v>
      </c>
      <c r="B81" s="91" t="str">
        <f ca="1">IFERROR(INDEX(_TECH_Initiative_Library!$A$5:$A$76,MATCH($A81,_TECH_Initiative_Library!$AU$5:$AU$76,0)),"")</f>
        <v/>
      </c>
      <c r="C81" s="48" t="str">
        <f ca="1">IFERROR(INDEX(_TECH_Initiative_Library!$F$5:$F$76,MATCH($A81,_TECH_Initiative_Library!$AU$5:$AU$76,0)),"")</f>
        <v/>
      </c>
      <c r="D81" s="91" t="str">
        <f ca="1">IFERROR(INDEX(_TECH_Initiative_Library!$B$5:$B$76,MATCH($A81,_TECH_Initiative_Library!$AU$5:$AU$76,0)),"")</f>
        <v/>
      </c>
      <c r="E81" s="48" t="str">
        <f ca="1">IFERROR(INDEX(_TECH_Initiative_Library!$D$5:$D$76,MATCH($A81,_TECH_Initiative_Library!$AU$5:$AU$76,0)),"")</f>
        <v/>
      </c>
      <c r="F81" s="87" t="str">
        <f ca="1">IFERROR(INDEX(_TECH_Initiative_Library!$AT$5:$AT$76,MATCH($A81,_TECH_Initiative_Library!$AU$5:$AU$76,0)),"")</f>
        <v/>
      </c>
      <c r="G81" s="91" t="str">
        <f ca="1">IFERROR(INDEX(_TECH_Initiative_Library!$AB$5:$AB$76,MATCH($A81,_TECH_Initiative_Library!$AU$5:$AU$76,0)),"")</f>
        <v/>
      </c>
      <c r="H81" s="91" t="str">
        <f ca="1">IFERROR(INDEX(_TECH_Initiative_Library!$Z$5:$Z$76,MATCH($A81,_TECH_Initiative_Library!$AU$5:$AU$76,0)),"")</f>
        <v/>
      </c>
      <c r="I81" s="91" t="str">
        <f ca="1">IFERROR(INDEX(_TECH_Initiative_Library!$AA$5:$AA$76,MATCH($A81,_TECH_Initiative_Library!$AU$5:$AU$76,0)),"")</f>
        <v/>
      </c>
      <c r="J81" s="91" t="str">
        <f ca="1">IFERROR(INDEX(_TECH_Initiative_Library!$AE$5:$AE$76,MATCH($A81,_TECH_Initiative_Library!$AU$5:$AU$76,0)),"")</f>
        <v/>
      </c>
      <c r="K81" s="91" t="str">
        <f ca="1">IFERROR(INDEX(_TECH_Initiative_Library!$AF$5:$AF$76,MATCH($A81,_TECH_Initiative_Library!$AU$5:$AU$76,0)),"")</f>
        <v/>
      </c>
      <c r="L81" s="91" t="str">
        <f ca="1">IFERROR(INDEX(_TECH_Initiative_Library!$AO$5:$AO$76,MATCH($A81,_TECH_Initiative_Library!$AU$5:$AU$76,0)),"Not started")</f>
        <v>Not started</v>
      </c>
      <c r="M81" s="91" t="str">
        <f t="shared" ca="1" si="23"/>
        <v/>
      </c>
      <c r="N81" s="98" t="str">
        <f ca="1">IF($B81="","",IF($J81="0-90 days",$B$4,IF($J81="3-6 months",EDATE($B$4,3),IF($J81="6-12 months",EDATE($B$4,6),EDATE($B$4,12))))+(COUNTIF($J$14:$J81,$J81)-1)*14)</f>
        <v/>
      </c>
      <c r="O81" s="98" t="str">
        <f t="shared" ca="1" si="24"/>
        <v/>
      </c>
      <c r="P81" s="91" t="str">
        <f t="shared" ca="1" si="25"/>
        <v/>
      </c>
      <c r="Q81" s="48" t="str">
        <f ca="1">IFERROR(INDEX(_TECH_Initiative_Library!$AH$5:$AH$76,MATCH($A81,_TECH_Initiative_Library!$AU$5:$AU$76,0)),"")</f>
        <v/>
      </c>
      <c r="R81" s="48" t="str">
        <f ca="1">IFERROR(INDEX(_TECH_Initiative_Library!$AI$5:$AI$76,MATCH($A81,_TECH_Initiative_Library!$AU$5:$AU$76,0)),"")</f>
        <v/>
      </c>
      <c r="S81" s="91" t="str">
        <f t="shared" ca="1" si="21"/>
        <v/>
      </c>
      <c r="T81" s="91" t="str">
        <f t="shared" ca="1" si="21"/>
        <v/>
      </c>
      <c r="U81" s="91" t="str">
        <f t="shared" ca="1" si="21"/>
        <v/>
      </c>
      <c r="V81" s="91" t="str">
        <f t="shared" ca="1" si="21"/>
        <v/>
      </c>
      <c r="W81" s="91" t="str">
        <f t="shared" ca="1" si="21"/>
        <v/>
      </c>
      <c r="X81" s="91" t="str">
        <f t="shared" ca="1" si="21"/>
        <v/>
      </c>
      <c r="Y81" s="91" t="str">
        <f t="shared" ca="1" si="21"/>
        <v/>
      </c>
      <c r="Z81" s="91" t="str">
        <f t="shared" ca="1" si="21"/>
        <v/>
      </c>
      <c r="AA81" s="91" t="str">
        <f t="shared" ca="1" si="21"/>
        <v/>
      </c>
      <c r="AB81" s="91" t="str">
        <f t="shared" ca="1" si="21"/>
        <v/>
      </c>
      <c r="AC81" s="91" t="str">
        <f t="shared" ca="1" si="22"/>
        <v/>
      </c>
      <c r="AD81" s="91" t="str">
        <f t="shared" ca="1" si="22"/>
        <v/>
      </c>
      <c r="AE81" s="91" t="str">
        <f t="shared" ca="1" si="22"/>
        <v/>
      </c>
      <c r="AF81" s="91" t="str">
        <f t="shared" ca="1" si="22"/>
        <v/>
      </c>
      <c r="AG81" s="91" t="str">
        <f t="shared" ca="1" si="22"/>
        <v/>
      </c>
      <c r="AH81" s="91" t="str">
        <f t="shared" ca="1" si="22"/>
        <v/>
      </c>
      <c r="AI81" s="91" t="str">
        <f t="shared" ca="1" si="22"/>
        <v/>
      </c>
      <c r="AJ81" s="91" t="str">
        <f t="shared" ca="1" si="22"/>
        <v/>
      </c>
    </row>
    <row r="82" spans="1:36" ht="30" customHeight="1">
      <c r="A82" s="91">
        <v>69</v>
      </c>
      <c r="B82" s="91" t="str">
        <f ca="1">IFERROR(INDEX(_TECH_Initiative_Library!$A$5:$A$76,MATCH($A82,_TECH_Initiative_Library!$AU$5:$AU$76,0)),"")</f>
        <v/>
      </c>
      <c r="C82" s="48" t="str">
        <f ca="1">IFERROR(INDEX(_TECH_Initiative_Library!$F$5:$F$76,MATCH($A82,_TECH_Initiative_Library!$AU$5:$AU$76,0)),"")</f>
        <v/>
      </c>
      <c r="D82" s="91" t="str">
        <f ca="1">IFERROR(INDEX(_TECH_Initiative_Library!$B$5:$B$76,MATCH($A82,_TECH_Initiative_Library!$AU$5:$AU$76,0)),"")</f>
        <v/>
      </c>
      <c r="E82" s="48" t="str">
        <f ca="1">IFERROR(INDEX(_TECH_Initiative_Library!$D$5:$D$76,MATCH($A82,_TECH_Initiative_Library!$AU$5:$AU$76,0)),"")</f>
        <v/>
      </c>
      <c r="F82" s="87" t="str">
        <f ca="1">IFERROR(INDEX(_TECH_Initiative_Library!$AT$5:$AT$76,MATCH($A82,_TECH_Initiative_Library!$AU$5:$AU$76,0)),"")</f>
        <v/>
      </c>
      <c r="G82" s="91" t="str">
        <f ca="1">IFERROR(INDEX(_TECH_Initiative_Library!$AB$5:$AB$76,MATCH($A82,_TECH_Initiative_Library!$AU$5:$AU$76,0)),"")</f>
        <v/>
      </c>
      <c r="H82" s="91" t="str">
        <f ca="1">IFERROR(INDEX(_TECH_Initiative_Library!$Z$5:$Z$76,MATCH($A82,_TECH_Initiative_Library!$AU$5:$AU$76,0)),"")</f>
        <v/>
      </c>
      <c r="I82" s="91" t="str">
        <f ca="1">IFERROR(INDEX(_TECH_Initiative_Library!$AA$5:$AA$76,MATCH($A82,_TECH_Initiative_Library!$AU$5:$AU$76,0)),"")</f>
        <v/>
      </c>
      <c r="J82" s="91" t="str">
        <f ca="1">IFERROR(INDEX(_TECH_Initiative_Library!$AE$5:$AE$76,MATCH($A82,_TECH_Initiative_Library!$AU$5:$AU$76,0)),"")</f>
        <v/>
      </c>
      <c r="K82" s="91" t="str">
        <f ca="1">IFERROR(INDEX(_TECH_Initiative_Library!$AF$5:$AF$76,MATCH($A82,_TECH_Initiative_Library!$AU$5:$AU$76,0)),"")</f>
        <v/>
      </c>
      <c r="L82" s="91" t="str">
        <f ca="1">IFERROR(INDEX(_TECH_Initiative_Library!$AO$5:$AO$76,MATCH($A82,_TECH_Initiative_Library!$AU$5:$AU$76,0)),"Not started")</f>
        <v>Not started</v>
      </c>
      <c r="M82" s="91" t="str">
        <f t="shared" ca="1" si="23"/>
        <v/>
      </c>
      <c r="N82" s="98" t="str">
        <f ca="1">IF($B82="","",IF($J82="0-90 days",$B$4,IF($J82="3-6 months",EDATE($B$4,3),IF($J82="6-12 months",EDATE($B$4,6),EDATE($B$4,12))))+(COUNTIF($J$14:$J82,$J82)-1)*14)</f>
        <v/>
      </c>
      <c r="O82" s="98" t="str">
        <f t="shared" ca="1" si="24"/>
        <v/>
      </c>
      <c r="P82" s="91" t="str">
        <f t="shared" ca="1" si="25"/>
        <v/>
      </c>
      <c r="Q82" s="48" t="str">
        <f ca="1">IFERROR(INDEX(_TECH_Initiative_Library!$AH$5:$AH$76,MATCH($A82,_TECH_Initiative_Library!$AU$5:$AU$76,0)),"")</f>
        <v/>
      </c>
      <c r="R82" s="48" t="str">
        <f ca="1">IFERROR(INDEX(_TECH_Initiative_Library!$AI$5:$AI$76,MATCH($A82,_TECH_Initiative_Library!$AU$5:$AU$76,0)),"")</f>
        <v/>
      </c>
      <c r="S82" s="91" t="str">
        <f t="shared" ca="1" si="21"/>
        <v/>
      </c>
      <c r="T82" s="91" t="str">
        <f t="shared" ca="1" si="21"/>
        <v/>
      </c>
      <c r="U82" s="91" t="str">
        <f t="shared" ca="1" si="21"/>
        <v/>
      </c>
      <c r="V82" s="91" t="str">
        <f t="shared" ca="1" si="21"/>
        <v/>
      </c>
      <c r="W82" s="91" t="str">
        <f t="shared" ca="1" si="21"/>
        <v/>
      </c>
      <c r="X82" s="91" t="str">
        <f t="shared" ca="1" si="21"/>
        <v/>
      </c>
      <c r="Y82" s="91" t="str">
        <f t="shared" ca="1" si="21"/>
        <v/>
      </c>
      <c r="Z82" s="91" t="str">
        <f t="shared" ca="1" si="21"/>
        <v/>
      </c>
      <c r="AA82" s="91" t="str">
        <f t="shared" ca="1" si="21"/>
        <v/>
      </c>
      <c r="AB82" s="91" t="str">
        <f t="shared" ca="1" si="21"/>
        <v/>
      </c>
      <c r="AC82" s="91" t="str">
        <f t="shared" ca="1" si="22"/>
        <v/>
      </c>
      <c r="AD82" s="91" t="str">
        <f t="shared" ca="1" si="22"/>
        <v/>
      </c>
      <c r="AE82" s="91" t="str">
        <f t="shared" ca="1" si="22"/>
        <v/>
      </c>
      <c r="AF82" s="91" t="str">
        <f t="shared" ca="1" si="22"/>
        <v/>
      </c>
      <c r="AG82" s="91" t="str">
        <f t="shared" ca="1" si="22"/>
        <v/>
      </c>
      <c r="AH82" s="91" t="str">
        <f t="shared" ca="1" si="22"/>
        <v/>
      </c>
      <c r="AI82" s="91" t="str">
        <f t="shared" ca="1" si="22"/>
        <v/>
      </c>
      <c r="AJ82" s="91" t="str">
        <f t="shared" ca="1" si="22"/>
        <v/>
      </c>
    </row>
    <row r="83" spans="1:36" ht="30" customHeight="1">
      <c r="A83" s="91">
        <v>70</v>
      </c>
      <c r="B83" s="91" t="str">
        <f ca="1">IFERROR(INDEX(_TECH_Initiative_Library!$A$5:$A$76,MATCH($A83,_TECH_Initiative_Library!$AU$5:$AU$76,0)),"")</f>
        <v/>
      </c>
      <c r="C83" s="48" t="str">
        <f ca="1">IFERROR(INDEX(_TECH_Initiative_Library!$F$5:$F$76,MATCH($A83,_TECH_Initiative_Library!$AU$5:$AU$76,0)),"")</f>
        <v/>
      </c>
      <c r="D83" s="91" t="str">
        <f ca="1">IFERROR(INDEX(_TECH_Initiative_Library!$B$5:$B$76,MATCH($A83,_TECH_Initiative_Library!$AU$5:$AU$76,0)),"")</f>
        <v/>
      </c>
      <c r="E83" s="48" t="str">
        <f ca="1">IFERROR(INDEX(_TECH_Initiative_Library!$D$5:$D$76,MATCH($A83,_TECH_Initiative_Library!$AU$5:$AU$76,0)),"")</f>
        <v/>
      </c>
      <c r="F83" s="87" t="str">
        <f ca="1">IFERROR(INDEX(_TECH_Initiative_Library!$AT$5:$AT$76,MATCH($A83,_TECH_Initiative_Library!$AU$5:$AU$76,0)),"")</f>
        <v/>
      </c>
      <c r="G83" s="91" t="str">
        <f ca="1">IFERROR(INDEX(_TECH_Initiative_Library!$AB$5:$AB$76,MATCH($A83,_TECH_Initiative_Library!$AU$5:$AU$76,0)),"")</f>
        <v/>
      </c>
      <c r="H83" s="91" t="str">
        <f ca="1">IFERROR(INDEX(_TECH_Initiative_Library!$Z$5:$Z$76,MATCH($A83,_TECH_Initiative_Library!$AU$5:$AU$76,0)),"")</f>
        <v/>
      </c>
      <c r="I83" s="91" t="str">
        <f ca="1">IFERROR(INDEX(_TECH_Initiative_Library!$AA$5:$AA$76,MATCH($A83,_TECH_Initiative_Library!$AU$5:$AU$76,0)),"")</f>
        <v/>
      </c>
      <c r="J83" s="91" t="str">
        <f ca="1">IFERROR(INDEX(_TECH_Initiative_Library!$AE$5:$AE$76,MATCH($A83,_TECH_Initiative_Library!$AU$5:$AU$76,0)),"")</f>
        <v/>
      </c>
      <c r="K83" s="91" t="str">
        <f ca="1">IFERROR(INDEX(_TECH_Initiative_Library!$AF$5:$AF$76,MATCH($A83,_TECH_Initiative_Library!$AU$5:$AU$76,0)),"")</f>
        <v/>
      </c>
      <c r="L83" s="91" t="str">
        <f ca="1">IFERROR(INDEX(_TECH_Initiative_Library!$AO$5:$AO$76,MATCH($A83,_TECH_Initiative_Library!$AU$5:$AU$76,0)),"Not started")</f>
        <v>Not started</v>
      </c>
      <c r="M83" s="91" t="str">
        <f t="shared" ca="1" si="23"/>
        <v/>
      </c>
      <c r="N83" s="98" t="str">
        <f ca="1">IF($B83="","",IF($J83="0-90 days",$B$4,IF($J83="3-6 months",EDATE($B$4,3),IF($J83="6-12 months",EDATE($B$4,6),EDATE($B$4,12))))+(COUNTIF($J$14:$J83,$J83)-1)*14)</f>
        <v/>
      </c>
      <c r="O83" s="98" t="str">
        <f t="shared" ca="1" si="24"/>
        <v/>
      </c>
      <c r="P83" s="91" t="str">
        <f t="shared" ca="1" si="25"/>
        <v/>
      </c>
      <c r="Q83" s="48" t="str">
        <f ca="1">IFERROR(INDEX(_TECH_Initiative_Library!$AH$5:$AH$76,MATCH($A83,_TECH_Initiative_Library!$AU$5:$AU$76,0)),"")</f>
        <v/>
      </c>
      <c r="R83" s="48" t="str">
        <f ca="1">IFERROR(INDEX(_TECH_Initiative_Library!$AI$5:$AI$76,MATCH($A83,_TECH_Initiative_Library!$AU$5:$AU$76,0)),"")</f>
        <v/>
      </c>
      <c r="S83" s="91" t="str">
        <f t="shared" ca="1" si="21"/>
        <v/>
      </c>
      <c r="T83" s="91" t="str">
        <f t="shared" ca="1" si="21"/>
        <v/>
      </c>
      <c r="U83" s="91" t="str">
        <f t="shared" ca="1" si="21"/>
        <v/>
      </c>
      <c r="V83" s="91" t="str">
        <f t="shared" ca="1" si="21"/>
        <v/>
      </c>
      <c r="W83" s="91" t="str">
        <f t="shared" ca="1" si="21"/>
        <v/>
      </c>
      <c r="X83" s="91" t="str">
        <f t="shared" ca="1" si="21"/>
        <v/>
      </c>
      <c r="Y83" s="91" t="str">
        <f t="shared" ca="1" si="21"/>
        <v/>
      </c>
      <c r="Z83" s="91" t="str">
        <f t="shared" ca="1" si="21"/>
        <v/>
      </c>
      <c r="AA83" s="91" t="str">
        <f t="shared" ca="1" si="21"/>
        <v/>
      </c>
      <c r="AB83" s="91" t="str">
        <f t="shared" ca="1" si="21"/>
        <v/>
      </c>
      <c r="AC83" s="91" t="str">
        <f t="shared" ca="1" si="22"/>
        <v/>
      </c>
      <c r="AD83" s="91" t="str">
        <f t="shared" ca="1" si="22"/>
        <v/>
      </c>
      <c r="AE83" s="91" t="str">
        <f t="shared" ca="1" si="22"/>
        <v/>
      </c>
      <c r="AF83" s="91" t="str">
        <f t="shared" ca="1" si="22"/>
        <v/>
      </c>
      <c r="AG83" s="91" t="str">
        <f t="shared" ca="1" si="22"/>
        <v/>
      </c>
      <c r="AH83" s="91" t="str">
        <f t="shared" ca="1" si="22"/>
        <v/>
      </c>
      <c r="AI83" s="91" t="str">
        <f t="shared" ca="1" si="22"/>
        <v/>
      </c>
      <c r="AJ83" s="91" t="str">
        <f t="shared" ca="1" si="22"/>
        <v/>
      </c>
    </row>
    <row r="84" spans="1:36" ht="30" customHeight="1">
      <c r="A84" s="91">
        <v>71</v>
      </c>
      <c r="B84" s="91" t="str">
        <f ca="1">IFERROR(INDEX(_TECH_Initiative_Library!$A$5:$A$76,MATCH($A84,_TECH_Initiative_Library!$AU$5:$AU$76,0)),"")</f>
        <v/>
      </c>
      <c r="C84" s="48" t="str">
        <f ca="1">IFERROR(INDEX(_TECH_Initiative_Library!$F$5:$F$76,MATCH($A84,_TECH_Initiative_Library!$AU$5:$AU$76,0)),"")</f>
        <v/>
      </c>
      <c r="D84" s="91" t="str">
        <f ca="1">IFERROR(INDEX(_TECH_Initiative_Library!$B$5:$B$76,MATCH($A84,_TECH_Initiative_Library!$AU$5:$AU$76,0)),"")</f>
        <v/>
      </c>
      <c r="E84" s="48" t="str">
        <f ca="1">IFERROR(INDEX(_TECH_Initiative_Library!$D$5:$D$76,MATCH($A84,_TECH_Initiative_Library!$AU$5:$AU$76,0)),"")</f>
        <v/>
      </c>
      <c r="F84" s="87" t="str">
        <f ca="1">IFERROR(INDEX(_TECH_Initiative_Library!$AT$5:$AT$76,MATCH($A84,_TECH_Initiative_Library!$AU$5:$AU$76,0)),"")</f>
        <v/>
      </c>
      <c r="G84" s="91" t="str">
        <f ca="1">IFERROR(INDEX(_TECH_Initiative_Library!$AB$5:$AB$76,MATCH($A84,_TECH_Initiative_Library!$AU$5:$AU$76,0)),"")</f>
        <v/>
      </c>
      <c r="H84" s="91" t="str">
        <f ca="1">IFERROR(INDEX(_TECH_Initiative_Library!$Z$5:$Z$76,MATCH($A84,_TECH_Initiative_Library!$AU$5:$AU$76,0)),"")</f>
        <v/>
      </c>
      <c r="I84" s="91" t="str">
        <f ca="1">IFERROR(INDEX(_TECH_Initiative_Library!$AA$5:$AA$76,MATCH($A84,_TECH_Initiative_Library!$AU$5:$AU$76,0)),"")</f>
        <v/>
      </c>
      <c r="J84" s="91" t="str">
        <f ca="1">IFERROR(INDEX(_TECH_Initiative_Library!$AE$5:$AE$76,MATCH($A84,_TECH_Initiative_Library!$AU$5:$AU$76,0)),"")</f>
        <v/>
      </c>
      <c r="K84" s="91" t="str">
        <f ca="1">IFERROR(INDEX(_TECH_Initiative_Library!$AF$5:$AF$76,MATCH($A84,_TECH_Initiative_Library!$AU$5:$AU$76,0)),"")</f>
        <v/>
      </c>
      <c r="L84" s="91" t="str">
        <f ca="1">IFERROR(INDEX(_TECH_Initiative_Library!$AO$5:$AO$76,MATCH($A84,_TECH_Initiative_Library!$AU$5:$AU$76,0)),"Not started")</f>
        <v>Not started</v>
      </c>
      <c r="M84" s="91" t="str">
        <f t="shared" ca="1" si="23"/>
        <v/>
      </c>
      <c r="N84" s="98" t="str">
        <f ca="1">IF($B84="","",IF($J84="0-90 days",$B$4,IF($J84="3-6 months",EDATE($B$4,3),IF($J84="6-12 months",EDATE($B$4,6),EDATE($B$4,12))))+(COUNTIF($J$14:$J84,$J84)-1)*14)</f>
        <v/>
      </c>
      <c r="O84" s="98" t="str">
        <f t="shared" ca="1" si="24"/>
        <v/>
      </c>
      <c r="P84" s="91" t="str">
        <f t="shared" ca="1" si="25"/>
        <v/>
      </c>
      <c r="Q84" s="48" t="str">
        <f ca="1">IFERROR(INDEX(_TECH_Initiative_Library!$AH$5:$AH$76,MATCH($A84,_TECH_Initiative_Library!$AU$5:$AU$76,0)),"")</f>
        <v/>
      </c>
      <c r="R84" s="48" t="str">
        <f ca="1">IFERROR(INDEX(_TECH_Initiative_Library!$AI$5:$AI$76,MATCH($A84,_TECH_Initiative_Library!$AU$5:$AU$76,0)),"")</f>
        <v/>
      </c>
      <c r="S84" s="91" t="str">
        <f t="shared" ca="1" si="21"/>
        <v/>
      </c>
      <c r="T84" s="91" t="str">
        <f t="shared" ca="1" si="21"/>
        <v/>
      </c>
      <c r="U84" s="91" t="str">
        <f t="shared" ca="1" si="21"/>
        <v/>
      </c>
      <c r="V84" s="91" t="str">
        <f t="shared" ca="1" si="21"/>
        <v/>
      </c>
      <c r="W84" s="91" t="str">
        <f t="shared" ca="1" si="21"/>
        <v/>
      </c>
      <c r="X84" s="91" t="str">
        <f t="shared" ca="1" si="21"/>
        <v/>
      </c>
      <c r="Y84" s="91" t="str">
        <f t="shared" ca="1" si="21"/>
        <v/>
      </c>
      <c r="Z84" s="91" t="str">
        <f t="shared" ca="1" si="21"/>
        <v/>
      </c>
      <c r="AA84" s="91" t="str">
        <f t="shared" ca="1" si="21"/>
        <v/>
      </c>
      <c r="AB84" s="91" t="str">
        <f t="shared" ca="1" si="21"/>
        <v/>
      </c>
      <c r="AC84" s="91" t="str">
        <f t="shared" ca="1" si="22"/>
        <v/>
      </c>
      <c r="AD84" s="91" t="str">
        <f t="shared" ca="1" si="22"/>
        <v/>
      </c>
      <c r="AE84" s="91" t="str">
        <f t="shared" ca="1" si="22"/>
        <v/>
      </c>
      <c r="AF84" s="91" t="str">
        <f t="shared" ca="1" si="22"/>
        <v/>
      </c>
      <c r="AG84" s="91" t="str">
        <f t="shared" ca="1" si="22"/>
        <v/>
      </c>
      <c r="AH84" s="91" t="str">
        <f t="shared" ca="1" si="22"/>
        <v/>
      </c>
      <c r="AI84" s="91" t="str">
        <f t="shared" ca="1" si="22"/>
        <v/>
      </c>
      <c r="AJ84" s="91" t="str">
        <f t="shared" ca="1" si="22"/>
        <v/>
      </c>
    </row>
    <row r="85" spans="1:36" ht="30" customHeight="1">
      <c r="A85" s="91">
        <v>72</v>
      </c>
      <c r="B85" s="91" t="str">
        <f ca="1">IFERROR(INDEX(_TECH_Initiative_Library!$A$5:$A$76,MATCH($A85,_TECH_Initiative_Library!$AU$5:$AU$76,0)),"")</f>
        <v/>
      </c>
      <c r="C85" s="48" t="str">
        <f ca="1">IFERROR(INDEX(_TECH_Initiative_Library!$F$5:$F$76,MATCH($A85,_TECH_Initiative_Library!$AU$5:$AU$76,0)),"")</f>
        <v/>
      </c>
      <c r="D85" s="91" t="str">
        <f ca="1">IFERROR(INDEX(_TECH_Initiative_Library!$B$5:$B$76,MATCH($A85,_TECH_Initiative_Library!$AU$5:$AU$76,0)),"")</f>
        <v/>
      </c>
      <c r="E85" s="48" t="str">
        <f ca="1">IFERROR(INDEX(_TECH_Initiative_Library!$D$5:$D$76,MATCH($A85,_TECH_Initiative_Library!$AU$5:$AU$76,0)),"")</f>
        <v/>
      </c>
      <c r="F85" s="87" t="str">
        <f ca="1">IFERROR(INDEX(_TECH_Initiative_Library!$AT$5:$AT$76,MATCH($A85,_TECH_Initiative_Library!$AU$5:$AU$76,0)),"")</f>
        <v/>
      </c>
      <c r="G85" s="91" t="str">
        <f ca="1">IFERROR(INDEX(_TECH_Initiative_Library!$AB$5:$AB$76,MATCH($A85,_TECH_Initiative_Library!$AU$5:$AU$76,0)),"")</f>
        <v/>
      </c>
      <c r="H85" s="91" t="str">
        <f ca="1">IFERROR(INDEX(_TECH_Initiative_Library!$Z$5:$Z$76,MATCH($A85,_TECH_Initiative_Library!$AU$5:$AU$76,0)),"")</f>
        <v/>
      </c>
      <c r="I85" s="91" t="str">
        <f ca="1">IFERROR(INDEX(_TECH_Initiative_Library!$AA$5:$AA$76,MATCH($A85,_TECH_Initiative_Library!$AU$5:$AU$76,0)),"")</f>
        <v/>
      </c>
      <c r="J85" s="91" t="str">
        <f ca="1">IFERROR(INDEX(_TECH_Initiative_Library!$AE$5:$AE$76,MATCH($A85,_TECH_Initiative_Library!$AU$5:$AU$76,0)),"")</f>
        <v/>
      </c>
      <c r="K85" s="91" t="str">
        <f ca="1">IFERROR(INDEX(_TECH_Initiative_Library!$AF$5:$AF$76,MATCH($A85,_TECH_Initiative_Library!$AU$5:$AU$76,0)),"")</f>
        <v/>
      </c>
      <c r="L85" s="91" t="str">
        <f ca="1">IFERROR(INDEX(_TECH_Initiative_Library!$AO$5:$AO$76,MATCH($A85,_TECH_Initiative_Library!$AU$5:$AU$76,0)),"Not started")</f>
        <v>Not started</v>
      </c>
      <c r="M85" s="91" t="str">
        <f t="shared" ca="1" si="23"/>
        <v/>
      </c>
      <c r="N85" s="98" t="str">
        <f ca="1">IF($B85="","",IF($J85="0-90 days",$B$4,IF($J85="3-6 months",EDATE($B$4,3),IF($J85="6-12 months",EDATE($B$4,6),EDATE($B$4,12))))+(COUNTIF($J$14:$J85,$J85)-1)*14)</f>
        <v/>
      </c>
      <c r="O85" s="98" t="str">
        <f t="shared" ca="1" si="24"/>
        <v/>
      </c>
      <c r="P85" s="91" t="str">
        <f t="shared" ca="1" si="25"/>
        <v/>
      </c>
      <c r="Q85" s="48" t="str">
        <f ca="1">IFERROR(INDEX(_TECH_Initiative_Library!$AH$5:$AH$76,MATCH($A85,_TECH_Initiative_Library!$AU$5:$AU$76,0)),"")</f>
        <v/>
      </c>
      <c r="R85" s="48" t="str">
        <f ca="1">IFERROR(INDEX(_TECH_Initiative_Library!$AI$5:$AI$76,MATCH($A85,_TECH_Initiative_Library!$AU$5:$AU$76,0)),"")</f>
        <v/>
      </c>
      <c r="S85" s="91" t="str">
        <f t="shared" ca="1" si="21"/>
        <v/>
      </c>
      <c r="T85" s="91" t="str">
        <f t="shared" ca="1" si="21"/>
        <v/>
      </c>
      <c r="U85" s="91" t="str">
        <f t="shared" ca="1" si="21"/>
        <v/>
      </c>
      <c r="V85" s="91" t="str">
        <f t="shared" ca="1" si="21"/>
        <v/>
      </c>
      <c r="W85" s="91" t="str">
        <f t="shared" ca="1" si="21"/>
        <v/>
      </c>
      <c r="X85" s="91" t="str">
        <f t="shared" ca="1" si="21"/>
        <v/>
      </c>
      <c r="Y85" s="91" t="str">
        <f t="shared" ca="1" si="21"/>
        <v/>
      </c>
      <c r="Z85" s="91" t="str">
        <f t="shared" ca="1" si="21"/>
        <v/>
      </c>
      <c r="AA85" s="91" t="str">
        <f t="shared" ca="1" si="21"/>
        <v/>
      </c>
      <c r="AB85" s="91" t="str">
        <f t="shared" ca="1" si="21"/>
        <v/>
      </c>
      <c r="AC85" s="91" t="str">
        <f t="shared" ca="1" si="22"/>
        <v/>
      </c>
      <c r="AD85" s="91" t="str">
        <f t="shared" ca="1" si="22"/>
        <v/>
      </c>
      <c r="AE85" s="91" t="str">
        <f t="shared" ca="1" si="22"/>
        <v/>
      </c>
      <c r="AF85" s="91" t="str">
        <f t="shared" ca="1" si="22"/>
        <v/>
      </c>
      <c r="AG85" s="91" t="str">
        <f t="shared" ca="1" si="22"/>
        <v/>
      </c>
      <c r="AH85" s="91" t="str">
        <f t="shared" ca="1" si="22"/>
        <v/>
      </c>
      <c r="AI85" s="91" t="str">
        <f t="shared" ca="1" si="22"/>
        <v/>
      </c>
      <c r="AJ85" s="91" t="str">
        <f t="shared" ca="1" si="22"/>
        <v/>
      </c>
    </row>
  </sheetData>
  <autoFilter ref="A13:AJ85" ns2:uid="{00000000-0009-0000-0000-00002D000000}"/>
  <mergeCells count="3">
    <mergeCell ref="A8:R8"/>
    <mergeCell ref="A2:H2"/>
    <mergeCell ref="A1:H1"/>
  </mergeCells>
  <conditionalFormatting sqref="F14:F85">
    <cfRule type="colorScale" priority="6">
      <colorScale>
        <cfvo type="min"/>
        <cfvo type="percentile" val="50"/>
        <cfvo type="max"/>
        <color rgb="FFF4CCCC"/>
        <color rgb="FFFFF2CC"/>
        <color rgb="FFD9EAD3"/>
      </colorScale>
    </cfRule>
  </conditionalFormatting>
  <conditionalFormatting sqref="G14:G85">
    <cfRule type="colorScale" priority="8">
      <colorScale>
        <cfvo type="min"/>
        <cfvo type="percentile" val="50"/>
        <cfvo type="max"/>
        <color rgb="FFD9EAD3"/>
        <color rgb="FFFFF2CC"/>
        <color rgb="FFF4CCCC"/>
      </colorScale>
    </cfRule>
  </conditionalFormatting>
  <conditionalFormatting sqref="H14:H85">
    <cfRule type="colorScale" priority="7">
      <colorScale>
        <cfvo type="min"/>
        <cfvo type="percentile" val="50"/>
        <cfvo type="max"/>
        <color rgb="FFF4CCCC"/>
        <color rgb="FFFFF2CC"/>
        <color rgb="FFD9EAD3"/>
      </colorScale>
    </cfRule>
  </conditionalFormatting>
  <conditionalFormatting sqref="M14:M85">
    <cfRule type="expression" dxfId="3" priority="5">
      <formula>$M14="Yes"</formula>
    </cfRule>
  </conditionalFormatting>
  <conditionalFormatting sqref="S10:AJ10">
    <cfRule type="expression" dxfId="2" priority="3">
      <formula>S10="Overloaded"</formula>
    </cfRule>
    <cfRule type="expression" dxfId="1" priority="4">
      <formula>S10="OK"</formula>
    </cfRule>
  </conditionalFormatting>
  <conditionalFormatting sqref="S14:AJ85">
    <cfRule type="expression" dxfId="0" priority="2">
      <formula>S14="■"</formula>
    </cfRule>
  </conditionalFormatting>
  <dataValidations count="1">
    <dataValidation type="list" allowBlank="1" sqref="L14:L85" ns2:uid="{00000000-0002-0000-2D00-000000000000}">
      <formula1>"Not started,In progress,Blocked,Done,Deferred"</formula1>
    </dataValidation>
  </dataValidation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drawing r:id="rId1"/>
</worksheet>
</file>

<file path=xl/worksheets/sheet47.xml><?xml version="1.0" encoding="utf-8"?>
<worksheet xmlns="http://schemas.openxmlformats.org/spreadsheetml/2006/main" xmlns:ns1="http://schemas.openxmlformats.org/markup-compatibility/2006" xmlns:ns2="http://schemas.microsoft.com/office/spreadsheetml/2014/revision" ns1:Ignorable="x14ac xr xr2 xr3" ns2:uid="{00000000-0001-0000-2E00-000000000000}">
  <sheetPr>
    <tabColor rgb="FF808080"/>
  </sheetPr>
  <dimension ref="A1:N157"/>
  <sheetViews>
    <sheetView workbookViewId="0">
      <pane ySplit="4" topLeftCell="A5" activePane="bottomLeft" state="frozen"/>
      <selection pane="bottomLeft"/>
    </sheetView>
  </sheetViews>
  <sheetFormatPr defaultRowHeight="14.25"/>
  <cols>
    <col min="1" max="1" width="28" customWidth="1"/>
    <col min="2" max="2" width="22" customWidth="1"/>
    <col min="3" max="3" width="16" customWidth="1"/>
    <col min="4" max="5" width="18" customWidth="1"/>
    <col min="6" max="7" width="20" customWidth="1"/>
    <col min="8" max="8" width="45" customWidth="1"/>
    <col min="9" max="9" width="50" customWidth="1"/>
    <col min="10" max="10" width="18" customWidth="1"/>
    <col min="11" max="11" width="55" customWidth="1"/>
    <col min="12" max="12" width="45" customWidth="1"/>
  </cols>
  <sheetData>
    <row r="1" spans="1:14" ht="18">
      <c r="A1" s="184" t="s">
        <v>14525</v>
      </c>
      <c r="B1" s="158"/>
      <c r="C1" s="158"/>
      <c r="D1" s="158"/>
      <c r="E1" s="158"/>
      <c r="F1" s="158"/>
      <c r="G1" s="158"/>
      <c r="H1" s="158"/>
      <c r="I1" s="158"/>
      <c r="J1" s="158"/>
      <c r="K1" s="158"/>
      <c r="L1" s="158"/>
    </row>
    <row r="2" spans="1:14" ht="85.5">
      <c r="A2" s="5" t="s">
        <v>14526</v>
      </c>
    </row>
    <row r="4" spans="1:14" ht="30">
      <c r="A4" s="50" t="s">
        <v>392</v>
      </c>
      <c r="B4" s="50" t="s">
        <v>36</v>
      </c>
      <c r="C4" s="50" t="s">
        <v>14527</v>
      </c>
      <c r="D4" s="50" t="s">
        <v>14528</v>
      </c>
      <c r="E4" s="50" t="s">
        <v>692</v>
      </c>
      <c r="F4" s="50" t="s">
        <v>14529</v>
      </c>
      <c r="G4" s="50" t="s">
        <v>14530</v>
      </c>
      <c r="H4" s="50" t="s">
        <v>520</v>
      </c>
      <c r="I4" s="50" t="s">
        <v>522</v>
      </c>
      <c r="J4" s="50" t="s">
        <v>694</v>
      </c>
      <c r="K4" s="50" t="s">
        <v>14531</v>
      </c>
      <c r="L4" s="50" t="s">
        <v>695</v>
      </c>
      <c r="N4" t="s">
        <v>14532</v>
      </c>
    </row>
    <row r="5" spans="1:14" ht="42.75">
      <c r="A5" s="48" t="s">
        <v>428</v>
      </c>
      <c r="B5" s="48" t="s">
        <v>54</v>
      </c>
      <c r="C5" s="48">
        <v>3</v>
      </c>
      <c r="D5" s="48">
        <v>3.5</v>
      </c>
      <c r="E5" s="48">
        <v>1</v>
      </c>
      <c r="F5" s="48">
        <v>2.5</v>
      </c>
      <c r="G5" s="48" t="s">
        <v>48</v>
      </c>
      <c r="H5" s="48" t="s">
        <v>14533</v>
      </c>
      <c r="I5" s="48" t="s">
        <v>14534</v>
      </c>
      <c r="J5" s="48">
        <v>1</v>
      </c>
      <c r="K5" s="48" t="s">
        <v>14535</v>
      </c>
      <c r="L5" s="48" t="s">
        <v>14536</v>
      </c>
      <c r="N5" t="s">
        <v>428</v>
      </c>
    </row>
    <row r="6" spans="1:14" ht="42.75">
      <c r="A6" s="74" t="s">
        <v>428</v>
      </c>
      <c r="B6" s="74" t="s">
        <v>57</v>
      </c>
      <c r="C6" s="74">
        <v>3</v>
      </c>
      <c r="D6" s="74">
        <v>3.5</v>
      </c>
      <c r="E6" s="74">
        <v>1</v>
      </c>
      <c r="F6" s="74">
        <v>2.5</v>
      </c>
      <c r="G6" s="74" t="s">
        <v>48</v>
      </c>
      <c r="H6" s="74" t="s">
        <v>14533</v>
      </c>
      <c r="I6" s="74" t="s">
        <v>14534</v>
      </c>
      <c r="J6" s="74">
        <v>1</v>
      </c>
      <c r="K6" s="74" t="s">
        <v>14535</v>
      </c>
      <c r="L6" s="74" t="s">
        <v>14536</v>
      </c>
      <c r="N6" t="s">
        <v>14537</v>
      </c>
    </row>
    <row r="7" spans="1:14" ht="42.75">
      <c r="A7" s="48" t="s">
        <v>428</v>
      </c>
      <c r="B7" s="48" t="s">
        <v>60</v>
      </c>
      <c r="C7" s="48">
        <v>3</v>
      </c>
      <c r="D7" s="48">
        <v>4</v>
      </c>
      <c r="E7" s="48">
        <v>1.1499999999999999</v>
      </c>
      <c r="F7" s="48">
        <v>3</v>
      </c>
      <c r="G7" s="48" t="s">
        <v>47</v>
      </c>
      <c r="H7" s="48" t="s">
        <v>14533</v>
      </c>
      <c r="I7" s="48" t="s">
        <v>14534</v>
      </c>
      <c r="J7" s="48">
        <v>1.1000000000000001</v>
      </c>
      <c r="K7" s="48" t="s">
        <v>14535</v>
      </c>
      <c r="L7" s="48" t="s">
        <v>14536</v>
      </c>
      <c r="N7" t="s">
        <v>14538</v>
      </c>
    </row>
    <row r="8" spans="1:14" ht="42.75">
      <c r="A8" s="74" t="s">
        <v>428</v>
      </c>
      <c r="B8" s="74" t="s">
        <v>63</v>
      </c>
      <c r="C8" s="74">
        <v>5</v>
      </c>
      <c r="D8" s="74">
        <v>4</v>
      </c>
      <c r="E8" s="74">
        <v>1.25</v>
      </c>
      <c r="F8" s="74">
        <v>3</v>
      </c>
      <c r="G8" s="74" t="s">
        <v>47</v>
      </c>
      <c r="H8" s="74" t="s">
        <v>14533</v>
      </c>
      <c r="I8" s="74" t="s">
        <v>14534</v>
      </c>
      <c r="J8" s="74">
        <v>1.2</v>
      </c>
      <c r="K8" s="74" t="s">
        <v>14535</v>
      </c>
      <c r="L8" s="74" t="s">
        <v>14536</v>
      </c>
      <c r="N8" t="s">
        <v>14539</v>
      </c>
    </row>
    <row r="9" spans="1:14" ht="42.75">
      <c r="A9" s="48" t="s">
        <v>428</v>
      </c>
      <c r="B9" s="48" t="s">
        <v>66</v>
      </c>
      <c r="C9" s="48">
        <v>3</v>
      </c>
      <c r="D9" s="48">
        <v>3.5</v>
      </c>
      <c r="E9" s="48">
        <v>1</v>
      </c>
      <c r="F9" s="48">
        <v>2.5</v>
      </c>
      <c r="G9" s="48" t="s">
        <v>48</v>
      </c>
      <c r="H9" s="48" t="s">
        <v>14533</v>
      </c>
      <c r="I9" s="48" t="s">
        <v>14534</v>
      </c>
      <c r="J9" s="48">
        <v>1</v>
      </c>
      <c r="K9" s="48" t="s">
        <v>14535</v>
      </c>
      <c r="L9" s="48" t="s">
        <v>14536</v>
      </c>
      <c r="N9" t="s">
        <v>14540</v>
      </c>
    </row>
    <row r="10" spans="1:14" ht="42.75">
      <c r="A10" s="74" t="s">
        <v>428</v>
      </c>
      <c r="B10" s="74" t="s">
        <v>69</v>
      </c>
      <c r="C10" s="74">
        <v>3</v>
      </c>
      <c r="D10" s="74">
        <v>3.5</v>
      </c>
      <c r="E10" s="74">
        <v>1</v>
      </c>
      <c r="F10" s="74">
        <v>2.5</v>
      </c>
      <c r="G10" s="74" t="s">
        <v>48</v>
      </c>
      <c r="H10" s="74" t="s">
        <v>14533</v>
      </c>
      <c r="I10" s="74" t="s">
        <v>14534</v>
      </c>
      <c r="J10" s="74">
        <v>1</v>
      </c>
      <c r="K10" s="74" t="s">
        <v>14535</v>
      </c>
      <c r="L10" s="74" t="s">
        <v>14536</v>
      </c>
      <c r="N10" t="s">
        <v>14541</v>
      </c>
    </row>
    <row r="11" spans="1:14" ht="42.75">
      <c r="A11" s="48" t="s">
        <v>428</v>
      </c>
      <c r="B11" s="48" t="s">
        <v>72</v>
      </c>
      <c r="C11" s="48">
        <v>2</v>
      </c>
      <c r="D11" s="48">
        <v>2.8</v>
      </c>
      <c r="E11" s="48">
        <v>0.9</v>
      </c>
      <c r="F11" s="48">
        <v>2</v>
      </c>
      <c r="G11" s="48" t="s">
        <v>48</v>
      </c>
      <c r="H11" s="48" t="s">
        <v>14533</v>
      </c>
      <c r="I11" s="48" t="s">
        <v>14534</v>
      </c>
      <c r="J11" s="48">
        <v>0.9</v>
      </c>
      <c r="K11" s="48" t="s">
        <v>14535</v>
      </c>
      <c r="L11" s="48" t="s">
        <v>14536</v>
      </c>
      <c r="N11" t="s">
        <v>14542</v>
      </c>
    </row>
    <row r="12" spans="1:14" ht="42.75">
      <c r="A12" s="74" t="s">
        <v>428</v>
      </c>
      <c r="B12" s="74" t="s">
        <v>75</v>
      </c>
      <c r="C12" s="74">
        <v>5</v>
      </c>
      <c r="D12" s="74">
        <v>4</v>
      </c>
      <c r="E12" s="74">
        <v>1.25</v>
      </c>
      <c r="F12" s="74">
        <v>3</v>
      </c>
      <c r="G12" s="74" t="s">
        <v>47</v>
      </c>
      <c r="H12" s="74" t="s">
        <v>14533</v>
      </c>
      <c r="I12" s="74" t="s">
        <v>14534</v>
      </c>
      <c r="J12" s="74">
        <v>1.2</v>
      </c>
      <c r="K12" s="74" t="s">
        <v>14535</v>
      </c>
      <c r="L12" s="74" t="s">
        <v>14536</v>
      </c>
      <c r="N12" t="s">
        <v>14543</v>
      </c>
    </row>
    <row r="13" spans="1:14" ht="42.75">
      <c r="A13" s="48" t="s">
        <v>428</v>
      </c>
      <c r="B13" s="48" t="s">
        <v>78</v>
      </c>
      <c r="C13" s="48">
        <v>3</v>
      </c>
      <c r="D13" s="48">
        <v>3.5</v>
      </c>
      <c r="E13" s="48">
        <v>1</v>
      </c>
      <c r="F13" s="48">
        <v>2.5</v>
      </c>
      <c r="G13" s="48" t="s">
        <v>48</v>
      </c>
      <c r="H13" s="48" t="s">
        <v>14533</v>
      </c>
      <c r="I13" s="48" t="s">
        <v>14534</v>
      </c>
      <c r="J13" s="48">
        <v>1</v>
      </c>
      <c r="K13" s="48" t="s">
        <v>14535</v>
      </c>
      <c r="L13" s="48" t="s">
        <v>14536</v>
      </c>
      <c r="N13" t="s">
        <v>14544</v>
      </c>
    </row>
    <row r="14" spans="1:14" ht="42.75">
      <c r="A14" s="74" t="s">
        <v>428</v>
      </c>
      <c r="B14" s="74" t="s">
        <v>81</v>
      </c>
      <c r="C14" s="74">
        <v>1</v>
      </c>
      <c r="D14" s="74">
        <v>1</v>
      </c>
      <c r="E14" s="74">
        <v>0.6</v>
      </c>
      <c r="F14" s="74">
        <v>0</v>
      </c>
      <c r="G14" s="74" t="s">
        <v>48</v>
      </c>
      <c r="H14" s="74" t="s">
        <v>14533</v>
      </c>
      <c r="I14" s="74" t="s">
        <v>14534</v>
      </c>
      <c r="J14" s="74">
        <v>0.7</v>
      </c>
      <c r="K14" s="74" t="s">
        <v>14535</v>
      </c>
      <c r="L14" s="74" t="s">
        <v>14536</v>
      </c>
    </row>
    <row r="15" spans="1:14" ht="42.75">
      <c r="A15" s="48" t="s">
        <v>428</v>
      </c>
      <c r="B15" s="48" t="s">
        <v>84</v>
      </c>
      <c r="C15" s="48">
        <v>4</v>
      </c>
      <c r="D15" s="48">
        <v>3.8</v>
      </c>
      <c r="E15" s="48">
        <v>1.1000000000000001</v>
      </c>
      <c r="F15" s="48">
        <v>2.8</v>
      </c>
      <c r="G15" s="48" t="s">
        <v>47</v>
      </c>
      <c r="H15" s="48" t="s">
        <v>14533</v>
      </c>
      <c r="I15" s="48" t="s">
        <v>14534</v>
      </c>
      <c r="J15" s="48">
        <v>1.1000000000000001</v>
      </c>
      <c r="K15" s="48" t="s">
        <v>14535</v>
      </c>
      <c r="L15" s="48" t="s">
        <v>14536</v>
      </c>
    </row>
    <row r="16" spans="1:14" ht="42.75">
      <c r="A16" s="74" t="s">
        <v>428</v>
      </c>
      <c r="B16" s="74" t="s">
        <v>87</v>
      </c>
      <c r="C16" s="74">
        <v>3</v>
      </c>
      <c r="D16" s="74">
        <v>3.5</v>
      </c>
      <c r="E16" s="74">
        <v>1</v>
      </c>
      <c r="F16" s="74">
        <v>2.5</v>
      </c>
      <c r="G16" s="74" t="s">
        <v>48</v>
      </c>
      <c r="H16" s="74" t="s">
        <v>14533</v>
      </c>
      <c r="I16" s="74" t="s">
        <v>14534</v>
      </c>
      <c r="J16" s="74">
        <v>1</v>
      </c>
      <c r="K16" s="74" t="s">
        <v>14535</v>
      </c>
      <c r="L16" s="74" t="s">
        <v>14536</v>
      </c>
    </row>
    <row r="17" spans="1:12" ht="42.75">
      <c r="A17" s="48" t="s">
        <v>428</v>
      </c>
      <c r="B17" s="48" t="s">
        <v>90</v>
      </c>
      <c r="C17" s="48">
        <v>3</v>
      </c>
      <c r="D17" s="48">
        <v>4</v>
      </c>
      <c r="E17" s="48">
        <v>1.1499999999999999</v>
      </c>
      <c r="F17" s="48">
        <v>3</v>
      </c>
      <c r="G17" s="48" t="s">
        <v>47</v>
      </c>
      <c r="H17" s="48" t="s">
        <v>14533</v>
      </c>
      <c r="I17" s="48" t="s">
        <v>14534</v>
      </c>
      <c r="J17" s="48">
        <v>1.1000000000000001</v>
      </c>
      <c r="K17" s="48" t="s">
        <v>14535</v>
      </c>
      <c r="L17" s="48" t="s">
        <v>14536</v>
      </c>
    </row>
    <row r="18" spans="1:12" ht="42.75">
      <c r="A18" s="74" t="s">
        <v>428</v>
      </c>
      <c r="B18" s="74" t="s">
        <v>91</v>
      </c>
      <c r="C18" s="74">
        <v>4</v>
      </c>
      <c r="D18" s="74">
        <v>4</v>
      </c>
      <c r="E18" s="74">
        <v>1.1499999999999999</v>
      </c>
      <c r="F18" s="74">
        <v>3</v>
      </c>
      <c r="G18" s="74" t="s">
        <v>47</v>
      </c>
      <c r="H18" s="74" t="s">
        <v>14533</v>
      </c>
      <c r="I18" s="74" t="s">
        <v>14534</v>
      </c>
      <c r="J18" s="74">
        <v>1.1499999999999999</v>
      </c>
      <c r="K18" s="74" t="s">
        <v>14535</v>
      </c>
      <c r="L18" s="74" t="s">
        <v>14536</v>
      </c>
    </row>
    <row r="19" spans="1:12" ht="42.75">
      <c r="A19" s="48" t="s">
        <v>428</v>
      </c>
      <c r="B19" s="48" t="s">
        <v>92</v>
      </c>
      <c r="C19" s="48">
        <v>3</v>
      </c>
      <c r="D19" s="48">
        <v>3.5</v>
      </c>
      <c r="E19" s="48">
        <v>1</v>
      </c>
      <c r="F19" s="48">
        <v>2.5</v>
      </c>
      <c r="G19" s="48" t="s">
        <v>48</v>
      </c>
      <c r="H19" s="48" t="s">
        <v>14533</v>
      </c>
      <c r="I19" s="48" t="s">
        <v>14534</v>
      </c>
      <c r="J19" s="48">
        <v>1</v>
      </c>
      <c r="K19" s="48" t="s">
        <v>14535</v>
      </c>
      <c r="L19" s="48" t="s">
        <v>14536</v>
      </c>
    </row>
    <row r="20" spans="1:12" ht="42.75">
      <c r="A20" s="74" t="s">
        <v>428</v>
      </c>
      <c r="B20" s="74" t="s">
        <v>93</v>
      </c>
      <c r="C20" s="74">
        <v>3</v>
      </c>
      <c r="D20" s="74">
        <v>4</v>
      </c>
      <c r="E20" s="74">
        <v>1.1499999999999999</v>
      </c>
      <c r="F20" s="74">
        <v>3</v>
      </c>
      <c r="G20" s="74" t="s">
        <v>47</v>
      </c>
      <c r="H20" s="74" t="s">
        <v>14533</v>
      </c>
      <c r="I20" s="74" t="s">
        <v>14534</v>
      </c>
      <c r="J20" s="74">
        <v>1.1000000000000001</v>
      </c>
      <c r="K20" s="74" t="s">
        <v>14535</v>
      </c>
      <c r="L20" s="74" t="s">
        <v>14536</v>
      </c>
    </row>
    <row r="21" spans="1:12" ht="42.75">
      <c r="A21" s="48" t="s">
        <v>428</v>
      </c>
      <c r="B21" s="48" t="s">
        <v>94</v>
      </c>
      <c r="C21" s="48">
        <v>5</v>
      </c>
      <c r="D21" s="48">
        <v>4</v>
      </c>
      <c r="E21" s="48">
        <v>1.2</v>
      </c>
      <c r="F21" s="48">
        <v>3</v>
      </c>
      <c r="G21" s="48" t="s">
        <v>47</v>
      </c>
      <c r="H21" s="48" t="s">
        <v>14533</v>
      </c>
      <c r="I21" s="48" t="s">
        <v>14534</v>
      </c>
      <c r="J21" s="48">
        <v>1.2</v>
      </c>
      <c r="K21" s="48" t="s">
        <v>14535</v>
      </c>
      <c r="L21" s="48" t="s">
        <v>14536</v>
      </c>
    </row>
    <row r="22" spans="1:12" ht="42.75">
      <c r="A22" s="74" t="s">
        <v>14537</v>
      </c>
      <c r="B22" s="74" t="s">
        <v>54</v>
      </c>
      <c r="C22" s="74">
        <v>3</v>
      </c>
      <c r="D22" s="74">
        <v>3.5</v>
      </c>
      <c r="E22" s="74">
        <v>1</v>
      </c>
      <c r="F22" s="74">
        <v>2.5</v>
      </c>
      <c r="G22" s="74" t="s">
        <v>48</v>
      </c>
      <c r="H22" s="74" t="s">
        <v>14545</v>
      </c>
      <c r="I22" s="74" t="s">
        <v>14546</v>
      </c>
      <c r="J22" s="74">
        <v>1</v>
      </c>
      <c r="K22" s="74" t="s">
        <v>14535</v>
      </c>
      <c r="L22" s="74" t="s">
        <v>14547</v>
      </c>
    </row>
    <row r="23" spans="1:12" ht="42.75">
      <c r="A23" s="48" t="s">
        <v>14537</v>
      </c>
      <c r="B23" s="48" t="s">
        <v>57</v>
      </c>
      <c r="C23" s="48">
        <v>5</v>
      </c>
      <c r="D23" s="48">
        <v>4</v>
      </c>
      <c r="E23" s="48">
        <v>1.2</v>
      </c>
      <c r="F23" s="48">
        <v>3</v>
      </c>
      <c r="G23" s="48" t="s">
        <v>47</v>
      </c>
      <c r="H23" s="48" t="s">
        <v>14545</v>
      </c>
      <c r="I23" s="48" t="s">
        <v>14546</v>
      </c>
      <c r="J23" s="48">
        <v>1.1499999999999999</v>
      </c>
      <c r="K23" s="48" t="s">
        <v>14535</v>
      </c>
      <c r="L23" s="48" t="s">
        <v>14547</v>
      </c>
    </row>
    <row r="24" spans="1:12" ht="42.75">
      <c r="A24" s="74" t="s">
        <v>14537</v>
      </c>
      <c r="B24" s="74" t="s">
        <v>60</v>
      </c>
      <c r="C24" s="74">
        <v>3</v>
      </c>
      <c r="D24" s="74">
        <v>4</v>
      </c>
      <c r="E24" s="74">
        <v>1.1499999999999999</v>
      </c>
      <c r="F24" s="74">
        <v>3</v>
      </c>
      <c r="G24" s="74" t="s">
        <v>47</v>
      </c>
      <c r="H24" s="74" t="s">
        <v>14545</v>
      </c>
      <c r="I24" s="74" t="s">
        <v>14546</v>
      </c>
      <c r="J24" s="74">
        <v>1.1000000000000001</v>
      </c>
      <c r="K24" s="74" t="s">
        <v>14535</v>
      </c>
      <c r="L24" s="74" t="s">
        <v>14547</v>
      </c>
    </row>
    <row r="25" spans="1:12" ht="42.75">
      <c r="A25" s="48" t="s">
        <v>14537</v>
      </c>
      <c r="B25" s="48" t="s">
        <v>63</v>
      </c>
      <c r="C25" s="48">
        <v>3</v>
      </c>
      <c r="D25" s="48">
        <v>3.5</v>
      </c>
      <c r="E25" s="48">
        <v>1</v>
      </c>
      <c r="F25" s="48">
        <v>2.5</v>
      </c>
      <c r="G25" s="48" t="s">
        <v>48</v>
      </c>
      <c r="H25" s="48" t="s">
        <v>14545</v>
      </c>
      <c r="I25" s="48" t="s">
        <v>14546</v>
      </c>
      <c r="J25" s="48">
        <v>1</v>
      </c>
      <c r="K25" s="48" t="s">
        <v>14535</v>
      </c>
      <c r="L25" s="48" t="s">
        <v>14547</v>
      </c>
    </row>
    <row r="26" spans="1:12" ht="42.75">
      <c r="A26" s="74" t="s">
        <v>14537</v>
      </c>
      <c r="B26" s="74" t="s">
        <v>66</v>
      </c>
      <c r="C26" s="74">
        <v>3</v>
      </c>
      <c r="D26" s="74">
        <v>3.5</v>
      </c>
      <c r="E26" s="74">
        <v>1</v>
      </c>
      <c r="F26" s="74">
        <v>2.5</v>
      </c>
      <c r="G26" s="74" t="s">
        <v>48</v>
      </c>
      <c r="H26" s="74" t="s">
        <v>14545</v>
      </c>
      <c r="I26" s="74" t="s">
        <v>14546</v>
      </c>
      <c r="J26" s="74">
        <v>1</v>
      </c>
      <c r="K26" s="74" t="s">
        <v>14535</v>
      </c>
      <c r="L26" s="74" t="s">
        <v>14547</v>
      </c>
    </row>
    <row r="27" spans="1:12" ht="42.75">
      <c r="A27" s="48" t="s">
        <v>14537</v>
      </c>
      <c r="B27" s="48" t="s">
        <v>69</v>
      </c>
      <c r="C27" s="48">
        <v>3</v>
      </c>
      <c r="D27" s="48">
        <v>3.5</v>
      </c>
      <c r="E27" s="48">
        <v>1</v>
      </c>
      <c r="F27" s="48">
        <v>2.5</v>
      </c>
      <c r="G27" s="48" t="s">
        <v>48</v>
      </c>
      <c r="H27" s="48" t="s">
        <v>14545</v>
      </c>
      <c r="I27" s="48" t="s">
        <v>14546</v>
      </c>
      <c r="J27" s="48">
        <v>1</v>
      </c>
      <c r="K27" s="48" t="s">
        <v>14535</v>
      </c>
      <c r="L27" s="48" t="s">
        <v>14547</v>
      </c>
    </row>
    <row r="28" spans="1:12" ht="42.75">
      <c r="A28" s="74" t="s">
        <v>14537</v>
      </c>
      <c r="B28" s="74" t="s">
        <v>72</v>
      </c>
      <c r="C28" s="74">
        <v>2</v>
      </c>
      <c r="D28" s="74">
        <v>2.5</v>
      </c>
      <c r="E28" s="74">
        <v>0.8</v>
      </c>
      <c r="F28" s="74">
        <v>1.8</v>
      </c>
      <c r="G28" s="74" t="s">
        <v>48</v>
      </c>
      <c r="H28" s="74" t="s">
        <v>14545</v>
      </c>
      <c r="I28" s="74" t="s">
        <v>14546</v>
      </c>
      <c r="J28" s="74">
        <v>0.8</v>
      </c>
      <c r="K28" s="74" t="s">
        <v>14535</v>
      </c>
      <c r="L28" s="74" t="s">
        <v>14547</v>
      </c>
    </row>
    <row r="29" spans="1:12" ht="42.75">
      <c r="A29" s="48" t="s">
        <v>14537</v>
      </c>
      <c r="B29" s="48" t="s">
        <v>75</v>
      </c>
      <c r="C29" s="48">
        <v>3</v>
      </c>
      <c r="D29" s="48">
        <v>3.5</v>
      </c>
      <c r="E29" s="48">
        <v>1</v>
      </c>
      <c r="F29" s="48">
        <v>2.5</v>
      </c>
      <c r="G29" s="48" t="s">
        <v>48</v>
      </c>
      <c r="H29" s="48" t="s">
        <v>14545</v>
      </c>
      <c r="I29" s="48" t="s">
        <v>14546</v>
      </c>
      <c r="J29" s="48">
        <v>1</v>
      </c>
      <c r="K29" s="48" t="s">
        <v>14535</v>
      </c>
      <c r="L29" s="48" t="s">
        <v>14547</v>
      </c>
    </row>
    <row r="30" spans="1:12" ht="42.75">
      <c r="A30" s="74" t="s">
        <v>14537</v>
      </c>
      <c r="B30" s="74" t="s">
        <v>78</v>
      </c>
      <c r="C30" s="74">
        <v>2</v>
      </c>
      <c r="D30" s="74">
        <v>2.5</v>
      </c>
      <c r="E30" s="74">
        <v>0.8</v>
      </c>
      <c r="F30" s="74">
        <v>1.8</v>
      </c>
      <c r="G30" s="74" t="s">
        <v>48</v>
      </c>
      <c r="H30" s="74" t="s">
        <v>14545</v>
      </c>
      <c r="I30" s="74" t="s">
        <v>14546</v>
      </c>
      <c r="J30" s="74">
        <v>0.8</v>
      </c>
      <c r="K30" s="74" t="s">
        <v>14535</v>
      </c>
      <c r="L30" s="74" t="s">
        <v>14547</v>
      </c>
    </row>
    <row r="31" spans="1:12" ht="42.75">
      <c r="A31" s="48" t="s">
        <v>14537</v>
      </c>
      <c r="B31" s="48" t="s">
        <v>81</v>
      </c>
      <c r="C31" s="48">
        <v>1</v>
      </c>
      <c r="D31" s="48">
        <v>0.5</v>
      </c>
      <c r="E31" s="48">
        <v>0.5</v>
      </c>
      <c r="F31" s="48">
        <v>0</v>
      </c>
      <c r="G31" s="48" t="s">
        <v>48</v>
      </c>
      <c r="H31" s="48" t="s">
        <v>14545</v>
      </c>
      <c r="I31" s="48" t="s">
        <v>14546</v>
      </c>
      <c r="J31" s="48">
        <v>0.6</v>
      </c>
      <c r="K31" s="48" t="s">
        <v>14535</v>
      </c>
      <c r="L31" s="48" t="s">
        <v>14547</v>
      </c>
    </row>
    <row r="32" spans="1:12" ht="42.75">
      <c r="A32" s="74" t="s">
        <v>14537</v>
      </c>
      <c r="B32" s="74" t="s">
        <v>84</v>
      </c>
      <c r="C32" s="74">
        <v>4</v>
      </c>
      <c r="D32" s="74">
        <v>4</v>
      </c>
      <c r="E32" s="74">
        <v>1.1499999999999999</v>
      </c>
      <c r="F32" s="74">
        <v>3</v>
      </c>
      <c r="G32" s="74" t="s">
        <v>47</v>
      </c>
      <c r="H32" s="74" t="s">
        <v>14545</v>
      </c>
      <c r="I32" s="74" t="s">
        <v>14546</v>
      </c>
      <c r="J32" s="74">
        <v>1.1499999999999999</v>
      </c>
      <c r="K32" s="74" t="s">
        <v>14535</v>
      </c>
      <c r="L32" s="74" t="s">
        <v>14547</v>
      </c>
    </row>
    <row r="33" spans="1:12" ht="42.75">
      <c r="A33" s="48" t="s">
        <v>14537</v>
      </c>
      <c r="B33" s="48" t="s">
        <v>87</v>
      </c>
      <c r="C33" s="48">
        <v>3</v>
      </c>
      <c r="D33" s="48">
        <v>3.5</v>
      </c>
      <c r="E33" s="48">
        <v>1</v>
      </c>
      <c r="F33" s="48">
        <v>2.5</v>
      </c>
      <c r="G33" s="48" t="s">
        <v>48</v>
      </c>
      <c r="H33" s="48" t="s">
        <v>14545</v>
      </c>
      <c r="I33" s="48" t="s">
        <v>14546</v>
      </c>
      <c r="J33" s="48">
        <v>1</v>
      </c>
      <c r="K33" s="48" t="s">
        <v>14535</v>
      </c>
      <c r="L33" s="48" t="s">
        <v>14547</v>
      </c>
    </row>
    <row r="34" spans="1:12" ht="42.75">
      <c r="A34" s="74" t="s">
        <v>14537</v>
      </c>
      <c r="B34" s="74" t="s">
        <v>90</v>
      </c>
      <c r="C34" s="74">
        <v>5</v>
      </c>
      <c r="D34" s="74">
        <v>4.5</v>
      </c>
      <c r="E34" s="74">
        <v>1.4</v>
      </c>
      <c r="F34" s="74">
        <v>3.5</v>
      </c>
      <c r="G34" s="74" t="s">
        <v>46</v>
      </c>
      <c r="H34" s="74" t="s">
        <v>14545</v>
      </c>
      <c r="I34" s="74" t="s">
        <v>14546</v>
      </c>
      <c r="J34" s="74">
        <v>1.3</v>
      </c>
      <c r="K34" s="74" t="s">
        <v>14535</v>
      </c>
      <c r="L34" s="74" t="s">
        <v>14547</v>
      </c>
    </row>
    <row r="35" spans="1:12" ht="42.75">
      <c r="A35" s="48" t="s">
        <v>14537</v>
      </c>
      <c r="B35" s="48" t="s">
        <v>91</v>
      </c>
      <c r="C35" s="48">
        <v>5</v>
      </c>
      <c r="D35" s="48">
        <v>4.2</v>
      </c>
      <c r="E35" s="48">
        <v>1.25</v>
      </c>
      <c r="F35" s="48">
        <v>3.2</v>
      </c>
      <c r="G35" s="48" t="s">
        <v>47</v>
      </c>
      <c r="H35" s="48" t="s">
        <v>14545</v>
      </c>
      <c r="I35" s="48" t="s">
        <v>14546</v>
      </c>
      <c r="J35" s="48">
        <v>1.2</v>
      </c>
      <c r="K35" s="48" t="s">
        <v>14535</v>
      </c>
      <c r="L35" s="48" t="s">
        <v>14547</v>
      </c>
    </row>
    <row r="36" spans="1:12" ht="42.75">
      <c r="A36" s="74" t="s">
        <v>14537</v>
      </c>
      <c r="B36" s="74" t="s">
        <v>92</v>
      </c>
      <c r="C36" s="74">
        <v>5</v>
      </c>
      <c r="D36" s="74">
        <v>4.2</v>
      </c>
      <c r="E36" s="74">
        <v>1.25</v>
      </c>
      <c r="F36" s="74">
        <v>3.2</v>
      </c>
      <c r="G36" s="74" t="s">
        <v>47</v>
      </c>
      <c r="H36" s="74" t="s">
        <v>14545</v>
      </c>
      <c r="I36" s="74" t="s">
        <v>14546</v>
      </c>
      <c r="J36" s="74">
        <v>1.2</v>
      </c>
      <c r="K36" s="74" t="s">
        <v>14535</v>
      </c>
      <c r="L36" s="74" t="s">
        <v>14547</v>
      </c>
    </row>
    <row r="37" spans="1:12" ht="42.75">
      <c r="A37" s="48" t="s">
        <v>14537</v>
      </c>
      <c r="B37" s="48" t="s">
        <v>93</v>
      </c>
      <c r="C37" s="48">
        <v>5</v>
      </c>
      <c r="D37" s="48">
        <v>4.5</v>
      </c>
      <c r="E37" s="48">
        <v>1.4</v>
      </c>
      <c r="F37" s="48">
        <v>3.5</v>
      </c>
      <c r="G37" s="48" t="s">
        <v>46</v>
      </c>
      <c r="H37" s="48" t="s">
        <v>14545</v>
      </c>
      <c r="I37" s="48" t="s">
        <v>14546</v>
      </c>
      <c r="J37" s="48">
        <v>1.3</v>
      </c>
      <c r="K37" s="48" t="s">
        <v>14535</v>
      </c>
      <c r="L37" s="48" t="s">
        <v>14547</v>
      </c>
    </row>
    <row r="38" spans="1:12" ht="42.75">
      <c r="A38" s="74" t="s">
        <v>14537</v>
      </c>
      <c r="B38" s="74" t="s">
        <v>94</v>
      </c>
      <c r="C38" s="74">
        <v>3</v>
      </c>
      <c r="D38" s="74">
        <v>3.5</v>
      </c>
      <c r="E38" s="74">
        <v>1</v>
      </c>
      <c r="F38" s="74">
        <v>2.5</v>
      </c>
      <c r="G38" s="74" t="s">
        <v>48</v>
      </c>
      <c r="H38" s="74" t="s">
        <v>14545</v>
      </c>
      <c r="I38" s="74" t="s">
        <v>14546</v>
      </c>
      <c r="J38" s="74">
        <v>1</v>
      </c>
      <c r="K38" s="74" t="s">
        <v>14535</v>
      </c>
      <c r="L38" s="74" t="s">
        <v>14547</v>
      </c>
    </row>
    <row r="39" spans="1:12" ht="42.75">
      <c r="A39" s="48" t="s">
        <v>14538</v>
      </c>
      <c r="B39" s="48" t="s">
        <v>54</v>
      </c>
      <c r="C39" s="48">
        <v>3</v>
      </c>
      <c r="D39" s="48">
        <v>3.5</v>
      </c>
      <c r="E39" s="48">
        <v>1</v>
      </c>
      <c r="F39" s="48">
        <v>2.5</v>
      </c>
      <c r="G39" s="48" t="s">
        <v>48</v>
      </c>
      <c r="H39" s="48" t="s">
        <v>14548</v>
      </c>
      <c r="I39" s="48" t="s">
        <v>14549</v>
      </c>
      <c r="J39" s="48">
        <v>1</v>
      </c>
      <c r="K39" s="48" t="s">
        <v>14535</v>
      </c>
      <c r="L39" s="48" t="s">
        <v>14550</v>
      </c>
    </row>
    <row r="40" spans="1:12" ht="42.75">
      <c r="A40" s="74" t="s">
        <v>14538</v>
      </c>
      <c r="B40" s="74" t="s">
        <v>57</v>
      </c>
      <c r="C40" s="74">
        <v>3</v>
      </c>
      <c r="D40" s="74">
        <v>3.5</v>
      </c>
      <c r="E40" s="74">
        <v>1</v>
      </c>
      <c r="F40" s="74">
        <v>2.5</v>
      </c>
      <c r="G40" s="74" t="s">
        <v>48</v>
      </c>
      <c r="H40" s="74" t="s">
        <v>14548</v>
      </c>
      <c r="I40" s="74" t="s">
        <v>14549</v>
      </c>
      <c r="J40" s="74">
        <v>1</v>
      </c>
      <c r="K40" s="74" t="s">
        <v>14535</v>
      </c>
      <c r="L40" s="74" t="s">
        <v>14550</v>
      </c>
    </row>
    <row r="41" spans="1:12" ht="42.75">
      <c r="A41" s="48" t="s">
        <v>14538</v>
      </c>
      <c r="B41" s="48" t="s">
        <v>60</v>
      </c>
      <c r="C41" s="48">
        <v>3</v>
      </c>
      <c r="D41" s="48">
        <v>4</v>
      </c>
      <c r="E41" s="48">
        <v>1.1499999999999999</v>
      </c>
      <c r="F41" s="48">
        <v>3</v>
      </c>
      <c r="G41" s="48" t="s">
        <v>47</v>
      </c>
      <c r="H41" s="48" t="s">
        <v>14548</v>
      </c>
      <c r="I41" s="48" t="s">
        <v>14549</v>
      </c>
      <c r="J41" s="48">
        <v>1.1000000000000001</v>
      </c>
      <c r="K41" s="48" t="s">
        <v>14535</v>
      </c>
      <c r="L41" s="48" t="s">
        <v>14550</v>
      </c>
    </row>
    <row r="42" spans="1:12" ht="42.75">
      <c r="A42" s="74" t="s">
        <v>14538</v>
      </c>
      <c r="B42" s="74" t="s">
        <v>63</v>
      </c>
      <c r="C42" s="74">
        <v>3</v>
      </c>
      <c r="D42" s="74">
        <v>3.5</v>
      </c>
      <c r="E42" s="74">
        <v>1</v>
      </c>
      <c r="F42" s="74">
        <v>2.5</v>
      </c>
      <c r="G42" s="74" t="s">
        <v>48</v>
      </c>
      <c r="H42" s="74" t="s">
        <v>14548</v>
      </c>
      <c r="I42" s="74" t="s">
        <v>14549</v>
      </c>
      <c r="J42" s="74">
        <v>1</v>
      </c>
      <c r="K42" s="74" t="s">
        <v>14535</v>
      </c>
      <c r="L42" s="74" t="s">
        <v>14550</v>
      </c>
    </row>
    <row r="43" spans="1:12" ht="42.75">
      <c r="A43" s="48" t="s">
        <v>14538</v>
      </c>
      <c r="B43" s="48" t="s">
        <v>66</v>
      </c>
      <c r="C43" s="48">
        <v>3</v>
      </c>
      <c r="D43" s="48">
        <v>3.5</v>
      </c>
      <c r="E43" s="48">
        <v>1</v>
      </c>
      <c r="F43" s="48">
        <v>2.5</v>
      </c>
      <c r="G43" s="48" t="s">
        <v>48</v>
      </c>
      <c r="H43" s="48" t="s">
        <v>14548</v>
      </c>
      <c r="I43" s="48" t="s">
        <v>14549</v>
      </c>
      <c r="J43" s="48">
        <v>1</v>
      </c>
      <c r="K43" s="48" t="s">
        <v>14535</v>
      </c>
      <c r="L43" s="48" t="s">
        <v>14550</v>
      </c>
    </row>
    <row r="44" spans="1:12" ht="42.75">
      <c r="A44" s="74" t="s">
        <v>14538</v>
      </c>
      <c r="B44" s="74" t="s">
        <v>69</v>
      </c>
      <c r="C44" s="74">
        <v>3</v>
      </c>
      <c r="D44" s="74">
        <v>3.5</v>
      </c>
      <c r="E44" s="74">
        <v>1</v>
      </c>
      <c r="F44" s="74">
        <v>2.5</v>
      </c>
      <c r="G44" s="74" t="s">
        <v>48</v>
      </c>
      <c r="H44" s="74" t="s">
        <v>14548</v>
      </c>
      <c r="I44" s="74" t="s">
        <v>14549</v>
      </c>
      <c r="J44" s="74">
        <v>1</v>
      </c>
      <c r="K44" s="74" t="s">
        <v>14535</v>
      </c>
      <c r="L44" s="74" t="s">
        <v>14550</v>
      </c>
    </row>
    <row r="45" spans="1:12" ht="42.75">
      <c r="A45" s="48" t="s">
        <v>14538</v>
      </c>
      <c r="B45" s="48" t="s">
        <v>72</v>
      </c>
      <c r="C45" s="48">
        <v>5</v>
      </c>
      <c r="D45" s="48">
        <v>4.5</v>
      </c>
      <c r="E45" s="48">
        <v>1.5</v>
      </c>
      <c r="F45" s="48">
        <v>3.5</v>
      </c>
      <c r="G45" s="48" t="s">
        <v>46</v>
      </c>
      <c r="H45" s="48" t="s">
        <v>14548</v>
      </c>
      <c r="I45" s="48" t="s">
        <v>14549</v>
      </c>
      <c r="J45" s="48">
        <v>1.35</v>
      </c>
      <c r="K45" s="48" t="s">
        <v>14535</v>
      </c>
      <c r="L45" s="48" t="s">
        <v>14550</v>
      </c>
    </row>
    <row r="46" spans="1:12" ht="42.75">
      <c r="A46" s="74" t="s">
        <v>14538</v>
      </c>
      <c r="B46" s="74" t="s">
        <v>75</v>
      </c>
      <c r="C46" s="74">
        <v>5</v>
      </c>
      <c r="D46" s="74">
        <v>4.2</v>
      </c>
      <c r="E46" s="74">
        <v>1.3</v>
      </c>
      <c r="F46" s="74">
        <v>3.2</v>
      </c>
      <c r="G46" s="74" t="s">
        <v>46</v>
      </c>
      <c r="H46" s="74" t="s">
        <v>14548</v>
      </c>
      <c r="I46" s="74" t="s">
        <v>14549</v>
      </c>
      <c r="J46" s="74">
        <v>1.25</v>
      </c>
      <c r="K46" s="74" t="s">
        <v>14535</v>
      </c>
      <c r="L46" s="74" t="s">
        <v>14550</v>
      </c>
    </row>
    <row r="47" spans="1:12" ht="42.75">
      <c r="A47" s="48" t="s">
        <v>14538</v>
      </c>
      <c r="B47" s="48" t="s">
        <v>78</v>
      </c>
      <c r="C47" s="48">
        <v>5</v>
      </c>
      <c r="D47" s="48">
        <v>4.2</v>
      </c>
      <c r="E47" s="48">
        <v>1.35</v>
      </c>
      <c r="F47" s="48">
        <v>3.2</v>
      </c>
      <c r="G47" s="48" t="s">
        <v>46</v>
      </c>
      <c r="H47" s="48" t="s">
        <v>14548</v>
      </c>
      <c r="I47" s="48" t="s">
        <v>14549</v>
      </c>
      <c r="J47" s="48">
        <v>1.3</v>
      </c>
      <c r="K47" s="48" t="s">
        <v>14535</v>
      </c>
      <c r="L47" s="48" t="s">
        <v>14550</v>
      </c>
    </row>
    <row r="48" spans="1:12" ht="42.75">
      <c r="A48" s="74" t="s">
        <v>14538</v>
      </c>
      <c r="B48" s="74" t="s">
        <v>81</v>
      </c>
      <c r="C48" s="74">
        <v>5</v>
      </c>
      <c r="D48" s="74">
        <v>4.3</v>
      </c>
      <c r="E48" s="74">
        <v>1.4</v>
      </c>
      <c r="F48" s="74">
        <v>3.3</v>
      </c>
      <c r="G48" s="74" t="s">
        <v>46</v>
      </c>
      <c r="H48" s="74" t="s">
        <v>14548</v>
      </c>
      <c r="I48" s="74" t="s">
        <v>14549</v>
      </c>
      <c r="J48" s="74">
        <v>1.35</v>
      </c>
      <c r="K48" s="74" t="s">
        <v>14535</v>
      </c>
      <c r="L48" s="74" t="s">
        <v>14550</v>
      </c>
    </row>
    <row r="49" spans="1:12" ht="42.75">
      <c r="A49" s="48" t="s">
        <v>14538</v>
      </c>
      <c r="B49" s="48" t="s">
        <v>84</v>
      </c>
      <c r="C49" s="48">
        <v>3</v>
      </c>
      <c r="D49" s="48">
        <v>3.2</v>
      </c>
      <c r="E49" s="48">
        <v>0.95</v>
      </c>
      <c r="F49" s="48">
        <v>2.2000000000000002</v>
      </c>
      <c r="G49" s="48" t="s">
        <v>48</v>
      </c>
      <c r="H49" s="48" t="s">
        <v>14548</v>
      </c>
      <c r="I49" s="48" t="s">
        <v>14549</v>
      </c>
      <c r="J49" s="48">
        <v>0.95</v>
      </c>
      <c r="K49" s="48" t="s">
        <v>14535</v>
      </c>
      <c r="L49" s="48" t="s">
        <v>14550</v>
      </c>
    </row>
    <row r="50" spans="1:12" ht="42.75">
      <c r="A50" s="74" t="s">
        <v>14538</v>
      </c>
      <c r="B50" s="74" t="s">
        <v>87</v>
      </c>
      <c r="C50" s="74">
        <v>3</v>
      </c>
      <c r="D50" s="74">
        <v>3.5</v>
      </c>
      <c r="E50" s="74">
        <v>1</v>
      </c>
      <c r="F50" s="74">
        <v>2.5</v>
      </c>
      <c r="G50" s="74" t="s">
        <v>48</v>
      </c>
      <c r="H50" s="74" t="s">
        <v>14548</v>
      </c>
      <c r="I50" s="74" t="s">
        <v>14549</v>
      </c>
      <c r="J50" s="74">
        <v>1</v>
      </c>
      <c r="K50" s="74" t="s">
        <v>14535</v>
      </c>
      <c r="L50" s="74" t="s">
        <v>14550</v>
      </c>
    </row>
    <row r="51" spans="1:12" ht="42.75">
      <c r="A51" s="48" t="s">
        <v>14538</v>
      </c>
      <c r="B51" s="48" t="s">
        <v>90</v>
      </c>
      <c r="C51" s="48">
        <v>4</v>
      </c>
      <c r="D51" s="48">
        <v>3.8</v>
      </c>
      <c r="E51" s="48">
        <v>1.1000000000000001</v>
      </c>
      <c r="F51" s="48">
        <v>2.8</v>
      </c>
      <c r="G51" s="48" t="s">
        <v>47</v>
      </c>
      <c r="H51" s="48" t="s">
        <v>14548</v>
      </c>
      <c r="I51" s="48" t="s">
        <v>14549</v>
      </c>
      <c r="J51" s="48">
        <v>1.1000000000000001</v>
      </c>
      <c r="K51" s="48" t="s">
        <v>14535</v>
      </c>
      <c r="L51" s="48" t="s">
        <v>14550</v>
      </c>
    </row>
    <row r="52" spans="1:12" ht="42.75">
      <c r="A52" s="74" t="s">
        <v>14538</v>
      </c>
      <c r="B52" s="74" t="s">
        <v>91</v>
      </c>
      <c r="C52" s="74">
        <v>4</v>
      </c>
      <c r="D52" s="74">
        <v>4</v>
      </c>
      <c r="E52" s="74">
        <v>1.1499999999999999</v>
      </c>
      <c r="F52" s="74">
        <v>3</v>
      </c>
      <c r="G52" s="74" t="s">
        <v>47</v>
      </c>
      <c r="H52" s="74" t="s">
        <v>14548</v>
      </c>
      <c r="I52" s="74" t="s">
        <v>14549</v>
      </c>
      <c r="J52" s="74">
        <v>1.1499999999999999</v>
      </c>
      <c r="K52" s="74" t="s">
        <v>14535</v>
      </c>
      <c r="L52" s="74" t="s">
        <v>14550</v>
      </c>
    </row>
    <row r="53" spans="1:12" ht="42.75">
      <c r="A53" s="48" t="s">
        <v>14538</v>
      </c>
      <c r="B53" s="48" t="s">
        <v>92</v>
      </c>
      <c r="C53" s="48">
        <v>3</v>
      </c>
      <c r="D53" s="48">
        <v>3.5</v>
      </c>
      <c r="E53" s="48">
        <v>1</v>
      </c>
      <c r="F53" s="48">
        <v>2.5</v>
      </c>
      <c r="G53" s="48" t="s">
        <v>48</v>
      </c>
      <c r="H53" s="48" t="s">
        <v>14548</v>
      </c>
      <c r="I53" s="48" t="s">
        <v>14549</v>
      </c>
      <c r="J53" s="48">
        <v>1</v>
      </c>
      <c r="K53" s="48" t="s">
        <v>14535</v>
      </c>
      <c r="L53" s="48" t="s">
        <v>14550</v>
      </c>
    </row>
    <row r="54" spans="1:12" ht="42.75">
      <c r="A54" s="74" t="s">
        <v>14538</v>
      </c>
      <c r="B54" s="74" t="s">
        <v>93</v>
      </c>
      <c r="C54" s="74">
        <v>4</v>
      </c>
      <c r="D54" s="74">
        <v>4</v>
      </c>
      <c r="E54" s="74">
        <v>1.2</v>
      </c>
      <c r="F54" s="74">
        <v>3</v>
      </c>
      <c r="G54" s="74" t="s">
        <v>47</v>
      </c>
      <c r="H54" s="74" t="s">
        <v>14548</v>
      </c>
      <c r="I54" s="74" t="s">
        <v>14549</v>
      </c>
      <c r="J54" s="74">
        <v>1.1499999999999999</v>
      </c>
      <c r="K54" s="74" t="s">
        <v>14535</v>
      </c>
      <c r="L54" s="74" t="s">
        <v>14550</v>
      </c>
    </row>
    <row r="55" spans="1:12" ht="42.75">
      <c r="A55" s="48" t="s">
        <v>14538</v>
      </c>
      <c r="B55" s="48" t="s">
        <v>94</v>
      </c>
      <c r="C55" s="48">
        <v>3</v>
      </c>
      <c r="D55" s="48">
        <v>3.5</v>
      </c>
      <c r="E55" s="48">
        <v>1</v>
      </c>
      <c r="F55" s="48">
        <v>2.5</v>
      </c>
      <c r="G55" s="48" t="s">
        <v>48</v>
      </c>
      <c r="H55" s="48" t="s">
        <v>14548</v>
      </c>
      <c r="I55" s="48" t="s">
        <v>14549</v>
      </c>
      <c r="J55" s="48">
        <v>1</v>
      </c>
      <c r="K55" s="48" t="s">
        <v>14535</v>
      </c>
      <c r="L55" s="48" t="s">
        <v>14550</v>
      </c>
    </row>
    <row r="56" spans="1:12" ht="42.75">
      <c r="A56" s="74" t="s">
        <v>14539</v>
      </c>
      <c r="B56" s="74" t="s">
        <v>54</v>
      </c>
      <c r="C56" s="74">
        <v>3</v>
      </c>
      <c r="D56" s="74">
        <v>3.5</v>
      </c>
      <c r="E56" s="74">
        <v>1</v>
      </c>
      <c r="F56" s="74">
        <v>2.5</v>
      </c>
      <c r="G56" s="74" t="s">
        <v>48</v>
      </c>
      <c r="H56" s="74" t="s">
        <v>14551</v>
      </c>
      <c r="I56" s="74" t="s">
        <v>14552</v>
      </c>
      <c r="J56" s="74">
        <v>1</v>
      </c>
      <c r="K56" s="74" t="s">
        <v>14535</v>
      </c>
      <c r="L56" s="74" t="s">
        <v>14553</v>
      </c>
    </row>
    <row r="57" spans="1:12" ht="42.75">
      <c r="A57" s="48" t="s">
        <v>14539</v>
      </c>
      <c r="B57" s="48" t="s">
        <v>57</v>
      </c>
      <c r="C57" s="48">
        <v>5</v>
      </c>
      <c r="D57" s="48">
        <v>4</v>
      </c>
      <c r="E57" s="48">
        <v>1.25</v>
      </c>
      <c r="F57" s="48">
        <v>3</v>
      </c>
      <c r="G57" s="48" t="s">
        <v>47</v>
      </c>
      <c r="H57" s="48" t="s">
        <v>14551</v>
      </c>
      <c r="I57" s="48" t="s">
        <v>14552</v>
      </c>
      <c r="J57" s="48">
        <v>1.2</v>
      </c>
      <c r="K57" s="48" t="s">
        <v>14535</v>
      </c>
      <c r="L57" s="48" t="s">
        <v>14553</v>
      </c>
    </row>
    <row r="58" spans="1:12" ht="42.75">
      <c r="A58" s="74" t="s">
        <v>14539</v>
      </c>
      <c r="B58" s="74" t="s">
        <v>60</v>
      </c>
      <c r="C58" s="74">
        <v>3</v>
      </c>
      <c r="D58" s="74">
        <v>4</v>
      </c>
      <c r="E58" s="74">
        <v>1.1499999999999999</v>
      </c>
      <c r="F58" s="74">
        <v>3</v>
      </c>
      <c r="G58" s="74" t="s">
        <v>47</v>
      </c>
      <c r="H58" s="74" t="s">
        <v>14551</v>
      </c>
      <c r="I58" s="74" t="s">
        <v>14552</v>
      </c>
      <c r="J58" s="74">
        <v>1.1000000000000001</v>
      </c>
      <c r="K58" s="74" t="s">
        <v>14535</v>
      </c>
      <c r="L58" s="74" t="s">
        <v>14553</v>
      </c>
    </row>
    <row r="59" spans="1:12" ht="42.75">
      <c r="A59" s="48" t="s">
        <v>14539</v>
      </c>
      <c r="B59" s="48" t="s">
        <v>63</v>
      </c>
      <c r="C59" s="48">
        <v>3</v>
      </c>
      <c r="D59" s="48">
        <v>3.5</v>
      </c>
      <c r="E59" s="48">
        <v>1</v>
      </c>
      <c r="F59" s="48">
        <v>2.5</v>
      </c>
      <c r="G59" s="48" t="s">
        <v>48</v>
      </c>
      <c r="H59" s="48" t="s">
        <v>14551</v>
      </c>
      <c r="I59" s="48" t="s">
        <v>14552</v>
      </c>
      <c r="J59" s="48">
        <v>1</v>
      </c>
      <c r="K59" s="48" t="s">
        <v>14535</v>
      </c>
      <c r="L59" s="48" t="s">
        <v>14553</v>
      </c>
    </row>
    <row r="60" spans="1:12" ht="42.75">
      <c r="A60" s="74" t="s">
        <v>14539</v>
      </c>
      <c r="B60" s="74" t="s">
        <v>66</v>
      </c>
      <c r="C60" s="74">
        <v>3</v>
      </c>
      <c r="D60" s="74">
        <v>3.5</v>
      </c>
      <c r="E60" s="74">
        <v>1</v>
      </c>
      <c r="F60" s="74">
        <v>2.5</v>
      </c>
      <c r="G60" s="74" t="s">
        <v>48</v>
      </c>
      <c r="H60" s="74" t="s">
        <v>14551</v>
      </c>
      <c r="I60" s="74" t="s">
        <v>14552</v>
      </c>
      <c r="J60" s="74">
        <v>1</v>
      </c>
      <c r="K60" s="74" t="s">
        <v>14535</v>
      </c>
      <c r="L60" s="74" t="s">
        <v>14553</v>
      </c>
    </row>
    <row r="61" spans="1:12" ht="42.75">
      <c r="A61" s="48" t="s">
        <v>14539</v>
      </c>
      <c r="B61" s="48" t="s">
        <v>69</v>
      </c>
      <c r="C61" s="48">
        <v>3</v>
      </c>
      <c r="D61" s="48">
        <v>3.5</v>
      </c>
      <c r="E61" s="48">
        <v>1</v>
      </c>
      <c r="F61" s="48">
        <v>2.5</v>
      </c>
      <c r="G61" s="48" t="s">
        <v>48</v>
      </c>
      <c r="H61" s="48" t="s">
        <v>14551</v>
      </c>
      <c r="I61" s="48" t="s">
        <v>14552</v>
      </c>
      <c r="J61" s="48">
        <v>1</v>
      </c>
      <c r="K61" s="48" t="s">
        <v>14535</v>
      </c>
      <c r="L61" s="48" t="s">
        <v>14553</v>
      </c>
    </row>
    <row r="62" spans="1:12" ht="42.75">
      <c r="A62" s="74" t="s">
        <v>14539</v>
      </c>
      <c r="B62" s="74" t="s">
        <v>72</v>
      </c>
      <c r="C62" s="74">
        <v>3</v>
      </c>
      <c r="D62" s="74">
        <v>3.5</v>
      </c>
      <c r="E62" s="74">
        <v>1</v>
      </c>
      <c r="F62" s="74">
        <v>2.5</v>
      </c>
      <c r="G62" s="74" t="s">
        <v>48</v>
      </c>
      <c r="H62" s="74" t="s">
        <v>14551</v>
      </c>
      <c r="I62" s="74" t="s">
        <v>14552</v>
      </c>
      <c r="J62" s="74">
        <v>1</v>
      </c>
      <c r="K62" s="74" t="s">
        <v>14535</v>
      </c>
      <c r="L62" s="74" t="s">
        <v>14553</v>
      </c>
    </row>
    <row r="63" spans="1:12" ht="42.75">
      <c r="A63" s="48" t="s">
        <v>14539</v>
      </c>
      <c r="B63" s="48" t="s">
        <v>75</v>
      </c>
      <c r="C63" s="48">
        <v>3</v>
      </c>
      <c r="D63" s="48">
        <v>3.5</v>
      </c>
      <c r="E63" s="48">
        <v>1</v>
      </c>
      <c r="F63" s="48">
        <v>2.5</v>
      </c>
      <c r="G63" s="48" t="s">
        <v>48</v>
      </c>
      <c r="H63" s="48" t="s">
        <v>14551</v>
      </c>
      <c r="I63" s="48" t="s">
        <v>14552</v>
      </c>
      <c r="J63" s="48">
        <v>1</v>
      </c>
      <c r="K63" s="48" t="s">
        <v>14535</v>
      </c>
      <c r="L63" s="48" t="s">
        <v>14553</v>
      </c>
    </row>
    <row r="64" spans="1:12" ht="42.75">
      <c r="A64" s="74" t="s">
        <v>14539</v>
      </c>
      <c r="B64" s="74" t="s">
        <v>78</v>
      </c>
      <c r="C64" s="74">
        <v>5</v>
      </c>
      <c r="D64" s="74">
        <v>4</v>
      </c>
      <c r="E64" s="74">
        <v>1.25</v>
      </c>
      <c r="F64" s="74">
        <v>3</v>
      </c>
      <c r="G64" s="74" t="s">
        <v>47</v>
      </c>
      <c r="H64" s="74" t="s">
        <v>14551</v>
      </c>
      <c r="I64" s="74" t="s">
        <v>14552</v>
      </c>
      <c r="J64" s="74">
        <v>1.2</v>
      </c>
      <c r="K64" s="74" t="s">
        <v>14535</v>
      </c>
      <c r="L64" s="74" t="s">
        <v>14553</v>
      </c>
    </row>
    <row r="65" spans="1:12" ht="42.75">
      <c r="A65" s="48" t="s">
        <v>14539</v>
      </c>
      <c r="B65" s="48" t="s">
        <v>81</v>
      </c>
      <c r="C65" s="48">
        <v>1</v>
      </c>
      <c r="D65" s="48">
        <v>1</v>
      </c>
      <c r="E65" s="48">
        <v>0.6</v>
      </c>
      <c r="F65" s="48">
        <v>0</v>
      </c>
      <c r="G65" s="48" t="s">
        <v>48</v>
      </c>
      <c r="H65" s="48" t="s">
        <v>14551</v>
      </c>
      <c r="I65" s="48" t="s">
        <v>14552</v>
      </c>
      <c r="J65" s="48">
        <v>0.7</v>
      </c>
      <c r="K65" s="48" t="s">
        <v>14535</v>
      </c>
      <c r="L65" s="48" t="s">
        <v>14553</v>
      </c>
    </row>
    <row r="66" spans="1:12" ht="42.75">
      <c r="A66" s="74" t="s">
        <v>14539</v>
      </c>
      <c r="B66" s="74" t="s">
        <v>84</v>
      </c>
      <c r="C66" s="74">
        <v>5</v>
      </c>
      <c r="D66" s="74">
        <v>4.2</v>
      </c>
      <c r="E66" s="74">
        <v>1.35</v>
      </c>
      <c r="F66" s="74">
        <v>3.2</v>
      </c>
      <c r="G66" s="74" t="s">
        <v>46</v>
      </c>
      <c r="H66" s="74" t="s">
        <v>14551</v>
      </c>
      <c r="I66" s="74" t="s">
        <v>14552</v>
      </c>
      <c r="J66" s="74">
        <v>1.3</v>
      </c>
      <c r="K66" s="74" t="s">
        <v>14535</v>
      </c>
      <c r="L66" s="74" t="s">
        <v>14553</v>
      </c>
    </row>
    <row r="67" spans="1:12" ht="42.75">
      <c r="A67" s="48" t="s">
        <v>14539</v>
      </c>
      <c r="B67" s="48" t="s">
        <v>87</v>
      </c>
      <c r="C67" s="48">
        <v>5</v>
      </c>
      <c r="D67" s="48">
        <v>4</v>
      </c>
      <c r="E67" s="48">
        <v>1.25</v>
      </c>
      <c r="F67" s="48">
        <v>3</v>
      </c>
      <c r="G67" s="48" t="s">
        <v>47</v>
      </c>
      <c r="H67" s="48" t="s">
        <v>14551</v>
      </c>
      <c r="I67" s="48" t="s">
        <v>14552</v>
      </c>
      <c r="J67" s="48">
        <v>1.25</v>
      </c>
      <c r="K67" s="48" t="s">
        <v>14535</v>
      </c>
      <c r="L67" s="48" t="s">
        <v>14553</v>
      </c>
    </row>
    <row r="68" spans="1:12" ht="42.75">
      <c r="A68" s="74" t="s">
        <v>14539</v>
      </c>
      <c r="B68" s="74" t="s">
        <v>90</v>
      </c>
      <c r="C68" s="74">
        <v>3</v>
      </c>
      <c r="D68" s="74">
        <v>4</v>
      </c>
      <c r="E68" s="74">
        <v>1.1499999999999999</v>
      </c>
      <c r="F68" s="74">
        <v>3</v>
      </c>
      <c r="G68" s="74" t="s">
        <v>47</v>
      </c>
      <c r="H68" s="74" t="s">
        <v>14551</v>
      </c>
      <c r="I68" s="74" t="s">
        <v>14552</v>
      </c>
      <c r="J68" s="74">
        <v>1.1000000000000001</v>
      </c>
      <c r="K68" s="74" t="s">
        <v>14535</v>
      </c>
      <c r="L68" s="74" t="s">
        <v>14553</v>
      </c>
    </row>
    <row r="69" spans="1:12" ht="42.75">
      <c r="A69" s="48" t="s">
        <v>14539</v>
      </c>
      <c r="B69" s="48" t="s">
        <v>91</v>
      </c>
      <c r="C69" s="48">
        <v>5</v>
      </c>
      <c r="D69" s="48">
        <v>4</v>
      </c>
      <c r="E69" s="48">
        <v>1.25</v>
      </c>
      <c r="F69" s="48">
        <v>3</v>
      </c>
      <c r="G69" s="48" t="s">
        <v>47</v>
      </c>
      <c r="H69" s="48" t="s">
        <v>14551</v>
      </c>
      <c r="I69" s="48" t="s">
        <v>14552</v>
      </c>
      <c r="J69" s="48">
        <v>1.2</v>
      </c>
      <c r="K69" s="48" t="s">
        <v>14535</v>
      </c>
      <c r="L69" s="48" t="s">
        <v>14553</v>
      </c>
    </row>
    <row r="70" spans="1:12" ht="42.75">
      <c r="A70" s="74" t="s">
        <v>14539</v>
      </c>
      <c r="B70" s="74" t="s">
        <v>92</v>
      </c>
      <c r="C70" s="74">
        <v>4</v>
      </c>
      <c r="D70" s="74">
        <v>4</v>
      </c>
      <c r="E70" s="74">
        <v>1.1499999999999999</v>
      </c>
      <c r="F70" s="74">
        <v>3</v>
      </c>
      <c r="G70" s="74" t="s">
        <v>47</v>
      </c>
      <c r="H70" s="74" t="s">
        <v>14551</v>
      </c>
      <c r="I70" s="74" t="s">
        <v>14552</v>
      </c>
      <c r="J70" s="74">
        <v>1.1499999999999999</v>
      </c>
      <c r="K70" s="74" t="s">
        <v>14535</v>
      </c>
      <c r="L70" s="74" t="s">
        <v>14553</v>
      </c>
    </row>
    <row r="71" spans="1:12" ht="42.75">
      <c r="A71" s="48" t="s">
        <v>14539</v>
      </c>
      <c r="B71" s="48" t="s">
        <v>93</v>
      </c>
      <c r="C71" s="48">
        <v>5</v>
      </c>
      <c r="D71" s="48">
        <v>4.2</v>
      </c>
      <c r="E71" s="48">
        <v>1.35</v>
      </c>
      <c r="F71" s="48">
        <v>3.2</v>
      </c>
      <c r="G71" s="48" t="s">
        <v>46</v>
      </c>
      <c r="H71" s="48" t="s">
        <v>14551</v>
      </c>
      <c r="I71" s="48" t="s">
        <v>14552</v>
      </c>
      <c r="J71" s="48">
        <v>1.25</v>
      </c>
      <c r="K71" s="48" t="s">
        <v>14535</v>
      </c>
      <c r="L71" s="48" t="s">
        <v>14553</v>
      </c>
    </row>
    <row r="72" spans="1:12" ht="42.75">
      <c r="A72" s="74" t="s">
        <v>14539</v>
      </c>
      <c r="B72" s="74" t="s">
        <v>94</v>
      </c>
      <c r="C72" s="74">
        <v>3</v>
      </c>
      <c r="D72" s="74">
        <v>3.5</v>
      </c>
      <c r="E72" s="74">
        <v>1</v>
      </c>
      <c r="F72" s="74">
        <v>2.5</v>
      </c>
      <c r="G72" s="74" t="s">
        <v>48</v>
      </c>
      <c r="H72" s="74" t="s">
        <v>14551</v>
      </c>
      <c r="I72" s="74" t="s">
        <v>14552</v>
      </c>
      <c r="J72" s="74">
        <v>1</v>
      </c>
      <c r="K72" s="74" t="s">
        <v>14535</v>
      </c>
      <c r="L72" s="74" t="s">
        <v>14553</v>
      </c>
    </row>
    <row r="73" spans="1:12" ht="42.75">
      <c r="A73" s="48" t="s">
        <v>14540</v>
      </c>
      <c r="B73" s="48" t="s">
        <v>54</v>
      </c>
      <c r="C73" s="48">
        <v>3</v>
      </c>
      <c r="D73" s="48">
        <v>3.5</v>
      </c>
      <c r="E73" s="48">
        <v>1</v>
      </c>
      <c r="F73" s="48">
        <v>2.5</v>
      </c>
      <c r="G73" s="48" t="s">
        <v>48</v>
      </c>
      <c r="H73" s="48" t="s">
        <v>14554</v>
      </c>
      <c r="I73" s="48" t="s">
        <v>14555</v>
      </c>
      <c r="J73" s="48">
        <v>1</v>
      </c>
      <c r="K73" s="48" t="s">
        <v>14535</v>
      </c>
      <c r="L73" s="48" t="s">
        <v>14550</v>
      </c>
    </row>
    <row r="74" spans="1:12" ht="42.75">
      <c r="A74" s="74" t="s">
        <v>14540</v>
      </c>
      <c r="B74" s="74" t="s">
        <v>57</v>
      </c>
      <c r="C74" s="74">
        <v>3</v>
      </c>
      <c r="D74" s="74">
        <v>3.5</v>
      </c>
      <c r="E74" s="74">
        <v>1</v>
      </c>
      <c r="F74" s="74">
        <v>2.5</v>
      </c>
      <c r="G74" s="74" t="s">
        <v>48</v>
      </c>
      <c r="H74" s="74" t="s">
        <v>14554</v>
      </c>
      <c r="I74" s="74" t="s">
        <v>14555</v>
      </c>
      <c r="J74" s="74">
        <v>1</v>
      </c>
      <c r="K74" s="74" t="s">
        <v>14535</v>
      </c>
      <c r="L74" s="74" t="s">
        <v>14550</v>
      </c>
    </row>
    <row r="75" spans="1:12" ht="42.75">
      <c r="A75" s="48" t="s">
        <v>14540</v>
      </c>
      <c r="B75" s="48" t="s">
        <v>60</v>
      </c>
      <c r="C75" s="48">
        <v>3</v>
      </c>
      <c r="D75" s="48">
        <v>4</v>
      </c>
      <c r="E75" s="48">
        <v>1.1499999999999999</v>
      </c>
      <c r="F75" s="48">
        <v>3</v>
      </c>
      <c r="G75" s="48" t="s">
        <v>47</v>
      </c>
      <c r="H75" s="48" t="s">
        <v>14554</v>
      </c>
      <c r="I75" s="48" t="s">
        <v>14555</v>
      </c>
      <c r="J75" s="48">
        <v>1.1000000000000001</v>
      </c>
      <c r="K75" s="48" t="s">
        <v>14535</v>
      </c>
      <c r="L75" s="48" t="s">
        <v>14550</v>
      </c>
    </row>
    <row r="76" spans="1:12" ht="42.75">
      <c r="A76" s="74" t="s">
        <v>14540</v>
      </c>
      <c r="B76" s="74" t="s">
        <v>63</v>
      </c>
      <c r="C76" s="74">
        <v>3</v>
      </c>
      <c r="D76" s="74">
        <v>3.5</v>
      </c>
      <c r="E76" s="74">
        <v>1</v>
      </c>
      <c r="F76" s="74">
        <v>2.5</v>
      </c>
      <c r="G76" s="74" t="s">
        <v>48</v>
      </c>
      <c r="H76" s="74" t="s">
        <v>14554</v>
      </c>
      <c r="I76" s="74" t="s">
        <v>14555</v>
      </c>
      <c r="J76" s="74">
        <v>1</v>
      </c>
      <c r="K76" s="74" t="s">
        <v>14535</v>
      </c>
      <c r="L76" s="74" t="s">
        <v>14550</v>
      </c>
    </row>
    <row r="77" spans="1:12" ht="42.75">
      <c r="A77" s="48" t="s">
        <v>14540</v>
      </c>
      <c r="B77" s="48" t="s">
        <v>66</v>
      </c>
      <c r="C77" s="48">
        <v>3</v>
      </c>
      <c r="D77" s="48">
        <v>3.5</v>
      </c>
      <c r="E77" s="48">
        <v>1</v>
      </c>
      <c r="F77" s="48">
        <v>2.5</v>
      </c>
      <c r="G77" s="48" t="s">
        <v>48</v>
      </c>
      <c r="H77" s="48" t="s">
        <v>14554</v>
      </c>
      <c r="I77" s="48" t="s">
        <v>14555</v>
      </c>
      <c r="J77" s="48">
        <v>1</v>
      </c>
      <c r="K77" s="48" t="s">
        <v>14535</v>
      </c>
      <c r="L77" s="48" t="s">
        <v>14550</v>
      </c>
    </row>
    <row r="78" spans="1:12" ht="42.75">
      <c r="A78" s="74" t="s">
        <v>14540</v>
      </c>
      <c r="B78" s="74" t="s">
        <v>69</v>
      </c>
      <c r="C78" s="74">
        <v>3</v>
      </c>
      <c r="D78" s="74">
        <v>3.5</v>
      </c>
      <c r="E78" s="74">
        <v>1</v>
      </c>
      <c r="F78" s="74">
        <v>2.5</v>
      </c>
      <c r="G78" s="74" t="s">
        <v>48</v>
      </c>
      <c r="H78" s="74" t="s">
        <v>14554</v>
      </c>
      <c r="I78" s="74" t="s">
        <v>14555</v>
      </c>
      <c r="J78" s="74">
        <v>1</v>
      </c>
      <c r="K78" s="74" t="s">
        <v>14535</v>
      </c>
      <c r="L78" s="74" t="s">
        <v>14550</v>
      </c>
    </row>
    <row r="79" spans="1:12" ht="42.75">
      <c r="A79" s="48" t="s">
        <v>14540</v>
      </c>
      <c r="B79" s="48" t="s">
        <v>72</v>
      </c>
      <c r="C79" s="48">
        <v>4</v>
      </c>
      <c r="D79" s="48">
        <v>4</v>
      </c>
      <c r="E79" s="48">
        <v>1.25</v>
      </c>
      <c r="F79" s="48">
        <v>3</v>
      </c>
      <c r="G79" s="48" t="s">
        <v>47</v>
      </c>
      <c r="H79" s="48" t="s">
        <v>14554</v>
      </c>
      <c r="I79" s="48" t="s">
        <v>14555</v>
      </c>
      <c r="J79" s="48">
        <v>1.2</v>
      </c>
      <c r="K79" s="48" t="s">
        <v>14535</v>
      </c>
      <c r="L79" s="48" t="s">
        <v>14550</v>
      </c>
    </row>
    <row r="80" spans="1:12" ht="42.75">
      <c r="A80" s="74" t="s">
        <v>14540</v>
      </c>
      <c r="B80" s="74" t="s">
        <v>75</v>
      </c>
      <c r="C80" s="74">
        <v>5</v>
      </c>
      <c r="D80" s="74">
        <v>4.3</v>
      </c>
      <c r="E80" s="74">
        <v>1.4</v>
      </c>
      <c r="F80" s="74">
        <v>3.3</v>
      </c>
      <c r="G80" s="74" t="s">
        <v>46</v>
      </c>
      <c r="H80" s="74" t="s">
        <v>14554</v>
      </c>
      <c r="I80" s="74" t="s">
        <v>14555</v>
      </c>
      <c r="J80" s="74">
        <v>1.35</v>
      </c>
      <c r="K80" s="74" t="s">
        <v>14535</v>
      </c>
      <c r="L80" s="74" t="s">
        <v>14550</v>
      </c>
    </row>
    <row r="81" spans="1:12" ht="42.75">
      <c r="A81" s="48" t="s">
        <v>14540</v>
      </c>
      <c r="B81" s="48" t="s">
        <v>78</v>
      </c>
      <c r="C81" s="48">
        <v>5</v>
      </c>
      <c r="D81" s="48">
        <v>4.3</v>
      </c>
      <c r="E81" s="48">
        <v>1.45</v>
      </c>
      <c r="F81" s="48">
        <v>3.3</v>
      </c>
      <c r="G81" s="48" t="s">
        <v>46</v>
      </c>
      <c r="H81" s="48" t="s">
        <v>14554</v>
      </c>
      <c r="I81" s="48" t="s">
        <v>14555</v>
      </c>
      <c r="J81" s="48">
        <v>1.35</v>
      </c>
      <c r="K81" s="48" t="s">
        <v>14535</v>
      </c>
      <c r="L81" s="48" t="s">
        <v>14550</v>
      </c>
    </row>
    <row r="82" spans="1:12" ht="42.75">
      <c r="A82" s="74" t="s">
        <v>14540</v>
      </c>
      <c r="B82" s="74" t="s">
        <v>81</v>
      </c>
      <c r="C82" s="74">
        <v>1</v>
      </c>
      <c r="D82" s="74">
        <v>1</v>
      </c>
      <c r="E82" s="74">
        <v>0.6</v>
      </c>
      <c r="F82" s="74">
        <v>0</v>
      </c>
      <c r="G82" s="74" t="s">
        <v>48</v>
      </c>
      <c r="H82" s="74" t="s">
        <v>14554</v>
      </c>
      <c r="I82" s="74" t="s">
        <v>14555</v>
      </c>
      <c r="J82" s="74">
        <v>0.7</v>
      </c>
      <c r="K82" s="74" t="s">
        <v>14535</v>
      </c>
      <c r="L82" s="74" t="s">
        <v>14550</v>
      </c>
    </row>
    <row r="83" spans="1:12" ht="42.75">
      <c r="A83" s="48" t="s">
        <v>14540</v>
      </c>
      <c r="B83" s="48" t="s">
        <v>84</v>
      </c>
      <c r="C83" s="48">
        <v>3</v>
      </c>
      <c r="D83" s="48">
        <v>3.5</v>
      </c>
      <c r="E83" s="48">
        <v>1</v>
      </c>
      <c r="F83" s="48">
        <v>2.5</v>
      </c>
      <c r="G83" s="48" t="s">
        <v>48</v>
      </c>
      <c r="H83" s="48" t="s">
        <v>14554</v>
      </c>
      <c r="I83" s="48" t="s">
        <v>14555</v>
      </c>
      <c r="J83" s="48">
        <v>1</v>
      </c>
      <c r="K83" s="48" t="s">
        <v>14535</v>
      </c>
      <c r="L83" s="48" t="s">
        <v>14550</v>
      </c>
    </row>
    <row r="84" spans="1:12" ht="42.75">
      <c r="A84" s="74" t="s">
        <v>14540</v>
      </c>
      <c r="B84" s="74" t="s">
        <v>87</v>
      </c>
      <c r="C84" s="74">
        <v>3</v>
      </c>
      <c r="D84" s="74">
        <v>3.5</v>
      </c>
      <c r="E84" s="74">
        <v>1</v>
      </c>
      <c r="F84" s="74">
        <v>2.5</v>
      </c>
      <c r="G84" s="74" t="s">
        <v>48</v>
      </c>
      <c r="H84" s="74" t="s">
        <v>14554</v>
      </c>
      <c r="I84" s="74" t="s">
        <v>14555</v>
      </c>
      <c r="J84" s="74">
        <v>1</v>
      </c>
      <c r="K84" s="74" t="s">
        <v>14535</v>
      </c>
      <c r="L84" s="74" t="s">
        <v>14550</v>
      </c>
    </row>
    <row r="85" spans="1:12" ht="42.75">
      <c r="A85" s="48" t="s">
        <v>14540</v>
      </c>
      <c r="B85" s="48" t="s">
        <v>90</v>
      </c>
      <c r="C85" s="48">
        <v>4</v>
      </c>
      <c r="D85" s="48">
        <v>3.8</v>
      </c>
      <c r="E85" s="48">
        <v>1.1499999999999999</v>
      </c>
      <c r="F85" s="48">
        <v>2.8</v>
      </c>
      <c r="G85" s="48" t="s">
        <v>47</v>
      </c>
      <c r="H85" s="48" t="s">
        <v>14554</v>
      </c>
      <c r="I85" s="48" t="s">
        <v>14555</v>
      </c>
      <c r="J85" s="48">
        <v>1.1000000000000001</v>
      </c>
      <c r="K85" s="48" t="s">
        <v>14535</v>
      </c>
      <c r="L85" s="48" t="s">
        <v>14550</v>
      </c>
    </row>
    <row r="86" spans="1:12" ht="42.75">
      <c r="A86" s="74" t="s">
        <v>14540</v>
      </c>
      <c r="B86" s="74" t="s">
        <v>91</v>
      </c>
      <c r="C86" s="74">
        <v>4</v>
      </c>
      <c r="D86" s="74">
        <v>4</v>
      </c>
      <c r="E86" s="74">
        <v>1.2</v>
      </c>
      <c r="F86" s="74">
        <v>3</v>
      </c>
      <c r="G86" s="74" t="s">
        <v>47</v>
      </c>
      <c r="H86" s="74" t="s">
        <v>14554</v>
      </c>
      <c r="I86" s="74" t="s">
        <v>14555</v>
      </c>
      <c r="J86" s="74">
        <v>1.1499999999999999</v>
      </c>
      <c r="K86" s="74" t="s">
        <v>14535</v>
      </c>
      <c r="L86" s="74" t="s">
        <v>14550</v>
      </c>
    </row>
    <row r="87" spans="1:12" ht="42.75">
      <c r="A87" s="48" t="s">
        <v>14540</v>
      </c>
      <c r="B87" s="48" t="s">
        <v>92</v>
      </c>
      <c r="C87" s="48">
        <v>4</v>
      </c>
      <c r="D87" s="48">
        <v>3.8</v>
      </c>
      <c r="E87" s="48">
        <v>1.1499999999999999</v>
      </c>
      <c r="F87" s="48">
        <v>2.8</v>
      </c>
      <c r="G87" s="48" t="s">
        <v>47</v>
      </c>
      <c r="H87" s="48" t="s">
        <v>14554</v>
      </c>
      <c r="I87" s="48" t="s">
        <v>14555</v>
      </c>
      <c r="J87" s="48">
        <v>1.1000000000000001</v>
      </c>
      <c r="K87" s="48" t="s">
        <v>14535</v>
      </c>
      <c r="L87" s="48" t="s">
        <v>14550</v>
      </c>
    </row>
    <row r="88" spans="1:12" ht="42.75">
      <c r="A88" s="74" t="s">
        <v>14540</v>
      </c>
      <c r="B88" s="74" t="s">
        <v>93</v>
      </c>
      <c r="C88" s="74">
        <v>3</v>
      </c>
      <c r="D88" s="74">
        <v>4</v>
      </c>
      <c r="E88" s="74">
        <v>1.1499999999999999</v>
      </c>
      <c r="F88" s="74">
        <v>3</v>
      </c>
      <c r="G88" s="74" t="s">
        <v>47</v>
      </c>
      <c r="H88" s="74" t="s">
        <v>14554</v>
      </c>
      <c r="I88" s="74" t="s">
        <v>14555</v>
      </c>
      <c r="J88" s="74">
        <v>1.1000000000000001</v>
      </c>
      <c r="K88" s="74" t="s">
        <v>14535</v>
      </c>
      <c r="L88" s="74" t="s">
        <v>14550</v>
      </c>
    </row>
    <row r="89" spans="1:12" ht="42.75">
      <c r="A89" s="48" t="s">
        <v>14540</v>
      </c>
      <c r="B89" s="48" t="s">
        <v>94</v>
      </c>
      <c r="C89" s="48">
        <v>3</v>
      </c>
      <c r="D89" s="48">
        <v>3.5</v>
      </c>
      <c r="E89" s="48">
        <v>1</v>
      </c>
      <c r="F89" s="48">
        <v>2.5</v>
      </c>
      <c r="G89" s="48" t="s">
        <v>48</v>
      </c>
      <c r="H89" s="48" t="s">
        <v>14554</v>
      </c>
      <c r="I89" s="48" t="s">
        <v>14555</v>
      </c>
      <c r="J89" s="48">
        <v>1</v>
      </c>
      <c r="K89" s="48" t="s">
        <v>14535</v>
      </c>
      <c r="L89" s="48" t="s">
        <v>14550</v>
      </c>
    </row>
    <row r="90" spans="1:12" ht="42.75">
      <c r="A90" s="74" t="s">
        <v>14541</v>
      </c>
      <c r="B90" s="74" t="s">
        <v>54</v>
      </c>
      <c r="C90" s="74">
        <v>3</v>
      </c>
      <c r="D90" s="74">
        <v>3.5</v>
      </c>
      <c r="E90" s="74">
        <v>1</v>
      </c>
      <c r="F90" s="74">
        <v>2.5</v>
      </c>
      <c r="G90" s="74" t="s">
        <v>48</v>
      </c>
      <c r="H90" s="74" t="s">
        <v>14556</v>
      </c>
      <c r="I90" s="74" t="s">
        <v>14557</v>
      </c>
      <c r="J90" s="74">
        <v>1</v>
      </c>
      <c r="K90" s="74" t="s">
        <v>14535</v>
      </c>
      <c r="L90" s="74" t="s">
        <v>14558</v>
      </c>
    </row>
    <row r="91" spans="1:12" ht="42.75">
      <c r="A91" s="48" t="s">
        <v>14541</v>
      </c>
      <c r="B91" s="48" t="s">
        <v>57</v>
      </c>
      <c r="C91" s="48">
        <v>3</v>
      </c>
      <c r="D91" s="48">
        <v>3.5</v>
      </c>
      <c r="E91" s="48">
        <v>1</v>
      </c>
      <c r="F91" s="48">
        <v>2.5</v>
      </c>
      <c r="G91" s="48" t="s">
        <v>48</v>
      </c>
      <c r="H91" s="48" t="s">
        <v>14556</v>
      </c>
      <c r="I91" s="48" t="s">
        <v>14557</v>
      </c>
      <c r="J91" s="48">
        <v>1</v>
      </c>
      <c r="K91" s="48" t="s">
        <v>14535</v>
      </c>
      <c r="L91" s="48" t="s">
        <v>14558</v>
      </c>
    </row>
    <row r="92" spans="1:12" ht="42.75">
      <c r="A92" s="74" t="s">
        <v>14541</v>
      </c>
      <c r="B92" s="74" t="s">
        <v>60</v>
      </c>
      <c r="C92" s="74">
        <v>3</v>
      </c>
      <c r="D92" s="74">
        <v>4</v>
      </c>
      <c r="E92" s="74">
        <v>1.1499999999999999</v>
      </c>
      <c r="F92" s="74">
        <v>3</v>
      </c>
      <c r="G92" s="74" t="s">
        <v>47</v>
      </c>
      <c r="H92" s="74" t="s">
        <v>14556</v>
      </c>
      <c r="I92" s="74" t="s">
        <v>14557</v>
      </c>
      <c r="J92" s="74">
        <v>1.1000000000000001</v>
      </c>
      <c r="K92" s="74" t="s">
        <v>14535</v>
      </c>
      <c r="L92" s="74" t="s">
        <v>14558</v>
      </c>
    </row>
    <row r="93" spans="1:12" ht="42.75">
      <c r="A93" s="48" t="s">
        <v>14541</v>
      </c>
      <c r="B93" s="48" t="s">
        <v>63</v>
      </c>
      <c r="C93" s="48">
        <v>3</v>
      </c>
      <c r="D93" s="48">
        <v>3.5</v>
      </c>
      <c r="E93" s="48">
        <v>1</v>
      </c>
      <c r="F93" s="48">
        <v>2.5</v>
      </c>
      <c r="G93" s="48" t="s">
        <v>48</v>
      </c>
      <c r="H93" s="48" t="s">
        <v>14556</v>
      </c>
      <c r="I93" s="48" t="s">
        <v>14557</v>
      </c>
      <c r="J93" s="48">
        <v>1</v>
      </c>
      <c r="K93" s="48" t="s">
        <v>14535</v>
      </c>
      <c r="L93" s="48" t="s">
        <v>14558</v>
      </c>
    </row>
    <row r="94" spans="1:12" ht="42.75">
      <c r="A94" s="74" t="s">
        <v>14541</v>
      </c>
      <c r="B94" s="74" t="s">
        <v>66</v>
      </c>
      <c r="C94" s="74">
        <v>3</v>
      </c>
      <c r="D94" s="74">
        <v>3.5</v>
      </c>
      <c r="E94" s="74">
        <v>1</v>
      </c>
      <c r="F94" s="74">
        <v>2.5</v>
      </c>
      <c r="G94" s="74" t="s">
        <v>48</v>
      </c>
      <c r="H94" s="74" t="s">
        <v>14556</v>
      </c>
      <c r="I94" s="74" t="s">
        <v>14557</v>
      </c>
      <c r="J94" s="74">
        <v>1</v>
      </c>
      <c r="K94" s="74" t="s">
        <v>14535</v>
      </c>
      <c r="L94" s="74" t="s">
        <v>14558</v>
      </c>
    </row>
    <row r="95" spans="1:12" ht="42.75">
      <c r="A95" s="48" t="s">
        <v>14541</v>
      </c>
      <c r="B95" s="48" t="s">
        <v>69</v>
      </c>
      <c r="C95" s="48">
        <v>5</v>
      </c>
      <c r="D95" s="48">
        <v>4.5</v>
      </c>
      <c r="E95" s="48">
        <v>1.45</v>
      </c>
      <c r="F95" s="48">
        <v>3.5</v>
      </c>
      <c r="G95" s="48" t="s">
        <v>46</v>
      </c>
      <c r="H95" s="48" t="s">
        <v>14556</v>
      </c>
      <c r="I95" s="48" t="s">
        <v>14557</v>
      </c>
      <c r="J95" s="48">
        <v>1.3</v>
      </c>
      <c r="K95" s="48" t="s">
        <v>14535</v>
      </c>
      <c r="L95" s="48" t="s">
        <v>14558</v>
      </c>
    </row>
    <row r="96" spans="1:12" ht="42.75">
      <c r="A96" s="74" t="s">
        <v>14541</v>
      </c>
      <c r="B96" s="74" t="s">
        <v>72</v>
      </c>
      <c r="C96" s="74">
        <v>5</v>
      </c>
      <c r="D96" s="74">
        <v>4.3</v>
      </c>
      <c r="E96" s="74">
        <v>1.35</v>
      </c>
      <c r="F96" s="74">
        <v>3.3</v>
      </c>
      <c r="G96" s="74" t="s">
        <v>46</v>
      </c>
      <c r="H96" s="74" t="s">
        <v>14556</v>
      </c>
      <c r="I96" s="74" t="s">
        <v>14557</v>
      </c>
      <c r="J96" s="74">
        <v>1.25</v>
      </c>
      <c r="K96" s="74" t="s">
        <v>14535</v>
      </c>
      <c r="L96" s="74" t="s">
        <v>14558</v>
      </c>
    </row>
    <row r="97" spans="1:12" ht="42.75">
      <c r="A97" s="48" t="s">
        <v>14541</v>
      </c>
      <c r="B97" s="48" t="s">
        <v>75</v>
      </c>
      <c r="C97" s="48">
        <v>3</v>
      </c>
      <c r="D97" s="48">
        <v>3.5</v>
      </c>
      <c r="E97" s="48">
        <v>1</v>
      </c>
      <c r="F97" s="48">
        <v>2.5</v>
      </c>
      <c r="G97" s="48" t="s">
        <v>48</v>
      </c>
      <c r="H97" s="48" t="s">
        <v>14556</v>
      </c>
      <c r="I97" s="48" t="s">
        <v>14557</v>
      </c>
      <c r="J97" s="48">
        <v>1</v>
      </c>
      <c r="K97" s="48" t="s">
        <v>14535</v>
      </c>
      <c r="L97" s="48" t="s">
        <v>14558</v>
      </c>
    </row>
    <row r="98" spans="1:12" ht="42.75">
      <c r="A98" s="74" t="s">
        <v>14541</v>
      </c>
      <c r="B98" s="74" t="s">
        <v>78</v>
      </c>
      <c r="C98" s="74">
        <v>4</v>
      </c>
      <c r="D98" s="74">
        <v>4</v>
      </c>
      <c r="E98" s="74">
        <v>1.2</v>
      </c>
      <c r="F98" s="74">
        <v>3</v>
      </c>
      <c r="G98" s="74" t="s">
        <v>47</v>
      </c>
      <c r="H98" s="74" t="s">
        <v>14556</v>
      </c>
      <c r="I98" s="74" t="s">
        <v>14557</v>
      </c>
      <c r="J98" s="74">
        <v>1.1499999999999999</v>
      </c>
      <c r="K98" s="74" t="s">
        <v>14535</v>
      </c>
      <c r="L98" s="74" t="s">
        <v>14558</v>
      </c>
    </row>
    <row r="99" spans="1:12" ht="42.75">
      <c r="A99" s="48" t="s">
        <v>14541</v>
      </c>
      <c r="B99" s="48" t="s">
        <v>81</v>
      </c>
      <c r="C99" s="48">
        <v>3</v>
      </c>
      <c r="D99" s="48">
        <v>3.5</v>
      </c>
      <c r="E99" s="48">
        <v>1</v>
      </c>
      <c r="F99" s="48">
        <v>2.5</v>
      </c>
      <c r="G99" s="48" t="s">
        <v>48</v>
      </c>
      <c r="H99" s="48" t="s">
        <v>14556</v>
      </c>
      <c r="I99" s="48" t="s">
        <v>14557</v>
      </c>
      <c r="J99" s="48">
        <v>1</v>
      </c>
      <c r="K99" s="48" t="s">
        <v>14535</v>
      </c>
      <c r="L99" s="48" t="s">
        <v>14558</v>
      </c>
    </row>
    <row r="100" spans="1:12" ht="42.75">
      <c r="A100" s="74" t="s">
        <v>14541</v>
      </c>
      <c r="B100" s="74" t="s">
        <v>84</v>
      </c>
      <c r="C100" s="74">
        <v>3</v>
      </c>
      <c r="D100" s="74">
        <v>3.5</v>
      </c>
      <c r="E100" s="74">
        <v>1</v>
      </c>
      <c r="F100" s="74">
        <v>2.5</v>
      </c>
      <c r="G100" s="74" t="s">
        <v>48</v>
      </c>
      <c r="H100" s="74" t="s">
        <v>14556</v>
      </c>
      <c r="I100" s="74" t="s">
        <v>14557</v>
      </c>
      <c r="J100" s="74">
        <v>1</v>
      </c>
      <c r="K100" s="74" t="s">
        <v>14535</v>
      </c>
      <c r="L100" s="74" t="s">
        <v>14558</v>
      </c>
    </row>
    <row r="101" spans="1:12" ht="42.75">
      <c r="A101" s="48" t="s">
        <v>14541</v>
      </c>
      <c r="B101" s="48" t="s">
        <v>87</v>
      </c>
      <c r="C101" s="48">
        <v>3</v>
      </c>
      <c r="D101" s="48">
        <v>3.5</v>
      </c>
      <c r="E101" s="48">
        <v>1</v>
      </c>
      <c r="F101" s="48">
        <v>2.5</v>
      </c>
      <c r="G101" s="48" t="s">
        <v>48</v>
      </c>
      <c r="H101" s="48" t="s">
        <v>14556</v>
      </c>
      <c r="I101" s="48" t="s">
        <v>14557</v>
      </c>
      <c r="J101" s="48">
        <v>1</v>
      </c>
      <c r="K101" s="48" t="s">
        <v>14535</v>
      </c>
      <c r="L101" s="48" t="s">
        <v>14558</v>
      </c>
    </row>
    <row r="102" spans="1:12" ht="42.75">
      <c r="A102" s="74" t="s">
        <v>14541</v>
      </c>
      <c r="B102" s="74" t="s">
        <v>90</v>
      </c>
      <c r="C102" s="74">
        <v>3</v>
      </c>
      <c r="D102" s="74">
        <v>4</v>
      </c>
      <c r="E102" s="74">
        <v>1.1499999999999999</v>
      </c>
      <c r="F102" s="74">
        <v>3</v>
      </c>
      <c r="G102" s="74" t="s">
        <v>47</v>
      </c>
      <c r="H102" s="74" t="s">
        <v>14556</v>
      </c>
      <c r="I102" s="74" t="s">
        <v>14557</v>
      </c>
      <c r="J102" s="74">
        <v>1.1000000000000001</v>
      </c>
      <c r="K102" s="74" t="s">
        <v>14535</v>
      </c>
      <c r="L102" s="74" t="s">
        <v>14558</v>
      </c>
    </row>
    <row r="103" spans="1:12" ht="42.75">
      <c r="A103" s="48" t="s">
        <v>14541</v>
      </c>
      <c r="B103" s="48" t="s">
        <v>91</v>
      </c>
      <c r="C103" s="48">
        <v>4</v>
      </c>
      <c r="D103" s="48">
        <v>4.2</v>
      </c>
      <c r="E103" s="48">
        <v>1.25</v>
      </c>
      <c r="F103" s="48">
        <v>3.2</v>
      </c>
      <c r="G103" s="48" t="s">
        <v>47</v>
      </c>
      <c r="H103" s="48" t="s">
        <v>14556</v>
      </c>
      <c r="I103" s="48" t="s">
        <v>14557</v>
      </c>
      <c r="J103" s="48">
        <v>1.2</v>
      </c>
      <c r="K103" s="48" t="s">
        <v>14535</v>
      </c>
      <c r="L103" s="48" t="s">
        <v>14558</v>
      </c>
    </row>
    <row r="104" spans="1:12" ht="42.75">
      <c r="A104" s="74" t="s">
        <v>14541</v>
      </c>
      <c r="B104" s="74" t="s">
        <v>92</v>
      </c>
      <c r="C104" s="74">
        <v>4</v>
      </c>
      <c r="D104" s="74">
        <v>4</v>
      </c>
      <c r="E104" s="74">
        <v>1.2</v>
      </c>
      <c r="F104" s="74">
        <v>3</v>
      </c>
      <c r="G104" s="74" t="s">
        <v>47</v>
      </c>
      <c r="H104" s="74" t="s">
        <v>14556</v>
      </c>
      <c r="I104" s="74" t="s">
        <v>14557</v>
      </c>
      <c r="J104" s="74">
        <v>1.1499999999999999</v>
      </c>
      <c r="K104" s="74" t="s">
        <v>14535</v>
      </c>
      <c r="L104" s="74" t="s">
        <v>14558</v>
      </c>
    </row>
    <row r="105" spans="1:12" ht="42.75">
      <c r="A105" s="48" t="s">
        <v>14541</v>
      </c>
      <c r="B105" s="48" t="s">
        <v>93</v>
      </c>
      <c r="C105" s="48">
        <v>5</v>
      </c>
      <c r="D105" s="48">
        <v>4.5</v>
      </c>
      <c r="E105" s="48">
        <v>1.45</v>
      </c>
      <c r="F105" s="48">
        <v>3.5</v>
      </c>
      <c r="G105" s="48" t="s">
        <v>46</v>
      </c>
      <c r="H105" s="48" t="s">
        <v>14556</v>
      </c>
      <c r="I105" s="48" t="s">
        <v>14557</v>
      </c>
      <c r="J105" s="48">
        <v>1.3</v>
      </c>
      <c r="K105" s="48" t="s">
        <v>14535</v>
      </c>
      <c r="L105" s="48" t="s">
        <v>14558</v>
      </c>
    </row>
    <row r="106" spans="1:12" ht="42.75">
      <c r="A106" s="74" t="s">
        <v>14541</v>
      </c>
      <c r="B106" s="74" t="s">
        <v>94</v>
      </c>
      <c r="C106" s="74">
        <v>5</v>
      </c>
      <c r="D106" s="74">
        <v>4.3</v>
      </c>
      <c r="E106" s="74">
        <v>1.35</v>
      </c>
      <c r="F106" s="74">
        <v>3.3</v>
      </c>
      <c r="G106" s="74" t="s">
        <v>46</v>
      </c>
      <c r="H106" s="74" t="s">
        <v>14556</v>
      </c>
      <c r="I106" s="74" t="s">
        <v>14557</v>
      </c>
      <c r="J106" s="74">
        <v>1.25</v>
      </c>
      <c r="K106" s="74" t="s">
        <v>14535</v>
      </c>
      <c r="L106" s="74" t="s">
        <v>14558</v>
      </c>
    </row>
    <row r="107" spans="1:12" ht="42.75">
      <c r="A107" s="48" t="s">
        <v>14542</v>
      </c>
      <c r="B107" s="48" t="s">
        <v>54</v>
      </c>
      <c r="C107" s="48">
        <v>3</v>
      </c>
      <c r="D107" s="48">
        <v>3.5</v>
      </c>
      <c r="E107" s="48">
        <v>1</v>
      </c>
      <c r="F107" s="48">
        <v>2.5</v>
      </c>
      <c r="G107" s="48" t="s">
        <v>48</v>
      </c>
      <c r="H107" s="48" t="s">
        <v>14559</v>
      </c>
      <c r="I107" s="48" t="s">
        <v>14560</v>
      </c>
      <c r="J107" s="48">
        <v>1</v>
      </c>
      <c r="K107" s="48" t="s">
        <v>14535</v>
      </c>
      <c r="L107" s="48" t="s">
        <v>14561</v>
      </c>
    </row>
    <row r="108" spans="1:12" ht="42.75">
      <c r="A108" s="74" t="s">
        <v>14542</v>
      </c>
      <c r="B108" s="74" t="s">
        <v>57</v>
      </c>
      <c r="C108" s="74">
        <v>3</v>
      </c>
      <c r="D108" s="74">
        <v>3.5</v>
      </c>
      <c r="E108" s="74">
        <v>1</v>
      </c>
      <c r="F108" s="74">
        <v>2.5</v>
      </c>
      <c r="G108" s="74" t="s">
        <v>48</v>
      </c>
      <c r="H108" s="74" t="s">
        <v>14559</v>
      </c>
      <c r="I108" s="74" t="s">
        <v>14560</v>
      </c>
      <c r="J108" s="74">
        <v>1</v>
      </c>
      <c r="K108" s="74" t="s">
        <v>14535</v>
      </c>
      <c r="L108" s="74" t="s">
        <v>14561</v>
      </c>
    </row>
    <row r="109" spans="1:12" ht="42.75">
      <c r="A109" s="48" t="s">
        <v>14542</v>
      </c>
      <c r="B109" s="48" t="s">
        <v>60</v>
      </c>
      <c r="C109" s="48">
        <v>5</v>
      </c>
      <c r="D109" s="48">
        <v>4.5</v>
      </c>
      <c r="E109" s="48">
        <v>1.45</v>
      </c>
      <c r="F109" s="48">
        <v>3.5</v>
      </c>
      <c r="G109" s="48" t="s">
        <v>46</v>
      </c>
      <c r="H109" s="48" t="s">
        <v>14559</v>
      </c>
      <c r="I109" s="48" t="s">
        <v>14560</v>
      </c>
      <c r="J109" s="48">
        <v>1.35</v>
      </c>
      <c r="K109" s="48" t="s">
        <v>14535</v>
      </c>
      <c r="L109" s="48" t="s">
        <v>14561</v>
      </c>
    </row>
    <row r="110" spans="1:12" ht="42.75">
      <c r="A110" s="74" t="s">
        <v>14542</v>
      </c>
      <c r="B110" s="74" t="s">
        <v>63</v>
      </c>
      <c r="C110" s="74">
        <v>3</v>
      </c>
      <c r="D110" s="74">
        <v>3.5</v>
      </c>
      <c r="E110" s="74">
        <v>1</v>
      </c>
      <c r="F110" s="74">
        <v>2.5</v>
      </c>
      <c r="G110" s="74" t="s">
        <v>48</v>
      </c>
      <c r="H110" s="74" t="s">
        <v>14559</v>
      </c>
      <c r="I110" s="74" t="s">
        <v>14560</v>
      </c>
      <c r="J110" s="74">
        <v>1</v>
      </c>
      <c r="K110" s="74" t="s">
        <v>14535</v>
      </c>
      <c r="L110" s="74" t="s">
        <v>14561</v>
      </c>
    </row>
    <row r="111" spans="1:12" ht="42.75">
      <c r="A111" s="48" t="s">
        <v>14542</v>
      </c>
      <c r="B111" s="48" t="s">
        <v>66</v>
      </c>
      <c r="C111" s="48">
        <v>3</v>
      </c>
      <c r="D111" s="48">
        <v>3.5</v>
      </c>
      <c r="E111" s="48">
        <v>1</v>
      </c>
      <c r="F111" s="48">
        <v>2.5</v>
      </c>
      <c r="G111" s="48" t="s">
        <v>48</v>
      </c>
      <c r="H111" s="48" t="s">
        <v>14559</v>
      </c>
      <c r="I111" s="48" t="s">
        <v>14560</v>
      </c>
      <c r="J111" s="48">
        <v>1</v>
      </c>
      <c r="K111" s="48" t="s">
        <v>14535</v>
      </c>
      <c r="L111" s="48" t="s">
        <v>14561</v>
      </c>
    </row>
    <row r="112" spans="1:12" ht="42.75">
      <c r="A112" s="74" t="s">
        <v>14542</v>
      </c>
      <c r="B112" s="74" t="s">
        <v>69</v>
      </c>
      <c r="C112" s="74">
        <v>3</v>
      </c>
      <c r="D112" s="74">
        <v>3.5</v>
      </c>
      <c r="E112" s="74">
        <v>1</v>
      </c>
      <c r="F112" s="74">
        <v>2.5</v>
      </c>
      <c r="G112" s="74" t="s">
        <v>48</v>
      </c>
      <c r="H112" s="74" t="s">
        <v>14559</v>
      </c>
      <c r="I112" s="74" t="s">
        <v>14560</v>
      </c>
      <c r="J112" s="74">
        <v>1</v>
      </c>
      <c r="K112" s="74" t="s">
        <v>14535</v>
      </c>
      <c r="L112" s="74" t="s">
        <v>14561</v>
      </c>
    </row>
    <row r="113" spans="1:12" ht="42.75">
      <c r="A113" s="48" t="s">
        <v>14542</v>
      </c>
      <c r="B113" s="48" t="s">
        <v>72</v>
      </c>
      <c r="C113" s="48">
        <v>5</v>
      </c>
      <c r="D113" s="48">
        <v>4.5</v>
      </c>
      <c r="E113" s="48">
        <v>1.5</v>
      </c>
      <c r="F113" s="48">
        <v>3.5</v>
      </c>
      <c r="G113" s="48" t="s">
        <v>46</v>
      </c>
      <c r="H113" s="48" t="s">
        <v>14559</v>
      </c>
      <c r="I113" s="48" t="s">
        <v>14560</v>
      </c>
      <c r="J113" s="48">
        <v>1.35</v>
      </c>
      <c r="K113" s="48" t="s">
        <v>14535</v>
      </c>
      <c r="L113" s="48" t="s">
        <v>14561</v>
      </c>
    </row>
    <row r="114" spans="1:12" ht="42.75">
      <c r="A114" s="74" t="s">
        <v>14542</v>
      </c>
      <c r="B114" s="74" t="s">
        <v>75</v>
      </c>
      <c r="C114" s="74">
        <v>5</v>
      </c>
      <c r="D114" s="74">
        <v>4.2</v>
      </c>
      <c r="E114" s="74">
        <v>1.35</v>
      </c>
      <c r="F114" s="74">
        <v>3.2</v>
      </c>
      <c r="G114" s="74" t="s">
        <v>46</v>
      </c>
      <c r="H114" s="74" t="s">
        <v>14559</v>
      </c>
      <c r="I114" s="74" t="s">
        <v>14560</v>
      </c>
      <c r="J114" s="74">
        <v>1.25</v>
      </c>
      <c r="K114" s="74" t="s">
        <v>14535</v>
      </c>
      <c r="L114" s="74" t="s">
        <v>14561</v>
      </c>
    </row>
    <row r="115" spans="1:12" ht="42.75">
      <c r="A115" s="48" t="s">
        <v>14542</v>
      </c>
      <c r="B115" s="48" t="s">
        <v>78</v>
      </c>
      <c r="C115" s="48">
        <v>4</v>
      </c>
      <c r="D115" s="48">
        <v>4</v>
      </c>
      <c r="E115" s="48">
        <v>1.25</v>
      </c>
      <c r="F115" s="48">
        <v>3</v>
      </c>
      <c r="G115" s="48" t="s">
        <v>47</v>
      </c>
      <c r="H115" s="48" t="s">
        <v>14559</v>
      </c>
      <c r="I115" s="48" t="s">
        <v>14560</v>
      </c>
      <c r="J115" s="48">
        <v>1.2</v>
      </c>
      <c r="K115" s="48" t="s">
        <v>14535</v>
      </c>
      <c r="L115" s="48" t="s">
        <v>14561</v>
      </c>
    </row>
    <row r="116" spans="1:12" ht="42.75">
      <c r="A116" s="74" t="s">
        <v>14542</v>
      </c>
      <c r="B116" s="74" t="s">
        <v>81</v>
      </c>
      <c r="C116" s="74">
        <v>3</v>
      </c>
      <c r="D116" s="74">
        <v>3.5</v>
      </c>
      <c r="E116" s="74">
        <v>1</v>
      </c>
      <c r="F116" s="74">
        <v>2.5</v>
      </c>
      <c r="G116" s="74" t="s">
        <v>48</v>
      </c>
      <c r="H116" s="74" t="s">
        <v>14559</v>
      </c>
      <c r="I116" s="74" t="s">
        <v>14560</v>
      </c>
      <c r="J116" s="74">
        <v>1</v>
      </c>
      <c r="K116" s="74" t="s">
        <v>14535</v>
      </c>
      <c r="L116" s="74" t="s">
        <v>14561</v>
      </c>
    </row>
    <row r="117" spans="1:12" ht="42.75">
      <c r="A117" s="48" t="s">
        <v>14542</v>
      </c>
      <c r="B117" s="48" t="s">
        <v>84</v>
      </c>
      <c r="C117" s="48">
        <v>3</v>
      </c>
      <c r="D117" s="48">
        <v>3.5</v>
      </c>
      <c r="E117" s="48">
        <v>1</v>
      </c>
      <c r="F117" s="48">
        <v>2.5</v>
      </c>
      <c r="G117" s="48" t="s">
        <v>48</v>
      </c>
      <c r="H117" s="48" t="s">
        <v>14559</v>
      </c>
      <c r="I117" s="48" t="s">
        <v>14560</v>
      </c>
      <c r="J117" s="48">
        <v>1</v>
      </c>
      <c r="K117" s="48" t="s">
        <v>14535</v>
      </c>
      <c r="L117" s="48" t="s">
        <v>14561</v>
      </c>
    </row>
    <row r="118" spans="1:12" ht="42.75">
      <c r="A118" s="74" t="s">
        <v>14542</v>
      </c>
      <c r="B118" s="74" t="s">
        <v>87</v>
      </c>
      <c r="C118" s="74">
        <v>3</v>
      </c>
      <c r="D118" s="74">
        <v>3.5</v>
      </c>
      <c r="E118" s="74">
        <v>1</v>
      </c>
      <c r="F118" s="74">
        <v>2.5</v>
      </c>
      <c r="G118" s="74" t="s">
        <v>48</v>
      </c>
      <c r="H118" s="74" t="s">
        <v>14559</v>
      </c>
      <c r="I118" s="74" t="s">
        <v>14560</v>
      </c>
      <c r="J118" s="74">
        <v>1</v>
      </c>
      <c r="K118" s="74" t="s">
        <v>14535</v>
      </c>
      <c r="L118" s="74" t="s">
        <v>14561</v>
      </c>
    </row>
    <row r="119" spans="1:12" ht="42.75">
      <c r="A119" s="48" t="s">
        <v>14542</v>
      </c>
      <c r="B119" s="48" t="s">
        <v>90</v>
      </c>
      <c r="C119" s="48">
        <v>5</v>
      </c>
      <c r="D119" s="48">
        <v>4.3</v>
      </c>
      <c r="E119" s="48">
        <v>1.35</v>
      </c>
      <c r="F119" s="48">
        <v>3.3</v>
      </c>
      <c r="G119" s="48" t="s">
        <v>46</v>
      </c>
      <c r="H119" s="48" t="s">
        <v>14559</v>
      </c>
      <c r="I119" s="48" t="s">
        <v>14560</v>
      </c>
      <c r="J119" s="48">
        <v>1.25</v>
      </c>
      <c r="K119" s="48" t="s">
        <v>14535</v>
      </c>
      <c r="L119" s="48" t="s">
        <v>14561</v>
      </c>
    </row>
    <row r="120" spans="1:12" ht="42.75">
      <c r="A120" s="74" t="s">
        <v>14542</v>
      </c>
      <c r="B120" s="74" t="s">
        <v>91</v>
      </c>
      <c r="C120" s="74">
        <v>3</v>
      </c>
      <c r="D120" s="74">
        <v>3.5</v>
      </c>
      <c r="E120" s="74">
        <v>1</v>
      </c>
      <c r="F120" s="74">
        <v>2.5</v>
      </c>
      <c r="G120" s="74" t="s">
        <v>48</v>
      </c>
      <c r="H120" s="74" t="s">
        <v>14559</v>
      </c>
      <c r="I120" s="74" t="s">
        <v>14560</v>
      </c>
      <c r="J120" s="74">
        <v>1</v>
      </c>
      <c r="K120" s="74" t="s">
        <v>14535</v>
      </c>
      <c r="L120" s="74" t="s">
        <v>14561</v>
      </c>
    </row>
    <row r="121" spans="1:12" ht="42.75">
      <c r="A121" s="48" t="s">
        <v>14542</v>
      </c>
      <c r="B121" s="48" t="s">
        <v>92</v>
      </c>
      <c r="C121" s="48">
        <v>3</v>
      </c>
      <c r="D121" s="48">
        <v>3.5</v>
      </c>
      <c r="E121" s="48">
        <v>1</v>
      </c>
      <c r="F121" s="48">
        <v>2.5</v>
      </c>
      <c r="G121" s="48" t="s">
        <v>48</v>
      </c>
      <c r="H121" s="48" t="s">
        <v>14559</v>
      </c>
      <c r="I121" s="48" t="s">
        <v>14560</v>
      </c>
      <c r="J121" s="48">
        <v>1</v>
      </c>
      <c r="K121" s="48" t="s">
        <v>14535</v>
      </c>
      <c r="L121" s="48" t="s">
        <v>14561</v>
      </c>
    </row>
    <row r="122" spans="1:12" ht="42.75">
      <c r="A122" s="74" t="s">
        <v>14542</v>
      </c>
      <c r="B122" s="74" t="s">
        <v>93</v>
      </c>
      <c r="C122" s="74">
        <v>5</v>
      </c>
      <c r="D122" s="74">
        <v>4.5</v>
      </c>
      <c r="E122" s="74">
        <v>1.45</v>
      </c>
      <c r="F122" s="74">
        <v>3.5</v>
      </c>
      <c r="G122" s="74" t="s">
        <v>46</v>
      </c>
      <c r="H122" s="74" t="s">
        <v>14559</v>
      </c>
      <c r="I122" s="74" t="s">
        <v>14560</v>
      </c>
      <c r="J122" s="74">
        <v>1.3</v>
      </c>
      <c r="K122" s="74" t="s">
        <v>14535</v>
      </c>
      <c r="L122" s="74" t="s">
        <v>14561</v>
      </c>
    </row>
    <row r="123" spans="1:12" ht="42.75">
      <c r="A123" s="48" t="s">
        <v>14542</v>
      </c>
      <c r="B123" s="48" t="s">
        <v>94</v>
      </c>
      <c r="C123" s="48">
        <v>3</v>
      </c>
      <c r="D123" s="48">
        <v>3.5</v>
      </c>
      <c r="E123" s="48">
        <v>1</v>
      </c>
      <c r="F123" s="48">
        <v>2.5</v>
      </c>
      <c r="G123" s="48" t="s">
        <v>48</v>
      </c>
      <c r="H123" s="48" t="s">
        <v>14559</v>
      </c>
      <c r="I123" s="48" t="s">
        <v>14560</v>
      </c>
      <c r="J123" s="48">
        <v>1</v>
      </c>
      <c r="K123" s="48" t="s">
        <v>14535</v>
      </c>
      <c r="L123" s="48" t="s">
        <v>14561</v>
      </c>
    </row>
    <row r="124" spans="1:12" ht="42.75">
      <c r="A124" s="74" t="s">
        <v>14543</v>
      </c>
      <c r="B124" s="74" t="s">
        <v>54</v>
      </c>
      <c r="C124" s="74">
        <v>3</v>
      </c>
      <c r="D124" s="74">
        <v>3.5</v>
      </c>
      <c r="E124" s="74">
        <v>1</v>
      </c>
      <c r="F124" s="74">
        <v>2.5</v>
      </c>
      <c r="G124" s="74" t="s">
        <v>48</v>
      </c>
      <c r="H124" s="74" t="s">
        <v>14562</v>
      </c>
      <c r="I124" s="74" t="s">
        <v>14563</v>
      </c>
      <c r="J124" s="74">
        <v>1</v>
      </c>
      <c r="K124" s="74" t="s">
        <v>14535</v>
      </c>
      <c r="L124" s="74" t="s">
        <v>14564</v>
      </c>
    </row>
    <row r="125" spans="1:12" ht="42.75">
      <c r="A125" s="48" t="s">
        <v>14543</v>
      </c>
      <c r="B125" s="48" t="s">
        <v>57</v>
      </c>
      <c r="C125" s="48">
        <v>5</v>
      </c>
      <c r="D125" s="48">
        <v>3.8</v>
      </c>
      <c r="E125" s="48">
        <v>1.2</v>
      </c>
      <c r="F125" s="48">
        <v>2.8</v>
      </c>
      <c r="G125" s="48" t="s">
        <v>47</v>
      </c>
      <c r="H125" s="48" t="s">
        <v>14562</v>
      </c>
      <c r="I125" s="48" t="s">
        <v>14563</v>
      </c>
      <c r="J125" s="48">
        <v>1.1499999999999999</v>
      </c>
      <c r="K125" s="48" t="s">
        <v>14535</v>
      </c>
      <c r="L125" s="48" t="s">
        <v>14564</v>
      </c>
    </row>
    <row r="126" spans="1:12" ht="42.75">
      <c r="A126" s="74" t="s">
        <v>14543</v>
      </c>
      <c r="B126" s="74" t="s">
        <v>60</v>
      </c>
      <c r="C126" s="74">
        <v>3</v>
      </c>
      <c r="D126" s="74">
        <v>4</v>
      </c>
      <c r="E126" s="74">
        <v>1.1499999999999999</v>
      </c>
      <c r="F126" s="74">
        <v>3</v>
      </c>
      <c r="G126" s="74" t="s">
        <v>47</v>
      </c>
      <c r="H126" s="74" t="s">
        <v>14562</v>
      </c>
      <c r="I126" s="74" t="s">
        <v>14563</v>
      </c>
      <c r="J126" s="74">
        <v>1.1000000000000001</v>
      </c>
      <c r="K126" s="74" t="s">
        <v>14535</v>
      </c>
      <c r="L126" s="74" t="s">
        <v>14564</v>
      </c>
    </row>
    <row r="127" spans="1:12" ht="42.75">
      <c r="A127" s="48" t="s">
        <v>14543</v>
      </c>
      <c r="B127" s="48" t="s">
        <v>63</v>
      </c>
      <c r="C127" s="48">
        <v>5</v>
      </c>
      <c r="D127" s="48">
        <v>4</v>
      </c>
      <c r="E127" s="48">
        <v>1.3</v>
      </c>
      <c r="F127" s="48">
        <v>3</v>
      </c>
      <c r="G127" s="48" t="s">
        <v>46</v>
      </c>
      <c r="H127" s="48" t="s">
        <v>14562</v>
      </c>
      <c r="I127" s="48" t="s">
        <v>14563</v>
      </c>
      <c r="J127" s="48">
        <v>1.25</v>
      </c>
      <c r="K127" s="48" t="s">
        <v>14535</v>
      </c>
      <c r="L127" s="48" t="s">
        <v>14564</v>
      </c>
    </row>
    <row r="128" spans="1:12" ht="42.75">
      <c r="A128" s="74" t="s">
        <v>14543</v>
      </c>
      <c r="B128" s="74" t="s">
        <v>66</v>
      </c>
      <c r="C128" s="74">
        <v>3</v>
      </c>
      <c r="D128" s="74">
        <v>3.5</v>
      </c>
      <c r="E128" s="74">
        <v>1</v>
      </c>
      <c r="F128" s="74">
        <v>2.5</v>
      </c>
      <c r="G128" s="74" t="s">
        <v>48</v>
      </c>
      <c r="H128" s="74" t="s">
        <v>14562</v>
      </c>
      <c r="I128" s="74" t="s">
        <v>14563</v>
      </c>
      <c r="J128" s="74">
        <v>1</v>
      </c>
      <c r="K128" s="74" t="s">
        <v>14535</v>
      </c>
      <c r="L128" s="74" t="s">
        <v>14564</v>
      </c>
    </row>
    <row r="129" spans="1:12" ht="42.75">
      <c r="A129" s="48" t="s">
        <v>14543</v>
      </c>
      <c r="B129" s="48" t="s">
        <v>69</v>
      </c>
      <c r="C129" s="48">
        <v>3</v>
      </c>
      <c r="D129" s="48">
        <v>3.5</v>
      </c>
      <c r="E129" s="48">
        <v>1</v>
      </c>
      <c r="F129" s="48">
        <v>2.5</v>
      </c>
      <c r="G129" s="48" t="s">
        <v>48</v>
      </c>
      <c r="H129" s="48" t="s">
        <v>14562</v>
      </c>
      <c r="I129" s="48" t="s">
        <v>14563</v>
      </c>
      <c r="J129" s="48">
        <v>1</v>
      </c>
      <c r="K129" s="48" t="s">
        <v>14535</v>
      </c>
      <c r="L129" s="48" t="s">
        <v>14564</v>
      </c>
    </row>
    <row r="130" spans="1:12" ht="42.75">
      <c r="A130" s="74" t="s">
        <v>14543</v>
      </c>
      <c r="B130" s="74" t="s">
        <v>72</v>
      </c>
      <c r="C130" s="74">
        <v>2</v>
      </c>
      <c r="D130" s="74">
        <v>2.8</v>
      </c>
      <c r="E130" s="74">
        <v>0.85</v>
      </c>
      <c r="F130" s="74">
        <v>2</v>
      </c>
      <c r="G130" s="74" t="s">
        <v>48</v>
      </c>
      <c r="H130" s="74" t="s">
        <v>14562</v>
      </c>
      <c r="I130" s="74" t="s">
        <v>14563</v>
      </c>
      <c r="J130" s="74">
        <v>0.85</v>
      </c>
      <c r="K130" s="74" t="s">
        <v>14535</v>
      </c>
      <c r="L130" s="74" t="s">
        <v>14564</v>
      </c>
    </row>
    <row r="131" spans="1:12" ht="42.75">
      <c r="A131" s="48" t="s">
        <v>14543</v>
      </c>
      <c r="B131" s="48" t="s">
        <v>75</v>
      </c>
      <c r="C131" s="48">
        <v>3</v>
      </c>
      <c r="D131" s="48">
        <v>3.5</v>
      </c>
      <c r="E131" s="48">
        <v>1</v>
      </c>
      <c r="F131" s="48">
        <v>2.5</v>
      </c>
      <c r="G131" s="48" t="s">
        <v>48</v>
      </c>
      <c r="H131" s="48" t="s">
        <v>14562</v>
      </c>
      <c r="I131" s="48" t="s">
        <v>14563</v>
      </c>
      <c r="J131" s="48">
        <v>1</v>
      </c>
      <c r="K131" s="48" t="s">
        <v>14535</v>
      </c>
      <c r="L131" s="48" t="s">
        <v>14564</v>
      </c>
    </row>
    <row r="132" spans="1:12" ht="42.75">
      <c r="A132" s="74" t="s">
        <v>14543</v>
      </c>
      <c r="B132" s="74" t="s">
        <v>78</v>
      </c>
      <c r="C132" s="74">
        <v>3</v>
      </c>
      <c r="D132" s="74">
        <v>3.5</v>
      </c>
      <c r="E132" s="74">
        <v>1</v>
      </c>
      <c r="F132" s="74">
        <v>2.5</v>
      </c>
      <c r="G132" s="74" t="s">
        <v>48</v>
      </c>
      <c r="H132" s="74" t="s">
        <v>14562</v>
      </c>
      <c r="I132" s="74" t="s">
        <v>14563</v>
      </c>
      <c r="J132" s="74">
        <v>1</v>
      </c>
      <c r="K132" s="74" t="s">
        <v>14535</v>
      </c>
      <c r="L132" s="74" t="s">
        <v>14564</v>
      </c>
    </row>
    <row r="133" spans="1:12" ht="42.75">
      <c r="A133" s="48" t="s">
        <v>14543</v>
      </c>
      <c r="B133" s="48" t="s">
        <v>81</v>
      </c>
      <c r="C133" s="48">
        <v>1</v>
      </c>
      <c r="D133" s="48">
        <v>0.5</v>
      </c>
      <c r="E133" s="48">
        <v>0.5</v>
      </c>
      <c r="F133" s="48">
        <v>0</v>
      </c>
      <c r="G133" s="48" t="s">
        <v>48</v>
      </c>
      <c r="H133" s="48" t="s">
        <v>14562</v>
      </c>
      <c r="I133" s="48" t="s">
        <v>14563</v>
      </c>
      <c r="J133" s="48">
        <v>0.6</v>
      </c>
      <c r="K133" s="48" t="s">
        <v>14535</v>
      </c>
      <c r="L133" s="48" t="s">
        <v>14564</v>
      </c>
    </row>
    <row r="134" spans="1:12" ht="42.75">
      <c r="A134" s="74" t="s">
        <v>14543</v>
      </c>
      <c r="B134" s="74" t="s">
        <v>84</v>
      </c>
      <c r="C134" s="74">
        <v>4</v>
      </c>
      <c r="D134" s="74">
        <v>3.8</v>
      </c>
      <c r="E134" s="74">
        <v>1.1499999999999999</v>
      </c>
      <c r="F134" s="74">
        <v>2.8</v>
      </c>
      <c r="G134" s="74" t="s">
        <v>47</v>
      </c>
      <c r="H134" s="74" t="s">
        <v>14562</v>
      </c>
      <c r="I134" s="74" t="s">
        <v>14563</v>
      </c>
      <c r="J134" s="74">
        <v>1.1000000000000001</v>
      </c>
      <c r="K134" s="74" t="s">
        <v>14535</v>
      </c>
      <c r="L134" s="74" t="s">
        <v>14564</v>
      </c>
    </row>
    <row r="135" spans="1:12" ht="42.75">
      <c r="A135" s="48" t="s">
        <v>14543</v>
      </c>
      <c r="B135" s="48" t="s">
        <v>87</v>
      </c>
      <c r="C135" s="48">
        <v>3</v>
      </c>
      <c r="D135" s="48">
        <v>3.5</v>
      </c>
      <c r="E135" s="48">
        <v>1</v>
      </c>
      <c r="F135" s="48">
        <v>2.5</v>
      </c>
      <c r="G135" s="48" t="s">
        <v>48</v>
      </c>
      <c r="H135" s="48" t="s">
        <v>14562</v>
      </c>
      <c r="I135" s="48" t="s">
        <v>14563</v>
      </c>
      <c r="J135" s="48">
        <v>1</v>
      </c>
      <c r="K135" s="48" t="s">
        <v>14535</v>
      </c>
      <c r="L135" s="48" t="s">
        <v>14564</v>
      </c>
    </row>
    <row r="136" spans="1:12" ht="42.75">
      <c r="A136" s="74" t="s">
        <v>14543</v>
      </c>
      <c r="B136" s="74" t="s">
        <v>90</v>
      </c>
      <c r="C136" s="74">
        <v>3</v>
      </c>
      <c r="D136" s="74">
        <v>3.5</v>
      </c>
      <c r="E136" s="74">
        <v>1</v>
      </c>
      <c r="F136" s="74">
        <v>2.5</v>
      </c>
      <c r="G136" s="74" t="s">
        <v>48</v>
      </c>
      <c r="H136" s="74" t="s">
        <v>14562</v>
      </c>
      <c r="I136" s="74" t="s">
        <v>14563</v>
      </c>
      <c r="J136" s="74">
        <v>1</v>
      </c>
      <c r="K136" s="74" t="s">
        <v>14535</v>
      </c>
      <c r="L136" s="74" t="s">
        <v>14564</v>
      </c>
    </row>
    <row r="137" spans="1:12" ht="42.75">
      <c r="A137" s="48" t="s">
        <v>14543</v>
      </c>
      <c r="B137" s="48" t="s">
        <v>91</v>
      </c>
      <c r="C137" s="48">
        <v>3</v>
      </c>
      <c r="D137" s="48">
        <v>3.5</v>
      </c>
      <c r="E137" s="48">
        <v>1</v>
      </c>
      <c r="F137" s="48">
        <v>2.5</v>
      </c>
      <c r="G137" s="48" t="s">
        <v>48</v>
      </c>
      <c r="H137" s="48" t="s">
        <v>14562</v>
      </c>
      <c r="I137" s="48" t="s">
        <v>14563</v>
      </c>
      <c r="J137" s="48">
        <v>1</v>
      </c>
      <c r="K137" s="48" t="s">
        <v>14535</v>
      </c>
      <c r="L137" s="48" t="s">
        <v>14564</v>
      </c>
    </row>
    <row r="138" spans="1:12" ht="42.75">
      <c r="A138" s="74" t="s">
        <v>14543</v>
      </c>
      <c r="B138" s="74" t="s">
        <v>92</v>
      </c>
      <c r="C138" s="74">
        <v>3</v>
      </c>
      <c r="D138" s="74">
        <v>3.5</v>
      </c>
      <c r="E138" s="74">
        <v>1</v>
      </c>
      <c r="F138" s="74">
        <v>2.5</v>
      </c>
      <c r="G138" s="74" t="s">
        <v>48</v>
      </c>
      <c r="H138" s="74" t="s">
        <v>14562</v>
      </c>
      <c r="I138" s="74" t="s">
        <v>14563</v>
      </c>
      <c r="J138" s="74">
        <v>1</v>
      </c>
      <c r="K138" s="74" t="s">
        <v>14535</v>
      </c>
      <c r="L138" s="74" t="s">
        <v>14564</v>
      </c>
    </row>
    <row r="139" spans="1:12" ht="42.75">
      <c r="A139" s="48" t="s">
        <v>14543</v>
      </c>
      <c r="B139" s="48" t="s">
        <v>93</v>
      </c>
      <c r="C139" s="48">
        <v>4</v>
      </c>
      <c r="D139" s="48">
        <v>4</v>
      </c>
      <c r="E139" s="48">
        <v>1.2</v>
      </c>
      <c r="F139" s="48">
        <v>3</v>
      </c>
      <c r="G139" s="48" t="s">
        <v>47</v>
      </c>
      <c r="H139" s="48" t="s">
        <v>14562</v>
      </c>
      <c r="I139" s="48" t="s">
        <v>14563</v>
      </c>
      <c r="J139" s="48">
        <v>1.1499999999999999</v>
      </c>
      <c r="K139" s="48" t="s">
        <v>14535</v>
      </c>
      <c r="L139" s="48" t="s">
        <v>14564</v>
      </c>
    </row>
    <row r="140" spans="1:12" ht="42.75">
      <c r="A140" s="74" t="s">
        <v>14543</v>
      </c>
      <c r="B140" s="74" t="s">
        <v>94</v>
      </c>
      <c r="C140" s="74">
        <v>4</v>
      </c>
      <c r="D140" s="74">
        <v>3.8</v>
      </c>
      <c r="E140" s="74">
        <v>1.1000000000000001</v>
      </c>
      <c r="F140" s="74">
        <v>2.8</v>
      </c>
      <c r="G140" s="74" t="s">
        <v>47</v>
      </c>
      <c r="H140" s="74" t="s">
        <v>14562</v>
      </c>
      <c r="I140" s="74" t="s">
        <v>14563</v>
      </c>
      <c r="J140" s="74">
        <v>1.1000000000000001</v>
      </c>
      <c r="K140" s="74" t="s">
        <v>14535</v>
      </c>
      <c r="L140" s="74" t="s">
        <v>14564</v>
      </c>
    </row>
    <row r="141" spans="1:12" ht="42.75">
      <c r="A141" s="48" t="s">
        <v>14544</v>
      </c>
      <c r="B141" s="48" t="s">
        <v>54</v>
      </c>
      <c r="C141" s="48">
        <v>3</v>
      </c>
      <c r="D141" s="48">
        <v>3.5</v>
      </c>
      <c r="E141" s="48">
        <v>1</v>
      </c>
      <c r="F141" s="48">
        <v>2.5</v>
      </c>
      <c r="G141" s="48" t="s">
        <v>48</v>
      </c>
      <c r="H141" s="48" t="s">
        <v>14565</v>
      </c>
      <c r="I141" s="48" t="s">
        <v>14566</v>
      </c>
      <c r="J141" s="48">
        <v>1</v>
      </c>
      <c r="K141" s="48" t="s">
        <v>14535</v>
      </c>
      <c r="L141" s="48" t="s">
        <v>14567</v>
      </c>
    </row>
    <row r="142" spans="1:12" ht="42.75">
      <c r="A142" s="74" t="s">
        <v>14544</v>
      </c>
      <c r="B142" s="74" t="s">
        <v>57</v>
      </c>
      <c r="C142" s="74">
        <v>3</v>
      </c>
      <c r="D142" s="74">
        <v>3.5</v>
      </c>
      <c r="E142" s="74">
        <v>1</v>
      </c>
      <c r="F142" s="74">
        <v>2.5</v>
      </c>
      <c r="G142" s="74" t="s">
        <v>48</v>
      </c>
      <c r="H142" s="74" t="s">
        <v>14565</v>
      </c>
      <c r="I142" s="74" t="s">
        <v>14566</v>
      </c>
      <c r="J142" s="74">
        <v>1</v>
      </c>
      <c r="K142" s="74" t="s">
        <v>14535</v>
      </c>
      <c r="L142" s="74" t="s">
        <v>14567</v>
      </c>
    </row>
    <row r="143" spans="1:12" ht="42.75">
      <c r="A143" s="48" t="s">
        <v>14544</v>
      </c>
      <c r="B143" s="48" t="s">
        <v>60</v>
      </c>
      <c r="C143" s="48">
        <v>5</v>
      </c>
      <c r="D143" s="48">
        <v>4.5</v>
      </c>
      <c r="E143" s="48">
        <v>1.45</v>
      </c>
      <c r="F143" s="48">
        <v>3.5</v>
      </c>
      <c r="G143" s="48" t="s">
        <v>46</v>
      </c>
      <c r="H143" s="48" t="s">
        <v>14565</v>
      </c>
      <c r="I143" s="48" t="s">
        <v>14566</v>
      </c>
      <c r="J143" s="48">
        <v>1.3</v>
      </c>
      <c r="K143" s="48" t="s">
        <v>14535</v>
      </c>
      <c r="L143" s="48" t="s">
        <v>14567</v>
      </c>
    </row>
    <row r="144" spans="1:12" ht="42.75">
      <c r="A144" s="74" t="s">
        <v>14544</v>
      </c>
      <c r="B144" s="74" t="s">
        <v>63</v>
      </c>
      <c r="C144" s="74">
        <v>3</v>
      </c>
      <c r="D144" s="74">
        <v>3.5</v>
      </c>
      <c r="E144" s="74">
        <v>1</v>
      </c>
      <c r="F144" s="74">
        <v>2.5</v>
      </c>
      <c r="G144" s="74" t="s">
        <v>48</v>
      </c>
      <c r="H144" s="74" t="s">
        <v>14565</v>
      </c>
      <c r="I144" s="74" t="s">
        <v>14566</v>
      </c>
      <c r="J144" s="74">
        <v>1</v>
      </c>
      <c r="K144" s="74" t="s">
        <v>14535</v>
      </c>
      <c r="L144" s="74" t="s">
        <v>14567</v>
      </c>
    </row>
    <row r="145" spans="1:12" ht="42.75">
      <c r="A145" s="48" t="s">
        <v>14544</v>
      </c>
      <c r="B145" s="48" t="s">
        <v>66</v>
      </c>
      <c r="C145" s="48">
        <v>5</v>
      </c>
      <c r="D145" s="48">
        <v>4</v>
      </c>
      <c r="E145" s="48">
        <v>1.25</v>
      </c>
      <c r="F145" s="48">
        <v>3</v>
      </c>
      <c r="G145" s="48" t="s">
        <v>47</v>
      </c>
      <c r="H145" s="48" t="s">
        <v>14565</v>
      </c>
      <c r="I145" s="48" t="s">
        <v>14566</v>
      </c>
      <c r="J145" s="48">
        <v>1.2</v>
      </c>
      <c r="K145" s="48" t="s">
        <v>14535</v>
      </c>
      <c r="L145" s="48" t="s">
        <v>14567</v>
      </c>
    </row>
    <row r="146" spans="1:12" ht="42.75">
      <c r="A146" s="74" t="s">
        <v>14544</v>
      </c>
      <c r="B146" s="74" t="s">
        <v>69</v>
      </c>
      <c r="C146" s="74">
        <v>5</v>
      </c>
      <c r="D146" s="74">
        <v>4.5</v>
      </c>
      <c r="E146" s="74">
        <v>1.45</v>
      </c>
      <c r="F146" s="74">
        <v>3.5</v>
      </c>
      <c r="G146" s="74" t="s">
        <v>46</v>
      </c>
      <c r="H146" s="74" t="s">
        <v>14565</v>
      </c>
      <c r="I146" s="74" t="s">
        <v>14566</v>
      </c>
      <c r="J146" s="74">
        <v>1.3</v>
      </c>
      <c r="K146" s="74" t="s">
        <v>14535</v>
      </c>
      <c r="L146" s="74" t="s">
        <v>14567</v>
      </c>
    </row>
    <row r="147" spans="1:12" ht="42.75">
      <c r="A147" s="48" t="s">
        <v>14544</v>
      </c>
      <c r="B147" s="48" t="s">
        <v>72</v>
      </c>
      <c r="C147" s="48">
        <v>4</v>
      </c>
      <c r="D147" s="48">
        <v>4</v>
      </c>
      <c r="E147" s="48">
        <v>1.2</v>
      </c>
      <c r="F147" s="48">
        <v>3</v>
      </c>
      <c r="G147" s="48" t="s">
        <v>47</v>
      </c>
      <c r="H147" s="48" t="s">
        <v>14565</v>
      </c>
      <c r="I147" s="48" t="s">
        <v>14566</v>
      </c>
      <c r="J147" s="48">
        <v>1.1499999999999999</v>
      </c>
      <c r="K147" s="48" t="s">
        <v>14535</v>
      </c>
      <c r="L147" s="48" t="s">
        <v>14567</v>
      </c>
    </row>
    <row r="148" spans="1:12" ht="42.75">
      <c r="A148" s="74" t="s">
        <v>14544</v>
      </c>
      <c r="B148" s="74" t="s">
        <v>75</v>
      </c>
      <c r="C148" s="74">
        <v>3</v>
      </c>
      <c r="D148" s="74">
        <v>3.5</v>
      </c>
      <c r="E148" s="74">
        <v>1</v>
      </c>
      <c r="F148" s="74">
        <v>2.5</v>
      </c>
      <c r="G148" s="74" t="s">
        <v>48</v>
      </c>
      <c r="H148" s="74" t="s">
        <v>14565</v>
      </c>
      <c r="I148" s="74" t="s">
        <v>14566</v>
      </c>
      <c r="J148" s="74">
        <v>1</v>
      </c>
      <c r="K148" s="74" t="s">
        <v>14535</v>
      </c>
      <c r="L148" s="74" t="s">
        <v>14567</v>
      </c>
    </row>
    <row r="149" spans="1:12" ht="42.75">
      <c r="A149" s="48" t="s">
        <v>14544</v>
      </c>
      <c r="B149" s="48" t="s">
        <v>78</v>
      </c>
      <c r="C149" s="48">
        <v>3</v>
      </c>
      <c r="D149" s="48">
        <v>3.5</v>
      </c>
      <c r="E149" s="48">
        <v>1</v>
      </c>
      <c r="F149" s="48">
        <v>2.5</v>
      </c>
      <c r="G149" s="48" t="s">
        <v>48</v>
      </c>
      <c r="H149" s="48" t="s">
        <v>14565</v>
      </c>
      <c r="I149" s="48" t="s">
        <v>14566</v>
      </c>
      <c r="J149" s="48">
        <v>1</v>
      </c>
      <c r="K149" s="48" t="s">
        <v>14535</v>
      </c>
      <c r="L149" s="48" t="s">
        <v>14567</v>
      </c>
    </row>
    <row r="150" spans="1:12" ht="42.75">
      <c r="A150" s="74" t="s">
        <v>14544</v>
      </c>
      <c r="B150" s="74" t="s">
        <v>81</v>
      </c>
      <c r="C150" s="74">
        <v>1</v>
      </c>
      <c r="D150" s="74">
        <v>0.5</v>
      </c>
      <c r="E150" s="74">
        <v>0.5</v>
      </c>
      <c r="F150" s="74">
        <v>0</v>
      </c>
      <c r="G150" s="74" t="s">
        <v>48</v>
      </c>
      <c r="H150" s="74" t="s">
        <v>14565</v>
      </c>
      <c r="I150" s="74" t="s">
        <v>14566</v>
      </c>
      <c r="J150" s="74">
        <v>0.6</v>
      </c>
      <c r="K150" s="74" t="s">
        <v>14535</v>
      </c>
      <c r="L150" s="74" t="s">
        <v>14567</v>
      </c>
    </row>
    <row r="151" spans="1:12" ht="42.75">
      <c r="A151" s="48" t="s">
        <v>14544</v>
      </c>
      <c r="B151" s="48" t="s">
        <v>84</v>
      </c>
      <c r="C151" s="48">
        <v>3</v>
      </c>
      <c r="D151" s="48">
        <v>3.5</v>
      </c>
      <c r="E151" s="48">
        <v>1</v>
      </c>
      <c r="F151" s="48">
        <v>2.5</v>
      </c>
      <c r="G151" s="48" t="s">
        <v>48</v>
      </c>
      <c r="H151" s="48" t="s">
        <v>14565</v>
      </c>
      <c r="I151" s="48" t="s">
        <v>14566</v>
      </c>
      <c r="J151" s="48">
        <v>1</v>
      </c>
      <c r="K151" s="48" t="s">
        <v>14535</v>
      </c>
      <c r="L151" s="48" t="s">
        <v>14567</v>
      </c>
    </row>
    <row r="152" spans="1:12" ht="42.75">
      <c r="A152" s="74" t="s">
        <v>14544</v>
      </c>
      <c r="B152" s="74" t="s">
        <v>87</v>
      </c>
      <c r="C152" s="74">
        <v>3</v>
      </c>
      <c r="D152" s="74">
        <v>3.5</v>
      </c>
      <c r="E152" s="74">
        <v>1</v>
      </c>
      <c r="F152" s="74">
        <v>2.5</v>
      </c>
      <c r="G152" s="74" t="s">
        <v>48</v>
      </c>
      <c r="H152" s="74" t="s">
        <v>14565</v>
      </c>
      <c r="I152" s="74" t="s">
        <v>14566</v>
      </c>
      <c r="J152" s="74">
        <v>1</v>
      </c>
      <c r="K152" s="74" t="s">
        <v>14535</v>
      </c>
      <c r="L152" s="74" t="s">
        <v>14567</v>
      </c>
    </row>
    <row r="153" spans="1:12" ht="42.75">
      <c r="A153" s="48" t="s">
        <v>14544</v>
      </c>
      <c r="B153" s="48" t="s">
        <v>90</v>
      </c>
      <c r="C153" s="48">
        <v>5</v>
      </c>
      <c r="D153" s="48">
        <v>4.2</v>
      </c>
      <c r="E153" s="48">
        <v>1.3</v>
      </c>
      <c r="F153" s="48">
        <v>3.2</v>
      </c>
      <c r="G153" s="48" t="s">
        <v>46</v>
      </c>
      <c r="H153" s="48" t="s">
        <v>14565</v>
      </c>
      <c r="I153" s="48" t="s">
        <v>14566</v>
      </c>
      <c r="J153" s="48">
        <v>1.2</v>
      </c>
      <c r="K153" s="48" t="s">
        <v>14535</v>
      </c>
      <c r="L153" s="48" t="s">
        <v>14567</v>
      </c>
    </row>
    <row r="154" spans="1:12" ht="42.75">
      <c r="A154" s="74" t="s">
        <v>14544</v>
      </c>
      <c r="B154" s="74" t="s">
        <v>91</v>
      </c>
      <c r="C154" s="74">
        <v>3</v>
      </c>
      <c r="D154" s="74">
        <v>3.5</v>
      </c>
      <c r="E154" s="74">
        <v>1</v>
      </c>
      <c r="F154" s="74">
        <v>2.5</v>
      </c>
      <c r="G154" s="74" t="s">
        <v>48</v>
      </c>
      <c r="H154" s="74" t="s">
        <v>14565</v>
      </c>
      <c r="I154" s="74" t="s">
        <v>14566</v>
      </c>
      <c r="J154" s="74">
        <v>1</v>
      </c>
      <c r="K154" s="74" t="s">
        <v>14535</v>
      </c>
      <c r="L154" s="74" t="s">
        <v>14567</v>
      </c>
    </row>
    <row r="155" spans="1:12" ht="42.75">
      <c r="A155" s="48" t="s">
        <v>14544</v>
      </c>
      <c r="B155" s="48" t="s">
        <v>92</v>
      </c>
      <c r="C155" s="48">
        <v>3</v>
      </c>
      <c r="D155" s="48">
        <v>3.5</v>
      </c>
      <c r="E155" s="48">
        <v>1</v>
      </c>
      <c r="F155" s="48">
        <v>2.5</v>
      </c>
      <c r="G155" s="48" t="s">
        <v>48</v>
      </c>
      <c r="H155" s="48" t="s">
        <v>14565</v>
      </c>
      <c r="I155" s="48" t="s">
        <v>14566</v>
      </c>
      <c r="J155" s="48">
        <v>1</v>
      </c>
      <c r="K155" s="48" t="s">
        <v>14535</v>
      </c>
      <c r="L155" s="48" t="s">
        <v>14567</v>
      </c>
    </row>
    <row r="156" spans="1:12" ht="42.75">
      <c r="A156" s="74" t="s">
        <v>14544</v>
      </c>
      <c r="B156" s="74" t="s">
        <v>93</v>
      </c>
      <c r="C156" s="74">
        <v>5</v>
      </c>
      <c r="D156" s="74">
        <v>4.5</v>
      </c>
      <c r="E156" s="74">
        <v>1.45</v>
      </c>
      <c r="F156" s="74">
        <v>3.5</v>
      </c>
      <c r="G156" s="74" t="s">
        <v>46</v>
      </c>
      <c r="H156" s="74" t="s">
        <v>14565</v>
      </c>
      <c r="I156" s="74" t="s">
        <v>14566</v>
      </c>
      <c r="J156" s="74">
        <v>1.3</v>
      </c>
      <c r="K156" s="74" t="s">
        <v>14535</v>
      </c>
      <c r="L156" s="74" t="s">
        <v>14567</v>
      </c>
    </row>
    <row r="157" spans="1:12" ht="42.75">
      <c r="A157" s="48" t="s">
        <v>14544</v>
      </c>
      <c r="B157" s="48" t="s">
        <v>94</v>
      </c>
      <c r="C157" s="48">
        <v>4</v>
      </c>
      <c r="D157" s="48">
        <v>4</v>
      </c>
      <c r="E157" s="48">
        <v>1.1499999999999999</v>
      </c>
      <c r="F157" s="48">
        <v>3</v>
      </c>
      <c r="G157" s="48" t="s">
        <v>47</v>
      </c>
      <c r="H157" s="48" t="s">
        <v>14565</v>
      </c>
      <c r="I157" s="48" t="s">
        <v>14566</v>
      </c>
      <c r="J157" s="48">
        <v>1.1000000000000001</v>
      </c>
      <c r="K157" s="48" t="s">
        <v>14535</v>
      </c>
      <c r="L157" s="48" t="s">
        <v>14567</v>
      </c>
    </row>
  </sheetData>
  <sheetProtection sheet="1" objects="1" scenarios="1"/>
  <mergeCells count="1">
    <mergeCell ref="A1:L1"/>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8.xml><?xml version="1.0" encoding="utf-8"?>
<worksheet xmlns="http://schemas.openxmlformats.org/spreadsheetml/2006/main" xmlns:ns1="http://schemas.openxmlformats.org/markup-compatibility/2006" xmlns:ns2="http://schemas.microsoft.com/office/spreadsheetml/2014/revision" ns1:Ignorable="x14ac xr xr2 xr3" ns2:uid="{00000000-0001-0000-2F00-000000000000}">
  <sheetPr>
    <tabColor rgb="FF808080"/>
  </sheetPr>
  <dimension ref="A1:D8"/>
  <sheetViews>
    <sheetView workbookViewId="0"/>
  </sheetViews>
  <sheetFormatPr defaultRowHeight="14.25"/>
  <cols>
    <col min="1" max="1" width="22" customWidth="1"/>
    <col min="2" max="2" width="12" customWidth="1"/>
    <col min="3" max="3" width="70" customWidth="1"/>
  </cols>
  <sheetData>
    <row r="1" spans="1:4" ht="18">
      <c r="A1" s="184" t="s">
        <v>14568</v>
      </c>
      <c r="B1" s="158"/>
      <c r="C1" s="158"/>
      <c r="D1" s="158"/>
    </row>
    <row r="2" spans="1:4">
      <c r="A2" t="s">
        <v>14569</v>
      </c>
    </row>
    <row r="4" spans="1:4" ht="15">
      <c r="A4" s="50" t="s">
        <v>14570</v>
      </c>
      <c r="B4" s="50" t="s">
        <v>14571</v>
      </c>
      <c r="C4" s="50" t="s">
        <v>275</v>
      </c>
    </row>
    <row r="5" spans="1:4">
      <c r="A5" s="48" t="s">
        <v>14572</v>
      </c>
      <c r="B5" s="48">
        <v>0.65</v>
      </c>
      <c r="C5" s="48" t="s">
        <v>14573</v>
      </c>
    </row>
    <row r="6" spans="1:4">
      <c r="A6" s="74" t="s">
        <v>48</v>
      </c>
      <c r="B6" s="74">
        <v>0.8</v>
      </c>
      <c r="C6" s="74" t="s">
        <v>14574</v>
      </c>
    </row>
    <row r="7" spans="1:4">
      <c r="A7" s="48" t="s">
        <v>47</v>
      </c>
      <c r="B7" s="48">
        <v>0.9</v>
      </c>
      <c r="C7" s="48" t="s">
        <v>14575</v>
      </c>
    </row>
    <row r="8" spans="1:4">
      <c r="A8" s="74" t="s">
        <v>46</v>
      </c>
      <c r="B8" s="74">
        <v>1</v>
      </c>
      <c r="C8" s="74" t="s">
        <v>14576</v>
      </c>
    </row>
  </sheetData>
  <sheetProtection sheet="1" objects="1" scenarios="1"/>
  <mergeCells count="1">
    <mergeCell ref="A1:D1"/>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49.xml><?xml version="1.0" encoding="utf-8"?>
<worksheet xmlns="http://schemas.openxmlformats.org/spreadsheetml/2006/main" xmlns:ns1="http://schemas.openxmlformats.org/markup-compatibility/2006" xmlns:ns2="http://schemas.microsoft.com/office/spreadsheetml/2014/revision" ns1:Ignorable="x14ac xr xr2 xr3" ns2:uid="{00000000-0001-0000-3000-000000000000}">
  <sheetPr>
    <tabColor rgb="FF808080"/>
  </sheetPr>
  <dimension ref="A1:E130"/>
  <sheetViews>
    <sheetView workbookViewId="0"/>
  </sheetViews>
  <sheetFormatPr defaultRowHeight="14.25"/>
  <cols>
    <col min="1" max="1" width="32" customWidth="1"/>
    <col min="2" max="2" width="14" customWidth="1"/>
    <col min="3" max="3" width="45" customWidth="1"/>
    <col min="4" max="4" width="14" customWidth="1"/>
    <col min="5" max="5" width="90" customWidth="1"/>
  </cols>
  <sheetData>
    <row r="1" spans="1:5" ht="18">
      <c r="A1" s="184" t="s">
        <v>14577</v>
      </c>
      <c r="B1" s="158"/>
      <c r="C1" s="158"/>
      <c r="D1" s="158"/>
      <c r="E1" s="158"/>
    </row>
    <row r="2" spans="1:5">
      <c r="A2" t="s">
        <v>14578</v>
      </c>
    </row>
    <row r="4" spans="1:5" ht="15">
      <c r="A4" s="50" t="s">
        <v>392</v>
      </c>
      <c r="B4" s="50" t="s">
        <v>718</v>
      </c>
      <c r="C4" s="50" t="s">
        <v>717</v>
      </c>
      <c r="D4" s="50" t="s">
        <v>14579</v>
      </c>
      <c r="E4" s="50" t="s">
        <v>14315</v>
      </c>
    </row>
    <row r="5" spans="1:5" ht="28.5">
      <c r="A5" s="48" t="s">
        <v>428</v>
      </c>
      <c r="B5" s="48" t="s">
        <v>1491</v>
      </c>
      <c r="C5" s="48" t="s">
        <v>1490</v>
      </c>
      <c r="D5" s="48">
        <v>4.5</v>
      </c>
      <c r="E5" s="48" t="s">
        <v>14580</v>
      </c>
    </row>
    <row r="6" spans="1:5" ht="28.5">
      <c r="A6" s="74" t="s">
        <v>428</v>
      </c>
      <c r="B6" s="74" t="s">
        <v>1000</v>
      </c>
      <c r="C6" s="74" t="s">
        <v>999</v>
      </c>
      <c r="D6" s="74">
        <v>4.5</v>
      </c>
      <c r="E6" s="74" t="s">
        <v>14581</v>
      </c>
    </row>
    <row r="7" spans="1:5" ht="28.5">
      <c r="A7" s="48" t="s">
        <v>428</v>
      </c>
      <c r="B7" s="48" t="s">
        <v>1443</v>
      </c>
      <c r="C7" s="48" t="s">
        <v>1442</v>
      </c>
      <c r="D7" s="48">
        <v>3</v>
      </c>
      <c r="E7" s="48" t="s">
        <v>14582</v>
      </c>
    </row>
    <row r="8" spans="1:5" ht="28.5">
      <c r="A8" s="74" t="s">
        <v>428</v>
      </c>
      <c r="B8" s="74" t="s">
        <v>1583</v>
      </c>
      <c r="C8" s="74" t="s">
        <v>1582</v>
      </c>
      <c r="D8" s="74">
        <v>3</v>
      </c>
      <c r="E8" s="74" t="s">
        <v>14583</v>
      </c>
    </row>
    <row r="9" spans="1:5" ht="28.5">
      <c r="A9" s="48" t="s">
        <v>428</v>
      </c>
      <c r="B9" s="48" t="s">
        <v>1537</v>
      </c>
      <c r="C9" s="48" t="s">
        <v>1536</v>
      </c>
      <c r="D9" s="48">
        <v>3</v>
      </c>
      <c r="E9" s="48" t="s">
        <v>14584</v>
      </c>
    </row>
    <row r="10" spans="1:5" ht="28.5">
      <c r="A10" s="74" t="s">
        <v>428</v>
      </c>
      <c r="B10" s="74" t="s">
        <v>1102</v>
      </c>
      <c r="C10" s="74" t="s">
        <v>1101</v>
      </c>
      <c r="D10" s="74">
        <v>5</v>
      </c>
      <c r="E10" s="74" t="s">
        <v>14585</v>
      </c>
    </row>
    <row r="11" spans="1:5" ht="28.5">
      <c r="A11" s="48" t="s">
        <v>428</v>
      </c>
      <c r="B11" s="48" t="s">
        <v>1260</v>
      </c>
      <c r="C11" s="48" t="s">
        <v>1259</v>
      </c>
      <c r="D11" s="48">
        <v>4</v>
      </c>
      <c r="E11" s="48" t="s">
        <v>14586</v>
      </c>
    </row>
    <row r="12" spans="1:5" ht="28.5">
      <c r="A12" s="74" t="s">
        <v>428</v>
      </c>
      <c r="B12" s="74" t="s">
        <v>1160</v>
      </c>
      <c r="C12" s="74" t="s">
        <v>1159</v>
      </c>
      <c r="D12" s="74">
        <v>3</v>
      </c>
      <c r="E12" s="74" t="s">
        <v>14587</v>
      </c>
    </row>
    <row r="13" spans="1:5" ht="28.5">
      <c r="A13" s="48" t="s">
        <v>428</v>
      </c>
      <c r="B13" s="48" t="s">
        <v>1333</v>
      </c>
      <c r="C13" s="48" t="s">
        <v>1332</v>
      </c>
      <c r="D13" s="48">
        <v>3</v>
      </c>
      <c r="E13" s="48" t="s">
        <v>14588</v>
      </c>
    </row>
    <row r="14" spans="1:5" ht="28.5">
      <c r="A14" s="74" t="s">
        <v>428</v>
      </c>
      <c r="B14" s="74" t="s">
        <v>1213</v>
      </c>
      <c r="C14" s="74" t="s">
        <v>1212</v>
      </c>
      <c r="D14" s="74">
        <v>4</v>
      </c>
      <c r="E14" s="74" t="s">
        <v>14589</v>
      </c>
    </row>
    <row r="15" spans="1:5" ht="28.5">
      <c r="A15" s="48" t="s">
        <v>428</v>
      </c>
      <c r="B15" s="48" t="s">
        <v>1050</v>
      </c>
      <c r="C15" s="48" t="s">
        <v>1049</v>
      </c>
      <c r="D15" s="48">
        <v>3</v>
      </c>
      <c r="E15" s="48" t="s">
        <v>14590</v>
      </c>
    </row>
    <row r="16" spans="1:5" ht="28.5">
      <c r="A16" s="74" t="s">
        <v>428</v>
      </c>
      <c r="B16" s="74" t="s">
        <v>1380</v>
      </c>
      <c r="C16" s="74" t="s">
        <v>1379</v>
      </c>
      <c r="D16" s="74">
        <v>3</v>
      </c>
      <c r="E16" s="74" t="s">
        <v>14591</v>
      </c>
    </row>
    <row r="17" spans="1:5" ht="28.5">
      <c r="A17" s="48" t="s">
        <v>428</v>
      </c>
      <c r="B17" s="48" t="s">
        <v>1149</v>
      </c>
      <c r="C17" s="48" t="s">
        <v>1148</v>
      </c>
      <c r="D17" s="48">
        <v>3</v>
      </c>
      <c r="E17" s="48" t="s">
        <v>14592</v>
      </c>
    </row>
    <row r="18" spans="1:5" ht="28.5">
      <c r="A18" s="74" t="s">
        <v>428</v>
      </c>
      <c r="B18" s="74" t="s">
        <v>1034</v>
      </c>
      <c r="C18" s="74" t="s">
        <v>1033</v>
      </c>
      <c r="D18" s="74">
        <v>3</v>
      </c>
      <c r="E18" s="74" t="s">
        <v>14593</v>
      </c>
    </row>
    <row r="19" spans="1:5" ht="28.5">
      <c r="A19" s="48" t="s">
        <v>14537</v>
      </c>
      <c r="B19" s="48" t="s">
        <v>1491</v>
      </c>
      <c r="C19" s="48" t="s">
        <v>1490</v>
      </c>
      <c r="D19" s="48">
        <v>3</v>
      </c>
      <c r="E19" s="48" t="s">
        <v>14594</v>
      </c>
    </row>
    <row r="20" spans="1:5" ht="28.5">
      <c r="A20" s="74" t="s">
        <v>14537</v>
      </c>
      <c r="B20" s="74" t="s">
        <v>1000</v>
      </c>
      <c r="C20" s="74" t="s">
        <v>999</v>
      </c>
      <c r="D20" s="74">
        <v>3</v>
      </c>
      <c r="E20" s="74" t="s">
        <v>14595</v>
      </c>
    </row>
    <row r="21" spans="1:5" ht="28.5">
      <c r="A21" s="48" t="s">
        <v>14537</v>
      </c>
      <c r="B21" s="48" t="s">
        <v>1443</v>
      </c>
      <c r="C21" s="48" t="s">
        <v>1442</v>
      </c>
      <c r="D21" s="48">
        <v>5</v>
      </c>
      <c r="E21" s="48" t="s">
        <v>14596</v>
      </c>
    </row>
    <row r="22" spans="1:5" ht="28.5">
      <c r="A22" s="74" t="s">
        <v>14537</v>
      </c>
      <c r="B22" s="74" t="s">
        <v>1583</v>
      </c>
      <c r="C22" s="74" t="s">
        <v>1582</v>
      </c>
      <c r="D22" s="74">
        <v>5</v>
      </c>
      <c r="E22" s="74" t="s">
        <v>14597</v>
      </c>
    </row>
    <row r="23" spans="1:5" ht="28.5">
      <c r="A23" s="48" t="s">
        <v>14537</v>
      </c>
      <c r="B23" s="48" t="s">
        <v>1537</v>
      </c>
      <c r="C23" s="48" t="s">
        <v>1536</v>
      </c>
      <c r="D23" s="48">
        <v>4.5</v>
      </c>
      <c r="E23" s="48" t="s">
        <v>14598</v>
      </c>
    </row>
    <row r="24" spans="1:5" ht="28.5">
      <c r="A24" s="74" t="s">
        <v>14537</v>
      </c>
      <c r="B24" s="74" t="s">
        <v>1102</v>
      </c>
      <c r="C24" s="74" t="s">
        <v>1101</v>
      </c>
      <c r="D24" s="74">
        <v>3</v>
      </c>
      <c r="E24" s="74" t="s">
        <v>14599</v>
      </c>
    </row>
    <row r="25" spans="1:5" ht="28.5">
      <c r="A25" s="48" t="s">
        <v>14537</v>
      </c>
      <c r="B25" s="48" t="s">
        <v>1260</v>
      </c>
      <c r="C25" s="48" t="s">
        <v>1259</v>
      </c>
      <c r="D25" s="48">
        <v>3</v>
      </c>
      <c r="E25" s="48" t="s">
        <v>14600</v>
      </c>
    </row>
    <row r="26" spans="1:5" ht="28.5">
      <c r="A26" s="74" t="s">
        <v>14537</v>
      </c>
      <c r="B26" s="74" t="s">
        <v>1160</v>
      </c>
      <c r="C26" s="74" t="s">
        <v>1159</v>
      </c>
      <c r="D26" s="74">
        <v>3</v>
      </c>
      <c r="E26" s="74" t="s">
        <v>14601</v>
      </c>
    </row>
    <row r="27" spans="1:5" ht="28.5">
      <c r="A27" s="48" t="s">
        <v>14537</v>
      </c>
      <c r="B27" s="48" t="s">
        <v>1333</v>
      </c>
      <c r="C27" s="48" t="s">
        <v>1332</v>
      </c>
      <c r="D27" s="48">
        <v>4</v>
      </c>
      <c r="E27" s="48" t="s">
        <v>14602</v>
      </c>
    </row>
    <row r="28" spans="1:5" ht="28.5">
      <c r="A28" s="74" t="s">
        <v>14537</v>
      </c>
      <c r="B28" s="74" t="s">
        <v>1213</v>
      </c>
      <c r="C28" s="74" t="s">
        <v>1212</v>
      </c>
      <c r="D28" s="74">
        <v>4</v>
      </c>
      <c r="E28" s="74" t="s">
        <v>14603</v>
      </c>
    </row>
    <row r="29" spans="1:5" ht="28.5">
      <c r="A29" s="48" t="s">
        <v>14537</v>
      </c>
      <c r="B29" s="48" t="s">
        <v>1050</v>
      </c>
      <c r="C29" s="48" t="s">
        <v>1049</v>
      </c>
      <c r="D29" s="48">
        <v>3</v>
      </c>
      <c r="E29" s="48" t="s">
        <v>14604</v>
      </c>
    </row>
    <row r="30" spans="1:5" ht="28.5">
      <c r="A30" s="74" t="s">
        <v>14537</v>
      </c>
      <c r="B30" s="74" t="s">
        <v>1380</v>
      </c>
      <c r="C30" s="74" t="s">
        <v>1379</v>
      </c>
      <c r="D30" s="74">
        <v>3</v>
      </c>
      <c r="E30" s="74" t="s">
        <v>14605</v>
      </c>
    </row>
    <row r="31" spans="1:5" ht="28.5">
      <c r="A31" s="48" t="s">
        <v>14537</v>
      </c>
      <c r="B31" s="48" t="s">
        <v>1149</v>
      </c>
      <c r="C31" s="48" t="s">
        <v>1148</v>
      </c>
      <c r="D31" s="48">
        <v>3</v>
      </c>
      <c r="E31" s="48" t="s">
        <v>14606</v>
      </c>
    </row>
    <row r="32" spans="1:5" ht="28.5">
      <c r="A32" s="74" t="s">
        <v>14537</v>
      </c>
      <c r="B32" s="74" t="s">
        <v>1034</v>
      </c>
      <c r="C32" s="74" t="s">
        <v>1033</v>
      </c>
      <c r="D32" s="74">
        <v>3</v>
      </c>
      <c r="E32" s="74" t="s">
        <v>14607</v>
      </c>
    </row>
    <row r="33" spans="1:5" ht="28.5">
      <c r="A33" s="48" t="s">
        <v>14538</v>
      </c>
      <c r="B33" s="48" t="s">
        <v>1491</v>
      </c>
      <c r="C33" s="48" t="s">
        <v>1490</v>
      </c>
      <c r="D33" s="48">
        <v>3</v>
      </c>
      <c r="E33" s="48" t="s">
        <v>14608</v>
      </c>
    </row>
    <row r="34" spans="1:5" ht="28.5">
      <c r="A34" s="74" t="s">
        <v>14538</v>
      </c>
      <c r="B34" s="74" t="s">
        <v>1000</v>
      </c>
      <c r="C34" s="74" t="s">
        <v>999</v>
      </c>
      <c r="D34" s="74">
        <v>4.5</v>
      </c>
      <c r="E34" s="74" t="s">
        <v>14609</v>
      </c>
    </row>
    <row r="35" spans="1:5" ht="28.5">
      <c r="A35" s="48" t="s">
        <v>14538</v>
      </c>
      <c r="B35" s="48" t="s">
        <v>1443</v>
      </c>
      <c r="C35" s="48" t="s">
        <v>1442</v>
      </c>
      <c r="D35" s="48">
        <v>4</v>
      </c>
      <c r="E35" s="48" t="s">
        <v>14610</v>
      </c>
    </row>
    <row r="36" spans="1:5" ht="28.5">
      <c r="A36" s="74" t="s">
        <v>14538</v>
      </c>
      <c r="B36" s="74" t="s">
        <v>1583</v>
      </c>
      <c r="C36" s="74" t="s">
        <v>1582</v>
      </c>
      <c r="D36" s="74">
        <v>3</v>
      </c>
      <c r="E36" s="74" t="s">
        <v>14611</v>
      </c>
    </row>
    <row r="37" spans="1:5" ht="28.5">
      <c r="A37" s="48" t="s">
        <v>14538</v>
      </c>
      <c r="B37" s="48" t="s">
        <v>1537</v>
      </c>
      <c r="C37" s="48" t="s">
        <v>1536</v>
      </c>
      <c r="D37" s="48">
        <v>3</v>
      </c>
      <c r="E37" s="48" t="s">
        <v>14612</v>
      </c>
    </row>
    <row r="38" spans="1:5" ht="28.5">
      <c r="A38" s="74" t="s">
        <v>14538</v>
      </c>
      <c r="B38" s="74" t="s">
        <v>1102</v>
      </c>
      <c r="C38" s="74" t="s">
        <v>1101</v>
      </c>
      <c r="D38" s="74">
        <v>3</v>
      </c>
      <c r="E38" s="74" t="s">
        <v>14613</v>
      </c>
    </row>
    <row r="39" spans="1:5" ht="28.5">
      <c r="A39" s="48" t="s">
        <v>14538</v>
      </c>
      <c r="B39" s="48" t="s">
        <v>1260</v>
      </c>
      <c r="C39" s="48" t="s">
        <v>1259</v>
      </c>
      <c r="D39" s="48">
        <v>5</v>
      </c>
      <c r="E39" s="48" t="s">
        <v>14614</v>
      </c>
    </row>
    <row r="40" spans="1:5" ht="28.5">
      <c r="A40" s="74" t="s">
        <v>14538</v>
      </c>
      <c r="B40" s="74" t="s">
        <v>1160</v>
      </c>
      <c r="C40" s="74" t="s">
        <v>1159</v>
      </c>
      <c r="D40" s="74">
        <v>5</v>
      </c>
      <c r="E40" s="74" t="s">
        <v>14615</v>
      </c>
    </row>
    <row r="41" spans="1:5" ht="28.5">
      <c r="A41" s="48" t="s">
        <v>14538</v>
      </c>
      <c r="B41" s="48" t="s">
        <v>1333</v>
      </c>
      <c r="C41" s="48" t="s">
        <v>1332</v>
      </c>
      <c r="D41" s="48">
        <v>3</v>
      </c>
      <c r="E41" s="48" t="s">
        <v>14616</v>
      </c>
    </row>
    <row r="42" spans="1:5" ht="28.5">
      <c r="A42" s="74" t="s">
        <v>14538</v>
      </c>
      <c r="B42" s="74" t="s">
        <v>1213</v>
      </c>
      <c r="C42" s="74" t="s">
        <v>1212</v>
      </c>
      <c r="D42" s="74">
        <v>3</v>
      </c>
      <c r="E42" s="74" t="s">
        <v>14617</v>
      </c>
    </row>
    <row r="43" spans="1:5" ht="28.5">
      <c r="A43" s="48" t="s">
        <v>14538</v>
      </c>
      <c r="B43" s="48" t="s">
        <v>1050</v>
      </c>
      <c r="C43" s="48" t="s">
        <v>1049</v>
      </c>
      <c r="D43" s="48">
        <v>3</v>
      </c>
      <c r="E43" s="48" t="s">
        <v>14618</v>
      </c>
    </row>
    <row r="44" spans="1:5" ht="28.5">
      <c r="A44" s="74" t="s">
        <v>14538</v>
      </c>
      <c r="B44" s="74" t="s">
        <v>1380</v>
      </c>
      <c r="C44" s="74" t="s">
        <v>1379</v>
      </c>
      <c r="D44" s="74">
        <v>4.5</v>
      </c>
      <c r="E44" s="74" t="s">
        <v>14619</v>
      </c>
    </row>
    <row r="45" spans="1:5" ht="28.5">
      <c r="A45" s="48" t="s">
        <v>14538</v>
      </c>
      <c r="B45" s="48" t="s">
        <v>1149</v>
      </c>
      <c r="C45" s="48" t="s">
        <v>1148</v>
      </c>
      <c r="D45" s="48">
        <v>3</v>
      </c>
      <c r="E45" s="48" t="s">
        <v>14620</v>
      </c>
    </row>
    <row r="46" spans="1:5" ht="28.5">
      <c r="A46" s="74" t="s">
        <v>14538</v>
      </c>
      <c r="B46" s="74" t="s">
        <v>1034</v>
      </c>
      <c r="C46" s="74" t="s">
        <v>1033</v>
      </c>
      <c r="D46" s="74">
        <v>3</v>
      </c>
      <c r="E46" s="74" t="s">
        <v>14621</v>
      </c>
    </row>
    <row r="47" spans="1:5" ht="28.5">
      <c r="A47" s="48" t="s">
        <v>14539</v>
      </c>
      <c r="B47" s="48" t="s">
        <v>1491</v>
      </c>
      <c r="C47" s="48" t="s">
        <v>1490</v>
      </c>
      <c r="D47" s="48">
        <v>3</v>
      </c>
      <c r="E47" s="48" t="s">
        <v>14622</v>
      </c>
    </row>
    <row r="48" spans="1:5" ht="28.5">
      <c r="A48" s="74" t="s">
        <v>14539</v>
      </c>
      <c r="B48" s="74" t="s">
        <v>1000</v>
      </c>
      <c r="C48" s="74" t="s">
        <v>999</v>
      </c>
      <c r="D48" s="74">
        <v>3</v>
      </c>
      <c r="E48" s="74" t="s">
        <v>14623</v>
      </c>
    </row>
    <row r="49" spans="1:5" ht="28.5">
      <c r="A49" s="48" t="s">
        <v>14539</v>
      </c>
      <c r="B49" s="48" t="s">
        <v>1443</v>
      </c>
      <c r="C49" s="48" t="s">
        <v>1442</v>
      </c>
      <c r="D49" s="48">
        <v>3</v>
      </c>
      <c r="E49" s="48" t="s">
        <v>14624</v>
      </c>
    </row>
    <row r="50" spans="1:5" ht="28.5">
      <c r="A50" s="74" t="s">
        <v>14539</v>
      </c>
      <c r="B50" s="74" t="s">
        <v>1583</v>
      </c>
      <c r="C50" s="74" t="s">
        <v>1582</v>
      </c>
      <c r="D50" s="74">
        <v>4.5</v>
      </c>
      <c r="E50" s="74" t="s">
        <v>14625</v>
      </c>
    </row>
    <row r="51" spans="1:5" ht="28.5">
      <c r="A51" s="48" t="s">
        <v>14539</v>
      </c>
      <c r="B51" s="48" t="s">
        <v>1537</v>
      </c>
      <c r="C51" s="48" t="s">
        <v>1536</v>
      </c>
      <c r="D51" s="48">
        <v>4</v>
      </c>
      <c r="E51" s="48" t="s">
        <v>14626</v>
      </c>
    </row>
    <row r="52" spans="1:5" ht="28.5">
      <c r="A52" s="74" t="s">
        <v>14539</v>
      </c>
      <c r="B52" s="74" t="s">
        <v>1102</v>
      </c>
      <c r="C52" s="74" t="s">
        <v>1101</v>
      </c>
      <c r="D52" s="74">
        <v>3</v>
      </c>
      <c r="E52" s="74" t="s">
        <v>14627</v>
      </c>
    </row>
    <row r="53" spans="1:5" ht="28.5">
      <c r="A53" s="48" t="s">
        <v>14539</v>
      </c>
      <c r="B53" s="48" t="s">
        <v>1260</v>
      </c>
      <c r="C53" s="48" t="s">
        <v>1259</v>
      </c>
      <c r="D53" s="48">
        <v>3</v>
      </c>
      <c r="E53" s="48" t="s">
        <v>14628</v>
      </c>
    </row>
    <row r="54" spans="1:5" ht="28.5">
      <c r="A54" s="74" t="s">
        <v>14539</v>
      </c>
      <c r="B54" s="74" t="s">
        <v>1160</v>
      </c>
      <c r="C54" s="74" t="s">
        <v>1159</v>
      </c>
      <c r="D54" s="74">
        <v>4</v>
      </c>
      <c r="E54" s="74" t="s">
        <v>14629</v>
      </c>
    </row>
    <row r="55" spans="1:5" ht="28.5">
      <c r="A55" s="48" t="s">
        <v>14539</v>
      </c>
      <c r="B55" s="48" t="s">
        <v>1333</v>
      </c>
      <c r="C55" s="48" t="s">
        <v>1332</v>
      </c>
      <c r="D55" s="48">
        <v>5</v>
      </c>
      <c r="E55" s="48" t="s">
        <v>14630</v>
      </c>
    </row>
    <row r="56" spans="1:5" ht="28.5">
      <c r="A56" s="74" t="s">
        <v>14539</v>
      </c>
      <c r="B56" s="74" t="s">
        <v>1213</v>
      </c>
      <c r="C56" s="74" t="s">
        <v>1212</v>
      </c>
      <c r="D56" s="74">
        <v>5</v>
      </c>
      <c r="E56" s="74" t="s">
        <v>14631</v>
      </c>
    </row>
    <row r="57" spans="1:5" ht="28.5">
      <c r="A57" s="48" t="s">
        <v>14539</v>
      </c>
      <c r="B57" s="48" t="s">
        <v>1050</v>
      </c>
      <c r="C57" s="48" t="s">
        <v>1049</v>
      </c>
      <c r="D57" s="48">
        <v>3</v>
      </c>
      <c r="E57" s="48" t="s">
        <v>14632</v>
      </c>
    </row>
    <row r="58" spans="1:5" ht="28.5">
      <c r="A58" s="74" t="s">
        <v>14539</v>
      </c>
      <c r="B58" s="74" t="s">
        <v>1380</v>
      </c>
      <c r="C58" s="74" t="s">
        <v>1379</v>
      </c>
      <c r="D58" s="74">
        <v>3</v>
      </c>
      <c r="E58" s="74" t="s">
        <v>14633</v>
      </c>
    </row>
    <row r="59" spans="1:5" ht="28.5">
      <c r="A59" s="48" t="s">
        <v>14539</v>
      </c>
      <c r="B59" s="48" t="s">
        <v>1149</v>
      </c>
      <c r="C59" s="48" t="s">
        <v>1148</v>
      </c>
      <c r="D59" s="48">
        <v>3</v>
      </c>
      <c r="E59" s="48" t="s">
        <v>14634</v>
      </c>
    </row>
    <row r="60" spans="1:5" ht="28.5">
      <c r="A60" s="74" t="s">
        <v>14539</v>
      </c>
      <c r="B60" s="74" t="s">
        <v>1034</v>
      </c>
      <c r="C60" s="74" t="s">
        <v>1033</v>
      </c>
      <c r="D60" s="74">
        <v>3</v>
      </c>
      <c r="E60" s="74" t="s">
        <v>14635</v>
      </c>
    </row>
    <row r="61" spans="1:5" ht="28.5">
      <c r="A61" s="48" t="s">
        <v>14540</v>
      </c>
      <c r="B61" s="48" t="s">
        <v>1491</v>
      </c>
      <c r="C61" s="48" t="s">
        <v>1490</v>
      </c>
      <c r="D61" s="48">
        <v>3</v>
      </c>
      <c r="E61" s="48" t="s">
        <v>14636</v>
      </c>
    </row>
    <row r="62" spans="1:5" ht="28.5">
      <c r="A62" s="74" t="s">
        <v>14540</v>
      </c>
      <c r="B62" s="74" t="s">
        <v>1000</v>
      </c>
      <c r="C62" s="74" t="s">
        <v>999</v>
      </c>
      <c r="D62" s="74">
        <v>4.5</v>
      </c>
      <c r="E62" s="74" t="s">
        <v>14637</v>
      </c>
    </row>
    <row r="63" spans="1:5" ht="28.5">
      <c r="A63" s="48" t="s">
        <v>14540</v>
      </c>
      <c r="B63" s="48" t="s">
        <v>1443</v>
      </c>
      <c r="C63" s="48" t="s">
        <v>1442</v>
      </c>
      <c r="D63" s="48">
        <v>4</v>
      </c>
      <c r="E63" s="48" t="s">
        <v>14638</v>
      </c>
    </row>
    <row r="64" spans="1:5" ht="28.5">
      <c r="A64" s="74" t="s">
        <v>14540</v>
      </c>
      <c r="B64" s="74" t="s">
        <v>1583</v>
      </c>
      <c r="C64" s="74" t="s">
        <v>1582</v>
      </c>
      <c r="D64" s="74">
        <v>3</v>
      </c>
      <c r="E64" s="74" t="s">
        <v>14639</v>
      </c>
    </row>
    <row r="65" spans="1:5" ht="28.5">
      <c r="A65" s="48" t="s">
        <v>14540</v>
      </c>
      <c r="B65" s="48" t="s">
        <v>1537</v>
      </c>
      <c r="C65" s="48" t="s">
        <v>1536</v>
      </c>
      <c r="D65" s="48">
        <v>4</v>
      </c>
      <c r="E65" s="48" t="s">
        <v>14640</v>
      </c>
    </row>
    <row r="66" spans="1:5" ht="28.5">
      <c r="A66" s="74" t="s">
        <v>14540</v>
      </c>
      <c r="B66" s="74" t="s">
        <v>1102</v>
      </c>
      <c r="C66" s="74" t="s">
        <v>1101</v>
      </c>
      <c r="D66" s="74">
        <v>3</v>
      </c>
      <c r="E66" s="74" t="s">
        <v>14641</v>
      </c>
    </row>
    <row r="67" spans="1:5" ht="28.5">
      <c r="A67" s="48" t="s">
        <v>14540</v>
      </c>
      <c r="B67" s="48" t="s">
        <v>1260</v>
      </c>
      <c r="C67" s="48" t="s">
        <v>1259</v>
      </c>
      <c r="D67" s="48">
        <v>4.5</v>
      </c>
      <c r="E67" s="48" t="s">
        <v>14642</v>
      </c>
    </row>
    <row r="68" spans="1:5" ht="28.5">
      <c r="A68" s="74" t="s">
        <v>14540</v>
      </c>
      <c r="B68" s="74" t="s">
        <v>1160</v>
      </c>
      <c r="C68" s="74" t="s">
        <v>1159</v>
      </c>
      <c r="D68" s="74">
        <v>5</v>
      </c>
      <c r="E68" s="74" t="s">
        <v>14643</v>
      </c>
    </row>
    <row r="69" spans="1:5" ht="28.5">
      <c r="A69" s="48" t="s">
        <v>14540</v>
      </c>
      <c r="B69" s="48" t="s">
        <v>1333</v>
      </c>
      <c r="C69" s="48" t="s">
        <v>1332</v>
      </c>
      <c r="D69" s="48">
        <v>3</v>
      </c>
      <c r="E69" s="48" t="s">
        <v>14644</v>
      </c>
    </row>
    <row r="70" spans="1:5" ht="28.5">
      <c r="A70" s="74" t="s">
        <v>14540</v>
      </c>
      <c r="B70" s="74" t="s">
        <v>1213</v>
      </c>
      <c r="C70" s="74" t="s">
        <v>1212</v>
      </c>
      <c r="D70" s="74">
        <v>3</v>
      </c>
      <c r="E70" s="74" t="s">
        <v>14645</v>
      </c>
    </row>
    <row r="71" spans="1:5" ht="28.5">
      <c r="A71" s="48" t="s">
        <v>14540</v>
      </c>
      <c r="B71" s="48" t="s">
        <v>1050</v>
      </c>
      <c r="C71" s="48" t="s">
        <v>1049</v>
      </c>
      <c r="D71" s="48">
        <v>3</v>
      </c>
      <c r="E71" s="48" t="s">
        <v>14646</v>
      </c>
    </row>
    <row r="72" spans="1:5" ht="28.5">
      <c r="A72" s="74" t="s">
        <v>14540</v>
      </c>
      <c r="B72" s="74" t="s">
        <v>1380</v>
      </c>
      <c r="C72" s="74" t="s">
        <v>1379</v>
      </c>
      <c r="D72" s="74">
        <v>3</v>
      </c>
      <c r="E72" s="74" t="s">
        <v>14647</v>
      </c>
    </row>
    <row r="73" spans="1:5" ht="28.5">
      <c r="A73" s="48" t="s">
        <v>14540</v>
      </c>
      <c r="B73" s="48" t="s">
        <v>1149</v>
      </c>
      <c r="C73" s="48" t="s">
        <v>1148</v>
      </c>
      <c r="D73" s="48">
        <v>3</v>
      </c>
      <c r="E73" s="48" t="s">
        <v>14648</v>
      </c>
    </row>
    <row r="74" spans="1:5" ht="28.5">
      <c r="A74" s="74" t="s">
        <v>14540</v>
      </c>
      <c r="B74" s="74" t="s">
        <v>1034</v>
      </c>
      <c r="C74" s="74" t="s">
        <v>1033</v>
      </c>
      <c r="D74" s="74">
        <v>3</v>
      </c>
      <c r="E74" s="74" t="s">
        <v>14649</v>
      </c>
    </row>
    <row r="75" spans="1:5" ht="28.5">
      <c r="A75" s="48" t="s">
        <v>14541</v>
      </c>
      <c r="B75" s="48" t="s">
        <v>1491</v>
      </c>
      <c r="C75" s="48" t="s">
        <v>1490</v>
      </c>
      <c r="D75" s="48">
        <v>3</v>
      </c>
      <c r="E75" s="48" t="s">
        <v>14650</v>
      </c>
    </row>
    <row r="76" spans="1:5" ht="28.5">
      <c r="A76" s="74" t="s">
        <v>14541</v>
      </c>
      <c r="B76" s="74" t="s">
        <v>1000</v>
      </c>
      <c r="C76" s="74" t="s">
        <v>999</v>
      </c>
      <c r="D76" s="74">
        <v>4.5</v>
      </c>
      <c r="E76" s="74" t="s">
        <v>14651</v>
      </c>
    </row>
    <row r="77" spans="1:5" ht="28.5">
      <c r="A77" s="48" t="s">
        <v>14541</v>
      </c>
      <c r="B77" s="48" t="s">
        <v>1443</v>
      </c>
      <c r="C77" s="48" t="s">
        <v>1442</v>
      </c>
      <c r="D77" s="48">
        <v>3</v>
      </c>
      <c r="E77" s="48" t="s">
        <v>14652</v>
      </c>
    </row>
    <row r="78" spans="1:5" ht="28.5">
      <c r="A78" s="74" t="s">
        <v>14541</v>
      </c>
      <c r="B78" s="74" t="s">
        <v>1583</v>
      </c>
      <c r="C78" s="74" t="s">
        <v>1582</v>
      </c>
      <c r="D78" s="74">
        <v>5</v>
      </c>
      <c r="E78" s="74" t="s">
        <v>14653</v>
      </c>
    </row>
    <row r="79" spans="1:5" ht="28.5">
      <c r="A79" s="48" t="s">
        <v>14541</v>
      </c>
      <c r="B79" s="48" t="s">
        <v>1537</v>
      </c>
      <c r="C79" s="48" t="s">
        <v>1536</v>
      </c>
      <c r="D79" s="48">
        <v>4.5</v>
      </c>
      <c r="E79" s="48" t="s">
        <v>14654</v>
      </c>
    </row>
    <row r="80" spans="1:5" ht="28.5">
      <c r="A80" s="74" t="s">
        <v>14541</v>
      </c>
      <c r="B80" s="74" t="s">
        <v>1102</v>
      </c>
      <c r="C80" s="74" t="s">
        <v>1101</v>
      </c>
      <c r="D80" s="74">
        <v>3</v>
      </c>
      <c r="E80" s="74" t="s">
        <v>14655</v>
      </c>
    </row>
    <row r="81" spans="1:5" ht="28.5">
      <c r="A81" s="48" t="s">
        <v>14541</v>
      </c>
      <c r="B81" s="48" t="s">
        <v>1260</v>
      </c>
      <c r="C81" s="48" t="s">
        <v>1259</v>
      </c>
      <c r="D81" s="48">
        <v>3</v>
      </c>
      <c r="E81" s="48" t="s">
        <v>14656</v>
      </c>
    </row>
    <row r="82" spans="1:5" ht="28.5">
      <c r="A82" s="74" t="s">
        <v>14541</v>
      </c>
      <c r="B82" s="74" t="s">
        <v>1160</v>
      </c>
      <c r="C82" s="74" t="s">
        <v>1159</v>
      </c>
      <c r="D82" s="74">
        <v>3</v>
      </c>
      <c r="E82" s="74" t="s">
        <v>14657</v>
      </c>
    </row>
    <row r="83" spans="1:5" ht="28.5">
      <c r="A83" s="48" t="s">
        <v>14541</v>
      </c>
      <c r="B83" s="48" t="s">
        <v>1333</v>
      </c>
      <c r="C83" s="48" t="s">
        <v>1332</v>
      </c>
      <c r="D83" s="48">
        <v>3</v>
      </c>
      <c r="E83" s="48" t="s">
        <v>14658</v>
      </c>
    </row>
    <row r="84" spans="1:5" ht="28.5">
      <c r="A84" s="74" t="s">
        <v>14541</v>
      </c>
      <c r="B84" s="74" t="s">
        <v>1213</v>
      </c>
      <c r="C84" s="74" t="s">
        <v>1212</v>
      </c>
      <c r="D84" s="74">
        <v>3</v>
      </c>
      <c r="E84" s="74" t="s">
        <v>14659</v>
      </c>
    </row>
    <row r="85" spans="1:5" ht="28.5">
      <c r="A85" s="48" t="s">
        <v>14541</v>
      </c>
      <c r="B85" s="48" t="s">
        <v>1050</v>
      </c>
      <c r="C85" s="48" t="s">
        <v>1049</v>
      </c>
      <c r="D85" s="48">
        <v>5</v>
      </c>
      <c r="E85" s="48" t="s">
        <v>14660</v>
      </c>
    </row>
    <row r="86" spans="1:5" ht="28.5">
      <c r="A86" s="74" t="s">
        <v>14541</v>
      </c>
      <c r="B86" s="74" t="s">
        <v>1380</v>
      </c>
      <c r="C86" s="74" t="s">
        <v>1379</v>
      </c>
      <c r="D86" s="74">
        <v>3</v>
      </c>
      <c r="E86" s="74" t="s">
        <v>14661</v>
      </c>
    </row>
    <row r="87" spans="1:5" ht="28.5">
      <c r="A87" s="48" t="s">
        <v>14541</v>
      </c>
      <c r="B87" s="48" t="s">
        <v>1149</v>
      </c>
      <c r="C87" s="48" t="s">
        <v>1148</v>
      </c>
      <c r="D87" s="48">
        <v>4</v>
      </c>
      <c r="E87" s="48" t="s">
        <v>14662</v>
      </c>
    </row>
    <row r="88" spans="1:5" ht="28.5">
      <c r="A88" s="74" t="s">
        <v>14541</v>
      </c>
      <c r="B88" s="74" t="s">
        <v>1034</v>
      </c>
      <c r="C88" s="74" t="s">
        <v>1033</v>
      </c>
      <c r="D88" s="74">
        <v>3</v>
      </c>
      <c r="E88" s="74" t="s">
        <v>14663</v>
      </c>
    </row>
    <row r="89" spans="1:5" ht="28.5">
      <c r="A89" s="48" t="s">
        <v>14542</v>
      </c>
      <c r="B89" s="48" t="s">
        <v>1491</v>
      </c>
      <c r="C89" s="48" t="s">
        <v>1490</v>
      </c>
      <c r="D89" s="48">
        <v>3</v>
      </c>
      <c r="E89" s="48" t="s">
        <v>14664</v>
      </c>
    </row>
    <row r="90" spans="1:5" ht="28.5">
      <c r="A90" s="74" t="s">
        <v>14542</v>
      </c>
      <c r="B90" s="74" t="s">
        <v>1000</v>
      </c>
      <c r="C90" s="74" t="s">
        <v>999</v>
      </c>
      <c r="D90" s="74">
        <v>5</v>
      </c>
      <c r="E90" s="74" t="s">
        <v>14665</v>
      </c>
    </row>
    <row r="91" spans="1:5" ht="28.5">
      <c r="A91" s="48" t="s">
        <v>14542</v>
      </c>
      <c r="B91" s="48" t="s">
        <v>1443</v>
      </c>
      <c r="C91" s="48" t="s">
        <v>1442</v>
      </c>
      <c r="D91" s="48">
        <v>4.5</v>
      </c>
      <c r="E91" s="48" t="s">
        <v>14666</v>
      </c>
    </row>
    <row r="92" spans="1:5" ht="28.5">
      <c r="A92" s="74" t="s">
        <v>14542</v>
      </c>
      <c r="B92" s="74" t="s">
        <v>1583</v>
      </c>
      <c r="C92" s="74" t="s">
        <v>1582</v>
      </c>
      <c r="D92" s="74">
        <v>5</v>
      </c>
      <c r="E92" s="74" t="s">
        <v>14667</v>
      </c>
    </row>
    <row r="93" spans="1:5" ht="28.5">
      <c r="A93" s="48" t="s">
        <v>14542</v>
      </c>
      <c r="B93" s="48" t="s">
        <v>1537</v>
      </c>
      <c r="C93" s="48" t="s">
        <v>1536</v>
      </c>
      <c r="D93" s="48">
        <v>3</v>
      </c>
      <c r="E93" s="48" t="s">
        <v>14668</v>
      </c>
    </row>
    <row r="94" spans="1:5" ht="28.5">
      <c r="A94" s="74" t="s">
        <v>14542</v>
      </c>
      <c r="B94" s="74" t="s">
        <v>1102</v>
      </c>
      <c r="C94" s="74" t="s">
        <v>1101</v>
      </c>
      <c r="D94" s="74">
        <v>3</v>
      </c>
      <c r="E94" s="74" t="s">
        <v>14669</v>
      </c>
    </row>
    <row r="95" spans="1:5" ht="28.5">
      <c r="A95" s="48" t="s">
        <v>14542</v>
      </c>
      <c r="B95" s="48" t="s">
        <v>1260</v>
      </c>
      <c r="C95" s="48" t="s">
        <v>1259</v>
      </c>
      <c r="D95" s="48">
        <v>3</v>
      </c>
      <c r="E95" s="48" t="s">
        <v>14670</v>
      </c>
    </row>
    <row r="96" spans="1:5" ht="28.5">
      <c r="A96" s="74" t="s">
        <v>14542</v>
      </c>
      <c r="B96" s="74" t="s">
        <v>1160</v>
      </c>
      <c r="C96" s="74" t="s">
        <v>1159</v>
      </c>
      <c r="D96" s="74">
        <v>4.5</v>
      </c>
      <c r="E96" s="74" t="s">
        <v>14671</v>
      </c>
    </row>
    <row r="97" spans="1:5" ht="28.5">
      <c r="A97" s="48" t="s">
        <v>14542</v>
      </c>
      <c r="B97" s="48" t="s">
        <v>1333</v>
      </c>
      <c r="C97" s="48" t="s">
        <v>1332</v>
      </c>
      <c r="D97" s="48">
        <v>3</v>
      </c>
      <c r="E97" s="48" t="s">
        <v>14672</v>
      </c>
    </row>
    <row r="98" spans="1:5" ht="28.5">
      <c r="A98" s="74" t="s">
        <v>14542</v>
      </c>
      <c r="B98" s="74" t="s">
        <v>1213</v>
      </c>
      <c r="C98" s="74" t="s">
        <v>1212</v>
      </c>
      <c r="D98" s="74">
        <v>3</v>
      </c>
      <c r="E98" s="74" t="s">
        <v>14673</v>
      </c>
    </row>
    <row r="99" spans="1:5" ht="28.5">
      <c r="A99" s="48" t="s">
        <v>14542</v>
      </c>
      <c r="B99" s="48" t="s">
        <v>1050</v>
      </c>
      <c r="C99" s="48" t="s">
        <v>1049</v>
      </c>
      <c r="D99" s="48">
        <v>4</v>
      </c>
      <c r="E99" s="48" t="s">
        <v>14674</v>
      </c>
    </row>
    <row r="100" spans="1:5" ht="28.5">
      <c r="A100" s="74" t="s">
        <v>14542</v>
      </c>
      <c r="B100" s="74" t="s">
        <v>1380</v>
      </c>
      <c r="C100" s="74" t="s">
        <v>1379</v>
      </c>
      <c r="D100" s="74">
        <v>3</v>
      </c>
      <c r="E100" s="74" t="s">
        <v>14675</v>
      </c>
    </row>
    <row r="101" spans="1:5" ht="28.5">
      <c r="A101" s="48" t="s">
        <v>14542</v>
      </c>
      <c r="B101" s="48" t="s">
        <v>1149</v>
      </c>
      <c r="C101" s="48" t="s">
        <v>1148</v>
      </c>
      <c r="D101" s="48">
        <v>3</v>
      </c>
      <c r="E101" s="48" t="s">
        <v>14676</v>
      </c>
    </row>
    <row r="102" spans="1:5" ht="28.5">
      <c r="A102" s="74" t="s">
        <v>14542</v>
      </c>
      <c r="B102" s="74" t="s">
        <v>1034</v>
      </c>
      <c r="C102" s="74" t="s">
        <v>1033</v>
      </c>
      <c r="D102" s="74">
        <v>3</v>
      </c>
      <c r="E102" s="74" t="s">
        <v>14677</v>
      </c>
    </row>
    <row r="103" spans="1:5" ht="28.5">
      <c r="A103" s="48" t="s">
        <v>14543</v>
      </c>
      <c r="B103" s="48" t="s">
        <v>1491</v>
      </c>
      <c r="C103" s="48" t="s">
        <v>1490</v>
      </c>
      <c r="D103" s="48">
        <v>4</v>
      </c>
      <c r="E103" s="48" t="s">
        <v>14678</v>
      </c>
    </row>
    <row r="104" spans="1:5" ht="28.5">
      <c r="A104" s="74" t="s">
        <v>14543</v>
      </c>
      <c r="B104" s="74" t="s">
        <v>1000</v>
      </c>
      <c r="C104" s="74" t="s">
        <v>999</v>
      </c>
      <c r="D104" s="74">
        <v>4</v>
      </c>
      <c r="E104" s="74" t="s">
        <v>14679</v>
      </c>
    </row>
    <row r="105" spans="1:5" ht="28.5">
      <c r="A105" s="48" t="s">
        <v>14543</v>
      </c>
      <c r="B105" s="48" t="s">
        <v>1443</v>
      </c>
      <c r="C105" s="48" t="s">
        <v>1442</v>
      </c>
      <c r="D105" s="48">
        <v>3</v>
      </c>
      <c r="E105" s="48" t="s">
        <v>14680</v>
      </c>
    </row>
    <row r="106" spans="1:5" ht="28.5">
      <c r="A106" s="74" t="s">
        <v>14543</v>
      </c>
      <c r="B106" s="74" t="s">
        <v>1583</v>
      </c>
      <c r="C106" s="74" t="s">
        <v>1582</v>
      </c>
      <c r="D106" s="74">
        <v>3</v>
      </c>
      <c r="E106" s="74" t="s">
        <v>14681</v>
      </c>
    </row>
    <row r="107" spans="1:5" ht="28.5">
      <c r="A107" s="48" t="s">
        <v>14543</v>
      </c>
      <c r="B107" s="48" t="s">
        <v>1537</v>
      </c>
      <c r="C107" s="48" t="s">
        <v>1536</v>
      </c>
      <c r="D107" s="48">
        <v>3</v>
      </c>
      <c r="E107" s="48" t="s">
        <v>14682</v>
      </c>
    </row>
    <row r="108" spans="1:5" ht="28.5">
      <c r="A108" s="74" t="s">
        <v>14543</v>
      </c>
      <c r="B108" s="74" t="s">
        <v>1102</v>
      </c>
      <c r="C108" s="74" t="s">
        <v>1101</v>
      </c>
      <c r="D108" s="74">
        <v>5</v>
      </c>
      <c r="E108" s="74" t="s">
        <v>14683</v>
      </c>
    </row>
    <row r="109" spans="1:5" ht="28.5">
      <c r="A109" s="48" t="s">
        <v>14543</v>
      </c>
      <c r="B109" s="48" t="s">
        <v>1260</v>
      </c>
      <c r="C109" s="48" t="s">
        <v>1259</v>
      </c>
      <c r="D109" s="48">
        <v>3</v>
      </c>
      <c r="E109" s="48" t="s">
        <v>14684</v>
      </c>
    </row>
    <row r="110" spans="1:5" ht="28.5">
      <c r="A110" s="74" t="s">
        <v>14543</v>
      </c>
      <c r="B110" s="74" t="s">
        <v>1160</v>
      </c>
      <c r="C110" s="74" t="s">
        <v>1159</v>
      </c>
      <c r="D110" s="74">
        <v>3</v>
      </c>
      <c r="E110" s="74" t="s">
        <v>14685</v>
      </c>
    </row>
    <row r="111" spans="1:5" ht="28.5">
      <c r="A111" s="48" t="s">
        <v>14543</v>
      </c>
      <c r="B111" s="48" t="s">
        <v>1333</v>
      </c>
      <c r="C111" s="48" t="s">
        <v>1332</v>
      </c>
      <c r="D111" s="48">
        <v>4</v>
      </c>
      <c r="E111" s="48" t="s">
        <v>14686</v>
      </c>
    </row>
    <row r="112" spans="1:5" ht="28.5">
      <c r="A112" s="74" t="s">
        <v>14543</v>
      </c>
      <c r="B112" s="74" t="s">
        <v>1213</v>
      </c>
      <c r="C112" s="74" t="s">
        <v>1212</v>
      </c>
      <c r="D112" s="74">
        <v>4.5</v>
      </c>
      <c r="E112" s="74" t="s">
        <v>14687</v>
      </c>
    </row>
    <row r="113" spans="1:5" ht="28.5">
      <c r="A113" s="48" t="s">
        <v>14543</v>
      </c>
      <c r="B113" s="48" t="s">
        <v>1050</v>
      </c>
      <c r="C113" s="48" t="s">
        <v>1049</v>
      </c>
      <c r="D113" s="48">
        <v>3</v>
      </c>
      <c r="E113" s="48" t="s">
        <v>14688</v>
      </c>
    </row>
    <row r="114" spans="1:5" ht="28.5">
      <c r="A114" s="74" t="s">
        <v>14543</v>
      </c>
      <c r="B114" s="74" t="s">
        <v>1380</v>
      </c>
      <c r="C114" s="74" t="s">
        <v>1379</v>
      </c>
      <c r="D114" s="74">
        <v>3</v>
      </c>
      <c r="E114" s="74" t="s">
        <v>14689</v>
      </c>
    </row>
    <row r="115" spans="1:5" ht="28.5">
      <c r="A115" s="48" t="s">
        <v>14543</v>
      </c>
      <c r="B115" s="48" t="s">
        <v>1149</v>
      </c>
      <c r="C115" s="48" t="s">
        <v>1148</v>
      </c>
      <c r="D115" s="48">
        <v>3</v>
      </c>
      <c r="E115" s="48" t="s">
        <v>14690</v>
      </c>
    </row>
    <row r="116" spans="1:5" ht="28.5">
      <c r="A116" s="74" t="s">
        <v>14543</v>
      </c>
      <c r="B116" s="74" t="s">
        <v>1034</v>
      </c>
      <c r="C116" s="74" t="s">
        <v>1033</v>
      </c>
      <c r="D116" s="74">
        <v>3</v>
      </c>
      <c r="E116" s="74" t="s">
        <v>14691</v>
      </c>
    </row>
    <row r="117" spans="1:5" ht="28.5">
      <c r="A117" s="48" t="s">
        <v>14544</v>
      </c>
      <c r="B117" s="48" t="s">
        <v>1491</v>
      </c>
      <c r="C117" s="48" t="s">
        <v>1490</v>
      </c>
      <c r="D117" s="48">
        <v>3</v>
      </c>
      <c r="E117" s="48" t="s">
        <v>14692</v>
      </c>
    </row>
    <row r="118" spans="1:5" ht="28.5">
      <c r="A118" s="74" t="s">
        <v>14544</v>
      </c>
      <c r="B118" s="74" t="s">
        <v>1000</v>
      </c>
      <c r="C118" s="74" t="s">
        <v>999</v>
      </c>
      <c r="D118" s="74">
        <v>5</v>
      </c>
      <c r="E118" s="74" t="s">
        <v>14693</v>
      </c>
    </row>
    <row r="119" spans="1:5" ht="28.5">
      <c r="A119" s="48" t="s">
        <v>14544</v>
      </c>
      <c r="B119" s="48" t="s">
        <v>1443</v>
      </c>
      <c r="C119" s="48" t="s">
        <v>1442</v>
      </c>
      <c r="D119" s="48">
        <v>4</v>
      </c>
      <c r="E119" s="48" t="s">
        <v>14694</v>
      </c>
    </row>
    <row r="120" spans="1:5" ht="28.5">
      <c r="A120" s="74" t="s">
        <v>14544</v>
      </c>
      <c r="B120" s="74" t="s">
        <v>1583</v>
      </c>
      <c r="C120" s="74" t="s">
        <v>1582</v>
      </c>
      <c r="D120" s="74">
        <v>4.5</v>
      </c>
      <c r="E120" s="74" t="s">
        <v>14695</v>
      </c>
    </row>
    <row r="121" spans="1:5" ht="28.5">
      <c r="A121" s="48" t="s">
        <v>14544</v>
      </c>
      <c r="B121" s="48" t="s">
        <v>1537</v>
      </c>
      <c r="C121" s="48" t="s">
        <v>1536</v>
      </c>
      <c r="D121" s="48">
        <v>4</v>
      </c>
      <c r="E121" s="48" t="s">
        <v>14696</v>
      </c>
    </row>
    <row r="122" spans="1:5" ht="28.5">
      <c r="A122" s="74" t="s">
        <v>14544</v>
      </c>
      <c r="B122" s="74" t="s">
        <v>1102</v>
      </c>
      <c r="C122" s="74" t="s">
        <v>1101</v>
      </c>
      <c r="D122" s="74">
        <v>3</v>
      </c>
      <c r="E122" s="74" t="s">
        <v>14697</v>
      </c>
    </row>
    <row r="123" spans="1:5" ht="28.5">
      <c r="A123" s="48" t="s">
        <v>14544</v>
      </c>
      <c r="B123" s="48" t="s">
        <v>1260</v>
      </c>
      <c r="C123" s="48" t="s">
        <v>1259</v>
      </c>
      <c r="D123" s="48">
        <v>3</v>
      </c>
      <c r="E123" s="48" t="s">
        <v>14698</v>
      </c>
    </row>
    <row r="124" spans="1:5" ht="28.5">
      <c r="A124" s="74" t="s">
        <v>14544</v>
      </c>
      <c r="B124" s="74" t="s">
        <v>1160</v>
      </c>
      <c r="C124" s="74" t="s">
        <v>1159</v>
      </c>
      <c r="D124" s="74">
        <v>3</v>
      </c>
      <c r="E124" s="74" t="s">
        <v>14699</v>
      </c>
    </row>
    <row r="125" spans="1:5" ht="28.5">
      <c r="A125" s="48" t="s">
        <v>14544</v>
      </c>
      <c r="B125" s="48" t="s">
        <v>1333</v>
      </c>
      <c r="C125" s="48" t="s">
        <v>1332</v>
      </c>
      <c r="D125" s="48">
        <v>3</v>
      </c>
      <c r="E125" s="48" t="s">
        <v>14700</v>
      </c>
    </row>
    <row r="126" spans="1:5" ht="28.5">
      <c r="A126" s="74" t="s">
        <v>14544</v>
      </c>
      <c r="B126" s="74" t="s">
        <v>1213</v>
      </c>
      <c r="C126" s="74" t="s">
        <v>1212</v>
      </c>
      <c r="D126" s="74">
        <v>3</v>
      </c>
      <c r="E126" s="74" t="s">
        <v>14701</v>
      </c>
    </row>
    <row r="127" spans="1:5" ht="28.5">
      <c r="A127" s="48" t="s">
        <v>14544</v>
      </c>
      <c r="B127" s="48" t="s">
        <v>1050</v>
      </c>
      <c r="C127" s="48" t="s">
        <v>1049</v>
      </c>
      <c r="D127" s="48">
        <v>5</v>
      </c>
      <c r="E127" s="48" t="s">
        <v>14702</v>
      </c>
    </row>
    <row r="128" spans="1:5" ht="28.5">
      <c r="A128" s="74" t="s">
        <v>14544</v>
      </c>
      <c r="B128" s="74" t="s">
        <v>1380</v>
      </c>
      <c r="C128" s="74" t="s">
        <v>1379</v>
      </c>
      <c r="D128" s="74">
        <v>3</v>
      </c>
      <c r="E128" s="74" t="s">
        <v>14703</v>
      </c>
    </row>
    <row r="129" spans="1:5" ht="28.5">
      <c r="A129" s="48" t="s">
        <v>14544</v>
      </c>
      <c r="B129" s="48" t="s">
        <v>1149</v>
      </c>
      <c r="C129" s="48" t="s">
        <v>1148</v>
      </c>
      <c r="D129" s="48">
        <v>3</v>
      </c>
      <c r="E129" s="48" t="s">
        <v>14704</v>
      </c>
    </row>
    <row r="130" spans="1:5" ht="28.5">
      <c r="A130" s="74" t="s">
        <v>14544</v>
      </c>
      <c r="B130" s="74" t="s">
        <v>1034</v>
      </c>
      <c r="C130" s="74" t="s">
        <v>1033</v>
      </c>
      <c r="D130" s="74">
        <v>3</v>
      </c>
      <c r="E130" s="74" t="s">
        <v>14705</v>
      </c>
    </row>
  </sheetData>
  <sheetProtection sheet="1" objects="1" scenarios="1"/>
  <mergeCells count="1">
    <mergeCell ref="A1:E1"/>
  </mergeCells>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50.xml><?xml version="1.0" encoding="utf-8"?>
<worksheet xmlns="http://schemas.openxmlformats.org/spreadsheetml/2006/main" xmlns:ns1="http://schemas.openxmlformats.org/markup-compatibility/2006" xmlns:ns2="http://schemas.microsoft.com/office/spreadsheetml/2014/revision" ns1:Ignorable="x14ac xr xr2 xr3" ns2:uid="{00000000-0001-0000-3100-000000000000}">
  <sheetPr>
    <tabColor rgb="FF808080"/>
  </sheetPr>
  <dimension ref="A1:R20"/>
  <sheetViews>
    <sheetView workbookViewId="0">
      <pane ySplit="1" topLeftCell="A2" activePane="bottomLeft" state="frozen"/>
      <selection pane="bottomLeft"/>
    </sheetView>
  </sheetViews>
  <sheetFormatPr defaultRowHeight="14.25"/>
  <cols>
    <col min="1" max="18" width="24" customWidth="1"/>
  </cols>
  <sheetData>
    <row r="1" spans="1:18" ht="30">
      <c r="A1" s="50" t="s">
        <v>527</v>
      </c>
      <c r="B1" s="50" t="s">
        <v>535</v>
      </c>
      <c r="C1" s="50" t="s">
        <v>539</v>
      </c>
      <c r="D1" s="50" t="s">
        <v>14706</v>
      </c>
      <c r="E1" s="50" t="s">
        <v>14707</v>
      </c>
      <c r="F1" s="50" t="s">
        <v>566</v>
      </c>
      <c r="G1" s="50" t="s">
        <v>567</v>
      </c>
      <c r="H1" s="50" t="s">
        <v>568</v>
      </c>
      <c r="I1" s="50" t="s">
        <v>14708</v>
      </c>
      <c r="J1" s="50" t="s">
        <v>14709</v>
      </c>
      <c r="K1" s="50" t="s">
        <v>595</v>
      </c>
      <c r="L1" s="50" t="s">
        <v>14710</v>
      </c>
      <c r="M1" s="50" t="s">
        <v>14711</v>
      </c>
      <c r="N1" s="50" t="s">
        <v>14712</v>
      </c>
      <c r="O1" s="50" t="s">
        <v>14713</v>
      </c>
      <c r="P1" s="50" t="s">
        <v>14714</v>
      </c>
      <c r="Q1" s="50" t="s">
        <v>781</v>
      </c>
      <c r="R1" s="50" t="s">
        <v>14715</v>
      </c>
    </row>
    <row r="2" spans="1:18" ht="25.5">
      <c r="A2" s="62" t="s">
        <v>14716</v>
      </c>
      <c r="B2" s="62" t="s">
        <v>14717</v>
      </c>
      <c r="C2" s="62" t="s">
        <v>540</v>
      </c>
      <c r="D2" s="62" t="s">
        <v>14718</v>
      </c>
      <c r="E2" s="62" t="s">
        <v>14719</v>
      </c>
      <c r="F2" s="62" t="s">
        <v>45</v>
      </c>
      <c r="G2" s="62" t="s">
        <v>577</v>
      </c>
      <c r="H2" s="62" t="s">
        <v>578</v>
      </c>
      <c r="I2" s="62" t="s">
        <v>14720</v>
      </c>
      <c r="J2" s="62" t="s">
        <v>14721</v>
      </c>
      <c r="K2" s="62" t="s">
        <v>14722</v>
      </c>
      <c r="L2" s="62" t="s">
        <v>14723</v>
      </c>
      <c r="M2" s="62" t="s">
        <v>14724</v>
      </c>
      <c r="N2" s="62" t="s">
        <v>14725</v>
      </c>
      <c r="O2" s="62" t="s">
        <v>640</v>
      </c>
      <c r="P2" s="62" t="s">
        <v>641</v>
      </c>
      <c r="Q2" s="62" t="s">
        <v>783</v>
      </c>
      <c r="R2" s="62" t="s">
        <v>14726</v>
      </c>
    </row>
    <row r="3" spans="1:18">
      <c r="A3" s="62" t="s">
        <v>14727</v>
      </c>
      <c r="B3" s="62" t="s">
        <v>14728</v>
      </c>
      <c r="C3" s="62" t="s">
        <v>14729</v>
      </c>
      <c r="D3" s="62" t="s">
        <v>544</v>
      </c>
      <c r="E3" s="62" t="s">
        <v>14730</v>
      </c>
      <c r="F3" s="62" t="s">
        <v>46</v>
      </c>
      <c r="G3" s="62" t="s">
        <v>570</v>
      </c>
      <c r="H3" s="62" t="s">
        <v>14731</v>
      </c>
      <c r="I3" s="62" t="s">
        <v>586</v>
      </c>
      <c r="J3" s="62" t="s">
        <v>548</v>
      </c>
      <c r="K3" s="62" t="s">
        <v>596</v>
      </c>
      <c r="L3" s="62" t="s">
        <v>600</v>
      </c>
      <c r="M3" s="62" t="s">
        <v>14732</v>
      </c>
      <c r="N3" s="62" t="s">
        <v>14733</v>
      </c>
      <c r="O3" s="62" t="s">
        <v>632</v>
      </c>
      <c r="P3" s="62" t="s">
        <v>638</v>
      </c>
      <c r="Q3" s="62" t="s">
        <v>14734</v>
      </c>
      <c r="R3" s="62" t="s">
        <v>632</v>
      </c>
    </row>
    <row r="4" spans="1:18" ht="25.5">
      <c r="A4" s="62" t="s">
        <v>14735</v>
      </c>
      <c r="B4" s="62" t="s">
        <v>536</v>
      </c>
      <c r="C4" s="62" t="s">
        <v>14736</v>
      </c>
      <c r="D4" s="62" t="s">
        <v>548</v>
      </c>
      <c r="E4" s="62" t="s">
        <v>561</v>
      </c>
      <c r="F4" s="62" t="s">
        <v>47</v>
      </c>
      <c r="G4" s="62" t="s">
        <v>580</v>
      </c>
      <c r="H4" s="62" t="s">
        <v>571</v>
      </c>
      <c r="I4" s="62" t="s">
        <v>14737</v>
      </c>
      <c r="J4" s="62" t="s">
        <v>551</v>
      </c>
      <c r="K4" s="62" t="s">
        <v>14738</v>
      </c>
      <c r="L4" s="62" t="s">
        <v>14739</v>
      </c>
      <c r="M4" s="62" t="s">
        <v>605</v>
      </c>
      <c r="N4" s="62" t="s">
        <v>14740</v>
      </c>
      <c r="O4" s="62" t="s">
        <v>636</v>
      </c>
      <c r="P4" s="62" t="s">
        <v>633</v>
      </c>
      <c r="Q4" s="62" t="s">
        <v>14741</v>
      </c>
      <c r="R4" s="62" t="s">
        <v>636</v>
      </c>
    </row>
    <row r="5" spans="1:18">
      <c r="A5" s="62" t="s">
        <v>14742</v>
      </c>
      <c r="B5" s="62" t="s">
        <v>14743</v>
      </c>
      <c r="C5" s="62" t="s">
        <v>14744</v>
      </c>
      <c r="D5" s="62" t="s">
        <v>551</v>
      </c>
      <c r="E5" s="62" t="s">
        <v>14745</v>
      </c>
      <c r="F5" s="62" t="s">
        <v>48</v>
      </c>
      <c r="G5" s="62" t="s">
        <v>14746</v>
      </c>
      <c r="H5" s="62" t="s">
        <v>14747</v>
      </c>
      <c r="I5" s="62" t="s">
        <v>14748</v>
      </c>
      <c r="J5" s="62" t="s">
        <v>14749</v>
      </c>
      <c r="K5" s="62" t="s">
        <v>14750</v>
      </c>
      <c r="L5" s="62" t="s">
        <v>14751</v>
      </c>
      <c r="M5" s="62" t="s">
        <v>14752</v>
      </c>
      <c r="N5" s="62" t="s">
        <v>618</v>
      </c>
      <c r="O5" s="62" t="s">
        <v>104</v>
      </c>
      <c r="P5" s="62" t="s">
        <v>637</v>
      </c>
      <c r="Q5" s="62" t="s">
        <v>14753</v>
      </c>
      <c r="R5" s="62" t="s">
        <v>14754</v>
      </c>
    </row>
    <row r="6" spans="1:18" ht="25.5">
      <c r="A6" s="62" t="s">
        <v>14755</v>
      </c>
      <c r="B6" s="62" t="s">
        <v>14756</v>
      </c>
      <c r="C6" s="62" t="s">
        <v>14757</v>
      </c>
      <c r="D6" s="62" t="s">
        <v>14749</v>
      </c>
      <c r="E6" s="62" t="s">
        <v>14758</v>
      </c>
      <c r="F6" s="62" t="s">
        <v>272</v>
      </c>
      <c r="G6" s="62" t="s">
        <v>574</v>
      </c>
      <c r="H6" s="62" t="s">
        <v>14759</v>
      </c>
      <c r="I6" s="62" t="s">
        <v>14760</v>
      </c>
      <c r="J6" s="62" t="s">
        <v>272</v>
      </c>
      <c r="K6" s="62" t="s">
        <v>14761</v>
      </c>
      <c r="L6" s="62" t="s">
        <v>272</v>
      </c>
      <c r="M6" s="62" t="s">
        <v>14762</v>
      </c>
      <c r="N6" s="62" t="s">
        <v>14763</v>
      </c>
      <c r="O6" s="62" t="s">
        <v>14754</v>
      </c>
      <c r="P6" s="62" t="s">
        <v>14764</v>
      </c>
      <c r="Q6" s="62" t="s">
        <v>14484</v>
      </c>
      <c r="R6" s="62" t="s">
        <v>14765</v>
      </c>
    </row>
    <row r="7" spans="1:18">
      <c r="A7" s="62" t="s">
        <v>528</v>
      </c>
      <c r="B7" s="62" t="s">
        <v>14766</v>
      </c>
      <c r="C7" s="62" t="s">
        <v>14767</v>
      </c>
      <c r="D7" s="62" t="s">
        <v>272</v>
      </c>
      <c r="E7" s="62" t="s">
        <v>272</v>
      </c>
      <c r="F7" s="62" t="s">
        <v>14766</v>
      </c>
      <c r="G7" s="62" t="s">
        <v>14766</v>
      </c>
      <c r="H7" s="62" t="s">
        <v>272</v>
      </c>
      <c r="I7" s="62" t="s">
        <v>14766</v>
      </c>
      <c r="J7" s="62" t="s">
        <v>14766</v>
      </c>
      <c r="K7" s="62" t="s">
        <v>272</v>
      </c>
      <c r="L7" s="62" t="s">
        <v>14766</v>
      </c>
      <c r="M7" s="62" t="s">
        <v>14768</v>
      </c>
      <c r="N7" s="62" t="s">
        <v>14769</v>
      </c>
      <c r="O7" s="62" t="s">
        <v>14765</v>
      </c>
      <c r="P7" s="62" t="s">
        <v>14766</v>
      </c>
      <c r="Q7" s="62" t="s">
        <v>14770</v>
      </c>
      <c r="R7" s="62" t="s">
        <v>14771</v>
      </c>
    </row>
    <row r="8" spans="1:18">
      <c r="A8" s="62" t="s">
        <v>14772</v>
      </c>
      <c r="B8" s="62"/>
      <c r="C8" s="62" t="s">
        <v>14773</v>
      </c>
      <c r="D8" s="62" t="s">
        <v>14766</v>
      </c>
      <c r="E8" s="62" t="s">
        <v>14766</v>
      </c>
      <c r="F8" s="62"/>
      <c r="G8" s="62"/>
      <c r="H8" s="62" t="s">
        <v>14766</v>
      </c>
      <c r="I8" s="62"/>
      <c r="J8" s="62"/>
      <c r="K8" s="62" t="s">
        <v>14766</v>
      </c>
      <c r="L8" s="62"/>
      <c r="M8" s="62" t="s">
        <v>14774</v>
      </c>
      <c r="N8" s="62" t="s">
        <v>622</v>
      </c>
      <c r="O8" s="62" t="s">
        <v>639</v>
      </c>
      <c r="P8" s="62"/>
      <c r="Q8" s="62"/>
      <c r="R8" s="62" t="s">
        <v>639</v>
      </c>
    </row>
    <row r="9" spans="1:18">
      <c r="A9" s="62" t="s">
        <v>14775</v>
      </c>
      <c r="B9" s="62"/>
      <c r="C9" s="62" t="s">
        <v>14776</v>
      </c>
      <c r="D9" s="62"/>
      <c r="E9" s="62"/>
      <c r="F9" s="62"/>
      <c r="G9" s="62"/>
      <c r="H9" s="62"/>
      <c r="I9" s="62"/>
      <c r="J9" s="62"/>
      <c r="K9" s="62"/>
      <c r="L9" s="62"/>
      <c r="M9" s="62" t="s">
        <v>14777</v>
      </c>
      <c r="N9" s="62" t="s">
        <v>626</v>
      </c>
      <c r="O9" s="62" t="s">
        <v>14778</v>
      </c>
      <c r="P9" s="62"/>
      <c r="Q9" s="62"/>
      <c r="R9" s="62" t="s">
        <v>14779</v>
      </c>
    </row>
    <row r="10" spans="1:18">
      <c r="A10" s="62" t="s">
        <v>14780</v>
      </c>
      <c r="B10" s="62"/>
      <c r="C10" s="62" t="s">
        <v>532</v>
      </c>
      <c r="D10" s="62"/>
      <c r="E10" s="62"/>
      <c r="F10" s="62"/>
      <c r="G10" s="62"/>
      <c r="H10" s="62"/>
      <c r="I10" s="62"/>
      <c r="J10" s="62"/>
      <c r="K10" s="62"/>
      <c r="L10" s="62"/>
      <c r="M10" s="62" t="s">
        <v>609</v>
      </c>
      <c r="N10" s="62" t="s">
        <v>14781</v>
      </c>
      <c r="O10" s="62" t="s">
        <v>14782</v>
      </c>
      <c r="P10" s="62"/>
      <c r="Q10" s="62"/>
      <c r="R10" s="62" t="s">
        <v>14783</v>
      </c>
    </row>
    <row r="11" spans="1:18">
      <c r="A11" s="62" t="s">
        <v>14784</v>
      </c>
      <c r="B11" s="62"/>
      <c r="C11" s="62" t="s">
        <v>14766</v>
      </c>
      <c r="D11" s="62"/>
      <c r="E11" s="62"/>
      <c r="F11" s="62"/>
      <c r="G11" s="62"/>
      <c r="H11" s="62"/>
      <c r="I11" s="62"/>
      <c r="J11" s="62"/>
      <c r="K11" s="62"/>
      <c r="L11" s="62"/>
      <c r="M11" s="62" t="s">
        <v>14785</v>
      </c>
      <c r="N11" s="62" t="s">
        <v>624</v>
      </c>
      <c r="O11" s="62" t="s">
        <v>14779</v>
      </c>
      <c r="P11" s="62"/>
      <c r="Q11" s="62"/>
      <c r="R11" s="62" t="s">
        <v>14778</v>
      </c>
    </row>
    <row r="12" spans="1:18">
      <c r="A12" s="62" t="s">
        <v>14786</v>
      </c>
      <c r="B12" s="62"/>
      <c r="C12" s="62"/>
      <c r="D12" s="62"/>
      <c r="E12" s="62"/>
      <c r="F12" s="62"/>
      <c r="G12" s="62"/>
      <c r="H12" s="62"/>
      <c r="I12" s="62"/>
      <c r="J12" s="62"/>
      <c r="K12" s="62"/>
      <c r="L12" s="62"/>
      <c r="M12" s="62" t="s">
        <v>613</v>
      </c>
      <c r="N12" s="62" t="s">
        <v>14787</v>
      </c>
      <c r="O12" s="62" t="s">
        <v>14788</v>
      </c>
      <c r="P12" s="62"/>
      <c r="Q12" s="62"/>
      <c r="R12" s="62" t="s">
        <v>14782</v>
      </c>
    </row>
    <row r="13" spans="1:18" ht="25.5">
      <c r="A13" s="62" t="s">
        <v>532</v>
      </c>
      <c r="B13" s="62"/>
      <c r="C13" s="62"/>
      <c r="D13" s="62"/>
      <c r="E13" s="62"/>
      <c r="F13" s="62"/>
      <c r="G13" s="62"/>
      <c r="H13" s="62"/>
      <c r="I13" s="62"/>
      <c r="J13" s="62"/>
      <c r="K13" s="62"/>
      <c r="L13" s="62"/>
      <c r="M13" s="62" t="s">
        <v>14789</v>
      </c>
      <c r="N13" s="62" t="s">
        <v>628</v>
      </c>
      <c r="O13" s="62" t="s">
        <v>14790</v>
      </c>
      <c r="P13" s="62"/>
      <c r="Q13" s="62"/>
      <c r="R13" s="62" t="s">
        <v>14790</v>
      </c>
    </row>
    <row r="14" spans="1:18">
      <c r="A14" s="62" t="s">
        <v>14791</v>
      </c>
      <c r="B14" s="62"/>
      <c r="C14" s="62"/>
      <c r="D14" s="62"/>
      <c r="E14" s="62"/>
      <c r="F14" s="62"/>
      <c r="G14" s="62"/>
      <c r="H14" s="62"/>
      <c r="I14" s="62"/>
      <c r="J14" s="62"/>
      <c r="K14" s="62"/>
      <c r="L14" s="62"/>
      <c r="M14" s="62" t="s">
        <v>14792</v>
      </c>
      <c r="N14" s="62"/>
      <c r="O14" s="62" t="s">
        <v>128</v>
      </c>
      <c r="P14" s="62"/>
      <c r="Q14" s="62"/>
      <c r="R14" s="62"/>
    </row>
    <row r="15" spans="1:18">
      <c r="A15" s="62"/>
      <c r="B15" s="62"/>
      <c r="C15" s="62"/>
      <c r="D15" s="62"/>
      <c r="E15" s="62"/>
      <c r="F15" s="62"/>
      <c r="G15" s="62"/>
      <c r="H15" s="62"/>
      <c r="I15" s="62"/>
      <c r="J15" s="62"/>
      <c r="K15" s="62"/>
      <c r="L15" s="62"/>
      <c r="M15" s="62" t="s">
        <v>611</v>
      </c>
      <c r="N15" s="62"/>
      <c r="O15" s="62" t="s">
        <v>14793</v>
      </c>
      <c r="P15" s="62"/>
      <c r="Q15" s="62"/>
      <c r="R15" s="62"/>
    </row>
    <row r="16" spans="1:18">
      <c r="A16" s="62"/>
      <c r="B16" s="62"/>
      <c r="C16" s="62"/>
      <c r="D16" s="62"/>
      <c r="E16" s="62"/>
      <c r="F16" s="62"/>
      <c r="G16" s="62"/>
      <c r="H16" s="62"/>
      <c r="I16" s="62"/>
      <c r="J16" s="62"/>
      <c r="K16" s="62"/>
      <c r="L16" s="62"/>
      <c r="M16" s="62" t="s">
        <v>615</v>
      </c>
      <c r="N16" s="62"/>
      <c r="O16" s="62" t="s">
        <v>14766</v>
      </c>
      <c r="P16" s="62"/>
      <c r="Q16" s="62"/>
      <c r="R16" s="62"/>
    </row>
    <row r="17" spans="1:18">
      <c r="A17" s="62"/>
      <c r="B17" s="62"/>
      <c r="C17" s="62"/>
      <c r="D17" s="62"/>
      <c r="E17" s="62"/>
      <c r="F17" s="62"/>
      <c r="G17" s="62"/>
      <c r="H17" s="62"/>
      <c r="I17" s="62"/>
      <c r="J17" s="62"/>
      <c r="K17" s="62"/>
      <c r="L17" s="62"/>
      <c r="M17" s="62" t="s">
        <v>14794</v>
      </c>
      <c r="N17" s="62"/>
      <c r="O17" s="62"/>
      <c r="P17" s="62"/>
      <c r="Q17" s="62"/>
      <c r="R17" s="62"/>
    </row>
    <row r="18" spans="1:18">
      <c r="A18" s="62"/>
      <c r="B18" s="62"/>
      <c r="C18" s="62"/>
      <c r="D18" s="62"/>
      <c r="E18" s="62"/>
      <c r="F18" s="62"/>
      <c r="G18" s="62"/>
      <c r="H18" s="62"/>
      <c r="I18" s="62"/>
      <c r="J18" s="62"/>
      <c r="K18" s="62"/>
      <c r="L18" s="62"/>
      <c r="M18" s="62" t="s">
        <v>1647</v>
      </c>
      <c r="N18" s="62"/>
      <c r="O18" s="62"/>
      <c r="P18" s="62"/>
      <c r="Q18" s="62"/>
      <c r="R18" s="62"/>
    </row>
    <row r="19" spans="1:18">
      <c r="A19" s="62"/>
      <c r="B19" s="62"/>
      <c r="C19" s="62"/>
      <c r="D19" s="62"/>
      <c r="E19" s="62"/>
      <c r="F19" s="62"/>
      <c r="G19" s="62"/>
      <c r="H19" s="62"/>
      <c r="I19" s="62"/>
      <c r="J19" s="62"/>
      <c r="K19" s="62"/>
      <c r="L19" s="62"/>
      <c r="M19" s="62" t="s">
        <v>14795</v>
      </c>
      <c r="N19" s="62"/>
      <c r="O19" s="62"/>
      <c r="P19" s="62"/>
      <c r="Q19" s="62"/>
      <c r="R19" s="62"/>
    </row>
    <row r="20" spans="1:18">
      <c r="A20" s="62"/>
      <c r="B20" s="62"/>
      <c r="C20" s="62"/>
      <c r="D20" s="62"/>
      <c r="E20" s="62"/>
      <c r="F20" s="62"/>
      <c r="G20" s="62"/>
      <c r="H20" s="62"/>
      <c r="I20" s="62"/>
      <c r="J20" s="62"/>
      <c r="K20" s="62"/>
      <c r="L20" s="62"/>
      <c r="M20" s="62" t="s">
        <v>628</v>
      </c>
      <c r="N20" s="62"/>
      <c r="O20" s="62"/>
      <c r="P20" s="62"/>
      <c r="Q20" s="62"/>
      <c r="R20" s="62"/>
    </row>
  </sheetData>
  <sheetProtection sheet="1" objects="1" scenarios="1"/>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51.xml><?xml version="1.0" encoding="utf-8"?>
<worksheet xmlns="http://schemas.openxmlformats.org/spreadsheetml/2006/main" xmlns:ns1="http://schemas.openxmlformats.org/markup-compatibility/2006" xmlns:ns2="http://schemas.microsoft.com/office/spreadsheetml/2014/revision" ns1:Ignorable="x14ac xr xr2 xr3" ns2:uid="{00000000-0001-0000-3200-000000000000}">
  <sheetPr>
    <tabColor rgb="FF808080"/>
  </sheetPr>
  <dimension ref="A1:Y18"/>
  <sheetViews>
    <sheetView workbookViewId="0">
      <pane ySplit="4" topLeftCell="A5" activePane="bottomLeft" state="frozen"/>
      <selection pane="bottomLeft"/>
    </sheetView>
  </sheetViews>
  <sheetFormatPr defaultRowHeight="14.25"/>
  <cols>
    <col min="1" max="1" width="18" customWidth="1"/>
    <col min="2" max="2" width="38" customWidth="1"/>
    <col min="3" max="4" width="48" customWidth="1"/>
    <col min="5" max="5" width="64" customWidth="1"/>
    <col min="6" max="7" width="36" customWidth="1"/>
    <col min="8" max="8" width="38" customWidth="1"/>
    <col min="9" max="9" width="30" customWidth="1"/>
    <col min="10" max="10" width="42" customWidth="1"/>
    <col min="11" max="11" width="24" customWidth="1"/>
    <col min="12" max="13" width="16" customWidth="1"/>
    <col min="14" max="15" width="18" customWidth="1"/>
    <col min="16" max="16" width="22" customWidth="1"/>
    <col min="17" max="19" width="12" customWidth="1"/>
    <col min="20" max="20" width="16" customWidth="1"/>
    <col min="21" max="21" width="18" customWidth="1"/>
    <col min="22" max="22" width="16" customWidth="1"/>
    <col min="23" max="23" width="20" customWidth="1"/>
    <col min="24" max="24" width="12" customWidth="1"/>
    <col min="25" max="25" width="14" customWidth="1"/>
  </cols>
  <sheetData>
    <row r="1" spans="1:25" ht="18">
      <c r="A1" s="58" t="s">
        <v>14796</v>
      </c>
    </row>
    <row r="2" spans="1:25" ht="84">
      <c r="A2" s="59" t="s">
        <v>14797</v>
      </c>
    </row>
    <row r="4" spans="1:25" ht="30">
      <c r="A4" s="50" t="s">
        <v>14798</v>
      </c>
      <c r="B4" s="50" t="s">
        <v>14799</v>
      </c>
      <c r="C4" s="50" t="s">
        <v>14800</v>
      </c>
      <c r="D4" s="50" t="s">
        <v>14377</v>
      </c>
      <c r="E4" s="50" t="s">
        <v>14801</v>
      </c>
      <c r="F4" s="50" t="s">
        <v>14802</v>
      </c>
      <c r="G4" s="50" t="s">
        <v>14803</v>
      </c>
      <c r="H4" s="50" t="s">
        <v>14804</v>
      </c>
      <c r="I4" s="50" t="s">
        <v>14805</v>
      </c>
      <c r="J4" s="50" t="s">
        <v>14806</v>
      </c>
      <c r="K4" s="50" t="s">
        <v>14807</v>
      </c>
      <c r="L4" s="50" t="s">
        <v>14808</v>
      </c>
      <c r="M4" s="50" t="s">
        <v>14809</v>
      </c>
      <c r="N4" s="50" t="s">
        <v>14810</v>
      </c>
      <c r="O4" s="50" t="s">
        <v>14811</v>
      </c>
      <c r="P4" s="50" t="s">
        <v>764</v>
      </c>
      <c r="Q4" s="50" t="s">
        <v>765</v>
      </c>
      <c r="R4" s="50" t="s">
        <v>14812</v>
      </c>
      <c r="S4" s="50" t="s">
        <v>14813</v>
      </c>
      <c r="T4" s="50" t="s">
        <v>14814</v>
      </c>
      <c r="U4" s="50" t="s">
        <v>14815</v>
      </c>
      <c r="V4" s="50" t="s">
        <v>14816</v>
      </c>
      <c r="W4" s="50" t="s">
        <v>14817</v>
      </c>
      <c r="X4" s="50" t="s">
        <v>14818</v>
      </c>
      <c r="Y4" s="50" t="s">
        <v>14819</v>
      </c>
    </row>
    <row r="5" spans="1:25" ht="25.5">
      <c r="A5" s="62" t="s">
        <v>14820</v>
      </c>
      <c r="B5" s="62" t="s">
        <v>1490</v>
      </c>
      <c r="C5" s="62" t="s">
        <v>14821</v>
      </c>
      <c r="D5" s="62" t="s">
        <v>14822</v>
      </c>
      <c r="E5" s="62" t="s">
        <v>14823</v>
      </c>
      <c r="F5" s="62" t="s">
        <v>14824</v>
      </c>
      <c r="G5" s="62" t="s">
        <v>14825</v>
      </c>
      <c r="H5" s="62" t="s">
        <v>14826</v>
      </c>
      <c r="I5" s="62" t="s">
        <v>14826</v>
      </c>
      <c r="J5" s="62" t="s">
        <v>14826</v>
      </c>
      <c r="K5" s="62" t="s">
        <v>14387</v>
      </c>
      <c r="L5" s="62" t="s">
        <v>14388</v>
      </c>
      <c r="M5" s="62">
        <v>4</v>
      </c>
      <c r="N5" s="62">
        <v>4</v>
      </c>
      <c r="O5" s="62">
        <v>3</v>
      </c>
      <c r="P5" s="62">
        <v>4</v>
      </c>
      <c r="Q5" s="62">
        <v>3</v>
      </c>
      <c r="R5" s="62">
        <f>IF(OR(J5="All",ISNUMBER(SEARCH('Company Profile'!$B$9,J5))),1.3,1)</f>
        <v>1.3</v>
      </c>
      <c r="S5" s="62">
        <f>IF(OR(H5="All",ISNUMBER(SEARCH('Crisis Simulator'!$B$4,H5))),1.4,1)</f>
        <v>1.4</v>
      </c>
      <c r="T5" s="62">
        <f>IF(OR(I5="All",ISNUMBER(SEARCH('Company Profile'!$B$50,I5))),1.2,1)</f>
        <v>1.2</v>
      </c>
      <c r="U5" s="62">
        <f>COUNTIF(_TECH_Initiative_Library!$D$5:$D$76,B5)</f>
        <v>3</v>
      </c>
      <c r="V5" s="62">
        <f>COUNTIF('Risk Summary'!$B$8:$B$414,"Yes")</f>
        <v>0</v>
      </c>
      <c r="W5" s="62">
        <f t="shared" ref="W5:W18" si="0">ROUND((M5+N5+O5+P5)*R5*S5*T5+(U5/10)+(V5/100),2)+ROW()/100000</f>
        <v>33.060050000000004</v>
      </c>
      <c r="X5" s="62">
        <f t="shared" ref="X5:X18" si="1">IF(Q5=0,"",ROUND(W5/Q5,2))</f>
        <v>11.02</v>
      </c>
      <c r="Y5" s="62" t="str">
        <f t="shared" ref="Y5:Y18" si="2">IF(X5&gt;=5,"Critical",IF(X5&gt;=4,"High",IF(X5&gt;=3,"Medium","Monitor")))</f>
        <v>Critical</v>
      </c>
    </row>
    <row r="6" spans="1:25" ht="38.25">
      <c r="A6" s="62" t="s">
        <v>14827</v>
      </c>
      <c r="B6" s="62" t="s">
        <v>999</v>
      </c>
      <c r="C6" s="62" t="s">
        <v>14828</v>
      </c>
      <c r="D6" s="62" t="s">
        <v>14829</v>
      </c>
      <c r="E6" s="62" t="s">
        <v>14830</v>
      </c>
      <c r="F6" s="62" t="s">
        <v>14831</v>
      </c>
      <c r="G6" s="62" t="s">
        <v>14832</v>
      </c>
      <c r="H6" s="62" t="s">
        <v>14833</v>
      </c>
      <c r="I6" s="62" t="s">
        <v>14826</v>
      </c>
      <c r="J6" s="62" t="s">
        <v>14826</v>
      </c>
      <c r="K6" s="62" t="s">
        <v>1005</v>
      </c>
      <c r="L6" s="62" t="s">
        <v>14388</v>
      </c>
      <c r="M6" s="62">
        <v>5</v>
      </c>
      <c r="N6" s="62">
        <v>5</v>
      </c>
      <c r="O6" s="62">
        <v>5</v>
      </c>
      <c r="P6" s="62">
        <v>3</v>
      </c>
      <c r="Q6" s="62">
        <v>4</v>
      </c>
      <c r="R6" s="62">
        <f>IF(OR(J6="All",ISNUMBER(SEARCH('Company Profile'!$B$9,J6))),1.3,1)</f>
        <v>1.3</v>
      </c>
      <c r="S6" s="62">
        <f>IF(OR(H6="All",ISNUMBER(SEARCH('Crisis Simulator'!$B$4,H6))),1.4,1)</f>
        <v>1</v>
      </c>
      <c r="T6" s="62">
        <f>IF(OR(I6="All",ISNUMBER(SEARCH('Company Profile'!$B$50,I6))),1.2,1)</f>
        <v>1.2</v>
      </c>
      <c r="U6" s="62">
        <f>COUNTIF(_TECH_Initiative_Library!$D$5:$D$76,B6)</f>
        <v>6</v>
      </c>
      <c r="V6" s="62">
        <f>COUNTIF('Risk Summary'!$B$8:$B$414,"Yes")</f>
        <v>0</v>
      </c>
      <c r="W6" s="62">
        <f t="shared" si="0"/>
        <v>28.680060000000001</v>
      </c>
      <c r="X6" s="62">
        <f t="shared" si="1"/>
        <v>7.17</v>
      </c>
      <c r="Y6" s="62" t="str">
        <f t="shared" si="2"/>
        <v>Critical</v>
      </c>
    </row>
    <row r="7" spans="1:25" ht="38.25">
      <c r="A7" s="62" t="s">
        <v>14834</v>
      </c>
      <c r="B7" s="62" t="s">
        <v>1442</v>
      </c>
      <c r="C7" s="62" t="s">
        <v>14835</v>
      </c>
      <c r="D7" s="62" t="s">
        <v>14836</v>
      </c>
      <c r="E7" s="62" t="s">
        <v>14837</v>
      </c>
      <c r="F7" s="62" t="s">
        <v>14838</v>
      </c>
      <c r="G7" s="62" t="s">
        <v>14839</v>
      </c>
      <c r="H7" s="62" t="s">
        <v>14840</v>
      </c>
      <c r="I7" s="62" t="s">
        <v>14841</v>
      </c>
      <c r="J7" s="62" t="s">
        <v>14842</v>
      </c>
      <c r="K7" s="62" t="s">
        <v>14401</v>
      </c>
      <c r="L7" s="62" t="s">
        <v>14402</v>
      </c>
      <c r="M7" s="62">
        <v>5</v>
      </c>
      <c r="N7" s="62">
        <v>5</v>
      </c>
      <c r="O7" s="62">
        <v>5</v>
      </c>
      <c r="P7" s="62">
        <v>4</v>
      </c>
      <c r="Q7" s="62">
        <v>4</v>
      </c>
      <c r="R7" s="62">
        <f>IF(OR(J7="All",ISNUMBER(SEARCH('Company Profile'!$B$9,J7))),1.3,1)</f>
        <v>1.3</v>
      </c>
      <c r="S7" s="62">
        <f>IF(OR(H7="All",ISNUMBER(SEARCH('Crisis Simulator'!$B$4,H7))),1.4,1)</f>
        <v>1</v>
      </c>
      <c r="T7" s="62">
        <f>IF(OR(I7="All",ISNUMBER(SEARCH('Company Profile'!$B$50,I7))),1.2,1)</f>
        <v>1</v>
      </c>
      <c r="U7" s="62">
        <f>COUNTIF(_TECH_Initiative_Library!$D$5:$D$76,B7)</f>
        <v>5</v>
      </c>
      <c r="V7" s="62">
        <f>COUNTIF('Risk Summary'!$B$8:$B$414,"Yes")</f>
        <v>0</v>
      </c>
      <c r="W7" s="62">
        <f t="shared" si="0"/>
        <v>25.20007</v>
      </c>
      <c r="X7" s="62">
        <f t="shared" si="1"/>
        <v>6.3</v>
      </c>
      <c r="Y7" s="62" t="str">
        <f t="shared" si="2"/>
        <v>Critical</v>
      </c>
    </row>
    <row r="8" spans="1:25" ht="25.5">
      <c r="A8" s="62" t="s">
        <v>14843</v>
      </c>
      <c r="B8" s="62" t="s">
        <v>1582</v>
      </c>
      <c r="C8" s="62" t="s">
        <v>14844</v>
      </c>
      <c r="D8" s="62" t="s">
        <v>14845</v>
      </c>
      <c r="E8" s="62" t="s">
        <v>14846</v>
      </c>
      <c r="F8" s="62" t="s">
        <v>14847</v>
      </c>
      <c r="G8" s="62" t="s">
        <v>14848</v>
      </c>
      <c r="H8" s="62" t="s">
        <v>14849</v>
      </c>
      <c r="I8" s="62" t="s">
        <v>14826</v>
      </c>
      <c r="J8" s="62" t="s">
        <v>14826</v>
      </c>
      <c r="K8" s="62" t="s">
        <v>14409</v>
      </c>
      <c r="L8" s="62" t="s">
        <v>14402</v>
      </c>
      <c r="M8" s="62">
        <v>5</v>
      </c>
      <c r="N8" s="62">
        <v>5</v>
      </c>
      <c r="O8" s="62">
        <v>5</v>
      </c>
      <c r="P8" s="62">
        <v>4</v>
      </c>
      <c r="Q8" s="62">
        <v>4</v>
      </c>
      <c r="R8" s="62">
        <f>IF(OR(J8="All",ISNUMBER(SEARCH('Company Profile'!$B$9,J8))),1.3,1)</f>
        <v>1.3</v>
      </c>
      <c r="S8" s="62">
        <f>IF(OR(H8="All",ISNUMBER(SEARCH('Crisis Simulator'!$B$4,H8))),1.4,1)</f>
        <v>1</v>
      </c>
      <c r="T8" s="62">
        <f>IF(OR(I8="All",ISNUMBER(SEARCH('Company Profile'!$B$50,I8))),1.2,1)</f>
        <v>1.2</v>
      </c>
      <c r="U8" s="62">
        <f>COUNTIF(_TECH_Initiative_Library!$D$5:$D$76,B8)</f>
        <v>6</v>
      </c>
      <c r="V8" s="62">
        <f>COUNTIF('Risk Summary'!$B$8:$B$414,"Yes")</f>
        <v>0</v>
      </c>
      <c r="W8" s="62">
        <f t="shared" si="0"/>
        <v>30.240079999999999</v>
      </c>
      <c r="X8" s="62">
        <f t="shared" si="1"/>
        <v>7.56</v>
      </c>
      <c r="Y8" s="62" t="str">
        <f t="shared" si="2"/>
        <v>Critical</v>
      </c>
    </row>
    <row r="9" spans="1:25" ht="25.5">
      <c r="A9" s="62" t="s">
        <v>14850</v>
      </c>
      <c r="B9" s="62" t="s">
        <v>1536</v>
      </c>
      <c r="C9" s="62" t="s">
        <v>14411</v>
      </c>
      <c r="D9" s="62" t="s">
        <v>14851</v>
      </c>
      <c r="E9" s="62" t="s">
        <v>14852</v>
      </c>
      <c r="F9" s="62" t="s">
        <v>14853</v>
      </c>
      <c r="G9" s="62" t="s">
        <v>14854</v>
      </c>
      <c r="H9" s="62" t="s">
        <v>14855</v>
      </c>
      <c r="I9" s="62" t="s">
        <v>14856</v>
      </c>
      <c r="J9" s="62" t="s">
        <v>14857</v>
      </c>
      <c r="K9" s="62" t="s">
        <v>14415</v>
      </c>
      <c r="L9" s="62" t="s">
        <v>14416</v>
      </c>
      <c r="M9" s="62">
        <v>4</v>
      </c>
      <c r="N9" s="62">
        <v>3</v>
      </c>
      <c r="O9" s="62">
        <v>3</v>
      </c>
      <c r="P9" s="62">
        <v>5</v>
      </c>
      <c r="Q9" s="62">
        <v>4</v>
      </c>
      <c r="R9" s="62">
        <f>IF(OR(J9="All",ISNUMBER(SEARCH('Company Profile'!$B$9,J9))),1.3,1)</f>
        <v>1.3</v>
      </c>
      <c r="S9" s="62">
        <f>IF(OR(H9="All",ISNUMBER(SEARCH('Crisis Simulator'!$B$4,H9))),1.4,1)</f>
        <v>1</v>
      </c>
      <c r="T9" s="62">
        <f>IF(OR(I9="All",ISNUMBER(SEARCH('Company Profile'!$B$50,I9))),1.2,1)</f>
        <v>1</v>
      </c>
      <c r="U9" s="62">
        <f>COUNTIF(_TECH_Initiative_Library!$D$5:$D$76,B9)</f>
        <v>5</v>
      </c>
      <c r="V9" s="62">
        <f>COUNTIF('Risk Summary'!$B$8:$B$414,"Yes")</f>
        <v>0</v>
      </c>
      <c r="W9" s="62">
        <f t="shared" si="0"/>
        <v>20.00009</v>
      </c>
      <c r="X9" s="62">
        <f t="shared" si="1"/>
        <v>5</v>
      </c>
      <c r="Y9" s="62" t="str">
        <f t="shared" si="2"/>
        <v>Critical</v>
      </c>
    </row>
    <row r="10" spans="1:25" ht="25.5">
      <c r="A10" s="62" t="s">
        <v>14858</v>
      </c>
      <c r="B10" s="62" t="s">
        <v>1101</v>
      </c>
      <c r="C10" s="62" t="s">
        <v>14859</v>
      </c>
      <c r="D10" s="62" t="s">
        <v>14860</v>
      </c>
      <c r="E10" s="62" t="s">
        <v>14861</v>
      </c>
      <c r="F10" s="62" t="s">
        <v>14862</v>
      </c>
      <c r="G10" s="62" t="s">
        <v>14863</v>
      </c>
      <c r="H10" s="62" t="s">
        <v>14864</v>
      </c>
      <c r="I10" s="62" t="s">
        <v>14826</v>
      </c>
      <c r="J10" s="62" t="s">
        <v>14826</v>
      </c>
      <c r="K10" s="62" t="s">
        <v>14423</v>
      </c>
      <c r="L10" s="62" t="s">
        <v>14388</v>
      </c>
      <c r="M10" s="62">
        <v>4</v>
      </c>
      <c r="N10" s="62">
        <v>5</v>
      </c>
      <c r="O10" s="62">
        <v>5</v>
      </c>
      <c r="P10" s="62">
        <v>3</v>
      </c>
      <c r="Q10" s="62">
        <v>3</v>
      </c>
      <c r="R10" s="62">
        <f>IF(OR(J10="All",ISNUMBER(SEARCH('Company Profile'!$B$9,J10))),1.3,1)</f>
        <v>1.3</v>
      </c>
      <c r="S10" s="62">
        <f>IF(OR(H10="All",ISNUMBER(SEARCH('Crisis Simulator'!$B$4,H10))),1.4,1)</f>
        <v>1</v>
      </c>
      <c r="T10" s="62">
        <f>IF(OR(I10="All",ISNUMBER(SEARCH('Company Profile'!$B$50,I10))),1.2,1)</f>
        <v>1.2</v>
      </c>
      <c r="U10" s="62">
        <f>COUNTIF(_TECH_Initiative_Library!$D$5:$D$76,B10)</f>
        <v>4</v>
      </c>
      <c r="V10" s="62">
        <f>COUNTIF('Risk Summary'!$B$8:$B$414,"Yes")</f>
        <v>0</v>
      </c>
      <c r="W10" s="62">
        <f t="shared" si="0"/>
        <v>26.920100000000001</v>
      </c>
      <c r="X10" s="62">
        <f t="shared" si="1"/>
        <v>8.9700000000000006</v>
      </c>
      <c r="Y10" s="62" t="str">
        <f t="shared" si="2"/>
        <v>Critical</v>
      </c>
    </row>
    <row r="11" spans="1:25" ht="25.5">
      <c r="A11" s="62" t="s">
        <v>14865</v>
      </c>
      <c r="B11" s="62" t="s">
        <v>14866</v>
      </c>
      <c r="C11" s="62" t="s">
        <v>14867</v>
      </c>
      <c r="D11" s="62" t="s">
        <v>14426</v>
      </c>
      <c r="E11" s="62" t="s">
        <v>14868</v>
      </c>
      <c r="F11" s="62" t="s">
        <v>14869</v>
      </c>
      <c r="G11" s="62" t="s">
        <v>14870</v>
      </c>
      <c r="H11" s="62" t="s">
        <v>14871</v>
      </c>
      <c r="I11" s="62" t="s">
        <v>14872</v>
      </c>
      <c r="J11" s="62" t="s">
        <v>14873</v>
      </c>
      <c r="K11" s="62" t="s">
        <v>1642</v>
      </c>
      <c r="L11" s="62" t="s">
        <v>14416</v>
      </c>
      <c r="M11" s="62">
        <v>4</v>
      </c>
      <c r="N11" s="62">
        <v>3</v>
      </c>
      <c r="O11" s="62">
        <v>3</v>
      </c>
      <c r="P11" s="62">
        <v>4</v>
      </c>
      <c r="Q11" s="62">
        <v>3</v>
      </c>
      <c r="R11" s="62">
        <f>IF(OR(J11="All",ISNUMBER(SEARCH('Company Profile'!$B$9,J11))),1.3,1)</f>
        <v>1.3</v>
      </c>
      <c r="S11" s="62">
        <f>IF(OR(H11="All",ISNUMBER(SEARCH('Crisis Simulator'!$B$4,H11))),1.4,1)</f>
        <v>1</v>
      </c>
      <c r="T11" s="62">
        <f>IF(OR(I11="All",ISNUMBER(SEARCH('Company Profile'!$B$50,I11))),1.2,1)</f>
        <v>1.2</v>
      </c>
      <c r="U11" s="62">
        <f>COUNTIF(_TECH_Initiative_Library!$D$5:$D$76,B11)</f>
        <v>0</v>
      </c>
      <c r="V11" s="62">
        <f>COUNTIF('Risk Summary'!$B$8:$B$414,"Yes")</f>
        <v>0</v>
      </c>
      <c r="W11" s="62">
        <f t="shared" si="0"/>
        <v>21.840109999999999</v>
      </c>
      <c r="X11" s="62">
        <f t="shared" si="1"/>
        <v>7.28</v>
      </c>
      <c r="Y11" s="62" t="str">
        <f t="shared" si="2"/>
        <v>Critical</v>
      </c>
    </row>
    <row r="12" spans="1:25" ht="25.5">
      <c r="A12" s="62" t="s">
        <v>14874</v>
      </c>
      <c r="B12" s="62" t="s">
        <v>1159</v>
      </c>
      <c r="C12" s="62" t="s">
        <v>14875</v>
      </c>
      <c r="D12" s="62" t="s">
        <v>14876</v>
      </c>
      <c r="E12" s="62" t="s">
        <v>14877</v>
      </c>
      <c r="F12" s="62" t="s">
        <v>14878</v>
      </c>
      <c r="G12" s="62" t="s">
        <v>14879</v>
      </c>
      <c r="H12" s="62" t="s">
        <v>14880</v>
      </c>
      <c r="I12" s="62" t="s">
        <v>14881</v>
      </c>
      <c r="J12" s="62" t="s">
        <v>14882</v>
      </c>
      <c r="K12" s="62" t="s">
        <v>14435</v>
      </c>
      <c r="L12" s="62" t="s">
        <v>14402</v>
      </c>
      <c r="M12" s="62">
        <v>5</v>
      </c>
      <c r="N12" s="62">
        <v>5</v>
      </c>
      <c r="O12" s="62">
        <v>5</v>
      </c>
      <c r="P12" s="62">
        <v>3</v>
      </c>
      <c r="Q12" s="62">
        <v>4</v>
      </c>
      <c r="R12" s="62">
        <f>IF(OR(J12="All",ISNUMBER(SEARCH('Company Profile'!$B$9,J12))),1.3,1)</f>
        <v>1</v>
      </c>
      <c r="S12" s="62">
        <f>IF(OR(H12="All",ISNUMBER(SEARCH('Crisis Simulator'!$B$4,H12))),1.4,1)</f>
        <v>1</v>
      </c>
      <c r="T12" s="62">
        <f>IF(OR(I12="All",ISNUMBER(SEARCH('Company Profile'!$B$50,I12))),1.2,1)</f>
        <v>1</v>
      </c>
      <c r="U12" s="62">
        <f>COUNTIF(_TECH_Initiative_Library!$D$5:$D$76,B12)</f>
        <v>5</v>
      </c>
      <c r="V12" s="62">
        <f>COUNTIF('Risk Summary'!$B$8:$B$414,"Yes")</f>
        <v>0</v>
      </c>
      <c r="W12" s="62">
        <f t="shared" si="0"/>
        <v>18.500119999999999</v>
      </c>
      <c r="X12" s="62">
        <f t="shared" si="1"/>
        <v>4.63</v>
      </c>
      <c r="Y12" s="62" t="str">
        <f t="shared" si="2"/>
        <v>High</v>
      </c>
    </row>
    <row r="13" spans="1:25" ht="25.5">
      <c r="A13" s="62" t="s">
        <v>14883</v>
      </c>
      <c r="B13" s="62" t="s">
        <v>1332</v>
      </c>
      <c r="C13" s="62" t="s">
        <v>14884</v>
      </c>
      <c r="D13" s="62" t="s">
        <v>14885</v>
      </c>
      <c r="E13" s="62" t="s">
        <v>14886</v>
      </c>
      <c r="F13" s="62" t="s">
        <v>14887</v>
      </c>
      <c r="G13" s="62" t="s">
        <v>14888</v>
      </c>
      <c r="H13" s="62" t="s">
        <v>14889</v>
      </c>
      <c r="I13" s="62" t="s">
        <v>14890</v>
      </c>
      <c r="J13" s="62" t="s">
        <v>14891</v>
      </c>
      <c r="K13" s="62" t="s">
        <v>14442</v>
      </c>
      <c r="L13" s="62" t="s">
        <v>14416</v>
      </c>
      <c r="M13" s="62">
        <v>4</v>
      </c>
      <c r="N13" s="62">
        <v>5</v>
      </c>
      <c r="O13" s="62">
        <v>5</v>
      </c>
      <c r="P13" s="62">
        <v>3</v>
      </c>
      <c r="Q13" s="62">
        <v>4</v>
      </c>
      <c r="R13" s="62">
        <f>IF(OR(J13="All",ISNUMBER(SEARCH('Company Profile'!$B$9,J13))),1.3,1)</f>
        <v>1</v>
      </c>
      <c r="S13" s="62">
        <f>IF(OR(H13="All",ISNUMBER(SEARCH('Crisis Simulator'!$B$4,H13))),1.4,1)</f>
        <v>1</v>
      </c>
      <c r="T13" s="62">
        <f>IF(OR(I13="All",ISNUMBER(SEARCH('Company Profile'!$B$50,I13))),1.2,1)</f>
        <v>1</v>
      </c>
      <c r="U13" s="62">
        <f>COUNTIF(_TECH_Initiative_Library!$D$5:$D$76,B13)</f>
        <v>6</v>
      </c>
      <c r="V13" s="62">
        <f>COUNTIF('Risk Summary'!$B$8:$B$414,"Yes")</f>
        <v>0</v>
      </c>
      <c r="W13" s="62">
        <f t="shared" si="0"/>
        <v>17.60013</v>
      </c>
      <c r="X13" s="62">
        <f t="shared" si="1"/>
        <v>4.4000000000000004</v>
      </c>
      <c r="Y13" s="62" t="str">
        <f t="shared" si="2"/>
        <v>High</v>
      </c>
    </row>
    <row r="14" spans="1:25" ht="38.25">
      <c r="A14" s="62" t="s">
        <v>14892</v>
      </c>
      <c r="B14" s="62" t="s">
        <v>1212</v>
      </c>
      <c r="C14" s="62" t="s">
        <v>14893</v>
      </c>
      <c r="D14" s="62" t="s">
        <v>14446</v>
      </c>
      <c r="E14" s="62" t="s">
        <v>14894</v>
      </c>
      <c r="F14" s="62" t="s">
        <v>14895</v>
      </c>
      <c r="G14" s="62" t="s">
        <v>14896</v>
      </c>
      <c r="H14" s="62" t="s">
        <v>14897</v>
      </c>
      <c r="I14" s="62" t="s">
        <v>14826</v>
      </c>
      <c r="J14" s="62" t="s">
        <v>14898</v>
      </c>
      <c r="K14" s="62" t="s">
        <v>1218</v>
      </c>
      <c r="L14" s="62" t="s">
        <v>14388</v>
      </c>
      <c r="M14" s="62">
        <v>5</v>
      </c>
      <c r="N14" s="62">
        <v>5</v>
      </c>
      <c r="O14" s="62">
        <v>5</v>
      </c>
      <c r="P14" s="62">
        <v>2</v>
      </c>
      <c r="Q14" s="62">
        <v>3</v>
      </c>
      <c r="R14" s="62">
        <f>IF(OR(J14="All",ISNUMBER(SEARCH('Company Profile'!$B$9,J14))),1.3,1)</f>
        <v>1</v>
      </c>
      <c r="S14" s="62">
        <f>IF(OR(H14="All",ISNUMBER(SEARCH('Crisis Simulator'!$B$4,H14))),1.4,1)</f>
        <v>1</v>
      </c>
      <c r="T14" s="62">
        <f>IF(OR(I14="All",ISNUMBER(SEARCH('Company Profile'!$B$50,I14))),1.2,1)</f>
        <v>1.2</v>
      </c>
      <c r="U14" s="62">
        <f>COUNTIF(_TECH_Initiative_Library!$D$5:$D$76,B14)</f>
        <v>5</v>
      </c>
      <c r="V14" s="62">
        <f>COUNTIF('Risk Summary'!$B$8:$B$414,"Yes")</f>
        <v>0</v>
      </c>
      <c r="W14" s="62">
        <f t="shared" si="0"/>
        <v>20.900139999999997</v>
      </c>
      <c r="X14" s="62">
        <f t="shared" si="1"/>
        <v>6.97</v>
      </c>
      <c r="Y14" s="62" t="str">
        <f t="shared" si="2"/>
        <v>Critical</v>
      </c>
    </row>
    <row r="15" spans="1:25" ht="38.25">
      <c r="A15" s="62" t="s">
        <v>14899</v>
      </c>
      <c r="B15" s="62" t="s">
        <v>14900</v>
      </c>
      <c r="C15" s="62" t="s">
        <v>14901</v>
      </c>
      <c r="D15" s="62" t="s">
        <v>14902</v>
      </c>
      <c r="E15" s="62" t="s">
        <v>14903</v>
      </c>
      <c r="F15" s="62" t="s">
        <v>14456</v>
      </c>
      <c r="G15" s="62" t="s">
        <v>14904</v>
      </c>
      <c r="H15" s="62" t="s">
        <v>14905</v>
      </c>
      <c r="I15" s="62" t="s">
        <v>14906</v>
      </c>
      <c r="J15" s="62" t="s">
        <v>14907</v>
      </c>
      <c r="K15" s="62" t="s">
        <v>14454</v>
      </c>
      <c r="L15" s="62" t="s">
        <v>14416</v>
      </c>
      <c r="M15" s="62">
        <v>5</v>
      </c>
      <c r="N15" s="62">
        <v>4</v>
      </c>
      <c r="O15" s="62">
        <v>4</v>
      </c>
      <c r="P15" s="62">
        <v>5</v>
      </c>
      <c r="Q15" s="62">
        <v>4</v>
      </c>
      <c r="R15" s="62">
        <f>IF(OR(J15="All",ISNUMBER(SEARCH('Company Profile'!$B$9,J15))),1.3,1)</f>
        <v>1.3</v>
      </c>
      <c r="S15" s="62">
        <f>IF(OR(H15="All",ISNUMBER(SEARCH('Crisis Simulator'!$B$4,H15))),1.4,1)</f>
        <v>1</v>
      </c>
      <c r="T15" s="62">
        <f>IF(OR(I15="All",ISNUMBER(SEARCH('Company Profile'!$B$50,I15))),1.2,1)</f>
        <v>1.2</v>
      </c>
      <c r="U15" s="62">
        <f>COUNTIF(_TECH_Initiative_Library!$D$5:$D$76,B15)</f>
        <v>0</v>
      </c>
      <c r="V15" s="62">
        <f>COUNTIF('Risk Summary'!$B$8:$B$414,"Yes")</f>
        <v>0</v>
      </c>
      <c r="W15" s="62">
        <f t="shared" si="0"/>
        <v>28.08015</v>
      </c>
      <c r="X15" s="62">
        <f t="shared" si="1"/>
        <v>7.02</v>
      </c>
      <c r="Y15" s="62" t="str">
        <f t="shared" si="2"/>
        <v>Critical</v>
      </c>
    </row>
    <row r="16" spans="1:25" ht="25.5">
      <c r="A16" s="62" t="s">
        <v>14908</v>
      </c>
      <c r="B16" s="62" t="s">
        <v>1379</v>
      </c>
      <c r="C16" s="62" t="s">
        <v>14457</v>
      </c>
      <c r="D16" s="62" t="s">
        <v>14458</v>
      </c>
      <c r="E16" s="62" t="s">
        <v>14909</v>
      </c>
      <c r="F16" s="62" t="s">
        <v>14910</v>
      </c>
      <c r="G16" s="62" t="s">
        <v>14911</v>
      </c>
      <c r="H16" s="62" t="s">
        <v>14912</v>
      </c>
      <c r="I16" s="62" t="s">
        <v>14913</v>
      </c>
      <c r="J16" s="62" t="s">
        <v>14914</v>
      </c>
      <c r="K16" s="62" t="s">
        <v>14461</v>
      </c>
      <c r="L16" s="62" t="s">
        <v>14388</v>
      </c>
      <c r="M16" s="62">
        <v>5</v>
      </c>
      <c r="N16" s="62">
        <v>4</v>
      </c>
      <c r="O16" s="62">
        <v>4</v>
      </c>
      <c r="P16" s="62">
        <v>5</v>
      </c>
      <c r="Q16" s="62">
        <v>3</v>
      </c>
      <c r="R16" s="62">
        <f>IF(OR(J16="All",ISNUMBER(SEARCH('Company Profile'!$B$9,J16))),1.3,1)</f>
        <v>1.3</v>
      </c>
      <c r="S16" s="62">
        <f>IF(OR(H16="All",ISNUMBER(SEARCH('Crisis Simulator'!$B$4,H16))),1.4,1)</f>
        <v>1</v>
      </c>
      <c r="T16" s="62">
        <f>IF(OR(I16="All",ISNUMBER(SEARCH('Company Profile'!$B$50,I16))),1.2,1)</f>
        <v>1</v>
      </c>
      <c r="U16" s="62">
        <f>COUNTIF(_TECH_Initiative_Library!$D$5:$D$76,B16)</f>
        <v>7</v>
      </c>
      <c r="V16" s="62">
        <f>COUNTIF('Risk Summary'!$B$8:$B$414,"Yes")</f>
        <v>0</v>
      </c>
      <c r="W16" s="62">
        <f t="shared" si="0"/>
        <v>24.100160000000002</v>
      </c>
      <c r="X16" s="62">
        <f t="shared" si="1"/>
        <v>8.0299999999999994</v>
      </c>
      <c r="Y16" s="62" t="str">
        <f t="shared" si="2"/>
        <v>Critical</v>
      </c>
    </row>
    <row r="17" spans="1:25" ht="38.25">
      <c r="A17" s="62" t="s">
        <v>14915</v>
      </c>
      <c r="B17" s="62" t="s">
        <v>1148</v>
      </c>
      <c r="C17" s="62" t="s">
        <v>14916</v>
      </c>
      <c r="D17" s="62" t="s">
        <v>14465</v>
      </c>
      <c r="E17" s="62" t="s">
        <v>14917</v>
      </c>
      <c r="F17" s="62" t="s">
        <v>14918</v>
      </c>
      <c r="G17" s="62" t="s">
        <v>14919</v>
      </c>
      <c r="H17" s="62" t="s">
        <v>14920</v>
      </c>
      <c r="I17" s="62" t="s">
        <v>14826</v>
      </c>
      <c r="J17" s="62" t="s">
        <v>14921</v>
      </c>
      <c r="K17" s="62" t="s">
        <v>1182</v>
      </c>
      <c r="L17" s="62" t="s">
        <v>14402</v>
      </c>
      <c r="M17" s="62">
        <v>4</v>
      </c>
      <c r="N17" s="62">
        <v>4</v>
      </c>
      <c r="O17" s="62">
        <v>4</v>
      </c>
      <c r="P17" s="62">
        <v>3</v>
      </c>
      <c r="Q17" s="62">
        <v>3</v>
      </c>
      <c r="R17" s="62">
        <f>IF(OR(J17="All",ISNUMBER(SEARCH('Company Profile'!$B$9,J17))),1.3,1)</f>
        <v>1</v>
      </c>
      <c r="S17" s="62">
        <f>IF(OR(H17="All",ISNUMBER(SEARCH('Crisis Simulator'!$B$4,H17))),1.4,1)</f>
        <v>1</v>
      </c>
      <c r="T17" s="62">
        <f>IF(OR(I17="All",ISNUMBER(SEARCH('Company Profile'!$B$50,I17))),1.2,1)</f>
        <v>1.2</v>
      </c>
      <c r="U17" s="62">
        <f>COUNTIF(_TECH_Initiative_Library!$D$5:$D$76,B17)</f>
        <v>6</v>
      </c>
      <c r="V17" s="62">
        <f>COUNTIF('Risk Summary'!$B$8:$B$414,"Yes")</f>
        <v>0</v>
      </c>
      <c r="W17" s="62">
        <f t="shared" si="0"/>
        <v>18.600170000000002</v>
      </c>
      <c r="X17" s="62">
        <f t="shared" si="1"/>
        <v>6.2</v>
      </c>
      <c r="Y17" s="62" t="str">
        <f t="shared" si="2"/>
        <v>Critical</v>
      </c>
    </row>
    <row r="18" spans="1:25" ht="38.25">
      <c r="A18" s="62" t="s">
        <v>14922</v>
      </c>
      <c r="B18" s="62" t="s">
        <v>1033</v>
      </c>
      <c r="C18" s="62" t="s">
        <v>14923</v>
      </c>
      <c r="D18" s="62" t="s">
        <v>14471</v>
      </c>
      <c r="E18" s="62" t="s">
        <v>14924</v>
      </c>
      <c r="F18" s="62" t="s">
        <v>14925</v>
      </c>
      <c r="G18" s="62" t="s">
        <v>14926</v>
      </c>
      <c r="H18" s="62" t="s">
        <v>14826</v>
      </c>
      <c r="I18" s="62" t="s">
        <v>14826</v>
      </c>
      <c r="J18" s="62" t="s">
        <v>14826</v>
      </c>
      <c r="K18" s="62" t="s">
        <v>14474</v>
      </c>
      <c r="L18" s="62" t="s">
        <v>14475</v>
      </c>
      <c r="M18" s="62">
        <v>5</v>
      </c>
      <c r="N18" s="62">
        <v>5</v>
      </c>
      <c r="O18" s="62">
        <v>4</v>
      </c>
      <c r="P18" s="62">
        <v>3</v>
      </c>
      <c r="Q18" s="62">
        <v>2</v>
      </c>
      <c r="R18" s="62">
        <f>IF(OR(J18="All",ISNUMBER(SEARCH('Company Profile'!$B$9,J18))),1.3,1)</f>
        <v>1.3</v>
      </c>
      <c r="S18" s="62">
        <f>IF(OR(H18="All",ISNUMBER(SEARCH('Crisis Simulator'!$B$4,H18))),1.4,1)</f>
        <v>1.4</v>
      </c>
      <c r="T18" s="62">
        <f>IF(OR(I18="All",ISNUMBER(SEARCH('Company Profile'!$B$50,I18))),1.2,1)</f>
        <v>1.2</v>
      </c>
      <c r="U18" s="62">
        <f>COUNTIF(_TECH_Initiative_Library!$D$5:$D$76,B18)</f>
        <v>5</v>
      </c>
      <c r="V18" s="62">
        <f>COUNTIF('Risk Summary'!$B$8:$B$414,"Yes")</f>
        <v>0</v>
      </c>
      <c r="W18" s="62">
        <f t="shared" si="0"/>
        <v>37.630180000000003</v>
      </c>
      <c r="X18" s="62">
        <f t="shared" si="1"/>
        <v>18.82</v>
      </c>
      <c r="Y18" s="62" t="str">
        <f t="shared" si="2"/>
        <v>Critical</v>
      </c>
    </row>
  </sheetData>
  <sheetProtection sheet="1" objects="1" scenarios="1"/>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52.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4="http://schemas.microsoft.com/office/excel/2006/main" ns1:Ignorable="x14ac xr xr2 xr3" ns2:uid="{00000000-0001-0000-3300-000000000000}">
  <sheetPr>
    <tabColor rgb="FF548235"/>
  </sheetPr>
  <dimension ref="A1:Q27"/>
  <sheetViews>
    <sheetView workbookViewId="0">
      <pane ySplit="13" topLeftCell="A14" activePane="bottomLeft" state="frozen"/>
      <selection pane="bottomLeft" activeCell="A2" sqref="A2"/>
    </sheetView>
  </sheetViews>
  <sheetFormatPr defaultRowHeight="14.25"/>
  <cols>
    <col min="1" max="1" width="8" customWidth="1"/>
    <col min="2" max="2" width="38" customWidth="1"/>
    <col min="3" max="4" width="44" customWidth="1"/>
    <col min="5" max="5" width="60" customWidth="1"/>
    <col min="6" max="8" width="32" customWidth="1"/>
    <col min="9" max="9" width="14" customWidth="1"/>
    <col min="10" max="12" width="12" customWidth="1"/>
    <col min="13" max="13" width="14" customWidth="1"/>
    <col min="14" max="14" width="16" customWidth="1"/>
    <col min="15" max="15" width="24" customWidth="1"/>
    <col min="16" max="16" width="16" customWidth="1"/>
    <col min="17" max="17" width="28" customWidth="1"/>
  </cols>
  <sheetData>
    <row r="1" spans="1:17" ht="18">
      <c r="A1" s="58" t="s">
        <v>14927</v>
      </c>
    </row>
    <row r="2" spans="1:17">
      <c r="A2" s="202" t="s">
        <v>14928</v>
      </c>
    </row>
    <row r="4" spans="1:17" ht="45">
      <c r="A4" s="50" t="s">
        <v>14929</v>
      </c>
      <c r="B4" s="50" t="s">
        <v>52</v>
      </c>
      <c r="C4" s="50" t="s">
        <v>53</v>
      </c>
    </row>
    <row r="5" spans="1:17" ht="25.5">
      <c r="A5" s="61" t="s">
        <v>164</v>
      </c>
      <c r="B5" s="62" t="str">
        <f>'Company Profile'!$B$9</f>
        <v>IT Services</v>
      </c>
      <c r="C5" s="52" t="s">
        <v>14930</v>
      </c>
    </row>
    <row r="6" spans="1:17" ht="25.5">
      <c r="A6" s="61" t="s">
        <v>527</v>
      </c>
      <c r="B6" s="62" t="str">
        <f>'Company Profile'!$B$50</f>
        <v>Project-based</v>
      </c>
      <c r="C6" s="52" t="s">
        <v>14931</v>
      </c>
    </row>
    <row r="7" spans="1:17" ht="63.75">
      <c r="A7" s="61" t="s">
        <v>14932</v>
      </c>
      <c r="B7" s="62" t="str">
        <f>IF(OR('Company Profile'!$B$54="50-75%",'Company Profile'!$B$54="&gt;75%",'Company Profile'!$B$55="50-75%",'Company Profile'!$B$55="&gt;75%"),"High",IF(OR('Company Profile'!$B$54="25-50%",'Company Profile'!$B$55="25-50%"),"Medium","Low / unknown"))</f>
        <v>Medium</v>
      </c>
      <c r="C7" s="52" t="s">
        <v>14933</v>
      </c>
    </row>
    <row r="8" spans="1:17" ht="51">
      <c r="A8" s="61" t="s">
        <v>14934</v>
      </c>
      <c r="B8" s="62" t="str">
        <f>IF(OR('Company Profile'!$B$57="50-75%",'Company Profile'!$B$57="&gt;75%",'Company Profile'!$B$58="50-75%",'Company Profile'!$B$58="&gt;75%"),"High",IF(OR('Company Profile'!$B$57="25-50%",'Company Profile'!$B$58="25-50%"),"Medium","Low / unknown"))</f>
        <v>Medium</v>
      </c>
      <c r="C8" s="52" t="s">
        <v>14935</v>
      </c>
    </row>
    <row r="9" spans="1:17" ht="38.25">
      <c r="A9" s="61" t="s">
        <v>79</v>
      </c>
      <c r="B9" s="62" t="str">
        <f>'Crisis Simulator'!$B$4</f>
        <v>War / security crisis</v>
      </c>
      <c r="C9" s="52" t="s">
        <v>14936</v>
      </c>
    </row>
    <row r="10" spans="1:17" ht="25.5">
      <c r="A10" s="61" t="s">
        <v>82</v>
      </c>
      <c r="B10" s="62">
        <f>'Crisis Simulator'!$B$5</f>
        <v>3</v>
      </c>
      <c r="C10" s="52" t="s">
        <v>14937</v>
      </c>
    </row>
    <row r="11" spans="1:17" ht="51">
      <c r="A11" s="61" t="s">
        <v>14938</v>
      </c>
      <c r="B11" s="62" t="str">
        <f ca="1">'Strategy Selection'!$B$6</f>
        <v/>
      </c>
      <c r="C11" s="52" t="s">
        <v>14939</v>
      </c>
    </row>
    <row r="13" spans="1:17" ht="30">
      <c r="A13" s="50" t="s">
        <v>196</v>
      </c>
      <c r="B13" s="50" t="s">
        <v>14940</v>
      </c>
      <c r="C13" s="50" t="s">
        <v>14800</v>
      </c>
      <c r="D13" s="50" t="s">
        <v>14377</v>
      </c>
      <c r="E13" s="50" t="s">
        <v>14801</v>
      </c>
      <c r="F13" s="50" t="s">
        <v>14802</v>
      </c>
      <c r="G13" s="50" t="s">
        <v>14803</v>
      </c>
      <c r="H13" s="50" t="s">
        <v>14941</v>
      </c>
      <c r="I13" s="50" t="s">
        <v>200</v>
      </c>
      <c r="J13" s="50" t="s">
        <v>180</v>
      </c>
      <c r="K13" s="50" t="s">
        <v>14818</v>
      </c>
      <c r="L13" s="50" t="s">
        <v>765</v>
      </c>
      <c r="M13" s="50" t="s">
        <v>14819</v>
      </c>
      <c r="N13" s="50" t="s">
        <v>14942</v>
      </c>
      <c r="O13" s="50" t="s">
        <v>766</v>
      </c>
      <c r="P13" s="50" t="s">
        <v>781</v>
      </c>
      <c r="Q13" s="50" t="s">
        <v>14943</v>
      </c>
    </row>
    <row r="14" spans="1:17">
      <c r="A14" s="62">
        <f>IFERROR(ROWS($A$14:A14),"")</f>
        <v>1</v>
      </c>
      <c r="B14" s="62" t="str">
        <f>IFERROR(INDEX(_TECH_Strategy_Packages!$B$5:$B$18,MATCH(LARGE(_TECH_Strategy_Packages!$X$5:$X$18,ROWS($A$14:A14)),_TECH_Strategy_Packages!$X$5:$X$18,0)),"")</f>
        <v>Governance and Decision-Speed Strategy</v>
      </c>
      <c r="C14" s="62" t="str">
        <f>IFERROR(INDEX(_TECH_Strategy_Packages!$C$5:$C$18,MATCH(LARGE(_TECH_Strategy_Packages!$X$5:$X$18,ROWS($A$14:A14)),_TECH_Strategy_Packages!$X$5:$X$18,0)),"")</f>
        <v>Clarify decision rights, crisis roles, portfolio governance, management cadence and escalation triggers.</v>
      </c>
      <c r="D14" s="62" t="str">
        <f>IFERROR(INDEX(_TECH_Strategy_Packages!$D$5:$D$18,MATCH(LARGE(_TECH_Strategy_Packages!$X$5:$X$18,ROWS($A$14:A14)),_TECH_Strategy_Packages!$X$5:$X$18,0)),"")</f>
        <v>Slow decisions, unclear ownership, weak prioritization or fragmented management practices reduce crisis response speed.</v>
      </c>
      <c r="E14" s="62" t="str">
        <f>IFERROR(INDEX(_TECH_Strategy_Packages!$E$5:$E$18,MATCH(LARGE(_TECH_Strategy_Packages!$X$5:$X$18,ROWS($A$14:A14)),_TECH_Strategy_Packages!$X$5:$X$18,0)),"")</f>
        <v>RACI; decision rights; crisis board; portfolio steering; KPI cadence; escalation triggers.</v>
      </c>
      <c r="F14" s="62" t="str">
        <f>IFERROR(INDEX(_TECH_Strategy_Packages!$F$5:$F$18,MATCH(LARGE(_TECH_Strategy_Packages!$X$5:$X$18,ROWS($A$14:A14)),_TECH_Strategy_Packages!$X$5:$X$18,0)),"")</f>
        <v>Governance Crisis; Quality Portfolio; Strategy GTM</v>
      </c>
      <c r="G14" s="62" t="str">
        <f>IFERROR(INDEX(_TECH_Strategy_Packages!$G$5:$G$18,MATCH(LARGE(_TECH_Strategy_Packages!$X$5:$X$18,ROWS($A$14:A14)),_TECH_Strategy_Packages!$X$5:$X$18,0)),"")</f>
        <v>Decision delay; poor prioritization; crisis coordination failure</v>
      </c>
      <c r="H14" s="62" t="str">
        <f>IFERROR(INDEX(_TECH_Strategy_Packages!$H$5:$H$18,MATCH(LARGE(_TECH_Strategy_Packages!$X$5:$X$18,ROWS($A$14:A14)),_TECH_Strategy_Packages!$X$5:$X$18,0)),"")</f>
        <v>All</v>
      </c>
      <c r="I14" s="62">
        <f>IFERROR(INDEX(_TECH_Strategy_Packages!$U$5:$U$18,MATCH(LARGE(_TECH_Strategy_Packages!$X$5:$X$18,ROWS($A$14:A14)),_TECH_Strategy_Packages!$X$5:$X$18,0)),"")</f>
        <v>5</v>
      </c>
      <c r="J14" s="62">
        <f>IFERROR(INDEX(_TECH_Strategy_Packages!$V$5:$V$18,MATCH(LARGE(_TECH_Strategy_Packages!$X$5:$X$18,ROWS($A$14:A14)),_TECH_Strategy_Packages!$X$5:$X$18,0)),"")</f>
        <v>0</v>
      </c>
      <c r="K14" s="62">
        <f>IFERROR(ROUND(INDEX(_TECH_Strategy_Packages!$X$5:$X$18,MATCH(LARGE(_TECH_Strategy_Packages!$X$5:$X$18,ROWS($A$14:A14)),_TECH_Strategy_Packages!$X$5:$X$18,0)),2),"")</f>
        <v>18.82</v>
      </c>
      <c r="L14" s="62">
        <f>IFERROR(INDEX(_TECH_Strategy_Packages!$Q$5:$Q$18,MATCH(LARGE(_TECH_Strategy_Packages!$X$5:$X$18,ROWS($A$14:A14)),_TECH_Strategy_Packages!$X$5:$X$18,0)),"")</f>
        <v>2</v>
      </c>
      <c r="M14" s="62" t="str">
        <f>IFERROR(INDEX(_TECH_Strategy_Packages!$Y$5:$Y$18,MATCH(LARGE(_TECH_Strategy_Packages!$X$5:$X$18,ROWS($A$14:A14)),_TECH_Strategy_Packages!$X$5:$X$18,0)),"")</f>
        <v>Critical</v>
      </c>
      <c r="N14" s="62" t="str">
        <f>IFERROR(INDEX(_TECH_Strategy_Packages!$L$5:$L$18,MATCH(LARGE(_TECH_Strategy_Packages!$X$5:$X$18,ROWS($A$14:A14)),_TECH_Strategy_Packages!$X$5:$X$18,0)),"")</f>
        <v>0-3 months</v>
      </c>
      <c r="O14" s="62" t="str">
        <f>IFERROR(INDEX(_TECH_Strategy_Packages!$K$5:$K$18,MATCH(LARGE(_TECH_Strategy_Packages!$X$5:$X$18,ROWS($A$14:A14)),_TECH_Strategy_Packages!$X$5:$X$18,0)),"")</f>
        <v>CEO / COO</v>
      </c>
      <c r="P14" s="62"/>
      <c r="Q14" s="62" t="str">
        <f t="shared" ref="Q14:Q27" si="0">IF(A14&lt;=3,"Executive decision required",IF(M14="High","Plan in roadmap","Monitor / keep as backlog"))</f>
        <v>Executive decision required</v>
      </c>
    </row>
    <row r="15" spans="1:17">
      <c r="A15" s="62">
        <f>IFERROR(ROWS($A$14:A15),"")</f>
        <v>2</v>
      </c>
      <c r="B15" s="62" t="str">
        <f>IFERROR(INDEX(_TECH_Strategy_Packages!$B$5:$B$18,MATCH(LARGE(_TECH_Strategy_Packages!$X$5:$X$18,ROWS($A$14:A15)),_TECH_Strategy_Packages!$X$5:$X$18,0)),"")</f>
        <v>Digital Foundation Strategy</v>
      </c>
      <c r="C15" s="62" t="str">
        <f>IFERROR(INDEX(_TECH_Strategy_Packages!$C$5:$C$18,MATCH(LARGE(_TECH_Strategy_Packages!$X$5:$X$18,ROWS($A$14:A15)),_TECH_Strategy_Packages!$X$5:$X$18,0)),"")</f>
        <v>Establish baseline digital tools, ownership, workflows, reporting and data discipline.</v>
      </c>
      <c r="D15" s="62" t="str">
        <f>IFERROR(INDEX(_TECH_Strategy_Packages!$D$5:$D$18,MATCH(LARGE(_TECH_Strategy_Packages!$X$5:$X$18,ROWS($A$14:A15)),_TECH_Strategy_Packages!$X$5:$X$18,0)),"")</f>
        <v>Low digital foundations, fragmented tools, weak ownership or limited reporting.</v>
      </c>
      <c r="E15" s="62" t="str">
        <f>IFERROR(INDEX(_TECH_Strategy_Packages!$E$5:$E$18,MATCH(LARGE(_TECH_Strategy_Packages!$X$5:$X$18,ROWS($A$14:A15)),_TECH_Strategy_Packages!$X$5:$X$18,0)),"")</f>
        <v>Process ownership; workflow tools; core system governance; master data; reporting discipline.</v>
      </c>
      <c r="F15" s="62" t="str">
        <f>IFERROR(INDEX(_TECH_Strategy_Packages!$F$5:$F$18,MATCH(LARGE(_TECH_Strategy_Packages!$X$5:$X$18,ROWS($A$14:A15)),_TECH_Strategy_Packages!$X$5:$X$18,0)),"")</f>
        <v>Governance Crisis; Business Systems; Data BI AI; IT Cloud DR</v>
      </c>
      <c r="G15" s="62" t="str">
        <f>IFERROR(INDEX(_TECH_Strategy_Packages!$G$5:$G$18,MATCH(LARGE(_TECH_Strategy_Packages!$X$5:$X$18,ROWS($A$14:A15)),_TECH_Strategy_Packages!$X$5:$X$18,0)),"")</f>
        <v>Process immaturity; data quality; tool fragmentation</v>
      </c>
      <c r="H15" s="62" t="str">
        <f>IFERROR(INDEX(_TECH_Strategy_Packages!$H$5:$H$18,MATCH(LARGE(_TECH_Strategy_Packages!$X$5:$X$18,ROWS($A$14:A15)),_TECH_Strategy_Packages!$X$5:$X$18,0)),"")</f>
        <v>All</v>
      </c>
      <c r="I15" s="62">
        <f>IFERROR(INDEX(_TECH_Strategy_Packages!$U$5:$U$18,MATCH(LARGE(_TECH_Strategy_Packages!$X$5:$X$18,ROWS($A$14:A15)),_TECH_Strategy_Packages!$X$5:$X$18,0)),"")</f>
        <v>3</v>
      </c>
      <c r="J15" s="62">
        <f>IFERROR(INDEX(_TECH_Strategy_Packages!$V$5:$V$18,MATCH(LARGE(_TECH_Strategy_Packages!$X$5:$X$18,ROWS($A$14:A15)),_TECH_Strategy_Packages!$X$5:$X$18,0)),"")</f>
        <v>0</v>
      </c>
      <c r="K15" s="62">
        <f>IFERROR(ROUND(INDEX(_TECH_Strategy_Packages!$X$5:$X$18,MATCH(LARGE(_TECH_Strategy_Packages!$X$5:$X$18,ROWS($A$14:A15)),_TECH_Strategy_Packages!$X$5:$X$18,0)),2),"")</f>
        <v>11.02</v>
      </c>
      <c r="L15" s="62">
        <f>IFERROR(INDEX(_TECH_Strategy_Packages!$Q$5:$Q$18,MATCH(LARGE(_TECH_Strategy_Packages!$X$5:$X$18,ROWS($A$14:A15)),_TECH_Strategy_Packages!$X$5:$X$18,0)),"")</f>
        <v>3</v>
      </c>
      <c r="M15" s="62" t="str">
        <f>IFERROR(INDEX(_TECH_Strategy_Packages!$Y$5:$Y$18,MATCH(LARGE(_TECH_Strategy_Packages!$X$5:$X$18,ROWS($A$14:A15)),_TECH_Strategy_Packages!$X$5:$X$18,0)),"")</f>
        <v>Critical</v>
      </c>
      <c r="N15" s="62" t="str">
        <f>IFERROR(INDEX(_TECH_Strategy_Packages!$L$5:$L$18,MATCH(LARGE(_TECH_Strategy_Packages!$X$5:$X$18,ROWS($A$14:A15)),_TECH_Strategy_Packages!$X$5:$X$18,0)),"")</f>
        <v>0-6 months</v>
      </c>
      <c r="O15" s="62" t="str">
        <f>IFERROR(INDEX(_TECH_Strategy_Packages!$K$5:$K$18,MATCH(LARGE(_TECH_Strategy_Packages!$X$5:$X$18,ROWS($A$14:A15)),_TECH_Strategy_Packages!$X$5:$X$18,0)),"")</f>
        <v>COO / CIO</v>
      </c>
      <c r="P15" s="62"/>
      <c r="Q15" s="62" t="str">
        <f t="shared" si="0"/>
        <v>Executive decision required</v>
      </c>
    </row>
    <row r="16" spans="1:17">
      <c r="A16" s="62">
        <f>IFERROR(ROWS($A$14:A16),"")</f>
        <v>3</v>
      </c>
      <c r="B16" s="62" t="str">
        <f>IFERROR(INDEX(_TECH_Strategy_Packages!$B$5:$B$18,MATCH(LARGE(_TECH_Strategy_Packages!$X$5:$X$18,ROWS($A$14:A16)),_TECH_Strategy_Packages!$X$5:$X$18,0)),"")</f>
        <v>Workforce Resilience Strategy</v>
      </c>
      <c r="C16" s="62" t="str">
        <f>IFERROR(INDEX(_TECH_Strategy_Packages!$C$5:$C$18,MATCH(LARGE(_TECH_Strategy_Packages!$X$5:$X$18,ROWS($A$14:A16)),_TECH_Strategy_Packages!$X$5:$X$18,0)),"")</f>
        <v>Reduce critical people risk through succession, cross-training, knowledge management and staffing flexibility.</v>
      </c>
      <c r="D16" s="62" t="str">
        <f>IFERROR(INDEX(_TECH_Strategy_Packages!$D$5:$D$18,MATCH(LARGE(_TECH_Strategy_Packages!$X$5:$X$18,ROWS($A$14:A16)),_TECH_Strategy_Packages!$X$5:$X$18,0)),"")</f>
        <v>High key-person dependency, weak role backup, knowledge gaps or workforce availability risk.</v>
      </c>
      <c r="E16" s="62" t="str">
        <f>IFERROR(INDEX(_TECH_Strategy_Packages!$E$5:$E$18,MATCH(LARGE(_TECH_Strategy_Packages!$X$5:$X$18,ROWS($A$14:A16)),_TECH_Strategy_Packages!$X$5:$X$18,0)),"")</f>
        <v>Critical role matrix; succession; backup teams; knowledge base; cross-training; remote work readiness.</v>
      </c>
      <c r="F16" s="62" t="str">
        <f>IFERROR(INDEX(_TECH_Strategy_Packages!$F$5:$F$18,MATCH(LARGE(_TECH_Strategy_Packages!$X$5:$X$18,ROWS($A$14:A16)),_TECH_Strategy_Packages!$X$5:$X$18,0)),"")</f>
        <v>HR Workforce; Delivery Ops; Governance Crisis</v>
      </c>
      <c r="G16" s="62" t="str">
        <f>IFERROR(INDEX(_TECH_Strategy_Packages!$G$5:$G$18,MATCH(LARGE(_TECH_Strategy_Packages!$X$5:$X$18,ROWS($A$14:A16)),_TECH_Strategy_Packages!$X$5:$X$18,0)),"")</f>
        <v>Critical people risk; productivity loss; knowledge loss</v>
      </c>
      <c r="H16" s="62" t="str">
        <f>IFERROR(INDEX(_TECH_Strategy_Packages!$H$5:$H$18,MATCH(LARGE(_TECH_Strategy_Packages!$X$5:$X$18,ROWS($A$14:A16)),_TECH_Strategy_Packages!$X$5:$X$18,0)),"")</f>
        <v>Pandemic; War / geopolitical escalation; Workforce availability crisis</v>
      </c>
      <c r="I16" s="62">
        <f>IFERROR(INDEX(_TECH_Strategy_Packages!$U$5:$U$18,MATCH(LARGE(_TECH_Strategy_Packages!$X$5:$X$18,ROWS($A$14:A16)),_TECH_Strategy_Packages!$X$5:$X$18,0)),"")</f>
        <v>4</v>
      </c>
      <c r="J16" s="62">
        <f>IFERROR(INDEX(_TECH_Strategy_Packages!$V$5:$V$18,MATCH(LARGE(_TECH_Strategy_Packages!$X$5:$X$18,ROWS($A$14:A16)),_TECH_Strategy_Packages!$X$5:$X$18,0)),"")</f>
        <v>0</v>
      </c>
      <c r="K16" s="62">
        <f>IFERROR(ROUND(INDEX(_TECH_Strategy_Packages!$X$5:$X$18,MATCH(LARGE(_TECH_Strategy_Packages!$X$5:$X$18,ROWS($A$14:A16)),_TECH_Strategy_Packages!$X$5:$X$18,0)),2),"")</f>
        <v>8.9700000000000006</v>
      </c>
      <c r="L16" s="62">
        <f>IFERROR(INDEX(_TECH_Strategy_Packages!$Q$5:$Q$18,MATCH(LARGE(_TECH_Strategy_Packages!$X$5:$X$18,ROWS($A$14:A16)),_TECH_Strategy_Packages!$X$5:$X$18,0)),"")</f>
        <v>3</v>
      </c>
      <c r="M16" s="62" t="str">
        <f>IFERROR(INDEX(_TECH_Strategy_Packages!$Y$5:$Y$18,MATCH(LARGE(_TECH_Strategy_Packages!$X$5:$X$18,ROWS($A$14:A16)),_TECH_Strategy_Packages!$X$5:$X$18,0)),"")</f>
        <v>Critical</v>
      </c>
      <c r="N16" s="62" t="str">
        <f>IFERROR(INDEX(_TECH_Strategy_Packages!$L$5:$L$18,MATCH(LARGE(_TECH_Strategy_Packages!$X$5:$X$18,ROWS($A$14:A16)),_TECH_Strategy_Packages!$X$5:$X$18,0)),"")</f>
        <v>0-6 months</v>
      </c>
      <c r="O16" s="62" t="str">
        <f>IFERROR(INDEX(_TECH_Strategy_Packages!$K$5:$K$18,MATCH(LARGE(_TECH_Strategy_Packages!$X$5:$X$18,ROWS($A$14:A16)),_TECH_Strategy_Packages!$X$5:$X$18,0)),"")</f>
        <v>CHRO / COO</v>
      </c>
      <c r="P16" s="62"/>
      <c r="Q16" s="62" t="str">
        <f t="shared" si="0"/>
        <v>Executive decision required</v>
      </c>
    </row>
    <row r="17" spans="1:17">
      <c r="A17" s="62">
        <f>IFERROR(ROWS($A$14:A17),"")</f>
        <v>4</v>
      </c>
      <c r="B17" s="62" t="str">
        <f>IFERROR(INDEX(_TECH_Strategy_Packages!$B$5:$B$18,MATCH(LARGE(_TECH_Strategy_Packages!$X$5:$X$18,ROWS($A$14:A17)),_TECH_Strategy_Packages!$X$5:$X$18,0)),"")</f>
        <v>Customer Retention and Revenue Protection Strategy</v>
      </c>
      <c r="C17" s="62" t="str">
        <f>IFERROR(INDEX(_TECH_Strategy_Packages!$C$5:$C$18,MATCH(LARGE(_TECH_Strategy_Packages!$X$5:$X$18,ROWS($A$14:A17)),_TECH_Strategy_Packages!$X$5:$X$18,0)),"")</f>
        <v>Protect existing revenue through churn analytics, account risk monitoring, customer communication and recovery offers.</v>
      </c>
      <c r="D17" s="62" t="str">
        <f>IFERROR(INDEX(_TECH_Strategy_Packages!$D$5:$D$18,MATCH(LARGE(_TECH_Strategy_Packages!$X$5:$X$18,ROWS($A$14:A17)),_TECH_Strategy_Packages!$X$5:$X$18,0)),"")</f>
        <v>Churn, revenue concentration, weak account visibility or poor customer analytics exist.</v>
      </c>
      <c r="E17" s="62" t="str">
        <f>IFERROR(INDEX(_TECH_Strategy_Packages!$E$5:$E$18,MATCH(LARGE(_TECH_Strategy_Packages!$X$5:$X$18,ROWS($A$14:A17)),_TECH_Strategy_Packages!$X$5:$X$18,0)),"")</f>
        <v>Customer health score; churn playbooks; account coverage; retention offers; revenue risk dashboard.</v>
      </c>
      <c r="F17" s="62" t="str">
        <f>IFERROR(INDEX(_TECH_Strategy_Packages!$F$5:$F$18,MATCH(LARGE(_TECH_Strategy_Packages!$X$5:$X$18,ROWS($A$14:A17)),_TECH_Strategy_Packages!$X$5:$X$18,0)),"")</f>
        <v>Sales CRM; Marketing Comms; Data BI AI</v>
      </c>
      <c r="G17" s="62" t="str">
        <f>IFERROR(INDEX(_TECH_Strategy_Packages!$G$5:$G$18,MATCH(LARGE(_TECH_Strategy_Packages!$X$5:$X$18,ROWS($A$14:A17)),_TECH_Strategy_Packages!$X$5:$X$18,0)),"")</f>
        <v>Customer loss; churn; revenue leakage</v>
      </c>
      <c r="H17" s="62" t="str">
        <f>IFERROR(INDEX(_TECH_Strategy_Packages!$H$5:$H$18,MATCH(LARGE(_TECH_Strategy_Packages!$X$5:$X$18,ROWS($A$14:A17)),_TECH_Strategy_Packages!$X$5:$X$18,0)),"")</f>
        <v>Key customer loss; Regional sales decline; Economic downturn</v>
      </c>
      <c r="I17" s="62">
        <f>IFERROR(INDEX(_TECH_Strategy_Packages!$U$5:$U$18,MATCH(LARGE(_TECH_Strategy_Packages!$X$5:$X$18,ROWS($A$14:A17)),_TECH_Strategy_Packages!$X$5:$X$18,0)),"")</f>
        <v>7</v>
      </c>
      <c r="J17" s="62">
        <f>IFERROR(INDEX(_TECH_Strategy_Packages!$V$5:$V$18,MATCH(LARGE(_TECH_Strategy_Packages!$X$5:$X$18,ROWS($A$14:A17)),_TECH_Strategy_Packages!$X$5:$X$18,0)),"")</f>
        <v>0</v>
      </c>
      <c r="K17" s="62">
        <f>IFERROR(ROUND(INDEX(_TECH_Strategy_Packages!$X$5:$X$18,MATCH(LARGE(_TECH_Strategy_Packages!$X$5:$X$18,ROWS($A$14:A17)),_TECH_Strategy_Packages!$X$5:$X$18,0)),2),"")</f>
        <v>8.0299999999999994</v>
      </c>
      <c r="L17" s="62">
        <f>IFERROR(INDEX(_TECH_Strategy_Packages!$Q$5:$Q$18,MATCH(LARGE(_TECH_Strategy_Packages!$X$5:$X$18,ROWS($A$14:A17)),_TECH_Strategy_Packages!$X$5:$X$18,0)),"")</f>
        <v>3</v>
      </c>
      <c r="M17" s="62" t="str">
        <f>IFERROR(INDEX(_TECH_Strategy_Packages!$Y$5:$Y$18,MATCH(LARGE(_TECH_Strategy_Packages!$X$5:$X$18,ROWS($A$14:A17)),_TECH_Strategy_Packages!$X$5:$X$18,0)),"")</f>
        <v>Critical</v>
      </c>
      <c r="N17" s="62" t="str">
        <f>IFERROR(INDEX(_TECH_Strategy_Packages!$L$5:$L$18,MATCH(LARGE(_TECH_Strategy_Packages!$X$5:$X$18,ROWS($A$14:A17)),_TECH_Strategy_Packages!$X$5:$X$18,0)),"")</f>
        <v>0-6 months</v>
      </c>
      <c r="O17" s="62" t="str">
        <f>IFERROR(INDEX(_TECH_Strategy_Packages!$K$5:$K$18,MATCH(LARGE(_TECH_Strategy_Packages!$X$5:$X$18,ROWS($A$14:A17)),_TECH_Strategy_Packages!$X$5:$X$18,0)),"")</f>
        <v>CRO / Customer Success Lead</v>
      </c>
      <c r="P17" s="62"/>
      <c r="Q17" s="62" t="str">
        <f t="shared" si="0"/>
        <v>Monitor / keep as backlog</v>
      </c>
    </row>
    <row r="18" spans="1:17">
      <c r="A18" s="62">
        <f>IFERROR(ROWS($A$14:A18),"")</f>
        <v>5</v>
      </c>
      <c r="B18" s="62" t="str">
        <f>IFERROR(INDEX(_TECH_Strategy_Packages!$B$5:$B$18,MATCH(LARGE(_TECH_Strategy_Packages!$X$5:$X$18,ROWS($A$14:A18)),_TECH_Strategy_Packages!$X$5:$X$18,0)),"")</f>
        <v>Cyber Resilience Strategy</v>
      </c>
      <c r="C18" s="62" t="str">
        <f>IFERROR(INDEX(_TECH_Strategy_Packages!$C$5:$C$18,MATCH(LARGE(_TECH_Strategy_Packages!$X$5:$X$18,ROWS($A$14:A18)),_TECH_Strategy_Packages!$X$5:$X$18,0)),"")</f>
        <v>Strengthen identity, monitoring, incident response, backup recovery and security awareness.</v>
      </c>
      <c r="D18" s="62" t="str">
        <f>IFERROR(INDEX(_TECH_Strategy_Packages!$D$5:$D$18,MATCH(LARGE(_TECH_Strategy_Packages!$X$5:$X$18,ROWS($A$14:A18)),_TECH_Strategy_Packages!$X$5:$X$18,0)),"")</f>
        <v>Cybersecurity, ransomware, privacy, access or monitoring weaknesses create material risk.</v>
      </c>
      <c r="E18" s="62" t="str">
        <f>IFERROR(INDEX(_TECH_Strategy_Packages!$E$5:$E$18,MATCH(LARGE(_TECH_Strategy_Packages!$X$5:$X$18,ROWS($A$14:A18)),_TECH_Strategy_Packages!$X$5:$X$18,0)),"")</f>
        <v>MFA; EDR; SIEM/logging; IR playbook; ransomware tabletop; backup isolation; awareness.</v>
      </c>
      <c r="F18" s="62" t="str">
        <f>IFERROR(INDEX(_TECH_Strategy_Packages!$F$5:$F$18,MATCH(LARGE(_TECH_Strategy_Packages!$X$5:$X$18,ROWS($A$14:A18)),_TECH_Strategy_Packages!$X$5:$X$18,0)),"")</f>
        <v>Cyber Privacy; IT Cloud DR; Legal Risk; Data BI AI</v>
      </c>
      <c r="G18" s="62" t="str">
        <f>IFERROR(INDEX(_TECH_Strategy_Packages!$G$5:$G$18,MATCH(LARGE(_TECH_Strategy_Packages!$X$5:$X$18,ROWS($A$14:A18)),_TECH_Strategy_Packages!$X$5:$X$18,0)),"")</f>
        <v>Cyberattack; privacy breach; ransomware; identity compromise</v>
      </c>
      <c r="H18" s="62" t="str">
        <f>IFERROR(INDEX(_TECH_Strategy_Packages!$H$5:$H$18,MATCH(LARGE(_TECH_Strategy_Packages!$X$5:$X$18,ROWS($A$14:A18)),_TECH_Strategy_Packages!$X$5:$X$18,0)),"")</f>
        <v>Cyberattack; Regulatory shock; War / geopolitical escalation</v>
      </c>
      <c r="I18" s="62">
        <f>IFERROR(INDEX(_TECH_Strategy_Packages!$U$5:$U$18,MATCH(LARGE(_TECH_Strategy_Packages!$X$5:$X$18,ROWS($A$14:A18)),_TECH_Strategy_Packages!$X$5:$X$18,0)),"")</f>
        <v>6</v>
      </c>
      <c r="J18" s="62">
        <f>IFERROR(INDEX(_TECH_Strategy_Packages!$V$5:$V$18,MATCH(LARGE(_TECH_Strategy_Packages!$X$5:$X$18,ROWS($A$14:A18)),_TECH_Strategy_Packages!$X$5:$X$18,0)),"")</f>
        <v>0</v>
      </c>
      <c r="K18" s="62">
        <f>IFERROR(ROUND(INDEX(_TECH_Strategy_Packages!$X$5:$X$18,MATCH(LARGE(_TECH_Strategy_Packages!$X$5:$X$18,ROWS($A$14:A18)),_TECH_Strategy_Packages!$X$5:$X$18,0)),2),"")</f>
        <v>7.56</v>
      </c>
      <c r="L18" s="62">
        <f>IFERROR(INDEX(_TECH_Strategy_Packages!$Q$5:$Q$18,MATCH(LARGE(_TECH_Strategy_Packages!$X$5:$X$18,ROWS($A$14:A18)),_TECH_Strategy_Packages!$X$5:$X$18,0)),"")</f>
        <v>4</v>
      </c>
      <c r="M18" s="62" t="str">
        <f>IFERROR(INDEX(_TECH_Strategy_Packages!$Y$5:$Y$18,MATCH(LARGE(_TECH_Strategy_Packages!$X$5:$X$18,ROWS($A$14:A18)),_TECH_Strategy_Packages!$X$5:$X$18,0)),"")</f>
        <v>Critical</v>
      </c>
      <c r="N18" s="62" t="str">
        <f>IFERROR(INDEX(_TECH_Strategy_Packages!$L$5:$L$18,MATCH(LARGE(_TECH_Strategy_Packages!$X$5:$X$18,ROWS($A$14:A18)),_TECH_Strategy_Packages!$X$5:$X$18,0)),"")</f>
        <v>0-9 months</v>
      </c>
      <c r="O18" s="62" t="str">
        <f>IFERROR(INDEX(_TECH_Strategy_Packages!$K$5:$K$18,MATCH(LARGE(_TECH_Strategy_Packages!$X$5:$X$18,ROWS($A$14:A18)),_TECH_Strategy_Packages!$X$5:$X$18,0)),"")</f>
        <v>CISO / CIO</v>
      </c>
      <c r="P18" s="62"/>
      <c r="Q18" s="62" t="str">
        <f t="shared" si="0"/>
        <v>Monitor / keep as backlog</v>
      </c>
    </row>
    <row r="19" spans="1:17">
      <c r="A19" s="62">
        <f>IFERROR(ROWS($A$14:A19),"")</f>
        <v>6</v>
      </c>
      <c r="B19" s="62" t="str">
        <f>IFERROR(INDEX(_TECH_Strategy_Packages!$B$5:$B$18,MATCH(LARGE(_TECH_Strategy_Packages!$X$5:$X$18,ROWS($A$14:A19)),_TECH_Strategy_Packages!$X$5:$X$18,0)),"")</f>
        <v>Operational Excellence and Process Maturity Strategy</v>
      </c>
      <c r="C19" s="62" t="str">
        <f>IFERROR(INDEX(_TECH_Strategy_Packages!$C$5:$C$18,MATCH(LARGE(_TECH_Strategy_Packages!$X$5:$X$18,ROWS($A$14:A19)),_TECH_Strategy_Packages!$X$5:$X$18,0)),"")</f>
        <v>Improve process ownership, KPI discipline, standard work, automation and management cadence.</v>
      </c>
      <c r="D19" s="62" t="str">
        <f>IFERROR(INDEX(_TECH_Strategy_Packages!$D$5:$D$18,MATCH(LARGE(_TECH_Strategy_Packages!$X$5:$X$18,ROWS($A$14:A19)),_TECH_Strategy_Packages!$X$5:$X$18,0)),"")</f>
        <v>Processes are manual, slow, costly, fragmented or weakly measured.</v>
      </c>
      <c r="E19" s="62" t="str">
        <f>IFERROR(INDEX(_TECH_Strategy_Packages!$E$5:$E$18,MATCH(LARGE(_TECH_Strategy_Packages!$X$5:$X$18,ROWS($A$14:A19)),_TECH_Strategy_Packages!$X$5:$X$18,0)),"")</f>
        <v>Process mapping; KPI cadence; automation; workflow redesign; standard work; performance management.</v>
      </c>
      <c r="F19" s="62" t="str">
        <f>IFERROR(INDEX(_TECH_Strategy_Packages!$F$5:$F$18,MATCH(LARGE(_TECH_Strategy_Packages!$X$5:$X$18,ROWS($A$14:A19)),_TECH_Strategy_Packages!$X$5:$X$18,0)),"")</f>
        <v>Governance Crisis; Delivery Ops; Quality Portfolio; Business Systems</v>
      </c>
      <c r="G19" s="62" t="str">
        <f>IFERROR(INDEX(_TECH_Strategy_Packages!$G$5:$G$18,MATCH(LARGE(_TECH_Strategy_Packages!$X$5:$X$18,ROWS($A$14:A19)),_TECH_Strategy_Packages!$X$5:$X$18,0)),"")</f>
        <v>Process failure; operational inefficiency; poor execution control</v>
      </c>
      <c r="H19" s="62" t="str">
        <f>IFERROR(INDEX(_TECH_Strategy_Packages!$H$5:$H$18,MATCH(LARGE(_TECH_Strategy_Packages!$X$5:$X$18,ROWS($A$14:A19)),_TECH_Strategy_Packages!$X$5:$X$18,0)),"")</f>
        <v>Economic downturn; Workforce availability crisis; Key customer loss</v>
      </c>
      <c r="I19" s="62">
        <f>IFERROR(INDEX(_TECH_Strategy_Packages!$U$5:$U$18,MATCH(LARGE(_TECH_Strategy_Packages!$X$5:$X$18,ROWS($A$14:A19)),_TECH_Strategy_Packages!$X$5:$X$18,0)),"")</f>
        <v>0</v>
      </c>
      <c r="J19" s="62">
        <f>IFERROR(INDEX(_TECH_Strategy_Packages!$V$5:$V$18,MATCH(LARGE(_TECH_Strategy_Packages!$X$5:$X$18,ROWS($A$14:A19)),_TECH_Strategy_Packages!$X$5:$X$18,0)),"")</f>
        <v>0</v>
      </c>
      <c r="K19" s="62">
        <f>IFERROR(ROUND(INDEX(_TECH_Strategy_Packages!$X$5:$X$18,MATCH(LARGE(_TECH_Strategy_Packages!$X$5:$X$18,ROWS($A$14:A19)),_TECH_Strategy_Packages!$X$5:$X$18,0)),2),"")</f>
        <v>7.28</v>
      </c>
      <c r="L19" s="62">
        <f>IFERROR(INDEX(_TECH_Strategy_Packages!$Q$5:$Q$18,MATCH(LARGE(_TECH_Strategy_Packages!$X$5:$X$18,ROWS($A$14:A19)),_TECH_Strategy_Packages!$X$5:$X$18,0)),"")</f>
        <v>3</v>
      </c>
      <c r="M19" s="62" t="str">
        <f>IFERROR(INDEX(_TECH_Strategy_Packages!$Y$5:$Y$18,MATCH(LARGE(_TECH_Strategy_Packages!$X$5:$X$18,ROWS($A$14:A19)),_TECH_Strategy_Packages!$X$5:$X$18,0)),"")</f>
        <v>Critical</v>
      </c>
      <c r="N19" s="62" t="str">
        <f>IFERROR(INDEX(_TECH_Strategy_Packages!$L$5:$L$18,MATCH(LARGE(_TECH_Strategy_Packages!$X$5:$X$18,ROWS($A$14:A19)),_TECH_Strategy_Packages!$X$5:$X$18,0)),"")</f>
        <v>3-12 months</v>
      </c>
      <c r="O19" s="62" t="str">
        <f>IFERROR(INDEX(_TECH_Strategy_Packages!$K$5:$K$18,MATCH(LARGE(_TECH_Strategy_Packages!$X$5:$X$18,ROWS($A$14:A19)),_TECH_Strategy_Packages!$X$5:$X$18,0)),"")</f>
        <v>COO / Transformation Lead</v>
      </c>
      <c r="P19" s="62"/>
      <c r="Q19" s="62" t="str">
        <f t="shared" si="0"/>
        <v>Monitor / keep as backlog</v>
      </c>
    </row>
    <row r="20" spans="1:17">
      <c r="A20" s="62">
        <f>IFERROR(ROWS($A$14:A20),"")</f>
        <v>7</v>
      </c>
      <c r="B20" s="62" t="str">
        <f>IFERROR(INDEX(_TECH_Strategy_Packages!$B$5:$B$18,MATCH(LARGE(_TECH_Strategy_Packages!$X$5:$X$18,ROWS($A$14:A20)),_TECH_Strategy_Packages!$X$5:$X$18,0)),"")</f>
        <v>Business Continuity and Resilience Strategy</v>
      </c>
      <c r="C20" s="62" t="str">
        <f>IFERROR(INDEX(_TECH_Strategy_Packages!$C$5:$C$18,MATCH(LARGE(_TECH_Strategy_Packages!$X$5:$X$18,ROWS($A$14:A20)),_TECH_Strategy_Packages!$X$5:$X$18,0)),"")</f>
        <v>Build BIA, recovery priorities, crisis roles, recovery playbooks and testing.</v>
      </c>
      <c r="D20" s="62" t="str">
        <f>IFERROR(INDEX(_TECH_Strategy_Packages!$D$5:$D$18,MATCH(LARGE(_TECH_Strategy_Packages!$X$5:$X$18,ROWS($A$14:A20)),_TECH_Strategy_Packages!$X$5:$X$18,0)),"")</f>
        <v>High disruption exposure, weak continuity governance, unclear recovery priorities.</v>
      </c>
      <c r="E20" s="62" t="str">
        <f>IFERROR(INDEX(_TECH_Strategy_Packages!$E$5:$E$18,MATCH(LARGE(_TECH_Strategy_Packages!$X$5:$X$18,ROWS($A$14:A20)),_TECH_Strategy_Packages!$X$5:$X$18,0)),"")</f>
        <v>BIA; BCP; crisis governance; recovery playbooks; tabletop exercises.</v>
      </c>
      <c r="F20" s="62" t="str">
        <f>IFERROR(INDEX(_TECH_Strategy_Packages!$F$5:$F$18,MATCH(LARGE(_TECH_Strategy_Packages!$X$5:$X$18,ROWS($A$14:A20)),_TECH_Strategy_Packages!$X$5:$X$18,0)),"")</f>
        <v>Governance Crisis; IT Cloud DR; Physical Safety; Delivery Ops</v>
      </c>
      <c r="G20" s="62" t="str">
        <f>IFERROR(INDEX(_TECH_Strategy_Packages!$G$5:$G$18,MATCH(LARGE(_TECH_Strategy_Packages!$X$5:$X$18,ROWS($A$14:A20)),_TECH_Strategy_Packages!$X$5:$X$18,0)),"")</f>
        <v>Business interruption; recovery failure; crisis governance</v>
      </c>
      <c r="H20" s="62" t="str">
        <f>IFERROR(INDEX(_TECH_Strategy_Packages!$H$5:$H$18,MATCH(LARGE(_TECH_Strategy_Packages!$X$5:$X$18,ROWS($A$14:A20)),_TECH_Strategy_Packages!$X$5:$X$18,0)),"")</f>
        <v>Pandemic; War / geopolitical escalation; Natural disaster; Energy crisis; Physical infrastructure disruption; Cyberattack</v>
      </c>
      <c r="I20" s="62">
        <f>IFERROR(INDEX(_TECH_Strategy_Packages!$U$5:$U$18,MATCH(LARGE(_TECH_Strategy_Packages!$X$5:$X$18,ROWS($A$14:A20)),_TECH_Strategy_Packages!$X$5:$X$18,0)),"")</f>
        <v>6</v>
      </c>
      <c r="J20" s="62">
        <f>IFERROR(INDEX(_TECH_Strategy_Packages!$V$5:$V$18,MATCH(LARGE(_TECH_Strategy_Packages!$X$5:$X$18,ROWS($A$14:A20)),_TECH_Strategy_Packages!$X$5:$X$18,0)),"")</f>
        <v>0</v>
      </c>
      <c r="K20" s="62">
        <f>IFERROR(ROUND(INDEX(_TECH_Strategy_Packages!$X$5:$X$18,MATCH(LARGE(_TECH_Strategy_Packages!$X$5:$X$18,ROWS($A$14:A20)),_TECH_Strategy_Packages!$X$5:$X$18,0)),2),"")</f>
        <v>7.17</v>
      </c>
      <c r="L20" s="62">
        <f>IFERROR(INDEX(_TECH_Strategy_Packages!$Q$5:$Q$18,MATCH(LARGE(_TECH_Strategy_Packages!$X$5:$X$18,ROWS($A$14:A20)),_TECH_Strategy_Packages!$X$5:$X$18,0)),"")</f>
        <v>4</v>
      </c>
      <c r="M20" s="62" t="str">
        <f>IFERROR(INDEX(_TECH_Strategy_Packages!$Y$5:$Y$18,MATCH(LARGE(_TECH_Strategy_Packages!$X$5:$X$18,ROWS($A$14:A20)),_TECH_Strategy_Packages!$X$5:$X$18,0)),"")</f>
        <v>Critical</v>
      </c>
      <c r="N20" s="62" t="str">
        <f>IFERROR(INDEX(_TECH_Strategy_Packages!$L$5:$L$18,MATCH(LARGE(_TECH_Strategy_Packages!$X$5:$X$18,ROWS($A$14:A20)),_TECH_Strategy_Packages!$X$5:$X$18,0)),"")</f>
        <v>0-6 months</v>
      </c>
      <c r="O20" s="62" t="str">
        <f>IFERROR(INDEX(_TECH_Strategy_Packages!$K$5:$K$18,MATCH(LARGE(_TECH_Strategy_Packages!$X$5:$X$18,ROWS($A$14:A20)),_TECH_Strategy_Packages!$X$5:$X$18,0)),"")</f>
        <v>CEO / COO / Risk Lead</v>
      </c>
      <c r="P20" s="62"/>
      <c r="Q20" s="62" t="str">
        <f t="shared" si="0"/>
        <v>Monitor / keep as backlog</v>
      </c>
    </row>
    <row r="21" spans="1:17">
      <c r="A21" s="62">
        <f>IFERROR(ROWS($A$14:A21),"")</f>
        <v>8</v>
      </c>
      <c r="B21" s="62" t="str">
        <f>IFERROR(INDEX(_TECH_Strategy_Packages!$B$5:$B$18,MATCH(LARGE(_TECH_Strategy_Packages!$X$5:$X$18,ROWS($A$14:A21)),_TECH_Strategy_Packages!$X$5:$X$18,0)),"")</f>
        <v>GTM and Revenue Diversification Strategy</v>
      </c>
      <c r="C21" s="62" t="str">
        <f>IFERROR(INDEX(_TECH_Strategy_Packages!$C$5:$C$18,MATCH(LARGE(_TECH_Strategy_Packages!$X$5:$X$18,ROWS($A$14:A21)),_TECH_Strategy_Packages!$X$5:$X$18,0)),"")</f>
        <v>Reduce revenue dependency through ICP clarity, offer packaging, new channels, market diversification and CRM discipline.</v>
      </c>
      <c r="D21" s="62" t="str">
        <f>IFERROR(INDEX(_TECH_Strategy_Packages!$D$5:$D$18,MATCH(LARGE(_TECH_Strategy_Packages!$X$5:$X$18,ROWS($A$14:A21)),_TECH_Strategy_Packages!$X$5:$X$18,0)),"")</f>
        <v>Revenue depends on one region, customer segment, physical channel, weak ICP or narrow customer base.</v>
      </c>
      <c r="E21" s="62" t="str">
        <f>IFERROR(INDEX(_TECH_Strategy_Packages!$E$5:$E$18,MATCH(LARGE(_TECH_Strategy_Packages!$X$5:$X$18,ROWS($A$14:A21)),_TECH_Strategy_Packages!$X$5:$X$18,0)),"")</f>
        <v>ICP validation; offer packaging; channel mix; partner channels; pricing; market diversification.</v>
      </c>
      <c r="F21" s="62" t="str">
        <f>IFERROR(INDEX(_TECH_Strategy_Packages!$F$5:$F$18,MATCH(LARGE(_TECH_Strategy_Packages!$X$5:$X$18,ROWS($A$14:A21)),_TECH_Strategy_Packages!$X$5:$X$18,0)),"")</f>
        <v>Strategy GTM; Sales CRM; Marketing Comms</v>
      </c>
      <c r="G21" s="62" t="str">
        <f>IFERROR(INDEX(_TECH_Strategy_Packages!$G$5:$G$18,MATCH(LARGE(_TECH_Strategy_Packages!$X$5:$X$18,ROWS($A$14:A21)),_TECH_Strategy_Packages!$X$5:$X$18,0)),"")</f>
        <v>Revenue concentration; weak pipeline; market dependency</v>
      </c>
      <c r="H21" s="62" t="str">
        <f>IFERROR(INDEX(_TECH_Strategy_Packages!$H$5:$H$18,MATCH(LARGE(_TECH_Strategy_Packages!$X$5:$X$18,ROWS($A$14:A21)),_TECH_Strategy_Packages!$X$5:$X$18,0)),"")</f>
        <v>Regional sales decline; Key customer loss; Economic downturn</v>
      </c>
      <c r="I21" s="62">
        <f>IFERROR(INDEX(_TECH_Strategy_Packages!$U$5:$U$18,MATCH(LARGE(_TECH_Strategy_Packages!$X$5:$X$18,ROWS($A$14:A21)),_TECH_Strategy_Packages!$X$5:$X$18,0)),"")</f>
        <v>0</v>
      </c>
      <c r="J21" s="62">
        <f>IFERROR(INDEX(_TECH_Strategy_Packages!$V$5:$V$18,MATCH(LARGE(_TECH_Strategy_Packages!$X$5:$X$18,ROWS($A$14:A21)),_TECH_Strategy_Packages!$X$5:$X$18,0)),"")</f>
        <v>0</v>
      </c>
      <c r="K21" s="62">
        <f>IFERROR(ROUND(INDEX(_TECH_Strategy_Packages!$X$5:$X$18,MATCH(LARGE(_TECH_Strategy_Packages!$X$5:$X$18,ROWS($A$14:A21)),_TECH_Strategy_Packages!$X$5:$X$18,0)),2),"")</f>
        <v>7.02</v>
      </c>
      <c r="L21" s="62">
        <f>IFERROR(INDEX(_TECH_Strategy_Packages!$Q$5:$Q$18,MATCH(LARGE(_TECH_Strategy_Packages!$X$5:$X$18,ROWS($A$14:A21)),_TECH_Strategy_Packages!$X$5:$X$18,0)),"")</f>
        <v>4</v>
      </c>
      <c r="M21" s="62" t="str">
        <f>IFERROR(INDEX(_TECH_Strategy_Packages!$Y$5:$Y$18,MATCH(LARGE(_TECH_Strategy_Packages!$X$5:$X$18,ROWS($A$14:A21)),_TECH_Strategy_Packages!$X$5:$X$18,0)),"")</f>
        <v>Critical</v>
      </c>
      <c r="N21" s="62" t="str">
        <f>IFERROR(INDEX(_TECH_Strategy_Packages!$L$5:$L$18,MATCH(LARGE(_TECH_Strategy_Packages!$X$5:$X$18,ROWS($A$14:A21)),_TECH_Strategy_Packages!$X$5:$X$18,0)),"")</f>
        <v>3-12 months</v>
      </c>
      <c r="O21" s="62" t="str">
        <f>IFERROR(INDEX(_TECH_Strategy_Packages!$K$5:$K$18,MATCH(LARGE(_TECH_Strategy_Packages!$X$5:$X$18,ROWS($A$14:A21)),_TECH_Strategy_Packages!$X$5:$X$18,0)),"")</f>
        <v>CRO / CMO</v>
      </c>
      <c r="P21" s="62"/>
      <c r="Q21" s="62" t="str">
        <f t="shared" si="0"/>
        <v>Monitor / keep as backlog</v>
      </c>
    </row>
    <row r="22" spans="1:17">
      <c r="A22" s="62">
        <f>IFERROR(ROWS($A$14:A22),"")</f>
        <v>9</v>
      </c>
      <c r="B22" s="62" t="str">
        <f>IFERROR(INDEX(_TECH_Strategy_Packages!$B$5:$B$18,MATCH(LARGE(_TECH_Strategy_Packages!$X$5:$X$18,ROWS($A$14:A22)),_TECH_Strategy_Packages!$X$5:$X$18,0)),"")</f>
        <v>Physical Safety and Site Resilience Strategy</v>
      </c>
      <c r="C22" s="62" t="str">
        <f>IFERROR(INDEX(_TECH_Strategy_Packages!$C$5:$C$18,MATCH(LARGE(_TECH_Strategy_Packages!$X$5:$X$18,ROWS($A$14:A22)),_TECH_Strategy_Packages!$X$5:$X$18,0)),"")</f>
        <v>Protect people, sites and physical assets through safety, emergency response, access control and alternate-site planning.</v>
      </c>
      <c r="D22" s="62" t="str">
        <f>IFERROR(INDEX(_TECH_Strategy_Packages!$D$5:$D$18,MATCH(LARGE(_TECH_Strategy_Packages!$X$5:$X$18,ROWS($A$14:A22)),_TECH_Strategy_Packages!$X$5:$X$18,0)),"")</f>
        <v>Employee safety, facility, access, emergency response or site loss risks are material.</v>
      </c>
      <c r="E22" s="62" t="str">
        <f>IFERROR(INDEX(_TECH_Strategy_Packages!$E$5:$E$18,MATCH(LARGE(_TECH_Strategy_Packages!$X$5:$X$18,ROWS($A$14:A22)),_TECH_Strategy_Packages!$X$5:$X$18,0)),"")</f>
        <v>Site risk assessment; evacuation; emergency roles; access control; travel risk; alternate site.</v>
      </c>
      <c r="F22" s="62" t="str">
        <f>IFERROR(INDEX(_TECH_Strategy_Packages!$F$5:$F$18,MATCH(LARGE(_TECH_Strategy_Packages!$X$5:$X$18,ROWS($A$14:A22)),_TECH_Strategy_Packages!$X$5:$X$18,0)),"")</f>
        <v>Physical Safety; Company Geography; HR Workforce; Governance Crisis</v>
      </c>
      <c r="G22" s="62" t="str">
        <f>IFERROR(INDEX(_TECH_Strategy_Packages!$G$5:$G$18,MATCH(LARGE(_TECH_Strategy_Packages!$X$5:$X$18,ROWS($A$14:A22)),_TECH_Strategy_Packages!$X$5:$X$18,0)),"")</f>
        <v>People safety; site loss; access failure</v>
      </c>
      <c r="H22" s="62" t="str">
        <f>IFERROR(INDEX(_TECH_Strategy_Packages!$H$5:$H$18,MATCH(LARGE(_TECH_Strategy_Packages!$X$5:$X$18,ROWS($A$14:A22)),_TECH_Strategy_Packages!$X$5:$X$18,0)),"")</f>
        <v>War / geopolitical escalation; Natural disaster; Physical infrastructure disruption; Pandemic</v>
      </c>
      <c r="I22" s="62">
        <f>IFERROR(INDEX(_TECH_Strategy_Packages!$U$5:$U$18,MATCH(LARGE(_TECH_Strategy_Packages!$X$5:$X$18,ROWS($A$14:A22)),_TECH_Strategy_Packages!$X$5:$X$18,0)),"")</f>
        <v>5</v>
      </c>
      <c r="J22" s="62">
        <f>IFERROR(INDEX(_TECH_Strategy_Packages!$V$5:$V$18,MATCH(LARGE(_TECH_Strategy_Packages!$X$5:$X$18,ROWS($A$14:A22)),_TECH_Strategy_Packages!$X$5:$X$18,0)),"")</f>
        <v>0</v>
      </c>
      <c r="K22" s="62">
        <f>IFERROR(ROUND(INDEX(_TECH_Strategy_Packages!$X$5:$X$18,MATCH(LARGE(_TECH_Strategy_Packages!$X$5:$X$18,ROWS($A$14:A22)),_TECH_Strategy_Packages!$X$5:$X$18,0)),2),"")</f>
        <v>6.97</v>
      </c>
      <c r="L22" s="62">
        <f>IFERROR(INDEX(_TECH_Strategy_Packages!$Q$5:$Q$18,MATCH(LARGE(_TECH_Strategy_Packages!$X$5:$X$18,ROWS($A$14:A22)),_TECH_Strategy_Packages!$X$5:$X$18,0)),"")</f>
        <v>3</v>
      </c>
      <c r="M22" s="62" t="str">
        <f>IFERROR(INDEX(_TECH_Strategy_Packages!$Y$5:$Y$18,MATCH(LARGE(_TECH_Strategy_Packages!$X$5:$X$18,ROWS($A$14:A22)),_TECH_Strategy_Packages!$X$5:$X$18,0)),"")</f>
        <v>Critical</v>
      </c>
      <c r="N22" s="62" t="str">
        <f>IFERROR(INDEX(_TECH_Strategy_Packages!$L$5:$L$18,MATCH(LARGE(_TECH_Strategy_Packages!$X$5:$X$18,ROWS($A$14:A22)),_TECH_Strategy_Packages!$X$5:$X$18,0)),"")</f>
        <v>0-6 months</v>
      </c>
      <c r="O22" s="62" t="str">
        <f>IFERROR(INDEX(_TECH_Strategy_Packages!$K$5:$K$18,MATCH(LARGE(_TECH_Strategy_Packages!$X$5:$X$18,ROWS($A$14:A22)),_TECH_Strategy_Packages!$X$5:$X$18,0)),"")</f>
        <v>COO / HSE / Security Lead</v>
      </c>
      <c r="P22" s="62"/>
      <c r="Q22" s="62" t="str">
        <f t="shared" si="0"/>
        <v>Monitor / keep as backlog</v>
      </c>
    </row>
    <row r="23" spans="1:17">
      <c r="A23" s="62">
        <f>IFERROR(ROWS($A$14:A23),"")</f>
        <v>10</v>
      </c>
      <c r="B23" s="62" t="str">
        <f>IFERROR(INDEX(_TECH_Strategy_Packages!$B$5:$B$18,MATCH(LARGE(_TECH_Strategy_Packages!$X$5:$X$18,ROWS($A$14:A23)),_TECH_Strategy_Packages!$X$5:$X$18,0)),"")</f>
        <v>Cloud and Infrastructure Resilience Strategy</v>
      </c>
      <c r="C23" s="62" t="str">
        <f>IFERROR(INDEX(_TECH_Strategy_Packages!$C$5:$C$18,MATCH(LARGE(_TECH_Strategy_Packages!$X$5:$X$18,ROWS($A$14:A23)),_TECH_Strategy_Packages!$X$5:$X$18,0)),"")</f>
        <v>Reduce infrastructure fragility through cloud architecture, DR, backup, failover and remote access readiness.</v>
      </c>
      <c r="D23" s="62" t="str">
        <f>IFERROR(INDEX(_TECH_Strategy_Packages!$D$5:$D$18,MATCH(LARGE(_TECH_Strategy_Packages!$X$5:$X$18,ROWS($A$14:A23)),_TECH_Strategy_Packages!$X$5:$X$18,0)),"")</f>
        <v>Physical infrastructure dependency, weak backup, high RTO/RPO or poor remote access readiness.</v>
      </c>
      <c r="E23" s="62" t="str">
        <f>IFERROR(INDEX(_TECH_Strategy_Packages!$E$5:$E$18,MATCH(LARGE(_TECH_Strategy_Packages!$X$5:$X$18,ROWS($A$14:A23)),_TECH_Strategy_Packages!$X$5:$X$18,0)),"")</f>
        <v>Cloud landing zone; backup modernization; restore tests; DR runbooks; identity resilience.</v>
      </c>
      <c r="F23" s="62" t="str">
        <f>IFERROR(INDEX(_TECH_Strategy_Packages!$F$5:$F$18,MATCH(LARGE(_TECH_Strategy_Packages!$X$5:$X$18,ROWS($A$14:A23)),_TECH_Strategy_Packages!$X$5:$X$18,0)),"")</f>
        <v>IT Cloud DR; Cyber Privacy; Business Systems</v>
      </c>
      <c r="G23" s="62" t="str">
        <f>IFERROR(INDEX(_TECH_Strategy_Packages!$G$5:$G$18,MATCH(LARGE(_TECH_Strategy_Packages!$X$5:$X$18,ROWS($A$14:A23)),_TECH_Strategy_Packages!$X$5:$X$18,0)),"")</f>
        <v>Infrastructure disruption; data loss; downtime</v>
      </c>
      <c r="H23" s="62" t="str">
        <f>IFERROR(INDEX(_TECH_Strategy_Packages!$H$5:$H$18,MATCH(LARGE(_TECH_Strategy_Packages!$X$5:$X$18,ROWS($A$14:A23)),_TECH_Strategy_Packages!$X$5:$X$18,0)),"")</f>
        <v>Cyberattack; Physical infrastructure disruption; War / geopolitical escalation; Energy crisis</v>
      </c>
      <c r="I23" s="62">
        <f>IFERROR(INDEX(_TECH_Strategy_Packages!$U$5:$U$18,MATCH(LARGE(_TECH_Strategy_Packages!$X$5:$X$18,ROWS($A$14:A23)),_TECH_Strategy_Packages!$X$5:$X$18,0)),"")</f>
        <v>5</v>
      </c>
      <c r="J23" s="62">
        <f>IFERROR(INDEX(_TECH_Strategy_Packages!$V$5:$V$18,MATCH(LARGE(_TECH_Strategy_Packages!$X$5:$X$18,ROWS($A$14:A23)),_TECH_Strategy_Packages!$X$5:$X$18,0)),"")</f>
        <v>0</v>
      </c>
      <c r="K23" s="62">
        <f>IFERROR(ROUND(INDEX(_TECH_Strategy_Packages!$X$5:$X$18,MATCH(LARGE(_TECH_Strategy_Packages!$X$5:$X$18,ROWS($A$14:A23)),_TECH_Strategy_Packages!$X$5:$X$18,0)),2),"")</f>
        <v>6.3</v>
      </c>
      <c r="L23" s="62">
        <f>IFERROR(INDEX(_TECH_Strategy_Packages!$Q$5:$Q$18,MATCH(LARGE(_TECH_Strategy_Packages!$X$5:$X$18,ROWS($A$14:A23)),_TECH_Strategy_Packages!$X$5:$X$18,0)),"")</f>
        <v>4</v>
      </c>
      <c r="M23" s="62" t="str">
        <f>IFERROR(INDEX(_TECH_Strategy_Packages!$Y$5:$Y$18,MATCH(LARGE(_TECH_Strategy_Packages!$X$5:$X$18,ROWS($A$14:A23)),_TECH_Strategy_Packages!$X$5:$X$18,0)),"")</f>
        <v>Critical</v>
      </c>
      <c r="N23" s="62" t="str">
        <f>IFERROR(INDEX(_TECH_Strategy_Packages!$L$5:$L$18,MATCH(LARGE(_TECH_Strategy_Packages!$X$5:$X$18,ROWS($A$14:A23)),_TECH_Strategy_Packages!$X$5:$X$18,0)),"")</f>
        <v>0-9 months</v>
      </c>
      <c r="O23" s="62" t="str">
        <f>IFERROR(INDEX(_TECH_Strategy_Packages!$K$5:$K$18,MATCH(LARGE(_TECH_Strategy_Packages!$X$5:$X$18,ROWS($A$14:A23)),_TECH_Strategy_Packages!$X$5:$X$18,0)),"")</f>
        <v>CIO / CTO</v>
      </c>
      <c r="P23" s="62"/>
      <c r="Q23" s="62" t="str">
        <f t="shared" si="0"/>
        <v>Monitor / keep as backlog</v>
      </c>
    </row>
    <row r="24" spans="1:17">
      <c r="A24" s="62">
        <f>IFERROR(ROWS($A$14:A24),"")</f>
        <v>11</v>
      </c>
      <c r="B24" s="62" t="str">
        <f>IFERROR(INDEX(_TECH_Strategy_Packages!$B$5:$B$18,MATCH(LARGE(_TECH_Strategy_Packages!$X$5:$X$18,ROWS($A$14:A24)),_TECH_Strategy_Packages!$X$5:$X$18,0)),"")</f>
        <v>Compliance and Risk Control Strategy</v>
      </c>
      <c r="C24" s="62" t="str">
        <f>IFERROR(INDEX(_TECH_Strategy_Packages!$C$5:$C$18,MATCH(LARGE(_TECH_Strategy_Packages!$X$5:$X$18,ROWS($A$14:A24)),_TECH_Strategy_Packages!$X$5:$X$18,0)),"")</f>
        <v>Strengthen compliance obligations, risk register, control testing, privacy and contract controls.</v>
      </c>
      <c r="D24" s="62" t="str">
        <f>IFERROR(INDEX(_TECH_Strategy_Packages!$D$5:$D$18,MATCH(LARGE(_TECH_Strategy_Packages!$X$5:$X$18,ROWS($A$14:A24)),_TECH_Strategy_Packages!$X$5:$X$18,0)),"")</f>
        <v>Regulatory exposure is high or compliance, risk, contract or privacy controls are weak.</v>
      </c>
      <c r="E24" s="62" t="str">
        <f>IFERROR(INDEX(_TECH_Strategy_Packages!$E$5:$E$18,MATCH(LARGE(_TECH_Strategy_Packages!$X$5:$X$18,ROWS($A$14:A24)),_TECH_Strategy_Packages!$X$5:$X$18,0)),"")</f>
        <v>Obligation register; risk register; compliance calendar; control tests; contract controls; privacy governance.</v>
      </c>
      <c r="F24" s="62" t="str">
        <f>IFERROR(INDEX(_TECH_Strategy_Packages!$F$5:$F$18,MATCH(LARGE(_TECH_Strategy_Packages!$X$5:$X$18,ROWS($A$14:A24)),_TECH_Strategy_Packages!$X$5:$X$18,0)),"")</f>
        <v>Legal Risk; Cyber Privacy; Finance Procurement; Governance Crisis</v>
      </c>
      <c r="G24" s="62" t="str">
        <f>IFERROR(INDEX(_TECH_Strategy_Packages!$G$5:$G$18,MATCH(LARGE(_TECH_Strategy_Packages!$X$5:$X$18,ROWS($A$14:A24)),_TECH_Strategy_Packages!$X$5:$X$18,0)),"")</f>
        <v>Regulatory breach; contract exposure; control failure</v>
      </c>
      <c r="H24" s="62" t="str">
        <f>IFERROR(INDEX(_TECH_Strategy_Packages!$H$5:$H$18,MATCH(LARGE(_TECH_Strategy_Packages!$X$5:$X$18,ROWS($A$14:A24)),_TECH_Strategy_Packages!$X$5:$X$18,0)),"")</f>
        <v>Regulatory shock; Cyberattack; War / geopolitical escalation</v>
      </c>
      <c r="I24" s="62">
        <f>IFERROR(INDEX(_TECH_Strategy_Packages!$U$5:$U$18,MATCH(LARGE(_TECH_Strategy_Packages!$X$5:$X$18,ROWS($A$14:A24)),_TECH_Strategy_Packages!$X$5:$X$18,0)),"")</f>
        <v>6</v>
      </c>
      <c r="J24" s="62">
        <f>IFERROR(INDEX(_TECH_Strategy_Packages!$V$5:$V$18,MATCH(LARGE(_TECH_Strategy_Packages!$X$5:$X$18,ROWS($A$14:A24)),_TECH_Strategy_Packages!$X$5:$X$18,0)),"")</f>
        <v>0</v>
      </c>
      <c r="K24" s="62">
        <f>IFERROR(ROUND(INDEX(_TECH_Strategy_Packages!$X$5:$X$18,MATCH(LARGE(_TECH_Strategy_Packages!$X$5:$X$18,ROWS($A$14:A24)),_TECH_Strategy_Packages!$X$5:$X$18,0)),2),"")</f>
        <v>6.2</v>
      </c>
      <c r="L24" s="62">
        <f>IFERROR(INDEX(_TECH_Strategy_Packages!$Q$5:$Q$18,MATCH(LARGE(_TECH_Strategy_Packages!$X$5:$X$18,ROWS($A$14:A24)),_TECH_Strategy_Packages!$X$5:$X$18,0)),"")</f>
        <v>3</v>
      </c>
      <c r="M24" s="62" t="str">
        <f>IFERROR(INDEX(_TECH_Strategy_Packages!$Y$5:$Y$18,MATCH(LARGE(_TECH_Strategy_Packages!$X$5:$X$18,ROWS($A$14:A24)),_TECH_Strategy_Packages!$X$5:$X$18,0)),"")</f>
        <v>Critical</v>
      </c>
      <c r="N24" s="62" t="str">
        <f>IFERROR(INDEX(_TECH_Strategy_Packages!$L$5:$L$18,MATCH(LARGE(_TECH_Strategy_Packages!$X$5:$X$18,ROWS($A$14:A24)),_TECH_Strategy_Packages!$X$5:$X$18,0)),"")</f>
        <v>0-9 months</v>
      </c>
      <c r="O24" s="62" t="str">
        <f>IFERROR(INDEX(_TECH_Strategy_Packages!$K$5:$K$18,MATCH(LARGE(_TECH_Strategy_Packages!$X$5:$X$18,ROWS($A$14:A24)),_TECH_Strategy_Packages!$X$5:$X$18,0)),"")</f>
        <v>General Counsel / Compliance Lead</v>
      </c>
      <c r="P24" s="62"/>
      <c r="Q24" s="62" t="str">
        <f t="shared" si="0"/>
        <v>Monitor / keep as backlog</v>
      </c>
    </row>
    <row r="25" spans="1:17">
      <c r="A25" s="62">
        <f>IFERROR(ROWS($A$14:A25),"")</f>
        <v>12</v>
      </c>
      <c r="B25" s="62" t="str">
        <f>IFERROR(INDEX(_TECH_Strategy_Packages!$B$5:$B$18,MATCH(LARGE(_TECH_Strategy_Packages!$X$5:$X$18,ROWS($A$14:A25)),_TECH_Strategy_Packages!$X$5:$X$18,0)),"")</f>
        <v>Data Governance and AI Readiness Strategy</v>
      </c>
      <c r="C25" s="62" t="str">
        <f>IFERROR(INDEX(_TECH_Strategy_Packages!$C$5:$C$18,MATCH(LARGE(_TECH_Strategy_Packages!$X$5:$X$18,ROWS($A$14:A25)),_TECH_Strategy_Packages!$X$5:$X$18,0)),"")</f>
        <v>Create data ownership, quality rules, BI governance, analytics discipline and responsible AI controls.</v>
      </c>
      <c r="D25" s="62" t="str">
        <f>IFERROR(INDEX(_TECH_Strategy_Packages!$D$5:$D$18,MATCH(LARGE(_TECH_Strategy_Packages!$X$5:$X$18,ROWS($A$14:A25)),_TECH_Strategy_Packages!$X$5:$X$18,0)),"")</f>
        <v>Data quality, reporting, BI, forecasting or AI governance are weak.</v>
      </c>
      <c r="E25" s="62" t="str">
        <f>IFERROR(INDEX(_TECH_Strategy_Packages!$E$5:$E$18,MATCH(LARGE(_TECH_Strategy_Packages!$X$5:$X$18,ROWS($A$14:A25)),_TECH_Strategy_Packages!$X$5:$X$18,0)),"")</f>
        <v>Data owners; data catalog; BI standards; data quality rules; AI governance; executive dashboards.</v>
      </c>
      <c r="F25" s="62" t="str">
        <f>IFERROR(INDEX(_TECH_Strategy_Packages!$F$5:$F$18,MATCH(LARGE(_TECH_Strategy_Packages!$X$5:$X$18,ROWS($A$14:A25)),_TECH_Strategy_Packages!$X$5:$X$18,0)),"")</f>
        <v>Data BI AI; Business Systems; Governance Crisis</v>
      </c>
      <c r="G25" s="62" t="str">
        <f>IFERROR(INDEX(_TECH_Strategy_Packages!$G$5:$G$18,MATCH(LARGE(_TECH_Strategy_Packages!$X$5:$X$18,ROWS($A$14:A25)),_TECH_Strategy_Packages!$X$5:$X$18,0)),"")</f>
        <v>Poor data quality; unreliable reporting; AI misuse</v>
      </c>
      <c r="H25" s="62" t="str">
        <f>IFERROR(INDEX(_TECH_Strategy_Packages!$H$5:$H$18,MATCH(LARGE(_TECH_Strategy_Packages!$X$5:$X$18,ROWS($A$14:A25)),_TECH_Strategy_Packages!$X$5:$X$18,0)),"")</f>
        <v>Regulatory shock; Economic downturn; Key customer loss</v>
      </c>
      <c r="I25" s="62">
        <f>IFERROR(INDEX(_TECH_Strategy_Packages!$U$5:$U$18,MATCH(LARGE(_TECH_Strategy_Packages!$X$5:$X$18,ROWS($A$14:A25)),_TECH_Strategy_Packages!$X$5:$X$18,0)),"")</f>
        <v>5</v>
      </c>
      <c r="J25" s="62">
        <f>IFERROR(INDEX(_TECH_Strategy_Packages!$V$5:$V$18,MATCH(LARGE(_TECH_Strategy_Packages!$X$5:$X$18,ROWS($A$14:A25)),_TECH_Strategy_Packages!$X$5:$X$18,0)),"")</f>
        <v>0</v>
      </c>
      <c r="K25" s="62">
        <f>IFERROR(ROUND(INDEX(_TECH_Strategy_Packages!$X$5:$X$18,MATCH(LARGE(_TECH_Strategy_Packages!$X$5:$X$18,ROWS($A$14:A25)),_TECH_Strategy_Packages!$X$5:$X$18,0)),2),"")</f>
        <v>5</v>
      </c>
      <c r="L25" s="62">
        <f>IFERROR(INDEX(_TECH_Strategy_Packages!$Q$5:$Q$18,MATCH(LARGE(_TECH_Strategy_Packages!$X$5:$X$18,ROWS($A$14:A25)),_TECH_Strategy_Packages!$X$5:$X$18,0)),"")</f>
        <v>4</v>
      </c>
      <c r="M25" s="62" t="str">
        <f>IFERROR(INDEX(_TECH_Strategy_Packages!$Y$5:$Y$18,MATCH(LARGE(_TECH_Strategy_Packages!$X$5:$X$18,ROWS($A$14:A25)),_TECH_Strategy_Packages!$X$5:$X$18,0)),"")</f>
        <v>Critical</v>
      </c>
      <c r="N25" s="62" t="str">
        <f>IFERROR(INDEX(_TECH_Strategy_Packages!$L$5:$L$18,MATCH(LARGE(_TECH_Strategy_Packages!$X$5:$X$18,ROWS($A$14:A25)),_TECH_Strategy_Packages!$X$5:$X$18,0)),"")</f>
        <v>3-12 months</v>
      </c>
      <c r="O25" s="62" t="str">
        <f>IFERROR(INDEX(_TECH_Strategy_Packages!$K$5:$K$18,MATCH(LARGE(_TECH_Strategy_Packages!$X$5:$X$18,ROWS($A$14:A25)),_TECH_Strategy_Packages!$X$5:$X$18,0)),"")</f>
        <v>CDO / CIO / CFO</v>
      </c>
      <c r="P25" s="62"/>
      <c r="Q25" s="62" t="str">
        <f t="shared" si="0"/>
        <v>Monitor / keep as backlog</v>
      </c>
    </row>
    <row r="26" spans="1:17">
      <c r="A26" s="62">
        <f>IFERROR(ROWS($A$14:A26),"")</f>
        <v>13</v>
      </c>
      <c r="B26" s="62" t="str">
        <f>IFERROR(INDEX(_TECH_Strategy_Packages!$B$5:$B$18,MATCH(LARGE(_TECH_Strategy_Packages!$X$5:$X$18,ROWS($A$14:A26)),_TECH_Strategy_Packages!$X$5:$X$18,0)),"")</f>
        <v>Supply Chain and Delivery Resilience Strategy</v>
      </c>
      <c r="C26" s="62" t="str">
        <f>IFERROR(INDEX(_TECH_Strategy_Packages!$C$5:$C$18,MATCH(LARGE(_TECH_Strategy_Packages!$X$5:$X$18,ROWS($A$14:A26)),_TECH_Strategy_Packages!$X$5:$X$18,0)),"")</f>
        <v>Strengthen supplier diversification, inventory visibility, logistics alternatives and delivery fallback.</v>
      </c>
      <c r="D26" s="62" t="str">
        <f>IFERROR(INDEX(_TECH_Strategy_Packages!$D$5:$D$18,MATCH(LARGE(_TECH_Strategy_Packages!$X$5:$X$18,ROWS($A$14:A26)),_TECH_Strategy_Packages!$X$5:$X$18,0)),"")</f>
        <v>Supply, logistics, delivery or supplier dependencies create material disruption risk.</v>
      </c>
      <c r="E26" s="62" t="str">
        <f>IFERROR(INDEX(_TECH_Strategy_Packages!$E$5:$E$18,MATCH(LARGE(_TECH_Strategy_Packages!$X$5:$X$18,ROWS($A$14:A26)),_TECH_Strategy_Packages!$X$5:$X$18,0)),"")</f>
        <v>Supplier map; dual sourcing; inventory visibility; route alternatives; SLA triage; delivery fallback.</v>
      </c>
      <c r="F26" s="62" t="str">
        <f>IFERROR(INDEX(_TECH_Strategy_Packages!$F$5:$F$18,MATCH(LARGE(_TECH_Strategy_Packages!$X$5:$X$18,ROWS($A$14:A26)),_TECH_Strategy_Packages!$X$5:$X$18,0)),"")</f>
        <v>Supply Chain; Delivery Ops; Finance Procurement; Manufacturing MES</v>
      </c>
      <c r="G26" s="62" t="str">
        <f>IFERROR(INDEX(_TECH_Strategy_Packages!$G$5:$G$18,MATCH(LARGE(_TECH_Strategy_Packages!$X$5:$X$18,ROWS($A$14:A26)),_TECH_Strategy_Packages!$X$5:$X$18,0)),"")</f>
        <v>Supplier failure; logistics disruption; delivery failure</v>
      </c>
      <c r="H26" s="62" t="str">
        <f>IFERROR(INDEX(_TECH_Strategy_Packages!$H$5:$H$18,MATCH(LARGE(_TECH_Strategy_Packages!$X$5:$X$18,ROWS($A$14:A26)),_TECH_Strategy_Packages!$X$5:$X$18,0)),"")</f>
        <v>Supply chain disruption; War / geopolitical escalation; Natural disaster; Energy crisis</v>
      </c>
      <c r="I26" s="62">
        <f>IFERROR(INDEX(_TECH_Strategy_Packages!$U$5:$U$18,MATCH(LARGE(_TECH_Strategy_Packages!$X$5:$X$18,ROWS($A$14:A26)),_TECH_Strategy_Packages!$X$5:$X$18,0)),"")</f>
        <v>5</v>
      </c>
      <c r="J26" s="62">
        <f>IFERROR(INDEX(_TECH_Strategy_Packages!$V$5:$V$18,MATCH(LARGE(_TECH_Strategy_Packages!$X$5:$X$18,ROWS($A$14:A26)),_TECH_Strategy_Packages!$X$5:$X$18,0)),"")</f>
        <v>0</v>
      </c>
      <c r="K26" s="62">
        <f>IFERROR(ROUND(INDEX(_TECH_Strategy_Packages!$X$5:$X$18,MATCH(LARGE(_TECH_Strategy_Packages!$X$5:$X$18,ROWS($A$14:A26)),_TECH_Strategy_Packages!$X$5:$X$18,0)),2),"")</f>
        <v>4.63</v>
      </c>
      <c r="L26" s="62">
        <f>IFERROR(INDEX(_TECH_Strategy_Packages!$Q$5:$Q$18,MATCH(LARGE(_TECH_Strategy_Packages!$X$5:$X$18,ROWS($A$14:A26)),_TECH_Strategy_Packages!$X$5:$X$18,0)),"")</f>
        <v>4</v>
      </c>
      <c r="M26" s="62" t="str">
        <f>IFERROR(INDEX(_TECH_Strategy_Packages!$Y$5:$Y$18,MATCH(LARGE(_TECH_Strategy_Packages!$X$5:$X$18,ROWS($A$14:A26)),_TECH_Strategy_Packages!$X$5:$X$18,0)),"")</f>
        <v>High</v>
      </c>
      <c r="N26" s="62" t="str">
        <f>IFERROR(INDEX(_TECH_Strategy_Packages!$L$5:$L$18,MATCH(LARGE(_TECH_Strategy_Packages!$X$5:$X$18,ROWS($A$14:A26)),_TECH_Strategy_Packages!$X$5:$X$18,0)),"")</f>
        <v>0-9 months</v>
      </c>
      <c r="O26" s="62" t="str">
        <f>IFERROR(INDEX(_TECH_Strategy_Packages!$K$5:$K$18,MATCH(LARGE(_TECH_Strategy_Packages!$X$5:$X$18,ROWS($A$14:A26)),_TECH_Strategy_Packages!$X$5:$X$18,0)),"")</f>
        <v>COO / Procurement Lead</v>
      </c>
      <c r="P26" s="62"/>
      <c r="Q26" s="62" t="str">
        <f t="shared" si="0"/>
        <v>Plan in roadmap</v>
      </c>
    </row>
    <row r="27" spans="1:17">
      <c r="A27" s="62">
        <f>IFERROR(ROWS($A$14:A27),"")</f>
        <v>14</v>
      </c>
      <c r="B27" s="62" t="str">
        <f>IFERROR(INDEX(_TECH_Strategy_Packages!$B$5:$B$18,MATCH(LARGE(_TECH_Strategy_Packages!$X$5:$X$18,ROWS($A$14:A27)),_TECH_Strategy_Packages!$X$5:$X$18,0)),"")</f>
        <v>Manufacturing Continuity and MES Strategy</v>
      </c>
      <c r="C27" s="62" t="str">
        <f>IFERROR(INDEX(_TECH_Strategy_Packages!$C$5:$C$18,MATCH(LARGE(_TECH_Strategy_Packages!$X$5:$X$18,ROWS($A$14:A27)),_TECH_Strategy_Packages!$X$5:$X$18,0)),"")</f>
        <v>Improve production continuity, MES visibility, maintenance, spare parts, utilities backup and recovery sequence.</v>
      </c>
      <c r="D27" s="62" t="str">
        <f>IFERROR(INDEX(_TECH_Strategy_Packages!$D$5:$D$18,MATCH(LARGE(_TECH_Strategy_Packages!$X$5:$X$18,ROWS($A$14:A27)),_TECH_Strategy_Packages!$X$5:$X$18,0)),"")</f>
        <v>Manufacturing, MES, maintenance, utilities or spare parts dependencies create operational risk.</v>
      </c>
      <c r="E27" s="62" t="str">
        <f>IFERROR(INDEX(_TECH_Strategy_Packages!$E$5:$E$18,MATCH(LARGE(_TECH_Strategy_Packages!$X$5:$X$18,ROWS($A$14:A27)),_TECH_Strategy_Packages!$X$5:$X$18,0)),"")</f>
        <v>MES continuity; OEE visibility; maintenance planning; spare parts; utility backup; production recovery sequence.</v>
      </c>
      <c r="F27" s="62" t="str">
        <f>IFERROR(INDEX(_TECH_Strategy_Packages!$F$5:$F$18,MATCH(LARGE(_TECH_Strategy_Packages!$X$5:$X$18,ROWS($A$14:A27)),_TECH_Strategy_Packages!$X$5:$X$18,0)),"")</f>
        <v>Manufacturing MES; Supply Chain; Physical Safety; IT Cloud DR</v>
      </c>
      <c r="G27" s="62" t="str">
        <f>IFERROR(INDEX(_TECH_Strategy_Packages!$G$5:$G$18,MATCH(LARGE(_TECH_Strategy_Packages!$X$5:$X$18,ROWS($A$14:A27)),_TECH_Strategy_Packages!$X$5:$X$18,0)),"")</f>
        <v>Production stoppage; asset failure; MES outage</v>
      </c>
      <c r="H27" s="62" t="str">
        <f>IFERROR(INDEX(_TECH_Strategy_Packages!$H$5:$H$18,MATCH(LARGE(_TECH_Strategy_Packages!$X$5:$X$18,ROWS($A$14:A27)),_TECH_Strategy_Packages!$X$5:$X$18,0)),"")</f>
        <v>Energy crisis; Supply chain disruption; Natural disaster; War / geopolitical escalation</v>
      </c>
      <c r="I27" s="62">
        <f>IFERROR(INDEX(_TECH_Strategy_Packages!$U$5:$U$18,MATCH(LARGE(_TECH_Strategy_Packages!$X$5:$X$18,ROWS($A$14:A27)),_TECH_Strategy_Packages!$X$5:$X$18,0)),"")</f>
        <v>6</v>
      </c>
      <c r="J27" s="62">
        <f>IFERROR(INDEX(_TECH_Strategy_Packages!$V$5:$V$18,MATCH(LARGE(_TECH_Strategy_Packages!$X$5:$X$18,ROWS($A$14:A27)),_TECH_Strategy_Packages!$X$5:$X$18,0)),"")</f>
        <v>0</v>
      </c>
      <c r="K27" s="62">
        <f>IFERROR(ROUND(INDEX(_TECH_Strategy_Packages!$X$5:$X$18,MATCH(LARGE(_TECH_Strategy_Packages!$X$5:$X$18,ROWS($A$14:A27)),_TECH_Strategy_Packages!$X$5:$X$18,0)),2),"")</f>
        <v>4.4000000000000004</v>
      </c>
      <c r="L27" s="62">
        <f>IFERROR(INDEX(_TECH_Strategy_Packages!$Q$5:$Q$18,MATCH(LARGE(_TECH_Strategy_Packages!$X$5:$X$18,ROWS($A$14:A27)),_TECH_Strategy_Packages!$X$5:$X$18,0)),"")</f>
        <v>4</v>
      </c>
      <c r="M27" s="62" t="str">
        <f>IFERROR(INDEX(_TECH_Strategy_Packages!$Y$5:$Y$18,MATCH(LARGE(_TECH_Strategy_Packages!$X$5:$X$18,ROWS($A$14:A27)),_TECH_Strategy_Packages!$X$5:$X$18,0)),"")</f>
        <v>High</v>
      </c>
      <c r="N27" s="62" t="str">
        <f>IFERROR(INDEX(_TECH_Strategy_Packages!$L$5:$L$18,MATCH(LARGE(_TECH_Strategy_Packages!$X$5:$X$18,ROWS($A$14:A27)),_TECH_Strategy_Packages!$X$5:$X$18,0)),"")</f>
        <v>3-12 months</v>
      </c>
      <c r="O27" s="62" t="str">
        <f>IFERROR(INDEX(_TECH_Strategy_Packages!$K$5:$K$18,MATCH(LARGE(_TECH_Strategy_Packages!$X$5:$X$18,ROWS($A$14:A27)),_TECH_Strategy_Packages!$X$5:$X$18,0)),"")</f>
        <v>Plant Manager / COO</v>
      </c>
      <c r="P27" s="62"/>
      <c r="Q27" s="62" t="str">
        <f t="shared" si="0"/>
        <v>Plan in roadmap</v>
      </c>
    </row>
  </sheetData>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extLst>
    <ext uri="{CCE6A557-97BC-4b89-ADB6-D9C93CAAB3DF}">
      <ns3:dataValidations count="1">
        <ns3:dataValidation type="list" allowBlank="1" showErrorMessage="1" ns2:uid="{00000000-0002-0000-3300-000000000000}">
          <ns3:formula1>
            <ns4:f>_TECH_Profile_Lists!$Q$2:$Q$7</ns4:f>
          </ns3:formula1>
          <ns4:sqref>P14:P27</ns4:sqref>
        </ns3:dataValidation>
      </ns3:dataValidations>
    </ext>
  </extLst>
</worksheet>
</file>

<file path=xl/worksheets/sheet53.xml><?xml version="1.0" encoding="utf-8"?>
<worksheet xmlns="http://schemas.openxmlformats.org/spreadsheetml/2006/main" xmlns:ns1="http://schemas.openxmlformats.org/markup-compatibility/2006" xmlns:ns2="http://schemas.microsoft.com/office/spreadsheetml/2014/revision" ns1:Ignorable="x14ac xr xr2 xr3" ns2:uid="{00000000-0001-0000-3400-000000000000}">
  <sheetPr>
    <tabColor rgb="FF2E75B6"/>
  </sheetPr>
  <dimension ref="A1:G77"/>
  <sheetViews>
    <sheetView workbookViewId="0">
      <pane ySplit="3" topLeftCell="A4" activePane="bottomLeft" state="frozen"/>
      <selection pane="bottomLeft" activeCell="A4" sqref="A4"/>
    </sheetView>
  </sheetViews>
  <sheetFormatPr defaultRowHeight="14.25"/>
  <cols>
    <col min="1" max="1" width="24" customWidth="1"/>
    <col min="2" max="2" width="28" customWidth="1"/>
    <col min="3" max="3" width="68" customWidth="1"/>
    <col min="4" max="4" width="52" customWidth="1"/>
    <col min="5" max="6" width="42" customWidth="1"/>
    <col min="7" max="7" width="55" customWidth="1"/>
  </cols>
  <sheetData>
    <row r="1" spans="1:7" ht="30" customHeight="1">
      <c r="A1" s="2" t="s">
        <v>14944</v>
      </c>
      <c r="B1" s="2"/>
      <c r="C1" s="2"/>
      <c r="D1" s="2"/>
      <c r="E1" s="2"/>
      <c r="F1" s="2"/>
      <c r="G1" s="2"/>
    </row>
    <row r="2" spans="1:7" ht="54.95" customHeight="1">
      <c r="A2" t="s">
        <v>384</v>
      </c>
      <c r="B2" t="s">
        <v>14945</v>
      </c>
    </row>
    <row r="3" spans="1:7" ht="24" customHeight="1">
      <c r="A3" s="1" t="s">
        <v>14946</v>
      </c>
      <c r="B3" s="1" t="s">
        <v>339</v>
      </c>
      <c r="C3" s="1" t="s">
        <v>14947</v>
      </c>
      <c r="D3" s="1" t="s">
        <v>14948</v>
      </c>
      <c r="E3" s="1" t="s">
        <v>14949</v>
      </c>
      <c r="F3" s="1" t="s">
        <v>14950</v>
      </c>
      <c r="G3" s="1" t="s">
        <v>14951</v>
      </c>
    </row>
    <row r="4" spans="1:7" ht="72" customHeight="1">
      <c r="A4" t="s">
        <v>14952</v>
      </c>
      <c r="B4" t="s">
        <v>14953</v>
      </c>
      <c r="C4" t="s">
        <v>14954</v>
      </c>
      <c r="D4" t="s">
        <v>14955</v>
      </c>
      <c r="E4" t="s">
        <v>14956</v>
      </c>
      <c r="F4" t="s">
        <v>14957</v>
      </c>
      <c r="G4" t="s">
        <v>14958</v>
      </c>
    </row>
    <row r="5" spans="1:7" ht="72" customHeight="1">
      <c r="A5" t="s">
        <v>14952</v>
      </c>
      <c r="B5" t="s">
        <v>14959</v>
      </c>
      <c r="C5" t="s">
        <v>14960</v>
      </c>
      <c r="D5" t="s">
        <v>14961</v>
      </c>
      <c r="E5" t="s">
        <v>14962</v>
      </c>
      <c r="F5" t="s">
        <v>14963</v>
      </c>
      <c r="G5" t="s">
        <v>14964</v>
      </c>
    </row>
    <row r="6" spans="1:7" ht="72" customHeight="1">
      <c r="A6" t="s">
        <v>14952</v>
      </c>
      <c r="B6" t="s">
        <v>14965</v>
      </c>
      <c r="C6" t="s">
        <v>14966</v>
      </c>
      <c r="D6" t="s">
        <v>14967</v>
      </c>
      <c r="E6" t="s">
        <v>14968</v>
      </c>
      <c r="F6" t="s">
        <v>14969</v>
      </c>
      <c r="G6" t="s">
        <v>14970</v>
      </c>
    </row>
    <row r="7" spans="1:7" ht="72" customHeight="1">
      <c r="A7" t="s">
        <v>14971</v>
      </c>
      <c r="B7" t="s">
        <v>14972</v>
      </c>
      <c r="C7" t="s">
        <v>14973</v>
      </c>
      <c r="D7" t="s">
        <v>14974</v>
      </c>
      <c r="E7" t="s">
        <v>14975</v>
      </c>
      <c r="F7" t="s">
        <v>14976</v>
      </c>
      <c r="G7" t="s">
        <v>14977</v>
      </c>
    </row>
    <row r="8" spans="1:7" ht="72" customHeight="1">
      <c r="A8" t="s">
        <v>14971</v>
      </c>
      <c r="B8" t="s">
        <v>527</v>
      </c>
      <c r="C8" t="s">
        <v>14978</v>
      </c>
      <c r="D8" t="s">
        <v>14979</v>
      </c>
      <c r="E8" t="s">
        <v>14980</v>
      </c>
      <c r="F8" t="s">
        <v>14981</v>
      </c>
      <c r="G8" t="s">
        <v>14982</v>
      </c>
    </row>
    <row r="9" spans="1:7" ht="72" customHeight="1">
      <c r="A9" t="s">
        <v>14971</v>
      </c>
      <c r="B9" t="s">
        <v>14983</v>
      </c>
      <c r="C9" t="s">
        <v>14984</v>
      </c>
      <c r="D9" t="s">
        <v>14985</v>
      </c>
      <c r="E9" t="s">
        <v>14986</v>
      </c>
      <c r="F9" t="s">
        <v>14987</v>
      </c>
      <c r="G9" t="s">
        <v>14988</v>
      </c>
    </row>
    <row r="10" spans="1:7" ht="72" customHeight="1">
      <c r="A10" t="s">
        <v>14971</v>
      </c>
      <c r="B10" t="s">
        <v>466</v>
      </c>
      <c r="C10" t="s">
        <v>14989</v>
      </c>
      <c r="D10" t="s">
        <v>14990</v>
      </c>
      <c r="E10" t="s">
        <v>14991</v>
      </c>
      <c r="F10" t="s">
        <v>14992</v>
      </c>
      <c r="G10" t="s">
        <v>14993</v>
      </c>
    </row>
    <row r="11" spans="1:7" ht="72" customHeight="1">
      <c r="A11" t="s">
        <v>14971</v>
      </c>
      <c r="B11" t="s">
        <v>14994</v>
      </c>
      <c r="C11" t="s">
        <v>14995</v>
      </c>
      <c r="D11" t="s">
        <v>14996</v>
      </c>
      <c r="E11" t="s">
        <v>14997</v>
      </c>
      <c r="F11" t="s">
        <v>14998</v>
      </c>
      <c r="G11" t="s">
        <v>14999</v>
      </c>
    </row>
    <row r="12" spans="1:7" ht="72" customHeight="1">
      <c r="A12" t="s">
        <v>14971</v>
      </c>
      <c r="B12" t="s">
        <v>15000</v>
      </c>
      <c r="C12" t="s">
        <v>15001</v>
      </c>
      <c r="D12" t="s">
        <v>15002</v>
      </c>
      <c r="E12" t="s">
        <v>15003</v>
      </c>
      <c r="F12" t="s">
        <v>15004</v>
      </c>
      <c r="G12" t="s">
        <v>15005</v>
      </c>
    </row>
    <row r="13" spans="1:7" ht="72" customHeight="1">
      <c r="A13" t="s">
        <v>14971</v>
      </c>
      <c r="B13" t="s">
        <v>15006</v>
      </c>
      <c r="C13" t="s">
        <v>15007</v>
      </c>
      <c r="D13" t="s">
        <v>15008</v>
      </c>
      <c r="E13" t="s">
        <v>15009</v>
      </c>
      <c r="F13" t="s">
        <v>15010</v>
      </c>
      <c r="G13" t="s">
        <v>15011</v>
      </c>
    </row>
    <row r="14" spans="1:7" ht="72" customHeight="1">
      <c r="A14" t="s">
        <v>14971</v>
      </c>
      <c r="B14" t="s">
        <v>15012</v>
      </c>
      <c r="C14" t="s">
        <v>15013</v>
      </c>
      <c r="D14" t="s">
        <v>15014</v>
      </c>
      <c r="E14" t="s">
        <v>15015</v>
      </c>
      <c r="F14" t="s">
        <v>15016</v>
      </c>
      <c r="G14" t="s">
        <v>15017</v>
      </c>
    </row>
    <row r="15" spans="1:7" ht="72" customHeight="1">
      <c r="A15" t="s">
        <v>14971</v>
      </c>
      <c r="B15" t="s">
        <v>14713</v>
      </c>
      <c r="C15" t="s">
        <v>15018</v>
      </c>
      <c r="D15" t="s">
        <v>15019</v>
      </c>
      <c r="E15" t="s">
        <v>15020</v>
      </c>
      <c r="F15" t="s">
        <v>15021</v>
      </c>
      <c r="G15" t="s">
        <v>15022</v>
      </c>
    </row>
    <row r="16" spans="1:7" ht="72" customHeight="1">
      <c r="A16" t="s">
        <v>15023</v>
      </c>
      <c r="B16" t="s">
        <v>15024</v>
      </c>
      <c r="C16" t="s">
        <v>15025</v>
      </c>
      <c r="D16" t="s">
        <v>15026</v>
      </c>
      <c r="E16" t="s">
        <v>15027</v>
      </c>
      <c r="F16" t="s">
        <v>15028</v>
      </c>
      <c r="G16" t="s">
        <v>15029</v>
      </c>
    </row>
    <row r="17" spans="1:7" ht="72" customHeight="1">
      <c r="A17" t="s">
        <v>15023</v>
      </c>
      <c r="B17" t="s">
        <v>15030</v>
      </c>
      <c r="C17" t="s">
        <v>15031</v>
      </c>
      <c r="D17" t="s">
        <v>15032</v>
      </c>
      <c r="E17" t="s">
        <v>15033</v>
      </c>
      <c r="F17" t="s">
        <v>15034</v>
      </c>
      <c r="G17" t="s">
        <v>15035</v>
      </c>
    </row>
    <row r="18" spans="1:7" ht="72" customHeight="1">
      <c r="A18" t="s">
        <v>15023</v>
      </c>
      <c r="B18" t="s">
        <v>6037</v>
      </c>
      <c r="C18" t="s">
        <v>15036</v>
      </c>
      <c r="D18" t="s">
        <v>15037</v>
      </c>
      <c r="E18" t="s">
        <v>15038</v>
      </c>
      <c r="F18" t="s">
        <v>15039</v>
      </c>
      <c r="G18" t="s">
        <v>15040</v>
      </c>
    </row>
    <row r="19" spans="1:7" ht="72" customHeight="1">
      <c r="A19" t="s">
        <v>15041</v>
      </c>
      <c r="B19" t="s">
        <v>15042</v>
      </c>
      <c r="C19" t="s">
        <v>15043</v>
      </c>
      <c r="D19" t="s">
        <v>15044</v>
      </c>
      <c r="E19" t="s">
        <v>15045</v>
      </c>
      <c r="F19" t="s">
        <v>15046</v>
      </c>
      <c r="G19" t="s">
        <v>15047</v>
      </c>
    </row>
    <row r="20" spans="1:7" ht="72" customHeight="1">
      <c r="A20" t="s">
        <v>15041</v>
      </c>
      <c r="B20" t="s">
        <v>15048</v>
      </c>
      <c r="C20" t="s">
        <v>15049</v>
      </c>
      <c r="D20" t="s">
        <v>15050</v>
      </c>
      <c r="E20" t="s">
        <v>15051</v>
      </c>
      <c r="F20" t="s">
        <v>15052</v>
      </c>
      <c r="G20" t="s">
        <v>15053</v>
      </c>
    </row>
    <row r="21" spans="1:7" ht="72" customHeight="1">
      <c r="A21" t="s">
        <v>15041</v>
      </c>
      <c r="B21" t="s">
        <v>40</v>
      </c>
      <c r="C21" t="s">
        <v>15054</v>
      </c>
      <c r="D21" t="s">
        <v>15055</v>
      </c>
      <c r="E21" t="s">
        <v>15056</v>
      </c>
      <c r="F21" t="s">
        <v>15057</v>
      </c>
      <c r="G21" t="s">
        <v>15058</v>
      </c>
    </row>
    <row r="22" spans="1:7" ht="72" customHeight="1">
      <c r="A22" t="s">
        <v>15041</v>
      </c>
      <c r="B22" t="s">
        <v>15059</v>
      </c>
      <c r="C22" t="s">
        <v>15060</v>
      </c>
      <c r="D22" t="s">
        <v>15061</v>
      </c>
      <c r="E22" t="s">
        <v>15062</v>
      </c>
      <c r="F22" t="s">
        <v>15063</v>
      </c>
      <c r="G22" t="s">
        <v>15064</v>
      </c>
    </row>
    <row r="23" spans="1:7" ht="72" customHeight="1">
      <c r="A23" t="s">
        <v>15041</v>
      </c>
      <c r="B23" t="s">
        <v>15065</v>
      </c>
      <c r="C23" t="s">
        <v>15066</v>
      </c>
      <c r="D23" t="s">
        <v>15067</v>
      </c>
      <c r="E23" t="s">
        <v>15068</v>
      </c>
      <c r="F23" t="s">
        <v>15069</v>
      </c>
      <c r="G23" t="s">
        <v>15070</v>
      </c>
    </row>
    <row r="24" spans="1:7" ht="72" customHeight="1">
      <c r="A24" t="s">
        <v>15071</v>
      </c>
      <c r="B24" t="s">
        <v>394</v>
      </c>
      <c r="C24" t="s">
        <v>15072</v>
      </c>
      <c r="D24" t="s">
        <v>15073</v>
      </c>
      <c r="E24" t="s">
        <v>15074</v>
      </c>
      <c r="F24" t="s">
        <v>15075</v>
      </c>
      <c r="G24" t="s">
        <v>15076</v>
      </c>
    </row>
    <row r="25" spans="1:7" ht="72" customHeight="1">
      <c r="A25" t="s">
        <v>15071</v>
      </c>
      <c r="B25" t="s">
        <v>396</v>
      </c>
      <c r="C25" t="s">
        <v>15077</v>
      </c>
      <c r="D25" t="s">
        <v>15078</v>
      </c>
      <c r="E25" t="s">
        <v>15079</v>
      </c>
      <c r="F25" t="s">
        <v>15080</v>
      </c>
      <c r="G25" t="s">
        <v>15081</v>
      </c>
    </row>
    <row r="26" spans="1:7" ht="72" customHeight="1">
      <c r="A26" t="s">
        <v>15071</v>
      </c>
      <c r="B26" t="s">
        <v>398</v>
      </c>
      <c r="C26" t="s">
        <v>15082</v>
      </c>
      <c r="D26" t="s">
        <v>15083</v>
      </c>
      <c r="E26" t="s">
        <v>15084</v>
      </c>
      <c r="F26" t="s">
        <v>15085</v>
      </c>
      <c r="G26" t="s">
        <v>15086</v>
      </c>
    </row>
    <row r="27" spans="1:7" ht="72" customHeight="1">
      <c r="A27" t="s">
        <v>15071</v>
      </c>
      <c r="B27" t="s">
        <v>400</v>
      </c>
      <c r="C27" t="s">
        <v>15087</v>
      </c>
      <c r="D27" t="s">
        <v>15088</v>
      </c>
      <c r="E27" t="s">
        <v>15089</v>
      </c>
      <c r="F27" t="s">
        <v>15090</v>
      </c>
      <c r="G27" t="s">
        <v>15091</v>
      </c>
    </row>
    <row r="28" spans="1:7" ht="72" customHeight="1">
      <c r="A28" t="s">
        <v>15071</v>
      </c>
      <c r="B28" t="s">
        <v>1846</v>
      </c>
      <c r="C28" t="s">
        <v>15092</v>
      </c>
      <c r="D28" t="s">
        <v>15093</v>
      </c>
      <c r="E28" t="s">
        <v>15094</v>
      </c>
      <c r="F28" t="s">
        <v>15095</v>
      </c>
      <c r="G28" t="s">
        <v>15096</v>
      </c>
    </row>
    <row r="29" spans="1:7" ht="72" customHeight="1">
      <c r="A29" t="s">
        <v>15071</v>
      </c>
      <c r="B29" t="s">
        <v>6031</v>
      </c>
      <c r="C29" t="s">
        <v>15097</v>
      </c>
      <c r="D29" t="s">
        <v>15098</v>
      </c>
      <c r="E29" t="s">
        <v>15099</v>
      </c>
      <c r="F29" t="s">
        <v>15100</v>
      </c>
      <c r="G29" t="s">
        <v>15101</v>
      </c>
    </row>
    <row r="30" spans="1:7" ht="72" customHeight="1">
      <c r="A30" t="s">
        <v>15102</v>
      </c>
      <c r="B30" t="s">
        <v>15103</v>
      </c>
      <c r="C30" t="s">
        <v>15104</v>
      </c>
      <c r="D30" t="s">
        <v>15105</v>
      </c>
      <c r="E30" t="s">
        <v>15106</v>
      </c>
      <c r="F30" t="s">
        <v>15107</v>
      </c>
      <c r="G30" t="s">
        <v>15108</v>
      </c>
    </row>
    <row r="31" spans="1:7" ht="72" customHeight="1">
      <c r="A31" t="s">
        <v>15102</v>
      </c>
      <c r="B31" t="s">
        <v>15109</v>
      </c>
      <c r="C31" t="s">
        <v>15110</v>
      </c>
      <c r="D31" t="s">
        <v>15111</v>
      </c>
      <c r="E31" t="s">
        <v>15112</v>
      </c>
      <c r="F31" t="s">
        <v>15113</v>
      </c>
      <c r="G31" t="s">
        <v>15114</v>
      </c>
    </row>
    <row r="32" spans="1:7" ht="72" customHeight="1">
      <c r="A32" t="s">
        <v>15102</v>
      </c>
      <c r="B32" t="s">
        <v>15115</v>
      </c>
      <c r="C32" t="s">
        <v>15116</v>
      </c>
      <c r="D32" t="s">
        <v>15117</v>
      </c>
      <c r="E32" t="s">
        <v>15118</v>
      </c>
      <c r="F32" t="s">
        <v>15119</v>
      </c>
      <c r="G32" t="s">
        <v>15120</v>
      </c>
    </row>
    <row r="33" spans="1:7" ht="72" customHeight="1">
      <c r="A33" t="s">
        <v>15102</v>
      </c>
      <c r="B33" t="s">
        <v>522</v>
      </c>
      <c r="C33" t="s">
        <v>15121</v>
      </c>
      <c r="D33" t="s">
        <v>15122</v>
      </c>
      <c r="E33" t="s">
        <v>15123</v>
      </c>
      <c r="F33" t="s">
        <v>15124</v>
      </c>
      <c r="G33" t="s">
        <v>15125</v>
      </c>
    </row>
    <row r="34" spans="1:7" ht="72" customHeight="1">
      <c r="A34" t="s">
        <v>15126</v>
      </c>
      <c r="B34" t="s">
        <v>15127</v>
      </c>
      <c r="C34" t="s">
        <v>15128</v>
      </c>
      <c r="D34" t="s">
        <v>15129</v>
      </c>
      <c r="E34" t="s">
        <v>15130</v>
      </c>
      <c r="F34" t="s">
        <v>15131</v>
      </c>
      <c r="G34" t="s">
        <v>15132</v>
      </c>
    </row>
    <row r="35" spans="1:7" ht="72" customHeight="1">
      <c r="A35" t="s">
        <v>15126</v>
      </c>
      <c r="B35" t="s">
        <v>15133</v>
      </c>
      <c r="C35" t="s">
        <v>15134</v>
      </c>
      <c r="D35" t="s">
        <v>15135</v>
      </c>
      <c r="E35" t="s">
        <v>15136</v>
      </c>
      <c r="F35" t="s">
        <v>15137</v>
      </c>
      <c r="G35" t="s">
        <v>15138</v>
      </c>
    </row>
    <row r="36" spans="1:7" ht="72" customHeight="1">
      <c r="A36" t="s">
        <v>15126</v>
      </c>
      <c r="B36" t="s">
        <v>15139</v>
      </c>
      <c r="C36" t="s">
        <v>15140</v>
      </c>
      <c r="D36" t="s">
        <v>15141</v>
      </c>
      <c r="E36" t="s">
        <v>15142</v>
      </c>
      <c r="F36" t="s">
        <v>15143</v>
      </c>
      <c r="G36" t="s">
        <v>15144</v>
      </c>
    </row>
    <row r="37" spans="1:7" ht="72" customHeight="1">
      <c r="A37" t="s">
        <v>15145</v>
      </c>
      <c r="B37" t="s">
        <v>15146</v>
      </c>
      <c r="C37" t="s">
        <v>15147</v>
      </c>
      <c r="D37" t="s">
        <v>15148</v>
      </c>
      <c r="E37" t="s">
        <v>15149</v>
      </c>
      <c r="F37" t="s">
        <v>15150</v>
      </c>
      <c r="G37" t="s">
        <v>15151</v>
      </c>
    </row>
    <row r="38" spans="1:7" ht="72" customHeight="1">
      <c r="A38" t="s">
        <v>15145</v>
      </c>
      <c r="B38" t="s">
        <v>15152</v>
      </c>
      <c r="C38" t="s">
        <v>15153</v>
      </c>
      <c r="D38" t="s">
        <v>15154</v>
      </c>
      <c r="E38" t="s">
        <v>15075</v>
      </c>
      <c r="F38" t="s">
        <v>15155</v>
      </c>
      <c r="G38" t="s">
        <v>15156</v>
      </c>
    </row>
    <row r="39" spans="1:7" ht="72" customHeight="1">
      <c r="A39" t="s">
        <v>15145</v>
      </c>
      <c r="B39" t="s">
        <v>347</v>
      </c>
      <c r="C39" t="s">
        <v>15157</v>
      </c>
      <c r="D39" t="s">
        <v>15158</v>
      </c>
      <c r="E39" t="s">
        <v>15159</v>
      </c>
      <c r="F39" t="s">
        <v>15160</v>
      </c>
      <c r="G39" t="s">
        <v>15161</v>
      </c>
    </row>
    <row r="40" spans="1:7" ht="72" customHeight="1">
      <c r="A40" t="s">
        <v>15145</v>
      </c>
      <c r="B40" t="s">
        <v>503</v>
      </c>
      <c r="C40" t="s">
        <v>15162</v>
      </c>
      <c r="D40" t="s">
        <v>15163</v>
      </c>
      <c r="E40" t="s">
        <v>15164</v>
      </c>
      <c r="F40" t="s">
        <v>15165</v>
      </c>
      <c r="G40" t="s">
        <v>15166</v>
      </c>
    </row>
    <row r="41" spans="1:7" ht="72" customHeight="1">
      <c r="A41" t="s">
        <v>15167</v>
      </c>
      <c r="B41" t="s">
        <v>15168</v>
      </c>
      <c r="C41" t="s">
        <v>15169</v>
      </c>
      <c r="D41" t="s">
        <v>15170</v>
      </c>
      <c r="E41" t="s">
        <v>15171</v>
      </c>
      <c r="F41" t="s">
        <v>15172</v>
      </c>
      <c r="G41" t="s">
        <v>15173</v>
      </c>
    </row>
    <row r="42" spans="1:7" ht="72" customHeight="1">
      <c r="A42" t="s">
        <v>15167</v>
      </c>
      <c r="B42" t="s">
        <v>15174</v>
      </c>
      <c r="C42" t="s">
        <v>15175</v>
      </c>
      <c r="D42" t="s">
        <v>15176</v>
      </c>
      <c r="E42" t="s">
        <v>15177</v>
      </c>
      <c r="F42" t="s">
        <v>15178</v>
      </c>
      <c r="G42" t="s">
        <v>15179</v>
      </c>
    </row>
    <row r="43" spans="1:7" ht="72" customHeight="1">
      <c r="A43" t="s">
        <v>15180</v>
      </c>
      <c r="B43" t="s">
        <v>15181</v>
      </c>
      <c r="C43" t="s">
        <v>15182</v>
      </c>
      <c r="D43" t="s">
        <v>15183</v>
      </c>
      <c r="E43" t="s">
        <v>15184</v>
      </c>
      <c r="F43" t="s">
        <v>15185</v>
      </c>
      <c r="G43" t="s">
        <v>15186</v>
      </c>
    </row>
    <row r="44" spans="1:7" ht="72" customHeight="1">
      <c r="A44" t="s">
        <v>15180</v>
      </c>
      <c r="B44" t="s">
        <v>15187</v>
      </c>
      <c r="C44" t="s">
        <v>15188</v>
      </c>
      <c r="D44" t="s">
        <v>15189</v>
      </c>
      <c r="E44" t="s">
        <v>15190</v>
      </c>
      <c r="F44" t="s">
        <v>15191</v>
      </c>
      <c r="G44" t="s">
        <v>15192</v>
      </c>
    </row>
    <row r="45" spans="1:7" ht="72" customHeight="1">
      <c r="A45" t="s">
        <v>15180</v>
      </c>
      <c r="B45" t="s">
        <v>15193</v>
      </c>
      <c r="C45" t="s">
        <v>15194</v>
      </c>
      <c r="D45" t="s">
        <v>15195</v>
      </c>
      <c r="E45" t="s">
        <v>15196</v>
      </c>
      <c r="F45" t="s">
        <v>15197</v>
      </c>
      <c r="G45" t="s">
        <v>15198</v>
      </c>
    </row>
    <row r="46" spans="1:7" ht="72" customHeight="1">
      <c r="A46" t="s">
        <v>15199</v>
      </c>
      <c r="B46" t="s">
        <v>15200</v>
      </c>
      <c r="C46" t="s">
        <v>15201</v>
      </c>
      <c r="D46" t="s">
        <v>15202</v>
      </c>
      <c r="E46" t="s">
        <v>15203</v>
      </c>
      <c r="F46" t="s">
        <v>15204</v>
      </c>
      <c r="G46" t="s">
        <v>15205</v>
      </c>
    </row>
    <row r="47" spans="1:7" ht="72" customHeight="1">
      <c r="A47" t="s">
        <v>15199</v>
      </c>
      <c r="B47" t="s">
        <v>15206</v>
      </c>
      <c r="C47" t="s">
        <v>15207</v>
      </c>
      <c r="D47" t="s">
        <v>15208</v>
      </c>
      <c r="E47" t="s">
        <v>15209</v>
      </c>
      <c r="F47" t="s">
        <v>15210</v>
      </c>
      <c r="G47" t="s">
        <v>15211</v>
      </c>
    </row>
    <row r="48" spans="1:7" ht="72" customHeight="1">
      <c r="A48" t="s">
        <v>15199</v>
      </c>
      <c r="B48" t="s">
        <v>15212</v>
      </c>
      <c r="C48" t="s">
        <v>15213</v>
      </c>
      <c r="D48" t="s">
        <v>15214</v>
      </c>
      <c r="E48" t="s">
        <v>15215</v>
      </c>
      <c r="F48" t="s">
        <v>15216</v>
      </c>
      <c r="G48" t="s">
        <v>15217</v>
      </c>
    </row>
    <row r="49" spans="1:7" ht="72" customHeight="1">
      <c r="A49" t="s">
        <v>15199</v>
      </c>
      <c r="B49" t="s">
        <v>770</v>
      </c>
      <c r="C49" t="s">
        <v>15218</v>
      </c>
      <c r="D49" t="s">
        <v>15219</v>
      </c>
      <c r="E49" t="s">
        <v>15220</v>
      </c>
      <c r="F49" t="s">
        <v>15204</v>
      </c>
      <c r="G49" t="s">
        <v>15221</v>
      </c>
    </row>
    <row r="50" spans="1:7" ht="72" customHeight="1">
      <c r="A50" t="s">
        <v>15222</v>
      </c>
      <c r="B50" t="s">
        <v>15223</v>
      </c>
      <c r="C50" t="s">
        <v>15224</v>
      </c>
      <c r="D50" t="s">
        <v>15225</v>
      </c>
      <c r="E50" t="s">
        <v>15226</v>
      </c>
      <c r="F50" t="s">
        <v>15227</v>
      </c>
      <c r="G50" t="s">
        <v>15228</v>
      </c>
    </row>
    <row r="51" spans="1:7" ht="72" customHeight="1">
      <c r="A51" t="s">
        <v>15222</v>
      </c>
      <c r="B51" t="s">
        <v>199</v>
      </c>
      <c r="C51" t="s">
        <v>15229</v>
      </c>
      <c r="D51" t="s">
        <v>15230</v>
      </c>
      <c r="E51" t="s">
        <v>15231</v>
      </c>
      <c r="F51" t="s">
        <v>15232</v>
      </c>
      <c r="G51" t="s">
        <v>15233</v>
      </c>
    </row>
    <row r="52" spans="1:7" ht="72" customHeight="1">
      <c r="A52" t="s">
        <v>15222</v>
      </c>
      <c r="B52" t="s">
        <v>984</v>
      </c>
      <c r="C52" t="s">
        <v>15234</v>
      </c>
      <c r="D52" t="s">
        <v>15235</v>
      </c>
      <c r="E52" t="s">
        <v>15236</v>
      </c>
      <c r="F52" t="s">
        <v>15237</v>
      </c>
      <c r="G52" t="s">
        <v>15238</v>
      </c>
    </row>
    <row r="53" spans="1:7" ht="72" customHeight="1">
      <c r="A53" t="s">
        <v>15239</v>
      </c>
      <c r="B53" t="s">
        <v>15240</v>
      </c>
      <c r="C53" t="s">
        <v>15241</v>
      </c>
      <c r="D53" t="s">
        <v>15242</v>
      </c>
      <c r="E53" t="s">
        <v>15243</v>
      </c>
      <c r="F53" t="s">
        <v>15244</v>
      </c>
      <c r="G53" t="s">
        <v>15245</v>
      </c>
    </row>
    <row r="54" spans="1:7" ht="72" customHeight="1">
      <c r="A54" t="s">
        <v>15239</v>
      </c>
      <c r="B54" t="s">
        <v>15246</v>
      </c>
      <c r="C54" t="s">
        <v>15247</v>
      </c>
      <c r="D54" t="s">
        <v>15248</v>
      </c>
      <c r="E54" t="s">
        <v>15249</v>
      </c>
      <c r="F54" t="s">
        <v>15250</v>
      </c>
      <c r="G54" t="s">
        <v>15251</v>
      </c>
    </row>
    <row r="55" spans="1:7" ht="72" customHeight="1">
      <c r="A55" t="s">
        <v>15239</v>
      </c>
      <c r="B55" t="s">
        <v>15252</v>
      </c>
      <c r="C55" t="s">
        <v>15253</v>
      </c>
      <c r="D55" t="s">
        <v>15254</v>
      </c>
      <c r="E55" t="s">
        <v>15255</v>
      </c>
      <c r="F55" t="s">
        <v>15256</v>
      </c>
      <c r="G55" t="s">
        <v>15257</v>
      </c>
    </row>
    <row r="56" spans="1:7" ht="72" customHeight="1">
      <c r="A56" t="s">
        <v>15258</v>
      </c>
      <c r="B56" t="s">
        <v>15259</v>
      </c>
      <c r="C56" t="s">
        <v>15260</v>
      </c>
      <c r="D56" t="s">
        <v>15261</v>
      </c>
      <c r="E56" t="s">
        <v>15262</v>
      </c>
      <c r="F56" t="s">
        <v>15263</v>
      </c>
      <c r="G56" t="s">
        <v>15264</v>
      </c>
    </row>
    <row r="57" spans="1:7" ht="72" customHeight="1">
      <c r="A57" t="s">
        <v>15258</v>
      </c>
      <c r="B57" t="s">
        <v>15265</v>
      </c>
      <c r="C57" t="s">
        <v>15266</v>
      </c>
      <c r="D57" t="s">
        <v>15267</v>
      </c>
      <c r="E57" t="s">
        <v>15268</v>
      </c>
      <c r="F57" t="s">
        <v>15269</v>
      </c>
      <c r="G57" t="s">
        <v>15270</v>
      </c>
    </row>
    <row r="58" spans="1:7" ht="72" customHeight="1">
      <c r="A58" t="s">
        <v>15271</v>
      </c>
      <c r="B58" t="s">
        <v>15272</v>
      </c>
      <c r="C58" t="s">
        <v>15273</v>
      </c>
      <c r="D58" t="s">
        <v>15274</v>
      </c>
      <c r="E58" t="s">
        <v>15275</v>
      </c>
      <c r="F58" t="s">
        <v>15276</v>
      </c>
      <c r="G58" t="s">
        <v>15277</v>
      </c>
    </row>
    <row r="59" spans="1:7" ht="72" customHeight="1">
      <c r="A59" t="s">
        <v>15271</v>
      </c>
      <c r="B59" t="s">
        <v>15278</v>
      </c>
      <c r="C59" t="s">
        <v>15279</v>
      </c>
      <c r="D59" t="s">
        <v>15280</v>
      </c>
      <c r="E59" t="s">
        <v>15281</v>
      </c>
      <c r="F59" t="s">
        <v>15282</v>
      </c>
      <c r="G59" t="s">
        <v>15283</v>
      </c>
    </row>
    <row r="60" spans="1:7" ht="72" customHeight="1">
      <c r="A60" t="s">
        <v>15271</v>
      </c>
      <c r="B60" t="s">
        <v>15284</v>
      </c>
      <c r="C60" t="s">
        <v>15285</v>
      </c>
      <c r="D60" t="s">
        <v>15286</v>
      </c>
      <c r="E60" t="s">
        <v>15287</v>
      </c>
      <c r="F60" t="s">
        <v>15288</v>
      </c>
      <c r="G60" t="s">
        <v>15289</v>
      </c>
    </row>
    <row r="61" spans="1:7" ht="72" customHeight="1">
      <c r="A61" t="s">
        <v>15290</v>
      </c>
      <c r="B61" t="s">
        <v>15291</v>
      </c>
      <c r="C61" t="s">
        <v>15292</v>
      </c>
      <c r="D61" t="s">
        <v>15293</v>
      </c>
      <c r="E61" t="s">
        <v>15294</v>
      </c>
      <c r="F61" t="s">
        <v>15295</v>
      </c>
      <c r="G61" t="s">
        <v>15296</v>
      </c>
    </row>
    <row r="62" spans="1:7" ht="72" customHeight="1">
      <c r="A62" t="s">
        <v>15290</v>
      </c>
      <c r="B62" t="s">
        <v>15297</v>
      </c>
      <c r="C62" t="s">
        <v>15298</v>
      </c>
      <c r="D62" t="s">
        <v>15299</v>
      </c>
      <c r="E62" t="s">
        <v>15300</v>
      </c>
      <c r="F62" t="s">
        <v>15301</v>
      </c>
      <c r="G62" t="s">
        <v>15302</v>
      </c>
    </row>
    <row r="63" spans="1:7" ht="72" customHeight="1">
      <c r="A63" t="s">
        <v>15290</v>
      </c>
      <c r="B63" t="s">
        <v>15303</v>
      </c>
      <c r="C63" t="s">
        <v>15304</v>
      </c>
      <c r="D63" t="s">
        <v>15305</v>
      </c>
      <c r="E63" t="s">
        <v>15306</v>
      </c>
      <c r="F63" t="s">
        <v>15307</v>
      </c>
      <c r="G63" t="s">
        <v>15308</v>
      </c>
    </row>
    <row r="64" spans="1:7" ht="72" customHeight="1">
      <c r="A64" t="s">
        <v>15309</v>
      </c>
      <c r="B64" t="s">
        <v>15310</v>
      </c>
      <c r="C64" t="s">
        <v>15311</v>
      </c>
      <c r="D64" t="s">
        <v>15312</v>
      </c>
      <c r="E64" t="s">
        <v>15313</v>
      </c>
      <c r="F64" t="s">
        <v>15314</v>
      </c>
      <c r="G64" t="s">
        <v>15315</v>
      </c>
    </row>
    <row r="65" spans="1:7" ht="72" customHeight="1">
      <c r="A65" t="s">
        <v>15309</v>
      </c>
      <c r="B65" t="s">
        <v>15316</v>
      </c>
      <c r="C65" t="s">
        <v>15317</v>
      </c>
      <c r="D65" t="s">
        <v>15318</v>
      </c>
      <c r="E65" t="s">
        <v>15319</v>
      </c>
      <c r="F65" t="s">
        <v>15320</v>
      </c>
      <c r="G65" t="s">
        <v>15321</v>
      </c>
    </row>
    <row r="66" spans="1:7" ht="72" customHeight="1">
      <c r="A66" t="s">
        <v>15309</v>
      </c>
      <c r="B66" t="s">
        <v>15322</v>
      </c>
      <c r="C66" t="s">
        <v>15323</v>
      </c>
      <c r="D66" t="s">
        <v>15324</v>
      </c>
      <c r="E66" t="s">
        <v>15325</v>
      </c>
      <c r="F66" t="s">
        <v>15326</v>
      </c>
      <c r="G66" t="s">
        <v>15327</v>
      </c>
    </row>
    <row r="67" spans="1:7" ht="72" customHeight="1">
      <c r="A67" t="s">
        <v>15309</v>
      </c>
      <c r="B67" t="s">
        <v>15328</v>
      </c>
      <c r="C67" t="s">
        <v>15329</v>
      </c>
      <c r="D67" t="s">
        <v>15330</v>
      </c>
      <c r="E67" t="s">
        <v>15196</v>
      </c>
      <c r="F67" t="s">
        <v>15185</v>
      </c>
      <c r="G67" t="s">
        <v>15331</v>
      </c>
    </row>
    <row r="68" spans="1:7" ht="72" customHeight="1">
      <c r="A68" t="s">
        <v>15309</v>
      </c>
      <c r="B68" t="s">
        <v>15332</v>
      </c>
      <c r="C68" t="s">
        <v>15333</v>
      </c>
      <c r="D68" t="s">
        <v>15334</v>
      </c>
      <c r="E68" t="s">
        <v>15335</v>
      </c>
      <c r="F68" t="s">
        <v>15336</v>
      </c>
      <c r="G68" t="s">
        <v>15337</v>
      </c>
    </row>
    <row r="69" spans="1:7" ht="72" customHeight="1">
      <c r="A69" t="s">
        <v>15338</v>
      </c>
      <c r="B69" t="s">
        <v>15339</v>
      </c>
      <c r="C69" t="s">
        <v>15340</v>
      </c>
      <c r="D69" t="s">
        <v>15341</v>
      </c>
      <c r="E69" t="s">
        <v>15342</v>
      </c>
      <c r="F69" t="s">
        <v>15343</v>
      </c>
      <c r="G69" t="s">
        <v>15344</v>
      </c>
    </row>
    <row r="70" spans="1:7" ht="72" customHeight="1">
      <c r="A70" t="s">
        <v>15338</v>
      </c>
      <c r="B70" t="s">
        <v>15345</v>
      </c>
      <c r="C70" t="s">
        <v>15346</v>
      </c>
      <c r="D70" t="s">
        <v>15347</v>
      </c>
      <c r="E70" t="s">
        <v>15348</v>
      </c>
      <c r="F70" t="s">
        <v>15349</v>
      </c>
      <c r="G70" t="s">
        <v>15350</v>
      </c>
    </row>
    <row r="71" spans="1:7" ht="72" customHeight="1">
      <c r="A71" t="s">
        <v>15338</v>
      </c>
      <c r="B71" t="s">
        <v>15351</v>
      </c>
      <c r="C71" t="s">
        <v>15352</v>
      </c>
      <c r="D71" t="s">
        <v>15353</v>
      </c>
      <c r="E71" t="s">
        <v>15354</v>
      </c>
      <c r="F71" t="s">
        <v>15355</v>
      </c>
      <c r="G71" t="s">
        <v>15356</v>
      </c>
    </row>
    <row r="72" spans="1:7" ht="72" customHeight="1">
      <c r="A72" t="s">
        <v>15338</v>
      </c>
      <c r="B72" t="s">
        <v>15357</v>
      </c>
      <c r="C72" t="s">
        <v>15358</v>
      </c>
      <c r="D72" t="s">
        <v>15359</v>
      </c>
      <c r="E72" t="s">
        <v>15360</v>
      </c>
      <c r="F72" t="s">
        <v>15361</v>
      </c>
      <c r="G72" t="s">
        <v>15362</v>
      </c>
    </row>
    <row r="73" spans="1:7" ht="72" customHeight="1">
      <c r="A73" t="s">
        <v>15363</v>
      </c>
      <c r="B73" t="s">
        <v>15364</v>
      </c>
      <c r="C73" t="s">
        <v>15365</v>
      </c>
      <c r="D73" t="s">
        <v>15366</v>
      </c>
      <c r="E73" t="s">
        <v>15367</v>
      </c>
      <c r="F73" t="s">
        <v>15368</v>
      </c>
      <c r="G73" t="s">
        <v>15369</v>
      </c>
    </row>
    <row r="74" spans="1:7" ht="72" customHeight="1">
      <c r="A74" t="s">
        <v>15363</v>
      </c>
      <c r="B74" t="s">
        <v>15370</v>
      </c>
      <c r="C74" t="s">
        <v>15371</v>
      </c>
      <c r="D74" t="s">
        <v>15372</v>
      </c>
      <c r="E74" t="s">
        <v>15373</v>
      </c>
      <c r="F74" t="s">
        <v>15374</v>
      </c>
      <c r="G74" t="s">
        <v>15375</v>
      </c>
    </row>
    <row r="75" spans="1:7" ht="72" customHeight="1">
      <c r="A75" t="s">
        <v>15376</v>
      </c>
      <c r="B75" t="s">
        <v>15377</v>
      </c>
      <c r="C75" t="s">
        <v>15378</v>
      </c>
      <c r="D75" t="s">
        <v>15379</v>
      </c>
      <c r="E75" t="s">
        <v>15380</v>
      </c>
      <c r="F75" t="s">
        <v>15381</v>
      </c>
      <c r="G75" t="s">
        <v>15382</v>
      </c>
    </row>
    <row r="76" spans="1:7" ht="72" customHeight="1">
      <c r="A76" t="s">
        <v>15376</v>
      </c>
      <c r="B76" t="s">
        <v>15383</v>
      </c>
      <c r="C76" t="s">
        <v>15384</v>
      </c>
      <c r="D76" t="s">
        <v>15385</v>
      </c>
      <c r="E76" t="s">
        <v>15386</v>
      </c>
      <c r="F76" t="s">
        <v>15387</v>
      </c>
      <c r="G76" t="s">
        <v>15388</v>
      </c>
    </row>
    <row r="77" spans="1:7" ht="72" customHeight="1">
      <c r="A77" t="s">
        <v>15376</v>
      </c>
      <c r="B77" t="s">
        <v>15389</v>
      </c>
      <c r="C77" t="s">
        <v>15390</v>
      </c>
      <c r="D77" t="s">
        <v>15391</v>
      </c>
      <c r="E77" t="s">
        <v>15392</v>
      </c>
      <c r="F77" t="s">
        <v>15393</v>
      </c>
      <c r="G77" t="s">
        <v>15394</v>
      </c>
    </row>
  </sheetData>
  <autoFilter ref="A3:G77" ns2:uid="{00000000-0009-0000-0000-000034000000}"/>
  <pageMargins left="0.7" right="0.7" top="0.75" bottom="0.75" header="0.3" footer="0.3"/>
  <pageSetup orientation="landscape"/>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54.xml><?xml version="1.0" encoding="utf-8"?>
<worksheet xmlns="http://schemas.openxmlformats.org/spreadsheetml/2006/main" xmlns:ns1="http://schemas.openxmlformats.org/markup-compatibility/2006" xmlns:ns2="http://schemas.microsoft.com/office/spreadsheetml/2014/revision" ns1:Ignorable="x14ac xr xr2 xr3" ns2:uid="{00000000-0001-0000-3500-000000000000}">
  <sheetPr>
    <tabColor rgb="FF2E75B6"/>
  </sheetPr>
  <dimension ref="A1:C17"/>
  <sheetViews>
    <sheetView workbookViewId="0"/>
  </sheetViews>
  <sheetFormatPr defaultRowHeight="14.25"/>
  <cols>
    <col min="1" max="1" width="22" customWidth="1"/>
    <col min="2" max="2" width="58" customWidth="1"/>
    <col min="3" max="3" width="46" customWidth="1"/>
  </cols>
  <sheetData>
    <row r="1" spans="1:3" ht="18">
      <c r="A1" s="99" t="s">
        <v>15395</v>
      </c>
    </row>
    <row r="3" spans="1:3">
      <c r="A3" s="110" t="s">
        <v>15396</v>
      </c>
      <c r="B3" s="110" t="s">
        <v>14947</v>
      </c>
      <c r="C3" s="110" t="s">
        <v>15397</v>
      </c>
    </row>
    <row r="4" spans="1:3" ht="71.25">
      <c r="A4" s="119" t="s">
        <v>384</v>
      </c>
      <c r="B4" s="120" t="s">
        <v>15398</v>
      </c>
      <c r="C4" s="121"/>
    </row>
    <row r="5" spans="1:3" ht="57">
      <c r="A5" s="119" t="s">
        <v>15399</v>
      </c>
      <c r="B5" s="120" t="s">
        <v>15400</v>
      </c>
      <c r="C5" s="121"/>
    </row>
    <row r="6" spans="1:3" ht="42.75">
      <c r="A6" s="119" t="s">
        <v>15401</v>
      </c>
      <c r="B6" s="120" t="s">
        <v>15402</v>
      </c>
      <c r="C6" s="121" t="s">
        <v>15403</v>
      </c>
    </row>
    <row r="7" spans="1:3" ht="57">
      <c r="A7" s="119" t="s">
        <v>15404</v>
      </c>
      <c r="B7" s="120" t="s">
        <v>15405</v>
      </c>
      <c r="C7" s="121" t="s">
        <v>15406</v>
      </c>
    </row>
    <row r="8" spans="1:3" ht="57">
      <c r="A8" s="119" t="s">
        <v>15407</v>
      </c>
      <c r="B8" s="120" t="s">
        <v>15408</v>
      </c>
      <c r="C8" s="121" t="s">
        <v>15409</v>
      </c>
    </row>
    <row r="9" spans="1:3" ht="15">
      <c r="A9" s="119" t="s">
        <v>15410</v>
      </c>
      <c r="B9" s="120" t="s">
        <v>15411</v>
      </c>
      <c r="C9" s="121" t="s">
        <v>15412</v>
      </c>
    </row>
    <row r="10" spans="1:3" ht="42.75">
      <c r="A10" s="119" t="s">
        <v>15413</v>
      </c>
      <c r="B10" s="120" t="s">
        <v>15414</v>
      </c>
      <c r="C10" s="121" t="s">
        <v>15415</v>
      </c>
    </row>
    <row r="11" spans="1:3" ht="28.5">
      <c r="A11" s="119" t="s">
        <v>15416</v>
      </c>
      <c r="B11" s="120" t="s">
        <v>15417</v>
      </c>
      <c r="C11" s="121" t="s">
        <v>15418</v>
      </c>
    </row>
    <row r="12" spans="1:3" ht="57">
      <c r="A12" s="119" t="s">
        <v>15419</v>
      </c>
      <c r="B12" s="120" t="s">
        <v>15420</v>
      </c>
      <c r="C12" s="121" t="s">
        <v>15421</v>
      </c>
    </row>
    <row r="13" spans="1:3" ht="28.5">
      <c r="A13" s="119" t="s">
        <v>15422</v>
      </c>
      <c r="B13" s="120" t="s">
        <v>15423</v>
      </c>
      <c r="C13" s="121" t="s">
        <v>15424</v>
      </c>
    </row>
    <row r="14" spans="1:3" ht="42.75">
      <c r="A14" s="119" t="s">
        <v>15425</v>
      </c>
      <c r="B14" s="120" t="s">
        <v>15426</v>
      </c>
      <c r="C14" s="121" t="s">
        <v>15427</v>
      </c>
    </row>
    <row r="15" spans="1:3" ht="57">
      <c r="A15" s="119" t="s">
        <v>15428</v>
      </c>
      <c r="B15" s="120" t="s">
        <v>15429</v>
      </c>
      <c r="C15" s="121" t="s">
        <v>15430</v>
      </c>
    </row>
    <row r="16" spans="1:3" ht="57">
      <c r="A16" s="119" t="s">
        <v>15431</v>
      </c>
      <c r="B16" s="120" t="s">
        <v>15432</v>
      </c>
      <c r="C16" s="121"/>
    </row>
    <row r="17" spans="1:3" ht="57">
      <c r="A17" s="119" t="s">
        <v>15433</v>
      </c>
      <c r="B17" s="120" t="s">
        <v>15434</v>
      </c>
      <c r="C17" s="121"/>
    </row>
  </sheetData>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55.xml><?xml version="1.0" encoding="utf-8"?>
<worksheet xmlns="http://schemas.openxmlformats.org/spreadsheetml/2006/main" xmlns:ns1="http://schemas.openxmlformats.org/markup-compatibility/2006" xmlns:ns2="http://schemas.microsoft.com/office/spreadsheetml/2014/revision" ns1:Ignorable="x14ac xr xr2 xr3" ns2:uid="{00000000-0001-0000-3600-000000000000}">
  <sheetPr>
    <tabColor rgb="FF808080"/>
  </sheetPr>
  <dimension ref="A1:V34"/>
  <sheetViews>
    <sheetView workbookViewId="0"/>
  </sheetViews>
  <sheetFormatPr defaultRowHeight="14.25"/>
  <cols>
    <col min="1" max="1" width="20" customWidth="1"/>
  </cols>
  <sheetData>
    <row r="1" spans="1:22" ht="18">
      <c r="A1" s="99" t="s">
        <v>15435</v>
      </c>
    </row>
    <row r="2" spans="1:22">
      <c r="A2" s="100" t="s">
        <v>15436</v>
      </c>
    </row>
    <row r="3" spans="1:22" ht="94.5">
      <c r="A3" s="101" t="s">
        <v>15437</v>
      </c>
      <c r="C3" s="102" t="s">
        <v>54</v>
      </c>
      <c r="D3" s="102" t="s">
        <v>57</v>
      </c>
      <c r="E3" s="102" t="s">
        <v>60</v>
      </c>
      <c r="F3" s="102" t="s">
        <v>63</v>
      </c>
      <c r="G3" s="102" t="s">
        <v>66</v>
      </c>
      <c r="H3" s="102" t="s">
        <v>69</v>
      </c>
      <c r="I3" s="102" t="s">
        <v>72</v>
      </c>
      <c r="J3" s="102" t="s">
        <v>75</v>
      </c>
      <c r="K3" s="102" t="s">
        <v>78</v>
      </c>
      <c r="L3" s="102" t="s">
        <v>81</v>
      </c>
      <c r="M3" s="102" t="s">
        <v>84</v>
      </c>
      <c r="N3" s="102" t="s">
        <v>87</v>
      </c>
      <c r="O3" s="102" t="s">
        <v>90</v>
      </c>
      <c r="P3" s="102" t="s">
        <v>91</v>
      </c>
      <c r="Q3" s="102" t="s">
        <v>92</v>
      </c>
      <c r="R3" s="102" t="s">
        <v>93</v>
      </c>
      <c r="S3" s="102" t="s">
        <v>94</v>
      </c>
      <c r="V3" s="103" t="s">
        <v>15438</v>
      </c>
    </row>
    <row r="4" spans="1:22">
      <c r="A4" s="104" t="s">
        <v>54</v>
      </c>
      <c r="C4" s="105">
        <v>0</v>
      </c>
      <c r="D4" s="105">
        <v>0</v>
      </c>
      <c r="E4" s="105">
        <v>0</v>
      </c>
      <c r="F4" s="105">
        <v>0.3</v>
      </c>
      <c r="G4" s="105">
        <v>0</v>
      </c>
      <c r="H4" s="105">
        <v>0</v>
      </c>
      <c r="I4" s="105">
        <v>0.4</v>
      </c>
      <c r="J4" s="105">
        <v>0.3</v>
      </c>
      <c r="K4" s="105">
        <v>0.3</v>
      </c>
      <c r="L4" s="105">
        <v>0.3</v>
      </c>
      <c r="M4" s="105">
        <v>0</v>
      </c>
      <c r="N4" s="105">
        <v>0</v>
      </c>
      <c r="O4" s="105">
        <v>0</v>
      </c>
      <c r="P4" s="105">
        <v>0</v>
      </c>
      <c r="Q4" s="105">
        <v>0</v>
      </c>
      <c r="R4" s="105">
        <v>0</v>
      </c>
      <c r="S4" s="105">
        <v>0</v>
      </c>
      <c r="V4" s="11">
        <f t="shared" ref="V4:V20" si="0">SUM(C4:S4)</f>
        <v>1.6</v>
      </c>
    </row>
    <row r="5" spans="1:22">
      <c r="A5" s="104" t="s">
        <v>57</v>
      </c>
      <c r="C5" s="105">
        <v>0</v>
      </c>
      <c r="D5" s="105">
        <v>0</v>
      </c>
      <c r="E5" s="105">
        <v>0</v>
      </c>
      <c r="F5" s="105">
        <v>0</v>
      </c>
      <c r="G5" s="105">
        <v>0</v>
      </c>
      <c r="H5" s="105">
        <v>0</v>
      </c>
      <c r="I5" s="105">
        <v>0</v>
      </c>
      <c r="J5" s="105">
        <v>0</v>
      </c>
      <c r="K5" s="105">
        <v>0</v>
      </c>
      <c r="L5" s="105">
        <v>0</v>
      </c>
      <c r="M5" s="105">
        <v>0.5</v>
      </c>
      <c r="N5" s="105">
        <v>0.5</v>
      </c>
      <c r="O5" s="105">
        <v>0</v>
      </c>
      <c r="P5" s="105">
        <v>0</v>
      </c>
      <c r="Q5" s="105">
        <v>0</v>
      </c>
      <c r="R5" s="105">
        <v>0</v>
      </c>
      <c r="S5" s="105">
        <v>0.3</v>
      </c>
      <c r="V5" s="11">
        <f t="shared" si="0"/>
        <v>1.3</v>
      </c>
    </row>
    <row r="6" spans="1:22">
      <c r="A6" s="104" t="s">
        <v>60</v>
      </c>
      <c r="C6" s="105">
        <v>0</v>
      </c>
      <c r="D6" s="105">
        <v>0.3</v>
      </c>
      <c r="E6" s="105">
        <v>0</v>
      </c>
      <c r="F6" s="105">
        <v>0.2</v>
      </c>
      <c r="G6" s="105">
        <v>0.2</v>
      </c>
      <c r="H6" s="105">
        <v>0.2</v>
      </c>
      <c r="I6" s="105">
        <v>0</v>
      </c>
      <c r="J6" s="105">
        <v>0.2</v>
      </c>
      <c r="K6" s="105">
        <v>0</v>
      </c>
      <c r="L6" s="105">
        <v>0</v>
      </c>
      <c r="M6" s="105">
        <v>0</v>
      </c>
      <c r="N6" s="105">
        <v>0.3</v>
      </c>
      <c r="O6" s="105">
        <v>0</v>
      </c>
      <c r="P6" s="105">
        <v>0</v>
      </c>
      <c r="Q6" s="105">
        <v>0</v>
      </c>
      <c r="R6" s="105">
        <v>0</v>
      </c>
      <c r="S6" s="105">
        <v>0</v>
      </c>
      <c r="V6" s="11">
        <f t="shared" si="0"/>
        <v>1.4</v>
      </c>
    </row>
    <row r="7" spans="1:22">
      <c r="A7" s="104" t="s">
        <v>63</v>
      </c>
      <c r="C7" s="105">
        <v>0</v>
      </c>
      <c r="D7" s="105">
        <v>0</v>
      </c>
      <c r="E7" s="105">
        <v>0.3</v>
      </c>
      <c r="F7" s="105">
        <v>0</v>
      </c>
      <c r="G7" s="105">
        <v>0</v>
      </c>
      <c r="H7" s="105">
        <v>0</v>
      </c>
      <c r="I7" s="105">
        <v>0.3</v>
      </c>
      <c r="J7" s="105">
        <v>0.5</v>
      </c>
      <c r="K7" s="105">
        <v>0</v>
      </c>
      <c r="L7" s="105">
        <v>0.5</v>
      </c>
      <c r="M7" s="105">
        <v>0.3</v>
      </c>
      <c r="N7" s="105">
        <v>0</v>
      </c>
      <c r="O7" s="105">
        <v>0.3</v>
      </c>
      <c r="P7" s="105">
        <v>0</v>
      </c>
      <c r="Q7" s="105">
        <v>0</v>
      </c>
      <c r="R7" s="105">
        <v>0</v>
      </c>
      <c r="S7" s="105">
        <v>0</v>
      </c>
      <c r="V7" s="11">
        <f t="shared" si="0"/>
        <v>2.2000000000000002</v>
      </c>
    </row>
    <row r="8" spans="1:22">
      <c r="A8" s="104" t="s">
        <v>66</v>
      </c>
      <c r="C8" s="105">
        <v>0</v>
      </c>
      <c r="D8" s="105">
        <v>0.3</v>
      </c>
      <c r="E8" s="105">
        <v>0.3</v>
      </c>
      <c r="F8" s="105">
        <v>0</v>
      </c>
      <c r="G8" s="105">
        <v>0</v>
      </c>
      <c r="H8" s="105">
        <v>0</v>
      </c>
      <c r="I8" s="105">
        <v>0</v>
      </c>
      <c r="J8" s="105">
        <v>0.3</v>
      </c>
      <c r="K8" s="105">
        <v>0.4</v>
      </c>
      <c r="L8" s="105">
        <v>0</v>
      </c>
      <c r="M8" s="105">
        <v>0</v>
      </c>
      <c r="N8" s="105">
        <v>0</v>
      </c>
      <c r="O8" s="105">
        <v>0</v>
      </c>
      <c r="P8" s="105">
        <v>0</v>
      </c>
      <c r="Q8" s="105">
        <v>0</v>
      </c>
      <c r="R8" s="105">
        <v>0</v>
      </c>
      <c r="S8" s="105">
        <v>0</v>
      </c>
      <c r="V8" s="11">
        <f t="shared" si="0"/>
        <v>1.2999999999999998</v>
      </c>
    </row>
    <row r="9" spans="1:22">
      <c r="A9" s="104" t="s">
        <v>69</v>
      </c>
      <c r="C9" s="105">
        <v>0</v>
      </c>
      <c r="D9" s="105">
        <v>0.2</v>
      </c>
      <c r="E9" s="105">
        <v>0</v>
      </c>
      <c r="F9" s="105">
        <v>0</v>
      </c>
      <c r="G9" s="105">
        <v>0.3</v>
      </c>
      <c r="H9" s="105">
        <v>0</v>
      </c>
      <c r="I9" s="105">
        <v>0</v>
      </c>
      <c r="J9" s="105">
        <v>0</v>
      </c>
      <c r="K9" s="105">
        <v>0.3</v>
      </c>
      <c r="L9" s="105">
        <v>0</v>
      </c>
      <c r="M9" s="105">
        <v>0.3</v>
      </c>
      <c r="N9" s="105">
        <v>0</v>
      </c>
      <c r="O9" s="105">
        <v>0</v>
      </c>
      <c r="P9" s="105">
        <v>0</v>
      </c>
      <c r="Q9" s="105">
        <v>0</v>
      </c>
      <c r="R9" s="105">
        <v>0</v>
      </c>
      <c r="S9" s="105">
        <v>0</v>
      </c>
      <c r="V9" s="11">
        <f t="shared" si="0"/>
        <v>1.1000000000000001</v>
      </c>
    </row>
    <row r="10" spans="1:22">
      <c r="A10" s="104" t="s">
        <v>72</v>
      </c>
      <c r="C10" s="105">
        <v>0.3</v>
      </c>
      <c r="D10" s="105">
        <v>0</v>
      </c>
      <c r="E10" s="105">
        <v>0</v>
      </c>
      <c r="F10" s="105">
        <v>0.4</v>
      </c>
      <c r="G10" s="105">
        <v>0</v>
      </c>
      <c r="H10" s="105">
        <v>0</v>
      </c>
      <c r="I10" s="105">
        <v>0</v>
      </c>
      <c r="J10" s="105">
        <v>0.4</v>
      </c>
      <c r="K10" s="105">
        <v>0</v>
      </c>
      <c r="L10" s="105">
        <v>0.5</v>
      </c>
      <c r="M10" s="105">
        <v>0</v>
      </c>
      <c r="N10" s="105">
        <v>0</v>
      </c>
      <c r="O10" s="105">
        <v>0</v>
      </c>
      <c r="P10" s="105">
        <v>0</v>
      </c>
      <c r="Q10" s="105">
        <v>0</v>
      </c>
      <c r="R10" s="105">
        <v>0</v>
      </c>
      <c r="S10" s="105">
        <v>0</v>
      </c>
      <c r="V10" s="11">
        <f t="shared" si="0"/>
        <v>1.6</v>
      </c>
    </row>
    <row r="11" spans="1:22">
      <c r="A11" s="104" t="s">
        <v>75</v>
      </c>
      <c r="C11" s="105">
        <v>0</v>
      </c>
      <c r="D11" s="105">
        <v>0</v>
      </c>
      <c r="E11" s="105">
        <v>0</v>
      </c>
      <c r="F11" s="105">
        <v>0</v>
      </c>
      <c r="G11" s="105">
        <v>0.4</v>
      </c>
      <c r="H11" s="105">
        <v>0</v>
      </c>
      <c r="I11" s="105">
        <v>0</v>
      </c>
      <c r="J11" s="105">
        <v>0</v>
      </c>
      <c r="K11" s="105">
        <v>0</v>
      </c>
      <c r="L11" s="105">
        <v>0</v>
      </c>
      <c r="M11" s="105">
        <v>0.5</v>
      </c>
      <c r="N11" s="105">
        <v>0.3</v>
      </c>
      <c r="O11" s="105">
        <v>0</v>
      </c>
      <c r="P11" s="105">
        <v>0</v>
      </c>
      <c r="Q11" s="105">
        <v>0</v>
      </c>
      <c r="R11" s="105">
        <v>0</v>
      </c>
      <c r="S11" s="105">
        <v>0.4</v>
      </c>
      <c r="V11" s="11">
        <f t="shared" si="0"/>
        <v>1.6</v>
      </c>
    </row>
    <row r="12" spans="1:22">
      <c r="A12" s="104" t="s">
        <v>78</v>
      </c>
      <c r="C12" s="105">
        <v>0</v>
      </c>
      <c r="D12" s="105">
        <v>0</v>
      </c>
      <c r="E12" s="105">
        <v>0</v>
      </c>
      <c r="F12" s="105">
        <v>0</v>
      </c>
      <c r="G12" s="105">
        <v>0.3</v>
      </c>
      <c r="H12" s="105">
        <v>0</v>
      </c>
      <c r="I12" s="105">
        <v>0</v>
      </c>
      <c r="J12" s="105">
        <v>0.7</v>
      </c>
      <c r="K12" s="105">
        <v>0</v>
      </c>
      <c r="L12" s="105">
        <v>0.7</v>
      </c>
      <c r="M12" s="105">
        <v>0.3</v>
      </c>
      <c r="N12" s="105">
        <v>0</v>
      </c>
      <c r="O12" s="105">
        <v>0</v>
      </c>
      <c r="P12" s="105">
        <v>0</v>
      </c>
      <c r="Q12" s="105">
        <v>0</v>
      </c>
      <c r="R12" s="105">
        <v>0</v>
      </c>
      <c r="S12" s="105">
        <v>0.4</v>
      </c>
      <c r="V12" s="11">
        <f t="shared" si="0"/>
        <v>2.4</v>
      </c>
    </row>
    <row r="13" spans="1:22">
      <c r="A13" s="104" t="s">
        <v>81</v>
      </c>
      <c r="C13" s="105">
        <v>0</v>
      </c>
      <c r="D13" s="105">
        <v>0</v>
      </c>
      <c r="E13" s="105">
        <v>0</v>
      </c>
      <c r="F13" s="105">
        <v>0</v>
      </c>
      <c r="G13" s="105">
        <v>0</v>
      </c>
      <c r="H13" s="105">
        <v>0</v>
      </c>
      <c r="I13" s="105">
        <v>0</v>
      </c>
      <c r="J13" s="105">
        <v>0.7</v>
      </c>
      <c r="K13" s="105">
        <v>0</v>
      </c>
      <c r="L13" s="105">
        <v>0</v>
      </c>
      <c r="M13" s="105">
        <v>0.3</v>
      </c>
      <c r="N13" s="105">
        <v>0</v>
      </c>
      <c r="O13" s="105">
        <v>0</v>
      </c>
      <c r="P13" s="105">
        <v>0</v>
      </c>
      <c r="Q13" s="105">
        <v>0</v>
      </c>
      <c r="R13" s="105">
        <v>0</v>
      </c>
      <c r="S13" s="105">
        <v>0.5</v>
      </c>
      <c r="V13" s="11">
        <f t="shared" si="0"/>
        <v>1.5</v>
      </c>
    </row>
    <row r="14" spans="1:22">
      <c r="A14" s="104" t="s">
        <v>84</v>
      </c>
      <c r="C14" s="105">
        <v>0</v>
      </c>
      <c r="D14" s="105">
        <v>0</v>
      </c>
      <c r="E14" s="105">
        <v>0</v>
      </c>
      <c r="F14" s="105">
        <v>0</v>
      </c>
      <c r="G14" s="105">
        <v>0.4</v>
      </c>
      <c r="H14" s="105">
        <v>0</v>
      </c>
      <c r="I14" s="105">
        <v>0</v>
      </c>
      <c r="J14" s="105">
        <v>0.3</v>
      </c>
      <c r="K14" s="105">
        <v>0</v>
      </c>
      <c r="L14" s="105">
        <v>0</v>
      </c>
      <c r="M14" s="105">
        <v>0</v>
      </c>
      <c r="N14" s="105">
        <v>0.3</v>
      </c>
      <c r="O14" s="105">
        <v>0</v>
      </c>
      <c r="P14" s="105">
        <v>0</v>
      </c>
      <c r="Q14" s="105">
        <v>0</v>
      </c>
      <c r="R14" s="105">
        <v>0</v>
      </c>
      <c r="S14" s="105">
        <v>0</v>
      </c>
      <c r="V14" s="11">
        <f t="shared" si="0"/>
        <v>1</v>
      </c>
    </row>
    <row r="15" spans="1:22">
      <c r="A15" s="104" t="s">
        <v>87</v>
      </c>
      <c r="C15" s="105">
        <v>0</v>
      </c>
      <c r="D15" s="105">
        <v>0</v>
      </c>
      <c r="E15" s="105">
        <v>0.2</v>
      </c>
      <c r="F15" s="105">
        <v>0</v>
      </c>
      <c r="G15" s="105">
        <v>0</v>
      </c>
      <c r="H15" s="105">
        <v>0</v>
      </c>
      <c r="I15" s="105">
        <v>0</v>
      </c>
      <c r="J15" s="105">
        <v>0</v>
      </c>
      <c r="K15" s="105">
        <v>0</v>
      </c>
      <c r="L15" s="105">
        <v>0</v>
      </c>
      <c r="M15" s="105">
        <v>0.3</v>
      </c>
      <c r="N15" s="105">
        <v>0</v>
      </c>
      <c r="O15" s="105">
        <v>0</v>
      </c>
      <c r="P15" s="105">
        <v>0</v>
      </c>
      <c r="Q15" s="105">
        <v>0</v>
      </c>
      <c r="R15" s="105">
        <v>0</v>
      </c>
      <c r="S15" s="105">
        <v>0</v>
      </c>
      <c r="V15" s="11">
        <f t="shared" si="0"/>
        <v>0.5</v>
      </c>
    </row>
    <row r="16" spans="1:22">
      <c r="A16" s="104" t="s">
        <v>90</v>
      </c>
      <c r="C16" s="105">
        <v>0</v>
      </c>
      <c r="D16" s="105">
        <v>0</v>
      </c>
      <c r="E16" s="105">
        <v>0</v>
      </c>
      <c r="F16" s="105">
        <v>0</v>
      </c>
      <c r="G16" s="105">
        <v>0.5</v>
      </c>
      <c r="H16" s="105">
        <v>0</v>
      </c>
      <c r="I16" s="105">
        <v>0</v>
      </c>
      <c r="J16" s="105">
        <v>0.5</v>
      </c>
      <c r="K16" s="105">
        <v>0</v>
      </c>
      <c r="L16" s="105">
        <v>0.5</v>
      </c>
      <c r="M16" s="105">
        <v>0.5</v>
      </c>
      <c r="N16" s="105">
        <v>0.3</v>
      </c>
      <c r="O16" s="105">
        <v>0</v>
      </c>
      <c r="P16" s="105">
        <v>0.7</v>
      </c>
      <c r="Q16" s="105">
        <v>0.6</v>
      </c>
      <c r="R16" s="105">
        <v>0</v>
      </c>
      <c r="S16" s="105">
        <v>0.3</v>
      </c>
      <c r="V16" s="11">
        <f t="shared" si="0"/>
        <v>3.9</v>
      </c>
    </row>
    <row r="17" spans="1:22">
      <c r="A17" s="104" t="s">
        <v>91</v>
      </c>
      <c r="C17" s="105">
        <v>0</v>
      </c>
      <c r="D17" s="105">
        <v>0</v>
      </c>
      <c r="E17" s="105">
        <v>0</v>
      </c>
      <c r="F17" s="105">
        <v>0</v>
      </c>
      <c r="G17" s="105">
        <v>0.5</v>
      </c>
      <c r="H17" s="105">
        <v>0</v>
      </c>
      <c r="I17" s="105">
        <v>0</v>
      </c>
      <c r="J17" s="105">
        <v>0.5</v>
      </c>
      <c r="K17" s="105">
        <v>0.4</v>
      </c>
      <c r="L17" s="105">
        <v>0.4</v>
      </c>
      <c r="M17" s="105">
        <v>0.4</v>
      </c>
      <c r="N17" s="105">
        <v>0</v>
      </c>
      <c r="O17" s="105">
        <v>0</v>
      </c>
      <c r="P17" s="105">
        <v>0</v>
      </c>
      <c r="Q17" s="105">
        <v>0.5</v>
      </c>
      <c r="R17" s="105">
        <v>0</v>
      </c>
      <c r="S17" s="105">
        <v>0</v>
      </c>
      <c r="V17" s="11">
        <f t="shared" si="0"/>
        <v>2.6999999999999997</v>
      </c>
    </row>
    <row r="18" spans="1:22">
      <c r="A18" s="104" t="s">
        <v>92</v>
      </c>
      <c r="C18" s="105">
        <v>0</v>
      </c>
      <c r="D18" s="105">
        <v>0.3</v>
      </c>
      <c r="E18" s="105">
        <v>0.4</v>
      </c>
      <c r="F18" s="105">
        <v>0</v>
      </c>
      <c r="G18" s="105">
        <v>0.3</v>
      </c>
      <c r="H18" s="105">
        <v>0</v>
      </c>
      <c r="I18" s="105">
        <v>0</v>
      </c>
      <c r="J18" s="105">
        <v>0</v>
      </c>
      <c r="K18" s="105">
        <v>0</v>
      </c>
      <c r="L18" s="105">
        <v>0</v>
      </c>
      <c r="M18" s="105">
        <v>0.3</v>
      </c>
      <c r="N18" s="105">
        <v>0</v>
      </c>
      <c r="O18" s="105">
        <v>0</v>
      </c>
      <c r="P18" s="105">
        <v>0</v>
      </c>
      <c r="Q18" s="105">
        <v>0</v>
      </c>
      <c r="R18" s="105">
        <v>0</v>
      </c>
      <c r="S18" s="105">
        <v>0.3</v>
      </c>
      <c r="V18" s="11">
        <f t="shared" si="0"/>
        <v>1.6</v>
      </c>
    </row>
    <row r="19" spans="1:22">
      <c r="A19" s="104" t="s">
        <v>93</v>
      </c>
      <c r="C19" s="105">
        <v>0</v>
      </c>
      <c r="D19" s="105">
        <v>0</v>
      </c>
      <c r="E19" s="105">
        <v>0</v>
      </c>
      <c r="F19" s="105">
        <v>0</v>
      </c>
      <c r="G19" s="105">
        <v>0.3</v>
      </c>
      <c r="H19" s="105">
        <v>0.4</v>
      </c>
      <c r="I19" s="105">
        <v>0</v>
      </c>
      <c r="J19" s="105">
        <v>0.3</v>
      </c>
      <c r="K19" s="105">
        <v>0</v>
      </c>
      <c r="L19" s="105">
        <v>0.4</v>
      </c>
      <c r="M19" s="105">
        <v>0.3</v>
      </c>
      <c r="N19" s="105">
        <v>0</v>
      </c>
      <c r="O19" s="105">
        <v>0.6</v>
      </c>
      <c r="P19" s="105">
        <v>0.5</v>
      </c>
      <c r="Q19" s="105">
        <v>0.5</v>
      </c>
      <c r="R19" s="105">
        <v>0</v>
      </c>
      <c r="S19" s="105">
        <v>0</v>
      </c>
      <c r="V19" s="11">
        <f t="shared" si="0"/>
        <v>3.3</v>
      </c>
    </row>
    <row r="20" spans="1:22">
      <c r="A20" s="104" t="s">
        <v>94</v>
      </c>
      <c r="C20" s="105">
        <v>0</v>
      </c>
      <c r="D20" s="105">
        <v>0</v>
      </c>
      <c r="E20" s="105">
        <v>0</v>
      </c>
      <c r="F20" s="105">
        <v>0</v>
      </c>
      <c r="G20" s="105">
        <v>0</v>
      </c>
      <c r="H20" s="105">
        <v>0</v>
      </c>
      <c r="I20" s="105">
        <v>0</v>
      </c>
      <c r="J20" s="105">
        <v>0.3</v>
      </c>
      <c r="K20" s="105">
        <v>0</v>
      </c>
      <c r="L20" s="105">
        <v>0.3</v>
      </c>
      <c r="M20" s="105">
        <v>0.3</v>
      </c>
      <c r="N20" s="105">
        <v>0</v>
      </c>
      <c r="O20" s="105">
        <v>0</v>
      </c>
      <c r="P20" s="105">
        <v>0</v>
      </c>
      <c r="Q20" s="105">
        <v>0</v>
      </c>
      <c r="R20" s="105">
        <v>0</v>
      </c>
      <c r="S20" s="105">
        <v>0</v>
      </c>
      <c r="V20" s="11">
        <f t="shared" si="0"/>
        <v>0.89999999999999991</v>
      </c>
    </row>
    <row r="21" spans="1:22">
      <c r="A21" s="106" t="s">
        <v>15439</v>
      </c>
      <c r="C21" s="11">
        <f t="shared" ref="C21:S21" si="1">SUM(C4:C20)</f>
        <v>0.3</v>
      </c>
      <c r="D21" s="11">
        <f t="shared" si="1"/>
        <v>1.1000000000000001</v>
      </c>
      <c r="E21" s="11">
        <f t="shared" si="1"/>
        <v>1.2000000000000002</v>
      </c>
      <c r="F21" s="11">
        <f t="shared" si="1"/>
        <v>0.9</v>
      </c>
      <c r="G21" s="11">
        <f t="shared" si="1"/>
        <v>3.1999999999999997</v>
      </c>
      <c r="H21" s="11">
        <f t="shared" si="1"/>
        <v>0.60000000000000009</v>
      </c>
      <c r="I21" s="11">
        <f t="shared" si="1"/>
        <v>0.7</v>
      </c>
      <c r="J21" s="11">
        <f t="shared" si="1"/>
        <v>5</v>
      </c>
      <c r="K21" s="11">
        <f t="shared" si="1"/>
        <v>1.4</v>
      </c>
      <c r="L21" s="11">
        <f t="shared" si="1"/>
        <v>3.5999999999999996</v>
      </c>
      <c r="M21" s="11">
        <f t="shared" si="1"/>
        <v>4.3</v>
      </c>
      <c r="N21" s="11">
        <f t="shared" si="1"/>
        <v>1.7000000000000002</v>
      </c>
      <c r="O21" s="11">
        <f t="shared" si="1"/>
        <v>0.89999999999999991</v>
      </c>
      <c r="P21" s="11">
        <f t="shared" si="1"/>
        <v>1.2</v>
      </c>
      <c r="Q21" s="11">
        <f t="shared" si="1"/>
        <v>1.6</v>
      </c>
      <c r="R21" s="11">
        <f t="shared" si="1"/>
        <v>0</v>
      </c>
      <c r="S21" s="11">
        <f t="shared" si="1"/>
        <v>2.2000000000000002</v>
      </c>
    </row>
    <row r="25" spans="1:22" ht="15">
      <c r="A25" s="107" t="s">
        <v>15440</v>
      </c>
      <c r="E25" s="107" t="s">
        <v>15441</v>
      </c>
    </row>
    <row r="26" spans="1:22">
      <c r="A26" s="108" t="s">
        <v>15442</v>
      </c>
      <c r="B26" s="108" t="s">
        <v>52</v>
      </c>
      <c r="C26" s="108" t="s">
        <v>340</v>
      </c>
      <c r="E26" t="s">
        <v>14706</v>
      </c>
      <c r="F26" t="s">
        <v>14571</v>
      </c>
      <c r="H26" t="s">
        <v>14709</v>
      </c>
      <c r="I26" t="s">
        <v>14571</v>
      </c>
      <c r="K26" t="s">
        <v>14707</v>
      </c>
      <c r="L26" t="s">
        <v>14571</v>
      </c>
    </row>
    <row r="27" spans="1:22">
      <c r="A27" t="s">
        <v>15443</v>
      </c>
      <c r="B27" s="109">
        <v>0.65</v>
      </c>
      <c r="C27" s="100" t="s">
        <v>15444</v>
      </c>
      <c r="E27" t="s">
        <v>14718</v>
      </c>
      <c r="F27">
        <v>0</v>
      </c>
      <c r="H27" t="s">
        <v>14721</v>
      </c>
      <c r="I27">
        <v>0.05</v>
      </c>
      <c r="K27" t="s">
        <v>14719</v>
      </c>
      <c r="L27">
        <v>0</v>
      </c>
    </row>
    <row r="28" spans="1:22">
      <c r="A28" t="s">
        <v>15445</v>
      </c>
      <c r="B28" s="109">
        <v>0.35</v>
      </c>
      <c r="C28" s="100" t="s">
        <v>15446</v>
      </c>
      <c r="E28" t="s">
        <v>544</v>
      </c>
      <c r="F28">
        <v>0.1</v>
      </c>
      <c r="H28" t="s">
        <v>548</v>
      </c>
      <c r="I28">
        <v>0.2</v>
      </c>
      <c r="K28" t="s">
        <v>14730</v>
      </c>
      <c r="L28">
        <v>0.1</v>
      </c>
    </row>
    <row r="29" spans="1:22">
      <c r="A29" t="s">
        <v>15447</v>
      </c>
      <c r="B29" s="109">
        <v>0.5</v>
      </c>
      <c r="C29" s="100" t="s">
        <v>15448</v>
      </c>
      <c r="E29" t="s">
        <v>548</v>
      </c>
      <c r="F29">
        <v>0.25</v>
      </c>
      <c r="H29" t="s">
        <v>551</v>
      </c>
      <c r="I29">
        <v>0.4</v>
      </c>
      <c r="K29" t="s">
        <v>561</v>
      </c>
      <c r="L29">
        <v>0.2</v>
      </c>
    </row>
    <row r="30" spans="1:22">
      <c r="A30" t="s">
        <v>15449</v>
      </c>
      <c r="B30" s="109">
        <v>3</v>
      </c>
      <c r="C30" s="100" t="s">
        <v>15450</v>
      </c>
      <c r="E30" t="s">
        <v>551</v>
      </c>
      <c r="F30">
        <v>0.45</v>
      </c>
      <c r="H30" t="s">
        <v>14749</v>
      </c>
      <c r="I30">
        <v>0.65</v>
      </c>
      <c r="K30" t="s">
        <v>14745</v>
      </c>
      <c r="L30">
        <v>0.5</v>
      </c>
    </row>
    <row r="31" spans="1:22">
      <c r="A31" t="s">
        <v>15451</v>
      </c>
      <c r="B31" s="109">
        <v>2</v>
      </c>
      <c r="C31" s="100" t="s">
        <v>15452</v>
      </c>
      <c r="E31" t="s">
        <v>14749</v>
      </c>
      <c r="F31">
        <v>0.7</v>
      </c>
      <c r="H31" t="s">
        <v>272</v>
      </c>
      <c r="I31">
        <v>0</v>
      </c>
      <c r="K31" t="s">
        <v>14758</v>
      </c>
      <c r="L31">
        <v>0.3</v>
      </c>
    </row>
    <row r="32" spans="1:22">
      <c r="A32" t="s">
        <v>15453</v>
      </c>
      <c r="B32" s="109">
        <v>0.8</v>
      </c>
      <c r="C32" s="100" t="s">
        <v>15454</v>
      </c>
      <c r="E32" t="s">
        <v>272</v>
      </c>
      <c r="F32">
        <v>0</v>
      </c>
      <c r="H32" t="s">
        <v>14766</v>
      </c>
      <c r="I32">
        <v>0.1</v>
      </c>
      <c r="K32" t="s">
        <v>272</v>
      </c>
      <c r="L32">
        <v>0</v>
      </c>
    </row>
    <row r="33" spans="1:12">
      <c r="A33" t="s">
        <v>15455</v>
      </c>
      <c r="B33" s="109">
        <v>0.6</v>
      </c>
      <c r="C33" s="100" t="s">
        <v>15456</v>
      </c>
      <c r="E33" t="s">
        <v>14766</v>
      </c>
      <c r="F33">
        <v>0.1</v>
      </c>
      <c r="K33" t="s">
        <v>14766</v>
      </c>
      <c r="L33">
        <v>0.15</v>
      </c>
    </row>
    <row r="34" spans="1:12">
      <c r="A34" t="s">
        <v>15457</v>
      </c>
      <c r="B34" s="109">
        <v>2</v>
      </c>
      <c r="C34" s="100" t="s">
        <v>15458</v>
      </c>
    </row>
  </sheetData>
  <sheetProtection sheet="1" objects="1" scenarios="1"/>
  <conditionalFormatting sqref="C4:S20">
    <cfRule type="colorScale" priority="1">
      <colorScale>
        <cfvo type="num" val="0"/>
        <cfvo type="num" val="0.35"/>
        <cfvo type="num" val="0.8"/>
        <color rgb="FFF8F9FB"/>
        <color rgb="FFFFE699"/>
        <color rgb="FFC00000"/>
      </colorScale>
    </cfRule>
  </conditionalFormatting>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56.xml><?xml version="1.0" encoding="utf-8"?>
<worksheet xmlns="http://schemas.openxmlformats.org/spreadsheetml/2006/main" xmlns:ns1="http://schemas.openxmlformats.org/markup-compatibility/2006" xmlns:ns2="http://schemas.microsoft.com/office/spreadsheetml/2014/revision" ns1:Ignorable="x14ac xr xr2 xr3" ns2:uid="{00000000-0001-0000-3700-000000000000}">
  <sheetPr>
    <tabColor rgb="FF808080"/>
  </sheetPr>
  <dimension ref="A1:AC32"/>
  <sheetViews>
    <sheetView workbookViewId="0"/>
  </sheetViews>
  <sheetFormatPr defaultRowHeight="14.25"/>
  <cols>
    <col min="1" max="1" width="26" customWidth="1"/>
  </cols>
  <sheetData>
    <row r="1" spans="1:28" ht="18">
      <c r="A1" s="99" t="s">
        <v>15459</v>
      </c>
    </row>
    <row r="2" spans="1:28">
      <c r="A2" s="100" t="s">
        <v>15460</v>
      </c>
    </row>
    <row r="4" spans="1:28" ht="51">
      <c r="A4" s="110" t="s">
        <v>36</v>
      </c>
      <c r="B4" s="110" t="s">
        <v>214</v>
      </c>
      <c r="C4" s="110" t="s">
        <v>215</v>
      </c>
      <c r="D4" s="110" t="s">
        <v>15461</v>
      </c>
      <c r="E4" s="110" t="s">
        <v>15462</v>
      </c>
      <c r="F4" s="110" t="s">
        <v>217</v>
      </c>
      <c r="G4" s="110" t="s">
        <v>15463</v>
      </c>
      <c r="H4" s="110" t="s">
        <v>218</v>
      </c>
      <c r="I4" s="110" t="s">
        <v>219</v>
      </c>
      <c r="J4" s="110" t="s">
        <v>15464</v>
      </c>
      <c r="K4" s="110" t="s">
        <v>15465</v>
      </c>
      <c r="L4" s="110" t="s">
        <v>15466</v>
      </c>
      <c r="M4" s="110" t="s">
        <v>15467</v>
      </c>
      <c r="N4" s="110" t="s">
        <v>15468</v>
      </c>
      <c r="O4" s="110" t="s">
        <v>15469</v>
      </c>
      <c r="P4" s="110" t="s">
        <v>15470</v>
      </c>
      <c r="Q4" s="110" t="s">
        <v>15471</v>
      </c>
      <c r="R4" s="110" t="s">
        <v>15472</v>
      </c>
      <c r="S4" s="110" t="s">
        <v>15473</v>
      </c>
      <c r="T4" s="110" t="s">
        <v>15474</v>
      </c>
      <c r="U4" s="110" t="s">
        <v>15475</v>
      </c>
      <c r="V4" s="110" t="s">
        <v>15476</v>
      </c>
      <c r="W4" s="110" t="s">
        <v>15477</v>
      </c>
      <c r="X4" s="110" t="s">
        <v>15478</v>
      </c>
      <c r="Y4" s="110" t="s">
        <v>38</v>
      </c>
    </row>
    <row r="5" spans="1:28">
      <c r="A5" t="str">
        <f>Dashboard!$A$5</f>
        <v>Company Geography</v>
      </c>
      <c r="B5" s="11" t="str">
        <f>IF($Y5=0,"",Dashboard!$H$5)</f>
        <v/>
      </c>
      <c r="C5" s="11" t="str">
        <f t="array" ref="C5">IF($Y5=0,"",MIN(IF(('Company Geography'!$H$5:$H$24&lt;&gt;"")*('Company Geography'!$H$5:$H$24&lt;&gt;"N/A"),'Company Geography'!$H$5:$H$24+0)))</f>
        <v/>
      </c>
      <c r="D5" s="11" t="str">
        <f>IF(B5="","",_TECH_Dependency_Map!$B$27*B5+(1-_TECH_Dependency_Map!$B$27)*C5)</f>
        <v/>
      </c>
      <c r="E5" s="11"/>
      <c r="F5" s="11">
        <f>IF(AND(E5&lt;&gt;"",E5&lt;_TECH_Dependency_Map!$B$30),1,0)</f>
        <v>0</v>
      </c>
      <c r="G5" s="11" t="str">
        <f>IF(B5="","",IF(F5=1,MIN(D5,_TECH_Dependency_Map!$B$31),D5))</f>
        <v/>
      </c>
      <c r="H5" s="11">
        <f>1+MIN(_TECH_Dependency_Map!$B$32,MAX(IFERROR(VLOOKUP('Company Profile'!$B$74,_TECH_Dependency_Map!$H$27:$I$32,2,FALSE),0),IFERROR(VLOOKUP('Company Profile'!$B$75,_TECH_Dependency_Map!$H$27:$I$32,2,FALSE),0)))</f>
        <v>1.4</v>
      </c>
      <c r="I5" s="11">
        <f t="shared" ref="I5:I21" si="0">IF(B5="",0,5-G5)</f>
        <v>0</v>
      </c>
      <c r="J5" s="11">
        <f t="shared" ref="J5:J21" si="1">IF(B5="",0,MIN(5,I5*H5))</f>
        <v>0</v>
      </c>
      <c r="K5" s="11">
        <f>SUMPRODUCT(_TECH_Dependency_Map!C$4:C$20,$J$5:$J$21)</f>
        <v>0</v>
      </c>
      <c r="L5" s="11">
        <f>_TECH_Dependency_Map!$B$28*K5</f>
        <v>0</v>
      </c>
      <c r="M5" s="11">
        <f t="shared" ref="M5:M21" si="2">MIN(5,J5+L5)</f>
        <v>0</v>
      </c>
      <c r="N5" s="11" t="str">
        <f t="shared" ref="N5:N21" si="3">IF(B5="","",ROUND(M5,2))</f>
        <v/>
      </c>
      <c r="O5" t="str">
        <f t="shared" ref="O5:O21" si="4">IF(B5="","",IF(M5&gt;=4,"Critical",IF(M5&gt;=3,"High",IF(M5&gt;=2,"Medium",IF(M5&gt;=1,"Low","Minimal")))))</f>
        <v/>
      </c>
      <c r="P5" s="11">
        <f>IFERROR(IF(SUMIFS(_TECH_Crisis_Model!$C$5:$C$191,_TECH_Crisis_Model!$A$5:$A$191,'Crisis Simulator'!$B$4,_TECH_Crisis_Model!$B$5:$B$191,A5)=0,1,SUMIFS(_TECH_Crisis_Model!$C$5:$C$191,_TECH_Crisis_Model!$A$5:$A$191,'Crisis Simulator'!$B$4,_TECH_Crisis_Model!$B$5:$B$191,A5)),1)</f>
        <v>1.6</v>
      </c>
      <c r="Q5" s="11">
        <f t="shared" ref="Q5:Q21" si="5">MAX(0,P5-1)</f>
        <v>0.60000000000000009</v>
      </c>
      <c r="R5" s="11">
        <f>SUMPRODUCT(_TECH_Dependency_Map!C$4:C$20,$Q$5:$Q$21)</f>
        <v>0.3</v>
      </c>
      <c r="S5" s="11">
        <f>MIN(_TECH_Dependency_Map!$B$34,1+('Crisis Simulator'!$B$5/5)*(Q5+_TECH_Dependency_Map!$B$29*R5))</f>
        <v>1.4500000000000002</v>
      </c>
      <c r="T5" s="11">
        <f t="shared" ref="T5:T21" si="6">MIN(5,M5*S5)</f>
        <v>0</v>
      </c>
      <c r="U5" s="11" t="str">
        <f t="shared" ref="U5:U21" si="7">IF(B5="","",ROUND(T5,2))</f>
        <v/>
      </c>
      <c r="V5" s="11" t="str">
        <f t="shared" ref="V5:V21" si="8">IF(B5="","",IF(T5&gt;=4,"Critical",IF(T5&gt;=3,"High",IF(T5&gt;=2,"Medium",IF(T5&gt;=1,"Low","Minimal")))))</f>
        <v/>
      </c>
      <c r="W5" s="11" t="str">
        <f t="shared" ref="W5:W21" si="9">IF(B5="","",ROUND(5-M5,2))</f>
        <v/>
      </c>
      <c r="X5" s="11" t="str">
        <f>IF(B5="","",RANK(T5,$T$5:$T$21)+COUNTIF($T$5:T5,T5)-1)</f>
        <v/>
      </c>
      <c r="Y5">
        <f>SUMPRODUCT(--('Company Geography'!$H$5:$H$24&lt;&gt;""),--('Company Geography'!$H$5:$H$24&lt;&gt;"N/A"))</f>
        <v>0</v>
      </c>
    </row>
    <row r="6" spans="1:28">
      <c r="A6" t="str">
        <f>Dashboard!$A$6</f>
        <v>Strategy GTM</v>
      </c>
      <c r="B6" s="11" t="str">
        <f>IF($Y6=0,"",Dashboard!$H$6)</f>
        <v/>
      </c>
      <c r="C6" s="11" t="str">
        <f t="array" ref="C6">IF($Y6=0,"",MIN(IF(('Strategy GTM'!$H$5:$H$28&lt;&gt;"")*('Strategy GTM'!$H$5:$H$28&lt;&gt;"N/A"),'Strategy GTM'!$H$5:$H$28+0)))</f>
        <v/>
      </c>
      <c r="D6" s="11" t="str">
        <f>IF(B6="","",_TECH_Dependency_Map!$B$27*B6+(1-_TECH_Dependency_Map!$B$27)*C6)</f>
        <v/>
      </c>
      <c r="E6" s="11"/>
      <c r="F6" s="11">
        <f>IF(AND(E6&lt;&gt;"",E6&lt;_TECH_Dependency_Map!$B$30),1,0)</f>
        <v>0</v>
      </c>
      <c r="G6" s="11" t="str">
        <f>IF(B6="","",IF(F6=1,MIN(D6,_TECH_Dependency_Map!$B$31),D6))</f>
        <v/>
      </c>
      <c r="H6" s="11">
        <f>1+MIN(_TECH_Dependency_Map!$B$32,IFERROR(VLOOKUP('Company Profile'!$B$54,_TECH_Dependency_Map!$E$27:$F$33,2,FALSE),0))</f>
        <v>1.1000000000000001</v>
      </c>
      <c r="I6" s="11">
        <f t="shared" si="0"/>
        <v>0</v>
      </c>
      <c r="J6" s="11">
        <f t="shared" si="1"/>
        <v>0</v>
      </c>
      <c r="K6" s="11">
        <f>SUMPRODUCT(_TECH_Dependency_Map!D$4:D$20,$J$5:$J$21)</f>
        <v>0</v>
      </c>
      <c r="L6" s="11">
        <f>_TECH_Dependency_Map!$B$28*K6</f>
        <v>0</v>
      </c>
      <c r="M6" s="11">
        <f t="shared" si="2"/>
        <v>0</v>
      </c>
      <c r="N6" s="11" t="str">
        <f t="shared" si="3"/>
        <v/>
      </c>
      <c r="O6" t="str">
        <f t="shared" si="4"/>
        <v/>
      </c>
      <c r="P6" s="11">
        <f>IFERROR(IF(SUMIFS(_TECH_Crisis_Model!$C$5:$C$191,_TECH_Crisis_Model!$A$5:$A$191,'Crisis Simulator'!$B$4,_TECH_Crisis_Model!$B$5:$B$191,A6)=0,1,SUMIFS(_TECH_Crisis_Model!$C$5:$C$191,_TECH_Crisis_Model!$A$5:$A$191,'Crisis Simulator'!$B$4,_TECH_Crisis_Model!$B$5:$B$191,A6)),1)</f>
        <v>1</v>
      </c>
      <c r="Q6" s="11">
        <f t="shared" si="5"/>
        <v>0</v>
      </c>
      <c r="R6" s="11">
        <f>SUMPRODUCT(_TECH_Dependency_Map!D$4:D$20,$Q$5:$Q$21)</f>
        <v>0.28999999999999992</v>
      </c>
      <c r="S6" s="11">
        <f>MIN(_TECH_Dependency_Map!$B$34,1+('Crisis Simulator'!$B$5/5)*(Q6+_TECH_Dependency_Map!$B$29*R6))</f>
        <v>1.087</v>
      </c>
      <c r="T6" s="11">
        <f t="shared" si="6"/>
        <v>0</v>
      </c>
      <c r="U6" s="11" t="str">
        <f t="shared" si="7"/>
        <v/>
      </c>
      <c r="V6" s="11" t="str">
        <f t="shared" si="8"/>
        <v/>
      </c>
      <c r="W6" s="11" t="str">
        <f t="shared" si="9"/>
        <v/>
      </c>
      <c r="X6" s="11" t="str">
        <f>IF(B6="","",RANK(T6,$T$5:$T$21)+COUNTIF($T$5:T6,T6)-1)</f>
        <v/>
      </c>
      <c r="Y6">
        <f>SUMPRODUCT(--('Strategy GTM'!$H$5:$H$28&lt;&gt;""),--('Strategy GTM'!$H$5:$H$28&lt;&gt;"N/A"))</f>
        <v>0</v>
      </c>
    </row>
    <row r="7" spans="1:28">
      <c r="A7" t="str">
        <f>Dashboard!$A$7</f>
        <v>Governance Crisis</v>
      </c>
      <c r="B7" s="11" t="str">
        <f>IF($Y7=0,"",Dashboard!$H$7)</f>
        <v/>
      </c>
      <c r="C7" s="11" t="str">
        <f t="array" ref="C7">IF($Y7=0,"",MIN(IF(('Governance Crisis'!$H$5:$H$23&lt;&gt;"")*('Governance Crisis'!$H$5:$H$23&lt;&gt;"N/A"),'Governance Crisis'!$H$5:$H$23+0)))</f>
        <v/>
      </c>
      <c r="D7" s="11" t="str">
        <f>IF(B7="","",_TECH_Dependency_Map!$B$27*B7+(1-_TECH_Dependency_Map!$B$27)*C7)</f>
        <v/>
      </c>
      <c r="E7" s="11" t="str">
        <f>IF(COUNT(AA7:AB7)=0,"",MIN(AA7:AB7))</f>
        <v/>
      </c>
      <c r="F7" s="11">
        <f>IF(AND(E7&lt;&gt;"",E7&lt;_TECH_Dependency_Map!$B$30),1,0)</f>
        <v>0</v>
      </c>
      <c r="G7" s="11" t="str">
        <f>IF(B7="","",IF(F7=1,MIN(D7,_TECH_Dependency_Map!$B$31),D7))</f>
        <v/>
      </c>
      <c r="H7" s="11">
        <f>1</f>
        <v>1</v>
      </c>
      <c r="I7" s="11">
        <f t="shared" si="0"/>
        <v>0</v>
      </c>
      <c r="J7" s="11">
        <f t="shared" si="1"/>
        <v>0</v>
      </c>
      <c r="K7" s="11">
        <f>SUMPRODUCT(_TECH_Dependency_Map!E$4:E$20,$J$5:$J$21)</f>
        <v>0</v>
      </c>
      <c r="L7" s="11">
        <f>_TECH_Dependency_Map!$B$28*K7</f>
        <v>0</v>
      </c>
      <c r="M7" s="11">
        <f t="shared" si="2"/>
        <v>0</v>
      </c>
      <c r="N7" s="11" t="str">
        <f t="shared" si="3"/>
        <v/>
      </c>
      <c r="O7" t="str">
        <f t="shared" si="4"/>
        <v/>
      </c>
      <c r="P7" s="11">
        <f>IFERROR(IF(SUMIFS(_TECH_Crisis_Model!$C$5:$C$191,_TECH_Crisis_Model!$A$5:$A$191,'Crisis Simulator'!$B$4,_TECH_Crisis_Model!$B$5:$B$191,A7)=0,1,SUMIFS(_TECH_Crisis_Model!$C$5:$C$191,_TECH_Crisis_Model!$A$5:$A$191,'Crisis Simulator'!$B$4,_TECH_Crisis_Model!$B$5:$B$191,A7)),1)</f>
        <v>1.4</v>
      </c>
      <c r="Q7" s="11">
        <f t="shared" si="5"/>
        <v>0.39999999999999991</v>
      </c>
      <c r="R7" s="11">
        <f>SUMPRODUCT(_TECH_Dependency_Map!E$4:E$20,$Q$5:$Q$21)</f>
        <v>0.37</v>
      </c>
      <c r="S7" s="11">
        <f>MIN(_TECH_Dependency_Map!$B$34,1+('Crisis Simulator'!$B$5/5)*(Q7+_TECH_Dependency_Map!$B$29*R7))</f>
        <v>1.351</v>
      </c>
      <c r="T7" s="11">
        <f t="shared" si="6"/>
        <v>0</v>
      </c>
      <c r="U7" s="11" t="str">
        <f t="shared" si="7"/>
        <v/>
      </c>
      <c r="V7" s="11" t="str">
        <f t="shared" si="8"/>
        <v/>
      </c>
      <c r="W7" s="11" t="str">
        <f t="shared" si="9"/>
        <v/>
      </c>
      <c r="X7" s="11" t="str">
        <f>IF(B7="","",RANK(T7,$T$5:$T$21)+COUNTIF($T$5:T7,T7)-1)</f>
        <v/>
      </c>
      <c r="Y7">
        <f>SUMPRODUCT(--('Governance Crisis'!$H$5:$H$23&lt;&gt;""),--('Governance Crisis'!$H$5:$H$23&lt;&gt;"N/A"))</f>
        <v>0</v>
      </c>
      <c r="AA7" t="str">
        <f>IF(OR('Governance Crisis'!H5="",'Governance Crisis'!H5="N/A"),"",'Governance Crisis'!H5+0)</f>
        <v/>
      </c>
      <c r="AB7" t="str">
        <f>IF(OR('Governance Crisis'!H15="",'Governance Crisis'!H15="N/A"),"",'Governance Crisis'!H15+0)</f>
        <v/>
      </c>
    </row>
    <row r="8" spans="1:28">
      <c r="A8" t="str">
        <f>Dashboard!$A$8</f>
        <v>HR Workforce</v>
      </c>
      <c r="B8" s="11" t="str">
        <f>IF($Y8=0,"",Dashboard!$H$8)</f>
        <v/>
      </c>
      <c r="C8" s="11" t="str">
        <f t="array" ref="C8">IF($Y8=0,"",MIN(IF(('HR Workforce'!$H$5:$H$28&lt;&gt;"")*('HR Workforce'!$H$5:$H$28&lt;&gt;"N/A"),'HR Workforce'!$H$5:$H$28+0)))</f>
        <v/>
      </c>
      <c r="D8" s="11" t="str">
        <f>IF(B8="","",_TECH_Dependency_Map!$B$27*B8+(1-_TECH_Dependency_Map!$B$27)*C8)</f>
        <v/>
      </c>
      <c r="E8" s="11"/>
      <c r="F8" s="11">
        <f>IF(AND(E8&lt;&gt;"",E8&lt;_TECH_Dependency_Map!$B$30),1,0)</f>
        <v>0</v>
      </c>
      <c r="G8" s="11" t="str">
        <f>IF(B8="","",IF(F8=1,MIN(D8,_TECH_Dependency_Map!$B$31),D8))</f>
        <v/>
      </c>
      <c r="H8" s="11">
        <f>1+MIN(_TECH_Dependency_Map!$B$32,MAX(IFERROR(VLOOKUP('Company Profile'!$B$74,_TECH_Dependency_Map!$H$27:$I$32,2,FALSE),0),IFERROR(VLOOKUP('Company Profile'!$B$75,_TECH_Dependency_Map!$H$27:$I$32,2,FALSE),0)))</f>
        <v>1.4</v>
      </c>
      <c r="I8" s="11">
        <f t="shared" si="0"/>
        <v>0</v>
      </c>
      <c r="J8" s="11">
        <f t="shared" si="1"/>
        <v>0</v>
      </c>
      <c r="K8" s="11">
        <f>SUMPRODUCT(_TECH_Dependency_Map!F$4:F$20,$J$5:$J$21)</f>
        <v>0</v>
      </c>
      <c r="L8" s="11">
        <f>_TECH_Dependency_Map!$B$28*K8</f>
        <v>0</v>
      </c>
      <c r="M8" s="11">
        <f t="shared" si="2"/>
        <v>0</v>
      </c>
      <c r="N8" s="11" t="str">
        <f t="shared" si="3"/>
        <v/>
      </c>
      <c r="O8" t="str">
        <f t="shared" si="4"/>
        <v/>
      </c>
      <c r="P8" s="11">
        <f>IFERROR(IF(SUMIFS(_TECH_Crisis_Model!$C$5:$C$191,_TECH_Crisis_Model!$A$5:$A$191,'Crisis Simulator'!$B$4,_TECH_Crisis_Model!$B$5:$B$191,A8)=0,1,SUMIFS(_TECH_Crisis_Model!$C$5:$C$191,_TECH_Crisis_Model!$A$5:$A$191,'Crisis Simulator'!$B$4,_TECH_Crisis_Model!$B$5:$B$191,A8)),1)</f>
        <v>1.8</v>
      </c>
      <c r="Q8" s="11">
        <f t="shared" si="5"/>
        <v>0.8</v>
      </c>
      <c r="R8" s="11">
        <f>SUMPRODUCT(_TECH_Dependency_Map!F$4:F$20,$Q$5:$Q$21)</f>
        <v>0.66</v>
      </c>
      <c r="S8" s="11">
        <f>MIN(_TECH_Dependency_Map!$B$34,1+('Crisis Simulator'!$B$5/5)*(Q8+_TECH_Dependency_Map!$B$29*R8))</f>
        <v>1.6779999999999999</v>
      </c>
      <c r="T8" s="11">
        <f t="shared" si="6"/>
        <v>0</v>
      </c>
      <c r="U8" s="11" t="str">
        <f t="shared" si="7"/>
        <v/>
      </c>
      <c r="V8" s="11" t="str">
        <f t="shared" si="8"/>
        <v/>
      </c>
      <c r="W8" s="11" t="str">
        <f t="shared" si="9"/>
        <v/>
      </c>
      <c r="X8" s="11" t="str">
        <f>IF(B8="","",RANK(T8,$T$5:$T$21)+COUNTIF($T$5:T8,T8)-1)</f>
        <v/>
      </c>
      <c r="Y8">
        <f>SUMPRODUCT(--('HR Workforce'!$H$5:$H$28&lt;&gt;""),--('HR Workforce'!$H$5:$H$28&lt;&gt;"N/A"))</f>
        <v>0</v>
      </c>
    </row>
    <row r="9" spans="1:28">
      <c r="A9" t="str">
        <f>Dashboard!$A$9</f>
        <v>Finance Procurement</v>
      </c>
      <c r="B9" s="11" t="str">
        <f>IF($Y9=0,"",Dashboard!$H$9)</f>
        <v/>
      </c>
      <c r="C9" s="11" t="str">
        <f t="array" ref="C9">IF($Y9=0,"",MIN(IF(('Finance Procurement'!$H$5:$H$28&lt;&gt;"")*('Finance Procurement'!$H$5:$H$28&lt;&gt;"N/A"),'Finance Procurement'!$H$5:$H$28+0)))</f>
        <v/>
      </c>
      <c r="D9" s="11" t="str">
        <f>IF(B9="","",_TECH_Dependency_Map!$B$27*B9+(1-_TECH_Dependency_Map!$B$27)*C9)</f>
        <v/>
      </c>
      <c r="E9" s="11" t="str">
        <f>IF(COUNT(AA9:AB9)=0,"",MIN(AA9:AB9))</f>
        <v/>
      </c>
      <c r="F9" s="11">
        <f>IF(AND(E9&lt;&gt;"",E9&lt;_TECH_Dependency_Map!$B$30),1,0)</f>
        <v>0</v>
      </c>
      <c r="G9" s="11" t="str">
        <f>IF(B9="","",IF(F9=1,MIN(D9,_TECH_Dependency_Map!$B$31),D9))</f>
        <v/>
      </c>
      <c r="H9" s="11">
        <f>1+MIN(_TECH_Dependency_Map!$B$32,IFERROR(VLOOKUP('Company Profile'!$B$57,_TECH_Dependency_Map!$E$27:$F$33,2,FALSE),0)+IFERROR(VLOOKUP('Company Profile'!$B$59,_TECH_Dependency_Map!$K$27:$L$33,2,FALSE),0))</f>
        <v>1.3</v>
      </c>
      <c r="I9" s="11">
        <f t="shared" si="0"/>
        <v>0</v>
      </c>
      <c r="J9" s="11">
        <f t="shared" si="1"/>
        <v>0</v>
      </c>
      <c r="K9" s="11">
        <f>SUMPRODUCT(_TECH_Dependency_Map!G$4:G$20,$J$5:$J$21)</f>
        <v>0</v>
      </c>
      <c r="L9" s="11">
        <f>_TECH_Dependency_Map!$B$28*K9</f>
        <v>0</v>
      </c>
      <c r="M9" s="11">
        <f t="shared" si="2"/>
        <v>0</v>
      </c>
      <c r="N9" s="11" t="str">
        <f t="shared" si="3"/>
        <v/>
      </c>
      <c r="O9" t="str">
        <f t="shared" si="4"/>
        <v/>
      </c>
      <c r="P9" s="11">
        <f>IFERROR(IF(SUMIFS(_TECH_Crisis_Model!$C$5:$C$191,_TECH_Crisis_Model!$A$5:$A$191,'Crisis Simulator'!$B$4,_TECH_Crisis_Model!$B$5:$B$191,A9)=0,1,SUMIFS(_TECH_Crisis_Model!$C$5:$C$191,_TECH_Crisis_Model!$A$5:$A$191,'Crisis Simulator'!$B$4,_TECH_Crisis_Model!$B$5:$B$191,A9)),1)</f>
        <v>1.3</v>
      </c>
      <c r="Q9" s="11">
        <f t="shared" si="5"/>
        <v>0.30000000000000004</v>
      </c>
      <c r="R9" s="11">
        <f>SUMPRODUCT(_TECH_Dependency_Map!G$4:G$20,$Q$5:$Q$21)</f>
        <v>1.19</v>
      </c>
      <c r="S9" s="11">
        <f>MIN(_TECH_Dependency_Map!$B$34,1+('Crisis Simulator'!$B$5/5)*(Q9+_TECH_Dependency_Map!$B$29*R9))</f>
        <v>1.5369999999999999</v>
      </c>
      <c r="T9" s="11">
        <f t="shared" si="6"/>
        <v>0</v>
      </c>
      <c r="U9" s="11" t="str">
        <f t="shared" si="7"/>
        <v/>
      </c>
      <c r="V9" s="11" t="str">
        <f t="shared" si="8"/>
        <v/>
      </c>
      <c r="W9" s="11" t="str">
        <f t="shared" si="9"/>
        <v/>
      </c>
      <c r="X9" s="11" t="str">
        <f>IF(B9="","",RANK(T9,$T$5:$T$21)+COUNTIF($T$5:T9,T9)-1)</f>
        <v/>
      </c>
      <c r="Y9">
        <f>SUMPRODUCT(--('Finance Procurement'!$H$5:$H$28&lt;&gt;""),--('Finance Procurement'!$H$5:$H$28&lt;&gt;"N/A"))</f>
        <v>0</v>
      </c>
      <c r="AA9" t="str">
        <f>IF(OR('Finance Procurement'!H7="",'Finance Procurement'!H7="N/A"),"",'Finance Procurement'!H7+0)</f>
        <v/>
      </c>
      <c r="AB9" t="str">
        <f>IF(OR('Finance Procurement'!H12="",'Finance Procurement'!H12="N/A"),"",'Finance Procurement'!H12+0)</f>
        <v/>
      </c>
    </row>
    <row r="10" spans="1:28">
      <c r="A10" t="str">
        <f>Dashboard!$A$10</f>
        <v>Legal Risk</v>
      </c>
      <c r="B10" s="11" t="str">
        <f>IF($Y10=0,"",Dashboard!$H$10)</f>
        <v/>
      </c>
      <c r="C10" s="11" t="str">
        <f t="array" ref="C10">IF($Y10=0,"",MIN(IF(('Legal Risk'!$H$5:$H$24&lt;&gt;"")*('Legal Risk'!$H$5:$H$24&lt;&gt;"N/A"),'Legal Risk'!$H$5:$H$24+0)))</f>
        <v/>
      </c>
      <c r="D10" s="11" t="str">
        <f>IF(B10="","",_TECH_Dependency_Map!$B$27*B10+(1-_TECH_Dependency_Map!$B$27)*C10)</f>
        <v/>
      </c>
      <c r="E10" s="11" t="str">
        <f>IF(COUNT(AA10:AB10)=0,"",MIN(AA10:AB10))</f>
        <v/>
      </c>
      <c r="F10" s="11">
        <f>IF(AND(E10&lt;&gt;"",E10&lt;_TECH_Dependency_Map!$B$30),1,0)</f>
        <v>0</v>
      </c>
      <c r="G10" s="11" t="str">
        <f>IF(B10="","",IF(F10=1,MIN(D10,_TECH_Dependency_Map!$B$31),D10))</f>
        <v/>
      </c>
      <c r="H10" s="11">
        <f>1</f>
        <v>1</v>
      </c>
      <c r="I10" s="11">
        <f t="shared" si="0"/>
        <v>0</v>
      </c>
      <c r="J10" s="11">
        <f t="shared" si="1"/>
        <v>0</v>
      </c>
      <c r="K10" s="11">
        <f>SUMPRODUCT(_TECH_Dependency_Map!H$4:H$20,$J$5:$J$21)</f>
        <v>0</v>
      </c>
      <c r="L10" s="11">
        <f>_TECH_Dependency_Map!$B$28*K10</f>
        <v>0</v>
      </c>
      <c r="M10" s="11">
        <f t="shared" si="2"/>
        <v>0</v>
      </c>
      <c r="N10" s="11" t="str">
        <f t="shared" si="3"/>
        <v/>
      </c>
      <c r="O10" t="str">
        <f t="shared" si="4"/>
        <v/>
      </c>
      <c r="P10" s="11">
        <f>IFERROR(IF(SUMIFS(_TECH_Crisis_Model!$C$5:$C$191,_TECH_Crisis_Model!$A$5:$A$191,'Crisis Simulator'!$B$4,_TECH_Crisis_Model!$B$5:$B$191,A10)=0,1,SUMIFS(_TECH_Crisis_Model!$C$5:$C$191,_TECH_Crisis_Model!$A$5:$A$191,'Crisis Simulator'!$B$4,_TECH_Crisis_Model!$B$5:$B$191,A10)),1)</f>
        <v>1.4</v>
      </c>
      <c r="Q10" s="11">
        <f t="shared" si="5"/>
        <v>0.39999999999999991</v>
      </c>
      <c r="R10" s="11">
        <f>SUMPRODUCT(_TECH_Dependency_Map!H$4:H$20,$Q$5:$Q$21)</f>
        <v>0.28000000000000003</v>
      </c>
      <c r="S10" s="11">
        <f>MIN(_TECH_Dependency_Map!$B$34,1+('Crisis Simulator'!$B$5/5)*(Q10+_TECH_Dependency_Map!$B$29*R10))</f>
        <v>1.3239999999999998</v>
      </c>
      <c r="T10" s="11">
        <f t="shared" si="6"/>
        <v>0</v>
      </c>
      <c r="U10" s="11" t="str">
        <f t="shared" si="7"/>
        <v/>
      </c>
      <c r="V10" s="11" t="str">
        <f t="shared" si="8"/>
        <v/>
      </c>
      <c r="W10" s="11" t="str">
        <f t="shared" si="9"/>
        <v/>
      </c>
      <c r="X10" s="11" t="str">
        <f>IF(B10="","",RANK(T10,$T$5:$T$21)+COUNTIF($T$5:T10,T10)-1)</f>
        <v/>
      </c>
      <c r="Y10">
        <f>SUMPRODUCT(--('Legal Risk'!$H$5:$H$24&lt;&gt;""),--('Legal Risk'!$H$5:$H$24&lt;&gt;"N/A"))</f>
        <v>0</v>
      </c>
      <c r="AA10" t="str">
        <f>IF(OR('Legal Risk'!H5="",'Legal Risk'!H5="N/A"),"",'Legal Risk'!H5+0)</f>
        <v/>
      </c>
      <c r="AB10" t="str">
        <f>IF(OR('Legal Risk'!H18="",'Legal Risk'!H18="N/A"),"",'Legal Risk'!H18+0)</f>
        <v/>
      </c>
    </row>
    <row r="11" spans="1:28">
      <c r="A11" t="str">
        <f>Dashboard!$A$11</f>
        <v>Physical Safety</v>
      </c>
      <c r="B11" s="11" t="str">
        <f>IF($Y11=0,"",Dashboard!$H$11)</f>
        <v/>
      </c>
      <c r="C11" s="11" t="str">
        <f t="array" ref="C11">IF($Y11=0,"",MIN(IF(('Physical Safety'!$H$5:$H$32&lt;&gt;"")*('Physical Safety'!$H$5:$H$32&lt;&gt;"N/A"),'Physical Safety'!$H$5:$H$32+0)))</f>
        <v/>
      </c>
      <c r="D11" s="11" t="str">
        <f>IF(B11="","",_TECH_Dependency_Map!$B$27*B11+(1-_TECH_Dependency_Map!$B$27)*C11)</f>
        <v/>
      </c>
      <c r="E11" s="11" t="str">
        <f>IF(COUNT(AA11:AB11)=0,"",MIN(AA11:AB11))</f>
        <v/>
      </c>
      <c r="F11" s="11">
        <f>IF(AND(E11&lt;&gt;"",E11&lt;_TECH_Dependency_Map!$B$30),1,0)</f>
        <v>0</v>
      </c>
      <c r="G11" s="11" t="str">
        <f>IF(B11="","",IF(F11=1,MIN(D11,_TECH_Dependency_Map!$B$31),D11))</f>
        <v/>
      </c>
      <c r="H11" s="11">
        <f>1+MIN(_TECH_Dependency_Map!$B$32,MAX(IFERROR(VLOOKUP('Company Profile'!$B$74,_TECH_Dependency_Map!$H$27:$I$32,2,FALSE),0),IFERROR(VLOOKUP('Company Profile'!$B$75,_TECH_Dependency_Map!$H$27:$I$32,2,FALSE),0)))</f>
        <v>1.4</v>
      </c>
      <c r="I11" s="11">
        <f t="shared" si="0"/>
        <v>0</v>
      </c>
      <c r="J11" s="11">
        <f t="shared" si="1"/>
        <v>0</v>
      </c>
      <c r="K11" s="11">
        <f>SUMPRODUCT(_TECH_Dependency_Map!I$4:I$20,$J$5:$J$21)</f>
        <v>0</v>
      </c>
      <c r="L11" s="11">
        <f>_TECH_Dependency_Map!$B$28*K11</f>
        <v>0</v>
      </c>
      <c r="M11" s="11">
        <f t="shared" si="2"/>
        <v>0</v>
      </c>
      <c r="N11" s="11" t="str">
        <f t="shared" si="3"/>
        <v/>
      </c>
      <c r="O11" t="str">
        <f t="shared" si="4"/>
        <v/>
      </c>
      <c r="P11" s="11">
        <f>IFERROR(IF(SUMIFS(_TECH_Crisis_Model!$C$5:$C$191,_TECH_Crisis_Model!$A$5:$A$191,'Crisis Simulator'!$B$4,_TECH_Crisis_Model!$B$5:$B$191,A11)=0,1,SUMIFS(_TECH_Crisis_Model!$C$5:$C$191,_TECH_Crisis_Model!$A$5:$A$191,'Crisis Simulator'!$B$4,_TECH_Crisis_Model!$B$5:$B$191,A11)),1)</f>
        <v>2</v>
      </c>
      <c r="Q11" s="11">
        <f t="shared" si="5"/>
        <v>1</v>
      </c>
      <c r="R11" s="11">
        <f>SUMPRODUCT(_TECH_Dependency_Map!I$4:I$20,$Q$5:$Q$21)</f>
        <v>0.48000000000000004</v>
      </c>
      <c r="S11" s="11">
        <f>MIN(_TECH_Dependency_Map!$B$34,1+('Crisis Simulator'!$B$5/5)*(Q11+_TECH_Dependency_Map!$B$29*R11))</f>
        <v>1.744</v>
      </c>
      <c r="T11" s="11">
        <f t="shared" si="6"/>
        <v>0</v>
      </c>
      <c r="U11" s="11" t="str">
        <f t="shared" si="7"/>
        <v/>
      </c>
      <c r="V11" s="11" t="str">
        <f t="shared" si="8"/>
        <v/>
      </c>
      <c r="W11" s="11" t="str">
        <f t="shared" si="9"/>
        <v/>
      </c>
      <c r="X11" s="11" t="str">
        <f>IF(B11="","",RANK(T11,$T$5:$T$21)+COUNTIF($T$5:T11,T11)-1)</f>
        <v/>
      </c>
      <c r="Y11">
        <f>SUMPRODUCT(--('Physical Safety'!$H$5:$H$32&lt;&gt;""),--('Physical Safety'!$H$5:$H$32&lt;&gt;"N/A"))</f>
        <v>0</v>
      </c>
      <c r="AA11" t="str">
        <f>IF(OR('Physical Safety'!H17="",'Physical Safety'!H17="N/A"),"",'Physical Safety'!H17+0)</f>
        <v/>
      </c>
      <c r="AB11" t="str">
        <f>IF(OR('Physical Safety'!H18="",'Physical Safety'!H18="N/A"),"",'Physical Safety'!H18+0)</f>
        <v/>
      </c>
    </row>
    <row r="12" spans="1:28">
      <c r="A12" t="str">
        <f>Dashboard!$A$12</f>
        <v>Delivery Ops</v>
      </c>
      <c r="B12" s="11" t="str">
        <f>IF($Y12=0,"",Dashboard!$H$12)</f>
        <v/>
      </c>
      <c r="C12" s="11" t="str">
        <f t="array" ref="C12">IF($Y12=0,"",MIN(IF(('Delivery Ops'!$H$5:$H$28&lt;&gt;"")*('Delivery Ops'!$H$5:$H$28&lt;&gt;"N/A"),'Delivery Ops'!$H$5:$H$28+0)))</f>
        <v/>
      </c>
      <c r="D12" s="11" t="str">
        <f>IF(B12="","",_TECH_Dependency_Map!$B$27*B12+(1-_TECH_Dependency_Map!$B$27)*C12)</f>
        <v/>
      </c>
      <c r="E12" s="11"/>
      <c r="F12" s="11">
        <f>IF(AND(E12&lt;&gt;"",E12&lt;_TECH_Dependency_Map!$B$30),1,0)</f>
        <v>0</v>
      </c>
      <c r="G12" s="11" t="str">
        <f>IF(B12="","",IF(F12=1,MIN(D12,_TECH_Dependency_Map!$B$31),D12))</f>
        <v/>
      </c>
      <c r="H12" s="11">
        <f>1+MIN(_TECH_Dependency_Map!$B$32,IFERROR(VLOOKUP('Company Profile'!$B$57,_TECH_Dependency_Map!$E$27:$F$33,2,FALSE),0)+IFERROR(VLOOKUP('Company Profile'!$B$59,_TECH_Dependency_Map!$K$27:$L$33,2,FALSE),0))</f>
        <v>1.3</v>
      </c>
      <c r="I12" s="11">
        <f t="shared" si="0"/>
        <v>0</v>
      </c>
      <c r="J12" s="11">
        <f t="shared" si="1"/>
        <v>0</v>
      </c>
      <c r="K12" s="11">
        <f>SUMPRODUCT(_TECH_Dependency_Map!J$4:J$20,$J$5:$J$21)</f>
        <v>0</v>
      </c>
      <c r="L12" s="11">
        <f>_TECH_Dependency_Map!$B$28*K12</f>
        <v>0</v>
      </c>
      <c r="M12" s="11">
        <f t="shared" si="2"/>
        <v>0</v>
      </c>
      <c r="N12" s="11" t="str">
        <f t="shared" si="3"/>
        <v/>
      </c>
      <c r="O12" t="str">
        <f t="shared" si="4"/>
        <v/>
      </c>
      <c r="P12" s="11">
        <f>IFERROR(IF(SUMIFS(_TECH_Crisis_Model!$C$5:$C$191,_TECH_Crisis_Model!$A$5:$A$191,'Crisis Simulator'!$B$4,_TECH_Crisis_Model!$B$5:$B$191,A12)=0,1,SUMIFS(_TECH_Crisis_Model!$C$5:$C$191,_TECH_Crisis_Model!$A$5:$A$191,'Crisis Simulator'!$B$4,_TECH_Crisis_Model!$B$5:$B$191,A12)),1)</f>
        <v>1.7</v>
      </c>
      <c r="Q12" s="11">
        <f t="shared" si="5"/>
        <v>0.7</v>
      </c>
      <c r="R12" s="11">
        <f>SUMPRODUCT(_TECH_Dependency_Map!J$4:J$20,$Q$5:$Q$21)</f>
        <v>2.42</v>
      </c>
      <c r="S12" s="11">
        <f>MIN(_TECH_Dependency_Map!$B$34,1+('Crisis Simulator'!$B$5/5)*(Q12+_TECH_Dependency_Map!$B$29*R12))</f>
        <v>2</v>
      </c>
      <c r="T12" s="11">
        <f t="shared" si="6"/>
        <v>0</v>
      </c>
      <c r="U12" s="11" t="str">
        <f t="shared" si="7"/>
        <v/>
      </c>
      <c r="V12" s="11" t="str">
        <f t="shared" si="8"/>
        <v/>
      </c>
      <c r="W12" s="11" t="str">
        <f t="shared" si="9"/>
        <v/>
      </c>
      <c r="X12" s="11" t="str">
        <f>IF(B12="","",RANK(T12,$T$5:$T$21)+COUNTIF($T$5:T12,T12)-1)</f>
        <v/>
      </c>
      <c r="Y12">
        <f>SUMPRODUCT(--('Delivery Ops'!$H$5:$H$28&lt;&gt;""),--('Delivery Ops'!$H$5:$H$28&lt;&gt;"N/A"))</f>
        <v>0</v>
      </c>
    </row>
    <row r="13" spans="1:28">
      <c r="A13" t="str">
        <f>Dashboard!$A$13</f>
        <v>Supply Chain</v>
      </c>
      <c r="B13" s="11" t="str">
        <f>IF($Y13=0,"",Dashboard!$H$13)</f>
        <v/>
      </c>
      <c r="C13" s="11" t="str">
        <f t="array" ref="C13">IF($Y13=0,"",MIN(IF(('Supply Chain'!$H$5:$H$29&lt;&gt;"")*('Supply Chain'!$H$5:$H$29&lt;&gt;"N/A"),'Supply Chain'!$H$5:$H$29+0)))</f>
        <v/>
      </c>
      <c r="D13" s="11" t="str">
        <f>IF(B13="","",_TECH_Dependency_Map!$B$27*B13+(1-_TECH_Dependency_Map!$B$27)*C13)</f>
        <v/>
      </c>
      <c r="E13" s="11" t="str">
        <f>IF(COUNT(AA13:AB13)=0,"",MIN(AA13:AB13))</f>
        <v/>
      </c>
      <c r="F13" s="11">
        <f>IF(AND(E13&lt;&gt;"",E13&lt;_TECH_Dependency_Map!$B$30),1,0)</f>
        <v>0</v>
      </c>
      <c r="G13" s="11" t="str">
        <f>IF(B13="","",IF(F13=1,MIN(D13,_TECH_Dependency_Map!$B$31),D13))</f>
        <v/>
      </c>
      <c r="H13" s="11">
        <f>1+MIN(_TECH_Dependency_Map!$B$32,IFERROR(VLOOKUP('Company Profile'!$B$57,_TECH_Dependency_Map!$E$27:$F$33,2,FALSE),0)+IFERROR(VLOOKUP('Company Profile'!$B$59,_TECH_Dependency_Map!$K$27:$L$33,2,FALSE),0))</f>
        <v>1.3</v>
      </c>
      <c r="I13" s="11">
        <f t="shared" si="0"/>
        <v>0</v>
      </c>
      <c r="J13" s="11">
        <f t="shared" si="1"/>
        <v>0</v>
      </c>
      <c r="K13" s="11">
        <f>SUMPRODUCT(_TECH_Dependency_Map!K$4:K$20,$J$5:$J$21)</f>
        <v>0</v>
      </c>
      <c r="L13" s="11">
        <f>_TECH_Dependency_Map!$B$28*K13</f>
        <v>0</v>
      </c>
      <c r="M13" s="11">
        <f t="shared" si="2"/>
        <v>0</v>
      </c>
      <c r="N13" s="11" t="str">
        <f t="shared" si="3"/>
        <v/>
      </c>
      <c r="O13" t="str">
        <f t="shared" si="4"/>
        <v/>
      </c>
      <c r="P13" s="11">
        <f>IFERROR(IF(SUMIFS(_TECH_Crisis_Model!$C$5:$C$191,_TECH_Crisis_Model!$A$5:$A$191,'Crisis Simulator'!$B$4,_TECH_Crisis_Model!$B$5:$B$191,A13)=0,1,SUMIFS(_TECH_Crisis_Model!$C$5:$C$191,_TECH_Crisis_Model!$A$5:$A$191,'Crisis Simulator'!$B$4,_TECH_Crisis_Model!$B$5:$B$191,A13)),1)</f>
        <v>1.7</v>
      </c>
      <c r="Q13" s="11">
        <f t="shared" si="5"/>
        <v>0.7</v>
      </c>
      <c r="R13" s="11">
        <f>SUMPRODUCT(_TECH_Dependency_Map!K$4:K$20,$Q$5:$Q$21)</f>
        <v>0.42000000000000004</v>
      </c>
      <c r="S13" s="11">
        <f>MIN(_TECH_Dependency_Map!$B$34,1+('Crisis Simulator'!$B$5/5)*(Q13+_TECH_Dependency_Map!$B$29*R13))</f>
        <v>1.5459999999999998</v>
      </c>
      <c r="T13" s="11">
        <f t="shared" si="6"/>
        <v>0</v>
      </c>
      <c r="U13" s="11" t="str">
        <f t="shared" si="7"/>
        <v/>
      </c>
      <c r="V13" s="11" t="str">
        <f t="shared" si="8"/>
        <v/>
      </c>
      <c r="W13" s="11" t="str">
        <f t="shared" si="9"/>
        <v/>
      </c>
      <c r="X13" s="11" t="str">
        <f>IF(B13="","",RANK(T13,$T$5:$T$21)+COUNTIF($T$5:T13,T13)-1)</f>
        <v/>
      </c>
      <c r="Y13">
        <f>SUMPRODUCT(--('Supply Chain'!$H$5:$H$29&lt;&gt;""),--('Supply Chain'!$H$5:$H$29&lt;&gt;"N/A"))</f>
        <v>0</v>
      </c>
      <c r="AA13" t="str">
        <f>IF(OR('Supply Chain'!H9="",'Supply Chain'!H9="N/A"),"",'Supply Chain'!H9+0)</f>
        <v/>
      </c>
      <c r="AB13" t="str">
        <f>IF(OR('Supply Chain'!H10="",'Supply Chain'!H10="N/A"),"",'Supply Chain'!H10+0)</f>
        <v/>
      </c>
    </row>
    <row r="14" spans="1:28">
      <c r="A14" t="str">
        <f>Dashboard!$A$14</f>
        <v>Manufacturing MES</v>
      </c>
      <c r="B14" s="11" t="str">
        <f>IF($Y14=0,"",Dashboard!$H$14)</f>
        <v/>
      </c>
      <c r="C14" s="11" t="str">
        <f t="array" ref="C14">IF($Y14=0,"",MIN(IF(('Manufacturing MES'!$H$5:$H$32&lt;&gt;"")*('Manufacturing MES'!$H$5:$H$32&lt;&gt;"N/A"),'Manufacturing MES'!$H$5:$H$32+0)))</f>
        <v/>
      </c>
      <c r="D14" s="11" t="str">
        <f>IF(B14="","",_TECH_Dependency_Map!$B$27*B14+(1-_TECH_Dependency_Map!$B$27)*C14)</f>
        <v/>
      </c>
      <c r="E14" s="11"/>
      <c r="F14" s="11">
        <f>IF(AND(E14&lt;&gt;"",E14&lt;_TECH_Dependency_Map!$B$30),1,0)</f>
        <v>0</v>
      </c>
      <c r="G14" s="11" t="str">
        <f>IF(B14="","",IF(F14=1,MIN(D14,_TECH_Dependency_Map!$B$31),D14))</f>
        <v/>
      </c>
      <c r="H14" s="11">
        <f>1+MIN(_TECH_Dependency_Map!$B$32,IFERROR(VLOOKUP('Company Profile'!$B$57,_TECH_Dependency_Map!$E$27:$F$33,2,FALSE),0)+IFERROR(VLOOKUP('Company Profile'!$B$59,_TECH_Dependency_Map!$K$27:$L$33,2,FALSE),0))</f>
        <v>1.3</v>
      </c>
      <c r="I14" s="11">
        <f t="shared" si="0"/>
        <v>0</v>
      </c>
      <c r="J14" s="11">
        <f t="shared" si="1"/>
        <v>0</v>
      </c>
      <c r="K14" s="11">
        <f>SUMPRODUCT(_TECH_Dependency_Map!L$4:L$20,$J$5:$J$21)</f>
        <v>0</v>
      </c>
      <c r="L14" s="11">
        <f>_TECH_Dependency_Map!$B$28*K14</f>
        <v>0</v>
      </c>
      <c r="M14" s="11">
        <f t="shared" si="2"/>
        <v>0</v>
      </c>
      <c r="N14" s="11" t="str">
        <f t="shared" si="3"/>
        <v/>
      </c>
      <c r="O14" t="str">
        <f t="shared" si="4"/>
        <v/>
      </c>
      <c r="P14" s="11">
        <f>IFERROR(IF(SUMIFS(_TECH_Crisis_Model!$C$5:$C$191,_TECH_Crisis_Model!$A$5:$A$191,'Crisis Simulator'!$B$4,_TECH_Crisis_Model!$B$5:$B$191,A14)=0,1,SUMIFS(_TECH_Crisis_Model!$C$5:$C$191,_TECH_Crisis_Model!$A$5:$A$191,'Crisis Simulator'!$B$4,_TECH_Crisis_Model!$B$5:$B$191,A14)),1)</f>
        <v>1.4</v>
      </c>
      <c r="Q14" s="11">
        <f t="shared" si="5"/>
        <v>0.39999999999999991</v>
      </c>
      <c r="R14" s="11">
        <f>SUMPRODUCT(_TECH_Dependency_Map!L$4:L$20,$Q$5:$Q$21)</f>
        <v>2.12</v>
      </c>
      <c r="S14" s="11">
        <f>MIN(_TECH_Dependency_Map!$B$34,1+('Crisis Simulator'!$B$5/5)*(Q14+_TECH_Dependency_Map!$B$29*R14))</f>
        <v>1.8759999999999999</v>
      </c>
      <c r="T14" s="11">
        <f t="shared" si="6"/>
        <v>0</v>
      </c>
      <c r="U14" s="11" t="str">
        <f t="shared" si="7"/>
        <v/>
      </c>
      <c r="V14" s="11" t="str">
        <f t="shared" si="8"/>
        <v/>
      </c>
      <c r="W14" s="11" t="str">
        <f t="shared" si="9"/>
        <v/>
      </c>
      <c r="X14" s="11" t="str">
        <f>IF(B14="","",RANK(T14,$T$5:$T$21)+COUNTIF($T$5:T14,T14)-1)</f>
        <v/>
      </c>
      <c r="Y14">
        <f>SUMPRODUCT(--('Manufacturing MES'!$H$5:$H$32&lt;&gt;""),--('Manufacturing MES'!$H$5:$H$32&lt;&gt;"N/A"))</f>
        <v>0</v>
      </c>
    </row>
    <row r="15" spans="1:28">
      <c r="A15" t="str">
        <f>Dashboard!$A$15</f>
        <v>Sales CRM</v>
      </c>
      <c r="B15" s="11" t="str">
        <f>IF($Y15=0,"",Dashboard!$H$15)</f>
        <v/>
      </c>
      <c r="C15" s="11" t="str">
        <f t="array" ref="C15">IF($Y15=0,"",MIN(IF(('Sales CRM'!$H$5:$H$25&lt;&gt;"")*('Sales CRM'!$H$5:$H$25&lt;&gt;"N/A"),'Sales CRM'!$H$5:$H$25+0)))</f>
        <v/>
      </c>
      <c r="D15" s="11" t="str">
        <f>IF(B15="","",_TECH_Dependency_Map!$B$27*B15+(1-_TECH_Dependency_Map!$B$27)*C15)</f>
        <v/>
      </c>
      <c r="E15" s="11"/>
      <c r="F15" s="11">
        <f>IF(AND(E15&lt;&gt;"",E15&lt;_TECH_Dependency_Map!$B$30),1,0)</f>
        <v>0</v>
      </c>
      <c r="G15" s="11" t="str">
        <f>IF(B15="","",IF(F15=1,MIN(D15,_TECH_Dependency_Map!$B$31),D15))</f>
        <v/>
      </c>
      <c r="H15" s="11">
        <f>1+MIN(_TECH_Dependency_Map!$B$32,IFERROR(VLOOKUP('Company Profile'!$B$54,_TECH_Dependency_Map!$E$27:$F$33,2,FALSE),0))</f>
        <v>1.1000000000000001</v>
      </c>
      <c r="I15" s="11">
        <f t="shared" si="0"/>
        <v>0</v>
      </c>
      <c r="J15" s="11">
        <f t="shared" si="1"/>
        <v>0</v>
      </c>
      <c r="K15" s="11">
        <f>SUMPRODUCT(_TECH_Dependency_Map!M$4:M$20,$J$5:$J$21)</f>
        <v>0</v>
      </c>
      <c r="L15" s="11">
        <f>_TECH_Dependency_Map!$B$28*K15</f>
        <v>0</v>
      </c>
      <c r="M15" s="11">
        <f t="shared" si="2"/>
        <v>0</v>
      </c>
      <c r="N15" s="11" t="str">
        <f t="shared" si="3"/>
        <v/>
      </c>
      <c r="O15" t="str">
        <f t="shared" si="4"/>
        <v/>
      </c>
      <c r="P15" s="11">
        <f>IFERROR(IF(SUMIFS(_TECH_Crisis_Model!$C$5:$C$191,_TECH_Crisis_Model!$A$5:$A$191,'Crisis Simulator'!$B$4,_TECH_Crisis_Model!$B$5:$B$191,A15)=0,1,SUMIFS(_TECH_Crisis_Model!$C$5:$C$191,_TECH_Crisis_Model!$A$5:$A$191,'Crisis Simulator'!$B$4,_TECH_Crisis_Model!$B$5:$B$191,A15)),1)</f>
        <v>1</v>
      </c>
      <c r="Q15" s="11">
        <f t="shared" si="5"/>
        <v>0</v>
      </c>
      <c r="R15" s="11">
        <f>SUMPRODUCT(_TECH_Dependency_Map!M$4:M$20,$Q$5:$Q$21)</f>
        <v>1.5999999999999996</v>
      </c>
      <c r="S15" s="11">
        <f>MIN(_TECH_Dependency_Map!$B$34,1+('Crisis Simulator'!$B$5/5)*(Q15+_TECH_Dependency_Map!$B$29*R15))</f>
        <v>1.48</v>
      </c>
      <c r="T15" s="11">
        <f t="shared" si="6"/>
        <v>0</v>
      </c>
      <c r="U15" s="11" t="str">
        <f t="shared" si="7"/>
        <v/>
      </c>
      <c r="V15" s="11" t="str">
        <f t="shared" si="8"/>
        <v/>
      </c>
      <c r="W15" s="11" t="str">
        <f t="shared" si="9"/>
        <v/>
      </c>
      <c r="X15" s="11" t="str">
        <f>IF(B15="","",RANK(T15,$T$5:$T$21)+COUNTIF($T$5:T15,T15)-1)</f>
        <v/>
      </c>
      <c r="Y15">
        <f>SUMPRODUCT(--('Sales CRM'!$H$5:$H$25&lt;&gt;""),--('Sales CRM'!$H$5:$H$25&lt;&gt;"N/A"))</f>
        <v>0</v>
      </c>
    </row>
    <row r="16" spans="1:28">
      <c r="A16" t="str">
        <f>Dashboard!$A$16</f>
        <v>Marketing Comms</v>
      </c>
      <c r="B16" s="11" t="str">
        <f>IF($Y16=0,"",Dashboard!$H$16)</f>
        <v/>
      </c>
      <c r="C16" s="11" t="str">
        <f t="array" ref="C16">IF($Y16=0,"",MIN(IF(('Marketing Comms'!$H$5:$H$21&lt;&gt;"")*('Marketing Comms'!$H$5:$H$21&lt;&gt;"N/A"),'Marketing Comms'!$H$5:$H$21+0)))</f>
        <v/>
      </c>
      <c r="D16" s="11" t="str">
        <f>IF(B16="","",_TECH_Dependency_Map!$B$27*B16+(1-_TECH_Dependency_Map!$B$27)*C16)</f>
        <v/>
      </c>
      <c r="E16" s="11"/>
      <c r="F16" s="11">
        <f>IF(AND(E16&lt;&gt;"",E16&lt;_TECH_Dependency_Map!$B$30),1,0)</f>
        <v>0</v>
      </c>
      <c r="G16" s="11" t="str">
        <f>IF(B16="","",IF(F16=1,MIN(D16,_TECH_Dependency_Map!$B$31),D16))</f>
        <v/>
      </c>
      <c r="H16" s="11">
        <f>1+MIN(_TECH_Dependency_Map!$B$32,IFERROR(VLOOKUP('Company Profile'!$B$54,_TECH_Dependency_Map!$E$27:$F$33,2,FALSE),0))</f>
        <v>1.1000000000000001</v>
      </c>
      <c r="I16" s="11">
        <f t="shared" si="0"/>
        <v>0</v>
      </c>
      <c r="J16" s="11">
        <f t="shared" si="1"/>
        <v>0</v>
      </c>
      <c r="K16" s="11">
        <f>SUMPRODUCT(_TECH_Dependency_Map!N$4:N$20,$J$5:$J$21)</f>
        <v>0</v>
      </c>
      <c r="L16" s="11">
        <f>_TECH_Dependency_Map!$B$28*K16</f>
        <v>0</v>
      </c>
      <c r="M16" s="11">
        <f t="shared" si="2"/>
        <v>0</v>
      </c>
      <c r="N16" s="11" t="str">
        <f t="shared" si="3"/>
        <v/>
      </c>
      <c r="O16" t="str">
        <f t="shared" si="4"/>
        <v/>
      </c>
      <c r="P16" s="11">
        <f>IFERROR(IF(SUMIFS(_TECH_Crisis_Model!$C$5:$C$191,_TECH_Crisis_Model!$A$5:$A$191,'Crisis Simulator'!$B$4,_TECH_Crisis_Model!$B$5:$B$191,A16)=0,1,SUMIFS(_TECH_Crisis_Model!$C$5:$C$191,_TECH_Crisis_Model!$A$5:$A$191,'Crisis Simulator'!$B$4,_TECH_Crisis_Model!$B$5:$B$191,A16)),1)</f>
        <v>1.2</v>
      </c>
      <c r="Q16" s="11">
        <f t="shared" si="5"/>
        <v>0.19999999999999996</v>
      </c>
      <c r="R16" s="11">
        <f>SUMPRODUCT(_TECH_Dependency_Map!N$4:N$20,$Q$5:$Q$21)</f>
        <v>0.53999999999999992</v>
      </c>
      <c r="S16" s="11">
        <f>MIN(_TECH_Dependency_Map!$B$34,1+('Crisis Simulator'!$B$5/5)*(Q16+_TECH_Dependency_Map!$B$29*R16))</f>
        <v>1.282</v>
      </c>
      <c r="T16" s="11">
        <f t="shared" si="6"/>
        <v>0</v>
      </c>
      <c r="U16" s="11" t="str">
        <f t="shared" si="7"/>
        <v/>
      </c>
      <c r="V16" s="11" t="str">
        <f t="shared" si="8"/>
        <v/>
      </c>
      <c r="W16" s="11" t="str">
        <f t="shared" si="9"/>
        <v/>
      </c>
      <c r="X16" s="11" t="str">
        <f>IF(B16="","",RANK(T16,$T$5:$T$21)+COUNTIF($T$5:T16,T16)-1)</f>
        <v/>
      </c>
      <c r="Y16">
        <f>SUMPRODUCT(--('Marketing Comms'!$H$5:$H$21&lt;&gt;""),--('Marketing Comms'!$H$5:$H$21&lt;&gt;"N/A"))</f>
        <v>0</v>
      </c>
    </row>
    <row r="17" spans="1:29">
      <c r="A17" t="str">
        <f>Dashboard!$A$17</f>
        <v>IT Cloud DR</v>
      </c>
      <c r="B17" s="11" t="str">
        <f>IF($Y17=0,"",Dashboard!$H$17)</f>
        <v/>
      </c>
      <c r="C17" s="11" t="str">
        <f t="array" ref="C17">IF($Y17=0,"",MIN(IF(('IT Cloud DR'!$H$5:$H$33&lt;&gt;"")*('IT Cloud DR'!$H$5:$H$33&lt;&gt;"N/A"),'IT Cloud DR'!$H$5:$H$33+0)))</f>
        <v/>
      </c>
      <c r="D17" s="11" t="str">
        <f>IF(B17="","",_TECH_Dependency_Map!$B$27*B17+(1-_TECH_Dependency_Map!$B$27)*C17)</f>
        <v/>
      </c>
      <c r="E17" s="11" t="str">
        <f>IF(COUNT(AA17:AB17)=0,"",MIN(AA17:AB17))</f>
        <v/>
      </c>
      <c r="F17" s="11">
        <f>IF(AND(E17&lt;&gt;"",E17&lt;_TECH_Dependency_Map!$B$30),1,0)</f>
        <v>0</v>
      </c>
      <c r="G17" s="11" t="str">
        <f>IF(B17="","",IF(F17=1,MIN(D17,_TECH_Dependency_Map!$B$31),D17))</f>
        <v/>
      </c>
      <c r="H17" s="11">
        <f>1</f>
        <v>1</v>
      </c>
      <c r="I17" s="11">
        <f t="shared" si="0"/>
        <v>0</v>
      </c>
      <c r="J17" s="11">
        <f t="shared" si="1"/>
        <v>0</v>
      </c>
      <c r="K17" s="11">
        <f>SUMPRODUCT(_TECH_Dependency_Map!O$4:O$20,$J$5:$J$21)</f>
        <v>0</v>
      </c>
      <c r="L17" s="11">
        <f>_TECH_Dependency_Map!$B$28*K17</f>
        <v>0</v>
      </c>
      <c r="M17" s="11">
        <f t="shared" si="2"/>
        <v>0</v>
      </c>
      <c r="N17" s="11" t="str">
        <f t="shared" si="3"/>
        <v/>
      </c>
      <c r="O17" t="str">
        <f t="shared" si="4"/>
        <v/>
      </c>
      <c r="P17" s="11">
        <f>IFERROR(IF(SUMIFS(_TECH_Crisis_Model!$C$5:$C$191,_TECH_Crisis_Model!$A$5:$A$191,'Crisis Simulator'!$B$4,_TECH_Crisis_Model!$B$5:$B$191,A17)=0,1,SUMIFS(_TECH_Crisis_Model!$C$5:$C$191,_TECH_Crisis_Model!$A$5:$A$191,'Crisis Simulator'!$B$4,_TECH_Crisis_Model!$B$5:$B$191,A17)),1)</f>
        <v>1.7</v>
      </c>
      <c r="Q17" s="11">
        <f t="shared" si="5"/>
        <v>0.7</v>
      </c>
      <c r="R17" s="11">
        <f>SUMPRODUCT(_TECH_Dependency_Map!O$4:O$20,$Q$5:$Q$21)</f>
        <v>0.54</v>
      </c>
      <c r="S17" s="11">
        <f>MIN(_TECH_Dependency_Map!$B$34,1+('Crisis Simulator'!$B$5/5)*(Q17+_TECH_Dependency_Map!$B$29*R17))</f>
        <v>1.5819999999999999</v>
      </c>
      <c r="T17" s="11">
        <f t="shared" si="6"/>
        <v>0</v>
      </c>
      <c r="U17" s="11" t="str">
        <f t="shared" si="7"/>
        <v/>
      </c>
      <c r="V17" s="11" t="str">
        <f t="shared" si="8"/>
        <v/>
      </c>
      <c r="W17" s="11" t="str">
        <f t="shared" si="9"/>
        <v/>
      </c>
      <c r="X17" s="11" t="str">
        <f>IF(B17="","",RANK(T17,$T$5:$T$21)+COUNTIF($T$5:T17,T17)-1)</f>
        <v/>
      </c>
      <c r="Y17">
        <f>SUMPRODUCT(--('IT Cloud DR'!$H$5:$H$33&lt;&gt;""),--('IT Cloud DR'!$H$5:$H$33&lt;&gt;"N/A"))</f>
        <v>0</v>
      </c>
      <c r="AA17" t="str">
        <f>IF(OR('IT Cloud DR'!H17="",'IT Cloud DR'!H17="N/A"),"",'IT Cloud DR'!H17+0)</f>
        <v/>
      </c>
      <c r="AB17" t="str">
        <f>IF(OR('IT Cloud DR'!H18="",'IT Cloud DR'!H18="N/A"),"",'IT Cloud DR'!H18+0)</f>
        <v/>
      </c>
    </row>
    <row r="18" spans="1:29">
      <c r="A18" t="str">
        <f>Dashboard!$A$18</f>
        <v>Business Systems</v>
      </c>
      <c r="B18" s="11" t="str">
        <f>IF($Y18=0,"",Dashboard!$H$18)</f>
        <v/>
      </c>
      <c r="C18" s="11" t="str">
        <f t="array" ref="C18">IF($Y18=0,"",MIN(IF(('Business Systems'!$H$5:$H$27&lt;&gt;"")*('Business Systems'!$H$5:$H$27&lt;&gt;"N/A"),'Business Systems'!$H$5:$H$27+0)))</f>
        <v/>
      </c>
      <c r="D18" s="11" t="str">
        <f>IF(B18="","",_TECH_Dependency_Map!$B$27*B18+(1-_TECH_Dependency_Map!$B$27)*C18)</f>
        <v/>
      </c>
      <c r="E18" s="11"/>
      <c r="F18" s="11">
        <f>IF(AND(E18&lt;&gt;"",E18&lt;_TECH_Dependency_Map!$B$30),1,0)</f>
        <v>0</v>
      </c>
      <c r="G18" s="11" t="str">
        <f>IF(B18="","",IF(F18=1,MIN(D18,_TECH_Dependency_Map!$B$31),D18))</f>
        <v/>
      </c>
      <c r="H18" s="11">
        <f>1</f>
        <v>1</v>
      </c>
      <c r="I18" s="11">
        <f t="shared" si="0"/>
        <v>0</v>
      </c>
      <c r="J18" s="11">
        <f t="shared" si="1"/>
        <v>0</v>
      </c>
      <c r="K18" s="11">
        <f>SUMPRODUCT(_TECH_Dependency_Map!P$4:P$20,$J$5:$J$21)</f>
        <v>0</v>
      </c>
      <c r="L18" s="11">
        <f>_TECH_Dependency_Map!$B$28*K18</f>
        <v>0</v>
      </c>
      <c r="M18" s="11">
        <f t="shared" si="2"/>
        <v>0</v>
      </c>
      <c r="N18" s="11" t="str">
        <f t="shared" si="3"/>
        <v/>
      </c>
      <c r="O18" t="str">
        <f t="shared" si="4"/>
        <v/>
      </c>
      <c r="P18" s="11">
        <f>IFERROR(IF(SUMIFS(_TECH_Crisis_Model!$C$5:$C$191,_TECH_Crisis_Model!$A$5:$A$191,'Crisis Simulator'!$B$4,_TECH_Crisis_Model!$B$5:$B$191,A18)=0,1,SUMIFS(_TECH_Crisis_Model!$C$5:$C$191,_TECH_Crisis_Model!$A$5:$A$191,'Crisis Simulator'!$B$4,_TECH_Crisis_Model!$B$5:$B$191,A18)),1)</f>
        <v>1</v>
      </c>
      <c r="Q18" s="11">
        <f t="shared" si="5"/>
        <v>0</v>
      </c>
      <c r="R18" s="11">
        <f>SUMPRODUCT(_TECH_Dependency_Map!P$4:P$20,$Q$5:$Q$21)</f>
        <v>0.74</v>
      </c>
      <c r="S18" s="11">
        <f>MIN(_TECH_Dependency_Map!$B$34,1+('Crisis Simulator'!$B$5/5)*(Q18+_TECH_Dependency_Map!$B$29*R18))</f>
        <v>1.222</v>
      </c>
      <c r="T18" s="11">
        <f t="shared" si="6"/>
        <v>0</v>
      </c>
      <c r="U18" s="11" t="str">
        <f t="shared" si="7"/>
        <v/>
      </c>
      <c r="V18" s="11" t="str">
        <f t="shared" si="8"/>
        <v/>
      </c>
      <c r="W18" s="11" t="str">
        <f t="shared" si="9"/>
        <v/>
      </c>
      <c r="X18" s="11" t="str">
        <f>IF(B18="","",RANK(T18,$T$5:$T$21)+COUNTIF($T$5:T18,T18)-1)</f>
        <v/>
      </c>
      <c r="Y18">
        <f>SUMPRODUCT(--('Business Systems'!$H$5:$H$27&lt;&gt;""),--('Business Systems'!$H$5:$H$27&lt;&gt;"N/A"))</f>
        <v>0</v>
      </c>
    </row>
    <row r="19" spans="1:29">
      <c r="A19" t="str">
        <f>Dashboard!$A$19</f>
        <v>Data BI AI</v>
      </c>
      <c r="B19" s="11" t="str">
        <f>IF($Y19=0,"",Dashboard!$H$19)</f>
        <v/>
      </c>
      <c r="C19" s="11" t="str">
        <f t="array" ref="C19">IF($Y19=0,"",MIN(IF(('Data BI AI'!$H$5:$H$31&lt;&gt;"")*('Data BI AI'!$H$5:$H$31&lt;&gt;"N/A"),'Data BI AI'!$H$5:$H$31+0)))</f>
        <v/>
      </c>
      <c r="D19" s="11" t="str">
        <f>IF(B19="","",_TECH_Dependency_Map!$B$27*B19+(1-_TECH_Dependency_Map!$B$27)*C19)</f>
        <v/>
      </c>
      <c r="E19" s="11" t="str">
        <f>IF(COUNT(AA19:AA19)=0,"",MIN(AA19:AA19))</f>
        <v/>
      </c>
      <c r="F19" s="11">
        <f>IF(AND(E19&lt;&gt;"",E19&lt;_TECH_Dependency_Map!$B$30),1,0)</f>
        <v>0</v>
      </c>
      <c r="G19" s="11" t="str">
        <f>IF(B19="","",IF(F19=1,MIN(D19,_TECH_Dependency_Map!$B$31),D19))</f>
        <v/>
      </c>
      <c r="H19" s="11">
        <f>1</f>
        <v>1</v>
      </c>
      <c r="I19" s="11">
        <f t="shared" si="0"/>
        <v>0</v>
      </c>
      <c r="J19" s="11">
        <f t="shared" si="1"/>
        <v>0</v>
      </c>
      <c r="K19" s="11">
        <f>SUMPRODUCT(_TECH_Dependency_Map!Q$4:Q$20,$J$5:$J$21)</f>
        <v>0</v>
      </c>
      <c r="L19" s="11">
        <f>_TECH_Dependency_Map!$B$28*K19</f>
        <v>0</v>
      </c>
      <c r="M19" s="11">
        <f t="shared" si="2"/>
        <v>0</v>
      </c>
      <c r="N19" s="11" t="str">
        <f t="shared" si="3"/>
        <v/>
      </c>
      <c r="O19" t="str">
        <f t="shared" si="4"/>
        <v/>
      </c>
      <c r="P19" s="11">
        <f>IFERROR(IF(SUMIFS(_TECH_Crisis_Model!$C$5:$C$191,_TECH_Crisis_Model!$A$5:$A$191,'Crisis Simulator'!$B$4,_TECH_Crisis_Model!$B$5:$B$191,A19)=0,1,SUMIFS(_TECH_Crisis_Model!$C$5:$C$191,_TECH_Crisis_Model!$A$5:$A$191,'Crisis Simulator'!$B$4,_TECH_Crisis_Model!$B$5:$B$191,A19)),1)</f>
        <v>1</v>
      </c>
      <c r="Q19" s="11">
        <f t="shared" si="5"/>
        <v>0</v>
      </c>
      <c r="R19" s="11">
        <f>SUMPRODUCT(_TECH_Dependency_Map!Q$4:Q$20,$Q$5:$Q$21)</f>
        <v>0.66999999999999993</v>
      </c>
      <c r="S19" s="11">
        <f>MIN(_TECH_Dependency_Map!$B$34,1+('Crisis Simulator'!$B$5/5)*(Q19+_TECH_Dependency_Map!$B$29*R19))</f>
        <v>1.2010000000000001</v>
      </c>
      <c r="T19" s="11">
        <f t="shared" si="6"/>
        <v>0</v>
      </c>
      <c r="U19" s="11" t="str">
        <f t="shared" si="7"/>
        <v/>
      </c>
      <c r="V19" s="11" t="str">
        <f t="shared" si="8"/>
        <v/>
      </c>
      <c r="W19" s="11" t="str">
        <f t="shared" si="9"/>
        <v/>
      </c>
      <c r="X19" s="11" t="str">
        <f>IF(B19="","",RANK(T19,$T$5:$T$21)+COUNTIF($T$5:T19,T19)-1)</f>
        <v/>
      </c>
      <c r="Y19">
        <f>SUMPRODUCT(--('Data BI AI'!$H$5:$H$31&lt;&gt;""),--('Data BI AI'!$H$5:$H$31&lt;&gt;"N/A"))</f>
        <v>0</v>
      </c>
      <c r="AA19" t="str">
        <f>IF(OR('Data BI AI'!H14="",'Data BI AI'!H14="N/A"),"",'Data BI AI'!H14+0)</f>
        <v/>
      </c>
    </row>
    <row r="20" spans="1:29">
      <c r="A20" t="str">
        <f>Dashboard!$A$20</f>
        <v>Cyber Privacy</v>
      </c>
      <c r="B20" s="11" t="str">
        <f>IF($Y20=0,"",Dashboard!$H$20)</f>
        <v/>
      </c>
      <c r="C20" s="11" t="str">
        <f t="array" ref="C20">IF($Y20=0,"",MIN(IF(('Cyber Privacy'!$H$5:$H$38&lt;&gt;"")*('Cyber Privacy'!$H$5:$H$38&lt;&gt;"N/A"),'Cyber Privacy'!$H$5:$H$38+0)))</f>
        <v/>
      </c>
      <c r="D20" s="11" t="str">
        <f>IF(B20="","",_TECH_Dependency_Map!$B$27*B20+(1-_TECH_Dependency_Map!$B$27)*C20)</f>
        <v/>
      </c>
      <c r="E20" s="11" t="str">
        <f>IF(COUNT(AA20:AC20)=0,"",MIN(AA20:AC20))</f>
        <v/>
      </c>
      <c r="F20" s="11">
        <f>IF(AND(E20&lt;&gt;"",E20&lt;_TECH_Dependency_Map!$B$30),1,0)</f>
        <v>0</v>
      </c>
      <c r="G20" s="11" t="str">
        <f>IF(B20="","",IF(F20=1,MIN(D20,_TECH_Dependency_Map!$B$31),D20))</f>
        <v/>
      </c>
      <c r="H20" s="11">
        <f>1</f>
        <v>1</v>
      </c>
      <c r="I20" s="11">
        <f t="shared" si="0"/>
        <v>0</v>
      </c>
      <c r="J20" s="11">
        <f t="shared" si="1"/>
        <v>0</v>
      </c>
      <c r="K20" s="11">
        <f>SUMPRODUCT(_TECH_Dependency_Map!R$4:R$20,$J$5:$J$21)</f>
        <v>0</v>
      </c>
      <c r="L20" s="11">
        <f>_TECH_Dependency_Map!$B$28*K20</f>
        <v>0</v>
      </c>
      <c r="M20" s="11">
        <f t="shared" si="2"/>
        <v>0</v>
      </c>
      <c r="N20" s="11" t="str">
        <f t="shared" si="3"/>
        <v/>
      </c>
      <c r="O20" t="str">
        <f t="shared" si="4"/>
        <v/>
      </c>
      <c r="P20" s="11">
        <f>IFERROR(IF(SUMIFS(_TECH_Crisis_Model!$C$5:$C$191,_TECH_Crisis_Model!$A$5:$A$191,'Crisis Simulator'!$B$4,_TECH_Crisis_Model!$B$5:$B$191,A20)=0,1,SUMIFS(_TECH_Crisis_Model!$C$5:$C$191,_TECH_Crisis_Model!$A$5:$A$191,'Crisis Simulator'!$B$4,_TECH_Crisis_Model!$B$5:$B$191,A20)),1)</f>
        <v>1.5</v>
      </c>
      <c r="Q20" s="11">
        <f t="shared" si="5"/>
        <v>0.5</v>
      </c>
      <c r="R20" s="11">
        <f>SUMPRODUCT(_TECH_Dependency_Map!R$4:R$20,$Q$5:$Q$21)</f>
        <v>0</v>
      </c>
      <c r="S20" s="11">
        <f>MIN(_TECH_Dependency_Map!$B$34,1+('Crisis Simulator'!$B$5/5)*(Q20+_TECH_Dependency_Map!$B$29*R20))</f>
        <v>1.3</v>
      </c>
      <c r="T20" s="11">
        <f t="shared" si="6"/>
        <v>0</v>
      </c>
      <c r="U20" s="11" t="str">
        <f t="shared" si="7"/>
        <v/>
      </c>
      <c r="V20" s="11" t="str">
        <f t="shared" si="8"/>
        <v/>
      </c>
      <c r="W20" s="11" t="str">
        <f t="shared" si="9"/>
        <v/>
      </c>
      <c r="X20" s="11" t="str">
        <f>IF(B20="","",RANK(T20,$T$5:$T$21)+COUNTIF($T$5:T20,T20)-1)</f>
        <v/>
      </c>
      <c r="Y20">
        <f>SUMPRODUCT(--('Cyber Privacy'!$H$5:$H$38&lt;&gt;""),--('Cyber Privacy'!$H$5:$H$38&lt;&gt;"N/A"))</f>
        <v>0</v>
      </c>
      <c r="AA20" t="str">
        <f>IF(OR('Cyber Privacy'!H12="",'Cyber Privacy'!H12="N/A"),"",'Cyber Privacy'!H12+0)</f>
        <v/>
      </c>
      <c r="AB20" t="str">
        <f>IF(OR('Cyber Privacy'!H27="",'Cyber Privacy'!H27="N/A"),"",'Cyber Privacy'!H27+0)</f>
        <v/>
      </c>
      <c r="AC20" t="str">
        <f>IF(OR('Cyber Privacy'!H30="",'Cyber Privacy'!H30="N/A"),"",'Cyber Privacy'!H30+0)</f>
        <v/>
      </c>
    </row>
    <row r="21" spans="1:29">
      <c r="A21" t="str">
        <f>Dashboard!$A$21</f>
        <v>Quality Portfolio</v>
      </c>
      <c r="B21" s="11" t="str">
        <f>IF($Y21=0,"",Dashboard!$H$21)</f>
        <v/>
      </c>
      <c r="C21" s="11" t="str">
        <f t="array" ref="C21">IF($Y21=0,"",MIN(IF(('Quality Portfolio'!$H$5:$H$24&lt;&gt;"")*('Quality Portfolio'!$H$5:$H$24&lt;&gt;"N/A"),'Quality Portfolio'!$H$5:$H$24+0)))</f>
        <v/>
      </c>
      <c r="D21" s="11" t="str">
        <f>IF(B21="","",_TECH_Dependency_Map!$B$27*B21+(1-_TECH_Dependency_Map!$B$27)*C21)</f>
        <v/>
      </c>
      <c r="E21" s="11"/>
      <c r="F21" s="11">
        <f>IF(AND(E21&lt;&gt;"",E21&lt;_TECH_Dependency_Map!$B$30),1,0)</f>
        <v>0</v>
      </c>
      <c r="G21" s="11" t="str">
        <f>IF(B21="","",IF(F21=1,MIN(D21,_TECH_Dependency_Map!$B$31),D21))</f>
        <v/>
      </c>
      <c r="H21" s="11">
        <f>1</f>
        <v>1</v>
      </c>
      <c r="I21" s="11">
        <f t="shared" si="0"/>
        <v>0</v>
      </c>
      <c r="J21" s="11">
        <f t="shared" si="1"/>
        <v>0</v>
      </c>
      <c r="K21" s="11">
        <f>SUMPRODUCT(_TECH_Dependency_Map!S$4:S$20,$J$5:$J$21)</f>
        <v>0</v>
      </c>
      <c r="L21" s="11">
        <f>_TECH_Dependency_Map!$B$28*K21</f>
        <v>0</v>
      </c>
      <c r="M21" s="11">
        <f t="shared" si="2"/>
        <v>0</v>
      </c>
      <c r="N21" s="11" t="str">
        <f t="shared" si="3"/>
        <v/>
      </c>
      <c r="O21" t="str">
        <f t="shared" si="4"/>
        <v/>
      </c>
      <c r="P21" s="11">
        <f>IFERROR(IF(SUMIFS(_TECH_Crisis_Model!$C$5:$C$191,_TECH_Crisis_Model!$A$5:$A$191,'Crisis Simulator'!$B$4,_TECH_Crisis_Model!$B$5:$B$191,A21)=0,1,SUMIFS(_TECH_Crisis_Model!$C$5:$C$191,_TECH_Crisis_Model!$A$5:$A$191,'Crisis Simulator'!$B$4,_TECH_Crisis_Model!$B$5:$B$191,A21)),1)</f>
        <v>1</v>
      </c>
      <c r="Q21" s="11">
        <f t="shared" si="5"/>
        <v>0</v>
      </c>
      <c r="R21" s="11">
        <f>SUMPRODUCT(_TECH_Dependency_Map!S$4:S$20,$Q$5:$Q$21)</f>
        <v>0.96999999999999986</v>
      </c>
      <c r="S21" s="11">
        <f>MIN(_TECH_Dependency_Map!$B$34,1+('Crisis Simulator'!$B$5/5)*(Q21+_TECH_Dependency_Map!$B$29*R21))</f>
        <v>1.2909999999999999</v>
      </c>
      <c r="T21" s="11">
        <f t="shared" si="6"/>
        <v>0</v>
      </c>
      <c r="U21" s="11" t="str">
        <f t="shared" si="7"/>
        <v/>
      </c>
      <c r="V21" s="11" t="str">
        <f t="shared" si="8"/>
        <v/>
      </c>
      <c r="W21" s="11" t="str">
        <f t="shared" si="9"/>
        <v/>
      </c>
      <c r="X21" s="11" t="str">
        <f>IF(B21="","",RANK(T21,$T$5:$T$21)+COUNTIF($T$5:T21,T21)-1)</f>
        <v/>
      </c>
      <c r="Y21">
        <f>SUMPRODUCT(--('Quality Portfolio'!$H$5:$H$24&lt;&gt;""),--('Quality Portfolio'!$H$5:$H$24&lt;&gt;"N/A"))</f>
        <v>0</v>
      </c>
    </row>
    <row r="23" spans="1:29" ht="15">
      <c r="A23" s="107" t="s">
        <v>206</v>
      </c>
      <c r="B23" t="str">
        <f>IFERROR(AVERAGE(B5:B21),"")</f>
        <v/>
      </c>
    </row>
    <row r="24" spans="1:29" ht="15">
      <c r="A24" s="107" t="s">
        <v>15479</v>
      </c>
      <c r="B24" t="str">
        <f>IFERROR(AVERAGE(G5:G21),"")</f>
        <v/>
      </c>
    </row>
    <row r="25" spans="1:29" ht="15">
      <c r="A25" s="107" t="s">
        <v>15480</v>
      </c>
      <c r="B25">
        <f>IFERROR(MIN(G5:G21),"")</f>
        <v>0</v>
      </c>
    </row>
    <row r="26" spans="1:29" ht="15">
      <c r="A26" s="107" t="s">
        <v>207</v>
      </c>
      <c r="B26" t="str">
        <f>IFERROR(_TECH_Dependency_Map!$B$33*B24+(1-_TECH_Dependency_Map!$B$33)*B25,"")</f>
        <v/>
      </c>
    </row>
    <row r="27" spans="1:29" ht="15">
      <c r="A27" s="107" t="s">
        <v>209</v>
      </c>
      <c r="B27">
        <f>IFERROR(MAX(N5:N21),"")</f>
        <v>0</v>
      </c>
    </row>
    <row r="28" spans="1:29" ht="15">
      <c r="A28" s="107" t="s">
        <v>15481</v>
      </c>
      <c r="B28">
        <f>COUNTIF(O5:O21,"Critical")</f>
        <v>0</v>
      </c>
    </row>
    <row r="29" spans="1:29" ht="15">
      <c r="A29" s="107" t="s">
        <v>15482</v>
      </c>
      <c r="B29">
        <f>COUNTIF(O5:O21,"High")</f>
        <v>0</v>
      </c>
    </row>
    <row r="30" spans="1:29" ht="15">
      <c r="A30" s="107" t="s">
        <v>211</v>
      </c>
      <c r="B30">
        <f>IFERROR(MAX(U5:U21),"")</f>
        <v>0</v>
      </c>
    </row>
    <row r="31" spans="1:29" ht="15">
      <c r="A31" s="107" t="s">
        <v>15483</v>
      </c>
      <c r="B31" t="str">
        <f>IFERROR(INDEX(A5:A21,MATCH(MAX(U5:U21),U5:U21,0)),"")</f>
        <v/>
      </c>
    </row>
    <row r="32" spans="1:29" ht="15">
      <c r="A32" s="107" t="s">
        <v>15484</v>
      </c>
      <c r="B32" t="str">
        <f>IFERROR(INDEX(_TECH_Dependency_Map!A4:A20,MATCH(MAX(_TECH_Dependency_Map!V4:V20),_TECH_Dependency_Map!V4:V20,0)),"")</f>
        <v>IT Cloud DR</v>
      </c>
    </row>
  </sheetData>
  <sheetProtection sheet="1" objects="1" scenarios="1"/>
  <pageMargins left="0.75" right="0.75" top="1" bottom="1" header="0.5" footer="0.5"/>
  <headerFooter>
    <oddFooter>&amp;C(C) Roman Reznikov | RR-framework | CC BY-NC-SA 4.0 | v1.0</oddFooter>
    <evenFooter>&amp;C(C) Roman Reznikov | RR-framework | CC BY-NC-SA 4.0 | v1.0</evenFooter>
    <firstFooter>&amp;C(C) Roman Reznikov | RR-framework | CC BY-NC-SA 4.0 | v1.0</firstFooter>
  </headerFooter>
</worksheet>
</file>

<file path=xl/worksheets/sheet57.xml><?xml version="1.0" encoding="utf-8"?>
<worksheet xmlns="http://schemas.openxmlformats.org/spreadsheetml/2006/main" xmlns:r="http://schemas.openxmlformats.org/officeDocument/2006/relationships">
  <sheetViews>
    <sheetView workbookViewId="0"/>
  </sheetViews>
  <sheetFormatPr defaultRowHeight="15"/>
  <cols>
    <col min="1" max="1" width="28" customWidth="1"/>
    <col min="2" max="2" width="48" customWidth="1"/>
    <col min="3" max="3" width="95" customWidth="1"/>
    <col min="4" max="4" width="24" customWidth="1"/>
  </cols>
  <sheetData>
    <row r="1">
      <c r="A1" s="1" t="inlineStr">
        <is>
          <t>RR-framework — Version History and License</t>
        </is>
      </c>
    </row>
    <row r="2">
      <c r="A2" s="2" t="inlineStr">
        <is>
          <t>Business Resilience &amp; Digital Maturity Assessment Workbook</t>
        </is>
      </c>
    </row>
    <row r="4">
      <c r="A4" s="3" t="inlineStr">
        <is>
          <t>Property</t>
        </is>
      </c>
      <c r="B4" s="3" t="inlineStr">
        <is>
          <t>Value</t>
        </is>
      </c>
    </row>
    <row r="5">
      <c r="A5" t="inlineStr">
        <is>
          <t>Framework name</t>
        </is>
      </c>
      <c r="B5" t="inlineStr">
        <is>
          <t>RR-framework</t>
        </is>
      </c>
    </row>
    <row r="6">
      <c r="A6" t="inlineStr">
        <is>
          <t>Version</t>
        </is>
      </c>
      <c r="B6" t="inlineStr">
        <is>
          <t>1.0</t>
        </is>
      </c>
    </row>
    <row r="7">
      <c r="A7" t="inlineStr">
        <is>
          <t>Build ID</t>
        </is>
      </c>
      <c r="B7" t="inlineStr">
        <is>
          <t>RR-FRAMEWORK-v1.0-20260607</t>
        </is>
      </c>
    </row>
    <row r="8">
      <c r="A8" t="inlineStr">
        <is>
          <t>Release date</t>
        </is>
      </c>
      <c r="B8" t="inlineStr">
        <is>
          <t>2026-06-07</t>
        </is>
      </c>
    </row>
    <row r="9">
      <c r="A9" t="inlineStr">
        <is>
          <t>Copyright</t>
        </is>
      </c>
      <c r="B9" t="inlineStr">
        <is>
          <t>(C) Roman Reznikov</t>
        </is>
      </c>
    </row>
    <row r="10">
      <c r="A10" t="inlineStr">
        <is>
          <t>License</t>
        </is>
      </c>
      <c r="B10" t="inlineStr">
        <is>
          <t>Creative Commons Attribution-NonCommercial-ShareAlike 4.0 International</t>
        </is>
      </c>
    </row>
    <row r="11">
      <c r="A11" t="inlineStr">
        <is>
          <t>SPDX License ID</t>
        </is>
      </c>
      <c r="B11" t="inlineStr">
        <is>
          <t>CC-BY-NC-SA-4.0</t>
        </is>
      </c>
    </row>
    <row r="12">
      <c r="A12" t="inlineStr">
        <is>
          <t>Company reference</t>
        </is>
      </c>
      <c r="B12" t="inlineStr">
        <is>
          <t>Not used. Copyright attribution is Roman Reznikov only.</t>
        </is>
      </c>
    </row>
    <row r="14">
      <c r="A14" s="3" t="inlineStr">
        <is>
          <t>Version</t>
        </is>
      </c>
      <c r="B14" s="3" t="inlineStr">
        <is>
          <t>Date</t>
        </is>
      </c>
      <c r="C14" s="3" t="inlineStr">
        <is>
          <t>Change summary</t>
        </is>
      </c>
      <c r="D14" s="3" t="inlineStr">
        <is>
          <t>Author</t>
        </is>
      </c>
    </row>
    <row r="15">
      <c r="A15" t="inlineStr">
        <is>
          <t>1.0</t>
        </is>
      </c>
      <c r="B15" t="inlineStr">
        <is>
          <t>2026-06-07</t>
        </is>
      </c>
      <c r="C15" t="inlineStr">
        <is>
          <t>Initial public RR-framework workbook release with attribution, footer, custom properties, closed profile inputs, crisis simulator, risk engine, strategy packages, initiative roadmap, Gantt view, heatmaps, quality control, standards mapping, and methodology documentation.</t>
        </is>
      </c>
      <c r="D15" t="inlineStr">
        <is>
          <t>Roman Reznikov</t>
        </is>
      </c>
    </row>
    <row r="17">
      <c r="A17" s="3" t="inlineStr">
        <is>
          <t>Attribution requirement</t>
        </is>
      </c>
    </row>
    <row r="18">
      <c r="A18" t="inlineStr">
        <is>
          <t>When using, sharing, or adapting this workbook, retain attribution to Roman Reznikov and the original RR-framework license notice. Commercial use is not permitted under CC BY-NC-SA 4.0 without separate permission.</t>
        </is>
      </c>
    </row>
    <row r="20">
      <c r="A20" s="3" t="inlineStr">
        <is>
          <t>Disclaimer</t>
        </is>
      </c>
    </row>
    <row r="21">
      <c r="A21" t="inlineStr">
        <is>
          <t>This workbook is a decision-support and assessment tool. It is not a formal audit, certification, legal opinion, financial advice, or compliance guarantee.</t>
        </is>
      </c>
    </row>
  </sheetData>
  <mergeCells count="4">
    <mergeCell ref="A1:D1"/>
    <mergeCell ref="A2:D2"/>
    <mergeCell ref="A17:D17"/>
    <mergeCell ref="A20:D20"/>
  </mergeCells>
  <pageMargins left="0.7" right="0.7" top="0.75" bottom="0.75" header="0.3" footer="0.3"/>
  <headerFooter>
    <oddFooter>&amp;C(C) Roman Reznikov | RR-framework | CC BY-NC-SA 4.0 | v1.0</oddFooter>
    <evenFooter>&amp;C(C) Roman Reznikov | RR-framework | CC BY-NC-SA 4.0 | v1.0</evenFooter>
    <firstFooter>&amp;C(C) Roman Reznikov | RR-framework | CC BY-NC-SA 4.0 | v1.0</firstFooter>
  </headerFooter>
</worksheet>
</file>

<file path=docProps/app.xml><?xml version="1.0" encoding="utf-8"?>
<ns0:Properties xmlns:ns0="http://schemas.openxmlformats.org/officeDocument/2006/extended-properties" xmlns:ns1="http://schemas.openxmlformats.org/officeDocument/2006/docPropsVTypes">
  <ns0:TotalTime>0</ns0:TotalTime>
  <ns0:Application>Microsoft Excel</ns0:Application>
  <ns0:DocSecurity>0</ns0:DocSecurity>
  <ns0:ScaleCrop>false</ns0:ScaleCrop>
  <ns0:HeadingPairs>
    <ns1:vector size="2" baseType="variant">
      <ns1:variant>
        <ns1:lpstr>Worksheets</ns1:lpstr>
      </ns1:variant>
      <ns1:variant>
        <ns1:i4>57</ns1:i4>
      </ns1:variant>
    </ns1:vector>
  </ns0:HeadingPairs>
  <ns0:TitlesOfParts>
    <ns1:vector size="57" baseType="lpstr">
      <ns1:lpstr>① START HERE</ns1:lpstr>
      <ns1:lpstr>Dashboard</ns1:lpstr>
      <ns1:lpstr>Heatmaps</ns1:lpstr>
      <ns1:lpstr>Resilience Engine (Cascade)</ns1:lpstr>
      <ns1:lpstr>Resilience Stress Test</ns1:lpstr>
      <ns1:lpstr>Scoring Guide</ns1:lpstr>
      <ns1:lpstr>Company Profile</ns1:lpstr>
      <ns1:lpstr>Crisis Scenarios</ns1:lpstr>
      <ns1:lpstr>Industry Template Summary</ns1:lpstr>
      <ns1:lpstr>Crisis Simulator</ns1:lpstr>
      <ns1:lpstr>Strategy Selection</ns1:lpstr>
      <ns1:lpstr>Initiatives Roadmap</ns1:lpstr>
      <ns1:lpstr>Improved Scoring Model</ns1:lpstr>
      <ns1:lpstr>Scoring Model v2</ns1:lpstr>
      <ns1:lpstr>AHP Domain Weights</ns1:lpstr>
      <ns1:lpstr>Initiative Economics</ns1:lpstr>
      <ns1:lpstr>Scoring v2 Methodology</ns1:lpstr>
      <ns1:lpstr>_TECH_Initiative_Library</ns1:lpstr>
      <ns1:lpstr>Standards Map</ns1:lpstr>
      <ns1:lpstr>Company Geography</ns1:lpstr>
      <ns1:lpstr>Strategy GTM</ns1:lpstr>
      <ns1:lpstr>Governance Crisis</ns1:lpstr>
      <ns1:lpstr>HR Workforce</ns1:lpstr>
      <ns1:lpstr>Finance Procurement</ns1:lpstr>
      <ns1:lpstr>Legal Risk</ns1:lpstr>
      <ns1:lpstr>Physical Safety</ns1:lpstr>
      <ns1:lpstr>Delivery Ops</ns1:lpstr>
      <ns1:lpstr>Supply Chain</ns1:lpstr>
      <ns1:lpstr>Manufacturing MES</ns1:lpstr>
      <ns1:lpstr>Sales CRM</ns1:lpstr>
      <ns1:lpstr>Marketing Comms</ns1:lpstr>
      <ns1:lpstr>IT Cloud DR</ns1:lpstr>
      <ns1:lpstr>Business Systems</ns1:lpstr>
      <ns1:lpstr>Data BI AI</ns1:lpstr>
      <ns1:lpstr>Cyber Privacy</ns1:lpstr>
      <ns1:lpstr>Quality Portfolio</ns1:lpstr>
      <ns1:lpstr>Spider Dashboards</ns1:lpstr>
      <ns1:lpstr>Recommendation Matrix</ns1:lpstr>
      <ns1:lpstr>Executive Recommendations</ns1:lpstr>
      <ns1:lpstr>Risk Summary</ns1:lpstr>
      <ns1:lpstr>Risk Library</ns1:lpstr>
      <ns1:lpstr>_TECH_Crisis_Model</ns1:lpstr>
      <ns1:lpstr>_TECH_Strategy_Library</ns1:lpstr>
      <ns1:lpstr>Standards per Question</ns1:lpstr>
      <ns1:lpstr>Quality Control</ns1:lpstr>
      <ns1:lpstr>Gantt Roadmap</ns1:lpstr>
      <ns1:lpstr>_TECH_Industry_Templates</ns1:lpstr>
      <ns1:lpstr>_TECH_Scoring_Settings</ns1:lpstr>
      <ns1:lpstr>_TECH_Industry_Strategy_Fit</ns1:lpstr>
      <ns1:lpstr>_TECH_Profile_Lists</ns1:lpstr>
      <ns1:lpstr>_TECH_Strategy_Packages</ns1:lpstr>
      <ns1:lpstr>Executive Strategy Packages</ns1:lpstr>
      <ns1:lpstr>Methodology &amp; Logic</ns1:lpstr>
      <ns1:lpstr>Cascade Engine Methodology</ns1:lpstr>
      <ns1:lpstr>_TECH_Dependency_Map</ns1:lpstr>
      <ns1:lpstr>_TECH_Cascade_Engine</ns1:lpstr>
      <ns1:lpstr>Version History</ns1:lpstr>
    </ns1:vector>
  </ns0:TitlesOfParts>
  <ns0:LinksUpToDate>false</ns0:LinksUpToDate>
  <ns0:SharedDoc>false</ns0:SharedDoc>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xsi="http://www.w3.org/2001/XMLSchema-instance">
  <dc:creator>Roman Reznikov</dc:creator>
  <cp:lastModifiedBy>Roman Reznikov</cp:lastModifiedBy>
  <dcterms:created xsi:type="dcterms:W3CDTF">2026-06-06T16:23:55Z</dcterms:created>
  <dcterms:modified xsi:type="dcterms:W3CDTF">2026-06-07T07:56:06Z</dcterms:modified>
  <dc:title>RR-framework</dc:title>
  <dc:subject>Business Resilience and Digital Maturity Assessment</dc:subject>
  <dc:description>RR-framework workbook, version 1.0, licensed under CC BY-NC-SA 4.0. (C) Roman Reznikov.</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rameworkName">
    <vt:lpwstr>RR-framework</vt:lpwstr>
  </property>
  <property fmtid="{D5CDD505-2E9C-101B-9397-08002B2CF9AE}" pid="3" name="Version">
    <vt:lpwstr>1.0</vt:lpwstr>
  </property>
  <property fmtid="{D5CDD505-2E9C-101B-9397-08002B2CF9AE}" pid="4" name="BuildID">
    <vt:lpwstr>RR-FRAMEWORK-v1.0-20260607</vt:lpwstr>
  </property>
  <property fmtid="{D5CDD505-2E9C-101B-9397-08002B2CF9AE}" pid="5" name="License">
    <vt:lpwstr>CC BY-NC-SA 4.0</vt:lpwstr>
  </property>
  <property fmtid="{D5CDD505-2E9C-101B-9397-08002B2CF9AE}" pid="6" name="SPDXLicenseIdentifier">
    <vt:lpwstr>CC-BY-NC-SA-4.0</vt:lpwstr>
  </property>
  <property fmtid="{D5CDD505-2E9C-101B-9397-08002B2CF9AE}" pid="7" name="Copyright">
    <vt:lpwstr>(C) Roman Reznikov</vt:lpwstr>
  </property>
  <property fmtid="{D5CDD505-2E9C-101B-9397-08002B2CF9AE}" pid="8" name="Author">
    <vt:lpwstr>Roman Reznikov</vt:lpwstr>
  </property>
  <property fmtid="{D5CDD505-2E9C-101B-9397-08002B2CF9AE}" pid="9" name="ReleaseDate">
    <vt:lpwstr>2026-06-07</vt:lpwstr>
  </property>
  <property fmtid="{D5CDD505-2E9C-101B-9397-08002B2CF9AE}" pid="10" name="AttributionRequired">
    <vt:lpwstr>Yes</vt:lpwstr>
  </property>
  <property fmtid="{D5CDD505-2E9C-101B-9397-08002B2CF9AE}" pid="11" name="CommercialUse">
    <vt:lpwstr>Not permitted under CC BY-NC-SA 4.0 without separate permission</vt:lpwstr>
  </property>
</Properties>
</file>